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2.xml" ContentType="application/vnd.openxmlformats-officedocument.spreadsheetml.comments+xml"/>
  <Override PartName="/xl/tables/table21.xml" ContentType="application/vnd.openxmlformats-officedocument.spreadsheetml.table+xml"/>
  <Override PartName="/xl/comments3.xml" ContentType="application/vnd.openxmlformats-officedocument.spreadsheetml.comments+xml"/>
  <Override PartName="/xl/tables/table22.xml" ContentType="application/vnd.openxmlformats-officedocument.spreadsheetml.table+xml"/>
  <Override PartName="/xl/comments4.xml" ContentType="application/vnd.openxmlformats-officedocument.spreadsheetml.comments+xml"/>
  <Override PartName="/xl/tables/table23.xml" ContentType="application/vnd.openxmlformats-officedocument.spreadsheetml.table+xml"/>
  <Override PartName="/xl/comments5.xml" ContentType="application/vnd.openxmlformats-officedocument.spreadsheetml.comments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ama\Desktop\MAPs Model Local\"/>
    </mc:Choice>
  </mc:AlternateContent>
  <xr:revisionPtr revIDLastSave="0" documentId="8_{E3747094-2304-4D8F-BD03-005A882FB139}" xr6:coauthVersionLast="47" xr6:coauthVersionMax="47" xr10:uidLastSave="{00000000-0000-0000-0000-000000000000}"/>
  <bookViews>
    <workbookView xWindow="4875" yWindow="3015" windowWidth="28800" windowHeight="15435" firstSheet="1" activeTab="1" xr2:uid="{00000000-000D-0000-FFFF-FFFF00000000}"/>
  </bookViews>
  <sheets>
    <sheet name="interactive" sheetId="1" r:id="rId1"/>
    <sheet name="global_pars" sheetId="2" r:id="rId2"/>
    <sheet name="LMICs" sheetId="3" r:id="rId3"/>
    <sheet name="Regions" sheetId="4" r:id="rId4"/>
    <sheet name="Demographics" sheetId="5" r:id="rId5"/>
    <sheet name="Epidemiology" sheetId="6" r:id="rId6"/>
    <sheet name="vaccine_costs" sheetId="8" r:id="rId7"/>
    <sheet name="disease_costs" sheetId="11" r:id="rId8"/>
    <sheet name="sens_costs_lmics" sheetId="9" r:id="rId9"/>
    <sheet name="sens_costs_regions" sheetId="10" r:id="rId10"/>
    <sheet name="LMICs_raw" sheetId="7" r:id="rId11"/>
    <sheet name="Tab 1" sheetId="13" r:id="rId12"/>
    <sheet name="Tab 2" sheetId="12" r:id="rId13"/>
    <sheet name="Figure 2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C15" i="2"/>
  <c r="C14" i="13" s="1"/>
  <c r="E42" i="14" l="1"/>
  <c r="E41" i="14"/>
  <c r="E40" i="14"/>
  <c r="E39" i="14"/>
  <c r="E38" i="14"/>
  <c r="D39" i="14"/>
  <c r="D38" i="14"/>
  <c r="E36" i="14"/>
  <c r="E35" i="14"/>
  <c r="E34" i="14"/>
  <c r="E33" i="14"/>
  <c r="D33" i="14"/>
  <c r="E32" i="14"/>
  <c r="D32" i="14"/>
  <c r="E30" i="14"/>
  <c r="E29" i="14"/>
  <c r="E28" i="14"/>
  <c r="E27" i="14"/>
  <c r="D27" i="14"/>
  <c r="E26" i="14"/>
  <c r="D26" i="14"/>
  <c r="E24" i="14"/>
  <c r="E23" i="14"/>
  <c r="E22" i="14"/>
  <c r="E21" i="14"/>
  <c r="D21" i="14"/>
  <c r="E20" i="14"/>
  <c r="D20" i="14"/>
  <c r="E18" i="14"/>
  <c r="E17" i="14"/>
  <c r="E16" i="14"/>
  <c r="E15" i="14"/>
  <c r="D15" i="14"/>
  <c r="E14" i="14"/>
  <c r="D14" i="14"/>
  <c r="E12" i="14"/>
  <c r="E11" i="14"/>
  <c r="E10" i="14"/>
  <c r="E9" i="14"/>
  <c r="D9" i="14"/>
  <c r="E8" i="14"/>
  <c r="D8" i="14"/>
  <c r="E6" i="14"/>
  <c r="E5" i="14"/>
  <c r="E4" i="14"/>
  <c r="E3" i="14"/>
  <c r="E2" i="14"/>
  <c r="D3" i="14"/>
  <c r="D2" i="1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2" i="9"/>
  <c r="X3" i="9" l="1"/>
  <c r="Y3" i="9"/>
  <c r="Z3" i="9"/>
  <c r="X4" i="9"/>
  <c r="Y4" i="9"/>
  <c r="Z4" i="9"/>
  <c r="X5" i="9"/>
  <c r="Y5" i="9"/>
  <c r="Z5" i="9"/>
  <c r="X6" i="9"/>
  <c r="Y6" i="9"/>
  <c r="Z6" i="9"/>
  <c r="X7" i="9"/>
  <c r="Y7" i="9"/>
  <c r="Z7" i="9"/>
  <c r="X10" i="9"/>
  <c r="Y10" i="9"/>
  <c r="Z10" i="9"/>
  <c r="X11" i="9"/>
  <c r="Y11" i="9"/>
  <c r="Z11" i="9"/>
  <c r="X12" i="9"/>
  <c r="Y12" i="9"/>
  <c r="Z12" i="9"/>
  <c r="X13" i="9"/>
  <c r="Y13" i="9"/>
  <c r="Z13" i="9"/>
  <c r="X14" i="9"/>
  <c r="Y14" i="9"/>
  <c r="Z14" i="9"/>
  <c r="X15" i="9"/>
  <c r="Y15" i="9"/>
  <c r="Z15" i="9"/>
  <c r="X16" i="9"/>
  <c r="Y16" i="9"/>
  <c r="Z16" i="9"/>
  <c r="X17" i="9"/>
  <c r="Y17" i="9"/>
  <c r="Z17" i="9"/>
  <c r="X18" i="9"/>
  <c r="Y18" i="9"/>
  <c r="Z18" i="9"/>
  <c r="X20" i="9"/>
  <c r="Y20" i="9"/>
  <c r="Z20" i="9"/>
  <c r="X21" i="9"/>
  <c r="Y21" i="9"/>
  <c r="Z21" i="9"/>
  <c r="X22" i="9"/>
  <c r="Y22" i="9"/>
  <c r="Z22" i="9"/>
  <c r="X23" i="9"/>
  <c r="Y23" i="9"/>
  <c r="Z23" i="9"/>
  <c r="X24" i="9"/>
  <c r="Y24" i="9"/>
  <c r="Z24" i="9"/>
  <c r="X25" i="9"/>
  <c r="Y25" i="9"/>
  <c r="Z25" i="9"/>
  <c r="X26" i="9"/>
  <c r="Y26" i="9"/>
  <c r="Z26" i="9"/>
  <c r="X27" i="9"/>
  <c r="Y27" i="9"/>
  <c r="Z27" i="9"/>
  <c r="X28" i="9"/>
  <c r="Y28" i="9"/>
  <c r="Z28" i="9"/>
  <c r="X30" i="9"/>
  <c r="Y30" i="9"/>
  <c r="Z30" i="9"/>
  <c r="X31" i="9"/>
  <c r="Y31" i="9"/>
  <c r="Z31" i="9"/>
  <c r="X32" i="9"/>
  <c r="Y32" i="9"/>
  <c r="Z32" i="9"/>
  <c r="X33" i="9"/>
  <c r="Y33" i="9"/>
  <c r="Z33" i="9"/>
  <c r="X34" i="9"/>
  <c r="Y34" i="9"/>
  <c r="Z34" i="9"/>
  <c r="X36" i="9"/>
  <c r="Y36" i="9"/>
  <c r="Z36" i="9"/>
  <c r="X41" i="9"/>
  <c r="Y41" i="9"/>
  <c r="Z41" i="9"/>
  <c r="X42" i="9"/>
  <c r="Y42" i="9"/>
  <c r="Z42" i="9"/>
  <c r="X43" i="9"/>
  <c r="Y43" i="9"/>
  <c r="Z43" i="9"/>
  <c r="X44" i="9"/>
  <c r="Y44" i="9"/>
  <c r="Z44" i="9"/>
  <c r="X45" i="9"/>
  <c r="Y45" i="9"/>
  <c r="Z45" i="9"/>
  <c r="X46" i="9"/>
  <c r="Y46" i="9"/>
  <c r="Z46" i="9"/>
  <c r="X47" i="9"/>
  <c r="Y47" i="9"/>
  <c r="Z47" i="9"/>
  <c r="X48" i="9"/>
  <c r="Y48" i="9"/>
  <c r="Z48" i="9"/>
  <c r="X49" i="9"/>
  <c r="Y49" i="9"/>
  <c r="Z49" i="9"/>
  <c r="X50" i="9"/>
  <c r="Y50" i="9"/>
  <c r="Z50" i="9"/>
  <c r="X51" i="9"/>
  <c r="Y51" i="9"/>
  <c r="Z51" i="9"/>
  <c r="X53" i="9"/>
  <c r="Y53" i="9"/>
  <c r="Z53" i="9"/>
  <c r="X54" i="9"/>
  <c r="Y54" i="9"/>
  <c r="Z54" i="9"/>
  <c r="X55" i="9"/>
  <c r="Y55" i="9"/>
  <c r="Z55" i="9"/>
  <c r="X56" i="9"/>
  <c r="Y56" i="9"/>
  <c r="Z56" i="9"/>
  <c r="X57" i="9"/>
  <c r="Y57" i="9"/>
  <c r="Z57" i="9"/>
  <c r="X58" i="9"/>
  <c r="Y58" i="9"/>
  <c r="Z58" i="9"/>
  <c r="X59" i="9"/>
  <c r="Y59" i="9"/>
  <c r="Z59" i="9"/>
  <c r="X60" i="9"/>
  <c r="Y60" i="9"/>
  <c r="Z60" i="9"/>
  <c r="X62" i="9"/>
  <c r="Y62" i="9"/>
  <c r="Z62" i="9"/>
  <c r="X63" i="9"/>
  <c r="Y63" i="9"/>
  <c r="Z63" i="9"/>
  <c r="X64" i="9"/>
  <c r="Y64" i="9"/>
  <c r="Z64" i="9"/>
  <c r="X66" i="9"/>
  <c r="Y66" i="9"/>
  <c r="Z66" i="9"/>
  <c r="X68" i="9"/>
  <c r="Y68" i="9"/>
  <c r="Z68" i="9"/>
  <c r="X69" i="9"/>
  <c r="Y69" i="9"/>
  <c r="Z69" i="9"/>
  <c r="X70" i="9"/>
  <c r="Y70" i="9"/>
  <c r="Z70" i="9"/>
  <c r="X71" i="9"/>
  <c r="Y71" i="9"/>
  <c r="Z71" i="9"/>
  <c r="X72" i="9"/>
  <c r="Y72" i="9"/>
  <c r="Z72" i="9"/>
  <c r="X73" i="9"/>
  <c r="Y73" i="9"/>
  <c r="Z73" i="9"/>
  <c r="X74" i="9"/>
  <c r="Y74" i="9"/>
  <c r="Z74" i="9"/>
  <c r="X76" i="9"/>
  <c r="Y76" i="9"/>
  <c r="Z76" i="9"/>
  <c r="X77" i="9"/>
  <c r="Y77" i="9"/>
  <c r="Z77" i="9"/>
  <c r="X78" i="9"/>
  <c r="Y78" i="9"/>
  <c r="Z78" i="9"/>
  <c r="X80" i="9"/>
  <c r="Y80" i="9"/>
  <c r="Z80" i="9"/>
  <c r="X81" i="9"/>
  <c r="Y81" i="9"/>
  <c r="Z81" i="9"/>
  <c r="X83" i="9"/>
  <c r="Y83" i="9"/>
  <c r="Z83" i="9"/>
  <c r="X85" i="9"/>
  <c r="Y85" i="9"/>
  <c r="Z85" i="9"/>
  <c r="X86" i="9"/>
  <c r="Y86" i="9"/>
  <c r="Z86" i="9"/>
  <c r="X87" i="9"/>
  <c r="Y87" i="9"/>
  <c r="Z87" i="9"/>
  <c r="X88" i="9"/>
  <c r="Y88" i="9"/>
  <c r="Z88" i="9"/>
  <c r="X89" i="9"/>
  <c r="Y89" i="9"/>
  <c r="Z89" i="9"/>
  <c r="X90" i="9"/>
  <c r="Y90" i="9"/>
  <c r="Z90" i="9"/>
  <c r="X92" i="9"/>
  <c r="Y92" i="9"/>
  <c r="Z92" i="9"/>
  <c r="X93" i="9"/>
  <c r="Y93" i="9"/>
  <c r="Z93" i="9"/>
  <c r="X94" i="9"/>
  <c r="Y94" i="9"/>
  <c r="Z94" i="9"/>
  <c r="X95" i="9"/>
  <c r="Y95" i="9"/>
  <c r="Z95" i="9"/>
  <c r="X97" i="9"/>
  <c r="Y97" i="9"/>
  <c r="Z97" i="9"/>
  <c r="X98" i="9"/>
  <c r="Y98" i="9"/>
  <c r="Z98" i="9"/>
  <c r="X99" i="9"/>
  <c r="Y99" i="9"/>
  <c r="Z99" i="9"/>
  <c r="X100" i="9"/>
  <c r="Y100" i="9"/>
  <c r="Z100" i="9"/>
  <c r="X101" i="9"/>
  <c r="Y101" i="9"/>
  <c r="Z101" i="9"/>
  <c r="X102" i="9"/>
  <c r="Y102" i="9"/>
  <c r="Z102" i="9"/>
  <c r="X103" i="9"/>
  <c r="Y103" i="9"/>
  <c r="Z103" i="9"/>
  <c r="X104" i="9"/>
  <c r="Y104" i="9"/>
  <c r="Z104" i="9"/>
  <c r="X105" i="9"/>
  <c r="Y105" i="9"/>
  <c r="Z105" i="9"/>
  <c r="X106" i="9"/>
  <c r="Y106" i="9"/>
  <c r="Z106" i="9"/>
  <c r="X107" i="9"/>
  <c r="Y107" i="9"/>
  <c r="Z107" i="9"/>
  <c r="X108" i="9"/>
  <c r="Y108" i="9"/>
  <c r="Z108" i="9"/>
  <c r="X109" i="9"/>
  <c r="Y109" i="9"/>
  <c r="Z109" i="9"/>
  <c r="X110" i="9"/>
  <c r="Y110" i="9"/>
  <c r="Z110" i="9"/>
  <c r="X111" i="9"/>
  <c r="Y111" i="9"/>
  <c r="Z111" i="9"/>
  <c r="X113" i="9"/>
  <c r="Y113" i="9"/>
  <c r="Z113" i="9"/>
  <c r="X115" i="9"/>
  <c r="Y115" i="9"/>
  <c r="Z115" i="9"/>
  <c r="X116" i="9"/>
  <c r="Y116" i="9"/>
  <c r="Z116" i="9"/>
  <c r="X117" i="9"/>
  <c r="Y117" i="9"/>
  <c r="Z117" i="9"/>
  <c r="X118" i="9"/>
  <c r="Y118" i="9"/>
  <c r="Z118" i="9"/>
  <c r="X119" i="9"/>
  <c r="Y119" i="9"/>
  <c r="Z119" i="9"/>
  <c r="X120" i="9"/>
  <c r="Y120" i="9"/>
  <c r="Z120" i="9"/>
  <c r="X121" i="9"/>
  <c r="Y121" i="9"/>
  <c r="Z121" i="9"/>
  <c r="X123" i="9"/>
  <c r="Y123" i="9"/>
  <c r="Z123" i="9"/>
  <c r="X124" i="9"/>
  <c r="Y124" i="9"/>
  <c r="Z124" i="9"/>
  <c r="X125" i="9"/>
  <c r="Y125" i="9"/>
  <c r="Z125" i="9"/>
  <c r="X126" i="9"/>
  <c r="Y126" i="9"/>
  <c r="Z126" i="9"/>
  <c r="X127" i="9"/>
  <c r="Y127" i="9"/>
  <c r="Z127" i="9"/>
  <c r="X128" i="9"/>
  <c r="Y128" i="9"/>
  <c r="Z128" i="9"/>
  <c r="X129" i="9"/>
  <c r="Y129" i="9"/>
  <c r="Z129" i="9"/>
  <c r="X130" i="9"/>
  <c r="Y130" i="9"/>
  <c r="Z130" i="9"/>
  <c r="X131" i="9"/>
  <c r="Y131" i="9"/>
  <c r="Z131" i="9"/>
  <c r="X132" i="9"/>
  <c r="Y132" i="9"/>
  <c r="Z132" i="9"/>
  <c r="X133" i="9"/>
  <c r="Y133" i="9"/>
  <c r="Z133" i="9"/>
  <c r="X134" i="9"/>
  <c r="Y134" i="9"/>
  <c r="Z134" i="9"/>
  <c r="X135" i="9"/>
  <c r="Y135" i="9"/>
  <c r="Z135" i="9"/>
  <c r="X136" i="9"/>
  <c r="Y136" i="9"/>
  <c r="Z136" i="9"/>
  <c r="Z2" i="9"/>
  <c r="Y2" i="9"/>
  <c r="X2" i="9"/>
  <c r="N197" i="11"/>
  <c r="W10" i="9"/>
  <c r="W11" i="9"/>
  <c r="W12" i="9"/>
  <c r="W13" i="9"/>
  <c r="W14" i="9"/>
  <c r="W15" i="9"/>
  <c r="W16" i="9"/>
  <c r="W17" i="9"/>
  <c r="W18" i="9"/>
  <c r="W20" i="9"/>
  <c r="W21" i="9"/>
  <c r="W22" i="9"/>
  <c r="W23" i="9"/>
  <c r="W24" i="9"/>
  <c r="W25" i="9"/>
  <c r="W26" i="9"/>
  <c r="W27" i="9"/>
  <c r="W28" i="9"/>
  <c r="W30" i="9"/>
  <c r="W31" i="9"/>
  <c r="W32" i="9"/>
  <c r="W33" i="9"/>
  <c r="W34" i="9"/>
  <c r="W36" i="9"/>
  <c r="W41" i="9"/>
  <c r="W42" i="9"/>
  <c r="W43" i="9"/>
  <c r="W44" i="9"/>
  <c r="W45" i="9"/>
  <c r="W46" i="9"/>
  <c r="W47" i="9"/>
  <c r="W48" i="9"/>
  <c r="W49" i="9"/>
  <c r="W50" i="9"/>
  <c r="W51" i="9"/>
  <c r="W53" i="9"/>
  <c r="W54" i="9"/>
  <c r="W55" i="9"/>
  <c r="W56" i="9"/>
  <c r="W57" i="9"/>
  <c r="W58" i="9"/>
  <c r="W59" i="9"/>
  <c r="W60" i="9"/>
  <c r="W62" i="9"/>
  <c r="W63" i="9"/>
  <c r="W64" i="9"/>
  <c r="W66" i="9"/>
  <c r="W68" i="9"/>
  <c r="W69" i="9"/>
  <c r="W70" i="9"/>
  <c r="W71" i="9"/>
  <c r="W72" i="9"/>
  <c r="W73" i="9"/>
  <c r="W74" i="9"/>
  <c r="W76" i="9"/>
  <c r="W77" i="9"/>
  <c r="W78" i="9"/>
  <c r="W80" i="9"/>
  <c r="W81" i="9"/>
  <c r="W83" i="9"/>
  <c r="W85" i="9"/>
  <c r="W86" i="9"/>
  <c r="W87" i="9"/>
  <c r="W88" i="9"/>
  <c r="W89" i="9"/>
  <c r="W90" i="9"/>
  <c r="W92" i="9"/>
  <c r="W93" i="9"/>
  <c r="W94" i="9"/>
  <c r="W95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3" i="9"/>
  <c r="W115" i="9"/>
  <c r="W116" i="9"/>
  <c r="W117" i="9"/>
  <c r="W118" i="9"/>
  <c r="W119" i="9"/>
  <c r="W120" i="9"/>
  <c r="W121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2" i="9"/>
  <c r="W3" i="9"/>
  <c r="W4" i="9"/>
  <c r="W5" i="9"/>
  <c r="W6" i="9"/>
  <c r="W7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2" i="9"/>
  <c r="J3" i="9"/>
  <c r="K3" i="9"/>
  <c r="L3" i="9"/>
  <c r="M3" i="9"/>
  <c r="N3" i="9"/>
  <c r="O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5" i="9"/>
  <c r="K65" i="9"/>
  <c r="L65" i="9"/>
  <c r="M65" i="9"/>
  <c r="N65" i="9"/>
  <c r="O65" i="9"/>
  <c r="J66" i="9"/>
  <c r="K66" i="9"/>
  <c r="L66" i="9"/>
  <c r="M66" i="9"/>
  <c r="N66" i="9"/>
  <c r="O66" i="9"/>
  <c r="J67" i="9"/>
  <c r="K67" i="9"/>
  <c r="L67" i="9"/>
  <c r="M67" i="9"/>
  <c r="N67" i="9"/>
  <c r="O67" i="9"/>
  <c r="J68" i="9"/>
  <c r="K68" i="9"/>
  <c r="L68" i="9"/>
  <c r="M68" i="9"/>
  <c r="N68" i="9"/>
  <c r="O68" i="9"/>
  <c r="J69" i="9"/>
  <c r="K69" i="9"/>
  <c r="L69" i="9"/>
  <c r="M69" i="9"/>
  <c r="N69" i="9"/>
  <c r="O69" i="9"/>
  <c r="J70" i="9"/>
  <c r="K70" i="9"/>
  <c r="L70" i="9"/>
  <c r="M70" i="9"/>
  <c r="N70" i="9"/>
  <c r="O70" i="9"/>
  <c r="J71" i="9"/>
  <c r="K71" i="9"/>
  <c r="L71" i="9"/>
  <c r="M71" i="9"/>
  <c r="N71" i="9"/>
  <c r="O71" i="9"/>
  <c r="J72" i="9"/>
  <c r="K72" i="9"/>
  <c r="L72" i="9"/>
  <c r="M72" i="9"/>
  <c r="N72" i="9"/>
  <c r="O72" i="9"/>
  <c r="J73" i="9"/>
  <c r="K73" i="9"/>
  <c r="L73" i="9"/>
  <c r="M73" i="9"/>
  <c r="N73" i="9"/>
  <c r="O73" i="9"/>
  <c r="J74" i="9"/>
  <c r="K74" i="9"/>
  <c r="L74" i="9"/>
  <c r="M74" i="9"/>
  <c r="N74" i="9"/>
  <c r="O74" i="9"/>
  <c r="J75" i="9"/>
  <c r="K75" i="9"/>
  <c r="L75" i="9"/>
  <c r="M75" i="9"/>
  <c r="N75" i="9"/>
  <c r="O75" i="9"/>
  <c r="J76" i="9"/>
  <c r="K76" i="9"/>
  <c r="L76" i="9"/>
  <c r="M76" i="9"/>
  <c r="N76" i="9"/>
  <c r="O76" i="9"/>
  <c r="J77" i="9"/>
  <c r="K77" i="9"/>
  <c r="L77" i="9"/>
  <c r="M77" i="9"/>
  <c r="N77" i="9"/>
  <c r="O77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85" i="9"/>
  <c r="K85" i="9"/>
  <c r="L85" i="9"/>
  <c r="M85" i="9"/>
  <c r="N85" i="9"/>
  <c r="O85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1" i="9"/>
  <c r="K91" i="9"/>
  <c r="L91" i="9"/>
  <c r="M91" i="9"/>
  <c r="N91" i="9"/>
  <c r="O91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95" i="9"/>
  <c r="K95" i="9"/>
  <c r="L95" i="9"/>
  <c r="M95" i="9"/>
  <c r="N95" i="9"/>
  <c r="O95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101" i="9"/>
  <c r="K101" i="9"/>
  <c r="L101" i="9"/>
  <c r="M101" i="9"/>
  <c r="N101" i="9"/>
  <c r="O101" i="9"/>
  <c r="J102" i="9"/>
  <c r="K102" i="9"/>
  <c r="L102" i="9"/>
  <c r="M102" i="9"/>
  <c r="N102" i="9"/>
  <c r="O102" i="9"/>
  <c r="J103" i="9"/>
  <c r="K103" i="9"/>
  <c r="L103" i="9"/>
  <c r="M103" i="9"/>
  <c r="N103" i="9"/>
  <c r="O103" i="9"/>
  <c r="J104" i="9"/>
  <c r="K104" i="9"/>
  <c r="L104" i="9"/>
  <c r="M104" i="9"/>
  <c r="N104" i="9"/>
  <c r="O104" i="9"/>
  <c r="J105" i="9"/>
  <c r="K105" i="9"/>
  <c r="L105" i="9"/>
  <c r="M105" i="9"/>
  <c r="N105" i="9"/>
  <c r="O105" i="9"/>
  <c r="J106" i="9"/>
  <c r="K106" i="9"/>
  <c r="L106" i="9"/>
  <c r="M106" i="9"/>
  <c r="N106" i="9"/>
  <c r="O106" i="9"/>
  <c r="J107" i="9"/>
  <c r="K107" i="9"/>
  <c r="L107" i="9"/>
  <c r="M107" i="9"/>
  <c r="N107" i="9"/>
  <c r="O107" i="9"/>
  <c r="J108" i="9"/>
  <c r="K108" i="9"/>
  <c r="L108" i="9"/>
  <c r="M108" i="9"/>
  <c r="N108" i="9"/>
  <c r="O108" i="9"/>
  <c r="J109" i="9"/>
  <c r="K109" i="9"/>
  <c r="L109" i="9"/>
  <c r="M109" i="9"/>
  <c r="N109" i="9"/>
  <c r="O109" i="9"/>
  <c r="J110" i="9"/>
  <c r="K110" i="9"/>
  <c r="L110" i="9"/>
  <c r="M110" i="9"/>
  <c r="N110" i="9"/>
  <c r="O110" i="9"/>
  <c r="J111" i="9"/>
  <c r="K111" i="9"/>
  <c r="L111" i="9"/>
  <c r="M111" i="9"/>
  <c r="N111" i="9"/>
  <c r="O111" i="9"/>
  <c r="J112" i="9"/>
  <c r="K112" i="9"/>
  <c r="L112" i="9"/>
  <c r="M112" i="9"/>
  <c r="N112" i="9"/>
  <c r="O112" i="9"/>
  <c r="J113" i="9"/>
  <c r="K113" i="9"/>
  <c r="L113" i="9"/>
  <c r="M113" i="9"/>
  <c r="N113" i="9"/>
  <c r="O113" i="9"/>
  <c r="J114" i="9"/>
  <c r="K114" i="9"/>
  <c r="L114" i="9"/>
  <c r="M114" i="9"/>
  <c r="N114" i="9"/>
  <c r="O114" i="9"/>
  <c r="J115" i="9"/>
  <c r="K115" i="9"/>
  <c r="L115" i="9"/>
  <c r="M115" i="9"/>
  <c r="N115" i="9"/>
  <c r="O115" i="9"/>
  <c r="J116" i="9"/>
  <c r="K116" i="9"/>
  <c r="L116" i="9"/>
  <c r="M116" i="9"/>
  <c r="N116" i="9"/>
  <c r="O116" i="9"/>
  <c r="J117" i="9"/>
  <c r="K117" i="9"/>
  <c r="L117" i="9"/>
  <c r="M117" i="9"/>
  <c r="N117" i="9"/>
  <c r="O117" i="9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J125" i="9"/>
  <c r="K125" i="9"/>
  <c r="L125" i="9"/>
  <c r="M125" i="9"/>
  <c r="N125" i="9"/>
  <c r="O125" i="9"/>
  <c r="J126" i="9"/>
  <c r="K126" i="9"/>
  <c r="L126" i="9"/>
  <c r="M126" i="9"/>
  <c r="N126" i="9"/>
  <c r="O126" i="9"/>
  <c r="J127" i="9"/>
  <c r="K127" i="9"/>
  <c r="L127" i="9"/>
  <c r="M127" i="9"/>
  <c r="N127" i="9"/>
  <c r="O127" i="9"/>
  <c r="J128" i="9"/>
  <c r="K128" i="9"/>
  <c r="L128" i="9"/>
  <c r="M128" i="9"/>
  <c r="N128" i="9"/>
  <c r="O128" i="9"/>
  <c r="J129" i="9"/>
  <c r="K129" i="9"/>
  <c r="L129" i="9"/>
  <c r="M129" i="9"/>
  <c r="N129" i="9"/>
  <c r="O129" i="9"/>
  <c r="J130" i="9"/>
  <c r="K130" i="9"/>
  <c r="L130" i="9"/>
  <c r="M130" i="9"/>
  <c r="N130" i="9"/>
  <c r="O130" i="9"/>
  <c r="J131" i="9"/>
  <c r="K131" i="9"/>
  <c r="L131" i="9"/>
  <c r="M131" i="9"/>
  <c r="N131" i="9"/>
  <c r="O131" i="9"/>
  <c r="J132" i="9"/>
  <c r="K132" i="9"/>
  <c r="L132" i="9"/>
  <c r="M132" i="9"/>
  <c r="N132" i="9"/>
  <c r="O132" i="9"/>
  <c r="J133" i="9"/>
  <c r="K133" i="9"/>
  <c r="L133" i="9"/>
  <c r="M133" i="9"/>
  <c r="N133" i="9"/>
  <c r="O133" i="9"/>
  <c r="J134" i="9"/>
  <c r="K134" i="9"/>
  <c r="L134" i="9"/>
  <c r="M134" i="9"/>
  <c r="N134" i="9"/>
  <c r="O134" i="9"/>
  <c r="J135" i="9"/>
  <c r="K135" i="9"/>
  <c r="L135" i="9"/>
  <c r="M135" i="9"/>
  <c r="N135" i="9"/>
  <c r="O135" i="9"/>
  <c r="J136" i="9"/>
  <c r="K136" i="9"/>
  <c r="L136" i="9"/>
  <c r="M136" i="9"/>
  <c r="N136" i="9"/>
  <c r="O136" i="9"/>
  <c r="J137" i="9"/>
  <c r="K137" i="9"/>
  <c r="L137" i="9"/>
  <c r="M137" i="9"/>
  <c r="N137" i="9"/>
  <c r="O137" i="9"/>
  <c r="K2" i="9"/>
  <c r="L2" i="9"/>
  <c r="M2" i="9"/>
  <c r="N2" i="9"/>
  <c r="O2" i="9"/>
  <c r="J2" i="9"/>
  <c r="O7" i="11"/>
  <c r="P7" i="11"/>
  <c r="O9" i="11"/>
  <c r="P9" i="11"/>
  <c r="O12" i="11"/>
  <c r="P12" i="11"/>
  <c r="O13" i="11"/>
  <c r="P13" i="11"/>
  <c r="O15" i="11"/>
  <c r="P15" i="11"/>
  <c r="O16" i="11"/>
  <c r="P16" i="11"/>
  <c r="O18" i="11"/>
  <c r="P18" i="11"/>
  <c r="O20" i="11"/>
  <c r="P20" i="11"/>
  <c r="O28" i="11"/>
  <c r="P28" i="11"/>
  <c r="O36" i="11"/>
  <c r="P36" i="11"/>
  <c r="O39" i="11"/>
  <c r="P39" i="11"/>
  <c r="O44" i="11"/>
  <c r="P44" i="11"/>
  <c r="O46" i="11"/>
  <c r="P46" i="11"/>
  <c r="O48" i="11"/>
  <c r="P48" i="11"/>
  <c r="O49" i="11"/>
  <c r="P49" i="11"/>
  <c r="O52" i="11"/>
  <c r="P52" i="11"/>
  <c r="O61" i="11"/>
  <c r="P61" i="11"/>
  <c r="O64" i="11"/>
  <c r="P64" i="11"/>
  <c r="O65" i="11"/>
  <c r="P65" i="11"/>
  <c r="O69" i="11"/>
  <c r="P69" i="11"/>
  <c r="O71" i="11"/>
  <c r="P71" i="11"/>
  <c r="O79" i="11"/>
  <c r="P79" i="11"/>
  <c r="O80" i="11"/>
  <c r="P80" i="11"/>
  <c r="O85" i="11"/>
  <c r="P85" i="11"/>
  <c r="O86" i="11"/>
  <c r="P86" i="11"/>
  <c r="O87" i="11"/>
  <c r="P87" i="11"/>
  <c r="O89" i="11"/>
  <c r="P89" i="11"/>
  <c r="O94" i="11"/>
  <c r="P94" i="11"/>
  <c r="O97" i="11"/>
  <c r="P97" i="11"/>
  <c r="O102" i="11"/>
  <c r="P102" i="11"/>
  <c r="O103" i="11"/>
  <c r="P103" i="11"/>
  <c r="O109" i="11"/>
  <c r="P109" i="11"/>
  <c r="O115" i="11"/>
  <c r="P115" i="11"/>
  <c r="O124" i="11"/>
  <c r="P124" i="11"/>
  <c r="O125" i="11"/>
  <c r="P125" i="11"/>
  <c r="O129" i="11"/>
  <c r="P129" i="11"/>
  <c r="O130" i="11"/>
  <c r="P130" i="11"/>
  <c r="O131" i="11"/>
  <c r="P131" i="11"/>
  <c r="O133" i="11"/>
  <c r="P133" i="11"/>
  <c r="O134" i="11"/>
  <c r="P134" i="11"/>
  <c r="O139" i="11"/>
  <c r="P139" i="11"/>
  <c r="O140" i="11"/>
  <c r="P140" i="11"/>
  <c r="O141" i="11"/>
  <c r="P141" i="11"/>
  <c r="O142" i="11"/>
  <c r="P142" i="11"/>
  <c r="O147" i="11"/>
  <c r="P147" i="11"/>
  <c r="O151" i="11"/>
  <c r="P151" i="11"/>
  <c r="O153" i="11"/>
  <c r="P153" i="11"/>
  <c r="O156" i="11"/>
  <c r="P156" i="11"/>
  <c r="O158" i="11"/>
  <c r="P158" i="11"/>
  <c r="O159" i="11"/>
  <c r="P159" i="11"/>
  <c r="O160" i="11"/>
  <c r="P160" i="11"/>
  <c r="O165" i="11"/>
  <c r="P165" i="11"/>
  <c r="O170" i="11"/>
  <c r="P170" i="11"/>
  <c r="O171" i="11"/>
  <c r="P171" i="11"/>
  <c r="O179" i="11"/>
  <c r="P179" i="11"/>
  <c r="O186" i="11"/>
  <c r="P186" i="11"/>
  <c r="O187" i="11"/>
  <c r="P187" i="11"/>
  <c r="O189" i="11"/>
  <c r="P189" i="11"/>
  <c r="O190" i="11"/>
  <c r="P190" i="11"/>
  <c r="I8" i="10"/>
  <c r="I3" i="10"/>
  <c r="I4" i="10"/>
  <c r="I5" i="10"/>
  <c r="I6" i="10"/>
  <c r="I7" i="10"/>
  <c r="I2" i="10"/>
  <c r="U8" i="10"/>
  <c r="T8" i="10"/>
  <c r="S8" i="10"/>
  <c r="R8" i="10"/>
  <c r="Q8" i="10"/>
  <c r="P8" i="10"/>
  <c r="U3" i="10"/>
  <c r="U4" i="10"/>
  <c r="U96" i="9" s="1"/>
  <c r="U5" i="10"/>
  <c r="U6" i="10"/>
  <c r="U65" i="9" s="1"/>
  <c r="U7" i="10"/>
  <c r="U2" i="10"/>
  <c r="U114" i="9" s="1"/>
  <c r="T3" i="10"/>
  <c r="T4" i="10"/>
  <c r="T96" i="9" s="1"/>
  <c r="T5" i="10"/>
  <c r="T6" i="10"/>
  <c r="T65" i="9" s="1"/>
  <c r="T7" i="10"/>
  <c r="T2" i="10"/>
  <c r="T114" i="9" s="1"/>
  <c r="S3" i="10"/>
  <c r="S4" i="10"/>
  <c r="S96" i="9" s="1"/>
  <c r="S5" i="10"/>
  <c r="S6" i="10"/>
  <c r="S65" i="9" s="1"/>
  <c r="S7" i="10"/>
  <c r="S2" i="10"/>
  <c r="S114" i="9" s="1"/>
  <c r="R3" i="10"/>
  <c r="R4" i="10"/>
  <c r="R96" i="9" s="1"/>
  <c r="R5" i="10"/>
  <c r="R6" i="10"/>
  <c r="R65" i="9" s="1"/>
  <c r="R7" i="10"/>
  <c r="R2" i="10"/>
  <c r="R114" i="9" s="1"/>
  <c r="Q3" i="10"/>
  <c r="Q4" i="10"/>
  <c r="Q96" i="9" s="1"/>
  <c r="Q5" i="10"/>
  <c r="Q6" i="10"/>
  <c r="Q65" i="9" s="1"/>
  <c r="Q7" i="10"/>
  <c r="Q2" i="10"/>
  <c r="Q114" i="9" s="1"/>
  <c r="P3" i="10"/>
  <c r="P4" i="10"/>
  <c r="P96" i="9" s="1"/>
  <c r="P5" i="10"/>
  <c r="P6" i="10"/>
  <c r="P65" i="9" s="1"/>
  <c r="P7" i="10"/>
  <c r="P2" i="10"/>
  <c r="P114" i="9" s="1"/>
  <c r="C42" i="14" l="1"/>
  <c r="C41" i="14"/>
  <c r="C40" i="14"/>
  <c r="G40" i="14" s="1"/>
  <c r="C39" i="14"/>
  <c r="C38" i="14"/>
  <c r="G38" i="14" s="1"/>
  <c r="C3" i="14"/>
  <c r="C5" i="14"/>
  <c r="C6" i="14"/>
  <c r="C2" i="14"/>
  <c r="G2" i="14" s="1"/>
  <c r="C4" i="14"/>
  <c r="G4" i="14" s="1"/>
  <c r="C36" i="14"/>
  <c r="C35" i="14"/>
  <c r="C34" i="14"/>
  <c r="G34" i="14" s="1"/>
  <c r="I89" i="9"/>
  <c r="C33" i="14"/>
  <c r="C32" i="14"/>
  <c r="G32" i="14" s="1"/>
  <c r="C29" i="14"/>
  <c r="C28" i="14"/>
  <c r="G28" i="14" s="1"/>
  <c r="C27" i="14"/>
  <c r="C26" i="14"/>
  <c r="G26" i="14" s="1"/>
  <c r="C30" i="14"/>
  <c r="C22" i="14"/>
  <c r="G22" i="14" s="1"/>
  <c r="C21" i="14"/>
  <c r="C20" i="14"/>
  <c r="G20" i="14" s="1"/>
  <c r="C23" i="14"/>
  <c r="C24" i="14"/>
  <c r="C17" i="14"/>
  <c r="C15" i="14"/>
  <c r="C14" i="14"/>
  <c r="G14" i="14" s="1"/>
  <c r="C16" i="14"/>
  <c r="G16" i="14" s="1"/>
  <c r="I96" i="9"/>
  <c r="C18" i="14"/>
  <c r="C9" i="14"/>
  <c r="C10" i="14"/>
  <c r="G10" i="14" s="1"/>
  <c r="C8" i="14"/>
  <c r="G8" i="14" s="1"/>
  <c r="C12" i="14"/>
  <c r="C11" i="14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D7" i="11"/>
  <c r="E7" i="11"/>
  <c r="D9" i="11"/>
  <c r="E9" i="11"/>
  <c r="D12" i="11"/>
  <c r="E12" i="11"/>
  <c r="D13" i="11"/>
  <c r="E13" i="11"/>
  <c r="D15" i="11"/>
  <c r="E15" i="11"/>
  <c r="D16" i="11"/>
  <c r="E16" i="11"/>
  <c r="D18" i="11"/>
  <c r="E18" i="11"/>
  <c r="D20" i="11"/>
  <c r="E20" i="11"/>
  <c r="D28" i="11"/>
  <c r="E28" i="11"/>
  <c r="D36" i="11"/>
  <c r="E36" i="11"/>
  <c r="D39" i="11"/>
  <c r="E39" i="11"/>
  <c r="D44" i="11"/>
  <c r="E44" i="11"/>
  <c r="D46" i="11"/>
  <c r="E46" i="11"/>
  <c r="D48" i="11"/>
  <c r="E48" i="11"/>
  <c r="D49" i="11"/>
  <c r="E49" i="11"/>
  <c r="D52" i="11"/>
  <c r="E52" i="11"/>
  <c r="D61" i="11"/>
  <c r="E61" i="11"/>
  <c r="D64" i="11"/>
  <c r="E64" i="11"/>
  <c r="D65" i="11"/>
  <c r="E65" i="11"/>
  <c r="D69" i="11"/>
  <c r="E69" i="11"/>
  <c r="D71" i="11"/>
  <c r="E71" i="11"/>
  <c r="D79" i="11"/>
  <c r="E79" i="11"/>
  <c r="D80" i="11"/>
  <c r="E80" i="11"/>
  <c r="D85" i="11"/>
  <c r="E85" i="11"/>
  <c r="D86" i="11"/>
  <c r="E86" i="11"/>
  <c r="D87" i="11"/>
  <c r="E87" i="11"/>
  <c r="D89" i="11"/>
  <c r="E89" i="11"/>
  <c r="D94" i="11"/>
  <c r="E94" i="11"/>
  <c r="D97" i="11"/>
  <c r="E97" i="11"/>
  <c r="D102" i="11"/>
  <c r="E102" i="11"/>
  <c r="D103" i="11"/>
  <c r="E103" i="11"/>
  <c r="D109" i="11"/>
  <c r="E109" i="11"/>
  <c r="D115" i="11"/>
  <c r="E115" i="11"/>
  <c r="D124" i="11"/>
  <c r="E124" i="11"/>
  <c r="D125" i="11"/>
  <c r="E125" i="11"/>
  <c r="D129" i="11"/>
  <c r="E129" i="11"/>
  <c r="D130" i="11"/>
  <c r="E130" i="11"/>
  <c r="D131" i="11"/>
  <c r="E131" i="11"/>
  <c r="D133" i="11"/>
  <c r="E133" i="11"/>
  <c r="D134" i="11"/>
  <c r="E134" i="11"/>
  <c r="D139" i="11"/>
  <c r="E139" i="11"/>
  <c r="D140" i="11"/>
  <c r="E140" i="11"/>
  <c r="D141" i="11"/>
  <c r="E141" i="11"/>
  <c r="D142" i="11"/>
  <c r="E142" i="11"/>
  <c r="D147" i="11"/>
  <c r="E147" i="11"/>
  <c r="D151" i="11"/>
  <c r="E151" i="11"/>
  <c r="D153" i="11"/>
  <c r="E153" i="11"/>
  <c r="D156" i="11"/>
  <c r="E156" i="11"/>
  <c r="D158" i="11"/>
  <c r="E158" i="11"/>
  <c r="D159" i="11"/>
  <c r="E159" i="11"/>
  <c r="D160" i="11"/>
  <c r="E160" i="11"/>
  <c r="D165" i="11"/>
  <c r="E165" i="11"/>
  <c r="D170" i="11"/>
  <c r="E170" i="11"/>
  <c r="D171" i="11"/>
  <c r="E171" i="11"/>
  <c r="D179" i="11"/>
  <c r="E179" i="11"/>
  <c r="D186" i="11"/>
  <c r="E186" i="11"/>
  <c r="D187" i="11"/>
  <c r="E187" i="11"/>
  <c r="D189" i="11"/>
  <c r="E189" i="11"/>
  <c r="D190" i="11"/>
  <c r="E190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4" i="11"/>
  <c r="P278" i="7"/>
  <c r="P278" i="3" s="1"/>
  <c r="P279" i="7"/>
  <c r="P279" i="3" s="1"/>
  <c r="P280" i="7"/>
  <c r="P280" i="3" s="1"/>
  <c r="P281" i="7"/>
  <c r="P281" i="3" s="1"/>
  <c r="P282" i="7"/>
  <c r="P282" i="3" s="1"/>
  <c r="P283" i="7"/>
  <c r="P283" i="3" s="1"/>
  <c r="P284" i="7"/>
  <c r="P284" i="3" s="1"/>
  <c r="P285" i="7"/>
  <c r="P285" i="3" s="1"/>
  <c r="P286" i="7"/>
  <c r="P286" i="3" s="1"/>
  <c r="P287" i="7"/>
  <c r="P287" i="3" s="1"/>
  <c r="P288" i="7"/>
  <c r="P288" i="3" s="1"/>
  <c r="P289" i="7"/>
  <c r="P289" i="3" s="1"/>
  <c r="P290" i="7"/>
  <c r="P290" i="3" s="1"/>
  <c r="P291" i="7"/>
  <c r="P291" i="3" s="1"/>
  <c r="P292" i="7"/>
  <c r="P292" i="3" s="1"/>
  <c r="P293" i="7"/>
  <c r="P293" i="3" s="1"/>
  <c r="P294" i="7"/>
  <c r="P294" i="3" s="1"/>
  <c r="P295" i="7"/>
  <c r="P295" i="3" s="1"/>
  <c r="P296" i="7"/>
  <c r="P296" i="3" s="1"/>
  <c r="P297" i="7"/>
  <c r="P297" i="3" s="1"/>
  <c r="P298" i="7"/>
  <c r="P298" i="3" s="1"/>
  <c r="P299" i="7"/>
  <c r="P299" i="3" s="1"/>
  <c r="P300" i="7"/>
  <c r="P300" i="3" s="1"/>
  <c r="P301" i="7"/>
  <c r="P301" i="3" s="1"/>
  <c r="P302" i="7"/>
  <c r="P302" i="3" s="1"/>
  <c r="P303" i="7"/>
  <c r="P303" i="3" s="1"/>
  <c r="P304" i="7"/>
  <c r="P304" i="3" s="1"/>
  <c r="P305" i="7"/>
  <c r="P305" i="3" s="1"/>
  <c r="P306" i="7"/>
  <c r="P306" i="3" s="1"/>
  <c r="P307" i="7"/>
  <c r="P307" i="3" s="1"/>
  <c r="P308" i="7"/>
  <c r="P308" i="3" s="1"/>
  <c r="P309" i="7"/>
  <c r="P309" i="3" s="1"/>
  <c r="P310" i="7"/>
  <c r="P310" i="3" s="1"/>
  <c r="P311" i="7"/>
  <c r="P311" i="3" s="1"/>
  <c r="P312" i="7"/>
  <c r="P312" i="3" s="1"/>
  <c r="P313" i="7"/>
  <c r="P313" i="3" s="1"/>
  <c r="P314" i="7"/>
  <c r="P314" i="3" s="1"/>
  <c r="P315" i="7"/>
  <c r="P315" i="3" s="1"/>
  <c r="P316" i="7"/>
  <c r="P316" i="3" s="1"/>
  <c r="P317" i="7"/>
  <c r="P317" i="3" s="1"/>
  <c r="P318" i="7"/>
  <c r="P318" i="3" s="1"/>
  <c r="P319" i="7"/>
  <c r="P319" i="3" s="1"/>
  <c r="P320" i="7"/>
  <c r="P320" i="3" s="1"/>
  <c r="P321" i="7"/>
  <c r="P321" i="3" s="1"/>
  <c r="P322" i="7"/>
  <c r="P322" i="3" s="1"/>
  <c r="P323" i="7"/>
  <c r="P323" i="3" s="1"/>
  <c r="P324" i="7"/>
  <c r="P324" i="3" s="1"/>
  <c r="P325" i="7"/>
  <c r="P325" i="3" s="1"/>
  <c r="P326" i="7"/>
  <c r="P326" i="3" s="1"/>
  <c r="P327" i="7"/>
  <c r="P327" i="3" s="1"/>
  <c r="P328" i="7"/>
  <c r="P328" i="3" s="1"/>
  <c r="P329" i="7"/>
  <c r="P329" i="3" s="1"/>
  <c r="P330" i="7"/>
  <c r="P330" i="3" s="1"/>
  <c r="P331" i="7"/>
  <c r="P331" i="3" s="1"/>
  <c r="P332" i="7"/>
  <c r="P332" i="3" s="1"/>
  <c r="P333" i="7"/>
  <c r="P333" i="3" s="1"/>
  <c r="P334" i="7"/>
  <c r="P334" i="3" s="1"/>
  <c r="P335" i="7"/>
  <c r="P335" i="3" s="1"/>
  <c r="P336" i="7"/>
  <c r="P336" i="3" s="1"/>
  <c r="P337" i="7"/>
  <c r="P337" i="3" s="1"/>
  <c r="P338" i="7"/>
  <c r="P338" i="3" s="1"/>
  <c r="P339" i="7"/>
  <c r="P339" i="3" s="1"/>
  <c r="P340" i="7"/>
  <c r="P340" i="3" s="1"/>
  <c r="P341" i="7"/>
  <c r="P341" i="3" s="1"/>
  <c r="P342" i="7"/>
  <c r="P342" i="3" s="1"/>
  <c r="P343" i="7"/>
  <c r="P343" i="3" s="1"/>
  <c r="P344" i="7"/>
  <c r="P344" i="3" s="1"/>
  <c r="P345" i="7"/>
  <c r="P345" i="3" s="1"/>
  <c r="P346" i="7"/>
  <c r="P346" i="3" s="1"/>
  <c r="P347" i="7"/>
  <c r="P347" i="3" s="1"/>
  <c r="P348" i="7"/>
  <c r="P348" i="3" s="1"/>
  <c r="P349" i="7"/>
  <c r="P349" i="3" s="1"/>
  <c r="P350" i="7"/>
  <c r="P350" i="3" s="1"/>
  <c r="P351" i="7"/>
  <c r="P351" i="3" s="1"/>
  <c r="P352" i="7"/>
  <c r="P352" i="3" s="1"/>
  <c r="P353" i="7"/>
  <c r="P353" i="3" s="1"/>
  <c r="P354" i="7"/>
  <c r="P354" i="3" s="1"/>
  <c r="P355" i="7"/>
  <c r="P355" i="3" s="1"/>
  <c r="P356" i="7"/>
  <c r="P356" i="3" s="1"/>
  <c r="P357" i="7"/>
  <c r="P357" i="3" s="1"/>
  <c r="P358" i="7"/>
  <c r="P358" i="3" s="1"/>
  <c r="P359" i="7"/>
  <c r="P359" i="3" s="1"/>
  <c r="P360" i="7"/>
  <c r="P360" i="3" s="1"/>
  <c r="P361" i="7"/>
  <c r="P361" i="3" s="1"/>
  <c r="P362" i="7"/>
  <c r="P362" i="3" s="1"/>
  <c r="P363" i="7"/>
  <c r="P363" i="3" s="1"/>
  <c r="P364" i="7"/>
  <c r="P364" i="3" s="1"/>
  <c r="P365" i="7"/>
  <c r="P365" i="3" s="1"/>
  <c r="P366" i="7"/>
  <c r="P366" i="3" s="1"/>
  <c r="P367" i="7"/>
  <c r="P367" i="3" s="1"/>
  <c r="P368" i="7"/>
  <c r="P368" i="3" s="1"/>
  <c r="P369" i="7"/>
  <c r="P369" i="3" s="1"/>
  <c r="P370" i="7"/>
  <c r="P370" i="3" s="1"/>
  <c r="P371" i="7"/>
  <c r="P371" i="3" s="1"/>
  <c r="P372" i="7"/>
  <c r="P372" i="3" s="1"/>
  <c r="P373" i="7"/>
  <c r="P373" i="3" s="1"/>
  <c r="P374" i="7"/>
  <c r="P374" i="3" s="1"/>
  <c r="P375" i="7"/>
  <c r="P375" i="3" s="1"/>
  <c r="P376" i="7"/>
  <c r="P376" i="3" s="1"/>
  <c r="P377" i="7"/>
  <c r="P377" i="3" s="1"/>
  <c r="P378" i="7"/>
  <c r="P378" i="3" s="1"/>
  <c r="P379" i="7"/>
  <c r="P379" i="3" s="1"/>
  <c r="P380" i="7"/>
  <c r="P380" i="3" s="1"/>
  <c r="P381" i="7"/>
  <c r="P381" i="3" s="1"/>
  <c r="P382" i="7"/>
  <c r="P382" i="3" s="1"/>
  <c r="P383" i="7"/>
  <c r="P383" i="3" s="1"/>
  <c r="P384" i="7"/>
  <c r="P384" i="3" s="1"/>
  <c r="P385" i="7"/>
  <c r="P385" i="3" s="1"/>
  <c r="P386" i="7"/>
  <c r="P386" i="3" s="1"/>
  <c r="P387" i="7"/>
  <c r="P387" i="3" s="1"/>
  <c r="P388" i="7"/>
  <c r="P388" i="3" s="1"/>
  <c r="P389" i="7"/>
  <c r="P389" i="3" s="1"/>
  <c r="P390" i="7"/>
  <c r="P390" i="3" s="1"/>
  <c r="P391" i="7"/>
  <c r="P391" i="3" s="1"/>
  <c r="P392" i="7"/>
  <c r="P392" i="3" s="1"/>
  <c r="P393" i="7"/>
  <c r="P393" i="3" s="1"/>
  <c r="P394" i="7"/>
  <c r="P394" i="3" s="1"/>
  <c r="P395" i="7"/>
  <c r="P395" i="3" s="1"/>
  <c r="P396" i="7"/>
  <c r="P396" i="3" s="1"/>
  <c r="P397" i="7"/>
  <c r="P397" i="3" s="1"/>
  <c r="P398" i="7"/>
  <c r="P398" i="3" s="1"/>
  <c r="P399" i="7"/>
  <c r="P399" i="3" s="1"/>
  <c r="P400" i="7"/>
  <c r="P400" i="3" s="1"/>
  <c r="P401" i="7"/>
  <c r="P401" i="3" s="1"/>
  <c r="P402" i="7"/>
  <c r="P402" i="3" s="1"/>
  <c r="P403" i="7"/>
  <c r="P403" i="3" s="1"/>
  <c r="P404" i="7"/>
  <c r="P404" i="3" s="1"/>
  <c r="P405" i="7"/>
  <c r="P405" i="3" s="1"/>
  <c r="P406" i="7"/>
  <c r="P406" i="3" s="1"/>
  <c r="P407" i="7"/>
  <c r="P407" i="3" s="1"/>
  <c r="P408" i="7"/>
  <c r="P408" i="3" s="1"/>
  <c r="P409" i="7"/>
  <c r="P409" i="3" s="1"/>
  <c r="P410" i="7"/>
  <c r="P410" i="3" s="1"/>
  <c r="P411" i="7"/>
  <c r="P411" i="3" s="1"/>
  <c r="P412" i="7"/>
  <c r="P412" i="3" s="1"/>
  <c r="P413" i="7"/>
  <c r="P413" i="3" s="1"/>
  <c r="C23" i="13"/>
  <c r="C24" i="13"/>
  <c r="C25" i="13"/>
  <c r="C26" i="13"/>
  <c r="C22" i="13"/>
  <c r="B23" i="13"/>
  <c r="B24" i="13"/>
  <c r="B25" i="13"/>
  <c r="B26" i="13"/>
  <c r="B22" i="13"/>
  <c r="C17" i="13"/>
  <c r="C18" i="13"/>
  <c r="C19" i="13"/>
  <c r="C20" i="13"/>
  <c r="C16" i="13"/>
  <c r="C10" i="13"/>
  <c r="C11" i="13"/>
  <c r="C12" i="13"/>
  <c r="C13" i="13"/>
  <c r="C9" i="13"/>
  <c r="B20" i="13"/>
  <c r="B19" i="13"/>
  <c r="B18" i="13"/>
  <c r="B17" i="13"/>
  <c r="B16" i="13"/>
  <c r="B11" i="13"/>
  <c r="B12" i="13"/>
  <c r="B13" i="13"/>
  <c r="B14" i="13"/>
  <c r="B10" i="13"/>
  <c r="B9" i="13"/>
  <c r="C8" i="13"/>
  <c r="B8" i="13"/>
  <c r="C5" i="13"/>
  <c r="C6" i="13"/>
  <c r="C4" i="13"/>
  <c r="B4" i="13"/>
  <c r="B5" i="13"/>
  <c r="B6" i="13"/>
  <c r="B3" i="13"/>
  <c r="S3" i="7"/>
  <c r="S279" i="7" s="1"/>
  <c r="S279" i="3" s="1"/>
  <c r="T3" i="7"/>
  <c r="U3" i="7"/>
  <c r="S4" i="7"/>
  <c r="T4" i="7"/>
  <c r="U4" i="7"/>
  <c r="S5" i="7"/>
  <c r="T5" i="7"/>
  <c r="T143" i="7" s="1"/>
  <c r="T143" i="3" s="1"/>
  <c r="U5" i="7"/>
  <c r="S6" i="7"/>
  <c r="T6" i="7"/>
  <c r="U6" i="7"/>
  <c r="S7" i="7"/>
  <c r="T7" i="7"/>
  <c r="U7" i="7"/>
  <c r="U145" i="7" s="1"/>
  <c r="U145" i="3" s="1"/>
  <c r="S8" i="7"/>
  <c r="S146" i="7" s="1"/>
  <c r="S146" i="3" s="1"/>
  <c r="T8" i="7"/>
  <c r="U8" i="7"/>
  <c r="S9" i="7"/>
  <c r="T9" i="7"/>
  <c r="U9" i="7"/>
  <c r="S10" i="7"/>
  <c r="T10" i="7"/>
  <c r="U10" i="7"/>
  <c r="U286" i="7" s="1"/>
  <c r="U286" i="3" s="1"/>
  <c r="S11" i="7"/>
  <c r="T11" i="7"/>
  <c r="U11" i="7"/>
  <c r="S12" i="7"/>
  <c r="T12" i="7"/>
  <c r="U12" i="7"/>
  <c r="S13" i="7"/>
  <c r="T13" i="7"/>
  <c r="U13" i="7"/>
  <c r="U289" i="7" s="1"/>
  <c r="U289" i="3" s="1"/>
  <c r="S14" i="7"/>
  <c r="S290" i="7" s="1"/>
  <c r="S290" i="3" s="1"/>
  <c r="T14" i="7"/>
  <c r="U14" i="7"/>
  <c r="S15" i="7"/>
  <c r="T15" i="7"/>
  <c r="U15" i="7"/>
  <c r="S16" i="7"/>
  <c r="T16" i="7"/>
  <c r="U16" i="7"/>
  <c r="S17" i="7"/>
  <c r="S293" i="7" s="1"/>
  <c r="S293" i="3" s="1"/>
  <c r="T17" i="7"/>
  <c r="U17" i="7"/>
  <c r="S18" i="7"/>
  <c r="T18" i="7"/>
  <c r="U18" i="7"/>
  <c r="S19" i="7"/>
  <c r="T19" i="7"/>
  <c r="U19" i="7"/>
  <c r="S20" i="7"/>
  <c r="S158" i="7" s="1"/>
  <c r="S158" i="3" s="1"/>
  <c r="T20" i="7"/>
  <c r="U20" i="7"/>
  <c r="S21" i="7"/>
  <c r="T21" i="7"/>
  <c r="U21" i="7"/>
  <c r="S22" i="7"/>
  <c r="T22" i="7"/>
  <c r="U22" i="7"/>
  <c r="S23" i="7"/>
  <c r="T23" i="7"/>
  <c r="U23" i="7"/>
  <c r="U161" i="7" s="1"/>
  <c r="U161" i="3" s="1"/>
  <c r="S24" i="7"/>
  <c r="T24" i="7"/>
  <c r="U24" i="7"/>
  <c r="S25" i="7"/>
  <c r="T25" i="7"/>
  <c r="U25" i="7"/>
  <c r="S26" i="7"/>
  <c r="T26" i="7"/>
  <c r="U26" i="7"/>
  <c r="S27" i="7"/>
  <c r="T27" i="7"/>
  <c r="U27" i="7"/>
  <c r="S28" i="7"/>
  <c r="S28" i="3" s="1"/>
  <c r="T28" i="7"/>
  <c r="U28" i="7"/>
  <c r="S29" i="7"/>
  <c r="T29" i="7"/>
  <c r="U29" i="7"/>
  <c r="S30" i="7"/>
  <c r="T30" i="7"/>
  <c r="U30" i="7"/>
  <c r="U168" i="7" s="1"/>
  <c r="U168" i="3" s="1"/>
  <c r="S31" i="7"/>
  <c r="T31" i="7"/>
  <c r="U31" i="7"/>
  <c r="U169" i="7" s="1"/>
  <c r="U169" i="3" s="1"/>
  <c r="S32" i="7"/>
  <c r="T32" i="7"/>
  <c r="U32" i="7"/>
  <c r="U308" i="7" s="1"/>
  <c r="U308" i="3" s="1"/>
  <c r="S33" i="7"/>
  <c r="T33" i="7"/>
  <c r="U33" i="7"/>
  <c r="S34" i="7"/>
  <c r="T34" i="7"/>
  <c r="U34" i="7"/>
  <c r="S35" i="7"/>
  <c r="T35" i="7"/>
  <c r="U35" i="7"/>
  <c r="S36" i="7"/>
  <c r="S36" i="3" s="1"/>
  <c r="T36" i="7"/>
  <c r="U36" i="7"/>
  <c r="S37" i="7"/>
  <c r="T37" i="7"/>
  <c r="U37" i="7"/>
  <c r="S38" i="7"/>
  <c r="T38" i="7"/>
  <c r="U38" i="7"/>
  <c r="S39" i="7"/>
  <c r="T39" i="7"/>
  <c r="U39" i="7"/>
  <c r="U177" i="7" s="1"/>
  <c r="U177" i="3" s="1"/>
  <c r="S40" i="7"/>
  <c r="T40" i="7"/>
  <c r="U40" i="7"/>
  <c r="S41" i="7"/>
  <c r="T41" i="7"/>
  <c r="U41" i="7"/>
  <c r="S42" i="7"/>
  <c r="T42" i="7"/>
  <c r="U42" i="7"/>
  <c r="S43" i="7"/>
  <c r="T43" i="7"/>
  <c r="T319" i="7" s="1"/>
  <c r="T319" i="3" s="1"/>
  <c r="U43" i="7"/>
  <c r="S44" i="7"/>
  <c r="T44" i="7"/>
  <c r="U44" i="7"/>
  <c r="S45" i="7"/>
  <c r="T45" i="7"/>
  <c r="U45" i="7"/>
  <c r="S46" i="7"/>
  <c r="T46" i="7"/>
  <c r="T322" i="7" s="1"/>
  <c r="T322" i="3" s="1"/>
  <c r="U46" i="7"/>
  <c r="S47" i="7"/>
  <c r="S323" i="7" s="1"/>
  <c r="S323" i="3" s="1"/>
  <c r="T47" i="7"/>
  <c r="U47" i="7"/>
  <c r="U185" i="7" s="1"/>
  <c r="U185" i="3" s="1"/>
  <c r="S48" i="7"/>
  <c r="T48" i="7"/>
  <c r="U48" i="7"/>
  <c r="S49" i="7"/>
  <c r="T49" i="7"/>
  <c r="U49" i="7"/>
  <c r="S50" i="7"/>
  <c r="S50" i="3" s="1"/>
  <c r="T50" i="7"/>
  <c r="U50" i="7"/>
  <c r="S51" i="7"/>
  <c r="T51" i="7"/>
  <c r="U51" i="7"/>
  <c r="S52" i="7"/>
  <c r="S190" i="7" s="1"/>
  <c r="S190" i="3" s="1"/>
  <c r="T52" i="7"/>
  <c r="U52" i="7"/>
  <c r="S53" i="7"/>
  <c r="T53" i="7"/>
  <c r="U53" i="7"/>
  <c r="S54" i="7"/>
  <c r="T54" i="7"/>
  <c r="U54" i="7"/>
  <c r="S55" i="7"/>
  <c r="T55" i="7"/>
  <c r="U55" i="7"/>
  <c r="U193" i="7" s="1"/>
  <c r="U193" i="3" s="1"/>
  <c r="S56" i="7"/>
  <c r="T56" i="7"/>
  <c r="U56" i="7"/>
  <c r="S57" i="7"/>
  <c r="T57" i="7"/>
  <c r="U57" i="7"/>
  <c r="S58" i="7"/>
  <c r="S58" i="3" s="1"/>
  <c r="T58" i="7"/>
  <c r="U58" i="7"/>
  <c r="S59" i="7"/>
  <c r="T59" i="7"/>
  <c r="U59" i="7"/>
  <c r="S60" i="7"/>
  <c r="T60" i="7"/>
  <c r="U60" i="7"/>
  <c r="S61" i="7"/>
  <c r="T61" i="7"/>
  <c r="U61" i="7"/>
  <c r="S62" i="7"/>
  <c r="T62" i="7"/>
  <c r="U62" i="7"/>
  <c r="U200" i="7" s="1"/>
  <c r="U200" i="3" s="1"/>
  <c r="S63" i="7"/>
  <c r="T63" i="7"/>
  <c r="U63" i="7"/>
  <c r="U201" i="7" s="1"/>
  <c r="U201" i="3" s="1"/>
  <c r="S64" i="7"/>
  <c r="T64" i="7"/>
  <c r="U64" i="7"/>
  <c r="S65" i="7"/>
  <c r="T65" i="7"/>
  <c r="U65" i="7"/>
  <c r="S66" i="7"/>
  <c r="T66" i="7"/>
  <c r="U66" i="7"/>
  <c r="S67" i="7"/>
  <c r="T67" i="7"/>
  <c r="U67" i="7"/>
  <c r="S68" i="7"/>
  <c r="T68" i="7"/>
  <c r="U68" i="7"/>
  <c r="S69" i="7"/>
  <c r="T69" i="7"/>
  <c r="U69" i="7"/>
  <c r="S70" i="7"/>
  <c r="T70" i="7"/>
  <c r="U70" i="7"/>
  <c r="S71" i="7"/>
  <c r="T71" i="7"/>
  <c r="U71" i="7"/>
  <c r="U209" i="7" s="1"/>
  <c r="U209" i="3" s="1"/>
  <c r="S72" i="7"/>
  <c r="T72" i="7"/>
  <c r="U72" i="7"/>
  <c r="U348" i="7" s="1"/>
  <c r="U348" i="3" s="1"/>
  <c r="S73" i="7"/>
  <c r="T73" i="7"/>
  <c r="T211" i="7" s="1"/>
  <c r="T211" i="3" s="1"/>
  <c r="U73" i="7"/>
  <c r="S74" i="7"/>
  <c r="T74" i="7"/>
  <c r="U74" i="7"/>
  <c r="U350" i="7" s="1"/>
  <c r="U350" i="3" s="1"/>
  <c r="S75" i="7"/>
  <c r="T75" i="7"/>
  <c r="U75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S218" i="7" s="1"/>
  <c r="S218" i="3" s="1"/>
  <c r="T80" i="7"/>
  <c r="U80" i="7"/>
  <c r="U218" i="7" s="1"/>
  <c r="U218" i="3" s="1"/>
  <c r="S81" i="7"/>
  <c r="T81" i="7"/>
  <c r="U81" i="7"/>
  <c r="S82" i="7"/>
  <c r="T82" i="7"/>
  <c r="T220" i="7" s="1"/>
  <c r="T220" i="3" s="1"/>
  <c r="U82" i="7"/>
  <c r="S83" i="7"/>
  <c r="S221" i="7" s="1"/>
  <c r="S221" i="3" s="1"/>
  <c r="T83" i="7"/>
  <c r="T359" i="7" s="1"/>
  <c r="T359" i="3" s="1"/>
  <c r="U83" i="7"/>
  <c r="S84" i="7"/>
  <c r="T84" i="7"/>
  <c r="U84" i="7"/>
  <c r="U84" i="3" s="1"/>
  <c r="S85" i="7"/>
  <c r="T85" i="7"/>
  <c r="U85" i="7"/>
  <c r="S86" i="7"/>
  <c r="T86" i="7"/>
  <c r="U86" i="7"/>
  <c r="U362" i="7" s="1"/>
  <c r="U362" i="3" s="1"/>
  <c r="S87" i="7"/>
  <c r="S87" i="3" s="1"/>
  <c r="T87" i="7"/>
  <c r="U87" i="7"/>
  <c r="U225" i="7" s="1"/>
  <c r="U225" i="3" s="1"/>
  <c r="S88" i="7"/>
  <c r="T88" i="7"/>
  <c r="U88" i="7"/>
  <c r="S89" i="7"/>
  <c r="T89" i="7"/>
  <c r="U89" i="7"/>
  <c r="S90" i="7"/>
  <c r="T90" i="7"/>
  <c r="T366" i="7" s="1"/>
  <c r="T366" i="3" s="1"/>
  <c r="U90" i="7"/>
  <c r="S91" i="7"/>
  <c r="T91" i="7"/>
  <c r="U91" i="7"/>
  <c r="U229" i="7" s="1"/>
  <c r="U229" i="3" s="1"/>
  <c r="S92" i="7"/>
  <c r="S230" i="7" s="1"/>
  <c r="S230" i="3" s="1"/>
  <c r="T92" i="7"/>
  <c r="U92" i="7"/>
  <c r="S93" i="7"/>
  <c r="T93" i="7"/>
  <c r="U93" i="7"/>
  <c r="S94" i="7"/>
  <c r="T94" i="7"/>
  <c r="U94" i="7"/>
  <c r="S95" i="7"/>
  <c r="T95" i="7"/>
  <c r="U95" i="7"/>
  <c r="U371" i="7" s="1"/>
  <c r="U371" i="3" s="1"/>
  <c r="S96" i="7"/>
  <c r="S234" i="7" s="1"/>
  <c r="S234" i="3" s="1"/>
  <c r="T96" i="7"/>
  <c r="U96" i="7"/>
  <c r="S97" i="7"/>
  <c r="T97" i="7"/>
  <c r="U97" i="7"/>
  <c r="S98" i="7"/>
  <c r="S98" i="3" s="1"/>
  <c r="T98" i="7"/>
  <c r="T236" i="7" s="1"/>
  <c r="T236" i="3" s="1"/>
  <c r="U98" i="7"/>
  <c r="S99" i="7"/>
  <c r="S99" i="3" s="1"/>
  <c r="T99" i="7"/>
  <c r="T237" i="7" s="1"/>
  <c r="T237" i="3" s="1"/>
  <c r="U99" i="7"/>
  <c r="S100" i="7"/>
  <c r="T100" i="7"/>
  <c r="U100" i="7"/>
  <c r="S101" i="7"/>
  <c r="T101" i="7"/>
  <c r="T101" i="3" s="1"/>
  <c r="U101" i="7"/>
  <c r="U239" i="7" s="1"/>
  <c r="U239" i="3" s="1"/>
  <c r="S102" i="7"/>
  <c r="T102" i="7"/>
  <c r="U102" i="7"/>
  <c r="S103" i="7"/>
  <c r="T103" i="7"/>
  <c r="U103" i="7"/>
  <c r="U241" i="7" s="1"/>
  <c r="U241" i="3" s="1"/>
  <c r="S104" i="7"/>
  <c r="T104" i="7"/>
  <c r="U104" i="7"/>
  <c r="S105" i="7"/>
  <c r="T105" i="7"/>
  <c r="U105" i="7"/>
  <c r="S106" i="7"/>
  <c r="T106" i="7"/>
  <c r="T244" i="7" s="1"/>
  <c r="T244" i="3" s="1"/>
  <c r="U106" i="7"/>
  <c r="U244" i="7" s="1"/>
  <c r="U244" i="3" s="1"/>
  <c r="S107" i="7"/>
  <c r="T107" i="7"/>
  <c r="T107" i="3" s="1"/>
  <c r="U107" i="7"/>
  <c r="S108" i="7"/>
  <c r="T108" i="7"/>
  <c r="U108" i="7"/>
  <c r="S109" i="7"/>
  <c r="T109" i="7"/>
  <c r="T247" i="7" s="1"/>
  <c r="T247" i="3" s="1"/>
  <c r="U109" i="7"/>
  <c r="U247" i="7" s="1"/>
  <c r="U247" i="3" s="1"/>
  <c r="S110" i="7"/>
  <c r="S386" i="7" s="1"/>
  <c r="S386" i="3" s="1"/>
  <c r="T110" i="7"/>
  <c r="U110" i="7"/>
  <c r="U110" i="3" s="1"/>
  <c r="S111" i="7"/>
  <c r="T111" i="7"/>
  <c r="U111" i="7"/>
  <c r="U249" i="7" s="1"/>
  <c r="U249" i="3" s="1"/>
  <c r="S112" i="7"/>
  <c r="S250" i="7" s="1"/>
  <c r="S250" i="3" s="1"/>
  <c r="T112" i="7"/>
  <c r="U112" i="7"/>
  <c r="S113" i="7"/>
  <c r="T113" i="7"/>
  <c r="U113" i="7"/>
  <c r="S114" i="7"/>
  <c r="T114" i="7"/>
  <c r="U114" i="7"/>
  <c r="S115" i="7"/>
  <c r="S253" i="7" s="1"/>
  <c r="S253" i="3" s="1"/>
  <c r="T115" i="7"/>
  <c r="T253" i="7" s="1"/>
  <c r="T253" i="3" s="1"/>
  <c r="U115" i="7"/>
  <c r="U253" i="7" s="1"/>
  <c r="U253" i="3" s="1"/>
  <c r="S116" i="7"/>
  <c r="S254" i="7" s="1"/>
  <c r="S254" i="3" s="1"/>
  <c r="T116" i="7"/>
  <c r="T116" i="3" s="1"/>
  <c r="U116" i="7"/>
  <c r="S117" i="7"/>
  <c r="S255" i="7" s="1"/>
  <c r="S255" i="3" s="1"/>
  <c r="T117" i="7"/>
  <c r="T255" i="7" s="1"/>
  <c r="T255" i="3" s="1"/>
  <c r="U117" i="7"/>
  <c r="U255" i="7" s="1"/>
  <c r="U255" i="3" s="1"/>
  <c r="S118" i="7"/>
  <c r="S256" i="7" s="1"/>
  <c r="S256" i="3" s="1"/>
  <c r="T118" i="7"/>
  <c r="T118" i="3" s="1"/>
  <c r="U118" i="7"/>
  <c r="S119" i="7"/>
  <c r="T119" i="7"/>
  <c r="U119" i="7"/>
  <c r="U119" i="3" s="1"/>
  <c r="S120" i="7"/>
  <c r="S258" i="7" s="1"/>
  <c r="S258" i="3" s="1"/>
  <c r="T120" i="7"/>
  <c r="U120" i="7"/>
  <c r="S121" i="7"/>
  <c r="T121" i="7"/>
  <c r="U121" i="7"/>
  <c r="U121" i="3" s="1"/>
  <c r="S122" i="7"/>
  <c r="S122" i="3" s="1"/>
  <c r="T122" i="7"/>
  <c r="U122" i="7"/>
  <c r="S123" i="7"/>
  <c r="S261" i="7" s="1"/>
  <c r="S261" i="3" s="1"/>
  <c r="T123" i="7"/>
  <c r="T261" i="7" s="1"/>
  <c r="T261" i="3" s="1"/>
  <c r="U123" i="7"/>
  <c r="U261" i="7" s="1"/>
  <c r="U261" i="3" s="1"/>
  <c r="S124" i="7"/>
  <c r="S262" i="7" s="1"/>
  <c r="S262" i="3" s="1"/>
  <c r="T124" i="7"/>
  <c r="U124" i="7"/>
  <c r="S125" i="7"/>
  <c r="S125" i="3" s="1"/>
  <c r="T125" i="7"/>
  <c r="T263" i="7" s="1"/>
  <c r="T263" i="3" s="1"/>
  <c r="U125" i="7"/>
  <c r="U263" i="7" s="1"/>
  <c r="U263" i="3" s="1"/>
  <c r="S126" i="7"/>
  <c r="S264" i="7" s="1"/>
  <c r="S264" i="3" s="1"/>
  <c r="T126" i="7"/>
  <c r="U126" i="7"/>
  <c r="S127" i="7"/>
  <c r="T127" i="7"/>
  <c r="U127" i="7"/>
  <c r="U265" i="7" s="1"/>
  <c r="U265" i="3" s="1"/>
  <c r="S128" i="7"/>
  <c r="S266" i="7" s="1"/>
  <c r="S266" i="3" s="1"/>
  <c r="T128" i="7"/>
  <c r="U128" i="7"/>
  <c r="S129" i="7"/>
  <c r="T129" i="7"/>
  <c r="U129" i="7"/>
  <c r="S130" i="7"/>
  <c r="S130" i="3" s="1"/>
  <c r="T130" i="7"/>
  <c r="U130" i="7"/>
  <c r="S131" i="7"/>
  <c r="S269" i="7" s="1"/>
  <c r="S269" i="3" s="1"/>
  <c r="T131" i="7"/>
  <c r="T269" i="7" s="1"/>
  <c r="T269" i="3" s="1"/>
  <c r="U131" i="7"/>
  <c r="U269" i="7" s="1"/>
  <c r="U269" i="3" s="1"/>
  <c r="S132" i="7"/>
  <c r="S270" i="7" s="1"/>
  <c r="S270" i="3" s="1"/>
  <c r="T132" i="7"/>
  <c r="U132" i="7"/>
  <c r="S133" i="7"/>
  <c r="S271" i="7" s="1"/>
  <c r="S271" i="3" s="1"/>
  <c r="T133" i="7"/>
  <c r="T271" i="7" s="1"/>
  <c r="T271" i="3" s="1"/>
  <c r="U133" i="7"/>
  <c r="U271" i="7" s="1"/>
  <c r="U271" i="3" s="1"/>
  <c r="S134" i="7"/>
  <c r="S272" i="7" s="1"/>
  <c r="S272" i="3" s="1"/>
  <c r="T134" i="7"/>
  <c r="U134" i="7"/>
  <c r="S135" i="7"/>
  <c r="S135" i="3" s="1"/>
  <c r="T135" i="7"/>
  <c r="U135" i="7"/>
  <c r="U273" i="7" s="1"/>
  <c r="U273" i="3" s="1"/>
  <c r="S136" i="7"/>
  <c r="S274" i="7" s="1"/>
  <c r="S274" i="3" s="1"/>
  <c r="T136" i="7"/>
  <c r="U136" i="7"/>
  <c r="S137" i="7"/>
  <c r="T137" i="7"/>
  <c r="U137" i="7"/>
  <c r="U137" i="3" s="1"/>
  <c r="U2" i="7"/>
  <c r="T2" i="7"/>
  <c r="T140" i="7" s="1"/>
  <c r="T140" i="3" s="1"/>
  <c r="S2" i="7"/>
  <c r="R2" i="7"/>
  <c r="R2" i="3" s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56" i="7" s="1"/>
  <c r="R156" i="3" s="1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337" i="7" s="1"/>
  <c r="R337" i="3" s="1"/>
  <c r="R62" i="7"/>
  <c r="R63" i="7"/>
  <c r="R64" i="7"/>
  <c r="R65" i="7"/>
  <c r="R66" i="7"/>
  <c r="R67" i="7"/>
  <c r="R68" i="7"/>
  <c r="R69" i="7"/>
  <c r="R70" i="7"/>
  <c r="R71" i="7"/>
  <c r="R72" i="7"/>
  <c r="R348" i="7" s="1"/>
  <c r="R348" i="3" s="1"/>
  <c r="R73" i="7"/>
  <c r="R74" i="7"/>
  <c r="R212" i="7" s="1"/>
  <c r="R212" i="3" s="1"/>
  <c r="R75" i="7"/>
  <c r="R76" i="7"/>
  <c r="R77" i="7"/>
  <c r="R78" i="7"/>
  <c r="R79" i="7"/>
  <c r="R80" i="7"/>
  <c r="R81" i="7"/>
  <c r="R357" i="7" s="1"/>
  <c r="R357" i="3" s="1"/>
  <c r="R82" i="7"/>
  <c r="R83" i="7"/>
  <c r="R84" i="7"/>
  <c r="R85" i="7"/>
  <c r="R86" i="7"/>
  <c r="R87" i="7"/>
  <c r="R88" i="7"/>
  <c r="R89" i="7"/>
  <c r="R90" i="7"/>
  <c r="R228" i="7" s="1"/>
  <c r="R228" i="3" s="1"/>
  <c r="R91" i="7"/>
  <c r="R92" i="7"/>
  <c r="R93" i="7"/>
  <c r="R94" i="7"/>
  <c r="R95" i="7"/>
  <c r="R96" i="7"/>
  <c r="R372" i="7" s="1"/>
  <c r="R372" i="3" s="1"/>
  <c r="R97" i="7"/>
  <c r="R98" i="7"/>
  <c r="R99" i="7"/>
  <c r="R100" i="7"/>
  <c r="R101" i="7"/>
  <c r="R102" i="7"/>
  <c r="R103" i="7"/>
  <c r="R104" i="7"/>
  <c r="R105" i="7"/>
  <c r="R105" i="3" s="1"/>
  <c r="R106" i="7"/>
  <c r="R107" i="7"/>
  <c r="R107" i="3" s="1"/>
  <c r="R108" i="7"/>
  <c r="R109" i="7"/>
  <c r="R110" i="7"/>
  <c r="R248" i="7" s="1"/>
  <c r="R248" i="3" s="1"/>
  <c r="R111" i="7"/>
  <c r="R112" i="7"/>
  <c r="R250" i="7" s="1"/>
  <c r="R250" i="3" s="1"/>
  <c r="R113" i="7"/>
  <c r="R251" i="7" s="1"/>
  <c r="R251" i="3" s="1"/>
  <c r="R114" i="7"/>
  <c r="R252" i="7" s="1"/>
  <c r="R252" i="3" s="1"/>
  <c r="R115" i="7"/>
  <c r="R116" i="7"/>
  <c r="R116" i="3" s="1"/>
  <c r="R117" i="7"/>
  <c r="R118" i="7"/>
  <c r="R119" i="7"/>
  <c r="R120" i="7"/>
  <c r="R258" i="7" s="1"/>
  <c r="R258" i="3" s="1"/>
  <c r="R121" i="7"/>
  <c r="R259" i="7" s="1"/>
  <c r="R259" i="3" s="1"/>
  <c r="R122" i="7"/>
  <c r="R260" i="7" s="1"/>
  <c r="R260" i="3" s="1"/>
  <c r="R123" i="7"/>
  <c r="R124" i="7"/>
  <c r="R262" i="7" s="1"/>
  <c r="R262" i="3" s="1"/>
  <c r="R125" i="7"/>
  <c r="R126" i="7"/>
  <c r="R127" i="7"/>
  <c r="R127" i="3" s="1"/>
  <c r="R128" i="7"/>
  <c r="R128" i="3" s="1"/>
  <c r="R129" i="7"/>
  <c r="R267" i="7" s="1"/>
  <c r="R267" i="3" s="1"/>
  <c r="R130" i="7"/>
  <c r="R268" i="7" s="1"/>
  <c r="R268" i="3" s="1"/>
  <c r="R131" i="7"/>
  <c r="R269" i="7" s="1"/>
  <c r="R269" i="3" s="1"/>
  <c r="R132" i="7"/>
  <c r="R132" i="3" s="1"/>
  <c r="R133" i="7"/>
  <c r="R133" i="3" s="1"/>
  <c r="R134" i="7"/>
  <c r="R135" i="7"/>
  <c r="R136" i="7"/>
  <c r="R274" i="7" s="1"/>
  <c r="R274" i="3" s="1"/>
  <c r="R137" i="7"/>
  <c r="R275" i="7" s="1"/>
  <c r="R275" i="3" s="1"/>
  <c r="Q2" i="7"/>
  <c r="Q3" i="7"/>
  <c r="Q4" i="7"/>
  <c r="Q5" i="7"/>
  <c r="Q6" i="7"/>
  <c r="Q7" i="7"/>
  <c r="Q8" i="7"/>
  <c r="Q284" i="7" s="1"/>
  <c r="Q9" i="7"/>
  <c r="Q285" i="7" s="1"/>
  <c r="Q10" i="7"/>
  <c r="Q10" i="3" s="1"/>
  <c r="Q11" i="7"/>
  <c r="Q12" i="7"/>
  <c r="Q13" i="7"/>
  <c r="Q14" i="7"/>
  <c r="Q15" i="7"/>
  <c r="Q16" i="7"/>
  <c r="Q17" i="7"/>
  <c r="Q18" i="7"/>
  <c r="Q18" i="3" s="1"/>
  <c r="Q19" i="7"/>
  <c r="Q295" i="7" s="1"/>
  <c r="Q20" i="7"/>
  <c r="Q21" i="7"/>
  <c r="Q21" i="3" s="1"/>
  <c r="Q22" i="7"/>
  <c r="Q23" i="7"/>
  <c r="Q24" i="7"/>
  <c r="Q25" i="7"/>
  <c r="Q26" i="7"/>
  <c r="Q27" i="7"/>
  <c r="Q28" i="7"/>
  <c r="Q29" i="7"/>
  <c r="Q305" i="7" s="1"/>
  <c r="Q30" i="7"/>
  <c r="Q31" i="7"/>
  <c r="Q32" i="7"/>
  <c r="Q32" i="3" s="1"/>
  <c r="Q33" i="7"/>
  <c r="Q34" i="7"/>
  <c r="Q35" i="7"/>
  <c r="Q311" i="7" s="1"/>
  <c r="Q36" i="7"/>
  <c r="Q37" i="7"/>
  <c r="Q313" i="7" s="1"/>
  <c r="Q38" i="7"/>
  <c r="Q314" i="7" s="1"/>
  <c r="Q39" i="7"/>
  <c r="Q315" i="7" s="1"/>
  <c r="Q40" i="7"/>
  <c r="Q178" i="7" s="1"/>
  <c r="Q41" i="7"/>
  <c r="Q42" i="7"/>
  <c r="Q43" i="7"/>
  <c r="Q43" i="3" s="1"/>
  <c r="Q44" i="7"/>
  <c r="Q45" i="7"/>
  <c r="Q46" i="7"/>
  <c r="Q47" i="7"/>
  <c r="Q48" i="7"/>
  <c r="Q49" i="7"/>
  <c r="Q50" i="7"/>
  <c r="Q51" i="7"/>
  <c r="Q51" i="3" s="1"/>
  <c r="Q52" i="7"/>
  <c r="Q328" i="7" s="1"/>
  <c r="Q53" i="7"/>
  <c r="Q54" i="7"/>
  <c r="Q54" i="3" s="1"/>
  <c r="Q55" i="7"/>
  <c r="Q56" i="7"/>
  <c r="Q57" i="7"/>
  <c r="Q58" i="7"/>
  <c r="Q59" i="7"/>
  <c r="Q60" i="7"/>
  <c r="Q61" i="7"/>
  <c r="Q337" i="7" s="1"/>
  <c r="Q62" i="7"/>
  <c r="Q62" i="3" s="1"/>
  <c r="Q63" i="7"/>
  <c r="Q64" i="7"/>
  <c r="Q65" i="7"/>
  <c r="Q341" i="7" s="1"/>
  <c r="Q66" i="7"/>
  <c r="Q67" i="7"/>
  <c r="Q343" i="7" s="1"/>
  <c r="Q68" i="7"/>
  <c r="Q69" i="7"/>
  <c r="Q70" i="7"/>
  <c r="Q71" i="7"/>
  <c r="Q72" i="7"/>
  <c r="Q73" i="7"/>
  <c r="Q74" i="7"/>
  <c r="Q75" i="7"/>
  <c r="Q351" i="7" s="1"/>
  <c r="Q76" i="7"/>
  <c r="Q76" i="3" s="1"/>
  <c r="Q77" i="7"/>
  <c r="Q78" i="7"/>
  <c r="Q78" i="3" s="1"/>
  <c r="Q79" i="7"/>
  <c r="Q355" i="7" s="1"/>
  <c r="Q80" i="7"/>
  <c r="Q81" i="7"/>
  <c r="Q82" i="7"/>
  <c r="Q358" i="7" s="1"/>
  <c r="Q83" i="7"/>
  <c r="Q84" i="7"/>
  <c r="Q360" i="7" s="1"/>
  <c r="Q85" i="7"/>
  <c r="Q86" i="7"/>
  <c r="Q87" i="7"/>
  <c r="Q88" i="7"/>
  <c r="Q89" i="7"/>
  <c r="Q90" i="7"/>
  <c r="Q91" i="7"/>
  <c r="Q367" i="7" s="1"/>
  <c r="Q92" i="7"/>
  <c r="Q93" i="7"/>
  <c r="Q93" i="3" s="1"/>
  <c r="Q94" i="7"/>
  <c r="Q95" i="7"/>
  <c r="Q96" i="7"/>
  <c r="Q372" i="7" s="1"/>
  <c r="Q97" i="7"/>
  <c r="Q98" i="7"/>
  <c r="Q99" i="7"/>
  <c r="Q100" i="7"/>
  <c r="Q101" i="7"/>
  <c r="Q102" i="7"/>
  <c r="Q102" i="3" s="1"/>
  <c r="Q103" i="7"/>
  <c r="Q104" i="7"/>
  <c r="Q104" i="3" s="1"/>
  <c r="Q105" i="7"/>
  <c r="Q106" i="7"/>
  <c r="Q107" i="7"/>
  <c r="Q108" i="7"/>
  <c r="Q109" i="7"/>
  <c r="Q110" i="7"/>
  <c r="Q111" i="7"/>
  <c r="Q112" i="7"/>
  <c r="Q388" i="7" s="1"/>
  <c r="Q113" i="7"/>
  <c r="Q113" i="3" s="1"/>
  <c r="Q114" i="7"/>
  <c r="Q390" i="7" s="1"/>
  <c r="Q115" i="7"/>
  <c r="Q116" i="7"/>
  <c r="Q117" i="7"/>
  <c r="Q118" i="7"/>
  <c r="Q119" i="7"/>
  <c r="Q120" i="7"/>
  <c r="Q121" i="7"/>
  <c r="Q122" i="7"/>
  <c r="Q398" i="7" s="1"/>
  <c r="Q123" i="7"/>
  <c r="Q124" i="7"/>
  <c r="Q125" i="7"/>
  <c r="Q125" i="3" s="1"/>
  <c r="Q126" i="7"/>
  <c r="Q127" i="7"/>
  <c r="Q128" i="7"/>
  <c r="Q129" i="7"/>
  <c r="Q130" i="7"/>
  <c r="Q130" i="3" s="1"/>
  <c r="Q131" i="7"/>
  <c r="Q132" i="7"/>
  <c r="Q133" i="7"/>
  <c r="Q134" i="7"/>
  <c r="Q135" i="7"/>
  <c r="Q135" i="3" s="1"/>
  <c r="Q136" i="7"/>
  <c r="Q137" i="7"/>
  <c r="Q413" i="7" s="1"/>
  <c r="AP159" i="8"/>
  <c r="AB278" i="7" s="1"/>
  <c r="AB278" i="3" s="1"/>
  <c r="AP160" i="8"/>
  <c r="AB279" i="7" s="1"/>
  <c r="AB279" i="3" s="1"/>
  <c r="AP161" i="8"/>
  <c r="AB280" i="7" s="1"/>
  <c r="AB280" i="3" s="1"/>
  <c r="AP162" i="8"/>
  <c r="AB281" i="7" s="1"/>
  <c r="AB281" i="3" s="1"/>
  <c r="AP163" i="8"/>
  <c r="AB282" i="7" s="1"/>
  <c r="AB282" i="3" s="1"/>
  <c r="AP164" i="8"/>
  <c r="AB283" i="7" s="1"/>
  <c r="AB283" i="3" s="1"/>
  <c r="AP165" i="8"/>
  <c r="AB284" i="7" s="1"/>
  <c r="AB284" i="3" s="1"/>
  <c r="AP167" i="8"/>
  <c r="AB286" i="7" s="1"/>
  <c r="AB286" i="3" s="1"/>
  <c r="AP168" i="8"/>
  <c r="AB287" i="7" s="1"/>
  <c r="AB287" i="3" s="1"/>
  <c r="AP169" i="8"/>
  <c r="AB288" i="7" s="1"/>
  <c r="AB288" i="3" s="1"/>
  <c r="AP171" i="8"/>
  <c r="AB290" i="7" s="1"/>
  <c r="AB290" i="3" s="1"/>
  <c r="AP172" i="8"/>
  <c r="AB291" i="7" s="1"/>
  <c r="AB291" i="3" s="1"/>
  <c r="AP173" i="8"/>
  <c r="AB292" i="7" s="1"/>
  <c r="AB292" i="3" s="1"/>
  <c r="AP174" i="8"/>
  <c r="AB293" i="7" s="1"/>
  <c r="AB293" i="3" s="1"/>
  <c r="AP175" i="8"/>
  <c r="AB294" i="7" s="1"/>
  <c r="AB294" i="3" s="1"/>
  <c r="AP176" i="8"/>
  <c r="AB295" i="7" s="1"/>
  <c r="AB295" i="3" s="1"/>
  <c r="AP177" i="8"/>
  <c r="AB296" i="7" s="1"/>
  <c r="AB296" i="3" s="1"/>
  <c r="AP178" i="8"/>
  <c r="AB297" i="7" s="1"/>
  <c r="AB297" i="3" s="1"/>
  <c r="AP179" i="8"/>
  <c r="AB298" i="7" s="1"/>
  <c r="AB298" i="3" s="1"/>
  <c r="AP180" i="8"/>
  <c r="AB299" i="7" s="1"/>
  <c r="AB299" i="3" s="1"/>
  <c r="AP181" i="8"/>
  <c r="AB300" i="7" s="1"/>
  <c r="AB300" i="3" s="1"/>
  <c r="AP182" i="8"/>
  <c r="AB301" i="7" s="1"/>
  <c r="AB301" i="3" s="1"/>
  <c r="AP183" i="8"/>
  <c r="AB302" i="7" s="1"/>
  <c r="AB302" i="3" s="1"/>
  <c r="AP184" i="8"/>
  <c r="AB303" i="7" s="1"/>
  <c r="AB303" i="3" s="1"/>
  <c r="AP185" i="8"/>
  <c r="AB304" i="7" s="1"/>
  <c r="AB304" i="3" s="1"/>
  <c r="AP186" i="8"/>
  <c r="AB305" i="7" s="1"/>
  <c r="AB305" i="3" s="1"/>
  <c r="AP187" i="8"/>
  <c r="AB306" i="7" s="1"/>
  <c r="AB306" i="3" s="1"/>
  <c r="AP188" i="8"/>
  <c r="AB307" i="7" s="1"/>
  <c r="AB307" i="3" s="1"/>
  <c r="AP189" i="8"/>
  <c r="AB308" i="7" s="1"/>
  <c r="AB308" i="3" s="1"/>
  <c r="AP190" i="8"/>
  <c r="AB309" i="7" s="1"/>
  <c r="AB309" i="3" s="1"/>
  <c r="AP191" i="8"/>
  <c r="AB310" i="7" s="1"/>
  <c r="AB310" i="3" s="1"/>
  <c r="AP192" i="8"/>
  <c r="AB311" i="7" s="1"/>
  <c r="AB311" i="3" s="1"/>
  <c r="AP193" i="8"/>
  <c r="AB312" i="7" s="1"/>
  <c r="AB312" i="3" s="1"/>
  <c r="AP194" i="8"/>
  <c r="AB313" i="7" s="1"/>
  <c r="AB313" i="3" s="1"/>
  <c r="AP195" i="8"/>
  <c r="AB314" i="7" s="1"/>
  <c r="AB314" i="3" s="1"/>
  <c r="AP196" i="8"/>
  <c r="AB315" i="7" s="1"/>
  <c r="AB315" i="3" s="1"/>
  <c r="AP197" i="8"/>
  <c r="AB316" i="7" s="1"/>
  <c r="AB316" i="3" s="1"/>
  <c r="AP198" i="8"/>
  <c r="AB317" i="7" s="1"/>
  <c r="AB317" i="3" s="1"/>
  <c r="AP199" i="8"/>
  <c r="AB318" i="7" s="1"/>
  <c r="AB318" i="3" s="1"/>
  <c r="AP200" i="8"/>
  <c r="AB319" i="7" s="1"/>
  <c r="AB319" i="3" s="1"/>
  <c r="AP201" i="8"/>
  <c r="AB320" i="7" s="1"/>
  <c r="AB320" i="3" s="1"/>
  <c r="AP202" i="8"/>
  <c r="AB321" i="7" s="1"/>
  <c r="AB321" i="3" s="1"/>
  <c r="AP203" i="8"/>
  <c r="AB322" i="7" s="1"/>
  <c r="AB322" i="3" s="1"/>
  <c r="AP204" i="8"/>
  <c r="AB323" i="7" s="1"/>
  <c r="AB323" i="3" s="1"/>
  <c r="AP205" i="8"/>
  <c r="AB324" i="7" s="1"/>
  <c r="AB324" i="3" s="1"/>
  <c r="AP206" i="8"/>
  <c r="AB325" i="7" s="1"/>
  <c r="AB325" i="3" s="1"/>
  <c r="AP207" i="8"/>
  <c r="AB326" i="7" s="1"/>
  <c r="AB326" i="3" s="1"/>
  <c r="AP208" i="8"/>
  <c r="AB327" i="7" s="1"/>
  <c r="AB327" i="3" s="1"/>
  <c r="AP209" i="8"/>
  <c r="AB328" i="7" s="1"/>
  <c r="AB328" i="3" s="1"/>
  <c r="AP210" i="8"/>
  <c r="AB329" i="7" s="1"/>
  <c r="AB329" i="3" s="1"/>
  <c r="AP211" i="8"/>
  <c r="AB330" i="7" s="1"/>
  <c r="AB330" i="3" s="1"/>
  <c r="AP212" i="8"/>
  <c r="AB331" i="7" s="1"/>
  <c r="AB331" i="3" s="1"/>
  <c r="AP214" i="8"/>
  <c r="AB333" i="7" s="1"/>
  <c r="AB333" i="3" s="1"/>
  <c r="AP215" i="8"/>
  <c r="AB334" i="7" s="1"/>
  <c r="AB334" i="3" s="1"/>
  <c r="AP216" i="8"/>
  <c r="AB335" i="7" s="1"/>
  <c r="AB335" i="3" s="1"/>
  <c r="AP217" i="8"/>
  <c r="AB336" i="7" s="1"/>
  <c r="AB336" i="3" s="1"/>
  <c r="AP218" i="8"/>
  <c r="AB337" i="7" s="1"/>
  <c r="AB337" i="3" s="1"/>
  <c r="AP219" i="8"/>
  <c r="AB338" i="7" s="1"/>
  <c r="AB338" i="3" s="1"/>
  <c r="AP220" i="8"/>
  <c r="AB339" i="7" s="1"/>
  <c r="AB339" i="3" s="1"/>
  <c r="AP221" i="8"/>
  <c r="AB340" i="7" s="1"/>
  <c r="AB340" i="3" s="1"/>
  <c r="AP222" i="8"/>
  <c r="AB341" i="7" s="1"/>
  <c r="AP223" i="8"/>
  <c r="AB342" i="7" s="1"/>
  <c r="AB342" i="3" s="1"/>
  <c r="AP224" i="8"/>
  <c r="AB343" i="7" s="1"/>
  <c r="AB343" i="3" s="1"/>
  <c r="AP225" i="8"/>
  <c r="AB344" i="7" s="1"/>
  <c r="AB344" i="3" s="1"/>
  <c r="AP226" i="8"/>
  <c r="AB345" i="7" s="1"/>
  <c r="AB345" i="3" s="1"/>
  <c r="AP227" i="8"/>
  <c r="AB346" i="7" s="1"/>
  <c r="AB346" i="3" s="1"/>
  <c r="AP228" i="8"/>
  <c r="AB347" i="7" s="1"/>
  <c r="AB347" i="3" s="1"/>
  <c r="AP229" i="8"/>
  <c r="AB348" i="7" s="1"/>
  <c r="AB348" i="3" s="1"/>
  <c r="AP230" i="8"/>
  <c r="AB349" i="7" s="1"/>
  <c r="AB349" i="3" s="1"/>
  <c r="AP231" i="8"/>
  <c r="AB350" i="7" s="1"/>
  <c r="AB350" i="3" s="1"/>
  <c r="AP232" i="8"/>
  <c r="AB351" i="7" s="1"/>
  <c r="AB351" i="3" s="1"/>
  <c r="AP233" i="8"/>
  <c r="AB352" i="7" s="1"/>
  <c r="AB352" i="3" s="1"/>
  <c r="AP234" i="8"/>
  <c r="AB353" i="7" s="1"/>
  <c r="AB353" i="3" s="1"/>
  <c r="AP235" i="8"/>
  <c r="AB354" i="7" s="1"/>
  <c r="AB354" i="3" s="1"/>
  <c r="AP236" i="8"/>
  <c r="AB355" i="7" s="1"/>
  <c r="AB355" i="3" s="1"/>
  <c r="AP237" i="8"/>
  <c r="AB356" i="7" s="1"/>
  <c r="AB356" i="3" s="1"/>
  <c r="AP238" i="8"/>
  <c r="AB357" i="7" s="1"/>
  <c r="AB357" i="3" s="1"/>
  <c r="AP239" i="8"/>
  <c r="AB358" i="7" s="1"/>
  <c r="AB358" i="3" s="1"/>
  <c r="AP240" i="8"/>
  <c r="AB359" i="7" s="1"/>
  <c r="AB359" i="3" s="1"/>
  <c r="AP241" i="8"/>
  <c r="AB360" i="7" s="1"/>
  <c r="AB360" i="3" s="1"/>
  <c r="AP242" i="8"/>
  <c r="AB361" i="7" s="1"/>
  <c r="AB361" i="3" s="1"/>
  <c r="AP243" i="8"/>
  <c r="AB362" i="7" s="1"/>
  <c r="AB362" i="3" s="1"/>
  <c r="AP244" i="8"/>
  <c r="AB363" i="7" s="1"/>
  <c r="AB363" i="3" s="1"/>
  <c r="AP245" i="8"/>
  <c r="AB364" i="7" s="1"/>
  <c r="AB364" i="3" s="1"/>
  <c r="AP246" i="8"/>
  <c r="AB365" i="7" s="1"/>
  <c r="AB365" i="3" s="1"/>
  <c r="AP248" i="8"/>
  <c r="AB367" i="7" s="1"/>
  <c r="AB367" i="3" s="1"/>
  <c r="AP249" i="8"/>
  <c r="AB368" i="7" s="1"/>
  <c r="AB368" i="3" s="1"/>
  <c r="AP250" i="8"/>
  <c r="AB369" i="7" s="1"/>
  <c r="AB369" i="3" s="1"/>
  <c r="AP251" i="8"/>
  <c r="AB370" i="7" s="1"/>
  <c r="AB370" i="3" s="1"/>
  <c r="AP253" i="8"/>
  <c r="AB372" i="7" s="1"/>
  <c r="AP254" i="8"/>
  <c r="AB373" i="7" s="1"/>
  <c r="AB373" i="3" s="1"/>
  <c r="AP255" i="8"/>
  <c r="AB374" i="7" s="1"/>
  <c r="AB374" i="3" s="1"/>
  <c r="AP256" i="8"/>
  <c r="AB375" i="7" s="1"/>
  <c r="AB375" i="3" s="1"/>
  <c r="AP257" i="8"/>
  <c r="AB376" i="7" s="1"/>
  <c r="AB376" i="3" s="1"/>
  <c r="AP258" i="8"/>
  <c r="AB377" i="7" s="1"/>
  <c r="AB377" i="3" s="1"/>
  <c r="AP259" i="8"/>
  <c r="AB378" i="7" s="1"/>
  <c r="AB378" i="3" s="1"/>
  <c r="AP260" i="8"/>
  <c r="AB379" i="7" s="1"/>
  <c r="AB379" i="3" s="1"/>
  <c r="AP261" i="8"/>
  <c r="AB380" i="7" s="1"/>
  <c r="AB380" i="3" s="1"/>
  <c r="AP262" i="8"/>
  <c r="AB381" i="7" s="1"/>
  <c r="AB381" i="3" s="1"/>
  <c r="AP263" i="8"/>
  <c r="AB382" i="7" s="1"/>
  <c r="AB382" i="3" s="1"/>
  <c r="AP264" i="8"/>
  <c r="AB383" i="7" s="1"/>
  <c r="AB383" i="3" s="1"/>
  <c r="AP265" i="8"/>
  <c r="AB384" i="7" s="1"/>
  <c r="AB384" i="3" s="1"/>
  <c r="AP266" i="8"/>
  <c r="AB385" i="7" s="1"/>
  <c r="AB385" i="3" s="1"/>
  <c r="AP267" i="8"/>
  <c r="AB386" i="7" s="1"/>
  <c r="AB386" i="3" s="1"/>
  <c r="AP268" i="8"/>
  <c r="AB387" i="7" s="1"/>
  <c r="AB387" i="3" s="1"/>
  <c r="AP269" i="8"/>
  <c r="AB388" i="7" s="1"/>
  <c r="AB388" i="3" s="1"/>
  <c r="AP270" i="8"/>
  <c r="AB389" i="7" s="1"/>
  <c r="AB389" i="3" s="1"/>
  <c r="AP271" i="8"/>
  <c r="AB390" i="7" s="1"/>
  <c r="AP272" i="8"/>
  <c r="AB391" i="7" s="1"/>
  <c r="AB391" i="3" s="1"/>
  <c r="AP273" i="8"/>
  <c r="AB392" i="7" s="1"/>
  <c r="AB392" i="3" s="1"/>
  <c r="AP274" i="8"/>
  <c r="AB393" i="7" s="1"/>
  <c r="AB393" i="3" s="1"/>
  <c r="AP275" i="8"/>
  <c r="AB394" i="7" s="1"/>
  <c r="AB394" i="3" s="1"/>
  <c r="AP276" i="8"/>
  <c r="AB395" i="7" s="1"/>
  <c r="AB395" i="3" s="1"/>
  <c r="AP277" i="8"/>
  <c r="AB396" i="7" s="1"/>
  <c r="AB396" i="3" s="1"/>
  <c r="AP278" i="8"/>
  <c r="AB397" i="7" s="1"/>
  <c r="AB397" i="3" s="1"/>
  <c r="AP279" i="8"/>
  <c r="AB398" i="7" s="1"/>
  <c r="AB398" i="3" s="1"/>
  <c r="AP280" i="8"/>
  <c r="AB399" i="7" s="1"/>
  <c r="AB399" i="3" s="1"/>
  <c r="AP281" i="8"/>
  <c r="AB400" i="7" s="1"/>
  <c r="AB400" i="3" s="1"/>
  <c r="AP282" i="8"/>
  <c r="AB401" i="7" s="1"/>
  <c r="AB401" i="3" s="1"/>
  <c r="AP283" i="8"/>
  <c r="AB402" i="7" s="1"/>
  <c r="AB402" i="3" s="1"/>
  <c r="AP284" i="8"/>
  <c r="AB403" i="7" s="1"/>
  <c r="AB403" i="3" s="1"/>
  <c r="AP285" i="8"/>
  <c r="AB404" i="7" s="1"/>
  <c r="AB404" i="3" s="1"/>
  <c r="AP286" i="8"/>
  <c r="AB405" i="7" s="1"/>
  <c r="AB405" i="3" s="1"/>
  <c r="AP287" i="8"/>
  <c r="AB406" i="7" s="1"/>
  <c r="AB406" i="3" s="1"/>
  <c r="AP288" i="8"/>
  <c r="AB407" i="7" s="1"/>
  <c r="AB407" i="3" s="1"/>
  <c r="AP289" i="8"/>
  <c r="AB408" i="7" s="1"/>
  <c r="AB408" i="3" s="1"/>
  <c r="AP290" i="8"/>
  <c r="AB409" i="7" s="1"/>
  <c r="AB409" i="3" s="1"/>
  <c r="AP291" i="8"/>
  <c r="AB410" i="7" s="1"/>
  <c r="AB410" i="3" s="1"/>
  <c r="AP292" i="8"/>
  <c r="AB411" i="7" s="1"/>
  <c r="AB411" i="3" s="1"/>
  <c r="AP293" i="8"/>
  <c r="AB412" i="7" s="1"/>
  <c r="AB412" i="3" s="1"/>
  <c r="AP294" i="8"/>
  <c r="AB413" i="7" s="1"/>
  <c r="AB413" i="3" s="1"/>
  <c r="AO159" i="8"/>
  <c r="AA278" i="7" s="1"/>
  <c r="AA278" i="3" s="1"/>
  <c r="AO160" i="8"/>
  <c r="AA279" i="7" s="1"/>
  <c r="AA279" i="3" s="1"/>
  <c r="AO161" i="8"/>
  <c r="AA280" i="7" s="1"/>
  <c r="AA280" i="3" s="1"/>
  <c r="AO162" i="8"/>
  <c r="AA281" i="7" s="1"/>
  <c r="AA281" i="3" s="1"/>
  <c r="AO163" i="8"/>
  <c r="AA282" i="7" s="1"/>
  <c r="AA282" i="3" s="1"/>
  <c r="AO164" i="8"/>
  <c r="AA283" i="7" s="1"/>
  <c r="AA283" i="3" s="1"/>
  <c r="AO165" i="8"/>
  <c r="AA284" i="7" s="1"/>
  <c r="AA284" i="3" s="1"/>
  <c r="AO166" i="8"/>
  <c r="AA285" i="7" s="1"/>
  <c r="AA285" i="3" s="1"/>
  <c r="AO167" i="8"/>
  <c r="AA286" i="7" s="1"/>
  <c r="AA286" i="3" s="1"/>
  <c r="AO168" i="8"/>
  <c r="AA287" i="7" s="1"/>
  <c r="AA287" i="3" s="1"/>
  <c r="AO169" i="8"/>
  <c r="AA288" i="7" s="1"/>
  <c r="AA288" i="3" s="1"/>
  <c r="AO170" i="8"/>
  <c r="AA289" i="7" s="1"/>
  <c r="AA289" i="3" s="1"/>
  <c r="AO171" i="8"/>
  <c r="AA290" i="7" s="1"/>
  <c r="AA290" i="3" s="1"/>
  <c r="AO172" i="8"/>
  <c r="AA291" i="7" s="1"/>
  <c r="AA291" i="3" s="1"/>
  <c r="AO173" i="8"/>
  <c r="AA292" i="7" s="1"/>
  <c r="AA292" i="3" s="1"/>
  <c r="AO174" i="8"/>
  <c r="AA293" i="7" s="1"/>
  <c r="AA293" i="3" s="1"/>
  <c r="AO175" i="8"/>
  <c r="AA294" i="7" s="1"/>
  <c r="AA294" i="3" s="1"/>
  <c r="AO176" i="8"/>
  <c r="AA295" i="7" s="1"/>
  <c r="AA295" i="3" s="1"/>
  <c r="AO177" i="8"/>
  <c r="AA296" i="7" s="1"/>
  <c r="AA296" i="3" s="1"/>
  <c r="AO178" i="8"/>
  <c r="AA297" i="7" s="1"/>
  <c r="AA297" i="3" s="1"/>
  <c r="AO179" i="8"/>
  <c r="AA298" i="7" s="1"/>
  <c r="AA298" i="3" s="1"/>
  <c r="AO180" i="8"/>
  <c r="AA299" i="7" s="1"/>
  <c r="AA299" i="3" s="1"/>
  <c r="AO181" i="8"/>
  <c r="AA300" i="7" s="1"/>
  <c r="AA300" i="3" s="1"/>
  <c r="AO182" i="8"/>
  <c r="AA301" i="7" s="1"/>
  <c r="AA301" i="3" s="1"/>
  <c r="AO183" i="8"/>
  <c r="AA302" i="7" s="1"/>
  <c r="AA302" i="3" s="1"/>
  <c r="AO184" i="8"/>
  <c r="AA303" i="7" s="1"/>
  <c r="AA303" i="3" s="1"/>
  <c r="AO185" i="8"/>
  <c r="AA304" i="7" s="1"/>
  <c r="AA304" i="3" s="1"/>
  <c r="AO186" i="8"/>
  <c r="AA305" i="7" s="1"/>
  <c r="AA305" i="3" s="1"/>
  <c r="AO187" i="8"/>
  <c r="AA306" i="7" s="1"/>
  <c r="AA306" i="3" s="1"/>
  <c r="AO188" i="8"/>
  <c r="AA307" i="7" s="1"/>
  <c r="AA307" i="3" s="1"/>
  <c r="AO189" i="8"/>
  <c r="AA308" i="7" s="1"/>
  <c r="AA308" i="3" s="1"/>
  <c r="AO190" i="8"/>
  <c r="AA309" i="7" s="1"/>
  <c r="AA309" i="3" s="1"/>
  <c r="AO191" i="8"/>
  <c r="AA310" i="7" s="1"/>
  <c r="AA310" i="3" s="1"/>
  <c r="AO192" i="8"/>
  <c r="AA311" i="7" s="1"/>
  <c r="AA311" i="3" s="1"/>
  <c r="AO193" i="8"/>
  <c r="AA312" i="7" s="1"/>
  <c r="AA312" i="3" s="1"/>
  <c r="AO194" i="8"/>
  <c r="AA313" i="7" s="1"/>
  <c r="AA313" i="3" s="1"/>
  <c r="AO195" i="8"/>
  <c r="AA314" i="7" s="1"/>
  <c r="AA314" i="3" s="1"/>
  <c r="AO196" i="8"/>
  <c r="AA315" i="7" s="1"/>
  <c r="AA315" i="3" s="1"/>
  <c r="AO197" i="8"/>
  <c r="AA316" i="7" s="1"/>
  <c r="AA316" i="3" s="1"/>
  <c r="AO198" i="8"/>
  <c r="AA317" i="7" s="1"/>
  <c r="AA317" i="3" s="1"/>
  <c r="AO199" i="8"/>
  <c r="AA318" i="7" s="1"/>
  <c r="AA318" i="3" s="1"/>
  <c r="AO200" i="8"/>
  <c r="AA319" i="7" s="1"/>
  <c r="AA319" i="3" s="1"/>
  <c r="AO201" i="8"/>
  <c r="AA320" i="7" s="1"/>
  <c r="AA320" i="3" s="1"/>
  <c r="AO202" i="8"/>
  <c r="AA321" i="7" s="1"/>
  <c r="AA321" i="3" s="1"/>
  <c r="AO203" i="8"/>
  <c r="AA322" i="7" s="1"/>
  <c r="AA322" i="3" s="1"/>
  <c r="AO204" i="8"/>
  <c r="AA323" i="7" s="1"/>
  <c r="AA323" i="3" s="1"/>
  <c r="AO205" i="8"/>
  <c r="AA324" i="7" s="1"/>
  <c r="AA324" i="3" s="1"/>
  <c r="AO206" i="8"/>
  <c r="AA325" i="7" s="1"/>
  <c r="AA325" i="3" s="1"/>
  <c r="AO207" i="8"/>
  <c r="AA326" i="7" s="1"/>
  <c r="AA326" i="3" s="1"/>
  <c r="AO208" i="8"/>
  <c r="AA327" i="7" s="1"/>
  <c r="AA327" i="3" s="1"/>
  <c r="AO209" i="8"/>
  <c r="AA328" i="7" s="1"/>
  <c r="AA328" i="3" s="1"/>
  <c r="AO210" i="8"/>
  <c r="AA329" i="7" s="1"/>
  <c r="AA329" i="3" s="1"/>
  <c r="AO211" i="8"/>
  <c r="AA330" i="7" s="1"/>
  <c r="AA330" i="3" s="1"/>
  <c r="AO212" i="8"/>
  <c r="AA331" i="7" s="1"/>
  <c r="AA331" i="3" s="1"/>
  <c r="AO213" i="8"/>
  <c r="AA332" i="7" s="1"/>
  <c r="AA332" i="3" s="1"/>
  <c r="AO214" i="8"/>
  <c r="AA333" i="7" s="1"/>
  <c r="AA333" i="3" s="1"/>
  <c r="AO215" i="8"/>
  <c r="AA334" i="7" s="1"/>
  <c r="AA334" i="3" s="1"/>
  <c r="AO216" i="8"/>
  <c r="AA335" i="7" s="1"/>
  <c r="AA335" i="3" s="1"/>
  <c r="AO217" i="8"/>
  <c r="AA336" i="7" s="1"/>
  <c r="AA336" i="3" s="1"/>
  <c r="AO218" i="8"/>
  <c r="AA337" i="7" s="1"/>
  <c r="AA337" i="3" s="1"/>
  <c r="AO219" i="8"/>
  <c r="AA338" i="7" s="1"/>
  <c r="AA338" i="3" s="1"/>
  <c r="AO220" i="8"/>
  <c r="AA339" i="7" s="1"/>
  <c r="AA339" i="3" s="1"/>
  <c r="AO221" i="8"/>
  <c r="AA340" i="7" s="1"/>
  <c r="AA340" i="3" s="1"/>
  <c r="AO222" i="8"/>
  <c r="AA341" i="7" s="1"/>
  <c r="AO223" i="8"/>
  <c r="AA342" i="7" s="1"/>
  <c r="AA342" i="3" s="1"/>
  <c r="AO224" i="8"/>
  <c r="AA343" i="7" s="1"/>
  <c r="AA343" i="3" s="1"/>
  <c r="AO225" i="8"/>
  <c r="AA344" i="7" s="1"/>
  <c r="AA344" i="3" s="1"/>
  <c r="AO226" i="8"/>
  <c r="AA345" i="7" s="1"/>
  <c r="AA345" i="3" s="1"/>
  <c r="AO227" i="8"/>
  <c r="AA346" i="7" s="1"/>
  <c r="AA346" i="3" s="1"/>
  <c r="AO228" i="8"/>
  <c r="AA347" i="7" s="1"/>
  <c r="AA347" i="3" s="1"/>
  <c r="AO229" i="8"/>
  <c r="AA348" i="7" s="1"/>
  <c r="AA348" i="3" s="1"/>
  <c r="AO230" i="8"/>
  <c r="AA349" i="7" s="1"/>
  <c r="AA349" i="3" s="1"/>
  <c r="AO231" i="8"/>
  <c r="AA350" i="7" s="1"/>
  <c r="AA350" i="3" s="1"/>
  <c r="AO232" i="8"/>
  <c r="AA351" i="7" s="1"/>
  <c r="AA351" i="3" s="1"/>
  <c r="AO233" i="8"/>
  <c r="AA352" i="7" s="1"/>
  <c r="AA352" i="3" s="1"/>
  <c r="AO234" i="8"/>
  <c r="AA353" i="7" s="1"/>
  <c r="AA353" i="3" s="1"/>
  <c r="AO235" i="8"/>
  <c r="AA354" i="7" s="1"/>
  <c r="AA354" i="3" s="1"/>
  <c r="AO236" i="8"/>
  <c r="AA355" i="7" s="1"/>
  <c r="AA355" i="3" s="1"/>
  <c r="AO237" i="8"/>
  <c r="AA356" i="7" s="1"/>
  <c r="AA356" i="3" s="1"/>
  <c r="AO238" i="8"/>
  <c r="AA357" i="7" s="1"/>
  <c r="AA357" i="3" s="1"/>
  <c r="AO239" i="8"/>
  <c r="AA358" i="7" s="1"/>
  <c r="AA358" i="3" s="1"/>
  <c r="AO240" i="8"/>
  <c r="AA359" i="7" s="1"/>
  <c r="AA359" i="3" s="1"/>
  <c r="AO241" i="8"/>
  <c r="AA360" i="7" s="1"/>
  <c r="AA360" i="3" s="1"/>
  <c r="AO242" i="8"/>
  <c r="AA361" i="7" s="1"/>
  <c r="AA361" i="3" s="1"/>
  <c r="AO243" i="8"/>
  <c r="AA362" i="7" s="1"/>
  <c r="AA362" i="3" s="1"/>
  <c r="AO244" i="8"/>
  <c r="AA363" i="7" s="1"/>
  <c r="AA363" i="3" s="1"/>
  <c r="AO245" i="8"/>
  <c r="AA364" i="7" s="1"/>
  <c r="AA364" i="3" s="1"/>
  <c r="AO246" i="8"/>
  <c r="AA365" i="7" s="1"/>
  <c r="AA365" i="3" s="1"/>
  <c r="AO247" i="8"/>
  <c r="AA366" i="7" s="1"/>
  <c r="AA366" i="3" s="1"/>
  <c r="AO248" i="8"/>
  <c r="AA367" i="7" s="1"/>
  <c r="AA367" i="3" s="1"/>
  <c r="AO249" i="8"/>
  <c r="AA368" i="7" s="1"/>
  <c r="AA368" i="3" s="1"/>
  <c r="AO250" i="8"/>
  <c r="AA369" i="7" s="1"/>
  <c r="AA369" i="3" s="1"/>
  <c r="AO251" i="8"/>
  <c r="AA370" i="7" s="1"/>
  <c r="AA370" i="3" s="1"/>
  <c r="AO252" i="8"/>
  <c r="AA371" i="7" s="1"/>
  <c r="AA371" i="3" s="1"/>
  <c r="AO253" i="8"/>
  <c r="AA372" i="7" s="1"/>
  <c r="AO254" i="8"/>
  <c r="AA373" i="7" s="1"/>
  <c r="AA373" i="3" s="1"/>
  <c r="AO255" i="8"/>
  <c r="AA374" i="7" s="1"/>
  <c r="AA374" i="3" s="1"/>
  <c r="AO256" i="8"/>
  <c r="AA375" i="7" s="1"/>
  <c r="AA375" i="3" s="1"/>
  <c r="AO257" i="8"/>
  <c r="AA376" i="7" s="1"/>
  <c r="AA376" i="3" s="1"/>
  <c r="AO258" i="8"/>
  <c r="AA377" i="7" s="1"/>
  <c r="AA377" i="3" s="1"/>
  <c r="AO259" i="8"/>
  <c r="AA378" i="7" s="1"/>
  <c r="AA378" i="3" s="1"/>
  <c r="AO260" i="8"/>
  <c r="AA379" i="7" s="1"/>
  <c r="AA379" i="3" s="1"/>
  <c r="AO261" i="8"/>
  <c r="AA380" i="7" s="1"/>
  <c r="AA380" i="3" s="1"/>
  <c r="AO262" i="8"/>
  <c r="AA381" i="7" s="1"/>
  <c r="AA381" i="3" s="1"/>
  <c r="AO263" i="8"/>
  <c r="AA382" i="7" s="1"/>
  <c r="AA382" i="3" s="1"/>
  <c r="AO264" i="8"/>
  <c r="AA383" i="7" s="1"/>
  <c r="AA383" i="3" s="1"/>
  <c r="AO265" i="8"/>
  <c r="AA384" i="7" s="1"/>
  <c r="AA384" i="3" s="1"/>
  <c r="AO266" i="8"/>
  <c r="AA385" i="7" s="1"/>
  <c r="AA385" i="3" s="1"/>
  <c r="AO267" i="8"/>
  <c r="AA386" i="7" s="1"/>
  <c r="AA386" i="3" s="1"/>
  <c r="AO268" i="8"/>
  <c r="AA387" i="7" s="1"/>
  <c r="AA387" i="3" s="1"/>
  <c r="AO269" i="8"/>
  <c r="AA388" i="7" s="1"/>
  <c r="AA388" i="3" s="1"/>
  <c r="AO270" i="8"/>
  <c r="AA389" i="7" s="1"/>
  <c r="AA389" i="3" s="1"/>
  <c r="AO271" i="8"/>
  <c r="AA390" i="7" s="1"/>
  <c r="AO272" i="8"/>
  <c r="AA391" i="7" s="1"/>
  <c r="AA391" i="3" s="1"/>
  <c r="AO273" i="8"/>
  <c r="AA392" i="7" s="1"/>
  <c r="AA392" i="3" s="1"/>
  <c r="AO274" i="8"/>
  <c r="AA393" i="7" s="1"/>
  <c r="AA393" i="3" s="1"/>
  <c r="AO275" i="8"/>
  <c r="AA394" i="7" s="1"/>
  <c r="AA394" i="3" s="1"/>
  <c r="AO276" i="8"/>
  <c r="AA395" i="7" s="1"/>
  <c r="AA395" i="3" s="1"/>
  <c r="AO277" i="8"/>
  <c r="AA396" i="7" s="1"/>
  <c r="AA396" i="3" s="1"/>
  <c r="AO278" i="8"/>
  <c r="AA397" i="7" s="1"/>
  <c r="AA397" i="3" s="1"/>
  <c r="AO279" i="8"/>
  <c r="AA398" i="7" s="1"/>
  <c r="AA398" i="3" s="1"/>
  <c r="AO280" i="8"/>
  <c r="AA399" i="7" s="1"/>
  <c r="AA399" i="3" s="1"/>
  <c r="AO281" i="8"/>
  <c r="AA400" i="7" s="1"/>
  <c r="AA400" i="3" s="1"/>
  <c r="AO282" i="8"/>
  <c r="AA401" i="7" s="1"/>
  <c r="AA401" i="3" s="1"/>
  <c r="AO283" i="8"/>
  <c r="AA402" i="7" s="1"/>
  <c r="AA402" i="3" s="1"/>
  <c r="AO284" i="8"/>
  <c r="AA403" i="7" s="1"/>
  <c r="AA403" i="3" s="1"/>
  <c r="AO285" i="8"/>
  <c r="AA404" i="7" s="1"/>
  <c r="AA404" i="3" s="1"/>
  <c r="AO286" i="8"/>
  <c r="AA405" i="7" s="1"/>
  <c r="AA405" i="3" s="1"/>
  <c r="AO287" i="8"/>
  <c r="AA406" i="7" s="1"/>
  <c r="AA406" i="3" s="1"/>
  <c r="AO288" i="8"/>
  <c r="AA407" i="7" s="1"/>
  <c r="AA407" i="3" s="1"/>
  <c r="AO289" i="8"/>
  <c r="AA408" i="7" s="1"/>
  <c r="AA408" i="3" s="1"/>
  <c r="AO290" i="8"/>
  <c r="AA409" i="7" s="1"/>
  <c r="AA409" i="3" s="1"/>
  <c r="AO291" i="8"/>
  <c r="AA410" i="7" s="1"/>
  <c r="AA410" i="3" s="1"/>
  <c r="AO292" i="8"/>
  <c r="AA411" i="7" s="1"/>
  <c r="AA411" i="3" s="1"/>
  <c r="AO293" i="8"/>
  <c r="AA412" i="7" s="1"/>
  <c r="AA412" i="3" s="1"/>
  <c r="AO294" i="8"/>
  <c r="AA413" i="7" s="1"/>
  <c r="AA413" i="3" s="1"/>
  <c r="AN159" i="8"/>
  <c r="Z278" i="7" s="1"/>
  <c r="Z278" i="3" s="1"/>
  <c r="AN160" i="8"/>
  <c r="Z279" i="7" s="1"/>
  <c r="Z279" i="3" s="1"/>
  <c r="AN161" i="8"/>
  <c r="Z280" i="7" s="1"/>
  <c r="Z280" i="3" s="1"/>
  <c r="AN162" i="8"/>
  <c r="Z281" i="7" s="1"/>
  <c r="Z281" i="3" s="1"/>
  <c r="AN163" i="8"/>
  <c r="Z282" i="7" s="1"/>
  <c r="Z282" i="3" s="1"/>
  <c r="AN164" i="8"/>
  <c r="Z283" i="7" s="1"/>
  <c r="Z283" i="3" s="1"/>
  <c r="AN165" i="8"/>
  <c r="Z284" i="7" s="1"/>
  <c r="Z284" i="3" s="1"/>
  <c r="AN167" i="8"/>
  <c r="Z286" i="7" s="1"/>
  <c r="Z286" i="3" s="1"/>
  <c r="AN168" i="8"/>
  <c r="Z287" i="7" s="1"/>
  <c r="Z287" i="3" s="1"/>
  <c r="AN169" i="8"/>
  <c r="Z288" i="7" s="1"/>
  <c r="Z288" i="3" s="1"/>
  <c r="AN171" i="8"/>
  <c r="Z290" i="7" s="1"/>
  <c r="Z290" i="3" s="1"/>
  <c r="AN172" i="8"/>
  <c r="Z291" i="7" s="1"/>
  <c r="Z291" i="3" s="1"/>
  <c r="AN173" i="8"/>
  <c r="Z292" i="7" s="1"/>
  <c r="Z292" i="3" s="1"/>
  <c r="AN174" i="8"/>
  <c r="Z293" i="7" s="1"/>
  <c r="Z293" i="3" s="1"/>
  <c r="AN175" i="8"/>
  <c r="Z294" i="7" s="1"/>
  <c r="Z294" i="3" s="1"/>
  <c r="AN176" i="8"/>
  <c r="Z295" i="7" s="1"/>
  <c r="Z295" i="3" s="1"/>
  <c r="AN177" i="8"/>
  <c r="Z296" i="7" s="1"/>
  <c r="Z296" i="3" s="1"/>
  <c r="AN178" i="8"/>
  <c r="Z297" i="7" s="1"/>
  <c r="Z297" i="3" s="1"/>
  <c r="AN179" i="8"/>
  <c r="Z298" i="7" s="1"/>
  <c r="Z298" i="3" s="1"/>
  <c r="AN180" i="8"/>
  <c r="Z299" i="7" s="1"/>
  <c r="Z299" i="3" s="1"/>
  <c r="AN181" i="8"/>
  <c r="Z300" i="7" s="1"/>
  <c r="Z300" i="3" s="1"/>
  <c r="AN182" i="8"/>
  <c r="Z301" i="7" s="1"/>
  <c r="Z301" i="3" s="1"/>
  <c r="AN183" i="8"/>
  <c r="Z302" i="7" s="1"/>
  <c r="Z302" i="3" s="1"/>
  <c r="AN184" i="8"/>
  <c r="Z303" i="7" s="1"/>
  <c r="Z303" i="3" s="1"/>
  <c r="AN185" i="8"/>
  <c r="Z304" i="7" s="1"/>
  <c r="Z304" i="3" s="1"/>
  <c r="AN186" i="8"/>
  <c r="Z305" i="7" s="1"/>
  <c r="Z305" i="3" s="1"/>
  <c r="AN187" i="8"/>
  <c r="Z306" i="7" s="1"/>
  <c r="Z306" i="3" s="1"/>
  <c r="AN188" i="8"/>
  <c r="Z307" i="7" s="1"/>
  <c r="Z307" i="3" s="1"/>
  <c r="AN189" i="8"/>
  <c r="Z308" i="7" s="1"/>
  <c r="Z308" i="3" s="1"/>
  <c r="AN190" i="8"/>
  <c r="Z309" i="7" s="1"/>
  <c r="Z309" i="3" s="1"/>
  <c r="AN191" i="8"/>
  <c r="Z310" i="7" s="1"/>
  <c r="Z310" i="3" s="1"/>
  <c r="AN192" i="8"/>
  <c r="Z311" i="7" s="1"/>
  <c r="Z311" i="3" s="1"/>
  <c r="AN193" i="8"/>
  <c r="Z312" i="7" s="1"/>
  <c r="Z312" i="3" s="1"/>
  <c r="AN194" i="8"/>
  <c r="Z313" i="7" s="1"/>
  <c r="Z313" i="3" s="1"/>
  <c r="AN195" i="8"/>
  <c r="Z314" i="7" s="1"/>
  <c r="Z314" i="3" s="1"/>
  <c r="AN196" i="8"/>
  <c r="Z315" i="7" s="1"/>
  <c r="Z315" i="3" s="1"/>
  <c r="AN197" i="8"/>
  <c r="Z316" i="7" s="1"/>
  <c r="Z316" i="3" s="1"/>
  <c r="AN198" i="8"/>
  <c r="Z317" i="7" s="1"/>
  <c r="Z317" i="3" s="1"/>
  <c r="AN199" i="8"/>
  <c r="Z318" i="7" s="1"/>
  <c r="Z318" i="3" s="1"/>
  <c r="AN200" i="8"/>
  <c r="Z319" i="7" s="1"/>
  <c r="Z319" i="3" s="1"/>
  <c r="AN201" i="8"/>
  <c r="Z320" i="7" s="1"/>
  <c r="Z320" i="3" s="1"/>
  <c r="AN202" i="8"/>
  <c r="Z321" i="7" s="1"/>
  <c r="Z321" i="3" s="1"/>
  <c r="AN203" i="8"/>
  <c r="Z322" i="7" s="1"/>
  <c r="Z322" i="3" s="1"/>
  <c r="AN204" i="8"/>
  <c r="Z323" i="7" s="1"/>
  <c r="Z323" i="3" s="1"/>
  <c r="AN205" i="8"/>
  <c r="Z324" i="7" s="1"/>
  <c r="Z324" i="3" s="1"/>
  <c r="AN206" i="8"/>
  <c r="Z325" i="7" s="1"/>
  <c r="Z325" i="3" s="1"/>
  <c r="AN207" i="8"/>
  <c r="Z326" i="7" s="1"/>
  <c r="Z326" i="3" s="1"/>
  <c r="AN208" i="8"/>
  <c r="Z327" i="7" s="1"/>
  <c r="Z327" i="3" s="1"/>
  <c r="AN209" i="8"/>
  <c r="Z328" i="7" s="1"/>
  <c r="Z328" i="3" s="1"/>
  <c r="AN210" i="8"/>
  <c r="Z329" i="7" s="1"/>
  <c r="Z329" i="3" s="1"/>
  <c r="AN211" i="8"/>
  <c r="Z330" i="7" s="1"/>
  <c r="Z330" i="3" s="1"/>
  <c r="AN212" i="8"/>
  <c r="Z331" i="7" s="1"/>
  <c r="Z331" i="3" s="1"/>
  <c r="AN214" i="8"/>
  <c r="Z333" i="7" s="1"/>
  <c r="Z333" i="3" s="1"/>
  <c r="AN215" i="8"/>
  <c r="Z334" i="7" s="1"/>
  <c r="Z334" i="3" s="1"/>
  <c r="AN216" i="8"/>
  <c r="Z335" i="7" s="1"/>
  <c r="Z335" i="3" s="1"/>
  <c r="AN217" i="8"/>
  <c r="Z336" i="7" s="1"/>
  <c r="Z336" i="3" s="1"/>
  <c r="AN218" i="8"/>
  <c r="Z337" i="7" s="1"/>
  <c r="Z337" i="3" s="1"/>
  <c r="AN219" i="8"/>
  <c r="Z338" i="7" s="1"/>
  <c r="Z338" i="3" s="1"/>
  <c r="AN220" i="8"/>
  <c r="Z339" i="7" s="1"/>
  <c r="Z339" i="3" s="1"/>
  <c r="AN221" i="8"/>
  <c r="Z340" i="7" s="1"/>
  <c r="Z340" i="3" s="1"/>
  <c r="AN222" i="8"/>
  <c r="Z341" i="7" s="1"/>
  <c r="AN223" i="8"/>
  <c r="Z342" i="7" s="1"/>
  <c r="Z342" i="3" s="1"/>
  <c r="AN224" i="8"/>
  <c r="Z343" i="7" s="1"/>
  <c r="Z343" i="3" s="1"/>
  <c r="AN225" i="8"/>
  <c r="Z344" i="7" s="1"/>
  <c r="Z344" i="3" s="1"/>
  <c r="AN226" i="8"/>
  <c r="Z345" i="7" s="1"/>
  <c r="Z345" i="3" s="1"/>
  <c r="AN227" i="8"/>
  <c r="Z346" i="7" s="1"/>
  <c r="Z346" i="3" s="1"/>
  <c r="AN228" i="8"/>
  <c r="Z347" i="7" s="1"/>
  <c r="Z347" i="3" s="1"/>
  <c r="AN229" i="8"/>
  <c r="Z348" i="7" s="1"/>
  <c r="Z348" i="3" s="1"/>
  <c r="AN230" i="8"/>
  <c r="Z349" i="7" s="1"/>
  <c r="Z349" i="3" s="1"/>
  <c r="AN231" i="8"/>
  <c r="Z350" i="7" s="1"/>
  <c r="Z350" i="3" s="1"/>
  <c r="AN232" i="8"/>
  <c r="Z351" i="7" s="1"/>
  <c r="Z351" i="3" s="1"/>
  <c r="AN233" i="8"/>
  <c r="Z352" i="7" s="1"/>
  <c r="Z352" i="3" s="1"/>
  <c r="AN234" i="8"/>
  <c r="Z353" i="7" s="1"/>
  <c r="Z353" i="3" s="1"/>
  <c r="AN235" i="8"/>
  <c r="Z354" i="7" s="1"/>
  <c r="Z354" i="3" s="1"/>
  <c r="AN236" i="8"/>
  <c r="Z355" i="7" s="1"/>
  <c r="Z355" i="3" s="1"/>
  <c r="AN237" i="8"/>
  <c r="Z356" i="7" s="1"/>
  <c r="Z356" i="3" s="1"/>
  <c r="AN238" i="8"/>
  <c r="Z357" i="7" s="1"/>
  <c r="Z357" i="3" s="1"/>
  <c r="AN239" i="8"/>
  <c r="Z358" i="7" s="1"/>
  <c r="Z358" i="3" s="1"/>
  <c r="AN240" i="8"/>
  <c r="Z359" i="7" s="1"/>
  <c r="Z359" i="3" s="1"/>
  <c r="AN241" i="8"/>
  <c r="Z360" i="7" s="1"/>
  <c r="Z360" i="3" s="1"/>
  <c r="AN242" i="8"/>
  <c r="Z361" i="7" s="1"/>
  <c r="Z361" i="3" s="1"/>
  <c r="AN243" i="8"/>
  <c r="Z362" i="7" s="1"/>
  <c r="Z362" i="3" s="1"/>
  <c r="AN244" i="8"/>
  <c r="Z363" i="7" s="1"/>
  <c r="Z363" i="3" s="1"/>
  <c r="AN245" i="8"/>
  <c r="Z364" i="7" s="1"/>
  <c r="Z364" i="3" s="1"/>
  <c r="AN246" i="8"/>
  <c r="Z365" i="7" s="1"/>
  <c r="Z365" i="3" s="1"/>
  <c r="AN248" i="8"/>
  <c r="Z367" i="7" s="1"/>
  <c r="Z367" i="3" s="1"/>
  <c r="AN249" i="8"/>
  <c r="Z368" i="7" s="1"/>
  <c r="Z368" i="3" s="1"/>
  <c r="AN250" i="8"/>
  <c r="Z369" i="7" s="1"/>
  <c r="Z369" i="3" s="1"/>
  <c r="AN251" i="8"/>
  <c r="Z370" i="7" s="1"/>
  <c r="Z370" i="3" s="1"/>
  <c r="AN253" i="8"/>
  <c r="Z372" i="7" s="1"/>
  <c r="AN254" i="8"/>
  <c r="Z373" i="7" s="1"/>
  <c r="Z373" i="3" s="1"/>
  <c r="AN255" i="8"/>
  <c r="Z374" i="7" s="1"/>
  <c r="Z374" i="3" s="1"/>
  <c r="AN256" i="8"/>
  <c r="Z375" i="7" s="1"/>
  <c r="Z375" i="3" s="1"/>
  <c r="AN257" i="8"/>
  <c r="Z376" i="7" s="1"/>
  <c r="Z376" i="3" s="1"/>
  <c r="AN258" i="8"/>
  <c r="Z377" i="7" s="1"/>
  <c r="Z377" i="3" s="1"/>
  <c r="AN259" i="8"/>
  <c r="Z378" i="7" s="1"/>
  <c r="Z378" i="3" s="1"/>
  <c r="AN260" i="8"/>
  <c r="Z379" i="7" s="1"/>
  <c r="Z379" i="3" s="1"/>
  <c r="AN261" i="8"/>
  <c r="Z380" i="7" s="1"/>
  <c r="Z380" i="3" s="1"/>
  <c r="AN262" i="8"/>
  <c r="Z381" i="7" s="1"/>
  <c r="Z381" i="3" s="1"/>
  <c r="AN263" i="8"/>
  <c r="Z382" i="7" s="1"/>
  <c r="Z382" i="3" s="1"/>
  <c r="AN264" i="8"/>
  <c r="Z383" i="7" s="1"/>
  <c r="Z383" i="3" s="1"/>
  <c r="AN265" i="8"/>
  <c r="Z384" i="7" s="1"/>
  <c r="Z384" i="3" s="1"/>
  <c r="AN266" i="8"/>
  <c r="Z385" i="7" s="1"/>
  <c r="Z385" i="3" s="1"/>
  <c r="AN267" i="8"/>
  <c r="Z386" i="7" s="1"/>
  <c r="Z386" i="3" s="1"/>
  <c r="AN268" i="8"/>
  <c r="Z387" i="7" s="1"/>
  <c r="Z387" i="3" s="1"/>
  <c r="AN269" i="8"/>
  <c r="Z388" i="7" s="1"/>
  <c r="Z388" i="3" s="1"/>
  <c r="AN270" i="8"/>
  <c r="Z389" i="7" s="1"/>
  <c r="Z389" i="3" s="1"/>
  <c r="AN271" i="8"/>
  <c r="Z390" i="7" s="1"/>
  <c r="AN272" i="8"/>
  <c r="Z391" i="7" s="1"/>
  <c r="Z391" i="3" s="1"/>
  <c r="AN273" i="8"/>
  <c r="Z392" i="7" s="1"/>
  <c r="Z392" i="3" s="1"/>
  <c r="AN274" i="8"/>
  <c r="Z393" i="7" s="1"/>
  <c r="Z393" i="3" s="1"/>
  <c r="AN275" i="8"/>
  <c r="Z394" i="7" s="1"/>
  <c r="Z394" i="3" s="1"/>
  <c r="AN276" i="8"/>
  <c r="Z395" i="7" s="1"/>
  <c r="Z395" i="3" s="1"/>
  <c r="AN277" i="8"/>
  <c r="Z396" i="7" s="1"/>
  <c r="Z396" i="3" s="1"/>
  <c r="AN278" i="8"/>
  <c r="Z397" i="7" s="1"/>
  <c r="Z397" i="3" s="1"/>
  <c r="AN279" i="8"/>
  <c r="Z398" i="7" s="1"/>
  <c r="Z398" i="3" s="1"/>
  <c r="AN280" i="8"/>
  <c r="Z399" i="7" s="1"/>
  <c r="Z399" i="3" s="1"/>
  <c r="AN281" i="8"/>
  <c r="Z400" i="7" s="1"/>
  <c r="Z400" i="3" s="1"/>
  <c r="AN282" i="8"/>
  <c r="Z401" i="7" s="1"/>
  <c r="Z401" i="3" s="1"/>
  <c r="AN283" i="8"/>
  <c r="Z402" i="7" s="1"/>
  <c r="Z402" i="3" s="1"/>
  <c r="AN284" i="8"/>
  <c r="Z403" i="7" s="1"/>
  <c r="Z403" i="3" s="1"/>
  <c r="AN285" i="8"/>
  <c r="Z404" i="7" s="1"/>
  <c r="Z404" i="3" s="1"/>
  <c r="AN286" i="8"/>
  <c r="Z405" i="7" s="1"/>
  <c r="Z405" i="3" s="1"/>
  <c r="AN287" i="8"/>
  <c r="Z406" i="7" s="1"/>
  <c r="Z406" i="3" s="1"/>
  <c r="AN288" i="8"/>
  <c r="Z407" i="7" s="1"/>
  <c r="Z407" i="3" s="1"/>
  <c r="AN289" i="8"/>
  <c r="Z408" i="7" s="1"/>
  <c r="Z408" i="3" s="1"/>
  <c r="AN290" i="8"/>
  <c r="Z409" i="7" s="1"/>
  <c r="Z409" i="3" s="1"/>
  <c r="AN291" i="8"/>
  <c r="Z410" i="7" s="1"/>
  <c r="Z410" i="3" s="1"/>
  <c r="AN292" i="8"/>
  <c r="Z411" i="7" s="1"/>
  <c r="Z411" i="3" s="1"/>
  <c r="AN293" i="8"/>
  <c r="Z412" i="7" s="1"/>
  <c r="Z412" i="3" s="1"/>
  <c r="AN294" i="8"/>
  <c r="Z413" i="7" s="1"/>
  <c r="Z413" i="3" s="1"/>
  <c r="AM159" i="8"/>
  <c r="Y278" i="7" s="1"/>
  <c r="Y278" i="3" s="1"/>
  <c r="AM160" i="8"/>
  <c r="Y279" i="7" s="1"/>
  <c r="Y279" i="3" s="1"/>
  <c r="AM161" i="8"/>
  <c r="Y280" i="7" s="1"/>
  <c r="Y280" i="3" s="1"/>
  <c r="AM162" i="8"/>
  <c r="Y281" i="7" s="1"/>
  <c r="Y281" i="3" s="1"/>
  <c r="AM163" i="8"/>
  <c r="Y282" i="7" s="1"/>
  <c r="Y282" i="3" s="1"/>
  <c r="AM164" i="8"/>
  <c r="Y283" i="7" s="1"/>
  <c r="Y283" i="3" s="1"/>
  <c r="AM165" i="8"/>
  <c r="Y284" i="7" s="1"/>
  <c r="Y284" i="3" s="1"/>
  <c r="AM167" i="8"/>
  <c r="Y286" i="7" s="1"/>
  <c r="Y286" i="3" s="1"/>
  <c r="AM168" i="8"/>
  <c r="Y287" i="7" s="1"/>
  <c r="Y287" i="3" s="1"/>
  <c r="AM169" i="8"/>
  <c r="Y288" i="7" s="1"/>
  <c r="Y288" i="3" s="1"/>
  <c r="AM171" i="8"/>
  <c r="Y290" i="7" s="1"/>
  <c r="Y290" i="3" s="1"/>
  <c r="AM172" i="8"/>
  <c r="Y291" i="7" s="1"/>
  <c r="Y291" i="3" s="1"/>
  <c r="AM173" i="8"/>
  <c r="Y292" i="7" s="1"/>
  <c r="Y292" i="3" s="1"/>
  <c r="AM174" i="8"/>
  <c r="Y293" i="7" s="1"/>
  <c r="Y293" i="3" s="1"/>
  <c r="AM175" i="8"/>
  <c r="Y294" i="7" s="1"/>
  <c r="Y294" i="3" s="1"/>
  <c r="AM176" i="8"/>
  <c r="Y295" i="7" s="1"/>
  <c r="Y295" i="3" s="1"/>
  <c r="AM177" i="8"/>
  <c r="Y296" i="7" s="1"/>
  <c r="Y296" i="3" s="1"/>
  <c r="AM178" i="8"/>
  <c r="Y297" i="7" s="1"/>
  <c r="Y297" i="3" s="1"/>
  <c r="AM179" i="8"/>
  <c r="Y298" i="7" s="1"/>
  <c r="Y298" i="3" s="1"/>
  <c r="AM180" i="8"/>
  <c r="Y299" i="7" s="1"/>
  <c r="Y299" i="3" s="1"/>
  <c r="AM181" i="8"/>
  <c r="Y300" i="7" s="1"/>
  <c r="Y300" i="3" s="1"/>
  <c r="AM182" i="8"/>
  <c r="Y301" i="7" s="1"/>
  <c r="Y301" i="3" s="1"/>
  <c r="AM183" i="8"/>
  <c r="Y302" i="7" s="1"/>
  <c r="Y302" i="3" s="1"/>
  <c r="AM184" i="8"/>
  <c r="Y303" i="7" s="1"/>
  <c r="Y303" i="3" s="1"/>
  <c r="AM185" i="8"/>
  <c r="Y304" i="7" s="1"/>
  <c r="Y304" i="3" s="1"/>
  <c r="AM186" i="8"/>
  <c r="Y305" i="7" s="1"/>
  <c r="Y305" i="3" s="1"/>
  <c r="AM187" i="8"/>
  <c r="Y306" i="7" s="1"/>
  <c r="Y306" i="3" s="1"/>
  <c r="AM188" i="8"/>
  <c r="Y307" i="7" s="1"/>
  <c r="Y307" i="3" s="1"/>
  <c r="AM189" i="8"/>
  <c r="Y308" i="7" s="1"/>
  <c r="Y308" i="3" s="1"/>
  <c r="AM190" i="8"/>
  <c r="Y309" i="7" s="1"/>
  <c r="Y309" i="3" s="1"/>
  <c r="AM191" i="8"/>
  <c r="Y310" i="7" s="1"/>
  <c r="Y310" i="3" s="1"/>
  <c r="AM192" i="8"/>
  <c r="Y311" i="7" s="1"/>
  <c r="Y311" i="3" s="1"/>
  <c r="AM193" i="8"/>
  <c r="Y312" i="7" s="1"/>
  <c r="Y312" i="3" s="1"/>
  <c r="AM194" i="8"/>
  <c r="Y313" i="7" s="1"/>
  <c r="Y313" i="3" s="1"/>
  <c r="AM195" i="8"/>
  <c r="Y314" i="7" s="1"/>
  <c r="Y314" i="3" s="1"/>
  <c r="AM196" i="8"/>
  <c r="Y315" i="7" s="1"/>
  <c r="Y315" i="3" s="1"/>
  <c r="AM197" i="8"/>
  <c r="Y316" i="7" s="1"/>
  <c r="Y316" i="3" s="1"/>
  <c r="AM198" i="8"/>
  <c r="Y317" i="7" s="1"/>
  <c r="Y317" i="3" s="1"/>
  <c r="AM199" i="8"/>
  <c r="Y318" i="7" s="1"/>
  <c r="Y318" i="3" s="1"/>
  <c r="AM200" i="8"/>
  <c r="Y319" i="7" s="1"/>
  <c r="Y319" i="3" s="1"/>
  <c r="AM201" i="8"/>
  <c r="Y320" i="7" s="1"/>
  <c r="Y320" i="3" s="1"/>
  <c r="AM202" i="8"/>
  <c r="Y321" i="7" s="1"/>
  <c r="Y321" i="3" s="1"/>
  <c r="AM203" i="8"/>
  <c r="Y322" i="7" s="1"/>
  <c r="Y322" i="3" s="1"/>
  <c r="AM204" i="8"/>
  <c r="Y323" i="7" s="1"/>
  <c r="Y323" i="3" s="1"/>
  <c r="AM205" i="8"/>
  <c r="Y324" i="7" s="1"/>
  <c r="Y324" i="3" s="1"/>
  <c r="AM206" i="8"/>
  <c r="Y325" i="7" s="1"/>
  <c r="Y325" i="3" s="1"/>
  <c r="AM207" i="8"/>
  <c r="Y326" i="7" s="1"/>
  <c r="Y326" i="3" s="1"/>
  <c r="AM208" i="8"/>
  <c r="Y327" i="7" s="1"/>
  <c r="Y327" i="3" s="1"/>
  <c r="AM209" i="8"/>
  <c r="Y328" i="7" s="1"/>
  <c r="Y328" i="3" s="1"/>
  <c r="AM210" i="8"/>
  <c r="Y329" i="7" s="1"/>
  <c r="Y329" i="3" s="1"/>
  <c r="AM211" i="8"/>
  <c r="Y330" i="7" s="1"/>
  <c r="Y330" i="3" s="1"/>
  <c r="AM212" i="8"/>
  <c r="Y331" i="7" s="1"/>
  <c r="Y331" i="3" s="1"/>
  <c r="AM214" i="8"/>
  <c r="Y333" i="7" s="1"/>
  <c r="Y333" i="3" s="1"/>
  <c r="AM215" i="8"/>
  <c r="Y334" i="7" s="1"/>
  <c r="Y334" i="3" s="1"/>
  <c r="AM216" i="8"/>
  <c r="Y335" i="7" s="1"/>
  <c r="Y335" i="3" s="1"/>
  <c r="AM217" i="8"/>
  <c r="Y336" i="7" s="1"/>
  <c r="Y336" i="3" s="1"/>
  <c r="AM218" i="8"/>
  <c r="Y337" i="7" s="1"/>
  <c r="Y337" i="3" s="1"/>
  <c r="AM219" i="8"/>
  <c r="Y338" i="7" s="1"/>
  <c r="Y338" i="3" s="1"/>
  <c r="AM220" i="8"/>
  <c r="Y339" i="7" s="1"/>
  <c r="Y339" i="3" s="1"/>
  <c r="AM221" i="8"/>
  <c r="Y340" i="7" s="1"/>
  <c r="Y340" i="3" s="1"/>
  <c r="AM222" i="8"/>
  <c r="Y341" i="7" s="1"/>
  <c r="AM223" i="8"/>
  <c r="Y342" i="7" s="1"/>
  <c r="Y342" i="3" s="1"/>
  <c r="AM224" i="8"/>
  <c r="Y343" i="7" s="1"/>
  <c r="Y343" i="3" s="1"/>
  <c r="AM225" i="8"/>
  <c r="Y344" i="7" s="1"/>
  <c r="Y344" i="3" s="1"/>
  <c r="AM226" i="8"/>
  <c r="Y345" i="7" s="1"/>
  <c r="Y345" i="3" s="1"/>
  <c r="AM227" i="8"/>
  <c r="Y346" i="7" s="1"/>
  <c r="Y346" i="3" s="1"/>
  <c r="AM228" i="8"/>
  <c r="Y347" i="7" s="1"/>
  <c r="Y347" i="3" s="1"/>
  <c r="AM229" i="8"/>
  <c r="Y348" i="7" s="1"/>
  <c r="Y348" i="3" s="1"/>
  <c r="AM230" i="8"/>
  <c r="Y349" i="7" s="1"/>
  <c r="Y349" i="3" s="1"/>
  <c r="AM231" i="8"/>
  <c r="Y350" i="7" s="1"/>
  <c r="Y350" i="3" s="1"/>
  <c r="AM232" i="8"/>
  <c r="Y351" i="7" s="1"/>
  <c r="Y351" i="3" s="1"/>
  <c r="AM233" i="8"/>
  <c r="Y352" i="7" s="1"/>
  <c r="Y352" i="3" s="1"/>
  <c r="AM234" i="8"/>
  <c r="Y353" i="7" s="1"/>
  <c r="Y353" i="3" s="1"/>
  <c r="AM235" i="8"/>
  <c r="Y354" i="7" s="1"/>
  <c r="Y354" i="3" s="1"/>
  <c r="AM236" i="8"/>
  <c r="Y355" i="7" s="1"/>
  <c r="Y355" i="3" s="1"/>
  <c r="AM237" i="8"/>
  <c r="Y356" i="7" s="1"/>
  <c r="Y356" i="3" s="1"/>
  <c r="AM238" i="8"/>
  <c r="Y357" i="7" s="1"/>
  <c r="Y357" i="3" s="1"/>
  <c r="AM239" i="8"/>
  <c r="Y358" i="7" s="1"/>
  <c r="Y358" i="3" s="1"/>
  <c r="AM240" i="8"/>
  <c r="Y359" i="7" s="1"/>
  <c r="Y359" i="3" s="1"/>
  <c r="AM241" i="8"/>
  <c r="Y360" i="7" s="1"/>
  <c r="Y360" i="3" s="1"/>
  <c r="AM242" i="8"/>
  <c r="Y361" i="7" s="1"/>
  <c r="Y361" i="3" s="1"/>
  <c r="AM243" i="8"/>
  <c r="Y362" i="7" s="1"/>
  <c r="Y362" i="3" s="1"/>
  <c r="AM244" i="8"/>
  <c r="Y363" i="7" s="1"/>
  <c r="Y363" i="3" s="1"/>
  <c r="AM245" i="8"/>
  <c r="Y364" i="7" s="1"/>
  <c r="Y364" i="3" s="1"/>
  <c r="AM246" i="8"/>
  <c r="Y365" i="7" s="1"/>
  <c r="Y365" i="3" s="1"/>
  <c r="AM248" i="8"/>
  <c r="Y367" i="7" s="1"/>
  <c r="Y367" i="3" s="1"/>
  <c r="AM249" i="8"/>
  <c r="Y368" i="7" s="1"/>
  <c r="Y368" i="3" s="1"/>
  <c r="AM250" i="8"/>
  <c r="Y369" i="7" s="1"/>
  <c r="Y369" i="3" s="1"/>
  <c r="AM251" i="8"/>
  <c r="Y370" i="7" s="1"/>
  <c r="Y370" i="3" s="1"/>
  <c r="AM253" i="8"/>
  <c r="Y372" i="7" s="1"/>
  <c r="AM254" i="8"/>
  <c r="Y373" i="7" s="1"/>
  <c r="Y373" i="3" s="1"/>
  <c r="AM255" i="8"/>
  <c r="Y374" i="7" s="1"/>
  <c r="Y374" i="3" s="1"/>
  <c r="AM256" i="8"/>
  <c r="Y375" i="7" s="1"/>
  <c r="Y375" i="3" s="1"/>
  <c r="AM257" i="8"/>
  <c r="Y376" i="7" s="1"/>
  <c r="Y376" i="3" s="1"/>
  <c r="AM258" i="8"/>
  <c r="Y377" i="7" s="1"/>
  <c r="Y377" i="3" s="1"/>
  <c r="AM259" i="8"/>
  <c r="Y378" i="7" s="1"/>
  <c r="Y378" i="3" s="1"/>
  <c r="AM260" i="8"/>
  <c r="Y379" i="7" s="1"/>
  <c r="Y379" i="3" s="1"/>
  <c r="AM261" i="8"/>
  <c r="Y380" i="7" s="1"/>
  <c r="Y380" i="3" s="1"/>
  <c r="AM262" i="8"/>
  <c r="Y381" i="7" s="1"/>
  <c r="Y381" i="3" s="1"/>
  <c r="AM263" i="8"/>
  <c r="Y382" i="7" s="1"/>
  <c r="Y382" i="3" s="1"/>
  <c r="AM264" i="8"/>
  <c r="Y383" i="7" s="1"/>
  <c r="Y383" i="3" s="1"/>
  <c r="AM265" i="8"/>
  <c r="Y384" i="7" s="1"/>
  <c r="Y384" i="3" s="1"/>
  <c r="AM266" i="8"/>
  <c r="Y385" i="7" s="1"/>
  <c r="Y385" i="3" s="1"/>
  <c r="AM267" i="8"/>
  <c r="Y386" i="7" s="1"/>
  <c r="Y386" i="3" s="1"/>
  <c r="AM268" i="8"/>
  <c r="Y387" i="7" s="1"/>
  <c r="Y387" i="3" s="1"/>
  <c r="AM269" i="8"/>
  <c r="Y388" i="7" s="1"/>
  <c r="Y388" i="3" s="1"/>
  <c r="AM270" i="8"/>
  <c r="Y389" i="7" s="1"/>
  <c r="Y389" i="3" s="1"/>
  <c r="AM271" i="8"/>
  <c r="Y390" i="7" s="1"/>
  <c r="AM272" i="8"/>
  <c r="Y391" i="7" s="1"/>
  <c r="Y391" i="3" s="1"/>
  <c r="AM273" i="8"/>
  <c r="Y392" i="7" s="1"/>
  <c r="Y392" i="3" s="1"/>
  <c r="AM274" i="8"/>
  <c r="Y393" i="7" s="1"/>
  <c r="Y393" i="3" s="1"/>
  <c r="AM275" i="8"/>
  <c r="Y394" i="7" s="1"/>
  <c r="Y394" i="3" s="1"/>
  <c r="AM276" i="8"/>
  <c r="Y395" i="7" s="1"/>
  <c r="Y395" i="3" s="1"/>
  <c r="AM277" i="8"/>
  <c r="Y396" i="7" s="1"/>
  <c r="Y396" i="3" s="1"/>
  <c r="AM278" i="8"/>
  <c r="Y397" i="7" s="1"/>
  <c r="Y397" i="3" s="1"/>
  <c r="AM279" i="8"/>
  <c r="Y398" i="7" s="1"/>
  <c r="Y398" i="3" s="1"/>
  <c r="AM280" i="8"/>
  <c r="Y399" i="7" s="1"/>
  <c r="Y399" i="3" s="1"/>
  <c r="AM281" i="8"/>
  <c r="Y400" i="7" s="1"/>
  <c r="Y400" i="3" s="1"/>
  <c r="AM282" i="8"/>
  <c r="Y401" i="7" s="1"/>
  <c r="Y401" i="3" s="1"/>
  <c r="AM283" i="8"/>
  <c r="Y402" i="7" s="1"/>
  <c r="Y402" i="3" s="1"/>
  <c r="AM284" i="8"/>
  <c r="Y403" i="7" s="1"/>
  <c r="Y403" i="3" s="1"/>
  <c r="AM285" i="8"/>
  <c r="Y404" i="7" s="1"/>
  <c r="Y404" i="3" s="1"/>
  <c r="AM286" i="8"/>
  <c r="Y405" i="7" s="1"/>
  <c r="Y405" i="3" s="1"/>
  <c r="AM287" i="8"/>
  <c r="Y406" i="7" s="1"/>
  <c r="Y406" i="3" s="1"/>
  <c r="AM288" i="8"/>
  <c r="Y407" i="7" s="1"/>
  <c r="Y407" i="3" s="1"/>
  <c r="AM289" i="8"/>
  <c r="Y408" i="7" s="1"/>
  <c r="Y408" i="3" s="1"/>
  <c r="AM290" i="8"/>
  <c r="Y409" i="7" s="1"/>
  <c r="Y409" i="3" s="1"/>
  <c r="AM291" i="8"/>
  <c r="Y410" i="7" s="1"/>
  <c r="Y410" i="3" s="1"/>
  <c r="AM292" i="8"/>
  <c r="Y411" i="7" s="1"/>
  <c r="Y411" i="3" s="1"/>
  <c r="AM293" i="8"/>
  <c r="Y412" i="7" s="1"/>
  <c r="Y412" i="3" s="1"/>
  <c r="AM294" i="8"/>
  <c r="Y413" i="7" s="1"/>
  <c r="Y413" i="3" s="1"/>
  <c r="AL159" i="8"/>
  <c r="X278" i="7" s="1"/>
  <c r="X278" i="3" s="1"/>
  <c r="AL160" i="8"/>
  <c r="X279" i="7" s="1"/>
  <c r="X279" i="3" s="1"/>
  <c r="AL161" i="8"/>
  <c r="X280" i="7" s="1"/>
  <c r="X280" i="3" s="1"/>
  <c r="AL162" i="8"/>
  <c r="X281" i="7" s="1"/>
  <c r="X281" i="3" s="1"/>
  <c r="AL163" i="8"/>
  <c r="X282" i="7" s="1"/>
  <c r="X282" i="3" s="1"/>
  <c r="AL164" i="8"/>
  <c r="X283" i="7" s="1"/>
  <c r="X283" i="3" s="1"/>
  <c r="AL165" i="8"/>
  <c r="X284" i="7" s="1"/>
  <c r="X284" i="3" s="1"/>
  <c r="AL166" i="8"/>
  <c r="X285" i="7" s="1"/>
  <c r="X285" i="3" s="1"/>
  <c r="AL167" i="8"/>
  <c r="X286" i="7" s="1"/>
  <c r="X286" i="3" s="1"/>
  <c r="AL168" i="8"/>
  <c r="X287" i="7" s="1"/>
  <c r="X287" i="3" s="1"/>
  <c r="AL169" i="8"/>
  <c r="X288" i="7" s="1"/>
  <c r="X288" i="3" s="1"/>
  <c r="AL170" i="8"/>
  <c r="X289" i="7" s="1"/>
  <c r="X289" i="3" s="1"/>
  <c r="AL171" i="8"/>
  <c r="X290" i="7" s="1"/>
  <c r="X290" i="3" s="1"/>
  <c r="AL172" i="8"/>
  <c r="X291" i="7" s="1"/>
  <c r="X291" i="3" s="1"/>
  <c r="AL173" i="8"/>
  <c r="X292" i="7" s="1"/>
  <c r="X292" i="3" s="1"/>
  <c r="AL174" i="8"/>
  <c r="X293" i="7" s="1"/>
  <c r="X293" i="3" s="1"/>
  <c r="AL175" i="8"/>
  <c r="X294" i="7" s="1"/>
  <c r="X294" i="3" s="1"/>
  <c r="AL176" i="8"/>
  <c r="X295" i="7" s="1"/>
  <c r="X295" i="3" s="1"/>
  <c r="AL177" i="8"/>
  <c r="X296" i="7" s="1"/>
  <c r="X296" i="3" s="1"/>
  <c r="AL178" i="8"/>
  <c r="X297" i="7" s="1"/>
  <c r="X297" i="3" s="1"/>
  <c r="AL179" i="8"/>
  <c r="X298" i="7" s="1"/>
  <c r="X298" i="3" s="1"/>
  <c r="AL180" i="8"/>
  <c r="X299" i="7" s="1"/>
  <c r="X299" i="3" s="1"/>
  <c r="AL181" i="8"/>
  <c r="X300" i="7" s="1"/>
  <c r="X300" i="3" s="1"/>
  <c r="AL182" i="8"/>
  <c r="X301" i="7" s="1"/>
  <c r="X301" i="3" s="1"/>
  <c r="AL183" i="8"/>
  <c r="X302" i="7" s="1"/>
  <c r="X302" i="3" s="1"/>
  <c r="AL184" i="8"/>
  <c r="X303" i="7" s="1"/>
  <c r="X303" i="3" s="1"/>
  <c r="AL185" i="8"/>
  <c r="X304" i="7" s="1"/>
  <c r="X304" i="3" s="1"/>
  <c r="AL186" i="8"/>
  <c r="X305" i="7" s="1"/>
  <c r="X305" i="3" s="1"/>
  <c r="AL187" i="8"/>
  <c r="X306" i="7" s="1"/>
  <c r="X306" i="3" s="1"/>
  <c r="AL188" i="8"/>
  <c r="X307" i="7" s="1"/>
  <c r="X307" i="3" s="1"/>
  <c r="AL189" i="8"/>
  <c r="X308" i="7" s="1"/>
  <c r="X308" i="3" s="1"/>
  <c r="AL190" i="8"/>
  <c r="X309" i="7" s="1"/>
  <c r="X309" i="3" s="1"/>
  <c r="AL191" i="8"/>
  <c r="X310" i="7" s="1"/>
  <c r="X310" i="3" s="1"/>
  <c r="AL192" i="8"/>
  <c r="X311" i="7" s="1"/>
  <c r="X311" i="3" s="1"/>
  <c r="AL193" i="8"/>
  <c r="X312" i="7" s="1"/>
  <c r="X312" i="3" s="1"/>
  <c r="AL194" i="8"/>
  <c r="X313" i="7" s="1"/>
  <c r="X313" i="3" s="1"/>
  <c r="AL195" i="8"/>
  <c r="X314" i="7" s="1"/>
  <c r="X314" i="3" s="1"/>
  <c r="AL196" i="8"/>
  <c r="X315" i="7" s="1"/>
  <c r="X315" i="3" s="1"/>
  <c r="AL197" i="8"/>
  <c r="X316" i="7" s="1"/>
  <c r="X316" i="3" s="1"/>
  <c r="AL198" i="8"/>
  <c r="X317" i="7" s="1"/>
  <c r="X317" i="3" s="1"/>
  <c r="AL199" i="8"/>
  <c r="X318" i="7" s="1"/>
  <c r="X318" i="3" s="1"/>
  <c r="AL200" i="8"/>
  <c r="X319" i="7" s="1"/>
  <c r="X319" i="3" s="1"/>
  <c r="AL201" i="8"/>
  <c r="X320" i="7" s="1"/>
  <c r="X320" i="3" s="1"/>
  <c r="AL202" i="8"/>
  <c r="X321" i="7" s="1"/>
  <c r="X321" i="3" s="1"/>
  <c r="AL203" i="8"/>
  <c r="X322" i="7" s="1"/>
  <c r="X322" i="3" s="1"/>
  <c r="AL204" i="8"/>
  <c r="X323" i="7" s="1"/>
  <c r="X323" i="3" s="1"/>
  <c r="AL205" i="8"/>
  <c r="X324" i="7" s="1"/>
  <c r="X324" i="3" s="1"/>
  <c r="AL206" i="8"/>
  <c r="X325" i="7" s="1"/>
  <c r="X325" i="3" s="1"/>
  <c r="AL207" i="8"/>
  <c r="X326" i="7" s="1"/>
  <c r="X326" i="3" s="1"/>
  <c r="AL208" i="8"/>
  <c r="X327" i="7" s="1"/>
  <c r="X327" i="3" s="1"/>
  <c r="AL209" i="8"/>
  <c r="X328" i="7" s="1"/>
  <c r="X328" i="3" s="1"/>
  <c r="AL210" i="8"/>
  <c r="X329" i="7" s="1"/>
  <c r="X329" i="3" s="1"/>
  <c r="AL211" i="8"/>
  <c r="X330" i="7" s="1"/>
  <c r="X330" i="3" s="1"/>
  <c r="AL212" i="8"/>
  <c r="X331" i="7" s="1"/>
  <c r="X331" i="3" s="1"/>
  <c r="AL213" i="8"/>
  <c r="X332" i="7" s="1"/>
  <c r="X332" i="3" s="1"/>
  <c r="AL214" i="8"/>
  <c r="X333" i="7" s="1"/>
  <c r="X333" i="3" s="1"/>
  <c r="AL215" i="8"/>
  <c r="X334" i="7" s="1"/>
  <c r="X334" i="3" s="1"/>
  <c r="AL216" i="8"/>
  <c r="X335" i="7" s="1"/>
  <c r="X335" i="3" s="1"/>
  <c r="AL217" i="8"/>
  <c r="X336" i="7" s="1"/>
  <c r="X336" i="3" s="1"/>
  <c r="AL218" i="8"/>
  <c r="X337" i="7" s="1"/>
  <c r="X337" i="3" s="1"/>
  <c r="AL219" i="8"/>
  <c r="X338" i="7" s="1"/>
  <c r="X338" i="3" s="1"/>
  <c r="AL220" i="8"/>
  <c r="X339" i="7" s="1"/>
  <c r="X339" i="3" s="1"/>
  <c r="AL221" i="8"/>
  <c r="X340" i="7" s="1"/>
  <c r="X340" i="3" s="1"/>
  <c r="AL222" i="8"/>
  <c r="X341" i="7" s="1"/>
  <c r="AL223" i="8"/>
  <c r="X342" i="7" s="1"/>
  <c r="X342" i="3" s="1"/>
  <c r="AL224" i="8"/>
  <c r="X343" i="7" s="1"/>
  <c r="X343" i="3" s="1"/>
  <c r="AL225" i="8"/>
  <c r="X344" i="7" s="1"/>
  <c r="X344" i="3" s="1"/>
  <c r="AL226" i="8"/>
  <c r="X345" i="7" s="1"/>
  <c r="X345" i="3" s="1"/>
  <c r="AL227" i="8"/>
  <c r="X346" i="7" s="1"/>
  <c r="X346" i="3" s="1"/>
  <c r="AL228" i="8"/>
  <c r="X347" i="7" s="1"/>
  <c r="X347" i="3" s="1"/>
  <c r="AL229" i="8"/>
  <c r="X348" i="7" s="1"/>
  <c r="X348" i="3" s="1"/>
  <c r="AL230" i="8"/>
  <c r="X349" i="7" s="1"/>
  <c r="X349" i="3" s="1"/>
  <c r="AL231" i="8"/>
  <c r="X350" i="7" s="1"/>
  <c r="X350" i="3" s="1"/>
  <c r="AL232" i="8"/>
  <c r="X351" i="7" s="1"/>
  <c r="X351" i="3" s="1"/>
  <c r="AL233" i="8"/>
  <c r="X352" i="7" s="1"/>
  <c r="X352" i="3" s="1"/>
  <c r="AL234" i="8"/>
  <c r="X353" i="7" s="1"/>
  <c r="X353" i="3" s="1"/>
  <c r="AL235" i="8"/>
  <c r="X354" i="7" s="1"/>
  <c r="X354" i="3" s="1"/>
  <c r="AL236" i="8"/>
  <c r="X355" i="7" s="1"/>
  <c r="X355" i="3" s="1"/>
  <c r="AL237" i="8"/>
  <c r="X356" i="7" s="1"/>
  <c r="X356" i="3" s="1"/>
  <c r="AL238" i="8"/>
  <c r="X357" i="7" s="1"/>
  <c r="X357" i="3" s="1"/>
  <c r="AL239" i="8"/>
  <c r="X358" i="7" s="1"/>
  <c r="X358" i="3" s="1"/>
  <c r="AL240" i="8"/>
  <c r="X359" i="7" s="1"/>
  <c r="X359" i="3" s="1"/>
  <c r="AL241" i="8"/>
  <c r="X360" i="7" s="1"/>
  <c r="X360" i="3" s="1"/>
  <c r="AL242" i="8"/>
  <c r="X361" i="7" s="1"/>
  <c r="X361" i="3" s="1"/>
  <c r="AL243" i="8"/>
  <c r="X362" i="7" s="1"/>
  <c r="X362" i="3" s="1"/>
  <c r="AL244" i="8"/>
  <c r="X363" i="7" s="1"/>
  <c r="X363" i="3" s="1"/>
  <c r="AL245" i="8"/>
  <c r="X364" i="7" s="1"/>
  <c r="X364" i="3" s="1"/>
  <c r="AL246" i="8"/>
  <c r="X365" i="7" s="1"/>
  <c r="X365" i="3" s="1"/>
  <c r="AL247" i="8"/>
  <c r="X366" i="7" s="1"/>
  <c r="X366" i="3" s="1"/>
  <c r="AL248" i="8"/>
  <c r="X367" i="7" s="1"/>
  <c r="X367" i="3" s="1"/>
  <c r="AL249" i="8"/>
  <c r="X368" i="7" s="1"/>
  <c r="X368" i="3" s="1"/>
  <c r="AL250" i="8"/>
  <c r="X369" i="7" s="1"/>
  <c r="X369" i="3" s="1"/>
  <c r="AL251" i="8"/>
  <c r="X370" i="7" s="1"/>
  <c r="X370" i="3" s="1"/>
  <c r="AL252" i="8"/>
  <c r="X371" i="7" s="1"/>
  <c r="X371" i="3" s="1"/>
  <c r="AL253" i="8"/>
  <c r="X372" i="7" s="1"/>
  <c r="AL254" i="8"/>
  <c r="X373" i="7" s="1"/>
  <c r="X373" i="3" s="1"/>
  <c r="AL255" i="8"/>
  <c r="X374" i="7" s="1"/>
  <c r="X374" i="3" s="1"/>
  <c r="AL256" i="8"/>
  <c r="X375" i="7" s="1"/>
  <c r="X375" i="3" s="1"/>
  <c r="AL257" i="8"/>
  <c r="X376" i="7" s="1"/>
  <c r="X376" i="3" s="1"/>
  <c r="AL258" i="8"/>
  <c r="X377" i="7" s="1"/>
  <c r="X377" i="3" s="1"/>
  <c r="AL259" i="8"/>
  <c r="X378" i="7" s="1"/>
  <c r="X378" i="3" s="1"/>
  <c r="AL260" i="8"/>
  <c r="X379" i="7" s="1"/>
  <c r="X379" i="3" s="1"/>
  <c r="AL261" i="8"/>
  <c r="X380" i="7" s="1"/>
  <c r="X380" i="3" s="1"/>
  <c r="AL262" i="8"/>
  <c r="X381" i="7" s="1"/>
  <c r="X381" i="3" s="1"/>
  <c r="AL263" i="8"/>
  <c r="X382" i="7" s="1"/>
  <c r="X382" i="3" s="1"/>
  <c r="AL264" i="8"/>
  <c r="X383" i="7" s="1"/>
  <c r="X383" i="3" s="1"/>
  <c r="AL265" i="8"/>
  <c r="X384" i="7" s="1"/>
  <c r="X384" i="3" s="1"/>
  <c r="AL266" i="8"/>
  <c r="X385" i="7" s="1"/>
  <c r="X385" i="3" s="1"/>
  <c r="AL267" i="8"/>
  <c r="X386" i="7" s="1"/>
  <c r="X386" i="3" s="1"/>
  <c r="AL268" i="8"/>
  <c r="X387" i="7" s="1"/>
  <c r="X387" i="3" s="1"/>
  <c r="AL269" i="8"/>
  <c r="X388" i="7" s="1"/>
  <c r="X388" i="3" s="1"/>
  <c r="AL270" i="8"/>
  <c r="X389" i="7" s="1"/>
  <c r="X389" i="3" s="1"/>
  <c r="AL271" i="8"/>
  <c r="X390" i="7" s="1"/>
  <c r="AL272" i="8"/>
  <c r="X391" i="7" s="1"/>
  <c r="X391" i="3" s="1"/>
  <c r="AL273" i="8"/>
  <c r="X392" i="7" s="1"/>
  <c r="X392" i="3" s="1"/>
  <c r="AL274" i="8"/>
  <c r="X393" i="7" s="1"/>
  <c r="X393" i="3" s="1"/>
  <c r="AL275" i="8"/>
  <c r="X394" i="7" s="1"/>
  <c r="X394" i="3" s="1"/>
  <c r="AL276" i="8"/>
  <c r="X395" i="7" s="1"/>
  <c r="X395" i="3" s="1"/>
  <c r="AL277" i="8"/>
  <c r="X396" i="7" s="1"/>
  <c r="X396" i="3" s="1"/>
  <c r="AL278" i="8"/>
  <c r="X397" i="7" s="1"/>
  <c r="X397" i="3" s="1"/>
  <c r="AL279" i="8"/>
  <c r="X398" i="7" s="1"/>
  <c r="X398" i="3" s="1"/>
  <c r="AL280" i="8"/>
  <c r="X399" i="7" s="1"/>
  <c r="X399" i="3" s="1"/>
  <c r="AL281" i="8"/>
  <c r="X400" i="7" s="1"/>
  <c r="X400" i="3" s="1"/>
  <c r="AL282" i="8"/>
  <c r="X401" i="7" s="1"/>
  <c r="X401" i="3" s="1"/>
  <c r="AL283" i="8"/>
  <c r="X402" i="7" s="1"/>
  <c r="X402" i="3" s="1"/>
  <c r="AL284" i="8"/>
  <c r="X403" i="7" s="1"/>
  <c r="X403" i="3" s="1"/>
  <c r="AL285" i="8"/>
  <c r="X404" i="7" s="1"/>
  <c r="X404" i="3" s="1"/>
  <c r="AL286" i="8"/>
  <c r="X405" i="7" s="1"/>
  <c r="X405" i="3" s="1"/>
  <c r="AL287" i="8"/>
  <c r="X406" i="7" s="1"/>
  <c r="X406" i="3" s="1"/>
  <c r="AL288" i="8"/>
  <c r="X407" i="7" s="1"/>
  <c r="X407" i="3" s="1"/>
  <c r="AL289" i="8"/>
  <c r="X408" i="7" s="1"/>
  <c r="X408" i="3" s="1"/>
  <c r="AL290" i="8"/>
  <c r="X409" i="7" s="1"/>
  <c r="X409" i="3" s="1"/>
  <c r="AL291" i="8"/>
  <c r="X410" i="7" s="1"/>
  <c r="X410" i="3" s="1"/>
  <c r="AL292" i="8"/>
  <c r="X411" i="7" s="1"/>
  <c r="X411" i="3" s="1"/>
  <c r="AL293" i="8"/>
  <c r="X412" i="7" s="1"/>
  <c r="X412" i="3" s="1"/>
  <c r="AL294" i="8"/>
  <c r="X413" i="7" s="1"/>
  <c r="X413" i="3" s="1"/>
  <c r="AK159" i="8"/>
  <c r="W278" i="7" s="1"/>
  <c r="W278" i="3" s="1"/>
  <c r="AK160" i="8"/>
  <c r="W279" i="7" s="1"/>
  <c r="W279" i="3" s="1"/>
  <c r="AK161" i="8"/>
  <c r="W280" i="7" s="1"/>
  <c r="W280" i="3" s="1"/>
  <c r="AK162" i="8"/>
  <c r="W281" i="7" s="1"/>
  <c r="W281" i="3" s="1"/>
  <c r="AK163" i="8"/>
  <c r="W282" i="7" s="1"/>
  <c r="W282" i="3" s="1"/>
  <c r="AK164" i="8"/>
  <c r="W283" i="7" s="1"/>
  <c r="W283" i="3" s="1"/>
  <c r="AK165" i="8"/>
  <c r="W284" i="7" s="1"/>
  <c r="W284" i="3" s="1"/>
  <c r="AK167" i="8"/>
  <c r="W286" i="7" s="1"/>
  <c r="W286" i="3" s="1"/>
  <c r="AK168" i="8"/>
  <c r="W287" i="7" s="1"/>
  <c r="W287" i="3" s="1"/>
  <c r="AK169" i="8"/>
  <c r="W288" i="7" s="1"/>
  <c r="W288" i="3" s="1"/>
  <c r="AK171" i="8"/>
  <c r="W290" i="7" s="1"/>
  <c r="W290" i="3" s="1"/>
  <c r="AK172" i="8"/>
  <c r="W291" i="7" s="1"/>
  <c r="W291" i="3" s="1"/>
  <c r="AK173" i="8"/>
  <c r="W292" i="7" s="1"/>
  <c r="W292" i="3" s="1"/>
  <c r="AK174" i="8"/>
  <c r="W293" i="7" s="1"/>
  <c r="W293" i="3" s="1"/>
  <c r="AK175" i="8"/>
  <c r="W294" i="7" s="1"/>
  <c r="W294" i="3" s="1"/>
  <c r="AK176" i="8"/>
  <c r="W295" i="7" s="1"/>
  <c r="W295" i="3" s="1"/>
  <c r="AK177" i="8"/>
  <c r="W296" i="7" s="1"/>
  <c r="W296" i="3" s="1"/>
  <c r="AK178" i="8"/>
  <c r="W297" i="7" s="1"/>
  <c r="W297" i="3" s="1"/>
  <c r="AK179" i="8"/>
  <c r="W298" i="7" s="1"/>
  <c r="W298" i="3" s="1"/>
  <c r="AK180" i="8"/>
  <c r="W299" i="7" s="1"/>
  <c r="W299" i="3" s="1"/>
  <c r="AK181" i="8"/>
  <c r="W300" i="7" s="1"/>
  <c r="W300" i="3" s="1"/>
  <c r="AK182" i="8"/>
  <c r="W301" i="7" s="1"/>
  <c r="W301" i="3" s="1"/>
  <c r="AK183" i="8"/>
  <c r="W302" i="7" s="1"/>
  <c r="W302" i="3" s="1"/>
  <c r="AK184" i="8"/>
  <c r="W303" i="7" s="1"/>
  <c r="W303" i="3" s="1"/>
  <c r="AK185" i="8"/>
  <c r="W304" i="7" s="1"/>
  <c r="W304" i="3" s="1"/>
  <c r="AK186" i="8"/>
  <c r="W305" i="7" s="1"/>
  <c r="W305" i="3" s="1"/>
  <c r="AK187" i="8"/>
  <c r="W306" i="7" s="1"/>
  <c r="W306" i="3" s="1"/>
  <c r="AK188" i="8"/>
  <c r="W307" i="7" s="1"/>
  <c r="W307" i="3" s="1"/>
  <c r="AK189" i="8"/>
  <c r="W308" i="7" s="1"/>
  <c r="W308" i="3" s="1"/>
  <c r="AK190" i="8"/>
  <c r="W309" i="7" s="1"/>
  <c r="W309" i="3" s="1"/>
  <c r="AK191" i="8"/>
  <c r="W310" i="7" s="1"/>
  <c r="W310" i="3" s="1"/>
  <c r="AK192" i="8"/>
  <c r="W311" i="7" s="1"/>
  <c r="W311" i="3" s="1"/>
  <c r="AK193" i="8"/>
  <c r="W312" i="7" s="1"/>
  <c r="W312" i="3" s="1"/>
  <c r="AK194" i="8"/>
  <c r="W313" i="7" s="1"/>
  <c r="W313" i="3" s="1"/>
  <c r="AK195" i="8"/>
  <c r="W314" i="7" s="1"/>
  <c r="W314" i="3" s="1"/>
  <c r="AK196" i="8"/>
  <c r="W315" i="7" s="1"/>
  <c r="W315" i="3" s="1"/>
  <c r="AK197" i="8"/>
  <c r="W316" i="7" s="1"/>
  <c r="W316" i="3" s="1"/>
  <c r="AK198" i="8"/>
  <c r="W317" i="7" s="1"/>
  <c r="W317" i="3" s="1"/>
  <c r="AK199" i="8"/>
  <c r="W318" i="7" s="1"/>
  <c r="W318" i="3" s="1"/>
  <c r="AK200" i="8"/>
  <c r="W319" i="7" s="1"/>
  <c r="W319" i="3" s="1"/>
  <c r="AK201" i="8"/>
  <c r="W320" i="7" s="1"/>
  <c r="W320" i="3" s="1"/>
  <c r="AK202" i="8"/>
  <c r="W321" i="7" s="1"/>
  <c r="W321" i="3" s="1"/>
  <c r="AK203" i="8"/>
  <c r="W322" i="7" s="1"/>
  <c r="W322" i="3" s="1"/>
  <c r="AK204" i="8"/>
  <c r="W323" i="7" s="1"/>
  <c r="W323" i="3" s="1"/>
  <c r="AK205" i="8"/>
  <c r="W324" i="7" s="1"/>
  <c r="W324" i="3" s="1"/>
  <c r="AK206" i="8"/>
  <c r="W325" i="7" s="1"/>
  <c r="W325" i="3" s="1"/>
  <c r="AK207" i="8"/>
  <c r="W326" i="7" s="1"/>
  <c r="W326" i="3" s="1"/>
  <c r="AK208" i="8"/>
  <c r="W327" i="7" s="1"/>
  <c r="W327" i="3" s="1"/>
  <c r="AK209" i="8"/>
  <c r="W328" i="7" s="1"/>
  <c r="W328" i="3" s="1"/>
  <c r="AK210" i="8"/>
  <c r="W329" i="7" s="1"/>
  <c r="W329" i="3" s="1"/>
  <c r="AK211" i="8"/>
  <c r="W330" i="7" s="1"/>
  <c r="W330" i="3" s="1"/>
  <c r="AK212" i="8"/>
  <c r="W331" i="7" s="1"/>
  <c r="W331" i="3" s="1"/>
  <c r="AK214" i="8"/>
  <c r="W333" i="7" s="1"/>
  <c r="W333" i="3" s="1"/>
  <c r="AK215" i="8"/>
  <c r="W334" i="7" s="1"/>
  <c r="W334" i="3" s="1"/>
  <c r="AK216" i="8"/>
  <c r="W335" i="7" s="1"/>
  <c r="W335" i="3" s="1"/>
  <c r="AK217" i="8"/>
  <c r="W336" i="7" s="1"/>
  <c r="W336" i="3" s="1"/>
  <c r="AK218" i="8"/>
  <c r="W337" i="7" s="1"/>
  <c r="W337" i="3" s="1"/>
  <c r="AK219" i="8"/>
  <c r="W338" i="7" s="1"/>
  <c r="W338" i="3" s="1"/>
  <c r="AK220" i="8"/>
  <c r="W339" i="7" s="1"/>
  <c r="W339" i="3" s="1"/>
  <c r="AK221" i="8"/>
  <c r="W340" i="7" s="1"/>
  <c r="W340" i="3" s="1"/>
  <c r="AK222" i="8"/>
  <c r="W341" i="7" s="1"/>
  <c r="AK223" i="8"/>
  <c r="W342" i="7" s="1"/>
  <c r="W342" i="3" s="1"/>
  <c r="AK224" i="8"/>
  <c r="W343" i="7" s="1"/>
  <c r="W343" i="3" s="1"/>
  <c r="AK225" i="8"/>
  <c r="W344" i="7" s="1"/>
  <c r="W344" i="3" s="1"/>
  <c r="AK226" i="8"/>
  <c r="W345" i="7" s="1"/>
  <c r="W345" i="3" s="1"/>
  <c r="AK227" i="8"/>
  <c r="W346" i="7" s="1"/>
  <c r="W346" i="3" s="1"/>
  <c r="AK228" i="8"/>
  <c r="W347" i="7" s="1"/>
  <c r="W347" i="3" s="1"/>
  <c r="AK229" i="8"/>
  <c r="W348" i="7" s="1"/>
  <c r="W348" i="3" s="1"/>
  <c r="AK230" i="8"/>
  <c r="W349" i="7" s="1"/>
  <c r="W349" i="3" s="1"/>
  <c r="AK231" i="8"/>
  <c r="W350" i="7" s="1"/>
  <c r="W350" i="3" s="1"/>
  <c r="AK232" i="8"/>
  <c r="W351" i="7" s="1"/>
  <c r="W351" i="3" s="1"/>
  <c r="AK233" i="8"/>
  <c r="W352" i="7" s="1"/>
  <c r="W352" i="3" s="1"/>
  <c r="AK234" i="8"/>
  <c r="W353" i="7" s="1"/>
  <c r="W353" i="3" s="1"/>
  <c r="AK235" i="8"/>
  <c r="W354" i="7" s="1"/>
  <c r="W354" i="3" s="1"/>
  <c r="AK236" i="8"/>
  <c r="W355" i="7" s="1"/>
  <c r="W355" i="3" s="1"/>
  <c r="AK237" i="8"/>
  <c r="W356" i="7" s="1"/>
  <c r="W356" i="3" s="1"/>
  <c r="AK238" i="8"/>
  <c r="W357" i="7" s="1"/>
  <c r="W357" i="3" s="1"/>
  <c r="AK239" i="8"/>
  <c r="W358" i="7" s="1"/>
  <c r="W358" i="3" s="1"/>
  <c r="AK240" i="8"/>
  <c r="W359" i="7" s="1"/>
  <c r="W359" i="3" s="1"/>
  <c r="AK241" i="8"/>
  <c r="W360" i="7" s="1"/>
  <c r="W360" i="3" s="1"/>
  <c r="AK242" i="8"/>
  <c r="W361" i="7" s="1"/>
  <c r="W361" i="3" s="1"/>
  <c r="AK243" i="8"/>
  <c r="W362" i="7" s="1"/>
  <c r="W362" i="3" s="1"/>
  <c r="AK244" i="8"/>
  <c r="W363" i="7" s="1"/>
  <c r="W363" i="3" s="1"/>
  <c r="AK245" i="8"/>
  <c r="W364" i="7" s="1"/>
  <c r="W364" i="3" s="1"/>
  <c r="AK246" i="8"/>
  <c r="W365" i="7" s="1"/>
  <c r="W365" i="3" s="1"/>
  <c r="AK248" i="8"/>
  <c r="W367" i="7" s="1"/>
  <c r="W367" i="3" s="1"/>
  <c r="AK249" i="8"/>
  <c r="W368" i="7" s="1"/>
  <c r="W368" i="3" s="1"/>
  <c r="AK250" i="8"/>
  <c r="W369" i="7" s="1"/>
  <c r="W369" i="3" s="1"/>
  <c r="AK251" i="8"/>
  <c r="W370" i="7" s="1"/>
  <c r="W370" i="3" s="1"/>
  <c r="AK253" i="8"/>
  <c r="W372" i="7" s="1"/>
  <c r="AK254" i="8"/>
  <c r="W373" i="7" s="1"/>
  <c r="W373" i="3" s="1"/>
  <c r="AK255" i="8"/>
  <c r="W374" i="7" s="1"/>
  <c r="W374" i="3" s="1"/>
  <c r="AK256" i="8"/>
  <c r="W375" i="7" s="1"/>
  <c r="W375" i="3" s="1"/>
  <c r="AK257" i="8"/>
  <c r="W376" i="7" s="1"/>
  <c r="W376" i="3" s="1"/>
  <c r="AK258" i="8"/>
  <c r="W377" i="7" s="1"/>
  <c r="W377" i="3" s="1"/>
  <c r="AK259" i="8"/>
  <c r="W378" i="7" s="1"/>
  <c r="W378" i="3" s="1"/>
  <c r="AK260" i="8"/>
  <c r="W379" i="7" s="1"/>
  <c r="W379" i="3" s="1"/>
  <c r="AK261" i="8"/>
  <c r="W380" i="7" s="1"/>
  <c r="W380" i="3" s="1"/>
  <c r="AK262" i="8"/>
  <c r="W381" i="7" s="1"/>
  <c r="W381" i="3" s="1"/>
  <c r="AK263" i="8"/>
  <c r="W382" i="7" s="1"/>
  <c r="W382" i="3" s="1"/>
  <c r="AK264" i="8"/>
  <c r="W383" i="7" s="1"/>
  <c r="W383" i="3" s="1"/>
  <c r="AK265" i="8"/>
  <c r="W384" i="7" s="1"/>
  <c r="W384" i="3" s="1"/>
  <c r="AK266" i="8"/>
  <c r="W385" i="7" s="1"/>
  <c r="W385" i="3" s="1"/>
  <c r="AK267" i="8"/>
  <c r="W386" i="7" s="1"/>
  <c r="W386" i="3" s="1"/>
  <c r="AK268" i="8"/>
  <c r="W387" i="7" s="1"/>
  <c r="W387" i="3" s="1"/>
  <c r="AK269" i="8"/>
  <c r="W388" i="7" s="1"/>
  <c r="W388" i="3" s="1"/>
  <c r="AK270" i="8"/>
  <c r="W389" i="7" s="1"/>
  <c r="W389" i="3" s="1"/>
  <c r="AK271" i="8"/>
  <c r="W390" i="7" s="1"/>
  <c r="AK272" i="8"/>
  <c r="W391" i="7" s="1"/>
  <c r="W391" i="3" s="1"/>
  <c r="AK273" i="8"/>
  <c r="W392" i="7" s="1"/>
  <c r="W392" i="3" s="1"/>
  <c r="AK274" i="8"/>
  <c r="W393" i="7" s="1"/>
  <c r="W393" i="3" s="1"/>
  <c r="AK275" i="8"/>
  <c r="W394" i="7" s="1"/>
  <c r="W394" i="3" s="1"/>
  <c r="AK276" i="8"/>
  <c r="W395" i="7" s="1"/>
  <c r="W395" i="3" s="1"/>
  <c r="AK277" i="8"/>
  <c r="W396" i="7" s="1"/>
  <c r="W396" i="3" s="1"/>
  <c r="AK278" i="8"/>
  <c r="W397" i="7" s="1"/>
  <c r="W397" i="3" s="1"/>
  <c r="AK279" i="8"/>
  <c r="W398" i="7" s="1"/>
  <c r="W398" i="3" s="1"/>
  <c r="AK280" i="8"/>
  <c r="W399" i="7" s="1"/>
  <c r="W399" i="3" s="1"/>
  <c r="AK281" i="8"/>
  <c r="W400" i="7" s="1"/>
  <c r="W400" i="3" s="1"/>
  <c r="AK282" i="8"/>
  <c r="W401" i="7" s="1"/>
  <c r="W401" i="3" s="1"/>
  <c r="AK283" i="8"/>
  <c r="W402" i="7" s="1"/>
  <c r="W402" i="3" s="1"/>
  <c r="AK284" i="8"/>
  <c r="W403" i="7" s="1"/>
  <c r="W403" i="3" s="1"/>
  <c r="AK285" i="8"/>
  <c r="W404" i="7" s="1"/>
  <c r="W404" i="3" s="1"/>
  <c r="AK286" i="8"/>
  <c r="W405" i="7" s="1"/>
  <c r="W405" i="3" s="1"/>
  <c r="AK287" i="8"/>
  <c r="W406" i="7" s="1"/>
  <c r="W406" i="3" s="1"/>
  <c r="AK288" i="8"/>
  <c r="W407" i="7" s="1"/>
  <c r="W407" i="3" s="1"/>
  <c r="AK289" i="8"/>
  <c r="W408" i="7" s="1"/>
  <c r="W408" i="3" s="1"/>
  <c r="AK290" i="8"/>
  <c r="W409" i="7" s="1"/>
  <c r="W409" i="3" s="1"/>
  <c r="AK291" i="8"/>
  <c r="W410" i="7" s="1"/>
  <c r="W410" i="3" s="1"/>
  <c r="AK292" i="8"/>
  <c r="W411" i="7" s="1"/>
  <c r="W411" i="3" s="1"/>
  <c r="AK293" i="8"/>
  <c r="W412" i="7" s="1"/>
  <c r="W412" i="3" s="1"/>
  <c r="AK294" i="8"/>
  <c r="W413" i="7" s="1"/>
  <c r="W413" i="3" s="1"/>
  <c r="AJ159" i="8"/>
  <c r="V278" i="7" s="1"/>
  <c r="V278" i="3" s="1"/>
  <c r="AJ160" i="8"/>
  <c r="V279" i="7" s="1"/>
  <c r="V279" i="3" s="1"/>
  <c r="AJ161" i="8"/>
  <c r="V280" i="7" s="1"/>
  <c r="V280" i="3" s="1"/>
  <c r="AJ162" i="8"/>
  <c r="V281" i="7" s="1"/>
  <c r="V281" i="3" s="1"/>
  <c r="AJ163" i="8"/>
  <c r="V282" i="7" s="1"/>
  <c r="V282" i="3" s="1"/>
  <c r="AJ164" i="8"/>
  <c r="V283" i="7" s="1"/>
  <c r="V283" i="3" s="1"/>
  <c r="AJ165" i="8"/>
  <c r="V284" i="7" s="1"/>
  <c r="V284" i="3" s="1"/>
  <c r="AJ166" i="8"/>
  <c r="V285" i="7" s="1"/>
  <c r="V285" i="3" s="1"/>
  <c r="AJ167" i="8"/>
  <c r="V286" i="7" s="1"/>
  <c r="V286" i="3" s="1"/>
  <c r="AJ168" i="8"/>
  <c r="V287" i="7" s="1"/>
  <c r="V287" i="3" s="1"/>
  <c r="AJ169" i="8"/>
  <c r="V288" i="7" s="1"/>
  <c r="V288" i="3" s="1"/>
  <c r="AJ170" i="8"/>
  <c r="V289" i="7" s="1"/>
  <c r="V289" i="3" s="1"/>
  <c r="AJ171" i="8"/>
  <c r="V290" i="7" s="1"/>
  <c r="V290" i="3" s="1"/>
  <c r="AJ172" i="8"/>
  <c r="V291" i="7" s="1"/>
  <c r="V291" i="3" s="1"/>
  <c r="AJ173" i="8"/>
  <c r="V292" i="7" s="1"/>
  <c r="V292" i="3" s="1"/>
  <c r="AJ174" i="8"/>
  <c r="V293" i="7" s="1"/>
  <c r="V293" i="3" s="1"/>
  <c r="AJ175" i="8"/>
  <c r="V294" i="7" s="1"/>
  <c r="V294" i="3" s="1"/>
  <c r="AJ176" i="8"/>
  <c r="V295" i="7" s="1"/>
  <c r="V295" i="3" s="1"/>
  <c r="AJ177" i="8"/>
  <c r="V296" i="7" s="1"/>
  <c r="V296" i="3" s="1"/>
  <c r="AJ178" i="8"/>
  <c r="V297" i="7" s="1"/>
  <c r="V297" i="3" s="1"/>
  <c r="AJ179" i="8"/>
  <c r="V298" i="7" s="1"/>
  <c r="V298" i="3" s="1"/>
  <c r="AJ180" i="8"/>
  <c r="V299" i="7" s="1"/>
  <c r="V299" i="3" s="1"/>
  <c r="AJ181" i="8"/>
  <c r="V300" i="7" s="1"/>
  <c r="V300" i="3" s="1"/>
  <c r="AJ182" i="8"/>
  <c r="V301" i="7" s="1"/>
  <c r="V301" i="3" s="1"/>
  <c r="AJ183" i="8"/>
  <c r="V302" i="7" s="1"/>
  <c r="V302" i="3" s="1"/>
  <c r="AJ184" i="8"/>
  <c r="V303" i="7" s="1"/>
  <c r="V303" i="3" s="1"/>
  <c r="AJ185" i="8"/>
  <c r="V304" i="7" s="1"/>
  <c r="V304" i="3" s="1"/>
  <c r="AJ186" i="8"/>
  <c r="V305" i="7" s="1"/>
  <c r="V305" i="3" s="1"/>
  <c r="AJ187" i="8"/>
  <c r="V306" i="7" s="1"/>
  <c r="V306" i="3" s="1"/>
  <c r="AJ188" i="8"/>
  <c r="V307" i="7" s="1"/>
  <c r="V307" i="3" s="1"/>
  <c r="AJ189" i="8"/>
  <c r="V308" i="7" s="1"/>
  <c r="V308" i="3" s="1"/>
  <c r="AJ190" i="8"/>
  <c r="V309" i="7" s="1"/>
  <c r="V309" i="3" s="1"/>
  <c r="AJ191" i="8"/>
  <c r="V310" i="7" s="1"/>
  <c r="V310" i="3" s="1"/>
  <c r="AJ192" i="8"/>
  <c r="V311" i="7" s="1"/>
  <c r="V311" i="3" s="1"/>
  <c r="AJ193" i="8"/>
  <c r="V312" i="7" s="1"/>
  <c r="V312" i="3" s="1"/>
  <c r="AJ194" i="8"/>
  <c r="V313" i="7" s="1"/>
  <c r="V313" i="3" s="1"/>
  <c r="AJ195" i="8"/>
  <c r="V314" i="7" s="1"/>
  <c r="V314" i="3" s="1"/>
  <c r="AJ196" i="8"/>
  <c r="V315" i="7" s="1"/>
  <c r="V315" i="3" s="1"/>
  <c r="AJ197" i="8"/>
  <c r="V316" i="7" s="1"/>
  <c r="V316" i="3" s="1"/>
  <c r="AJ198" i="8"/>
  <c r="V317" i="7" s="1"/>
  <c r="V317" i="3" s="1"/>
  <c r="AJ199" i="8"/>
  <c r="V318" i="7" s="1"/>
  <c r="V318" i="3" s="1"/>
  <c r="AJ200" i="8"/>
  <c r="V319" i="7" s="1"/>
  <c r="V319" i="3" s="1"/>
  <c r="AJ201" i="8"/>
  <c r="V320" i="7" s="1"/>
  <c r="V320" i="3" s="1"/>
  <c r="AJ202" i="8"/>
  <c r="V321" i="7" s="1"/>
  <c r="V321" i="3" s="1"/>
  <c r="AJ203" i="8"/>
  <c r="V322" i="7" s="1"/>
  <c r="V322" i="3" s="1"/>
  <c r="AJ204" i="8"/>
  <c r="V323" i="7" s="1"/>
  <c r="V323" i="3" s="1"/>
  <c r="AJ205" i="8"/>
  <c r="V324" i="7" s="1"/>
  <c r="V324" i="3" s="1"/>
  <c r="AJ206" i="8"/>
  <c r="V325" i="7" s="1"/>
  <c r="V325" i="3" s="1"/>
  <c r="AJ207" i="8"/>
  <c r="V326" i="7" s="1"/>
  <c r="V326" i="3" s="1"/>
  <c r="AJ208" i="8"/>
  <c r="V327" i="7" s="1"/>
  <c r="V327" i="3" s="1"/>
  <c r="AJ209" i="8"/>
  <c r="V328" i="7" s="1"/>
  <c r="V328" i="3" s="1"/>
  <c r="AJ210" i="8"/>
  <c r="V329" i="7" s="1"/>
  <c r="V329" i="3" s="1"/>
  <c r="AJ211" i="8"/>
  <c r="V330" i="7" s="1"/>
  <c r="V330" i="3" s="1"/>
  <c r="AJ212" i="8"/>
  <c r="V331" i="7" s="1"/>
  <c r="V331" i="3" s="1"/>
  <c r="AJ213" i="8"/>
  <c r="V332" i="7" s="1"/>
  <c r="V332" i="3" s="1"/>
  <c r="AJ214" i="8"/>
  <c r="V333" i="7" s="1"/>
  <c r="V333" i="3" s="1"/>
  <c r="AJ215" i="8"/>
  <c r="V334" i="7" s="1"/>
  <c r="V334" i="3" s="1"/>
  <c r="AJ216" i="8"/>
  <c r="V335" i="7" s="1"/>
  <c r="V335" i="3" s="1"/>
  <c r="AJ217" i="8"/>
  <c r="V336" i="7" s="1"/>
  <c r="V336" i="3" s="1"/>
  <c r="AJ218" i="8"/>
  <c r="V337" i="7" s="1"/>
  <c r="V337" i="3" s="1"/>
  <c r="AJ219" i="8"/>
  <c r="V338" i="7" s="1"/>
  <c r="V338" i="3" s="1"/>
  <c r="AJ220" i="8"/>
  <c r="V339" i="7" s="1"/>
  <c r="V339" i="3" s="1"/>
  <c r="AJ221" i="8"/>
  <c r="V340" i="7" s="1"/>
  <c r="V340" i="3" s="1"/>
  <c r="AJ222" i="8"/>
  <c r="V341" i="7" s="1"/>
  <c r="AJ223" i="8"/>
  <c r="V342" i="7" s="1"/>
  <c r="V342" i="3" s="1"/>
  <c r="AJ224" i="8"/>
  <c r="V343" i="7" s="1"/>
  <c r="V343" i="3" s="1"/>
  <c r="AJ225" i="8"/>
  <c r="V344" i="7" s="1"/>
  <c r="V344" i="3" s="1"/>
  <c r="AJ226" i="8"/>
  <c r="V345" i="7" s="1"/>
  <c r="V345" i="3" s="1"/>
  <c r="AJ227" i="8"/>
  <c r="V346" i="7" s="1"/>
  <c r="V346" i="3" s="1"/>
  <c r="AJ228" i="8"/>
  <c r="V347" i="7" s="1"/>
  <c r="V347" i="3" s="1"/>
  <c r="AJ229" i="8"/>
  <c r="V348" i="7" s="1"/>
  <c r="V348" i="3" s="1"/>
  <c r="AJ230" i="8"/>
  <c r="V349" i="7" s="1"/>
  <c r="V349" i="3" s="1"/>
  <c r="AJ231" i="8"/>
  <c r="V350" i="7" s="1"/>
  <c r="V350" i="3" s="1"/>
  <c r="AJ232" i="8"/>
  <c r="V351" i="7" s="1"/>
  <c r="V351" i="3" s="1"/>
  <c r="AJ233" i="8"/>
  <c r="V352" i="7" s="1"/>
  <c r="V352" i="3" s="1"/>
  <c r="AJ234" i="8"/>
  <c r="V353" i="7" s="1"/>
  <c r="V353" i="3" s="1"/>
  <c r="AJ235" i="8"/>
  <c r="V354" i="7" s="1"/>
  <c r="V354" i="3" s="1"/>
  <c r="AJ236" i="8"/>
  <c r="V355" i="7" s="1"/>
  <c r="V355" i="3" s="1"/>
  <c r="AJ237" i="8"/>
  <c r="V356" i="7" s="1"/>
  <c r="V356" i="3" s="1"/>
  <c r="AJ238" i="8"/>
  <c r="V357" i="7" s="1"/>
  <c r="V357" i="3" s="1"/>
  <c r="AJ239" i="8"/>
  <c r="V358" i="7" s="1"/>
  <c r="V358" i="3" s="1"/>
  <c r="AJ240" i="8"/>
  <c r="V359" i="7" s="1"/>
  <c r="V359" i="3" s="1"/>
  <c r="AJ241" i="8"/>
  <c r="V360" i="7" s="1"/>
  <c r="V360" i="3" s="1"/>
  <c r="AJ242" i="8"/>
  <c r="V361" i="7" s="1"/>
  <c r="V361" i="3" s="1"/>
  <c r="AJ243" i="8"/>
  <c r="V362" i="7" s="1"/>
  <c r="V362" i="3" s="1"/>
  <c r="AJ244" i="8"/>
  <c r="V363" i="7" s="1"/>
  <c r="V363" i="3" s="1"/>
  <c r="AJ245" i="8"/>
  <c r="V364" i="7" s="1"/>
  <c r="V364" i="3" s="1"/>
  <c r="AJ246" i="8"/>
  <c r="V365" i="7" s="1"/>
  <c r="V365" i="3" s="1"/>
  <c r="AJ247" i="8"/>
  <c r="V366" i="7" s="1"/>
  <c r="V366" i="3" s="1"/>
  <c r="AJ248" i="8"/>
  <c r="V367" i="7" s="1"/>
  <c r="V367" i="3" s="1"/>
  <c r="AJ249" i="8"/>
  <c r="V368" i="7" s="1"/>
  <c r="V368" i="3" s="1"/>
  <c r="AJ250" i="8"/>
  <c r="V369" i="7" s="1"/>
  <c r="V369" i="3" s="1"/>
  <c r="AJ251" i="8"/>
  <c r="V370" i="7" s="1"/>
  <c r="V370" i="3" s="1"/>
  <c r="AJ252" i="8"/>
  <c r="V371" i="7" s="1"/>
  <c r="V371" i="3" s="1"/>
  <c r="AJ253" i="8"/>
  <c r="V372" i="7" s="1"/>
  <c r="AJ254" i="8"/>
  <c r="V373" i="7" s="1"/>
  <c r="V373" i="3" s="1"/>
  <c r="AJ255" i="8"/>
  <c r="V374" i="7" s="1"/>
  <c r="V374" i="3" s="1"/>
  <c r="AJ256" i="8"/>
  <c r="V375" i="7" s="1"/>
  <c r="V375" i="3" s="1"/>
  <c r="AJ257" i="8"/>
  <c r="V376" i="7" s="1"/>
  <c r="V376" i="3" s="1"/>
  <c r="AJ258" i="8"/>
  <c r="V377" i="7" s="1"/>
  <c r="V377" i="3" s="1"/>
  <c r="AJ259" i="8"/>
  <c r="V378" i="7" s="1"/>
  <c r="V378" i="3" s="1"/>
  <c r="AJ260" i="8"/>
  <c r="V379" i="7" s="1"/>
  <c r="V379" i="3" s="1"/>
  <c r="AJ261" i="8"/>
  <c r="V380" i="7" s="1"/>
  <c r="V380" i="3" s="1"/>
  <c r="AJ262" i="8"/>
  <c r="V381" i="7" s="1"/>
  <c r="V381" i="3" s="1"/>
  <c r="AJ263" i="8"/>
  <c r="V382" i="7" s="1"/>
  <c r="V382" i="3" s="1"/>
  <c r="AJ264" i="8"/>
  <c r="V383" i="7" s="1"/>
  <c r="V383" i="3" s="1"/>
  <c r="AJ265" i="8"/>
  <c r="V384" i="7" s="1"/>
  <c r="V384" i="3" s="1"/>
  <c r="AJ266" i="8"/>
  <c r="V385" i="7" s="1"/>
  <c r="V385" i="3" s="1"/>
  <c r="AJ267" i="8"/>
  <c r="V386" i="7" s="1"/>
  <c r="V386" i="3" s="1"/>
  <c r="AJ268" i="8"/>
  <c r="V387" i="7" s="1"/>
  <c r="V387" i="3" s="1"/>
  <c r="AJ269" i="8"/>
  <c r="V388" i="7" s="1"/>
  <c r="V388" i="3" s="1"/>
  <c r="AJ270" i="8"/>
  <c r="V389" i="7" s="1"/>
  <c r="V389" i="3" s="1"/>
  <c r="AJ271" i="8"/>
  <c r="V390" i="7" s="1"/>
  <c r="AJ272" i="8"/>
  <c r="V391" i="7" s="1"/>
  <c r="V391" i="3" s="1"/>
  <c r="AJ273" i="8"/>
  <c r="V392" i="7" s="1"/>
  <c r="V392" i="3" s="1"/>
  <c r="AJ274" i="8"/>
  <c r="V393" i="7" s="1"/>
  <c r="V393" i="3" s="1"/>
  <c r="AJ275" i="8"/>
  <c r="V394" i="7" s="1"/>
  <c r="V394" i="3" s="1"/>
  <c r="AJ276" i="8"/>
  <c r="V395" i="7" s="1"/>
  <c r="V395" i="3" s="1"/>
  <c r="AJ277" i="8"/>
  <c r="V396" i="7" s="1"/>
  <c r="V396" i="3" s="1"/>
  <c r="AJ278" i="8"/>
  <c r="V397" i="7" s="1"/>
  <c r="V397" i="3" s="1"/>
  <c r="AJ279" i="8"/>
  <c r="V398" i="7" s="1"/>
  <c r="V398" i="3" s="1"/>
  <c r="AJ280" i="8"/>
  <c r="V399" i="7" s="1"/>
  <c r="V399" i="3" s="1"/>
  <c r="AJ281" i="8"/>
  <c r="V400" i="7" s="1"/>
  <c r="V400" i="3" s="1"/>
  <c r="AJ282" i="8"/>
  <c r="V401" i="7" s="1"/>
  <c r="V401" i="3" s="1"/>
  <c r="AJ283" i="8"/>
  <c r="V402" i="7" s="1"/>
  <c r="V402" i="3" s="1"/>
  <c r="AJ284" i="8"/>
  <c r="V403" i="7" s="1"/>
  <c r="V403" i="3" s="1"/>
  <c r="AJ285" i="8"/>
  <c r="V404" i="7" s="1"/>
  <c r="V404" i="3" s="1"/>
  <c r="AJ286" i="8"/>
  <c r="V405" i="7" s="1"/>
  <c r="V405" i="3" s="1"/>
  <c r="AJ287" i="8"/>
  <c r="V406" i="7" s="1"/>
  <c r="V406" i="3" s="1"/>
  <c r="AJ288" i="8"/>
  <c r="V407" i="7" s="1"/>
  <c r="V407" i="3" s="1"/>
  <c r="AJ289" i="8"/>
  <c r="V408" i="7" s="1"/>
  <c r="V408" i="3" s="1"/>
  <c r="AJ290" i="8"/>
  <c r="V409" i="7" s="1"/>
  <c r="V409" i="3" s="1"/>
  <c r="AJ291" i="8"/>
  <c r="V410" i="7" s="1"/>
  <c r="V410" i="3" s="1"/>
  <c r="AJ292" i="8"/>
  <c r="V411" i="7" s="1"/>
  <c r="V411" i="3" s="1"/>
  <c r="AJ293" i="8"/>
  <c r="V412" i="7" s="1"/>
  <c r="V412" i="3" s="1"/>
  <c r="AJ294" i="8"/>
  <c r="V413" i="7" s="1"/>
  <c r="V413" i="3" s="1"/>
  <c r="W159" i="8"/>
  <c r="AB140" i="7" s="1"/>
  <c r="AB140" i="3" s="1"/>
  <c r="W160" i="8"/>
  <c r="AB141" i="7" s="1"/>
  <c r="AB141" i="3" s="1"/>
  <c r="W161" i="8"/>
  <c r="AB142" i="7" s="1"/>
  <c r="AB142" i="3" s="1"/>
  <c r="W162" i="8"/>
  <c r="AB143" i="7" s="1"/>
  <c r="AB143" i="3" s="1"/>
  <c r="W163" i="8"/>
  <c r="AB144" i="7" s="1"/>
  <c r="AB144" i="3" s="1"/>
  <c r="W164" i="8"/>
  <c r="AB145" i="7" s="1"/>
  <c r="AB145" i="3" s="1"/>
  <c r="W165" i="8"/>
  <c r="AB146" i="7" s="1"/>
  <c r="AB146" i="3" s="1"/>
  <c r="W167" i="8"/>
  <c r="AB148" i="7" s="1"/>
  <c r="AB148" i="3" s="1"/>
  <c r="W168" i="8"/>
  <c r="AB149" i="7" s="1"/>
  <c r="AB149" i="3" s="1"/>
  <c r="W169" i="8"/>
  <c r="AB150" i="7" s="1"/>
  <c r="AB150" i="3" s="1"/>
  <c r="W171" i="8"/>
  <c r="AB152" i="7" s="1"/>
  <c r="AB152" i="3" s="1"/>
  <c r="W172" i="8"/>
  <c r="AB153" i="7" s="1"/>
  <c r="AB153" i="3" s="1"/>
  <c r="W173" i="8"/>
  <c r="AB154" i="7" s="1"/>
  <c r="AB154" i="3" s="1"/>
  <c r="W174" i="8"/>
  <c r="AB155" i="7" s="1"/>
  <c r="AB155" i="3" s="1"/>
  <c r="W175" i="8"/>
  <c r="AB156" i="7" s="1"/>
  <c r="AB156" i="3" s="1"/>
  <c r="W176" i="8"/>
  <c r="AB157" i="7" s="1"/>
  <c r="AB157" i="3" s="1"/>
  <c r="W177" i="8"/>
  <c r="AB158" i="7" s="1"/>
  <c r="AB158" i="3" s="1"/>
  <c r="W178" i="8"/>
  <c r="AB159" i="7" s="1"/>
  <c r="AB159" i="3" s="1"/>
  <c r="W179" i="8"/>
  <c r="AB160" i="7" s="1"/>
  <c r="AB160" i="3" s="1"/>
  <c r="W180" i="8"/>
  <c r="AB161" i="7" s="1"/>
  <c r="AB161" i="3" s="1"/>
  <c r="W181" i="8"/>
  <c r="AB162" i="7" s="1"/>
  <c r="AB162" i="3" s="1"/>
  <c r="W182" i="8"/>
  <c r="AB163" i="7" s="1"/>
  <c r="AB163" i="3" s="1"/>
  <c r="W183" i="8"/>
  <c r="AB164" i="7" s="1"/>
  <c r="AB164" i="3" s="1"/>
  <c r="W184" i="8"/>
  <c r="AB165" i="7" s="1"/>
  <c r="AB165" i="3" s="1"/>
  <c r="W185" i="8"/>
  <c r="AB166" i="7" s="1"/>
  <c r="AB166" i="3" s="1"/>
  <c r="W186" i="8"/>
  <c r="AB167" i="7" s="1"/>
  <c r="AB167" i="3" s="1"/>
  <c r="W187" i="8"/>
  <c r="AB168" i="7" s="1"/>
  <c r="AB168" i="3" s="1"/>
  <c r="W188" i="8"/>
  <c r="AB169" i="7" s="1"/>
  <c r="AB169" i="3" s="1"/>
  <c r="W189" i="8"/>
  <c r="AB170" i="7" s="1"/>
  <c r="AB170" i="3" s="1"/>
  <c r="W190" i="8"/>
  <c r="AB171" i="7" s="1"/>
  <c r="AB171" i="3" s="1"/>
  <c r="W191" i="8"/>
  <c r="AB172" i="7" s="1"/>
  <c r="AB172" i="3" s="1"/>
  <c r="W192" i="8"/>
  <c r="AB173" i="7" s="1"/>
  <c r="AB173" i="3" s="1"/>
  <c r="W193" i="8"/>
  <c r="AB174" i="7" s="1"/>
  <c r="AB174" i="3" s="1"/>
  <c r="W194" i="8"/>
  <c r="AB175" i="7" s="1"/>
  <c r="AB175" i="3" s="1"/>
  <c r="W195" i="8"/>
  <c r="AB176" i="7" s="1"/>
  <c r="AB176" i="3" s="1"/>
  <c r="W196" i="8"/>
  <c r="AB177" i="7" s="1"/>
  <c r="AB177" i="3" s="1"/>
  <c r="W197" i="8"/>
  <c r="AB178" i="7" s="1"/>
  <c r="AB178" i="3" s="1"/>
  <c r="W198" i="8"/>
  <c r="AB179" i="7" s="1"/>
  <c r="AB179" i="3" s="1"/>
  <c r="W199" i="8"/>
  <c r="AB180" i="7" s="1"/>
  <c r="AB180" i="3" s="1"/>
  <c r="W200" i="8"/>
  <c r="AB181" i="7" s="1"/>
  <c r="AB181" i="3" s="1"/>
  <c r="W201" i="8"/>
  <c r="AB182" i="7" s="1"/>
  <c r="AB182" i="3" s="1"/>
  <c r="W202" i="8"/>
  <c r="AB183" i="7" s="1"/>
  <c r="AB183" i="3" s="1"/>
  <c r="W203" i="8"/>
  <c r="AB184" i="7" s="1"/>
  <c r="AB184" i="3" s="1"/>
  <c r="W204" i="8"/>
  <c r="AB185" i="7" s="1"/>
  <c r="AB185" i="3" s="1"/>
  <c r="W205" i="8"/>
  <c r="AB186" i="7" s="1"/>
  <c r="AB186" i="3" s="1"/>
  <c r="W206" i="8"/>
  <c r="AB187" i="7" s="1"/>
  <c r="AB187" i="3" s="1"/>
  <c r="W207" i="8"/>
  <c r="AB188" i="7" s="1"/>
  <c r="AB188" i="3" s="1"/>
  <c r="W208" i="8"/>
  <c r="AB189" i="7" s="1"/>
  <c r="AB189" i="3" s="1"/>
  <c r="W209" i="8"/>
  <c r="AB190" i="7" s="1"/>
  <c r="AB190" i="3" s="1"/>
  <c r="W210" i="8"/>
  <c r="AB191" i="7" s="1"/>
  <c r="AB191" i="3" s="1"/>
  <c r="W211" i="8"/>
  <c r="AB192" i="7" s="1"/>
  <c r="AB192" i="3" s="1"/>
  <c r="W212" i="8"/>
  <c r="AB193" i="7" s="1"/>
  <c r="AB193" i="3" s="1"/>
  <c r="W214" i="8"/>
  <c r="AB195" i="7" s="1"/>
  <c r="AB195" i="3" s="1"/>
  <c r="W215" i="8"/>
  <c r="AB196" i="7" s="1"/>
  <c r="AB196" i="3" s="1"/>
  <c r="W216" i="8"/>
  <c r="AB197" i="7" s="1"/>
  <c r="AB197" i="3" s="1"/>
  <c r="W217" i="8"/>
  <c r="AB198" i="7" s="1"/>
  <c r="AB198" i="3" s="1"/>
  <c r="W218" i="8"/>
  <c r="AB199" i="7" s="1"/>
  <c r="AB199" i="3" s="1"/>
  <c r="W219" i="8"/>
  <c r="AB200" i="7" s="1"/>
  <c r="AB200" i="3" s="1"/>
  <c r="W220" i="8"/>
  <c r="AB201" i="7" s="1"/>
  <c r="AB201" i="3" s="1"/>
  <c r="W221" i="8"/>
  <c r="AB202" i="7" s="1"/>
  <c r="AB202" i="3" s="1"/>
  <c r="W222" i="8"/>
  <c r="AB203" i="7" s="1"/>
  <c r="W223" i="8"/>
  <c r="AB204" i="7" s="1"/>
  <c r="AB204" i="3" s="1"/>
  <c r="W224" i="8"/>
  <c r="AB205" i="7" s="1"/>
  <c r="AB205" i="3" s="1"/>
  <c r="W225" i="8"/>
  <c r="AB206" i="7" s="1"/>
  <c r="AB206" i="3" s="1"/>
  <c r="W226" i="8"/>
  <c r="AB207" i="7" s="1"/>
  <c r="AB207" i="3" s="1"/>
  <c r="W227" i="8"/>
  <c r="AB208" i="7" s="1"/>
  <c r="AB208" i="3" s="1"/>
  <c r="W228" i="8"/>
  <c r="AB209" i="7" s="1"/>
  <c r="AB209" i="3" s="1"/>
  <c r="W229" i="8"/>
  <c r="AB210" i="7" s="1"/>
  <c r="AB210" i="3" s="1"/>
  <c r="W230" i="8"/>
  <c r="AB211" i="7" s="1"/>
  <c r="AB211" i="3" s="1"/>
  <c r="W231" i="8"/>
  <c r="AB212" i="7" s="1"/>
  <c r="AB212" i="3" s="1"/>
  <c r="W232" i="8"/>
  <c r="AB213" i="7" s="1"/>
  <c r="AB213" i="3" s="1"/>
  <c r="W233" i="8"/>
  <c r="AB214" i="7" s="1"/>
  <c r="AB214" i="3" s="1"/>
  <c r="W234" i="8"/>
  <c r="AB215" i="7" s="1"/>
  <c r="AB215" i="3" s="1"/>
  <c r="W235" i="8"/>
  <c r="AB216" i="7" s="1"/>
  <c r="AB216" i="3" s="1"/>
  <c r="W236" i="8"/>
  <c r="AB217" i="7" s="1"/>
  <c r="AB217" i="3" s="1"/>
  <c r="W237" i="8"/>
  <c r="AB218" i="7" s="1"/>
  <c r="AB218" i="3" s="1"/>
  <c r="W238" i="8"/>
  <c r="AB219" i="7" s="1"/>
  <c r="AB219" i="3" s="1"/>
  <c r="W239" i="8"/>
  <c r="AB220" i="7" s="1"/>
  <c r="AB220" i="3" s="1"/>
  <c r="W240" i="8"/>
  <c r="AB221" i="7" s="1"/>
  <c r="AB221" i="3" s="1"/>
  <c r="W241" i="8"/>
  <c r="AB222" i="7" s="1"/>
  <c r="AB222" i="3" s="1"/>
  <c r="W242" i="8"/>
  <c r="AB223" i="7" s="1"/>
  <c r="AB223" i="3" s="1"/>
  <c r="W243" i="8"/>
  <c r="AB224" i="7" s="1"/>
  <c r="AB224" i="3" s="1"/>
  <c r="W244" i="8"/>
  <c r="AB225" i="7" s="1"/>
  <c r="AB225" i="3" s="1"/>
  <c r="W245" i="8"/>
  <c r="AB226" i="7" s="1"/>
  <c r="AB226" i="3" s="1"/>
  <c r="W246" i="8"/>
  <c r="AB227" i="7" s="1"/>
  <c r="AB227" i="3" s="1"/>
  <c r="W248" i="8"/>
  <c r="AB229" i="7" s="1"/>
  <c r="AB229" i="3" s="1"/>
  <c r="W249" i="8"/>
  <c r="AB230" i="7" s="1"/>
  <c r="AB230" i="3" s="1"/>
  <c r="W250" i="8"/>
  <c r="AB231" i="7" s="1"/>
  <c r="AB231" i="3" s="1"/>
  <c r="W251" i="8"/>
  <c r="AB232" i="7" s="1"/>
  <c r="AB232" i="3" s="1"/>
  <c r="W253" i="8"/>
  <c r="AB234" i="7" s="1"/>
  <c r="W254" i="8"/>
  <c r="AB235" i="7" s="1"/>
  <c r="AB235" i="3" s="1"/>
  <c r="W255" i="8"/>
  <c r="AB236" i="7" s="1"/>
  <c r="AB236" i="3" s="1"/>
  <c r="W256" i="8"/>
  <c r="AB237" i="7" s="1"/>
  <c r="AB237" i="3" s="1"/>
  <c r="W257" i="8"/>
  <c r="AB238" i="7" s="1"/>
  <c r="AB238" i="3" s="1"/>
  <c r="W258" i="8"/>
  <c r="AB239" i="7" s="1"/>
  <c r="AB239" i="3" s="1"/>
  <c r="W259" i="8"/>
  <c r="AB240" i="7" s="1"/>
  <c r="AB240" i="3" s="1"/>
  <c r="W260" i="8"/>
  <c r="AB241" i="7" s="1"/>
  <c r="AB241" i="3" s="1"/>
  <c r="W261" i="8"/>
  <c r="AB242" i="7" s="1"/>
  <c r="AB242" i="3" s="1"/>
  <c r="W262" i="8"/>
  <c r="AB243" i="7" s="1"/>
  <c r="AB243" i="3" s="1"/>
  <c r="W263" i="8"/>
  <c r="AB244" i="7" s="1"/>
  <c r="AB244" i="3" s="1"/>
  <c r="W264" i="8"/>
  <c r="AB245" i="7" s="1"/>
  <c r="AB245" i="3" s="1"/>
  <c r="W265" i="8"/>
  <c r="AB246" i="7" s="1"/>
  <c r="AB246" i="3" s="1"/>
  <c r="W266" i="8"/>
  <c r="AB247" i="7" s="1"/>
  <c r="AB247" i="3" s="1"/>
  <c r="W267" i="8"/>
  <c r="AB248" i="7" s="1"/>
  <c r="AB248" i="3" s="1"/>
  <c r="W268" i="8"/>
  <c r="AB249" i="7" s="1"/>
  <c r="AB249" i="3" s="1"/>
  <c r="W269" i="8"/>
  <c r="AB250" i="7" s="1"/>
  <c r="AB250" i="3" s="1"/>
  <c r="W270" i="8"/>
  <c r="AB251" i="7" s="1"/>
  <c r="AB251" i="3" s="1"/>
  <c r="W271" i="8"/>
  <c r="AB252" i="7" s="1"/>
  <c r="W272" i="8"/>
  <c r="AB253" i="7" s="1"/>
  <c r="AB253" i="3" s="1"/>
  <c r="W273" i="8"/>
  <c r="AB254" i="7" s="1"/>
  <c r="AB254" i="3" s="1"/>
  <c r="W274" i="8"/>
  <c r="AB255" i="7" s="1"/>
  <c r="AB255" i="3" s="1"/>
  <c r="W275" i="8"/>
  <c r="AB256" i="7" s="1"/>
  <c r="AB256" i="3" s="1"/>
  <c r="W276" i="8"/>
  <c r="AB257" i="7" s="1"/>
  <c r="AB257" i="3" s="1"/>
  <c r="W277" i="8"/>
  <c r="AB258" i="7" s="1"/>
  <c r="AB258" i="3" s="1"/>
  <c r="W278" i="8"/>
  <c r="AB259" i="7" s="1"/>
  <c r="AB259" i="3" s="1"/>
  <c r="W279" i="8"/>
  <c r="AB260" i="7" s="1"/>
  <c r="AB260" i="3" s="1"/>
  <c r="W280" i="8"/>
  <c r="AB261" i="7" s="1"/>
  <c r="AB261" i="3" s="1"/>
  <c r="W281" i="8"/>
  <c r="AB262" i="7" s="1"/>
  <c r="AB262" i="3" s="1"/>
  <c r="W282" i="8"/>
  <c r="AB263" i="7" s="1"/>
  <c r="AB263" i="3" s="1"/>
  <c r="W283" i="8"/>
  <c r="AB264" i="7" s="1"/>
  <c r="AB264" i="3" s="1"/>
  <c r="W284" i="8"/>
  <c r="AB265" i="7" s="1"/>
  <c r="AB265" i="3" s="1"/>
  <c r="W285" i="8"/>
  <c r="AB266" i="7" s="1"/>
  <c r="AB266" i="3" s="1"/>
  <c r="W286" i="8"/>
  <c r="AB267" i="7" s="1"/>
  <c r="AB267" i="3" s="1"/>
  <c r="W287" i="8"/>
  <c r="AB268" i="7" s="1"/>
  <c r="AB268" i="3" s="1"/>
  <c r="W288" i="8"/>
  <c r="AB269" i="7" s="1"/>
  <c r="AB269" i="3" s="1"/>
  <c r="W289" i="8"/>
  <c r="AB270" i="7" s="1"/>
  <c r="AB270" i="3" s="1"/>
  <c r="W290" i="8"/>
  <c r="AB271" i="7" s="1"/>
  <c r="AB271" i="3" s="1"/>
  <c r="W291" i="8"/>
  <c r="AB272" i="7" s="1"/>
  <c r="AB272" i="3" s="1"/>
  <c r="W292" i="8"/>
  <c r="AB273" i="7" s="1"/>
  <c r="AB273" i="3" s="1"/>
  <c r="W293" i="8"/>
  <c r="AB274" i="7" s="1"/>
  <c r="AB274" i="3" s="1"/>
  <c r="W294" i="8"/>
  <c r="AB275" i="7" s="1"/>
  <c r="AB275" i="3" s="1"/>
  <c r="V159" i="8"/>
  <c r="AA140" i="7" s="1"/>
  <c r="AA140" i="3" s="1"/>
  <c r="V160" i="8"/>
  <c r="AA141" i="7" s="1"/>
  <c r="AA141" i="3" s="1"/>
  <c r="V161" i="8"/>
  <c r="AA142" i="7" s="1"/>
  <c r="AA142" i="3" s="1"/>
  <c r="V162" i="8"/>
  <c r="AA143" i="7" s="1"/>
  <c r="AA143" i="3" s="1"/>
  <c r="V163" i="8"/>
  <c r="AA144" i="7" s="1"/>
  <c r="AA144" i="3" s="1"/>
  <c r="V164" i="8"/>
  <c r="AA145" i="7" s="1"/>
  <c r="AA145" i="3" s="1"/>
  <c r="V165" i="8"/>
  <c r="AA146" i="7" s="1"/>
  <c r="AA146" i="3" s="1"/>
  <c r="V166" i="8"/>
  <c r="AA147" i="7" s="1"/>
  <c r="AA147" i="3" s="1"/>
  <c r="V167" i="8"/>
  <c r="AA148" i="7" s="1"/>
  <c r="AA148" i="3" s="1"/>
  <c r="V168" i="8"/>
  <c r="AA149" i="7" s="1"/>
  <c r="AA149" i="3" s="1"/>
  <c r="V169" i="8"/>
  <c r="AA150" i="7" s="1"/>
  <c r="AA150" i="3" s="1"/>
  <c r="V170" i="8"/>
  <c r="AA151" i="7" s="1"/>
  <c r="AA151" i="3" s="1"/>
  <c r="V171" i="8"/>
  <c r="AA152" i="7" s="1"/>
  <c r="AA152" i="3" s="1"/>
  <c r="V172" i="8"/>
  <c r="AA153" i="7" s="1"/>
  <c r="AA153" i="3" s="1"/>
  <c r="V173" i="8"/>
  <c r="AA154" i="7" s="1"/>
  <c r="AA154" i="3" s="1"/>
  <c r="V174" i="8"/>
  <c r="AA155" i="7" s="1"/>
  <c r="AA155" i="3" s="1"/>
  <c r="V175" i="8"/>
  <c r="AA156" i="7" s="1"/>
  <c r="AA156" i="3" s="1"/>
  <c r="V176" i="8"/>
  <c r="AA157" i="7" s="1"/>
  <c r="AA157" i="3" s="1"/>
  <c r="V177" i="8"/>
  <c r="AA158" i="7" s="1"/>
  <c r="AA158" i="3" s="1"/>
  <c r="V178" i="8"/>
  <c r="AA159" i="7" s="1"/>
  <c r="AA159" i="3" s="1"/>
  <c r="V179" i="8"/>
  <c r="AA160" i="7" s="1"/>
  <c r="AA160" i="3" s="1"/>
  <c r="V180" i="8"/>
  <c r="AA161" i="7" s="1"/>
  <c r="AA161" i="3" s="1"/>
  <c r="V181" i="8"/>
  <c r="AA162" i="7" s="1"/>
  <c r="AA162" i="3" s="1"/>
  <c r="V182" i="8"/>
  <c r="AA163" i="7" s="1"/>
  <c r="AA163" i="3" s="1"/>
  <c r="V183" i="8"/>
  <c r="AA164" i="7" s="1"/>
  <c r="AA164" i="3" s="1"/>
  <c r="V184" i="8"/>
  <c r="AA165" i="7" s="1"/>
  <c r="AA165" i="3" s="1"/>
  <c r="V185" i="8"/>
  <c r="AA166" i="7" s="1"/>
  <c r="AA166" i="3" s="1"/>
  <c r="V186" i="8"/>
  <c r="AA167" i="7" s="1"/>
  <c r="AA167" i="3" s="1"/>
  <c r="V187" i="8"/>
  <c r="AA168" i="7" s="1"/>
  <c r="AA168" i="3" s="1"/>
  <c r="V188" i="8"/>
  <c r="AA169" i="7" s="1"/>
  <c r="AA169" i="3" s="1"/>
  <c r="V189" i="8"/>
  <c r="AA170" i="7" s="1"/>
  <c r="AA170" i="3" s="1"/>
  <c r="V190" i="8"/>
  <c r="AA171" i="7" s="1"/>
  <c r="AA171" i="3" s="1"/>
  <c r="V191" i="8"/>
  <c r="AA172" i="7" s="1"/>
  <c r="AA172" i="3" s="1"/>
  <c r="V192" i="8"/>
  <c r="AA173" i="7" s="1"/>
  <c r="AA173" i="3" s="1"/>
  <c r="V193" i="8"/>
  <c r="AA174" i="7" s="1"/>
  <c r="AA174" i="3" s="1"/>
  <c r="V194" i="8"/>
  <c r="AA175" i="7" s="1"/>
  <c r="AA175" i="3" s="1"/>
  <c r="V195" i="8"/>
  <c r="AA176" i="7" s="1"/>
  <c r="AA176" i="3" s="1"/>
  <c r="V196" i="8"/>
  <c r="AA177" i="7" s="1"/>
  <c r="AA177" i="3" s="1"/>
  <c r="V197" i="8"/>
  <c r="AA178" i="7" s="1"/>
  <c r="AA178" i="3" s="1"/>
  <c r="V198" i="8"/>
  <c r="AA179" i="7" s="1"/>
  <c r="AA179" i="3" s="1"/>
  <c r="V199" i="8"/>
  <c r="AA180" i="7" s="1"/>
  <c r="AA180" i="3" s="1"/>
  <c r="V200" i="8"/>
  <c r="AA181" i="7" s="1"/>
  <c r="AA181" i="3" s="1"/>
  <c r="V201" i="8"/>
  <c r="AA182" i="7" s="1"/>
  <c r="AA182" i="3" s="1"/>
  <c r="V202" i="8"/>
  <c r="AA183" i="7" s="1"/>
  <c r="AA183" i="3" s="1"/>
  <c r="V203" i="8"/>
  <c r="AA184" i="7" s="1"/>
  <c r="AA184" i="3" s="1"/>
  <c r="V204" i="8"/>
  <c r="AA185" i="7" s="1"/>
  <c r="AA185" i="3" s="1"/>
  <c r="V205" i="8"/>
  <c r="AA186" i="7" s="1"/>
  <c r="AA186" i="3" s="1"/>
  <c r="V206" i="8"/>
  <c r="AA187" i="7" s="1"/>
  <c r="AA187" i="3" s="1"/>
  <c r="V207" i="8"/>
  <c r="AA188" i="7" s="1"/>
  <c r="AA188" i="3" s="1"/>
  <c r="V208" i="8"/>
  <c r="AA189" i="7" s="1"/>
  <c r="AA189" i="3" s="1"/>
  <c r="V209" i="8"/>
  <c r="AA190" i="7" s="1"/>
  <c r="AA190" i="3" s="1"/>
  <c r="V210" i="8"/>
  <c r="AA191" i="7" s="1"/>
  <c r="AA191" i="3" s="1"/>
  <c r="V211" i="8"/>
  <c r="AA192" i="7" s="1"/>
  <c r="AA192" i="3" s="1"/>
  <c r="V212" i="8"/>
  <c r="AA193" i="7" s="1"/>
  <c r="AA193" i="3" s="1"/>
  <c r="V213" i="8"/>
  <c r="AA194" i="7" s="1"/>
  <c r="AA194" i="3" s="1"/>
  <c r="V214" i="8"/>
  <c r="AA195" i="7" s="1"/>
  <c r="AA195" i="3" s="1"/>
  <c r="V215" i="8"/>
  <c r="AA196" i="7" s="1"/>
  <c r="AA196" i="3" s="1"/>
  <c r="V216" i="8"/>
  <c r="AA197" i="7" s="1"/>
  <c r="AA197" i="3" s="1"/>
  <c r="V217" i="8"/>
  <c r="AA198" i="7" s="1"/>
  <c r="AA198" i="3" s="1"/>
  <c r="V218" i="8"/>
  <c r="AA199" i="7" s="1"/>
  <c r="AA199" i="3" s="1"/>
  <c r="V219" i="8"/>
  <c r="AA200" i="7" s="1"/>
  <c r="AA200" i="3" s="1"/>
  <c r="V220" i="8"/>
  <c r="AA201" i="7" s="1"/>
  <c r="AA201" i="3" s="1"/>
  <c r="V221" i="8"/>
  <c r="AA202" i="7" s="1"/>
  <c r="AA202" i="3" s="1"/>
  <c r="V222" i="8"/>
  <c r="AA203" i="7" s="1"/>
  <c r="V223" i="8"/>
  <c r="AA204" i="7" s="1"/>
  <c r="AA204" i="3" s="1"/>
  <c r="V224" i="8"/>
  <c r="AA205" i="7" s="1"/>
  <c r="AA205" i="3" s="1"/>
  <c r="V225" i="8"/>
  <c r="AA206" i="7" s="1"/>
  <c r="AA206" i="3" s="1"/>
  <c r="V226" i="8"/>
  <c r="AA207" i="7" s="1"/>
  <c r="AA207" i="3" s="1"/>
  <c r="V227" i="8"/>
  <c r="AA208" i="7" s="1"/>
  <c r="AA208" i="3" s="1"/>
  <c r="V228" i="8"/>
  <c r="AA209" i="7" s="1"/>
  <c r="AA209" i="3" s="1"/>
  <c r="V229" i="8"/>
  <c r="AA210" i="7" s="1"/>
  <c r="AA210" i="3" s="1"/>
  <c r="V230" i="8"/>
  <c r="AA211" i="7" s="1"/>
  <c r="AA211" i="3" s="1"/>
  <c r="V231" i="8"/>
  <c r="AA212" i="7" s="1"/>
  <c r="AA212" i="3" s="1"/>
  <c r="V232" i="8"/>
  <c r="AA213" i="7" s="1"/>
  <c r="AA213" i="3" s="1"/>
  <c r="V233" i="8"/>
  <c r="AA214" i="7" s="1"/>
  <c r="AA214" i="3" s="1"/>
  <c r="V234" i="8"/>
  <c r="AA215" i="7" s="1"/>
  <c r="AA215" i="3" s="1"/>
  <c r="V235" i="8"/>
  <c r="AA216" i="7" s="1"/>
  <c r="AA216" i="3" s="1"/>
  <c r="V236" i="8"/>
  <c r="AA217" i="7" s="1"/>
  <c r="AA217" i="3" s="1"/>
  <c r="V237" i="8"/>
  <c r="AA218" i="7" s="1"/>
  <c r="AA218" i="3" s="1"/>
  <c r="V238" i="8"/>
  <c r="AA219" i="7" s="1"/>
  <c r="AA219" i="3" s="1"/>
  <c r="V239" i="8"/>
  <c r="AA220" i="7" s="1"/>
  <c r="AA220" i="3" s="1"/>
  <c r="V240" i="8"/>
  <c r="AA221" i="7" s="1"/>
  <c r="AA221" i="3" s="1"/>
  <c r="V241" i="8"/>
  <c r="AA222" i="7" s="1"/>
  <c r="AA222" i="3" s="1"/>
  <c r="V242" i="8"/>
  <c r="AA223" i="7" s="1"/>
  <c r="AA223" i="3" s="1"/>
  <c r="V243" i="8"/>
  <c r="AA224" i="7" s="1"/>
  <c r="AA224" i="3" s="1"/>
  <c r="V244" i="8"/>
  <c r="AA225" i="7" s="1"/>
  <c r="AA225" i="3" s="1"/>
  <c r="V245" i="8"/>
  <c r="AA226" i="7" s="1"/>
  <c r="AA226" i="3" s="1"/>
  <c r="V246" i="8"/>
  <c r="AA227" i="7" s="1"/>
  <c r="AA227" i="3" s="1"/>
  <c r="V247" i="8"/>
  <c r="AA228" i="7" s="1"/>
  <c r="AA228" i="3" s="1"/>
  <c r="V248" i="8"/>
  <c r="AA229" i="7" s="1"/>
  <c r="AA229" i="3" s="1"/>
  <c r="V249" i="8"/>
  <c r="AA230" i="7" s="1"/>
  <c r="AA230" i="3" s="1"/>
  <c r="V250" i="8"/>
  <c r="AA231" i="7" s="1"/>
  <c r="AA231" i="3" s="1"/>
  <c r="V251" i="8"/>
  <c r="AA232" i="7" s="1"/>
  <c r="AA232" i="3" s="1"/>
  <c r="V252" i="8"/>
  <c r="AA233" i="7" s="1"/>
  <c r="AA233" i="3" s="1"/>
  <c r="V253" i="8"/>
  <c r="AA234" i="7" s="1"/>
  <c r="V254" i="8"/>
  <c r="AA235" i="7" s="1"/>
  <c r="AA235" i="3" s="1"/>
  <c r="V255" i="8"/>
  <c r="AA236" i="7" s="1"/>
  <c r="AA236" i="3" s="1"/>
  <c r="V256" i="8"/>
  <c r="AA237" i="7" s="1"/>
  <c r="AA237" i="3" s="1"/>
  <c r="V257" i="8"/>
  <c r="AA238" i="7" s="1"/>
  <c r="AA238" i="3" s="1"/>
  <c r="V258" i="8"/>
  <c r="AA239" i="7" s="1"/>
  <c r="AA239" i="3" s="1"/>
  <c r="V259" i="8"/>
  <c r="AA240" i="7" s="1"/>
  <c r="AA240" i="3" s="1"/>
  <c r="V260" i="8"/>
  <c r="AA241" i="7" s="1"/>
  <c r="AA241" i="3" s="1"/>
  <c r="V261" i="8"/>
  <c r="AA242" i="7" s="1"/>
  <c r="AA242" i="3" s="1"/>
  <c r="V262" i="8"/>
  <c r="AA243" i="7" s="1"/>
  <c r="AA243" i="3" s="1"/>
  <c r="V263" i="8"/>
  <c r="AA244" i="7" s="1"/>
  <c r="AA244" i="3" s="1"/>
  <c r="V264" i="8"/>
  <c r="AA245" i="7" s="1"/>
  <c r="AA245" i="3" s="1"/>
  <c r="V265" i="8"/>
  <c r="AA246" i="7" s="1"/>
  <c r="AA246" i="3" s="1"/>
  <c r="V266" i="8"/>
  <c r="AA247" i="7" s="1"/>
  <c r="AA247" i="3" s="1"/>
  <c r="V267" i="8"/>
  <c r="AA248" i="7" s="1"/>
  <c r="AA248" i="3" s="1"/>
  <c r="V268" i="8"/>
  <c r="AA249" i="7" s="1"/>
  <c r="AA249" i="3" s="1"/>
  <c r="V269" i="8"/>
  <c r="AA250" i="7" s="1"/>
  <c r="AA250" i="3" s="1"/>
  <c r="V270" i="8"/>
  <c r="AA251" i="7" s="1"/>
  <c r="AA251" i="3" s="1"/>
  <c r="V271" i="8"/>
  <c r="AA252" i="7" s="1"/>
  <c r="V272" i="8"/>
  <c r="AA253" i="7" s="1"/>
  <c r="AA253" i="3" s="1"/>
  <c r="V273" i="8"/>
  <c r="AA254" i="7" s="1"/>
  <c r="AA254" i="3" s="1"/>
  <c r="V274" i="8"/>
  <c r="AA255" i="7" s="1"/>
  <c r="AA255" i="3" s="1"/>
  <c r="V275" i="8"/>
  <c r="AA256" i="7" s="1"/>
  <c r="AA256" i="3" s="1"/>
  <c r="V276" i="8"/>
  <c r="AA257" i="7" s="1"/>
  <c r="AA257" i="3" s="1"/>
  <c r="V277" i="8"/>
  <c r="AA258" i="7" s="1"/>
  <c r="AA258" i="3" s="1"/>
  <c r="V278" i="8"/>
  <c r="AA259" i="7" s="1"/>
  <c r="AA259" i="3" s="1"/>
  <c r="V279" i="8"/>
  <c r="AA260" i="7" s="1"/>
  <c r="AA260" i="3" s="1"/>
  <c r="V280" i="8"/>
  <c r="AA261" i="7" s="1"/>
  <c r="AA261" i="3" s="1"/>
  <c r="V281" i="8"/>
  <c r="AA262" i="7" s="1"/>
  <c r="AA262" i="3" s="1"/>
  <c r="V282" i="8"/>
  <c r="AA263" i="7" s="1"/>
  <c r="AA263" i="3" s="1"/>
  <c r="V283" i="8"/>
  <c r="AA264" i="7" s="1"/>
  <c r="AA264" i="3" s="1"/>
  <c r="V284" i="8"/>
  <c r="AA265" i="7" s="1"/>
  <c r="AA265" i="3" s="1"/>
  <c r="V285" i="8"/>
  <c r="AA266" i="7" s="1"/>
  <c r="AA266" i="3" s="1"/>
  <c r="V286" i="8"/>
  <c r="AA267" i="7" s="1"/>
  <c r="AA267" i="3" s="1"/>
  <c r="V287" i="8"/>
  <c r="AA268" i="7" s="1"/>
  <c r="AA268" i="3" s="1"/>
  <c r="V288" i="8"/>
  <c r="AA269" i="7" s="1"/>
  <c r="AA269" i="3" s="1"/>
  <c r="V289" i="8"/>
  <c r="AA270" i="7" s="1"/>
  <c r="AA270" i="3" s="1"/>
  <c r="V290" i="8"/>
  <c r="AA271" i="7" s="1"/>
  <c r="AA271" i="3" s="1"/>
  <c r="V291" i="8"/>
  <c r="AA272" i="7" s="1"/>
  <c r="AA272" i="3" s="1"/>
  <c r="V292" i="8"/>
  <c r="AA273" i="7" s="1"/>
  <c r="AA273" i="3" s="1"/>
  <c r="V293" i="8"/>
  <c r="AA274" i="7" s="1"/>
  <c r="AA274" i="3" s="1"/>
  <c r="V294" i="8"/>
  <c r="AA275" i="7" s="1"/>
  <c r="AA275" i="3" s="1"/>
  <c r="U159" i="8"/>
  <c r="Z140" i="7" s="1"/>
  <c r="Z140" i="3" s="1"/>
  <c r="U160" i="8"/>
  <c r="Z141" i="7" s="1"/>
  <c r="Z141" i="3" s="1"/>
  <c r="U161" i="8"/>
  <c r="Z142" i="7" s="1"/>
  <c r="Z142" i="3" s="1"/>
  <c r="U162" i="8"/>
  <c r="Z143" i="7" s="1"/>
  <c r="Z143" i="3" s="1"/>
  <c r="U163" i="8"/>
  <c r="Z144" i="7" s="1"/>
  <c r="Z144" i="3" s="1"/>
  <c r="U164" i="8"/>
  <c r="Z145" i="7" s="1"/>
  <c r="Z145" i="3" s="1"/>
  <c r="U165" i="8"/>
  <c r="Z146" i="7" s="1"/>
  <c r="Z146" i="3" s="1"/>
  <c r="U167" i="8"/>
  <c r="Z148" i="7" s="1"/>
  <c r="Z148" i="3" s="1"/>
  <c r="U168" i="8"/>
  <c r="Z149" i="7" s="1"/>
  <c r="Z149" i="3" s="1"/>
  <c r="U169" i="8"/>
  <c r="Z150" i="7" s="1"/>
  <c r="Z150" i="3" s="1"/>
  <c r="U171" i="8"/>
  <c r="Z152" i="7" s="1"/>
  <c r="Z152" i="3" s="1"/>
  <c r="U172" i="8"/>
  <c r="Z153" i="7" s="1"/>
  <c r="Z153" i="3" s="1"/>
  <c r="U173" i="8"/>
  <c r="Z154" i="7" s="1"/>
  <c r="Z154" i="3" s="1"/>
  <c r="U174" i="8"/>
  <c r="Z155" i="7" s="1"/>
  <c r="Z155" i="3" s="1"/>
  <c r="U175" i="8"/>
  <c r="Z156" i="7" s="1"/>
  <c r="Z156" i="3" s="1"/>
  <c r="U176" i="8"/>
  <c r="Z157" i="7" s="1"/>
  <c r="Z157" i="3" s="1"/>
  <c r="U177" i="8"/>
  <c r="Z158" i="7" s="1"/>
  <c r="Z158" i="3" s="1"/>
  <c r="U178" i="8"/>
  <c r="Z159" i="7" s="1"/>
  <c r="Z159" i="3" s="1"/>
  <c r="U179" i="8"/>
  <c r="Z160" i="7" s="1"/>
  <c r="Z160" i="3" s="1"/>
  <c r="U180" i="8"/>
  <c r="Z161" i="7" s="1"/>
  <c r="Z161" i="3" s="1"/>
  <c r="U181" i="8"/>
  <c r="Z162" i="7" s="1"/>
  <c r="Z162" i="3" s="1"/>
  <c r="U182" i="8"/>
  <c r="Z163" i="7" s="1"/>
  <c r="Z163" i="3" s="1"/>
  <c r="U183" i="8"/>
  <c r="Z164" i="7" s="1"/>
  <c r="Z164" i="3" s="1"/>
  <c r="U184" i="8"/>
  <c r="Z165" i="7" s="1"/>
  <c r="Z165" i="3" s="1"/>
  <c r="U185" i="8"/>
  <c r="Z166" i="7" s="1"/>
  <c r="Z166" i="3" s="1"/>
  <c r="U186" i="8"/>
  <c r="Z167" i="7" s="1"/>
  <c r="Z167" i="3" s="1"/>
  <c r="U187" i="8"/>
  <c r="Z168" i="7" s="1"/>
  <c r="Z168" i="3" s="1"/>
  <c r="U188" i="8"/>
  <c r="Z169" i="7" s="1"/>
  <c r="Z169" i="3" s="1"/>
  <c r="U189" i="8"/>
  <c r="Z170" i="7" s="1"/>
  <c r="Z170" i="3" s="1"/>
  <c r="U190" i="8"/>
  <c r="Z171" i="7" s="1"/>
  <c r="Z171" i="3" s="1"/>
  <c r="U191" i="8"/>
  <c r="Z172" i="7" s="1"/>
  <c r="Z172" i="3" s="1"/>
  <c r="U192" i="8"/>
  <c r="Z173" i="7" s="1"/>
  <c r="Z173" i="3" s="1"/>
  <c r="U193" i="8"/>
  <c r="Z174" i="7" s="1"/>
  <c r="Z174" i="3" s="1"/>
  <c r="U194" i="8"/>
  <c r="Z175" i="7" s="1"/>
  <c r="Z175" i="3" s="1"/>
  <c r="U195" i="8"/>
  <c r="Z176" i="7" s="1"/>
  <c r="Z176" i="3" s="1"/>
  <c r="U196" i="8"/>
  <c r="Z177" i="7" s="1"/>
  <c r="Z177" i="3" s="1"/>
  <c r="U197" i="8"/>
  <c r="Z178" i="7" s="1"/>
  <c r="Z178" i="3" s="1"/>
  <c r="U198" i="8"/>
  <c r="Z179" i="7" s="1"/>
  <c r="Z179" i="3" s="1"/>
  <c r="U199" i="8"/>
  <c r="Z180" i="7" s="1"/>
  <c r="Z180" i="3" s="1"/>
  <c r="U200" i="8"/>
  <c r="Z181" i="7" s="1"/>
  <c r="Z181" i="3" s="1"/>
  <c r="U201" i="8"/>
  <c r="Z182" i="7" s="1"/>
  <c r="Z182" i="3" s="1"/>
  <c r="U202" i="8"/>
  <c r="Z183" i="7" s="1"/>
  <c r="Z183" i="3" s="1"/>
  <c r="U203" i="8"/>
  <c r="Z184" i="7" s="1"/>
  <c r="Z184" i="3" s="1"/>
  <c r="U204" i="8"/>
  <c r="Z185" i="7" s="1"/>
  <c r="Z185" i="3" s="1"/>
  <c r="U205" i="8"/>
  <c r="Z186" i="7" s="1"/>
  <c r="Z186" i="3" s="1"/>
  <c r="U206" i="8"/>
  <c r="Z187" i="7" s="1"/>
  <c r="Z187" i="3" s="1"/>
  <c r="U207" i="8"/>
  <c r="Z188" i="7" s="1"/>
  <c r="Z188" i="3" s="1"/>
  <c r="U208" i="8"/>
  <c r="Z189" i="7" s="1"/>
  <c r="Z189" i="3" s="1"/>
  <c r="U209" i="8"/>
  <c r="Z190" i="7" s="1"/>
  <c r="Z190" i="3" s="1"/>
  <c r="U210" i="8"/>
  <c r="Z191" i="7" s="1"/>
  <c r="Z191" i="3" s="1"/>
  <c r="U211" i="8"/>
  <c r="Z192" i="7" s="1"/>
  <c r="Z192" i="3" s="1"/>
  <c r="U212" i="8"/>
  <c r="Z193" i="7" s="1"/>
  <c r="Z193" i="3" s="1"/>
  <c r="U214" i="8"/>
  <c r="Z195" i="7" s="1"/>
  <c r="Z195" i="3" s="1"/>
  <c r="U215" i="8"/>
  <c r="Z196" i="7" s="1"/>
  <c r="Z196" i="3" s="1"/>
  <c r="U216" i="8"/>
  <c r="Z197" i="7" s="1"/>
  <c r="Z197" i="3" s="1"/>
  <c r="U217" i="8"/>
  <c r="Z198" i="7" s="1"/>
  <c r="Z198" i="3" s="1"/>
  <c r="U218" i="8"/>
  <c r="Z199" i="7" s="1"/>
  <c r="Z199" i="3" s="1"/>
  <c r="U219" i="8"/>
  <c r="Z200" i="7" s="1"/>
  <c r="Z200" i="3" s="1"/>
  <c r="U220" i="8"/>
  <c r="Z201" i="7" s="1"/>
  <c r="Z201" i="3" s="1"/>
  <c r="U221" i="8"/>
  <c r="Z202" i="7" s="1"/>
  <c r="Z202" i="3" s="1"/>
  <c r="U222" i="8"/>
  <c r="Z203" i="7" s="1"/>
  <c r="U223" i="8"/>
  <c r="Z204" i="7" s="1"/>
  <c r="Z204" i="3" s="1"/>
  <c r="U224" i="8"/>
  <c r="Z205" i="7" s="1"/>
  <c r="Z205" i="3" s="1"/>
  <c r="U225" i="8"/>
  <c r="Z206" i="7" s="1"/>
  <c r="Z206" i="3" s="1"/>
  <c r="U226" i="8"/>
  <c r="Z207" i="7" s="1"/>
  <c r="Z207" i="3" s="1"/>
  <c r="U227" i="8"/>
  <c r="Z208" i="7" s="1"/>
  <c r="Z208" i="3" s="1"/>
  <c r="U228" i="8"/>
  <c r="Z209" i="7" s="1"/>
  <c r="Z209" i="3" s="1"/>
  <c r="U229" i="8"/>
  <c r="Z210" i="7" s="1"/>
  <c r="Z210" i="3" s="1"/>
  <c r="U230" i="8"/>
  <c r="Z211" i="7" s="1"/>
  <c r="Z211" i="3" s="1"/>
  <c r="U231" i="8"/>
  <c r="Z212" i="7" s="1"/>
  <c r="Z212" i="3" s="1"/>
  <c r="U232" i="8"/>
  <c r="Z213" i="7" s="1"/>
  <c r="Z213" i="3" s="1"/>
  <c r="U233" i="8"/>
  <c r="Z214" i="7" s="1"/>
  <c r="Z214" i="3" s="1"/>
  <c r="U234" i="8"/>
  <c r="Z215" i="7" s="1"/>
  <c r="Z215" i="3" s="1"/>
  <c r="U235" i="8"/>
  <c r="Z216" i="7" s="1"/>
  <c r="Z216" i="3" s="1"/>
  <c r="U236" i="8"/>
  <c r="Z217" i="7" s="1"/>
  <c r="Z217" i="3" s="1"/>
  <c r="U237" i="8"/>
  <c r="Z218" i="7" s="1"/>
  <c r="Z218" i="3" s="1"/>
  <c r="U238" i="8"/>
  <c r="Z219" i="7" s="1"/>
  <c r="Z219" i="3" s="1"/>
  <c r="U239" i="8"/>
  <c r="Z220" i="7" s="1"/>
  <c r="Z220" i="3" s="1"/>
  <c r="U240" i="8"/>
  <c r="Z221" i="7" s="1"/>
  <c r="Z221" i="3" s="1"/>
  <c r="U241" i="8"/>
  <c r="Z222" i="7" s="1"/>
  <c r="Z222" i="3" s="1"/>
  <c r="U242" i="8"/>
  <c r="Z223" i="7" s="1"/>
  <c r="Z223" i="3" s="1"/>
  <c r="U243" i="8"/>
  <c r="Z224" i="7" s="1"/>
  <c r="Z224" i="3" s="1"/>
  <c r="U244" i="8"/>
  <c r="Z225" i="7" s="1"/>
  <c r="Z225" i="3" s="1"/>
  <c r="U245" i="8"/>
  <c r="Z226" i="7" s="1"/>
  <c r="Z226" i="3" s="1"/>
  <c r="U246" i="8"/>
  <c r="Z227" i="7" s="1"/>
  <c r="Z227" i="3" s="1"/>
  <c r="U248" i="8"/>
  <c r="Z229" i="7" s="1"/>
  <c r="Z229" i="3" s="1"/>
  <c r="U249" i="8"/>
  <c r="Z230" i="7" s="1"/>
  <c r="Z230" i="3" s="1"/>
  <c r="U250" i="8"/>
  <c r="Z231" i="7" s="1"/>
  <c r="Z231" i="3" s="1"/>
  <c r="U251" i="8"/>
  <c r="Z232" i="7" s="1"/>
  <c r="Z232" i="3" s="1"/>
  <c r="U253" i="8"/>
  <c r="Z234" i="7" s="1"/>
  <c r="U254" i="8"/>
  <c r="Z235" i="7" s="1"/>
  <c r="Z235" i="3" s="1"/>
  <c r="U255" i="8"/>
  <c r="Z236" i="7" s="1"/>
  <c r="Z236" i="3" s="1"/>
  <c r="U256" i="8"/>
  <c r="Z237" i="7" s="1"/>
  <c r="Z237" i="3" s="1"/>
  <c r="U257" i="8"/>
  <c r="Z238" i="7" s="1"/>
  <c r="Z238" i="3" s="1"/>
  <c r="U258" i="8"/>
  <c r="Z239" i="7" s="1"/>
  <c r="Z239" i="3" s="1"/>
  <c r="U259" i="8"/>
  <c r="Z240" i="7" s="1"/>
  <c r="Z240" i="3" s="1"/>
  <c r="U260" i="8"/>
  <c r="Z241" i="7" s="1"/>
  <c r="Z241" i="3" s="1"/>
  <c r="U261" i="8"/>
  <c r="Z242" i="7" s="1"/>
  <c r="Z242" i="3" s="1"/>
  <c r="U262" i="8"/>
  <c r="Z243" i="7" s="1"/>
  <c r="Z243" i="3" s="1"/>
  <c r="U263" i="8"/>
  <c r="Z244" i="7" s="1"/>
  <c r="Z244" i="3" s="1"/>
  <c r="U264" i="8"/>
  <c r="Z245" i="7" s="1"/>
  <c r="Z245" i="3" s="1"/>
  <c r="U265" i="8"/>
  <c r="Z246" i="7" s="1"/>
  <c r="Z246" i="3" s="1"/>
  <c r="U266" i="8"/>
  <c r="Z247" i="7" s="1"/>
  <c r="Z247" i="3" s="1"/>
  <c r="U267" i="8"/>
  <c r="Z248" i="7" s="1"/>
  <c r="Z248" i="3" s="1"/>
  <c r="U268" i="8"/>
  <c r="Z249" i="7" s="1"/>
  <c r="Z249" i="3" s="1"/>
  <c r="U269" i="8"/>
  <c r="Z250" i="7" s="1"/>
  <c r="Z250" i="3" s="1"/>
  <c r="U270" i="8"/>
  <c r="Z251" i="7" s="1"/>
  <c r="Z251" i="3" s="1"/>
  <c r="U271" i="8"/>
  <c r="Z252" i="7" s="1"/>
  <c r="U272" i="8"/>
  <c r="Z253" i="7" s="1"/>
  <c r="Z253" i="3" s="1"/>
  <c r="U273" i="8"/>
  <c r="Z254" i="7" s="1"/>
  <c r="Z254" i="3" s="1"/>
  <c r="U274" i="8"/>
  <c r="Z255" i="7" s="1"/>
  <c r="Z255" i="3" s="1"/>
  <c r="U275" i="8"/>
  <c r="Z256" i="7" s="1"/>
  <c r="Z256" i="3" s="1"/>
  <c r="U276" i="8"/>
  <c r="Z257" i="7" s="1"/>
  <c r="Z257" i="3" s="1"/>
  <c r="U277" i="8"/>
  <c r="Z258" i="7" s="1"/>
  <c r="Z258" i="3" s="1"/>
  <c r="U278" i="8"/>
  <c r="Z259" i="7" s="1"/>
  <c r="Z259" i="3" s="1"/>
  <c r="U279" i="8"/>
  <c r="Z260" i="7" s="1"/>
  <c r="Z260" i="3" s="1"/>
  <c r="U280" i="8"/>
  <c r="Z261" i="7" s="1"/>
  <c r="Z261" i="3" s="1"/>
  <c r="U281" i="8"/>
  <c r="Z262" i="7" s="1"/>
  <c r="Z262" i="3" s="1"/>
  <c r="U282" i="8"/>
  <c r="Z263" i="7" s="1"/>
  <c r="Z263" i="3" s="1"/>
  <c r="U283" i="8"/>
  <c r="Z264" i="7" s="1"/>
  <c r="Z264" i="3" s="1"/>
  <c r="U284" i="8"/>
  <c r="Z265" i="7" s="1"/>
  <c r="Z265" i="3" s="1"/>
  <c r="U285" i="8"/>
  <c r="Z266" i="7" s="1"/>
  <c r="Z266" i="3" s="1"/>
  <c r="U286" i="8"/>
  <c r="Z267" i="7" s="1"/>
  <c r="Z267" i="3" s="1"/>
  <c r="U287" i="8"/>
  <c r="Z268" i="7" s="1"/>
  <c r="Z268" i="3" s="1"/>
  <c r="U288" i="8"/>
  <c r="Z269" i="7" s="1"/>
  <c r="Z269" i="3" s="1"/>
  <c r="U289" i="8"/>
  <c r="Z270" i="7" s="1"/>
  <c r="Z270" i="3" s="1"/>
  <c r="U290" i="8"/>
  <c r="Z271" i="7" s="1"/>
  <c r="Z271" i="3" s="1"/>
  <c r="U291" i="8"/>
  <c r="Z272" i="7" s="1"/>
  <c r="Z272" i="3" s="1"/>
  <c r="U292" i="8"/>
  <c r="Z273" i="7" s="1"/>
  <c r="Z273" i="3" s="1"/>
  <c r="U293" i="8"/>
  <c r="Z274" i="7" s="1"/>
  <c r="Z274" i="3" s="1"/>
  <c r="U294" i="8"/>
  <c r="Z275" i="7" s="1"/>
  <c r="Z275" i="3" s="1"/>
  <c r="T159" i="8"/>
  <c r="Y140" i="7" s="1"/>
  <c r="Y140" i="3" s="1"/>
  <c r="T160" i="8"/>
  <c r="Y141" i="7" s="1"/>
  <c r="Y141" i="3" s="1"/>
  <c r="T161" i="8"/>
  <c r="Y142" i="7" s="1"/>
  <c r="Y142" i="3" s="1"/>
  <c r="T162" i="8"/>
  <c r="Y143" i="7" s="1"/>
  <c r="Y143" i="3" s="1"/>
  <c r="T163" i="8"/>
  <c r="Y144" i="7" s="1"/>
  <c r="Y144" i="3" s="1"/>
  <c r="T164" i="8"/>
  <c r="Y145" i="7" s="1"/>
  <c r="Y145" i="3" s="1"/>
  <c r="T165" i="8"/>
  <c r="Y146" i="7" s="1"/>
  <c r="Y146" i="3" s="1"/>
  <c r="T167" i="8"/>
  <c r="Y148" i="7" s="1"/>
  <c r="Y148" i="3" s="1"/>
  <c r="T168" i="8"/>
  <c r="Y149" i="7" s="1"/>
  <c r="Y149" i="3" s="1"/>
  <c r="T169" i="8"/>
  <c r="Y150" i="7" s="1"/>
  <c r="Y150" i="3" s="1"/>
  <c r="T171" i="8"/>
  <c r="Y152" i="7" s="1"/>
  <c r="Y152" i="3" s="1"/>
  <c r="T172" i="8"/>
  <c r="Y153" i="7" s="1"/>
  <c r="Y153" i="3" s="1"/>
  <c r="T173" i="8"/>
  <c r="Y154" i="7" s="1"/>
  <c r="Y154" i="3" s="1"/>
  <c r="T174" i="8"/>
  <c r="Y155" i="7" s="1"/>
  <c r="Y155" i="3" s="1"/>
  <c r="T175" i="8"/>
  <c r="Y156" i="7" s="1"/>
  <c r="Y156" i="3" s="1"/>
  <c r="T176" i="8"/>
  <c r="Y157" i="7" s="1"/>
  <c r="Y157" i="3" s="1"/>
  <c r="T177" i="8"/>
  <c r="Y158" i="7" s="1"/>
  <c r="Y158" i="3" s="1"/>
  <c r="T178" i="8"/>
  <c r="Y159" i="7" s="1"/>
  <c r="Y159" i="3" s="1"/>
  <c r="T179" i="8"/>
  <c r="Y160" i="7" s="1"/>
  <c r="Y160" i="3" s="1"/>
  <c r="T180" i="8"/>
  <c r="Y161" i="7" s="1"/>
  <c r="Y161" i="3" s="1"/>
  <c r="T181" i="8"/>
  <c r="Y162" i="7" s="1"/>
  <c r="Y162" i="3" s="1"/>
  <c r="T182" i="8"/>
  <c r="Y163" i="7" s="1"/>
  <c r="Y163" i="3" s="1"/>
  <c r="T183" i="8"/>
  <c r="Y164" i="7" s="1"/>
  <c r="Y164" i="3" s="1"/>
  <c r="T184" i="8"/>
  <c r="Y165" i="7" s="1"/>
  <c r="Y165" i="3" s="1"/>
  <c r="T185" i="8"/>
  <c r="Y166" i="7" s="1"/>
  <c r="Y166" i="3" s="1"/>
  <c r="T186" i="8"/>
  <c r="Y167" i="7" s="1"/>
  <c r="Y167" i="3" s="1"/>
  <c r="T187" i="8"/>
  <c r="Y168" i="7" s="1"/>
  <c r="Y168" i="3" s="1"/>
  <c r="T188" i="8"/>
  <c r="Y169" i="7" s="1"/>
  <c r="Y169" i="3" s="1"/>
  <c r="T189" i="8"/>
  <c r="Y170" i="7" s="1"/>
  <c r="Y170" i="3" s="1"/>
  <c r="T190" i="8"/>
  <c r="Y171" i="7" s="1"/>
  <c r="Y171" i="3" s="1"/>
  <c r="T191" i="8"/>
  <c r="Y172" i="7" s="1"/>
  <c r="Y172" i="3" s="1"/>
  <c r="T192" i="8"/>
  <c r="Y173" i="7" s="1"/>
  <c r="Y173" i="3" s="1"/>
  <c r="T193" i="8"/>
  <c r="Y174" i="7" s="1"/>
  <c r="Y174" i="3" s="1"/>
  <c r="T194" i="8"/>
  <c r="Y175" i="7" s="1"/>
  <c r="Y175" i="3" s="1"/>
  <c r="T195" i="8"/>
  <c r="Y176" i="7" s="1"/>
  <c r="Y176" i="3" s="1"/>
  <c r="T196" i="8"/>
  <c r="Y177" i="7" s="1"/>
  <c r="Y177" i="3" s="1"/>
  <c r="T197" i="8"/>
  <c r="Y178" i="7" s="1"/>
  <c r="Y178" i="3" s="1"/>
  <c r="T198" i="8"/>
  <c r="Y179" i="7" s="1"/>
  <c r="Y179" i="3" s="1"/>
  <c r="T199" i="8"/>
  <c r="Y180" i="7" s="1"/>
  <c r="Y180" i="3" s="1"/>
  <c r="T200" i="8"/>
  <c r="Y181" i="7" s="1"/>
  <c r="Y181" i="3" s="1"/>
  <c r="T201" i="8"/>
  <c r="Y182" i="7" s="1"/>
  <c r="Y182" i="3" s="1"/>
  <c r="T202" i="8"/>
  <c r="Y183" i="7" s="1"/>
  <c r="Y183" i="3" s="1"/>
  <c r="T203" i="8"/>
  <c r="Y184" i="7" s="1"/>
  <c r="Y184" i="3" s="1"/>
  <c r="T204" i="8"/>
  <c r="Y185" i="7" s="1"/>
  <c r="Y185" i="3" s="1"/>
  <c r="T205" i="8"/>
  <c r="Y186" i="7" s="1"/>
  <c r="Y186" i="3" s="1"/>
  <c r="T206" i="8"/>
  <c r="Y187" i="7" s="1"/>
  <c r="Y187" i="3" s="1"/>
  <c r="T207" i="8"/>
  <c r="Y188" i="7" s="1"/>
  <c r="Y188" i="3" s="1"/>
  <c r="T208" i="8"/>
  <c r="Y189" i="7" s="1"/>
  <c r="Y189" i="3" s="1"/>
  <c r="T209" i="8"/>
  <c r="Y190" i="7" s="1"/>
  <c r="Y190" i="3" s="1"/>
  <c r="T210" i="8"/>
  <c r="Y191" i="7" s="1"/>
  <c r="Y191" i="3" s="1"/>
  <c r="T211" i="8"/>
  <c r="Y192" i="7" s="1"/>
  <c r="Y192" i="3" s="1"/>
  <c r="T212" i="8"/>
  <c r="Y193" i="7" s="1"/>
  <c r="Y193" i="3" s="1"/>
  <c r="T214" i="8"/>
  <c r="Y195" i="7" s="1"/>
  <c r="Y195" i="3" s="1"/>
  <c r="T215" i="8"/>
  <c r="Y196" i="7" s="1"/>
  <c r="Y196" i="3" s="1"/>
  <c r="T216" i="8"/>
  <c r="Y197" i="7" s="1"/>
  <c r="Y197" i="3" s="1"/>
  <c r="T217" i="8"/>
  <c r="Y198" i="7" s="1"/>
  <c r="Y198" i="3" s="1"/>
  <c r="T218" i="8"/>
  <c r="Y199" i="7" s="1"/>
  <c r="Y199" i="3" s="1"/>
  <c r="T219" i="8"/>
  <c r="Y200" i="7" s="1"/>
  <c r="Y200" i="3" s="1"/>
  <c r="T220" i="8"/>
  <c r="Y201" i="7" s="1"/>
  <c r="Y201" i="3" s="1"/>
  <c r="T221" i="8"/>
  <c r="Y202" i="7" s="1"/>
  <c r="Y202" i="3" s="1"/>
  <c r="T222" i="8"/>
  <c r="Y203" i="7" s="1"/>
  <c r="T223" i="8"/>
  <c r="Y204" i="7" s="1"/>
  <c r="Y204" i="3" s="1"/>
  <c r="T224" i="8"/>
  <c r="Y205" i="7" s="1"/>
  <c r="Y205" i="3" s="1"/>
  <c r="T225" i="8"/>
  <c r="Y206" i="7" s="1"/>
  <c r="Y206" i="3" s="1"/>
  <c r="T226" i="8"/>
  <c r="Y207" i="7" s="1"/>
  <c r="Y207" i="3" s="1"/>
  <c r="T227" i="8"/>
  <c r="Y208" i="7" s="1"/>
  <c r="Y208" i="3" s="1"/>
  <c r="T228" i="8"/>
  <c r="Y209" i="7" s="1"/>
  <c r="Y209" i="3" s="1"/>
  <c r="T229" i="8"/>
  <c r="Y210" i="7" s="1"/>
  <c r="Y210" i="3" s="1"/>
  <c r="T230" i="8"/>
  <c r="Y211" i="7" s="1"/>
  <c r="Y211" i="3" s="1"/>
  <c r="T231" i="8"/>
  <c r="Y212" i="7" s="1"/>
  <c r="Y212" i="3" s="1"/>
  <c r="T232" i="8"/>
  <c r="Y213" i="7" s="1"/>
  <c r="Y213" i="3" s="1"/>
  <c r="T233" i="8"/>
  <c r="Y214" i="7" s="1"/>
  <c r="Y214" i="3" s="1"/>
  <c r="T234" i="8"/>
  <c r="Y215" i="7" s="1"/>
  <c r="Y215" i="3" s="1"/>
  <c r="T235" i="8"/>
  <c r="Y216" i="7" s="1"/>
  <c r="Y216" i="3" s="1"/>
  <c r="T236" i="8"/>
  <c r="Y217" i="7" s="1"/>
  <c r="Y217" i="3" s="1"/>
  <c r="T237" i="8"/>
  <c r="Y218" i="7" s="1"/>
  <c r="Y218" i="3" s="1"/>
  <c r="T238" i="8"/>
  <c r="Y219" i="7" s="1"/>
  <c r="Y219" i="3" s="1"/>
  <c r="T239" i="8"/>
  <c r="Y220" i="7" s="1"/>
  <c r="Y220" i="3" s="1"/>
  <c r="T240" i="8"/>
  <c r="Y221" i="7" s="1"/>
  <c r="Y221" i="3" s="1"/>
  <c r="T241" i="8"/>
  <c r="Y222" i="7" s="1"/>
  <c r="Y222" i="3" s="1"/>
  <c r="T242" i="8"/>
  <c r="Y223" i="7" s="1"/>
  <c r="Y223" i="3" s="1"/>
  <c r="T243" i="8"/>
  <c r="Y224" i="7" s="1"/>
  <c r="Y224" i="3" s="1"/>
  <c r="T244" i="8"/>
  <c r="Y225" i="7" s="1"/>
  <c r="Y225" i="3" s="1"/>
  <c r="T245" i="8"/>
  <c r="Y226" i="7" s="1"/>
  <c r="Y226" i="3" s="1"/>
  <c r="T246" i="8"/>
  <c r="Y227" i="7" s="1"/>
  <c r="Y227" i="3" s="1"/>
  <c r="T248" i="8"/>
  <c r="Y229" i="7" s="1"/>
  <c r="Y229" i="3" s="1"/>
  <c r="T249" i="8"/>
  <c r="Y230" i="7" s="1"/>
  <c r="Y230" i="3" s="1"/>
  <c r="T250" i="8"/>
  <c r="Y231" i="7" s="1"/>
  <c r="Y231" i="3" s="1"/>
  <c r="T251" i="8"/>
  <c r="Y232" i="7" s="1"/>
  <c r="Y232" i="3" s="1"/>
  <c r="T253" i="8"/>
  <c r="Y234" i="7" s="1"/>
  <c r="T254" i="8"/>
  <c r="Y235" i="7" s="1"/>
  <c r="Y235" i="3" s="1"/>
  <c r="T255" i="8"/>
  <c r="Y236" i="7" s="1"/>
  <c r="Y236" i="3" s="1"/>
  <c r="T256" i="8"/>
  <c r="Y237" i="7" s="1"/>
  <c r="Y237" i="3" s="1"/>
  <c r="T257" i="8"/>
  <c r="Y238" i="7" s="1"/>
  <c r="Y238" i="3" s="1"/>
  <c r="T258" i="8"/>
  <c r="Y239" i="7" s="1"/>
  <c r="Y239" i="3" s="1"/>
  <c r="T259" i="8"/>
  <c r="Y240" i="7" s="1"/>
  <c r="Y240" i="3" s="1"/>
  <c r="T260" i="8"/>
  <c r="Y241" i="7" s="1"/>
  <c r="Y241" i="3" s="1"/>
  <c r="T261" i="8"/>
  <c r="Y242" i="7" s="1"/>
  <c r="Y242" i="3" s="1"/>
  <c r="T262" i="8"/>
  <c r="Y243" i="7" s="1"/>
  <c r="Y243" i="3" s="1"/>
  <c r="T263" i="8"/>
  <c r="Y244" i="7" s="1"/>
  <c r="Y244" i="3" s="1"/>
  <c r="T264" i="8"/>
  <c r="Y245" i="7" s="1"/>
  <c r="Y245" i="3" s="1"/>
  <c r="T265" i="8"/>
  <c r="Y246" i="7" s="1"/>
  <c r="Y246" i="3" s="1"/>
  <c r="T266" i="8"/>
  <c r="Y247" i="7" s="1"/>
  <c r="Y247" i="3" s="1"/>
  <c r="T267" i="8"/>
  <c r="Y248" i="7" s="1"/>
  <c r="Y248" i="3" s="1"/>
  <c r="T268" i="8"/>
  <c r="Y249" i="7" s="1"/>
  <c r="Y249" i="3" s="1"/>
  <c r="T269" i="8"/>
  <c r="Y250" i="7" s="1"/>
  <c r="Y250" i="3" s="1"/>
  <c r="T270" i="8"/>
  <c r="Y251" i="7" s="1"/>
  <c r="Y251" i="3" s="1"/>
  <c r="T271" i="8"/>
  <c r="Y252" i="7" s="1"/>
  <c r="T272" i="8"/>
  <c r="Y253" i="7" s="1"/>
  <c r="Y253" i="3" s="1"/>
  <c r="T273" i="8"/>
  <c r="Y254" i="7" s="1"/>
  <c r="Y254" i="3" s="1"/>
  <c r="T274" i="8"/>
  <c r="Y255" i="7" s="1"/>
  <c r="Y255" i="3" s="1"/>
  <c r="T275" i="8"/>
  <c r="Y256" i="7" s="1"/>
  <c r="Y256" i="3" s="1"/>
  <c r="T276" i="8"/>
  <c r="Y257" i="7" s="1"/>
  <c r="Y257" i="3" s="1"/>
  <c r="T277" i="8"/>
  <c r="Y258" i="7" s="1"/>
  <c r="Y258" i="3" s="1"/>
  <c r="T278" i="8"/>
  <c r="Y259" i="7" s="1"/>
  <c r="Y259" i="3" s="1"/>
  <c r="T279" i="8"/>
  <c r="Y260" i="7" s="1"/>
  <c r="Y260" i="3" s="1"/>
  <c r="T280" i="8"/>
  <c r="Y261" i="7" s="1"/>
  <c r="Y261" i="3" s="1"/>
  <c r="T281" i="8"/>
  <c r="Y262" i="7" s="1"/>
  <c r="Y262" i="3" s="1"/>
  <c r="T282" i="8"/>
  <c r="Y263" i="7" s="1"/>
  <c r="Y263" i="3" s="1"/>
  <c r="T283" i="8"/>
  <c r="Y264" i="7" s="1"/>
  <c r="Y264" i="3" s="1"/>
  <c r="T284" i="8"/>
  <c r="Y265" i="7" s="1"/>
  <c r="Y265" i="3" s="1"/>
  <c r="T285" i="8"/>
  <c r="Y266" i="7" s="1"/>
  <c r="Y266" i="3" s="1"/>
  <c r="T286" i="8"/>
  <c r="Y267" i="7" s="1"/>
  <c r="Y267" i="3" s="1"/>
  <c r="T287" i="8"/>
  <c r="Y268" i="7" s="1"/>
  <c r="Y268" i="3" s="1"/>
  <c r="T288" i="8"/>
  <c r="Y269" i="7" s="1"/>
  <c r="Y269" i="3" s="1"/>
  <c r="T289" i="8"/>
  <c r="Y270" i="7" s="1"/>
  <c r="Y270" i="3" s="1"/>
  <c r="T290" i="8"/>
  <c r="Y271" i="7" s="1"/>
  <c r="Y271" i="3" s="1"/>
  <c r="T291" i="8"/>
  <c r="Y272" i="7" s="1"/>
  <c r="Y272" i="3" s="1"/>
  <c r="T292" i="8"/>
  <c r="Y273" i="7" s="1"/>
  <c r="Y273" i="3" s="1"/>
  <c r="T293" i="8"/>
  <c r="Y274" i="7" s="1"/>
  <c r="Y274" i="3" s="1"/>
  <c r="T294" i="8"/>
  <c r="Y275" i="7" s="1"/>
  <c r="Y275" i="3" s="1"/>
  <c r="S159" i="8"/>
  <c r="X140" i="7" s="1"/>
  <c r="X140" i="3" s="1"/>
  <c r="S160" i="8"/>
  <c r="X141" i="7" s="1"/>
  <c r="X141" i="3" s="1"/>
  <c r="S161" i="8"/>
  <c r="X142" i="7" s="1"/>
  <c r="X142" i="3" s="1"/>
  <c r="S162" i="8"/>
  <c r="X143" i="7" s="1"/>
  <c r="X143" i="3" s="1"/>
  <c r="S163" i="8"/>
  <c r="X144" i="7" s="1"/>
  <c r="X144" i="3" s="1"/>
  <c r="S164" i="8"/>
  <c r="X145" i="7" s="1"/>
  <c r="X145" i="3" s="1"/>
  <c r="S165" i="8"/>
  <c r="X146" i="7" s="1"/>
  <c r="X146" i="3" s="1"/>
  <c r="S166" i="8"/>
  <c r="X147" i="7" s="1"/>
  <c r="X147" i="3" s="1"/>
  <c r="S167" i="8"/>
  <c r="X148" i="7" s="1"/>
  <c r="X148" i="3" s="1"/>
  <c r="S168" i="8"/>
  <c r="X149" i="7" s="1"/>
  <c r="X149" i="3" s="1"/>
  <c r="S169" i="8"/>
  <c r="X150" i="7" s="1"/>
  <c r="X150" i="3" s="1"/>
  <c r="S170" i="8"/>
  <c r="X151" i="7" s="1"/>
  <c r="X151" i="3" s="1"/>
  <c r="S171" i="8"/>
  <c r="X152" i="7" s="1"/>
  <c r="X152" i="3" s="1"/>
  <c r="S172" i="8"/>
  <c r="X153" i="7" s="1"/>
  <c r="X153" i="3" s="1"/>
  <c r="S173" i="8"/>
  <c r="X154" i="7" s="1"/>
  <c r="X154" i="3" s="1"/>
  <c r="S174" i="8"/>
  <c r="X155" i="7" s="1"/>
  <c r="X155" i="3" s="1"/>
  <c r="S175" i="8"/>
  <c r="X156" i="7" s="1"/>
  <c r="X156" i="3" s="1"/>
  <c r="S176" i="8"/>
  <c r="X157" i="7" s="1"/>
  <c r="X157" i="3" s="1"/>
  <c r="S177" i="8"/>
  <c r="X158" i="7" s="1"/>
  <c r="X158" i="3" s="1"/>
  <c r="S178" i="8"/>
  <c r="X159" i="7" s="1"/>
  <c r="X159" i="3" s="1"/>
  <c r="S179" i="8"/>
  <c r="X160" i="7" s="1"/>
  <c r="X160" i="3" s="1"/>
  <c r="S180" i="8"/>
  <c r="X161" i="7" s="1"/>
  <c r="X161" i="3" s="1"/>
  <c r="S181" i="8"/>
  <c r="X162" i="7" s="1"/>
  <c r="X162" i="3" s="1"/>
  <c r="S182" i="8"/>
  <c r="X163" i="7" s="1"/>
  <c r="X163" i="3" s="1"/>
  <c r="S183" i="8"/>
  <c r="X164" i="7" s="1"/>
  <c r="X164" i="3" s="1"/>
  <c r="S184" i="8"/>
  <c r="X165" i="7" s="1"/>
  <c r="X165" i="3" s="1"/>
  <c r="S185" i="8"/>
  <c r="X166" i="7" s="1"/>
  <c r="X166" i="3" s="1"/>
  <c r="S186" i="8"/>
  <c r="X167" i="7" s="1"/>
  <c r="X167" i="3" s="1"/>
  <c r="S187" i="8"/>
  <c r="X168" i="7" s="1"/>
  <c r="X168" i="3" s="1"/>
  <c r="S188" i="8"/>
  <c r="X169" i="7" s="1"/>
  <c r="X169" i="3" s="1"/>
  <c r="S189" i="8"/>
  <c r="X170" i="7" s="1"/>
  <c r="X170" i="3" s="1"/>
  <c r="S190" i="8"/>
  <c r="X171" i="7" s="1"/>
  <c r="X171" i="3" s="1"/>
  <c r="S191" i="8"/>
  <c r="X172" i="7" s="1"/>
  <c r="X172" i="3" s="1"/>
  <c r="S192" i="8"/>
  <c r="X173" i="7" s="1"/>
  <c r="X173" i="3" s="1"/>
  <c r="S193" i="8"/>
  <c r="X174" i="7" s="1"/>
  <c r="X174" i="3" s="1"/>
  <c r="S194" i="8"/>
  <c r="X175" i="7" s="1"/>
  <c r="X175" i="3" s="1"/>
  <c r="S195" i="8"/>
  <c r="X176" i="7" s="1"/>
  <c r="X176" i="3" s="1"/>
  <c r="S196" i="8"/>
  <c r="X177" i="7" s="1"/>
  <c r="X177" i="3" s="1"/>
  <c r="S197" i="8"/>
  <c r="X178" i="7" s="1"/>
  <c r="X178" i="3" s="1"/>
  <c r="S198" i="8"/>
  <c r="X179" i="7" s="1"/>
  <c r="X179" i="3" s="1"/>
  <c r="S199" i="8"/>
  <c r="X180" i="7" s="1"/>
  <c r="X180" i="3" s="1"/>
  <c r="S200" i="8"/>
  <c r="X181" i="7" s="1"/>
  <c r="X181" i="3" s="1"/>
  <c r="S201" i="8"/>
  <c r="X182" i="7" s="1"/>
  <c r="X182" i="3" s="1"/>
  <c r="S202" i="8"/>
  <c r="X183" i="7" s="1"/>
  <c r="X183" i="3" s="1"/>
  <c r="S203" i="8"/>
  <c r="X184" i="7" s="1"/>
  <c r="X184" i="3" s="1"/>
  <c r="S204" i="8"/>
  <c r="X185" i="7" s="1"/>
  <c r="X185" i="3" s="1"/>
  <c r="S205" i="8"/>
  <c r="X186" i="7" s="1"/>
  <c r="X186" i="3" s="1"/>
  <c r="S206" i="8"/>
  <c r="X187" i="7" s="1"/>
  <c r="X187" i="3" s="1"/>
  <c r="S207" i="8"/>
  <c r="X188" i="7" s="1"/>
  <c r="X188" i="3" s="1"/>
  <c r="S208" i="8"/>
  <c r="X189" i="7" s="1"/>
  <c r="X189" i="3" s="1"/>
  <c r="S209" i="8"/>
  <c r="X190" i="7" s="1"/>
  <c r="X190" i="3" s="1"/>
  <c r="S210" i="8"/>
  <c r="X191" i="7" s="1"/>
  <c r="X191" i="3" s="1"/>
  <c r="S211" i="8"/>
  <c r="X192" i="7" s="1"/>
  <c r="X192" i="3" s="1"/>
  <c r="S212" i="8"/>
  <c r="X193" i="7" s="1"/>
  <c r="X193" i="3" s="1"/>
  <c r="S213" i="8"/>
  <c r="X194" i="7" s="1"/>
  <c r="X194" i="3" s="1"/>
  <c r="S214" i="8"/>
  <c r="X195" i="7" s="1"/>
  <c r="X195" i="3" s="1"/>
  <c r="S215" i="8"/>
  <c r="X196" i="7" s="1"/>
  <c r="X196" i="3" s="1"/>
  <c r="S216" i="8"/>
  <c r="X197" i="7" s="1"/>
  <c r="X197" i="3" s="1"/>
  <c r="S217" i="8"/>
  <c r="X198" i="7" s="1"/>
  <c r="X198" i="3" s="1"/>
  <c r="S218" i="8"/>
  <c r="X199" i="7" s="1"/>
  <c r="X199" i="3" s="1"/>
  <c r="S219" i="8"/>
  <c r="X200" i="7" s="1"/>
  <c r="X200" i="3" s="1"/>
  <c r="S220" i="8"/>
  <c r="X201" i="7" s="1"/>
  <c r="X201" i="3" s="1"/>
  <c r="S221" i="8"/>
  <c r="X202" i="7" s="1"/>
  <c r="X202" i="3" s="1"/>
  <c r="S222" i="8"/>
  <c r="X203" i="7" s="1"/>
  <c r="S223" i="8"/>
  <c r="X204" i="7" s="1"/>
  <c r="X204" i="3" s="1"/>
  <c r="S224" i="8"/>
  <c r="X205" i="7" s="1"/>
  <c r="X205" i="3" s="1"/>
  <c r="S225" i="8"/>
  <c r="X206" i="7" s="1"/>
  <c r="X206" i="3" s="1"/>
  <c r="S226" i="8"/>
  <c r="X207" i="7" s="1"/>
  <c r="X207" i="3" s="1"/>
  <c r="S227" i="8"/>
  <c r="X208" i="7" s="1"/>
  <c r="X208" i="3" s="1"/>
  <c r="S228" i="8"/>
  <c r="X209" i="7" s="1"/>
  <c r="X209" i="3" s="1"/>
  <c r="S229" i="8"/>
  <c r="X210" i="7" s="1"/>
  <c r="X210" i="3" s="1"/>
  <c r="S230" i="8"/>
  <c r="X211" i="7" s="1"/>
  <c r="X211" i="3" s="1"/>
  <c r="S231" i="8"/>
  <c r="X212" i="7" s="1"/>
  <c r="X212" i="3" s="1"/>
  <c r="S232" i="8"/>
  <c r="X213" i="7" s="1"/>
  <c r="X213" i="3" s="1"/>
  <c r="S233" i="8"/>
  <c r="X214" i="7" s="1"/>
  <c r="X214" i="3" s="1"/>
  <c r="S234" i="8"/>
  <c r="X215" i="7" s="1"/>
  <c r="X215" i="3" s="1"/>
  <c r="S235" i="8"/>
  <c r="X216" i="7" s="1"/>
  <c r="X216" i="3" s="1"/>
  <c r="S236" i="8"/>
  <c r="X217" i="7" s="1"/>
  <c r="X217" i="3" s="1"/>
  <c r="S237" i="8"/>
  <c r="X218" i="7" s="1"/>
  <c r="X218" i="3" s="1"/>
  <c r="S238" i="8"/>
  <c r="X219" i="7" s="1"/>
  <c r="X219" i="3" s="1"/>
  <c r="S239" i="8"/>
  <c r="X220" i="7" s="1"/>
  <c r="X220" i="3" s="1"/>
  <c r="S240" i="8"/>
  <c r="X221" i="7" s="1"/>
  <c r="X221" i="3" s="1"/>
  <c r="S241" i="8"/>
  <c r="X222" i="7" s="1"/>
  <c r="X222" i="3" s="1"/>
  <c r="S242" i="8"/>
  <c r="X223" i="7" s="1"/>
  <c r="X223" i="3" s="1"/>
  <c r="S243" i="8"/>
  <c r="X224" i="7" s="1"/>
  <c r="X224" i="3" s="1"/>
  <c r="S244" i="8"/>
  <c r="X225" i="7" s="1"/>
  <c r="X225" i="3" s="1"/>
  <c r="S245" i="8"/>
  <c r="X226" i="7" s="1"/>
  <c r="X226" i="3" s="1"/>
  <c r="S246" i="8"/>
  <c r="X227" i="7" s="1"/>
  <c r="X227" i="3" s="1"/>
  <c r="S247" i="8"/>
  <c r="X228" i="7" s="1"/>
  <c r="X228" i="3" s="1"/>
  <c r="S248" i="8"/>
  <c r="X229" i="7" s="1"/>
  <c r="X229" i="3" s="1"/>
  <c r="S249" i="8"/>
  <c r="X230" i="7" s="1"/>
  <c r="X230" i="3" s="1"/>
  <c r="S250" i="8"/>
  <c r="X231" i="7" s="1"/>
  <c r="X231" i="3" s="1"/>
  <c r="S251" i="8"/>
  <c r="X232" i="7" s="1"/>
  <c r="X232" i="3" s="1"/>
  <c r="S252" i="8"/>
  <c r="X233" i="7" s="1"/>
  <c r="X233" i="3" s="1"/>
  <c r="S253" i="8"/>
  <c r="X234" i="7" s="1"/>
  <c r="S254" i="8"/>
  <c r="X235" i="7" s="1"/>
  <c r="X235" i="3" s="1"/>
  <c r="S255" i="8"/>
  <c r="X236" i="7" s="1"/>
  <c r="X236" i="3" s="1"/>
  <c r="S256" i="8"/>
  <c r="X237" i="7" s="1"/>
  <c r="X237" i="3" s="1"/>
  <c r="S257" i="8"/>
  <c r="X238" i="7" s="1"/>
  <c r="X238" i="3" s="1"/>
  <c r="S258" i="8"/>
  <c r="X239" i="7" s="1"/>
  <c r="X239" i="3" s="1"/>
  <c r="S259" i="8"/>
  <c r="X240" i="7" s="1"/>
  <c r="X240" i="3" s="1"/>
  <c r="S260" i="8"/>
  <c r="X241" i="7" s="1"/>
  <c r="X241" i="3" s="1"/>
  <c r="S261" i="8"/>
  <c r="X242" i="7" s="1"/>
  <c r="X242" i="3" s="1"/>
  <c r="S262" i="8"/>
  <c r="X243" i="7" s="1"/>
  <c r="X243" i="3" s="1"/>
  <c r="S263" i="8"/>
  <c r="X244" i="7" s="1"/>
  <c r="X244" i="3" s="1"/>
  <c r="S264" i="8"/>
  <c r="X245" i="7" s="1"/>
  <c r="X245" i="3" s="1"/>
  <c r="S265" i="8"/>
  <c r="X246" i="7" s="1"/>
  <c r="X246" i="3" s="1"/>
  <c r="S266" i="8"/>
  <c r="X247" i="7" s="1"/>
  <c r="X247" i="3" s="1"/>
  <c r="S267" i="8"/>
  <c r="X248" i="7" s="1"/>
  <c r="X248" i="3" s="1"/>
  <c r="S268" i="8"/>
  <c r="X249" i="7" s="1"/>
  <c r="X249" i="3" s="1"/>
  <c r="S269" i="8"/>
  <c r="X250" i="7" s="1"/>
  <c r="X250" i="3" s="1"/>
  <c r="S270" i="8"/>
  <c r="X251" i="7" s="1"/>
  <c r="X251" i="3" s="1"/>
  <c r="S271" i="8"/>
  <c r="X252" i="7" s="1"/>
  <c r="S272" i="8"/>
  <c r="X253" i="7" s="1"/>
  <c r="X253" i="3" s="1"/>
  <c r="S273" i="8"/>
  <c r="X254" i="7" s="1"/>
  <c r="X254" i="3" s="1"/>
  <c r="S274" i="8"/>
  <c r="X255" i="7" s="1"/>
  <c r="X255" i="3" s="1"/>
  <c r="S275" i="8"/>
  <c r="X256" i="7" s="1"/>
  <c r="X256" i="3" s="1"/>
  <c r="S276" i="8"/>
  <c r="X257" i="7" s="1"/>
  <c r="X257" i="3" s="1"/>
  <c r="S277" i="8"/>
  <c r="X258" i="7" s="1"/>
  <c r="X258" i="3" s="1"/>
  <c r="S278" i="8"/>
  <c r="X259" i="7" s="1"/>
  <c r="X259" i="3" s="1"/>
  <c r="S279" i="8"/>
  <c r="X260" i="7" s="1"/>
  <c r="X260" i="3" s="1"/>
  <c r="S280" i="8"/>
  <c r="X261" i="7" s="1"/>
  <c r="X261" i="3" s="1"/>
  <c r="S281" i="8"/>
  <c r="X262" i="7" s="1"/>
  <c r="X262" i="3" s="1"/>
  <c r="S282" i="8"/>
  <c r="X263" i="7" s="1"/>
  <c r="X263" i="3" s="1"/>
  <c r="S283" i="8"/>
  <c r="X264" i="7" s="1"/>
  <c r="X264" i="3" s="1"/>
  <c r="S284" i="8"/>
  <c r="X265" i="7" s="1"/>
  <c r="X265" i="3" s="1"/>
  <c r="S285" i="8"/>
  <c r="X266" i="7" s="1"/>
  <c r="X266" i="3" s="1"/>
  <c r="S286" i="8"/>
  <c r="X267" i="7" s="1"/>
  <c r="X267" i="3" s="1"/>
  <c r="S287" i="8"/>
  <c r="X268" i="7" s="1"/>
  <c r="X268" i="3" s="1"/>
  <c r="S288" i="8"/>
  <c r="X269" i="7" s="1"/>
  <c r="X269" i="3" s="1"/>
  <c r="S289" i="8"/>
  <c r="X270" i="7" s="1"/>
  <c r="X270" i="3" s="1"/>
  <c r="S290" i="8"/>
  <c r="X271" i="7" s="1"/>
  <c r="X271" i="3" s="1"/>
  <c r="S291" i="8"/>
  <c r="X272" i="7" s="1"/>
  <c r="X272" i="3" s="1"/>
  <c r="S292" i="8"/>
  <c r="X273" i="7" s="1"/>
  <c r="X273" i="3" s="1"/>
  <c r="S293" i="8"/>
  <c r="X274" i="7" s="1"/>
  <c r="X274" i="3" s="1"/>
  <c r="S294" i="8"/>
  <c r="X275" i="7" s="1"/>
  <c r="X275" i="3" s="1"/>
  <c r="R159" i="8"/>
  <c r="W140" i="7" s="1"/>
  <c r="W140" i="3" s="1"/>
  <c r="R160" i="8"/>
  <c r="W141" i="7" s="1"/>
  <c r="W141" i="3" s="1"/>
  <c r="R161" i="8"/>
  <c r="W142" i="7" s="1"/>
  <c r="W142" i="3" s="1"/>
  <c r="R162" i="8"/>
  <c r="W143" i="7" s="1"/>
  <c r="W143" i="3" s="1"/>
  <c r="R163" i="8"/>
  <c r="W144" i="7" s="1"/>
  <c r="W144" i="3" s="1"/>
  <c r="R164" i="8"/>
  <c r="W145" i="7" s="1"/>
  <c r="W145" i="3" s="1"/>
  <c r="R165" i="8"/>
  <c r="W146" i="7" s="1"/>
  <c r="W146" i="3" s="1"/>
  <c r="R167" i="8"/>
  <c r="W148" i="7" s="1"/>
  <c r="W148" i="3" s="1"/>
  <c r="R168" i="8"/>
  <c r="W149" i="7" s="1"/>
  <c r="W149" i="3" s="1"/>
  <c r="R169" i="8"/>
  <c r="W150" i="7" s="1"/>
  <c r="W150" i="3" s="1"/>
  <c r="R171" i="8"/>
  <c r="W152" i="7" s="1"/>
  <c r="W152" i="3" s="1"/>
  <c r="R172" i="8"/>
  <c r="W153" i="7" s="1"/>
  <c r="W153" i="3" s="1"/>
  <c r="R173" i="8"/>
  <c r="W154" i="7" s="1"/>
  <c r="W154" i="3" s="1"/>
  <c r="R174" i="8"/>
  <c r="W155" i="7" s="1"/>
  <c r="W155" i="3" s="1"/>
  <c r="R175" i="8"/>
  <c r="W156" i="7" s="1"/>
  <c r="W156" i="3" s="1"/>
  <c r="R176" i="8"/>
  <c r="W157" i="7" s="1"/>
  <c r="W157" i="3" s="1"/>
  <c r="R177" i="8"/>
  <c r="W158" i="7" s="1"/>
  <c r="W158" i="3" s="1"/>
  <c r="R178" i="8"/>
  <c r="W159" i="7" s="1"/>
  <c r="W159" i="3" s="1"/>
  <c r="R179" i="8"/>
  <c r="W160" i="7" s="1"/>
  <c r="W160" i="3" s="1"/>
  <c r="R180" i="8"/>
  <c r="W161" i="7" s="1"/>
  <c r="W161" i="3" s="1"/>
  <c r="R181" i="8"/>
  <c r="W162" i="7" s="1"/>
  <c r="W162" i="3" s="1"/>
  <c r="R182" i="8"/>
  <c r="W163" i="7" s="1"/>
  <c r="W163" i="3" s="1"/>
  <c r="R183" i="8"/>
  <c r="W164" i="7" s="1"/>
  <c r="W164" i="3" s="1"/>
  <c r="R184" i="8"/>
  <c r="W165" i="7" s="1"/>
  <c r="W165" i="3" s="1"/>
  <c r="R185" i="8"/>
  <c r="W166" i="7" s="1"/>
  <c r="W166" i="3" s="1"/>
  <c r="R186" i="8"/>
  <c r="W167" i="7" s="1"/>
  <c r="W167" i="3" s="1"/>
  <c r="R187" i="8"/>
  <c r="W168" i="7" s="1"/>
  <c r="W168" i="3" s="1"/>
  <c r="R188" i="8"/>
  <c r="W169" i="7" s="1"/>
  <c r="W169" i="3" s="1"/>
  <c r="R189" i="8"/>
  <c r="W170" i="7" s="1"/>
  <c r="W170" i="3" s="1"/>
  <c r="R190" i="8"/>
  <c r="W171" i="7" s="1"/>
  <c r="W171" i="3" s="1"/>
  <c r="R191" i="8"/>
  <c r="W172" i="7" s="1"/>
  <c r="W172" i="3" s="1"/>
  <c r="R192" i="8"/>
  <c r="W173" i="7" s="1"/>
  <c r="W173" i="3" s="1"/>
  <c r="R193" i="8"/>
  <c r="W174" i="7" s="1"/>
  <c r="W174" i="3" s="1"/>
  <c r="R194" i="8"/>
  <c r="W175" i="7" s="1"/>
  <c r="W175" i="3" s="1"/>
  <c r="R195" i="8"/>
  <c r="W176" i="7" s="1"/>
  <c r="W176" i="3" s="1"/>
  <c r="R196" i="8"/>
  <c r="W177" i="7" s="1"/>
  <c r="W177" i="3" s="1"/>
  <c r="R197" i="8"/>
  <c r="W178" i="7" s="1"/>
  <c r="W178" i="3" s="1"/>
  <c r="R198" i="8"/>
  <c r="W179" i="7" s="1"/>
  <c r="W179" i="3" s="1"/>
  <c r="R199" i="8"/>
  <c r="W180" i="7" s="1"/>
  <c r="W180" i="3" s="1"/>
  <c r="R200" i="8"/>
  <c r="W181" i="7" s="1"/>
  <c r="W181" i="3" s="1"/>
  <c r="R201" i="8"/>
  <c r="W182" i="7" s="1"/>
  <c r="W182" i="3" s="1"/>
  <c r="R202" i="8"/>
  <c r="W183" i="7" s="1"/>
  <c r="W183" i="3" s="1"/>
  <c r="R203" i="8"/>
  <c r="W184" i="7" s="1"/>
  <c r="W184" i="3" s="1"/>
  <c r="R204" i="8"/>
  <c r="W185" i="7" s="1"/>
  <c r="W185" i="3" s="1"/>
  <c r="R205" i="8"/>
  <c r="W186" i="7" s="1"/>
  <c r="W186" i="3" s="1"/>
  <c r="R206" i="8"/>
  <c r="W187" i="7" s="1"/>
  <c r="W187" i="3" s="1"/>
  <c r="R207" i="8"/>
  <c r="W188" i="7" s="1"/>
  <c r="W188" i="3" s="1"/>
  <c r="R208" i="8"/>
  <c r="W189" i="7" s="1"/>
  <c r="W189" i="3" s="1"/>
  <c r="R209" i="8"/>
  <c r="W190" i="7" s="1"/>
  <c r="W190" i="3" s="1"/>
  <c r="R210" i="8"/>
  <c r="W191" i="7" s="1"/>
  <c r="W191" i="3" s="1"/>
  <c r="R211" i="8"/>
  <c r="W192" i="7" s="1"/>
  <c r="W192" i="3" s="1"/>
  <c r="R212" i="8"/>
  <c r="W193" i="7" s="1"/>
  <c r="W193" i="3" s="1"/>
  <c r="R214" i="8"/>
  <c r="W195" i="7" s="1"/>
  <c r="W195" i="3" s="1"/>
  <c r="R215" i="8"/>
  <c r="W196" i="7" s="1"/>
  <c r="W196" i="3" s="1"/>
  <c r="R216" i="8"/>
  <c r="W197" i="7" s="1"/>
  <c r="W197" i="3" s="1"/>
  <c r="R217" i="8"/>
  <c r="W198" i="7" s="1"/>
  <c r="W198" i="3" s="1"/>
  <c r="R218" i="8"/>
  <c r="W199" i="7" s="1"/>
  <c r="W199" i="3" s="1"/>
  <c r="R219" i="8"/>
  <c r="W200" i="7" s="1"/>
  <c r="W200" i="3" s="1"/>
  <c r="R220" i="8"/>
  <c r="W201" i="7" s="1"/>
  <c r="W201" i="3" s="1"/>
  <c r="R221" i="8"/>
  <c r="W202" i="7" s="1"/>
  <c r="W202" i="3" s="1"/>
  <c r="R222" i="8"/>
  <c r="W203" i="7" s="1"/>
  <c r="R223" i="8"/>
  <c r="W204" i="7" s="1"/>
  <c r="W204" i="3" s="1"/>
  <c r="R224" i="8"/>
  <c r="W205" i="7" s="1"/>
  <c r="W205" i="3" s="1"/>
  <c r="R225" i="8"/>
  <c r="W206" i="7" s="1"/>
  <c r="W206" i="3" s="1"/>
  <c r="R226" i="8"/>
  <c r="W207" i="7" s="1"/>
  <c r="W207" i="3" s="1"/>
  <c r="R227" i="8"/>
  <c r="W208" i="7" s="1"/>
  <c r="W208" i="3" s="1"/>
  <c r="R228" i="8"/>
  <c r="W209" i="7" s="1"/>
  <c r="W209" i="3" s="1"/>
  <c r="R229" i="8"/>
  <c r="W210" i="7" s="1"/>
  <c r="W210" i="3" s="1"/>
  <c r="R230" i="8"/>
  <c r="W211" i="7" s="1"/>
  <c r="W211" i="3" s="1"/>
  <c r="R231" i="8"/>
  <c r="W212" i="7" s="1"/>
  <c r="W212" i="3" s="1"/>
  <c r="R232" i="8"/>
  <c r="W213" i="7" s="1"/>
  <c r="W213" i="3" s="1"/>
  <c r="R233" i="8"/>
  <c r="W214" i="7" s="1"/>
  <c r="W214" i="3" s="1"/>
  <c r="R234" i="8"/>
  <c r="W215" i="7" s="1"/>
  <c r="W215" i="3" s="1"/>
  <c r="R235" i="8"/>
  <c r="W216" i="7" s="1"/>
  <c r="W216" i="3" s="1"/>
  <c r="R236" i="8"/>
  <c r="W217" i="7" s="1"/>
  <c r="W217" i="3" s="1"/>
  <c r="R237" i="8"/>
  <c r="W218" i="7" s="1"/>
  <c r="W218" i="3" s="1"/>
  <c r="R238" i="8"/>
  <c r="W219" i="7" s="1"/>
  <c r="W219" i="3" s="1"/>
  <c r="R239" i="8"/>
  <c r="W220" i="7" s="1"/>
  <c r="W220" i="3" s="1"/>
  <c r="R240" i="8"/>
  <c r="W221" i="7" s="1"/>
  <c r="W221" i="3" s="1"/>
  <c r="R241" i="8"/>
  <c r="W222" i="7" s="1"/>
  <c r="W222" i="3" s="1"/>
  <c r="R242" i="8"/>
  <c r="W223" i="7" s="1"/>
  <c r="W223" i="3" s="1"/>
  <c r="R243" i="8"/>
  <c r="W224" i="7" s="1"/>
  <c r="W224" i="3" s="1"/>
  <c r="R244" i="8"/>
  <c r="W225" i="7" s="1"/>
  <c r="W225" i="3" s="1"/>
  <c r="R245" i="8"/>
  <c r="W226" i="7" s="1"/>
  <c r="W226" i="3" s="1"/>
  <c r="R246" i="8"/>
  <c r="W227" i="7" s="1"/>
  <c r="W227" i="3" s="1"/>
  <c r="R248" i="8"/>
  <c r="W229" i="7" s="1"/>
  <c r="W229" i="3" s="1"/>
  <c r="R249" i="8"/>
  <c r="W230" i="7" s="1"/>
  <c r="W230" i="3" s="1"/>
  <c r="R250" i="8"/>
  <c r="W231" i="7" s="1"/>
  <c r="W231" i="3" s="1"/>
  <c r="R251" i="8"/>
  <c r="W232" i="7" s="1"/>
  <c r="W232" i="3" s="1"/>
  <c r="R253" i="8"/>
  <c r="W234" i="7" s="1"/>
  <c r="R254" i="8"/>
  <c r="W235" i="7" s="1"/>
  <c r="W235" i="3" s="1"/>
  <c r="R255" i="8"/>
  <c r="W236" i="7" s="1"/>
  <c r="W236" i="3" s="1"/>
  <c r="R256" i="8"/>
  <c r="W237" i="7" s="1"/>
  <c r="W237" i="3" s="1"/>
  <c r="R257" i="8"/>
  <c r="W238" i="7" s="1"/>
  <c r="W238" i="3" s="1"/>
  <c r="R258" i="8"/>
  <c r="W239" i="7" s="1"/>
  <c r="W239" i="3" s="1"/>
  <c r="R259" i="8"/>
  <c r="W240" i="7" s="1"/>
  <c r="W240" i="3" s="1"/>
  <c r="R260" i="8"/>
  <c r="W241" i="7" s="1"/>
  <c r="W241" i="3" s="1"/>
  <c r="R261" i="8"/>
  <c r="W242" i="7" s="1"/>
  <c r="W242" i="3" s="1"/>
  <c r="R262" i="8"/>
  <c r="W243" i="7" s="1"/>
  <c r="W243" i="3" s="1"/>
  <c r="R263" i="8"/>
  <c r="W244" i="7" s="1"/>
  <c r="W244" i="3" s="1"/>
  <c r="R264" i="8"/>
  <c r="W245" i="7" s="1"/>
  <c r="W245" i="3" s="1"/>
  <c r="R265" i="8"/>
  <c r="W246" i="7" s="1"/>
  <c r="W246" i="3" s="1"/>
  <c r="R266" i="8"/>
  <c r="W247" i="7" s="1"/>
  <c r="W247" i="3" s="1"/>
  <c r="R267" i="8"/>
  <c r="W248" i="7" s="1"/>
  <c r="W248" i="3" s="1"/>
  <c r="R268" i="8"/>
  <c r="W249" i="7" s="1"/>
  <c r="W249" i="3" s="1"/>
  <c r="R269" i="8"/>
  <c r="W250" i="7" s="1"/>
  <c r="W250" i="3" s="1"/>
  <c r="R270" i="8"/>
  <c r="W251" i="7" s="1"/>
  <c r="W251" i="3" s="1"/>
  <c r="R271" i="8"/>
  <c r="W252" i="7" s="1"/>
  <c r="R272" i="8"/>
  <c r="W253" i="7" s="1"/>
  <c r="W253" i="3" s="1"/>
  <c r="R273" i="8"/>
  <c r="W254" i="7" s="1"/>
  <c r="W254" i="3" s="1"/>
  <c r="R274" i="8"/>
  <c r="W255" i="7" s="1"/>
  <c r="W255" i="3" s="1"/>
  <c r="R275" i="8"/>
  <c r="W256" i="7" s="1"/>
  <c r="W256" i="3" s="1"/>
  <c r="R276" i="8"/>
  <c r="W257" i="7" s="1"/>
  <c r="W257" i="3" s="1"/>
  <c r="R277" i="8"/>
  <c r="W258" i="7" s="1"/>
  <c r="W258" i="3" s="1"/>
  <c r="R278" i="8"/>
  <c r="W259" i="7" s="1"/>
  <c r="W259" i="3" s="1"/>
  <c r="R279" i="8"/>
  <c r="W260" i="7" s="1"/>
  <c r="W260" i="3" s="1"/>
  <c r="R280" i="8"/>
  <c r="W261" i="7" s="1"/>
  <c r="W261" i="3" s="1"/>
  <c r="R281" i="8"/>
  <c r="W262" i="7" s="1"/>
  <c r="W262" i="3" s="1"/>
  <c r="R282" i="8"/>
  <c r="W263" i="7" s="1"/>
  <c r="W263" i="3" s="1"/>
  <c r="R283" i="8"/>
  <c r="W264" i="7" s="1"/>
  <c r="W264" i="3" s="1"/>
  <c r="R284" i="8"/>
  <c r="W265" i="7" s="1"/>
  <c r="W265" i="3" s="1"/>
  <c r="R285" i="8"/>
  <c r="W266" i="7" s="1"/>
  <c r="W266" i="3" s="1"/>
  <c r="R286" i="8"/>
  <c r="W267" i="7" s="1"/>
  <c r="W267" i="3" s="1"/>
  <c r="R287" i="8"/>
  <c r="W268" i="7" s="1"/>
  <c r="W268" i="3" s="1"/>
  <c r="R288" i="8"/>
  <c r="W269" i="7" s="1"/>
  <c r="W269" i="3" s="1"/>
  <c r="R289" i="8"/>
  <c r="W270" i="7" s="1"/>
  <c r="W270" i="3" s="1"/>
  <c r="R290" i="8"/>
  <c r="W271" i="7" s="1"/>
  <c r="W271" i="3" s="1"/>
  <c r="R291" i="8"/>
  <c r="W272" i="7" s="1"/>
  <c r="W272" i="3" s="1"/>
  <c r="R292" i="8"/>
  <c r="W273" i="7" s="1"/>
  <c r="W273" i="3" s="1"/>
  <c r="R293" i="8"/>
  <c r="W274" i="7" s="1"/>
  <c r="W274" i="3" s="1"/>
  <c r="R294" i="8"/>
  <c r="W275" i="7" s="1"/>
  <c r="W275" i="3" s="1"/>
  <c r="Q159" i="8"/>
  <c r="V140" i="7" s="1"/>
  <c r="V140" i="3" s="1"/>
  <c r="Q160" i="8"/>
  <c r="V141" i="7" s="1"/>
  <c r="V141" i="3" s="1"/>
  <c r="Q161" i="8"/>
  <c r="V142" i="7" s="1"/>
  <c r="V142" i="3" s="1"/>
  <c r="Q162" i="8"/>
  <c r="V143" i="7" s="1"/>
  <c r="V143" i="3" s="1"/>
  <c r="Q163" i="8"/>
  <c r="V144" i="7" s="1"/>
  <c r="V144" i="3" s="1"/>
  <c r="Q164" i="8"/>
  <c r="V145" i="7" s="1"/>
  <c r="V145" i="3" s="1"/>
  <c r="Q165" i="8"/>
  <c r="V146" i="7" s="1"/>
  <c r="V146" i="3" s="1"/>
  <c r="Q166" i="8"/>
  <c r="V147" i="7" s="1"/>
  <c r="V147" i="3" s="1"/>
  <c r="Q167" i="8"/>
  <c r="V148" i="7" s="1"/>
  <c r="V148" i="3" s="1"/>
  <c r="Q168" i="8"/>
  <c r="V149" i="7" s="1"/>
  <c r="V149" i="3" s="1"/>
  <c r="Q169" i="8"/>
  <c r="V150" i="7" s="1"/>
  <c r="V150" i="3" s="1"/>
  <c r="Q170" i="8"/>
  <c r="V151" i="7" s="1"/>
  <c r="V151" i="3" s="1"/>
  <c r="Q171" i="8"/>
  <c r="V152" i="7" s="1"/>
  <c r="V152" i="3" s="1"/>
  <c r="Q172" i="8"/>
  <c r="V153" i="7" s="1"/>
  <c r="V153" i="3" s="1"/>
  <c r="Q173" i="8"/>
  <c r="V154" i="7" s="1"/>
  <c r="V154" i="3" s="1"/>
  <c r="Q174" i="8"/>
  <c r="V155" i="7" s="1"/>
  <c r="V155" i="3" s="1"/>
  <c r="Q175" i="8"/>
  <c r="V156" i="7" s="1"/>
  <c r="V156" i="3" s="1"/>
  <c r="Q176" i="8"/>
  <c r="V157" i="7" s="1"/>
  <c r="V157" i="3" s="1"/>
  <c r="Q177" i="8"/>
  <c r="V158" i="7" s="1"/>
  <c r="V158" i="3" s="1"/>
  <c r="Q178" i="8"/>
  <c r="V159" i="7" s="1"/>
  <c r="V159" i="3" s="1"/>
  <c r="Q179" i="8"/>
  <c r="V160" i="7" s="1"/>
  <c r="V160" i="3" s="1"/>
  <c r="Q180" i="8"/>
  <c r="V161" i="7" s="1"/>
  <c r="V161" i="3" s="1"/>
  <c r="Q181" i="8"/>
  <c r="V162" i="7" s="1"/>
  <c r="V162" i="3" s="1"/>
  <c r="Q182" i="8"/>
  <c r="V163" i="7" s="1"/>
  <c r="V163" i="3" s="1"/>
  <c r="Q183" i="8"/>
  <c r="V164" i="7" s="1"/>
  <c r="V164" i="3" s="1"/>
  <c r="Q184" i="8"/>
  <c r="V165" i="7" s="1"/>
  <c r="V165" i="3" s="1"/>
  <c r="Q185" i="8"/>
  <c r="V166" i="7" s="1"/>
  <c r="V166" i="3" s="1"/>
  <c r="Q186" i="8"/>
  <c r="V167" i="7" s="1"/>
  <c r="V167" i="3" s="1"/>
  <c r="Q187" i="8"/>
  <c r="V168" i="7" s="1"/>
  <c r="V168" i="3" s="1"/>
  <c r="Q188" i="8"/>
  <c r="V169" i="7" s="1"/>
  <c r="V169" i="3" s="1"/>
  <c r="Q189" i="8"/>
  <c r="V170" i="7" s="1"/>
  <c r="V170" i="3" s="1"/>
  <c r="Q190" i="8"/>
  <c r="V171" i="7" s="1"/>
  <c r="V171" i="3" s="1"/>
  <c r="Q191" i="8"/>
  <c r="V172" i="7" s="1"/>
  <c r="V172" i="3" s="1"/>
  <c r="Q192" i="8"/>
  <c r="V173" i="7" s="1"/>
  <c r="V173" i="3" s="1"/>
  <c r="Q193" i="8"/>
  <c r="V174" i="7" s="1"/>
  <c r="V174" i="3" s="1"/>
  <c r="Q194" i="8"/>
  <c r="V175" i="7" s="1"/>
  <c r="V175" i="3" s="1"/>
  <c r="Q195" i="8"/>
  <c r="V176" i="7" s="1"/>
  <c r="V176" i="3" s="1"/>
  <c r="Q196" i="8"/>
  <c r="V177" i="7" s="1"/>
  <c r="V177" i="3" s="1"/>
  <c r="Q197" i="8"/>
  <c r="V178" i="7" s="1"/>
  <c r="V178" i="3" s="1"/>
  <c r="Q198" i="8"/>
  <c r="V179" i="7" s="1"/>
  <c r="V179" i="3" s="1"/>
  <c r="Q199" i="8"/>
  <c r="V180" i="7" s="1"/>
  <c r="V180" i="3" s="1"/>
  <c r="Q200" i="8"/>
  <c r="V181" i="7" s="1"/>
  <c r="V181" i="3" s="1"/>
  <c r="Q201" i="8"/>
  <c r="V182" i="7" s="1"/>
  <c r="V182" i="3" s="1"/>
  <c r="Q202" i="8"/>
  <c r="V183" i="7" s="1"/>
  <c r="V183" i="3" s="1"/>
  <c r="Q203" i="8"/>
  <c r="V184" i="7" s="1"/>
  <c r="V184" i="3" s="1"/>
  <c r="Q204" i="8"/>
  <c r="V185" i="7" s="1"/>
  <c r="V185" i="3" s="1"/>
  <c r="Q205" i="8"/>
  <c r="V186" i="7" s="1"/>
  <c r="V186" i="3" s="1"/>
  <c r="Q206" i="8"/>
  <c r="V187" i="7" s="1"/>
  <c r="V187" i="3" s="1"/>
  <c r="Q207" i="8"/>
  <c r="V188" i="7" s="1"/>
  <c r="V188" i="3" s="1"/>
  <c r="Q208" i="8"/>
  <c r="V189" i="7" s="1"/>
  <c r="V189" i="3" s="1"/>
  <c r="Q209" i="8"/>
  <c r="V190" i="7" s="1"/>
  <c r="V190" i="3" s="1"/>
  <c r="Q210" i="8"/>
  <c r="V191" i="7" s="1"/>
  <c r="V191" i="3" s="1"/>
  <c r="Q211" i="8"/>
  <c r="V192" i="7" s="1"/>
  <c r="V192" i="3" s="1"/>
  <c r="Q212" i="8"/>
  <c r="V193" i="7" s="1"/>
  <c r="V193" i="3" s="1"/>
  <c r="Q213" i="8"/>
  <c r="V194" i="7" s="1"/>
  <c r="V194" i="3" s="1"/>
  <c r="Q214" i="8"/>
  <c r="V195" i="7" s="1"/>
  <c r="V195" i="3" s="1"/>
  <c r="Q215" i="8"/>
  <c r="V196" i="7" s="1"/>
  <c r="V196" i="3" s="1"/>
  <c r="Q216" i="8"/>
  <c r="V197" i="7" s="1"/>
  <c r="V197" i="3" s="1"/>
  <c r="Q217" i="8"/>
  <c r="V198" i="7" s="1"/>
  <c r="V198" i="3" s="1"/>
  <c r="Q218" i="8"/>
  <c r="V199" i="7" s="1"/>
  <c r="V199" i="3" s="1"/>
  <c r="Q219" i="8"/>
  <c r="V200" i="7" s="1"/>
  <c r="V200" i="3" s="1"/>
  <c r="Q220" i="8"/>
  <c r="V201" i="7" s="1"/>
  <c r="V201" i="3" s="1"/>
  <c r="Q221" i="8"/>
  <c r="V202" i="7" s="1"/>
  <c r="V202" i="3" s="1"/>
  <c r="Q222" i="8"/>
  <c r="V203" i="7" s="1"/>
  <c r="Q223" i="8"/>
  <c r="V204" i="7" s="1"/>
  <c r="V204" i="3" s="1"/>
  <c r="Q224" i="8"/>
  <c r="V205" i="7" s="1"/>
  <c r="V205" i="3" s="1"/>
  <c r="Q225" i="8"/>
  <c r="V206" i="7" s="1"/>
  <c r="V206" i="3" s="1"/>
  <c r="Q226" i="8"/>
  <c r="V207" i="7" s="1"/>
  <c r="V207" i="3" s="1"/>
  <c r="Q227" i="8"/>
  <c r="V208" i="7" s="1"/>
  <c r="V208" i="3" s="1"/>
  <c r="Q228" i="8"/>
  <c r="V209" i="7" s="1"/>
  <c r="V209" i="3" s="1"/>
  <c r="Q229" i="8"/>
  <c r="V210" i="7" s="1"/>
  <c r="V210" i="3" s="1"/>
  <c r="Q230" i="8"/>
  <c r="V211" i="7" s="1"/>
  <c r="V211" i="3" s="1"/>
  <c r="Q231" i="8"/>
  <c r="V212" i="7" s="1"/>
  <c r="V212" i="3" s="1"/>
  <c r="Q232" i="8"/>
  <c r="V213" i="7" s="1"/>
  <c r="V213" i="3" s="1"/>
  <c r="Q233" i="8"/>
  <c r="V214" i="7" s="1"/>
  <c r="V214" i="3" s="1"/>
  <c r="Q234" i="8"/>
  <c r="V215" i="7" s="1"/>
  <c r="V215" i="3" s="1"/>
  <c r="Q235" i="8"/>
  <c r="V216" i="7" s="1"/>
  <c r="V216" i="3" s="1"/>
  <c r="Q236" i="8"/>
  <c r="V217" i="7" s="1"/>
  <c r="V217" i="3" s="1"/>
  <c r="Q237" i="8"/>
  <c r="V218" i="7" s="1"/>
  <c r="V218" i="3" s="1"/>
  <c r="Q238" i="8"/>
  <c r="V219" i="7" s="1"/>
  <c r="V219" i="3" s="1"/>
  <c r="Q239" i="8"/>
  <c r="V220" i="7" s="1"/>
  <c r="V220" i="3" s="1"/>
  <c r="Q240" i="8"/>
  <c r="V221" i="7" s="1"/>
  <c r="V221" i="3" s="1"/>
  <c r="Q241" i="8"/>
  <c r="V222" i="7" s="1"/>
  <c r="V222" i="3" s="1"/>
  <c r="Q242" i="8"/>
  <c r="V223" i="7" s="1"/>
  <c r="V223" i="3" s="1"/>
  <c r="Q243" i="8"/>
  <c r="V224" i="7" s="1"/>
  <c r="V224" i="3" s="1"/>
  <c r="Q244" i="8"/>
  <c r="V225" i="7" s="1"/>
  <c r="V225" i="3" s="1"/>
  <c r="Q245" i="8"/>
  <c r="V226" i="7" s="1"/>
  <c r="V226" i="3" s="1"/>
  <c r="Q246" i="8"/>
  <c r="V227" i="7" s="1"/>
  <c r="V227" i="3" s="1"/>
  <c r="Q247" i="8"/>
  <c r="V228" i="7" s="1"/>
  <c r="V228" i="3" s="1"/>
  <c r="Q248" i="8"/>
  <c r="V229" i="7" s="1"/>
  <c r="V229" i="3" s="1"/>
  <c r="Q249" i="8"/>
  <c r="V230" i="7" s="1"/>
  <c r="V230" i="3" s="1"/>
  <c r="Q250" i="8"/>
  <c r="V231" i="7" s="1"/>
  <c r="V231" i="3" s="1"/>
  <c r="Q251" i="8"/>
  <c r="V232" i="7" s="1"/>
  <c r="V232" i="3" s="1"/>
  <c r="Q252" i="8"/>
  <c r="V233" i="7" s="1"/>
  <c r="V233" i="3" s="1"/>
  <c r="Q253" i="8"/>
  <c r="V234" i="7" s="1"/>
  <c r="Q254" i="8"/>
  <c r="V235" i="7" s="1"/>
  <c r="V235" i="3" s="1"/>
  <c r="Q255" i="8"/>
  <c r="V236" i="7" s="1"/>
  <c r="V236" i="3" s="1"/>
  <c r="Q256" i="8"/>
  <c r="V237" i="7" s="1"/>
  <c r="V237" i="3" s="1"/>
  <c r="Q257" i="8"/>
  <c r="V238" i="7" s="1"/>
  <c r="V238" i="3" s="1"/>
  <c r="Q258" i="8"/>
  <c r="V239" i="7" s="1"/>
  <c r="V239" i="3" s="1"/>
  <c r="Q259" i="8"/>
  <c r="V240" i="7" s="1"/>
  <c r="V240" i="3" s="1"/>
  <c r="Q260" i="8"/>
  <c r="V241" i="7" s="1"/>
  <c r="V241" i="3" s="1"/>
  <c r="Q261" i="8"/>
  <c r="V242" i="7" s="1"/>
  <c r="V242" i="3" s="1"/>
  <c r="Q262" i="8"/>
  <c r="V243" i="7" s="1"/>
  <c r="V243" i="3" s="1"/>
  <c r="Q263" i="8"/>
  <c r="V244" i="7" s="1"/>
  <c r="V244" i="3" s="1"/>
  <c r="Q264" i="8"/>
  <c r="V245" i="7" s="1"/>
  <c r="V245" i="3" s="1"/>
  <c r="Q265" i="8"/>
  <c r="V246" i="7" s="1"/>
  <c r="V246" i="3" s="1"/>
  <c r="Q266" i="8"/>
  <c r="V247" i="7" s="1"/>
  <c r="V247" i="3" s="1"/>
  <c r="Q267" i="8"/>
  <c r="V248" i="7" s="1"/>
  <c r="V248" i="3" s="1"/>
  <c r="Q268" i="8"/>
  <c r="V249" i="7" s="1"/>
  <c r="V249" i="3" s="1"/>
  <c r="Q269" i="8"/>
  <c r="V250" i="7" s="1"/>
  <c r="V250" i="3" s="1"/>
  <c r="Q270" i="8"/>
  <c r="V251" i="7" s="1"/>
  <c r="V251" i="3" s="1"/>
  <c r="Q271" i="8"/>
  <c r="V252" i="7" s="1"/>
  <c r="Q272" i="8"/>
  <c r="V253" i="7" s="1"/>
  <c r="V253" i="3" s="1"/>
  <c r="Q273" i="8"/>
  <c r="V254" i="7" s="1"/>
  <c r="V254" i="3" s="1"/>
  <c r="Q274" i="8"/>
  <c r="V255" i="7" s="1"/>
  <c r="V255" i="3" s="1"/>
  <c r="Q275" i="8"/>
  <c r="V256" i="7" s="1"/>
  <c r="V256" i="3" s="1"/>
  <c r="Q276" i="8"/>
  <c r="V257" i="7" s="1"/>
  <c r="V257" i="3" s="1"/>
  <c r="Q277" i="8"/>
  <c r="V258" i="7" s="1"/>
  <c r="V258" i="3" s="1"/>
  <c r="Q278" i="8"/>
  <c r="V259" i="7" s="1"/>
  <c r="V259" i="3" s="1"/>
  <c r="Q279" i="8"/>
  <c r="V260" i="7" s="1"/>
  <c r="V260" i="3" s="1"/>
  <c r="Q280" i="8"/>
  <c r="V261" i="7" s="1"/>
  <c r="V261" i="3" s="1"/>
  <c r="Q281" i="8"/>
  <c r="V262" i="7" s="1"/>
  <c r="V262" i="3" s="1"/>
  <c r="Q282" i="8"/>
  <c r="V263" i="7" s="1"/>
  <c r="V263" i="3" s="1"/>
  <c r="Q283" i="8"/>
  <c r="V264" i="7" s="1"/>
  <c r="V264" i="3" s="1"/>
  <c r="Q284" i="8"/>
  <c r="V265" i="7" s="1"/>
  <c r="V265" i="3" s="1"/>
  <c r="Q285" i="8"/>
  <c r="V266" i="7" s="1"/>
  <c r="V266" i="3" s="1"/>
  <c r="Q286" i="8"/>
  <c r="V267" i="7" s="1"/>
  <c r="V267" i="3" s="1"/>
  <c r="Q287" i="8"/>
  <c r="V268" i="7" s="1"/>
  <c r="V268" i="3" s="1"/>
  <c r="Q288" i="8"/>
  <c r="V269" i="7" s="1"/>
  <c r="V269" i="3" s="1"/>
  <c r="Q289" i="8"/>
  <c r="V270" i="7" s="1"/>
  <c r="V270" i="3" s="1"/>
  <c r="Q290" i="8"/>
  <c r="V271" i="7" s="1"/>
  <c r="V271" i="3" s="1"/>
  <c r="Q291" i="8"/>
  <c r="V272" i="7" s="1"/>
  <c r="V272" i="3" s="1"/>
  <c r="Q292" i="8"/>
  <c r="V273" i="7" s="1"/>
  <c r="V273" i="3" s="1"/>
  <c r="Q293" i="8"/>
  <c r="V274" i="7" s="1"/>
  <c r="V274" i="3" s="1"/>
  <c r="Q294" i="8"/>
  <c r="V275" i="7" s="1"/>
  <c r="V275" i="3" s="1"/>
  <c r="I160" i="8"/>
  <c r="AB3" i="7" s="1"/>
  <c r="AB3" i="3" s="1"/>
  <c r="I161" i="8"/>
  <c r="AB4" i="7" s="1"/>
  <c r="AB4" i="3" s="1"/>
  <c r="I162" i="8"/>
  <c r="AB5" i="7" s="1"/>
  <c r="AB5" i="3" s="1"/>
  <c r="I163" i="8"/>
  <c r="AB6" i="7" s="1"/>
  <c r="AB6" i="3" s="1"/>
  <c r="I164" i="8"/>
  <c r="AB7" i="7" s="1"/>
  <c r="AB7" i="3" s="1"/>
  <c r="I165" i="8"/>
  <c r="AB8" i="7" s="1"/>
  <c r="AB8" i="3" s="1"/>
  <c r="I166" i="8"/>
  <c r="AB9" i="7" s="1"/>
  <c r="AB9" i="3" s="1"/>
  <c r="I167" i="8"/>
  <c r="AB10" i="7" s="1"/>
  <c r="AB10" i="3" s="1"/>
  <c r="I168" i="8"/>
  <c r="AB11" i="7" s="1"/>
  <c r="AB11" i="3" s="1"/>
  <c r="I169" i="8"/>
  <c r="AB12" i="7" s="1"/>
  <c r="AB12" i="3" s="1"/>
  <c r="I170" i="8"/>
  <c r="AB13" i="7" s="1"/>
  <c r="AB13" i="3" s="1"/>
  <c r="I171" i="8"/>
  <c r="AB14" i="7" s="1"/>
  <c r="AB14" i="3" s="1"/>
  <c r="I172" i="8"/>
  <c r="AB15" i="7" s="1"/>
  <c r="AB15" i="3" s="1"/>
  <c r="I173" i="8"/>
  <c r="AB16" i="7" s="1"/>
  <c r="AB16" i="3" s="1"/>
  <c r="I174" i="8"/>
  <c r="AB17" i="7" s="1"/>
  <c r="AB17" i="3" s="1"/>
  <c r="I175" i="8"/>
  <c r="AB18" i="7" s="1"/>
  <c r="AB18" i="3" s="1"/>
  <c r="I176" i="8"/>
  <c r="AB19" i="7" s="1"/>
  <c r="AB19" i="3" s="1"/>
  <c r="I177" i="8"/>
  <c r="AB20" i="7" s="1"/>
  <c r="AB20" i="3" s="1"/>
  <c r="I178" i="8"/>
  <c r="AB21" i="7" s="1"/>
  <c r="AB21" i="3" s="1"/>
  <c r="I179" i="8"/>
  <c r="AB22" i="7" s="1"/>
  <c r="AB22" i="3" s="1"/>
  <c r="I180" i="8"/>
  <c r="AB23" i="7" s="1"/>
  <c r="AB23" i="3" s="1"/>
  <c r="I181" i="8"/>
  <c r="AB24" i="7" s="1"/>
  <c r="AB24" i="3" s="1"/>
  <c r="I182" i="8"/>
  <c r="AB25" i="7" s="1"/>
  <c r="AB25" i="3" s="1"/>
  <c r="I183" i="8"/>
  <c r="AB26" i="7" s="1"/>
  <c r="AB26" i="3" s="1"/>
  <c r="I184" i="8"/>
  <c r="AB27" i="7" s="1"/>
  <c r="AB27" i="3" s="1"/>
  <c r="I185" i="8"/>
  <c r="AB28" i="7" s="1"/>
  <c r="AB28" i="3" s="1"/>
  <c r="I186" i="8"/>
  <c r="AB29" i="7" s="1"/>
  <c r="AB29" i="3" s="1"/>
  <c r="I187" i="8"/>
  <c r="AB30" i="7" s="1"/>
  <c r="AB30" i="3" s="1"/>
  <c r="I188" i="8"/>
  <c r="AB31" i="7" s="1"/>
  <c r="AB31" i="3" s="1"/>
  <c r="I189" i="8"/>
  <c r="AB32" i="7" s="1"/>
  <c r="AB32" i="3" s="1"/>
  <c r="I190" i="8"/>
  <c r="AB33" i="7" s="1"/>
  <c r="AB33" i="3" s="1"/>
  <c r="I191" i="8"/>
  <c r="AB34" i="7" s="1"/>
  <c r="AB34" i="3" s="1"/>
  <c r="I192" i="8"/>
  <c r="AB35" i="7" s="1"/>
  <c r="AB35" i="3" s="1"/>
  <c r="I193" i="8"/>
  <c r="AB36" i="7" s="1"/>
  <c r="AB36" i="3" s="1"/>
  <c r="I194" i="8"/>
  <c r="AB37" i="7" s="1"/>
  <c r="AB37" i="3" s="1"/>
  <c r="I195" i="8"/>
  <c r="AB38" i="7" s="1"/>
  <c r="AB38" i="3" s="1"/>
  <c r="I196" i="8"/>
  <c r="AB39" i="7" s="1"/>
  <c r="AB39" i="3" s="1"/>
  <c r="I197" i="8"/>
  <c r="AB40" i="7" s="1"/>
  <c r="AB40" i="3" s="1"/>
  <c r="I198" i="8"/>
  <c r="AB41" i="7" s="1"/>
  <c r="AB41" i="3" s="1"/>
  <c r="I199" i="8"/>
  <c r="AB42" i="7" s="1"/>
  <c r="AB42" i="3" s="1"/>
  <c r="I200" i="8"/>
  <c r="AB43" i="7" s="1"/>
  <c r="AB43" i="3" s="1"/>
  <c r="I201" i="8"/>
  <c r="AB44" i="7" s="1"/>
  <c r="AB44" i="3" s="1"/>
  <c r="I202" i="8"/>
  <c r="AB45" i="7" s="1"/>
  <c r="AB45" i="3" s="1"/>
  <c r="I203" i="8"/>
  <c r="AB46" i="7" s="1"/>
  <c r="AB46" i="3" s="1"/>
  <c r="I204" i="8"/>
  <c r="AB47" i="7" s="1"/>
  <c r="AB47" i="3" s="1"/>
  <c r="I205" i="8"/>
  <c r="AB48" i="7" s="1"/>
  <c r="AB48" i="3" s="1"/>
  <c r="I206" i="8"/>
  <c r="AB49" i="7" s="1"/>
  <c r="AB49" i="3" s="1"/>
  <c r="I207" i="8"/>
  <c r="AB50" i="7" s="1"/>
  <c r="AB50" i="3" s="1"/>
  <c r="I208" i="8"/>
  <c r="AB51" i="7" s="1"/>
  <c r="AB51" i="3" s="1"/>
  <c r="I209" i="8"/>
  <c r="AB52" i="7" s="1"/>
  <c r="AB52" i="3" s="1"/>
  <c r="I210" i="8"/>
  <c r="AB53" i="7" s="1"/>
  <c r="AB53" i="3" s="1"/>
  <c r="I211" i="8"/>
  <c r="AB54" i="7" s="1"/>
  <c r="AB54" i="3" s="1"/>
  <c r="I212" i="8"/>
  <c r="AB55" i="7" s="1"/>
  <c r="AB55" i="3" s="1"/>
  <c r="I213" i="8"/>
  <c r="AB56" i="7" s="1"/>
  <c r="AB56" i="3" s="1"/>
  <c r="I214" i="8"/>
  <c r="AB57" i="7" s="1"/>
  <c r="AB57" i="3" s="1"/>
  <c r="I215" i="8"/>
  <c r="AB58" i="7" s="1"/>
  <c r="AB58" i="3" s="1"/>
  <c r="I216" i="8"/>
  <c r="AB59" i="7" s="1"/>
  <c r="AB59" i="3" s="1"/>
  <c r="I217" i="8"/>
  <c r="AB60" i="7" s="1"/>
  <c r="AB60" i="3" s="1"/>
  <c r="I218" i="8"/>
  <c r="AB61" i="7" s="1"/>
  <c r="AB61" i="3" s="1"/>
  <c r="I219" i="8"/>
  <c r="AB62" i="7" s="1"/>
  <c r="AB62" i="3" s="1"/>
  <c r="I220" i="8"/>
  <c r="AB63" i="7" s="1"/>
  <c r="AB63" i="3" s="1"/>
  <c r="I221" i="8"/>
  <c r="AB64" i="7" s="1"/>
  <c r="AB64" i="3" s="1"/>
  <c r="I222" i="8"/>
  <c r="AB65" i="7" s="1"/>
  <c r="I223" i="8"/>
  <c r="AB66" i="7" s="1"/>
  <c r="AB66" i="3" s="1"/>
  <c r="I224" i="8"/>
  <c r="AB67" i="7" s="1"/>
  <c r="AB67" i="3" s="1"/>
  <c r="I225" i="8"/>
  <c r="AB68" i="7" s="1"/>
  <c r="AB68" i="3" s="1"/>
  <c r="I226" i="8"/>
  <c r="AB69" i="7" s="1"/>
  <c r="AB69" i="3" s="1"/>
  <c r="I227" i="8"/>
  <c r="AB70" i="7" s="1"/>
  <c r="AB70" i="3" s="1"/>
  <c r="I228" i="8"/>
  <c r="AB71" i="7" s="1"/>
  <c r="AB71" i="3" s="1"/>
  <c r="I229" i="8"/>
  <c r="AB72" i="7" s="1"/>
  <c r="AB72" i="3" s="1"/>
  <c r="I230" i="8"/>
  <c r="AB73" i="7" s="1"/>
  <c r="AB73" i="3" s="1"/>
  <c r="I231" i="8"/>
  <c r="AB74" i="7" s="1"/>
  <c r="AB74" i="3" s="1"/>
  <c r="I232" i="8"/>
  <c r="AB75" i="7" s="1"/>
  <c r="AB75" i="3" s="1"/>
  <c r="I233" i="8"/>
  <c r="AB76" i="7" s="1"/>
  <c r="AB76" i="3" s="1"/>
  <c r="I234" i="8"/>
  <c r="AB77" i="7" s="1"/>
  <c r="AB77" i="3" s="1"/>
  <c r="I235" i="8"/>
  <c r="AB78" i="7" s="1"/>
  <c r="AB78" i="3" s="1"/>
  <c r="I236" i="8"/>
  <c r="AB79" i="7" s="1"/>
  <c r="AB79" i="3" s="1"/>
  <c r="I237" i="8"/>
  <c r="AB80" i="7" s="1"/>
  <c r="AB80" i="3" s="1"/>
  <c r="I238" i="8"/>
  <c r="AB81" i="7" s="1"/>
  <c r="AB81" i="3" s="1"/>
  <c r="I239" i="8"/>
  <c r="AB82" i="7" s="1"/>
  <c r="AB82" i="3" s="1"/>
  <c r="I240" i="8"/>
  <c r="AB83" i="7" s="1"/>
  <c r="AB83" i="3" s="1"/>
  <c r="I241" i="8"/>
  <c r="AB84" i="7" s="1"/>
  <c r="AB84" i="3" s="1"/>
  <c r="I242" i="8"/>
  <c r="AB85" i="7" s="1"/>
  <c r="AB85" i="3" s="1"/>
  <c r="I243" i="8"/>
  <c r="AB86" i="7" s="1"/>
  <c r="AB86" i="3" s="1"/>
  <c r="I244" i="8"/>
  <c r="AB87" i="7" s="1"/>
  <c r="AB87" i="3" s="1"/>
  <c r="I245" i="8"/>
  <c r="AB88" i="7" s="1"/>
  <c r="AB88" i="3" s="1"/>
  <c r="I246" i="8"/>
  <c r="AB89" i="7" s="1"/>
  <c r="AB89" i="3" s="1"/>
  <c r="I247" i="8"/>
  <c r="AB90" i="7" s="1"/>
  <c r="AB90" i="3" s="1"/>
  <c r="I248" i="8"/>
  <c r="AB91" i="7" s="1"/>
  <c r="AB91" i="3" s="1"/>
  <c r="I249" i="8"/>
  <c r="AB92" i="7" s="1"/>
  <c r="AB92" i="3" s="1"/>
  <c r="I250" i="8"/>
  <c r="AB93" i="7" s="1"/>
  <c r="AB93" i="3" s="1"/>
  <c r="I251" i="8"/>
  <c r="AB94" i="7" s="1"/>
  <c r="AB94" i="3" s="1"/>
  <c r="I252" i="8"/>
  <c r="AB95" i="7" s="1"/>
  <c r="AB95" i="3" s="1"/>
  <c r="I253" i="8"/>
  <c r="AB96" i="7" s="1"/>
  <c r="I254" i="8"/>
  <c r="AB97" i="7" s="1"/>
  <c r="AB97" i="3" s="1"/>
  <c r="I255" i="8"/>
  <c r="AB98" i="7" s="1"/>
  <c r="AB98" i="3" s="1"/>
  <c r="I256" i="8"/>
  <c r="AB99" i="7" s="1"/>
  <c r="AB99" i="3" s="1"/>
  <c r="I257" i="8"/>
  <c r="AB100" i="7" s="1"/>
  <c r="AB100" i="3" s="1"/>
  <c r="I258" i="8"/>
  <c r="AB101" i="7" s="1"/>
  <c r="AB101" i="3" s="1"/>
  <c r="I259" i="8"/>
  <c r="AB102" i="7" s="1"/>
  <c r="AB102" i="3" s="1"/>
  <c r="I260" i="8"/>
  <c r="AB103" i="7" s="1"/>
  <c r="AB103" i="3" s="1"/>
  <c r="I261" i="8"/>
  <c r="AB104" i="7" s="1"/>
  <c r="AB104" i="3" s="1"/>
  <c r="I262" i="8"/>
  <c r="AB105" i="7" s="1"/>
  <c r="AB105" i="3" s="1"/>
  <c r="I263" i="8"/>
  <c r="AB106" i="7" s="1"/>
  <c r="AB106" i="3" s="1"/>
  <c r="I264" i="8"/>
  <c r="AB107" i="7" s="1"/>
  <c r="AB107" i="3" s="1"/>
  <c r="I265" i="8"/>
  <c r="AB108" i="7" s="1"/>
  <c r="AB108" i="3" s="1"/>
  <c r="I266" i="8"/>
  <c r="AB109" i="7" s="1"/>
  <c r="AB109" i="3" s="1"/>
  <c r="I267" i="8"/>
  <c r="AB110" i="7" s="1"/>
  <c r="AB110" i="3" s="1"/>
  <c r="I268" i="8"/>
  <c r="AB111" i="7" s="1"/>
  <c r="AB111" i="3" s="1"/>
  <c r="I269" i="8"/>
  <c r="AB112" i="7" s="1"/>
  <c r="AB112" i="3" s="1"/>
  <c r="I270" i="8"/>
  <c r="AB113" i="7" s="1"/>
  <c r="AB113" i="3" s="1"/>
  <c r="I271" i="8"/>
  <c r="AB114" i="7" s="1"/>
  <c r="I272" i="8"/>
  <c r="AB115" i="7" s="1"/>
  <c r="AB115" i="3" s="1"/>
  <c r="I273" i="8"/>
  <c r="AB116" i="7" s="1"/>
  <c r="AB116" i="3" s="1"/>
  <c r="I274" i="8"/>
  <c r="AB117" i="7" s="1"/>
  <c r="AB117" i="3" s="1"/>
  <c r="I275" i="8"/>
  <c r="AB118" i="7" s="1"/>
  <c r="AB118" i="3" s="1"/>
  <c r="I276" i="8"/>
  <c r="AB119" i="7" s="1"/>
  <c r="AB119" i="3" s="1"/>
  <c r="I277" i="8"/>
  <c r="AB120" i="7" s="1"/>
  <c r="AB120" i="3" s="1"/>
  <c r="I278" i="8"/>
  <c r="AB121" i="7" s="1"/>
  <c r="AB121" i="3" s="1"/>
  <c r="I279" i="8"/>
  <c r="AB122" i="7" s="1"/>
  <c r="AB122" i="3" s="1"/>
  <c r="I280" i="8"/>
  <c r="AB123" i="7" s="1"/>
  <c r="AB123" i="3" s="1"/>
  <c r="I281" i="8"/>
  <c r="AB124" i="7" s="1"/>
  <c r="AB124" i="3" s="1"/>
  <c r="I282" i="8"/>
  <c r="AB125" i="7" s="1"/>
  <c r="AB125" i="3" s="1"/>
  <c r="I283" i="8"/>
  <c r="AB126" i="7" s="1"/>
  <c r="AB126" i="3" s="1"/>
  <c r="I284" i="8"/>
  <c r="AB127" i="7" s="1"/>
  <c r="AB127" i="3" s="1"/>
  <c r="I285" i="8"/>
  <c r="AB128" i="7" s="1"/>
  <c r="AB128" i="3" s="1"/>
  <c r="I286" i="8"/>
  <c r="AB129" i="7" s="1"/>
  <c r="AB129" i="3" s="1"/>
  <c r="I287" i="8"/>
  <c r="AB130" i="7" s="1"/>
  <c r="AB130" i="3" s="1"/>
  <c r="I288" i="8"/>
  <c r="AB131" i="7" s="1"/>
  <c r="AB131" i="3" s="1"/>
  <c r="I289" i="8"/>
  <c r="AB132" i="7" s="1"/>
  <c r="AB132" i="3" s="1"/>
  <c r="I290" i="8"/>
  <c r="AB133" i="7" s="1"/>
  <c r="AB133" i="3" s="1"/>
  <c r="I291" i="8"/>
  <c r="AB134" i="7" s="1"/>
  <c r="AB134" i="3" s="1"/>
  <c r="I292" i="8"/>
  <c r="AB135" i="7" s="1"/>
  <c r="AB135" i="3" s="1"/>
  <c r="I293" i="8"/>
  <c r="AB136" i="7" s="1"/>
  <c r="AB136" i="3" s="1"/>
  <c r="I294" i="8"/>
  <c r="AB137" i="7" s="1"/>
  <c r="AB137" i="3" s="1"/>
  <c r="I159" i="8"/>
  <c r="AB2" i="7" s="1"/>
  <c r="AB2" i="3" s="1"/>
  <c r="H159" i="8"/>
  <c r="AA2" i="7" s="1"/>
  <c r="AA2" i="3" s="1"/>
  <c r="H160" i="8"/>
  <c r="AA3" i="7" s="1"/>
  <c r="AA3" i="3" s="1"/>
  <c r="H161" i="8"/>
  <c r="AA4" i="7" s="1"/>
  <c r="AA4" i="3" s="1"/>
  <c r="H162" i="8"/>
  <c r="AA5" i="7" s="1"/>
  <c r="AA5" i="3" s="1"/>
  <c r="H163" i="8"/>
  <c r="AA6" i="7" s="1"/>
  <c r="AA6" i="3" s="1"/>
  <c r="H164" i="8"/>
  <c r="AA7" i="7" s="1"/>
  <c r="AA7" i="3" s="1"/>
  <c r="H165" i="8"/>
  <c r="AA8" i="7" s="1"/>
  <c r="AA8" i="3" s="1"/>
  <c r="H166" i="8"/>
  <c r="AA9" i="7" s="1"/>
  <c r="AA9" i="3" s="1"/>
  <c r="H167" i="8"/>
  <c r="AA10" i="7" s="1"/>
  <c r="AA10" i="3" s="1"/>
  <c r="H168" i="8"/>
  <c r="AA11" i="7" s="1"/>
  <c r="AA11" i="3" s="1"/>
  <c r="H169" i="8"/>
  <c r="AA12" i="7" s="1"/>
  <c r="AA12" i="3" s="1"/>
  <c r="H170" i="8"/>
  <c r="AA13" i="7" s="1"/>
  <c r="AA13" i="3" s="1"/>
  <c r="H171" i="8"/>
  <c r="AA14" i="7" s="1"/>
  <c r="AA14" i="3" s="1"/>
  <c r="H172" i="8"/>
  <c r="AA15" i="7" s="1"/>
  <c r="AA15" i="3" s="1"/>
  <c r="H173" i="8"/>
  <c r="AA16" i="7" s="1"/>
  <c r="AA16" i="3" s="1"/>
  <c r="H174" i="8"/>
  <c r="AA17" i="7" s="1"/>
  <c r="AA17" i="3" s="1"/>
  <c r="H175" i="8"/>
  <c r="AA18" i="7" s="1"/>
  <c r="AA18" i="3" s="1"/>
  <c r="H176" i="8"/>
  <c r="AA19" i="7" s="1"/>
  <c r="AA19" i="3" s="1"/>
  <c r="H177" i="8"/>
  <c r="AA20" i="7" s="1"/>
  <c r="AA20" i="3" s="1"/>
  <c r="H178" i="8"/>
  <c r="AA21" i="7" s="1"/>
  <c r="AA21" i="3" s="1"/>
  <c r="H179" i="8"/>
  <c r="AA22" i="7" s="1"/>
  <c r="AA22" i="3" s="1"/>
  <c r="H180" i="8"/>
  <c r="AA23" i="7" s="1"/>
  <c r="AA23" i="3" s="1"/>
  <c r="H181" i="8"/>
  <c r="AA24" i="7" s="1"/>
  <c r="AA24" i="3" s="1"/>
  <c r="H182" i="8"/>
  <c r="AA25" i="7" s="1"/>
  <c r="AA25" i="3" s="1"/>
  <c r="H183" i="8"/>
  <c r="AA26" i="7" s="1"/>
  <c r="AA26" i="3" s="1"/>
  <c r="H184" i="8"/>
  <c r="AA27" i="7" s="1"/>
  <c r="AA27" i="3" s="1"/>
  <c r="H185" i="8"/>
  <c r="AA28" i="7" s="1"/>
  <c r="AA28" i="3" s="1"/>
  <c r="H186" i="8"/>
  <c r="AA29" i="7" s="1"/>
  <c r="AA29" i="3" s="1"/>
  <c r="H187" i="8"/>
  <c r="AA30" i="7" s="1"/>
  <c r="AA30" i="3" s="1"/>
  <c r="H188" i="8"/>
  <c r="AA31" i="7" s="1"/>
  <c r="AA31" i="3" s="1"/>
  <c r="H189" i="8"/>
  <c r="AA32" i="7" s="1"/>
  <c r="AA32" i="3" s="1"/>
  <c r="H190" i="8"/>
  <c r="AA33" i="7" s="1"/>
  <c r="AA33" i="3" s="1"/>
  <c r="H191" i="8"/>
  <c r="AA34" i="7" s="1"/>
  <c r="AA34" i="3" s="1"/>
  <c r="H192" i="8"/>
  <c r="AA35" i="7" s="1"/>
  <c r="AA35" i="3" s="1"/>
  <c r="H193" i="8"/>
  <c r="AA36" i="7" s="1"/>
  <c r="AA36" i="3" s="1"/>
  <c r="H194" i="8"/>
  <c r="AA37" i="7" s="1"/>
  <c r="AA37" i="3" s="1"/>
  <c r="H195" i="8"/>
  <c r="AA38" i="7" s="1"/>
  <c r="AA38" i="3" s="1"/>
  <c r="H196" i="8"/>
  <c r="AA39" i="7" s="1"/>
  <c r="AA39" i="3" s="1"/>
  <c r="H197" i="8"/>
  <c r="AA40" i="7" s="1"/>
  <c r="AA40" i="3" s="1"/>
  <c r="H198" i="8"/>
  <c r="AA41" i="7" s="1"/>
  <c r="AA41" i="3" s="1"/>
  <c r="H199" i="8"/>
  <c r="AA42" i="7" s="1"/>
  <c r="AA42" i="3" s="1"/>
  <c r="H200" i="8"/>
  <c r="AA43" i="7" s="1"/>
  <c r="AA43" i="3" s="1"/>
  <c r="H201" i="8"/>
  <c r="AA44" i="7" s="1"/>
  <c r="AA44" i="3" s="1"/>
  <c r="H202" i="8"/>
  <c r="AA45" i="7" s="1"/>
  <c r="AA45" i="3" s="1"/>
  <c r="H203" i="8"/>
  <c r="AA46" i="7" s="1"/>
  <c r="AA46" i="3" s="1"/>
  <c r="H204" i="8"/>
  <c r="AA47" i="7" s="1"/>
  <c r="AA47" i="3" s="1"/>
  <c r="H205" i="8"/>
  <c r="AA48" i="7" s="1"/>
  <c r="AA48" i="3" s="1"/>
  <c r="H206" i="8"/>
  <c r="AA49" i="7" s="1"/>
  <c r="AA49" i="3" s="1"/>
  <c r="H207" i="8"/>
  <c r="AA50" i="7" s="1"/>
  <c r="AA50" i="3" s="1"/>
  <c r="H208" i="8"/>
  <c r="AA51" i="7" s="1"/>
  <c r="AA51" i="3" s="1"/>
  <c r="H209" i="8"/>
  <c r="AA52" i="7" s="1"/>
  <c r="AA52" i="3" s="1"/>
  <c r="H210" i="8"/>
  <c r="AA53" i="7" s="1"/>
  <c r="AA53" i="3" s="1"/>
  <c r="H211" i="8"/>
  <c r="AA54" i="7" s="1"/>
  <c r="AA54" i="3" s="1"/>
  <c r="H212" i="8"/>
  <c r="AA55" i="7" s="1"/>
  <c r="AA55" i="3" s="1"/>
  <c r="H213" i="8"/>
  <c r="AA56" i="7" s="1"/>
  <c r="AA56" i="3" s="1"/>
  <c r="H214" i="8"/>
  <c r="AA57" i="7" s="1"/>
  <c r="AA57" i="3" s="1"/>
  <c r="H215" i="8"/>
  <c r="AA58" i="7" s="1"/>
  <c r="AA58" i="3" s="1"/>
  <c r="H216" i="8"/>
  <c r="AA59" i="7" s="1"/>
  <c r="AA59" i="3" s="1"/>
  <c r="H217" i="8"/>
  <c r="AA60" i="7" s="1"/>
  <c r="AA60" i="3" s="1"/>
  <c r="H218" i="8"/>
  <c r="AA61" i="7" s="1"/>
  <c r="AA61" i="3" s="1"/>
  <c r="H219" i="8"/>
  <c r="AA62" i="7" s="1"/>
  <c r="AA62" i="3" s="1"/>
  <c r="H220" i="8"/>
  <c r="AA63" i="7" s="1"/>
  <c r="AA63" i="3" s="1"/>
  <c r="H221" i="8"/>
  <c r="AA64" i="7" s="1"/>
  <c r="AA64" i="3" s="1"/>
  <c r="H222" i="8"/>
  <c r="AA65" i="7" s="1"/>
  <c r="H223" i="8"/>
  <c r="AA66" i="7" s="1"/>
  <c r="AA66" i="3" s="1"/>
  <c r="H224" i="8"/>
  <c r="AA67" i="7" s="1"/>
  <c r="AA67" i="3" s="1"/>
  <c r="H225" i="8"/>
  <c r="AA68" i="7" s="1"/>
  <c r="AA68" i="3" s="1"/>
  <c r="H226" i="8"/>
  <c r="AA69" i="7" s="1"/>
  <c r="AA69" i="3" s="1"/>
  <c r="H227" i="8"/>
  <c r="AA70" i="7" s="1"/>
  <c r="AA70" i="3" s="1"/>
  <c r="H228" i="8"/>
  <c r="AA71" i="7" s="1"/>
  <c r="AA71" i="3" s="1"/>
  <c r="H229" i="8"/>
  <c r="AA72" i="7" s="1"/>
  <c r="AA72" i="3" s="1"/>
  <c r="H230" i="8"/>
  <c r="AA73" i="7" s="1"/>
  <c r="AA73" i="3" s="1"/>
  <c r="H231" i="8"/>
  <c r="AA74" i="7" s="1"/>
  <c r="AA74" i="3" s="1"/>
  <c r="H232" i="8"/>
  <c r="AA75" i="7" s="1"/>
  <c r="AA75" i="3" s="1"/>
  <c r="H233" i="8"/>
  <c r="AA76" i="7" s="1"/>
  <c r="AA76" i="3" s="1"/>
  <c r="H234" i="8"/>
  <c r="AA77" i="7" s="1"/>
  <c r="AA77" i="3" s="1"/>
  <c r="H235" i="8"/>
  <c r="AA78" i="7" s="1"/>
  <c r="AA78" i="3" s="1"/>
  <c r="H236" i="8"/>
  <c r="AA79" i="7" s="1"/>
  <c r="AA79" i="3" s="1"/>
  <c r="H237" i="8"/>
  <c r="AA80" i="7" s="1"/>
  <c r="AA80" i="3" s="1"/>
  <c r="H238" i="8"/>
  <c r="AA81" i="7" s="1"/>
  <c r="AA81" i="3" s="1"/>
  <c r="H239" i="8"/>
  <c r="AA82" i="7" s="1"/>
  <c r="AA82" i="3" s="1"/>
  <c r="H240" i="8"/>
  <c r="AA83" i="7" s="1"/>
  <c r="AA83" i="3" s="1"/>
  <c r="H241" i="8"/>
  <c r="AA84" i="7" s="1"/>
  <c r="AA84" i="3" s="1"/>
  <c r="H242" i="8"/>
  <c r="AA85" i="7" s="1"/>
  <c r="AA85" i="3" s="1"/>
  <c r="H243" i="8"/>
  <c r="AA86" i="7" s="1"/>
  <c r="AA86" i="3" s="1"/>
  <c r="H244" i="8"/>
  <c r="AA87" i="7" s="1"/>
  <c r="AA87" i="3" s="1"/>
  <c r="H245" i="8"/>
  <c r="AA88" i="7" s="1"/>
  <c r="AA88" i="3" s="1"/>
  <c r="H246" i="8"/>
  <c r="AA89" i="7" s="1"/>
  <c r="AA89" i="3" s="1"/>
  <c r="H247" i="8"/>
  <c r="AA90" i="7" s="1"/>
  <c r="AA90" i="3" s="1"/>
  <c r="H248" i="8"/>
  <c r="AA91" i="7" s="1"/>
  <c r="AA91" i="3" s="1"/>
  <c r="H249" i="8"/>
  <c r="AA92" i="7" s="1"/>
  <c r="AA92" i="3" s="1"/>
  <c r="H250" i="8"/>
  <c r="AA93" i="7" s="1"/>
  <c r="AA93" i="3" s="1"/>
  <c r="H251" i="8"/>
  <c r="AA94" i="7" s="1"/>
  <c r="AA94" i="3" s="1"/>
  <c r="H252" i="8"/>
  <c r="AA95" i="7" s="1"/>
  <c r="AA95" i="3" s="1"/>
  <c r="H253" i="8"/>
  <c r="AA96" i="7" s="1"/>
  <c r="H254" i="8"/>
  <c r="AA97" i="7" s="1"/>
  <c r="AA97" i="3" s="1"/>
  <c r="H255" i="8"/>
  <c r="AA98" i="7" s="1"/>
  <c r="AA98" i="3" s="1"/>
  <c r="H256" i="8"/>
  <c r="AA99" i="7" s="1"/>
  <c r="AA99" i="3" s="1"/>
  <c r="H257" i="8"/>
  <c r="AA100" i="7" s="1"/>
  <c r="AA100" i="3" s="1"/>
  <c r="H258" i="8"/>
  <c r="AA101" i="7" s="1"/>
  <c r="AA101" i="3" s="1"/>
  <c r="H259" i="8"/>
  <c r="AA102" i="7" s="1"/>
  <c r="AA102" i="3" s="1"/>
  <c r="H260" i="8"/>
  <c r="AA103" i="7" s="1"/>
  <c r="AA103" i="3" s="1"/>
  <c r="H261" i="8"/>
  <c r="AA104" i="7" s="1"/>
  <c r="AA104" i="3" s="1"/>
  <c r="H262" i="8"/>
  <c r="AA105" i="7" s="1"/>
  <c r="AA105" i="3" s="1"/>
  <c r="H263" i="8"/>
  <c r="AA106" i="7" s="1"/>
  <c r="AA106" i="3" s="1"/>
  <c r="H264" i="8"/>
  <c r="AA107" i="7" s="1"/>
  <c r="AA107" i="3" s="1"/>
  <c r="H265" i="8"/>
  <c r="AA108" i="7" s="1"/>
  <c r="AA108" i="3" s="1"/>
  <c r="H266" i="8"/>
  <c r="AA109" i="7" s="1"/>
  <c r="AA109" i="3" s="1"/>
  <c r="H267" i="8"/>
  <c r="AA110" i="7" s="1"/>
  <c r="AA110" i="3" s="1"/>
  <c r="H268" i="8"/>
  <c r="AA111" i="7" s="1"/>
  <c r="AA111" i="3" s="1"/>
  <c r="H269" i="8"/>
  <c r="AA112" i="7" s="1"/>
  <c r="AA112" i="3" s="1"/>
  <c r="H270" i="8"/>
  <c r="AA113" i="7" s="1"/>
  <c r="AA113" i="3" s="1"/>
  <c r="H271" i="8"/>
  <c r="AA114" i="7" s="1"/>
  <c r="H272" i="8"/>
  <c r="AA115" i="7" s="1"/>
  <c r="AA115" i="3" s="1"/>
  <c r="H273" i="8"/>
  <c r="AA116" i="7" s="1"/>
  <c r="AA116" i="3" s="1"/>
  <c r="H274" i="8"/>
  <c r="AA117" i="7" s="1"/>
  <c r="AA117" i="3" s="1"/>
  <c r="H275" i="8"/>
  <c r="AA118" i="7" s="1"/>
  <c r="AA118" i="3" s="1"/>
  <c r="H276" i="8"/>
  <c r="AA119" i="7" s="1"/>
  <c r="AA119" i="3" s="1"/>
  <c r="H277" i="8"/>
  <c r="AA120" i="7" s="1"/>
  <c r="AA120" i="3" s="1"/>
  <c r="H278" i="8"/>
  <c r="AA121" i="7" s="1"/>
  <c r="AA121" i="3" s="1"/>
  <c r="H279" i="8"/>
  <c r="AA122" i="7" s="1"/>
  <c r="AA122" i="3" s="1"/>
  <c r="H280" i="8"/>
  <c r="AA123" i="7" s="1"/>
  <c r="AA123" i="3" s="1"/>
  <c r="H281" i="8"/>
  <c r="AA124" i="7" s="1"/>
  <c r="AA124" i="3" s="1"/>
  <c r="H282" i="8"/>
  <c r="AA125" i="7" s="1"/>
  <c r="AA125" i="3" s="1"/>
  <c r="H283" i="8"/>
  <c r="AA126" i="7" s="1"/>
  <c r="AA126" i="3" s="1"/>
  <c r="H284" i="8"/>
  <c r="AA127" i="7" s="1"/>
  <c r="AA127" i="3" s="1"/>
  <c r="H285" i="8"/>
  <c r="AA128" i="7" s="1"/>
  <c r="AA128" i="3" s="1"/>
  <c r="H286" i="8"/>
  <c r="AA129" i="7" s="1"/>
  <c r="AA129" i="3" s="1"/>
  <c r="H287" i="8"/>
  <c r="AA130" i="7" s="1"/>
  <c r="AA130" i="3" s="1"/>
  <c r="H288" i="8"/>
  <c r="AA131" i="7" s="1"/>
  <c r="AA131" i="3" s="1"/>
  <c r="H289" i="8"/>
  <c r="AA132" i="7" s="1"/>
  <c r="AA132" i="3" s="1"/>
  <c r="H290" i="8"/>
  <c r="AA133" i="7" s="1"/>
  <c r="AA133" i="3" s="1"/>
  <c r="H291" i="8"/>
  <c r="AA134" i="7" s="1"/>
  <c r="AA134" i="3" s="1"/>
  <c r="H292" i="8"/>
  <c r="AA135" i="7" s="1"/>
  <c r="AA135" i="3" s="1"/>
  <c r="H293" i="8"/>
  <c r="AA136" i="7" s="1"/>
  <c r="AA136" i="3" s="1"/>
  <c r="H294" i="8"/>
  <c r="AA137" i="7" s="1"/>
  <c r="AA137" i="3" s="1"/>
  <c r="G161" i="8"/>
  <c r="Z4" i="7" s="1"/>
  <c r="Z4" i="3" s="1"/>
  <c r="G162" i="8"/>
  <c r="Z5" i="7" s="1"/>
  <c r="Z5" i="3" s="1"/>
  <c r="G163" i="8"/>
  <c r="Z6" i="7" s="1"/>
  <c r="Z6" i="3" s="1"/>
  <c r="G164" i="8"/>
  <c r="Z7" i="7" s="1"/>
  <c r="Z7" i="3" s="1"/>
  <c r="G165" i="8"/>
  <c r="Z8" i="7" s="1"/>
  <c r="Z8" i="3" s="1"/>
  <c r="G166" i="8"/>
  <c r="Z9" i="7" s="1"/>
  <c r="Z9" i="3" s="1"/>
  <c r="G167" i="8"/>
  <c r="Z10" i="7" s="1"/>
  <c r="Z10" i="3" s="1"/>
  <c r="G168" i="8"/>
  <c r="Z11" i="7" s="1"/>
  <c r="Z11" i="3" s="1"/>
  <c r="G169" i="8"/>
  <c r="Z12" i="7" s="1"/>
  <c r="Z12" i="3" s="1"/>
  <c r="G170" i="8"/>
  <c r="Z13" i="7" s="1"/>
  <c r="Z13" i="3" s="1"/>
  <c r="G171" i="8"/>
  <c r="Z14" i="7" s="1"/>
  <c r="Z14" i="3" s="1"/>
  <c r="G172" i="8"/>
  <c r="Z15" i="7" s="1"/>
  <c r="Z15" i="3" s="1"/>
  <c r="G173" i="8"/>
  <c r="Z16" i="7" s="1"/>
  <c r="Z16" i="3" s="1"/>
  <c r="G174" i="8"/>
  <c r="Z17" i="7" s="1"/>
  <c r="Z17" i="3" s="1"/>
  <c r="G175" i="8"/>
  <c r="Z18" i="7" s="1"/>
  <c r="Z18" i="3" s="1"/>
  <c r="G176" i="8"/>
  <c r="Z19" i="7" s="1"/>
  <c r="Z19" i="3" s="1"/>
  <c r="G177" i="8"/>
  <c r="Z20" i="7" s="1"/>
  <c r="Z20" i="3" s="1"/>
  <c r="G178" i="8"/>
  <c r="Z21" i="7" s="1"/>
  <c r="Z21" i="3" s="1"/>
  <c r="G179" i="8"/>
  <c r="Z22" i="7" s="1"/>
  <c r="Z22" i="3" s="1"/>
  <c r="G180" i="8"/>
  <c r="Z23" i="7" s="1"/>
  <c r="Z23" i="3" s="1"/>
  <c r="G181" i="8"/>
  <c r="Z24" i="7" s="1"/>
  <c r="Z24" i="3" s="1"/>
  <c r="G182" i="8"/>
  <c r="Z25" i="7" s="1"/>
  <c r="Z25" i="3" s="1"/>
  <c r="G183" i="8"/>
  <c r="Z26" i="7" s="1"/>
  <c r="Z26" i="3" s="1"/>
  <c r="G184" i="8"/>
  <c r="Z27" i="7" s="1"/>
  <c r="Z27" i="3" s="1"/>
  <c r="G185" i="8"/>
  <c r="Z28" i="7" s="1"/>
  <c r="Z28" i="3" s="1"/>
  <c r="G186" i="8"/>
  <c r="Z29" i="7" s="1"/>
  <c r="Z29" i="3" s="1"/>
  <c r="G187" i="8"/>
  <c r="Z30" i="7" s="1"/>
  <c r="Z30" i="3" s="1"/>
  <c r="G188" i="8"/>
  <c r="Z31" i="7" s="1"/>
  <c r="Z31" i="3" s="1"/>
  <c r="G189" i="8"/>
  <c r="Z32" i="7" s="1"/>
  <c r="Z32" i="3" s="1"/>
  <c r="G190" i="8"/>
  <c r="Z33" i="7" s="1"/>
  <c r="Z33" i="3" s="1"/>
  <c r="G191" i="8"/>
  <c r="Z34" i="7" s="1"/>
  <c r="Z34" i="3" s="1"/>
  <c r="G192" i="8"/>
  <c r="Z35" i="7" s="1"/>
  <c r="Z35" i="3" s="1"/>
  <c r="G193" i="8"/>
  <c r="Z36" i="7" s="1"/>
  <c r="Z36" i="3" s="1"/>
  <c r="G194" i="8"/>
  <c r="Z37" i="7" s="1"/>
  <c r="Z37" i="3" s="1"/>
  <c r="G195" i="8"/>
  <c r="Z38" i="7" s="1"/>
  <c r="Z38" i="3" s="1"/>
  <c r="G196" i="8"/>
  <c r="Z39" i="7" s="1"/>
  <c r="Z39" i="3" s="1"/>
  <c r="G197" i="8"/>
  <c r="Z40" i="7" s="1"/>
  <c r="Z40" i="3" s="1"/>
  <c r="G198" i="8"/>
  <c r="Z41" i="7" s="1"/>
  <c r="Z41" i="3" s="1"/>
  <c r="G199" i="8"/>
  <c r="Z42" i="7" s="1"/>
  <c r="Z42" i="3" s="1"/>
  <c r="G200" i="8"/>
  <c r="Z43" i="7" s="1"/>
  <c r="Z43" i="3" s="1"/>
  <c r="G201" i="8"/>
  <c r="Z44" i="7" s="1"/>
  <c r="Z44" i="3" s="1"/>
  <c r="G202" i="8"/>
  <c r="Z45" i="7" s="1"/>
  <c r="Z45" i="3" s="1"/>
  <c r="G203" i="8"/>
  <c r="Z46" i="7" s="1"/>
  <c r="Z46" i="3" s="1"/>
  <c r="G204" i="8"/>
  <c r="Z47" i="7" s="1"/>
  <c r="Z47" i="3" s="1"/>
  <c r="G205" i="8"/>
  <c r="Z48" i="7" s="1"/>
  <c r="Z48" i="3" s="1"/>
  <c r="G206" i="8"/>
  <c r="Z49" i="7" s="1"/>
  <c r="Z49" i="3" s="1"/>
  <c r="G207" i="8"/>
  <c r="Z50" i="7" s="1"/>
  <c r="Z50" i="3" s="1"/>
  <c r="G208" i="8"/>
  <c r="Z51" i="7" s="1"/>
  <c r="Z51" i="3" s="1"/>
  <c r="G209" i="8"/>
  <c r="Z52" i="7" s="1"/>
  <c r="Z52" i="3" s="1"/>
  <c r="G210" i="8"/>
  <c r="Z53" i="7" s="1"/>
  <c r="Z53" i="3" s="1"/>
  <c r="G211" i="8"/>
  <c r="Z54" i="7" s="1"/>
  <c r="Z54" i="3" s="1"/>
  <c r="G212" i="8"/>
  <c r="Z55" i="7" s="1"/>
  <c r="Z55" i="3" s="1"/>
  <c r="G213" i="8"/>
  <c r="Z56" i="7" s="1"/>
  <c r="Z56" i="3" s="1"/>
  <c r="G214" i="8"/>
  <c r="Z57" i="7" s="1"/>
  <c r="Z57" i="3" s="1"/>
  <c r="G215" i="8"/>
  <c r="Z58" i="7" s="1"/>
  <c r="Z58" i="3" s="1"/>
  <c r="G216" i="8"/>
  <c r="Z59" i="7" s="1"/>
  <c r="Z59" i="3" s="1"/>
  <c r="G217" i="8"/>
  <c r="Z60" i="7" s="1"/>
  <c r="Z60" i="3" s="1"/>
  <c r="G218" i="8"/>
  <c r="Z61" i="7" s="1"/>
  <c r="Z61" i="3" s="1"/>
  <c r="G219" i="8"/>
  <c r="Z62" i="7" s="1"/>
  <c r="Z62" i="3" s="1"/>
  <c r="G220" i="8"/>
  <c r="Z63" i="7" s="1"/>
  <c r="Z63" i="3" s="1"/>
  <c r="G221" i="8"/>
  <c r="Z64" i="7" s="1"/>
  <c r="Z64" i="3" s="1"/>
  <c r="G222" i="8"/>
  <c r="Z65" i="7" s="1"/>
  <c r="G223" i="8"/>
  <c r="Z66" i="7" s="1"/>
  <c r="Z66" i="3" s="1"/>
  <c r="G224" i="8"/>
  <c r="Z67" i="7" s="1"/>
  <c r="Z67" i="3" s="1"/>
  <c r="G225" i="8"/>
  <c r="Z68" i="7" s="1"/>
  <c r="Z68" i="3" s="1"/>
  <c r="G226" i="8"/>
  <c r="Z69" i="7" s="1"/>
  <c r="Z69" i="3" s="1"/>
  <c r="G227" i="8"/>
  <c r="Z70" i="7" s="1"/>
  <c r="Z70" i="3" s="1"/>
  <c r="G228" i="8"/>
  <c r="Z71" i="7" s="1"/>
  <c r="Z71" i="3" s="1"/>
  <c r="G229" i="8"/>
  <c r="Z72" i="7" s="1"/>
  <c r="Z72" i="3" s="1"/>
  <c r="G230" i="8"/>
  <c r="Z73" i="7" s="1"/>
  <c r="Z73" i="3" s="1"/>
  <c r="G231" i="8"/>
  <c r="Z74" i="7" s="1"/>
  <c r="Z74" i="3" s="1"/>
  <c r="G232" i="8"/>
  <c r="Z75" i="7" s="1"/>
  <c r="Z75" i="3" s="1"/>
  <c r="G233" i="8"/>
  <c r="Z76" i="7" s="1"/>
  <c r="Z76" i="3" s="1"/>
  <c r="G234" i="8"/>
  <c r="Z77" i="7" s="1"/>
  <c r="Z77" i="3" s="1"/>
  <c r="G235" i="8"/>
  <c r="Z78" i="7" s="1"/>
  <c r="Z78" i="3" s="1"/>
  <c r="G236" i="8"/>
  <c r="Z79" i="7" s="1"/>
  <c r="Z79" i="3" s="1"/>
  <c r="G237" i="8"/>
  <c r="Z80" i="7" s="1"/>
  <c r="Z80" i="3" s="1"/>
  <c r="G238" i="8"/>
  <c r="Z81" i="7" s="1"/>
  <c r="Z81" i="3" s="1"/>
  <c r="G239" i="8"/>
  <c r="Z82" i="7" s="1"/>
  <c r="Z82" i="3" s="1"/>
  <c r="G240" i="8"/>
  <c r="Z83" i="7" s="1"/>
  <c r="Z83" i="3" s="1"/>
  <c r="G241" i="8"/>
  <c r="Z84" i="7" s="1"/>
  <c r="Z84" i="3" s="1"/>
  <c r="G242" i="8"/>
  <c r="Z85" i="7" s="1"/>
  <c r="Z85" i="3" s="1"/>
  <c r="G243" i="8"/>
  <c r="Z86" i="7" s="1"/>
  <c r="Z86" i="3" s="1"/>
  <c r="G244" i="8"/>
  <c r="Z87" i="7" s="1"/>
  <c r="Z87" i="3" s="1"/>
  <c r="G245" i="8"/>
  <c r="Z88" i="7" s="1"/>
  <c r="Z88" i="3" s="1"/>
  <c r="G246" i="8"/>
  <c r="Z89" i="7" s="1"/>
  <c r="Z89" i="3" s="1"/>
  <c r="G247" i="8"/>
  <c r="Z90" i="7" s="1"/>
  <c r="Z90" i="3" s="1"/>
  <c r="G248" i="8"/>
  <c r="Z91" i="7" s="1"/>
  <c r="Z91" i="3" s="1"/>
  <c r="G249" i="8"/>
  <c r="Z92" i="7" s="1"/>
  <c r="Z92" i="3" s="1"/>
  <c r="G250" i="8"/>
  <c r="Z93" i="7" s="1"/>
  <c r="Z93" i="3" s="1"/>
  <c r="G251" i="8"/>
  <c r="Z94" i="7" s="1"/>
  <c r="Z94" i="3" s="1"/>
  <c r="G252" i="8"/>
  <c r="Z95" i="7" s="1"/>
  <c r="Z95" i="3" s="1"/>
  <c r="G253" i="8"/>
  <c r="Z96" i="7" s="1"/>
  <c r="G254" i="8"/>
  <c r="Z97" i="7" s="1"/>
  <c r="Z97" i="3" s="1"/>
  <c r="G255" i="8"/>
  <c r="Z98" i="7" s="1"/>
  <c r="Z98" i="3" s="1"/>
  <c r="G256" i="8"/>
  <c r="Z99" i="7" s="1"/>
  <c r="Z99" i="3" s="1"/>
  <c r="G257" i="8"/>
  <c r="Z100" i="7" s="1"/>
  <c r="Z100" i="3" s="1"/>
  <c r="G258" i="8"/>
  <c r="Z101" i="7" s="1"/>
  <c r="Z101" i="3" s="1"/>
  <c r="G259" i="8"/>
  <c r="Z102" i="7" s="1"/>
  <c r="Z102" i="3" s="1"/>
  <c r="G260" i="8"/>
  <c r="Z103" i="7" s="1"/>
  <c r="Z103" i="3" s="1"/>
  <c r="G261" i="8"/>
  <c r="Z104" i="7" s="1"/>
  <c r="Z104" i="3" s="1"/>
  <c r="G262" i="8"/>
  <c r="Z105" i="7" s="1"/>
  <c r="Z105" i="3" s="1"/>
  <c r="G263" i="8"/>
  <c r="Z106" i="7" s="1"/>
  <c r="Z106" i="3" s="1"/>
  <c r="G264" i="8"/>
  <c r="Z107" i="7" s="1"/>
  <c r="Z107" i="3" s="1"/>
  <c r="G265" i="8"/>
  <c r="Z108" i="7" s="1"/>
  <c r="Z108" i="3" s="1"/>
  <c r="G266" i="8"/>
  <c r="Z109" i="7" s="1"/>
  <c r="Z109" i="3" s="1"/>
  <c r="G267" i="8"/>
  <c r="Z110" i="7" s="1"/>
  <c r="Z110" i="3" s="1"/>
  <c r="G268" i="8"/>
  <c r="Z111" i="7" s="1"/>
  <c r="Z111" i="3" s="1"/>
  <c r="G269" i="8"/>
  <c r="Z112" i="7" s="1"/>
  <c r="Z112" i="3" s="1"/>
  <c r="G270" i="8"/>
  <c r="Z113" i="7" s="1"/>
  <c r="Z113" i="3" s="1"/>
  <c r="G271" i="8"/>
  <c r="Z114" i="7" s="1"/>
  <c r="G272" i="8"/>
  <c r="Z115" i="7" s="1"/>
  <c r="Z115" i="3" s="1"/>
  <c r="G273" i="8"/>
  <c r="Z116" i="7" s="1"/>
  <c r="Z116" i="3" s="1"/>
  <c r="G274" i="8"/>
  <c r="Z117" i="7" s="1"/>
  <c r="Z117" i="3" s="1"/>
  <c r="G275" i="8"/>
  <c r="Z118" i="7" s="1"/>
  <c r="Z118" i="3" s="1"/>
  <c r="G276" i="8"/>
  <c r="Z119" i="7" s="1"/>
  <c r="Z119" i="3" s="1"/>
  <c r="G277" i="8"/>
  <c r="Z120" i="7" s="1"/>
  <c r="Z120" i="3" s="1"/>
  <c r="G278" i="8"/>
  <c r="Z121" i="7" s="1"/>
  <c r="Z121" i="3" s="1"/>
  <c r="G279" i="8"/>
  <c r="Z122" i="7" s="1"/>
  <c r="Z122" i="3" s="1"/>
  <c r="G280" i="8"/>
  <c r="Z123" i="7" s="1"/>
  <c r="Z123" i="3" s="1"/>
  <c r="G281" i="8"/>
  <c r="Z124" i="7" s="1"/>
  <c r="Z124" i="3" s="1"/>
  <c r="G282" i="8"/>
  <c r="Z125" i="7" s="1"/>
  <c r="Z125" i="3" s="1"/>
  <c r="G283" i="8"/>
  <c r="Z126" i="7" s="1"/>
  <c r="Z126" i="3" s="1"/>
  <c r="G284" i="8"/>
  <c r="Z127" i="7" s="1"/>
  <c r="Z127" i="3" s="1"/>
  <c r="G285" i="8"/>
  <c r="Z128" i="7" s="1"/>
  <c r="Z128" i="3" s="1"/>
  <c r="G286" i="8"/>
  <c r="Z129" i="7" s="1"/>
  <c r="Z129" i="3" s="1"/>
  <c r="G287" i="8"/>
  <c r="Z130" i="7" s="1"/>
  <c r="Z130" i="3" s="1"/>
  <c r="G288" i="8"/>
  <c r="Z131" i="7" s="1"/>
  <c r="Z131" i="3" s="1"/>
  <c r="G289" i="8"/>
  <c r="Z132" i="7" s="1"/>
  <c r="Z132" i="3" s="1"/>
  <c r="G290" i="8"/>
  <c r="Z133" i="7" s="1"/>
  <c r="Z133" i="3" s="1"/>
  <c r="G291" i="8"/>
  <c r="Z134" i="7" s="1"/>
  <c r="Z134" i="3" s="1"/>
  <c r="G292" i="8"/>
  <c r="Z135" i="7" s="1"/>
  <c r="Z135" i="3" s="1"/>
  <c r="G293" i="8"/>
  <c r="Z136" i="7" s="1"/>
  <c r="Z136" i="3" s="1"/>
  <c r="G294" i="8"/>
  <c r="Z137" i="7" s="1"/>
  <c r="Z137" i="3" s="1"/>
  <c r="G160" i="8"/>
  <c r="Z3" i="7" s="1"/>
  <c r="Z3" i="3" s="1"/>
  <c r="G159" i="8"/>
  <c r="Z2" i="7" s="1"/>
  <c r="Z2" i="3" s="1"/>
  <c r="F160" i="8"/>
  <c r="Y3" i="7" s="1"/>
  <c r="Y3" i="3" s="1"/>
  <c r="F161" i="8"/>
  <c r="Y4" i="7" s="1"/>
  <c r="Y4" i="3" s="1"/>
  <c r="F162" i="8"/>
  <c r="Y5" i="7" s="1"/>
  <c r="Y5" i="3" s="1"/>
  <c r="F163" i="8"/>
  <c r="Y6" i="7" s="1"/>
  <c r="Y6" i="3" s="1"/>
  <c r="F164" i="8"/>
  <c r="Y7" i="7" s="1"/>
  <c r="Y7" i="3" s="1"/>
  <c r="F165" i="8"/>
  <c r="Y8" i="7" s="1"/>
  <c r="Y8" i="3" s="1"/>
  <c r="F166" i="8"/>
  <c r="Y9" i="7" s="1"/>
  <c r="Y9" i="3" s="1"/>
  <c r="F167" i="8"/>
  <c r="Y10" i="7" s="1"/>
  <c r="Y10" i="3" s="1"/>
  <c r="F168" i="8"/>
  <c r="Y11" i="7" s="1"/>
  <c r="Y11" i="3" s="1"/>
  <c r="F169" i="8"/>
  <c r="Y12" i="7" s="1"/>
  <c r="Y12" i="3" s="1"/>
  <c r="F170" i="8"/>
  <c r="Y13" i="7" s="1"/>
  <c r="Y13" i="3" s="1"/>
  <c r="F171" i="8"/>
  <c r="Y14" i="7" s="1"/>
  <c r="Y14" i="3" s="1"/>
  <c r="F172" i="8"/>
  <c r="Y15" i="7" s="1"/>
  <c r="Y15" i="3" s="1"/>
  <c r="F173" i="8"/>
  <c r="Y16" i="7" s="1"/>
  <c r="Y16" i="3" s="1"/>
  <c r="F174" i="8"/>
  <c r="Y17" i="7" s="1"/>
  <c r="Y17" i="3" s="1"/>
  <c r="F175" i="8"/>
  <c r="Y18" i="7" s="1"/>
  <c r="Y18" i="3" s="1"/>
  <c r="F176" i="8"/>
  <c r="Y19" i="7" s="1"/>
  <c r="Y19" i="3" s="1"/>
  <c r="F177" i="8"/>
  <c r="Y20" i="7" s="1"/>
  <c r="Y20" i="3" s="1"/>
  <c r="F178" i="8"/>
  <c r="Y21" i="7" s="1"/>
  <c r="Y21" i="3" s="1"/>
  <c r="F179" i="8"/>
  <c r="Y22" i="7" s="1"/>
  <c r="Y22" i="3" s="1"/>
  <c r="F180" i="8"/>
  <c r="Y23" i="7" s="1"/>
  <c r="Y23" i="3" s="1"/>
  <c r="F181" i="8"/>
  <c r="Y24" i="7" s="1"/>
  <c r="Y24" i="3" s="1"/>
  <c r="F182" i="8"/>
  <c r="Y25" i="7" s="1"/>
  <c r="Y25" i="3" s="1"/>
  <c r="F183" i="8"/>
  <c r="Y26" i="7" s="1"/>
  <c r="Y26" i="3" s="1"/>
  <c r="F184" i="8"/>
  <c r="Y27" i="7" s="1"/>
  <c r="Y27" i="3" s="1"/>
  <c r="F185" i="8"/>
  <c r="Y28" i="7" s="1"/>
  <c r="Y28" i="3" s="1"/>
  <c r="F186" i="8"/>
  <c r="Y29" i="7" s="1"/>
  <c r="Y29" i="3" s="1"/>
  <c r="F187" i="8"/>
  <c r="Y30" i="7" s="1"/>
  <c r="Y30" i="3" s="1"/>
  <c r="F188" i="8"/>
  <c r="Y31" i="7" s="1"/>
  <c r="Y31" i="3" s="1"/>
  <c r="F189" i="8"/>
  <c r="Y32" i="7" s="1"/>
  <c r="Y32" i="3" s="1"/>
  <c r="F190" i="8"/>
  <c r="Y33" i="7" s="1"/>
  <c r="Y33" i="3" s="1"/>
  <c r="F191" i="8"/>
  <c r="Y34" i="7" s="1"/>
  <c r="Y34" i="3" s="1"/>
  <c r="F192" i="8"/>
  <c r="Y35" i="7" s="1"/>
  <c r="Y35" i="3" s="1"/>
  <c r="F193" i="8"/>
  <c r="Y36" i="7" s="1"/>
  <c r="Y36" i="3" s="1"/>
  <c r="F194" i="8"/>
  <c r="Y37" i="7" s="1"/>
  <c r="Y37" i="3" s="1"/>
  <c r="F195" i="8"/>
  <c r="Y38" i="7" s="1"/>
  <c r="Y38" i="3" s="1"/>
  <c r="F196" i="8"/>
  <c r="Y39" i="7" s="1"/>
  <c r="Y39" i="3" s="1"/>
  <c r="F197" i="8"/>
  <c r="Y40" i="7" s="1"/>
  <c r="Y40" i="3" s="1"/>
  <c r="F198" i="8"/>
  <c r="Y41" i="7" s="1"/>
  <c r="Y41" i="3" s="1"/>
  <c r="F199" i="8"/>
  <c r="Y42" i="7" s="1"/>
  <c r="Y42" i="3" s="1"/>
  <c r="F200" i="8"/>
  <c r="Y43" i="7" s="1"/>
  <c r="Y43" i="3" s="1"/>
  <c r="F201" i="8"/>
  <c r="Y44" i="7" s="1"/>
  <c r="Y44" i="3" s="1"/>
  <c r="F202" i="8"/>
  <c r="Y45" i="7" s="1"/>
  <c r="Y45" i="3" s="1"/>
  <c r="F203" i="8"/>
  <c r="Y46" i="7" s="1"/>
  <c r="Y46" i="3" s="1"/>
  <c r="F204" i="8"/>
  <c r="Y47" i="7" s="1"/>
  <c r="Y47" i="3" s="1"/>
  <c r="F205" i="8"/>
  <c r="Y48" i="7" s="1"/>
  <c r="Y48" i="3" s="1"/>
  <c r="F206" i="8"/>
  <c r="Y49" i="7" s="1"/>
  <c r="Y49" i="3" s="1"/>
  <c r="F207" i="8"/>
  <c r="Y50" i="7" s="1"/>
  <c r="Y50" i="3" s="1"/>
  <c r="F208" i="8"/>
  <c r="Y51" i="7" s="1"/>
  <c r="Y51" i="3" s="1"/>
  <c r="F209" i="8"/>
  <c r="Y52" i="7" s="1"/>
  <c r="Y52" i="3" s="1"/>
  <c r="F210" i="8"/>
  <c r="Y53" i="7" s="1"/>
  <c r="Y53" i="3" s="1"/>
  <c r="F211" i="8"/>
  <c r="Y54" i="7" s="1"/>
  <c r="Y54" i="3" s="1"/>
  <c r="F212" i="8"/>
  <c r="Y55" i="7" s="1"/>
  <c r="Y55" i="3" s="1"/>
  <c r="F213" i="8"/>
  <c r="Y56" i="7" s="1"/>
  <c r="Y56" i="3" s="1"/>
  <c r="F214" i="8"/>
  <c r="Y57" i="7" s="1"/>
  <c r="Y57" i="3" s="1"/>
  <c r="F215" i="8"/>
  <c r="Y58" i="7" s="1"/>
  <c r="Y58" i="3" s="1"/>
  <c r="F216" i="8"/>
  <c r="Y59" i="7" s="1"/>
  <c r="Y59" i="3" s="1"/>
  <c r="F217" i="8"/>
  <c r="Y60" i="7" s="1"/>
  <c r="Y60" i="3" s="1"/>
  <c r="F218" i="8"/>
  <c r="Y61" i="7" s="1"/>
  <c r="Y61" i="3" s="1"/>
  <c r="F219" i="8"/>
  <c r="Y62" i="7" s="1"/>
  <c r="Y62" i="3" s="1"/>
  <c r="F220" i="8"/>
  <c r="Y63" i="7" s="1"/>
  <c r="Y63" i="3" s="1"/>
  <c r="F221" i="8"/>
  <c r="Y64" i="7" s="1"/>
  <c r="Y64" i="3" s="1"/>
  <c r="F222" i="8"/>
  <c r="Y65" i="7" s="1"/>
  <c r="F223" i="8"/>
  <c r="Y66" i="7" s="1"/>
  <c r="Y66" i="3" s="1"/>
  <c r="F224" i="8"/>
  <c r="Y67" i="7" s="1"/>
  <c r="Y67" i="3" s="1"/>
  <c r="F225" i="8"/>
  <c r="Y68" i="7" s="1"/>
  <c r="Y68" i="3" s="1"/>
  <c r="F226" i="8"/>
  <c r="Y69" i="7" s="1"/>
  <c r="Y69" i="3" s="1"/>
  <c r="F227" i="8"/>
  <c r="Y70" i="7" s="1"/>
  <c r="Y70" i="3" s="1"/>
  <c r="F228" i="8"/>
  <c r="Y71" i="7" s="1"/>
  <c r="Y71" i="3" s="1"/>
  <c r="F229" i="8"/>
  <c r="Y72" i="7" s="1"/>
  <c r="Y72" i="3" s="1"/>
  <c r="F230" i="8"/>
  <c r="Y73" i="7" s="1"/>
  <c r="Y73" i="3" s="1"/>
  <c r="F231" i="8"/>
  <c r="Y74" i="7" s="1"/>
  <c r="Y74" i="3" s="1"/>
  <c r="F232" i="8"/>
  <c r="Y75" i="7" s="1"/>
  <c r="Y75" i="3" s="1"/>
  <c r="F233" i="8"/>
  <c r="Y76" i="7" s="1"/>
  <c r="Y76" i="3" s="1"/>
  <c r="F234" i="8"/>
  <c r="Y77" i="7" s="1"/>
  <c r="Y77" i="3" s="1"/>
  <c r="F235" i="8"/>
  <c r="Y78" i="7" s="1"/>
  <c r="Y78" i="3" s="1"/>
  <c r="F236" i="8"/>
  <c r="Y79" i="7" s="1"/>
  <c r="Y79" i="3" s="1"/>
  <c r="F237" i="8"/>
  <c r="Y80" i="7" s="1"/>
  <c r="Y80" i="3" s="1"/>
  <c r="F238" i="8"/>
  <c r="Y81" i="7" s="1"/>
  <c r="Y81" i="3" s="1"/>
  <c r="F239" i="8"/>
  <c r="Y82" i="7" s="1"/>
  <c r="Y82" i="3" s="1"/>
  <c r="F240" i="8"/>
  <c r="Y83" i="7" s="1"/>
  <c r="Y83" i="3" s="1"/>
  <c r="F241" i="8"/>
  <c r="Y84" i="7" s="1"/>
  <c r="Y84" i="3" s="1"/>
  <c r="F242" i="8"/>
  <c r="Y85" i="7" s="1"/>
  <c r="Y85" i="3" s="1"/>
  <c r="F243" i="8"/>
  <c r="Y86" i="7" s="1"/>
  <c r="Y86" i="3" s="1"/>
  <c r="F244" i="8"/>
  <c r="Y87" i="7" s="1"/>
  <c r="Y87" i="3" s="1"/>
  <c r="F245" i="8"/>
  <c r="Y88" i="7" s="1"/>
  <c r="Y88" i="3" s="1"/>
  <c r="F246" i="8"/>
  <c r="Y89" i="7" s="1"/>
  <c r="Y89" i="3" s="1"/>
  <c r="F247" i="8"/>
  <c r="Y90" i="7" s="1"/>
  <c r="Y90" i="3" s="1"/>
  <c r="F248" i="8"/>
  <c r="Y91" i="7" s="1"/>
  <c r="Y91" i="3" s="1"/>
  <c r="F249" i="8"/>
  <c r="Y92" i="7" s="1"/>
  <c r="Y92" i="3" s="1"/>
  <c r="F250" i="8"/>
  <c r="Y93" i="7" s="1"/>
  <c r="Y93" i="3" s="1"/>
  <c r="F251" i="8"/>
  <c r="Y94" i="7" s="1"/>
  <c r="Y94" i="3" s="1"/>
  <c r="F252" i="8"/>
  <c r="Y95" i="7" s="1"/>
  <c r="Y95" i="3" s="1"/>
  <c r="F253" i="8"/>
  <c r="Y96" i="7" s="1"/>
  <c r="F254" i="8"/>
  <c r="Y97" i="7" s="1"/>
  <c r="Y97" i="3" s="1"/>
  <c r="F255" i="8"/>
  <c r="Y98" i="7" s="1"/>
  <c r="Y98" i="3" s="1"/>
  <c r="F256" i="8"/>
  <c r="Y99" i="7" s="1"/>
  <c r="Y99" i="3" s="1"/>
  <c r="F257" i="8"/>
  <c r="Y100" i="7" s="1"/>
  <c r="Y100" i="3" s="1"/>
  <c r="F258" i="8"/>
  <c r="Y101" i="7" s="1"/>
  <c r="Y101" i="3" s="1"/>
  <c r="F259" i="8"/>
  <c r="Y102" i="7" s="1"/>
  <c r="Y102" i="3" s="1"/>
  <c r="F260" i="8"/>
  <c r="Y103" i="7" s="1"/>
  <c r="Y103" i="3" s="1"/>
  <c r="F261" i="8"/>
  <c r="Y104" i="7" s="1"/>
  <c r="Y104" i="3" s="1"/>
  <c r="F262" i="8"/>
  <c r="Y105" i="7" s="1"/>
  <c r="Y105" i="3" s="1"/>
  <c r="F263" i="8"/>
  <c r="Y106" i="7" s="1"/>
  <c r="Y106" i="3" s="1"/>
  <c r="F264" i="8"/>
  <c r="Y107" i="7" s="1"/>
  <c r="Y107" i="3" s="1"/>
  <c r="F265" i="8"/>
  <c r="Y108" i="7" s="1"/>
  <c r="Y108" i="3" s="1"/>
  <c r="F266" i="8"/>
  <c r="Y109" i="7" s="1"/>
  <c r="Y109" i="3" s="1"/>
  <c r="F267" i="8"/>
  <c r="Y110" i="7" s="1"/>
  <c r="Y110" i="3" s="1"/>
  <c r="F268" i="8"/>
  <c r="Y111" i="7" s="1"/>
  <c r="Y111" i="3" s="1"/>
  <c r="F269" i="8"/>
  <c r="Y112" i="7" s="1"/>
  <c r="Y112" i="3" s="1"/>
  <c r="F270" i="8"/>
  <c r="Y113" i="7" s="1"/>
  <c r="Y113" i="3" s="1"/>
  <c r="F271" i="8"/>
  <c r="Y114" i="7" s="1"/>
  <c r="F272" i="8"/>
  <c r="Y115" i="7" s="1"/>
  <c r="Y115" i="3" s="1"/>
  <c r="F273" i="8"/>
  <c r="Y116" i="7" s="1"/>
  <c r="Y116" i="3" s="1"/>
  <c r="F274" i="8"/>
  <c r="Y117" i="7" s="1"/>
  <c r="Y117" i="3" s="1"/>
  <c r="F275" i="8"/>
  <c r="Y118" i="7" s="1"/>
  <c r="Y118" i="3" s="1"/>
  <c r="F276" i="8"/>
  <c r="Y119" i="7" s="1"/>
  <c r="Y119" i="3" s="1"/>
  <c r="F277" i="8"/>
  <c r="Y120" i="7" s="1"/>
  <c r="Y120" i="3" s="1"/>
  <c r="F278" i="8"/>
  <c r="Y121" i="7" s="1"/>
  <c r="Y121" i="3" s="1"/>
  <c r="F279" i="8"/>
  <c r="Y122" i="7" s="1"/>
  <c r="Y122" i="3" s="1"/>
  <c r="F280" i="8"/>
  <c r="Y123" i="7" s="1"/>
  <c r="Y123" i="3" s="1"/>
  <c r="F281" i="8"/>
  <c r="Y124" i="7" s="1"/>
  <c r="Y124" i="3" s="1"/>
  <c r="F282" i="8"/>
  <c r="Y125" i="7" s="1"/>
  <c r="Y125" i="3" s="1"/>
  <c r="F283" i="8"/>
  <c r="Y126" i="7" s="1"/>
  <c r="Y126" i="3" s="1"/>
  <c r="F284" i="8"/>
  <c r="Y127" i="7" s="1"/>
  <c r="Y127" i="3" s="1"/>
  <c r="F285" i="8"/>
  <c r="Y128" i="7" s="1"/>
  <c r="Y128" i="3" s="1"/>
  <c r="F286" i="8"/>
  <c r="Y129" i="7" s="1"/>
  <c r="Y129" i="3" s="1"/>
  <c r="F287" i="8"/>
  <c r="Y130" i="7" s="1"/>
  <c r="Y130" i="3" s="1"/>
  <c r="F288" i="8"/>
  <c r="Y131" i="7" s="1"/>
  <c r="Y131" i="3" s="1"/>
  <c r="F289" i="8"/>
  <c r="Y132" i="7" s="1"/>
  <c r="Y132" i="3" s="1"/>
  <c r="F290" i="8"/>
  <c r="Y133" i="7" s="1"/>
  <c r="Y133" i="3" s="1"/>
  <c r="F291" i="8"/>
  <c r="Y134" i="7" s="1"/>
  <c r="Y134" i="3" s="1"/>
  <c r="F292" i="8"/>
  <c r="Y135" i="7" s="1"/>
  <c r="Y135" i="3" s="1"/>
  <c r="F293" i="8"/>
  <c r="Y136" i="7" s="1"/>
  <c r="Y136" i="3" s="1"/>
  <c r="F294" i="8"/>
  <c r="Y137" i="7" s="1"/>
  <c r="Y137" i="3" s="1"/>
  <c r="F159" i="8"/>
  <c r="Y2" i="7" s="1"/>
  <c r="Y2" i="3" s="1"/>
  <c r="E159" i="8"/>
  <c r="X2" i="7" s="1"/>
  <c r="X2" i="3" s="1"/>
  <c r="E160" i="8"/>
  <c r="X3" i="7" s="1"/>
  <c r="X3" i="3" s="1"/>
  <c r="E161" i="8"/>
  <c r="X4" i="7" s="1"/>
  <c r="X4" i="3" s="1"/>
  <c r="E162" i="8"/>
  <c r="X5" i="7" s="1"/>
  <c r="X5" i="3" s="1"/>
  <c r="E163" i="8"/>
  <c r="X6" i="7" s="1"/>
  <c r="X6" i="3" s="1"/>
  <c r="E164" i="8"/>
  <c r="X7" i="7" s="1"/>
  <c r="X7" i="3" s="1"/>
  <c r="E165" i="8"/>
  <c r="X8" i="7" s="1"/>
  <c r="X8" i="3" s="1"/>
  <c r="E166" i="8"/>
  <c r="X9" i="7" s="1"/>
  <c r="X9" i="3" s="1"/>
  <c r="E167" i="8"/>
  <c r="X10" i="7" s="1"/>
  <c r="X10" i="3" s="1"/>
  <c r="E168" i="8"/>
  <c r="X11" i="7" s="1"/>
  <c r="X11" i="3" s="1"/>
  <c r="E169" i="8"/>
  <c r="X12" i="7" s="1"/>
  <c r="X12" i="3" s="1"/>
  <c r="E170" i="8"/>
  <c r="X13" i="7" s="1"/>
  <c r="X13" i="3" s="1"/>
  <c r="E171" i="8"/>
  <c r="X14" i="7" s="1"/>
  <c r="X14" i="3" s="1"/>
  <c r="E172" i="8"/>
  <c r="X15" i="7" s="1"/>
  <c r="X15" i="3" s="1"/>
  <c r="E173" i="8"/>
  <c r="X16" i="7" s="1"/>
  <c r="X16" i="3" s="1"/>
  <c r="E174" i="8"/>
  <c r="X17" i="7" s="1"/>
  <c r="X17" i="3" s="1"/>
  <c r="E175" i="8"/>
  <c r="X18" i="7" s="1"/>
  <c r="X18" i="3" s="1"/>
  <c r="E176" i="8"/>
  <c r="X19" i="7" s="1"/>
  <c r="X19" i="3" s="1"/>
  <c r="E177" i="8"/>
  <c r="X20" i="7" s="1"/>
  <c r="X20" i="3" s="1"/>
  <c r="E178" i="8"/>
  <c r="X21" i="7" s="1"/>
  <c r="X21" i="3" s="1"/>
  <c r="E179" i="8"/>
  <c r="X22" i="7" s="1"/>
  <c r="X22" i="3" s="1"/>
  <c r="E180" i="8"/>
  <c r="X23" i="7" s="1"/>
  <c r="X23" i="3" s="1"/>
  <c r="E181" i="8"/>
  <c r="X24" i="7" s="1"/>
  <c r="X24" i="3" s="1"/>
  <c r="E182" i="8"/>
  <c r="X25" i="7" s="1"/>
  <c r="X25" i="3" s="1"/>
  <c r="E183" i="8"/>
  <c r="X26" i="7" s="1"/>
  <c r="X26" i="3" s="1"/>
  <c r="E184" i="8"/>
  <c r="X27" i="7" s="1"/>
  <c r="X27" i="3" s="1"/>
  <c r="E185" i="8"/>
  <c r="X28" i="7" s="1"/>
  <c r="X28" i="3" s="1"/>
  <c r="E186" i="8"/>
  <c r="X29" i="7" s="1"/>
  <c r="X29" i="3" s="1"/>
  <c r="E187" i="8"/>
  <c r="X30" i="7" s="1"/>
  <c r="X30" i="3" s="1"/>
  <c r="E188" i="8"/>
  <c r="X31" i="7" s="1"/>
  <c r="X31" i="3" s="1"/>
  <c r="E189" i="8"/>
  <c r="X32" i="7" s="1"/>
  <c r="X32" i="3" s="1"/>
  <c r="E190" i="8"/>
  <c r="X33" i="7" s="1"/>
  <c r="X33" i="3" s="1"/>
  <c r="E191" i="8"/>
  <c r="X34" i="7" s="1"/>
  <c r="X34" i="3" s="1"/>
  <c r="E192" i="8"/>
  <c r="X35" i="7" s="1"/>
  <c r="X35" i="3" s="1"/>
  <c r="E193" i="8"/>
  <c r="X36" i="7" s="1"/>
  <c r="X36" i="3" s="1"/>
  <c r="E194" i="8"/>
  <c r="X37" i="7" s="1"/>
  <c r="X37" i="3" s="1"/>
  <c r="E195" i="8"/>
  <c r="X38" i="7" s="1"/>
  <c r="X38" i="3" s="1"/>
  <c r="E196" i="8"/>
  <c r="X39" i="7" s="1"/>
  <c r="X39" i="3" s="1"/>
  <c r="E197" i="8"/>
  <c r="X40" i="7" s="1"/>
  <c r="X40" i="3" s="1"/>
  <c r="E198" i="8"/>
  <c r="X41" i="7" s="1"/>
  <c r="X41" i="3" s="1"/>
  <c r="E199" i="8"/>
  <c r="X42" i="7" s="1"/>
  <c r="X42" i="3" s="1"/>
  <c r="E200" i="8"/>
  <c r="X43" i="7" s="1"/>
  <c r="X43" i="3" s="1"/>
  <c r="E201" i="8"/>
  <c r="X44" i="7" s="1"/>
  <c r="X44" i="3" s="1"/>
  <c r="E202" i="8"/>
  <c r="X45" i="7" s="1"/>
  <c r="X45" i="3" s="1"/>
  <c r="E203" i="8"/>
  <c r="X46" i="7" s="1"/>
  <c r="X46" i="3" s="1"/>
  <c r="E204" i="8"/>
  <c r="X47" i="7" s="1"/>
  <c r="X47" i="3" s="1"/>
  <c r="E205" i="8"/>
  <c r="X48" i="7" s="1"/>
  <c r="X48" i="3" s="1"/>
  <c r="E206" i="8"/>
  <c r="X49" i="7" s="1"/>
  <c r="X49" i="3" s="1"/>
  <c r="E207" i="8"/>
  <c r="X50" i="7" s="1"/>
  <c r="X50" i="3" s="1"/>
  <c r="E208" i="8"/>
  <c r="X51" i="7" s="1"/>
  <c r="X51" i="3" s="1"/>
  <c r="E209" i="8"/>
  <c r="X52" i="7" s="1"/>
  <c r="X52" i="3" s="1"/>
  <c r="E210" i="8"/>
  <c r="X53" i="7" s="1"/>
  <c r="X53" i="3" s="1"/>
  <c r="E211" i="8"/>
  <c r="X54" i="7" s="1"/>
  <c r="X54" i="3" s="1"/>
  <c r="E212" i="8"/>
  <c r="X55" i="7" s="1"/>
  <c r="X55" i="3" s="1"/>
  <c r="E213" i="8"/>
  <c r="X56" i="7" s="1"/>
  <c r="X56" i="3" s="1"/>
  <c r="E214" i="8"/>
  <c r="X57" i="7" s="1"/>
  <c r="X57" i="3" s="1"/>
  <c r="E215" i="8"/>
  <c r="X58" i="7" s="1"/>
  <c r="X58" i="3" s="1"/>
  <c r="E216" i="8"/>
  <c r="X59" i="7" s="1"/>
  <c r="X59" i="3" s="1"/>
  <c r="E217" i="8"/>
  <c r="X60" i="7" s="1"/>
  <c r="X60" i="3" s="1"/>
  <c r="E218" i="8"/>
  <c r="X61" i="7" s="1"/>
  <c r="X61" i="3" s="1"/>
  <c r="E219" i="8"/>
  <c r="X62" i="7" s="1"/>
  <c r="X62" i="3" s="1"/>
  <c r="E220" i="8"/>
  <c r="X63" i="7" s="1"/>
  <c r="X63" i="3" s="1"/>
  <c r="E221" i="8"/>
  <c r="X64" i="7" s="1"/>
  <c r="X64" i="3" s="1"/>
  <c r="E222" i="8"/>
  <c r="X65" i="7" s="1"/>
  <c r="E223" i="8"/>
  <c r="X66" i="7" s="1"/>
  <c r="X66" i="3" s="1"/>
  <c r="E224" i="8"/>
  <c r="X67" i="7" s="1"/>
  <c r="X67" i="3" s="1"/>
  <c r="E225" i="8"/>
  <c r="X68" i="7" s="1"/>
  <c r="X68" i="3" s="1"/>
  <c r="E226" i="8"/>
  <c r="X69" i="7" s="1"/>
  <c r="X69" i="3" s="1"/>
  <c r="E227" i="8"/>
  <c r="X70" i="7" s="1"/>
  <c r="X70" i="3" s="1"/>
  <c r="E228" i="8"/>
  <c r="X71" i="7" s="1"/>
  <c r="X71" i="3" s="1"/>
  <c r="E229" i="8"/>
  <c r="X72" i="7" s="1"/>
  <c r="X72" i="3" s="1"/>
  <c r="E230" i="8"/>
  <c r="X73" i="7" s="1"/>
  <c r="X73" i="3" s="1"/>
  <c r="E231" i="8"/>
  <c r="X74" i="7" s="1"/>
  <c r="X74" i="3" s="1"/>
  <c r="E232" i="8"/>
  <c r="X75" i="7" s="1"/>
  <c r="X75" i="3" s="1"/>
  <c r="E233" i="8"/>
  <c r="X76" i="7" s="1"/>
  <c r="X76" i="3" s="1"/>
  <c r="E234" i="8"/>
  <c r="X77" i="7" s="1"/>
  <c r="X77" i="3" s="1"/>
  <c r="E235" i="8"/>
  <c r="X78" i="7" s="1"/>
  <c r="X78" i="3" s="1"/>
  <c r="E236" i="8"/>
  <c r="X79" i="7" s="1"/>
  <c r="X79" i="3" s="1"/>
  <c r="E237" i="8"/>
  <c r="X80" i="7" s="1"/>
  <c r="X80" i="3" s="1"/>
  <c r="E238" i="8"/>
  <c r="X81" i="7" s="1"/>
  <c r="X81" i="3" s="1"/>
  <c r="E239" i="8"/>
  <c r="X82" i="7" s="1"/>
  <c r="X82" i="3" s="1"/>
  <c r="E240" i="8"/>
  <c r="X83" i="7" s="1"/>
  <c r="X83" i="3" s="1"/>
  <c r="E241" i="8"/>
  <c r="X84" i="7" s="1"/>
  <c r="X84" i="3" s="1"/>
  <c r="E242" i="8"/>
  <c r="X85" i="7" s="1"/>
  <c r="X85" i="3" s="1"/>
  <c r="E243" i="8"/>
  <c r="X86" i="7" s="1"/>
  <c r="X86" i="3" s="1"/>
  <c r="E244" i="8"/>
  <c r="X87" i="7" s="1"/>
  <c r="X87" i="3" s="1"/>
  <c r="E245" i="8"/>
  <c r="X88" i="7" s="1"/>
  <c r="X88" i="3" s="1"/>
  <c r="E246" i="8"/>
  <c r="X89" i="7" s="1"/>
  <c r="X89" i="3" s="1"/>
  <c r="E247" i="8"/>
  <c r="X90" i="7" s="1"/>
  <c r="X90" i="3" s="1"/>
  <c r="E248" i="8"/>
  <c r="X91" i="7" s="1"/>
  <c r="X91" i="3" s="1"/>
  <c r="E249" i="8"/>
  <c r="X92" i="7" s="1"/>
  <c r="X92" i="3" s="1"/>
  <c r="E250" i="8"/>
  <c r="X93" i="7" s="1"/>
  <c r="X93" i="3" s="1"/>
  <c r="E251" i="8"/>
  <c r="X94" i="7" s="1"/>
  <c r="X94" i="3" s="1"/>
  <c r="E252" i="8"/>
  <c r="X95" i="7" s="1"/>
  <c r="X95" i="3" s="1"/>
  <c r="E253" i="8"/>
  <c r="X96" i="7" s="1"/>
  <c r="E254" i="8"/>
  <c r="X97" i="7" s="1"/>
  <c r="X97" i="3" s="1"/>
  <c r="E255" i="8"/>
  <c r="X98" i="7" s="1"/>
  <c r="X98" i="3" s="1"/>
  <c r="E256" i="8"/>
  <c r="X99" i="7" s="1"/>
  <c r="X99" i="3" s="1"/>
  <c r="E257" i="8"/>
  <c r="X100" i="7" s="1"/>
  <c r="X100" i="3" s="1"/>
  <c r="E258" i="8"/>
  <c r="X101" i="7" s="1"/>
  <c r="X101" i="3" s="1"/>
  <c r="E259" i="8"/>
  <c r="X102" i="7" s="1"/>
  <c r="X102" i="3" s="1"/>
  <c r="E260" i="8"/>
  <c r="X103" i="7" s="1"/>
  <c r="X103" i="3" s="1"/>
  <c r="E261" i="8"/>
  <c r="X104" i="7" s="1"/>
  <c r="X104" i="3" s="1"/>
  <c r="E262" i="8"/>
  <c r="X105" i="7" s="1"/>
  <c r="X105" i="3" s="1"/>
  <c r="E263" i="8"/>
  <c r="X106" i="7" s="1"/>
  <c r="X106" i="3" s="1"/>
  <c r="E264" i="8"/>
  <c r="X107" i="7" s="1"/>
  <c r="X107" i="3" s="1"/>
  <c r="E265" i="8"/>
  <c r="X108" i="7" s="1"/>
  <c r="X108" i="3" s="1"/>
  <c r="E266" i="8"/>
  <c r="X109" i="7" s="1"/>
  <c r="X109" i="3" s="1"/>
  <c r="E267" i="8"/>
  <c r="X110" i="7" s="1"/>
  <c r="X110" i="3" s="1"/>
  <c r="E268" i="8"/>
  <c r="X111" i="7" s="1"/>
  <c r="X111" i="3" s="1"/>
  <c r="E269" i="8"/>
  <c r="X112" i="7" s="1"/>
  <c r="X112" i="3" s="1"/>
  <c r="E270" i="8"/>
  <c r="X113" i="7" s="1"/>
  <c r="X113" i="3" s="1"/>
  <c r="E271" i="8"/>
  <c r="X114" i="7" s="1"/>
  <c r="E272" i="8"/>
  <c r="X115" i="7" s="1"/>
  <c r="X115" i="3" s="1"/>
  <c r="E273" i="8"/>
  <c r="X116" i="7" s="1"/>
  <c r="X116" i="3" s="1"/>
  <c r="E274" i="8"/>
  <c r="X117" i="7" s="1"/>
  <c r="X117" i="3" s="1"/>
  <c r="E275" i="8"/>
  <c r="X118" i="7" s="1"/>
  <c r="X118" i="3" s="1"/>
  <c r="E276" i="8"/>
  <c r="X119" i="7" s="1"/>
  <c r="X119" i="3" s="1"/>
  <c r="E277" i="8"/>
  <c r="X120" i="7" s="1"/>
  <c r="X120" i="3" s="1"/>
  <c r="E278" i="8"/>
  <c r="X121" i="7" s="1"/>
  <c r="X121" i="3" s="1"/>
  <c r="E279" i="8"/>
  <c r="X122" i="7" s="1"/>
  <c r="X122" i="3" s="1"/>
  <c r="E280" i="8"/>
  <c r="X123" i="7" s="1"/>
  <c r="X123" i="3" s="1"/>
  <c r="E281" i="8"/>
  <c r="X124" i="7" s="1"/>
  <c r="X124" i="3" s="1"/>
  <c r="E282" i="8"/>
  <c r="X125" i="7" s="1"/>
  <c r="X125" i="3" s="1"/>
  <c r="E283" i="8"/>
  <c r="X126" i="7" s="1"/>
  <c r="X126" i="3" s="1"/>
  <c r="E284" i="8"/>
  <c r="X127" i="7" s="1"/>
  <c r="X127" i="3" s="1"/>
  <c r="E285" i="8"/>
  <c r="X128" i="7" s="1"/>
  <c r="X128" i="3" s="1"/>
  <c r="E286" i="8"/>
  <c r="X129" i="7" s="1"/>
  <c r="X129" i="3" s="1"/>
  <c r="E287" i="8"/>
  <c r="X130" i="7" s="1"/>
  <c r="X130" i="3" s="1"/>
  <c r="E288" i="8"/>
  <c r="X131" i="7" s="1"/>
  <c r="X131" i="3" s="1"/>
  <c r="E289" i="8"/>
  <c r="X132" i="7" s="1"/>
  <c r="X132" i="3" s="1"/>
  <c r="E290" i="8"/>
  <c r="X133" i="7" s="1"/>
  <c r="X133" i="3" s="1"/>
  <c r="E291" i="8"/>
  <c r="X134" i="7" s="1"/>
  <c r="X134" i="3" s="1"/>
  <c r="E292" i="8"/>
  <c r="X135" i="7" s="1"/>
  <c r="X135" i="3" s="1"/>
  <c r="E293" i="8"/>
  <c r="X136" i="7" s="1"/>
  <c r="X136" i="3" s="1"/>
  <c r="E294" i="8"/>
  <c r="X137" i="7" s="1"/>
  <c r="X137" i="3" s="1"/>
  <c r="D159" i="8"/>
  <c r="W2" i="7" s="1"/>
  <c r="W2" i="3" s="1"/>
  <c r="D160" i="8"/>
  <c r="W3" i="7" s="1"/>
  <c r="W3" i="3" s="1"/>
  <c r="D161" i="8"/>
  <c r="W4" i="7" s="1"/>
  <c r="W4" i="3" s="1"/>
  <c r="D162" i="8"/>
  <c r="W5" i="7" s="1"/>
  <c r="W5" i="3" s="1"/>
  <c r="D163" i="8"/>
  <c r="W6" i="7" s="1"/>
  <c r="W6" i="3" s="1"/>
  <c r="D164" i="8"/>
  <c r="W7" i="7" s="1"/>
  <c r="W7" i="3" s="1"/>
  <c r="D165" i="8"/>
  <c r="W8" i="7" s="1"/>
  <c r="W8" i="3" s="1"/>
  <c r="D166" i="8"/>
  <c r="W9" i="7" s="1"/>
  <c r="W9" i="3" s="1"/>
  <c r="D167" i="8"/>
  <c r="W10" i="7" s="1"/>
  <c r="W10" i="3" s="1"/>
  <c r="D168" i="8"/>
  <c r="W11" i="7" s="1"/>
  <c r="W11" i="3" s="1"/>
  <c r="D169" i="8"/>
  <c r="W12" i="7" s="1"/>
  <c r="W12" i="3" s="1"/>
  <c r="D170" i="8"/>
  <c r="W13" i="7" s="1"/>
  <c r="W13" i="3" s="1"/>
  <c r="D171" i="8"/>
  <c r="W14" i="7" s="1"/>
  <c r="W14" i="3" s="1"/>
  <c r="D172" i="8"/>
  <c r="W15" i="7" s="1"/>
  <c r="W15" i="3" s="1"/>
  <c r="D173" i="8"/>
  <c r="W16" i="7" s="1"/>
  <c r="W16" i="3" s="1"/>
  <c r="D174" i="8"/>
  <c r="W17" i="7" s="1"/>
  <c r="W17" i="3" s="1"/>
  <c r="D175" i="8"/>
  <c r="W18" i="7" s="1"/>
  <c r="W18" i="3" s="1"/>
  <c r="D176" i="8"/>
  <c r="W19" i="7" s="1"/>
  <c r="W19" i="3" s="1"/>
  <c r="D177" i="8"/>
  <c r="W20" i="7" s="1"/>
  <c r="W20" i="3" s="1"/>
  <c r="D178" i="8"/>
  <c r="W21" i="7" s="1"/>
  <c r="W21" i="3" s="1"/>
  <c r="D179" i="8"/>
  <c r="W22" i="7" s="1"/>
  <c r="W22" i="3" s="1"/>
  <c r="D180" i="8"/>
  <c r="W23" i="7" s="1"/>
  <c r="W23" i="3" s="1"/>
  <c r="D181" i="8"/>
  <c r="W24" i="7" s="1"/>
  <c r="W24" i="3" s="1"/>
  <c r="D182" i="8"/>
  <c r="W25" i="7" s="1"/>
  <c r="W25" i="3" s="1"/>
  <c r="D183" i="8"/>
  <c r="W26" i="7" s="1"/>
  <c r="W26" i="3" s="1"/>
  <c r="D184" i="8"/>
  <c r="W27" i="7" s="1"/>
  <c r="W27" i="3" s="1"/>
  <c r="D185" i="8"/>
  <c r="W28" i="7" s="1"/>
  <c r="W28" i="3" s="1"/>
  <c r="D186" i="8"/>
  <c r="W29" i="7" s="1"/>
  <c r="W29" i="3" s="1"/>
  <c r="D187" i="8"/>
  <c r="W30" i="7" s="1"/>
  <c r="W30" i="3" s="1"/>
  <c r="D188" i="8"/>
  <c r="W31" i="7" s="1"/>
  <c r="W31" i="3" s="1"/>
  <c r="D189" i="8"/>
  <c r="W32" i="7" s="1"/>
  <c r="W32" i="3" s="1"/>
  <c r="D190" i="8"/>
  <c r="W33" i="7" s="1"/>
  <c r="W33" i="3" s="1"/>
  <c r="D191" i="8"/>
  <c r="W34" i="7" s="1"/>
  <c r="W34" i="3" s="1"/>
  <c r="D192" i="8"/>
  <c r="W35" i="7" s="1"/>
  <c r="W35" i="3" s="1"/>
  <c r="D193" i="8"/>
  <c r="W36" i="7" s="1"/>
  <c r="W36" i="3" s="1"/>
  <c r="D194" i="8"/>
  <c r="W37" i="7" s="1"/>
  <c r="W37" i="3" s="1"/>
  <c r="D195" i="8"/>
  <c r="W38" i="7" s="1"/>
  <c r="W38" i="3" s="1"/>
  <c r="D196" i="8"/>
  <c r="W39" i="7" s="1"/>
  <c r="W39" i="3" s="1"/>
  <c r="D197" i="8"/>
  <c r="W40" i="7" s="1"/>
  <c r="W40" i="3" s="1"/>
  <c r="D198" i="8"/>
  <c r="W41" i="7" s="1"/>
  <c r="W41" i="3" s="1"/>
  <c r="D199" i="8"/>
  <c r="W42" i="7" s="1"/>
  <c r="W42" i="3" s="1"/>
  <c r="D200" i="8"/>
  <c r="W43" i="7" s="1"/>
  <c r="W43" i="3" s="1"/>
  <c r="D201" i="8"/>
  <c r="W44" i="7" s="1"/>
  <c r="W44" i="3" s="1"/>
  <c r="D202" i="8"/>
  <c r="W45" i="7" s="1"/>
  <c r="W45" i="3" s="1"/>
  <c r="D203" i="8"/>
  <c r="W46" i="7" s="1"/>
  <c r="W46" i="3" s="1"/>
  <c r="D204" i="8"/>
  <c r="W47" i="7" s="1"/>
  <c r="W47" i="3" s="1"/>
  <c r="D205" i="8"/>
  <c r="W48" i="7" s="1"/>
  <c r="W48" i="3" s="1"/>
  <c r="D206" i="8"/>
  <c r="W49" i="7" s="1"/>
  <c r="W49" i="3" s="1"/>
  <c r="D207" i="8"/>
  <c r="W50" i="7" s="1"/>
  <c r="W50" i="3" s="1"/>
  <c r="D208" i="8"/>
  <c r="W51" i="7" s="1"/>
  <c r="W51" i="3" s="1"/>
  <c r="D209" i="8"/>
  <c r="W52" i="7" s="1"/>
  <c r="W52" i="3" s="1"/>
  <c r="D210" i="8"/>
  <c r="W53" i="7" s="1"/>
  <c r="W53" i="3" s="1"/>
  <c r="D211" i="8"/>
  <c r="W54" i="7" s="1"/>
  <c r="W54" i="3" s="1"/>
  <c r="D212" i="8"/>
  <c r="W55" i="7" s="1"/>
  <c r="W55" i="3" s="1"/>
  <c r="D213" i="8"/>
  <c r="W56" i="7" s="1"/>
  <c r="W56" i="3" s="1"/>
  <c r="D214" i="8"/>
  <c r="W57" i="7" s="1"/>
  <c r="W57" i="3" s="1"/>
  <c r="D215" i="8"/>
  <c r="W58" i="7" s="1"/>
  <c r="W58" i="3" s="1"/>
  <c r="D216" i="8"/>
  <c r="W59" i="7" s="1"/>
  <c r="W59" i="3" s="1"/>
  <c r="D217" i="8"/>
  <c r="W60" i="7" s="1"/>
  <c r="W60" i="3" s="1"/>
  <c r="D218" i="8"/>
  <c r="W61" i="7" s="1"/>
  <c r="W61" i="3" s="1"/>
  <c r="D219" i="8"/>
  <c r="W62" i="7" s="1"/>
  <c r="W62" i="3" s="1"/>
  <c r="D220" i="8"/>
  <c r="W63" i="7" s="1"/>
  <c r="W63" i="3" s="1"/>
  <c r="D221" i="8"/>
  <c r="W64" i="7" s="1"/>
  <c r="W64" i="3" s="1"/>
  <c r="D222" i="8"/>
  <c r="W65" i="7" s="1"/>
  <c r="D223" i="8"/>
  <c r="W66" i="7" s="1"/>
  <c r="W66" i="3" s="1"/>
  <c r="D224" i="8"/>
  <c r="W67" i="7" s="1"/>
  <c r="W67" i="3" s="1"/>
  <c r="D225" i="8"/>
  <c r="W68" i="7" s="1"/>
  <c r="W68" i="3" s="1"/>
  <c r="D226" i="8"/>
  <c r="W69" i="7" s="1"/>
  <c r="W69" i="3" s="1"/>
  <c r="D227" i="8"/>
  <c r="W70" i="7" s="1"/>
  <c r="W70" i="3" s="1"/>
  <c r="D228" i="8"/>
  <c r="W71" i="7" s="1"/>
  <c r="W71" i="3" s="1"/>
  <c r="D229" i="8"/>
  <c r="W72" i="7" s="1"/>
  <c r="W72" i="3" s="1"/>
  <c r="D230" i="8"/>
  <c r="W73" i="7" s="1"/>
  <c r="W73" i="3" s="1"/>
  <c r="D231" i="8"/>
  <c r="W74" i="7" s="1"/>
  <c r="W74" i="3" s="1"/>
  <c r="D232" i="8"/>
  <c r="W75" i="7" s="1"/>
  <c r="W75" i="3" s="1"/>
  <c r="D233" i="8"/>
  <c r="W76" i="7" s="1"/>
  <c r="W76" i="3" s="1"/>
  <c r="D234" i="8"/>
  <c r="W77" i="7" s="1"/>
  <c r="W77" i="3" s="1"/>
  <c r="D235" i="8"/>
  <c r="W78" i="7" s="1"/>
  <c r="W78" i="3" s="1"/>
  <c r="D236" i="8"/>
  <c r="W79" i="7" s="1"/>
  <c r="W79" i="3" s="1"/>
  <c r="D237" i="8"/>
  <c r="W80" i="7" s="1"/>
  <c r="W80" i="3" s="1"/>
  <c r="D238" i="8"/>
  <c r="W81" i="7" s="1"/>
  <c r="W81" i="3" s="1"/>
  <c r="D239" i="8"/>
  <c r="W82" i="7" s="1"/>
  <c r="W82" i="3" s="1"/>
  <c r="D240" i="8"/>
  <c r="W83" i="7" s="1"/>
  <c r="W83" i="3" s="1"/>
  <c r="D241" i="8"/>
  <c r="W84" i="7" s="1"/>
  <c r="W84" i="3" s="1"/>
  <c r="D242" i="8"/>
  <c r="W85" i="7" s="1"/>
  <c r="W85" i="3" s="1"/>
  <c r="D243" i="8"/>
  <c r="W86" i="7" s="1"/>
  <c r="W86" i="3" s="1"/>
  <c r="D244" i="8"/>
  <c r="W87" i="7" s="1"/>
  <c r="W87" i="3" s="1"/>
  <c r="D245" i="8"/>
  <c r="W88" i="7" s="1"/>
  <c r="W88" i="3" s="1"/>
  <c r="D246" i="8"/>
  <c r="W89" i="7" s="1"/>
  <c r="W89" i="3" s="1"/>
  <c r="D247" i="8"/>
  <c r="W90" i="7" s="1"/>
  <c r="W90" i="3" s="1"/>
  <c r="D248" i="8"/>
  <c r="W91" i="7" s="1"/>
  <c r="W91" i="3" s="1"/>
  <c r="D249" i="8"/>
  <c r="W92" i="7" s="1"/>
  <c r="W92" i="3" s="1"/>
  <c r="D250" i="8"/>
  <c r="W93" i="7" s="1"/>
  <c r="W93" i="3" s="1"/>
  <c r="D251" i="8"/>
  <c r="W94" i="7" s="1"/>
  <c r="W94" i="3" s="1"/>
  <c r="D252" i="8"/>
  <c r="W95" i="7" s="1"/>
  <c r="W95" i="3" s="1"/>
  <c r="D253" i="8"/>
  <c r="W96" i="7" s="1"/>
  <c r="D254" i="8"/>
  <c r="W97" i="7" s="1"/>
  <c r="W97" i="3" s="1"/>
  <c r="D255" i="8"/>
  <c r="W98" i="7" s="1"/>
  <c r="W98" i="3" s="1"/>
  <c r="D256" i="8"/>
  <c r="W99" i="7" s="1"/>
  <c r="W99" i="3" s="1"/>
  <c r="D257" i="8"/>
  <c r="W100" i="7" s="1"/>
  <c r="W100" i="3" s="1"/>
  <c r="D258" i="8"/>
  <c r="W101" i="7" s="1"/>
  <c r="W101" i="3" s="1"/>
  <c r="D259" i="8"/>
  <c r="W102" i="7" s="1"/>
  <c r="W102" i="3" s="1"/>
  <c r="D260" i="8"/>
  <c r="W103" i="7" s="1"/>
  <c r="W103" i="3" s="1"/>
  <c r="D261" i="8"/>
  <c r="W104" i="7" s="1"/>
  <c r="W104" i="3" s="1"/>
  <c r="D262" i="8"/>
  <c r="W105" i="7" s="1"/>
  <c r="W105" i="3" s="1"/>
  <c r="D263" i="8"/>
  <c r="W106" i="7" s="1"/>
  <c r="W106" i="3" s="1"/>
  <c r="D264" i="8"/>
  <c r="W107" i="7" s="1"/>
  <c r="W107" i="3" s="1"/>
  <c r="D265" i="8"/>
  <c r="W108" i="7" s="1"/>
  <c r="W108" i="3" s="1"/>
  <c r="D266" i="8"/>
  <c r="W109" i="7" s="1"/>
  <c r="W109" i="3" s="1"/>
  <c r="D267" i="8"/>
  <c r="W110" i="7" s="1"/>
  <c r="W110" i="3" s="1"/>
  <c r="D268" i="8"/>
  <c r="W111" i="7" s="1"/>
  <c r="W111" i="3" s="1"/>
  <c r="D269" i="8"/>
  <c r="W112" i="7" s="1"/>
  <c r="W112" i="3" s="1"/>
  <c r="D270" i="8"/>
  <c r="W113" i="7" s="1"/>
  <c r="W113" i="3" s="1"/>
  <c r="D271" i="8"/>
  <c r="W114" i="7" s="1"/>
  <c r="D272" i="8"/>
  <c r="W115" i="7" s="1"/>
  <c r="W115" i="3" s="1"/>
  <c r="D273" i="8"/>
  <c r="W116" i="7" s="1"/>
  <c r="W116" i="3" s="1"/>
  <c r="D274" i="8"/>
  <c r="W117" i="7" s="1"/>
  <c r="W117" i="3" s="1"/>
  <c r="D275" i="8"/>
  <c r="W118" i="7" s="1"/>
  <c r="W118" i="3" s="1"/>
  <c r="D276" i="8"/>
  <c r="W119" i="7" s="1"/>
  <c r="W119" i="3" s="1"/>
  <c r="D277" i="8"/>
  <c r="W120" i="7" s="1"/>
  <c r="W120" i="3" s="1"/>
  <c r="D278" i="8"/>
  <c r="W121" i="7" s="1"/>
  <c r="W121" i="3" s="1"/>
  <c r="D279" i="8"/>
  <c r="W122" i="7" s="1"/>
  <c r="W122" i="3" s="1"/>
  <c r="D280" i="8"/>
  <c r="W123" i="7" s="1"/>
  <c r="W123" i="3" s="1"/>
  <c r="D281" i="8"/>
  <c r="W124" i="7" s="1"/>
  <c r="W124" i="3" s="1"/>
  <c r="D282" i="8"/>
  <c r="W125" i="7" s="1"/>
  <c r="W125" i="3" s="1"/>
  <c r="D283" i="8"/>
  <c r="W126" i="7" s="1"/>
  <c r="W126" i="3" s="1"/>
  <c r="D284" i="8"/>
  <c r="W127" i="7" s="1"/>
  <c r="W127" i="3" s="1"/>
  <c r="D285" i="8"/>
  <c r="W128" i="7" s="1"/>
  <c r="W128" i="3" s="1"/>
  <c r="D286" i="8"/>
  <c r="W129" i="7" s="1"/>
  <c r="W129" i="3" s="1"/>
  <c r="D287" i="8"/>
  <c r="W130" i="7" s="1"/>
  <c r="W130" i="3" s="1"/>
  <c r="D288" i="8"/>
  <c r="W131" i="7" s="1"/>
  <c r="W131" i="3" s="1"/>
  <c r="D289" i="8"/>
  <c r="W132" i="7" s="1"/>
  <c r="W132" i="3" s="1"/>
  <c r="D290" i="8"/>
  <c r="W133" i="7" s="1"/>
  <c r="W133" i="3" s="1"/>
  <c r="D291" i="8"/>
  <c r="W134" i="7" s="1"/>
  <c r="W134" i="3" s="1"/>
  <c r="D292" i="8"/>
  <c r="W135" i="7" s="1"/>
  <c r="W135" i="3" s="1"/>
  <c r="D293" i="8"/>
  <c r="W136" i="7" s="1"/>
  <c r="W136" i="3" s="1"/>
  <c r="D294" i="8"/>
  <c r="W137" i="7" s="1"/>
  <c r="W137" i="3" s="1"/>
  <c r="C159" i="8"/>
  <c r="V2" i="7" s="1"/>
  <c r="V2" i="3" s="1"/>
  <c r="C160" i="8"/>
  <c r="V3" i="7" s="1"/>
  <c r="V3" i="3" s="1"/>
  <c r="C161" i="8"/>
  <c r="V4" i="7" s="1"/>
  <c r="V4" i="3" s="1"/>
  <c r="C162" i="8"/>
  <c r="V5" i="7" s="1"/>
  <c r="V5" i="3" s="1"/>
  <c r="C163" i="8"/>
  <c r="V6" i="7" s="1"/>
  <c r="V6" i="3" s="1"/>
  <c r="C164" i="8"/>
  <c r="V7" i="7" s="1"/>
  <c r="V7" i="3" s="1"/>
  <c r="C165" i="8"/>
  <c r="V8" i="7" s="1"/>
  <c r="V8" i="3" s="1"/>
  <c r="C166" i="8"/>
  <c r="V9" i="7" s="1"/>
  <c r="V9" i="3" s="1"/>
  <c r="C167" i="8"/>
  <c r="V10" i="7" s="1"/>
  <c r="V10" i="3" s="1"/>
  <c r="C168" i="8"/>
  <c r="V11" i="7" s="1"/>
  <c r="V11" i="3" s="1"/>
  <c r="C169" i="8"/>
  <c r="V12" i="7" s="1"/>
  <c r="V12" i="3" s="1"/>
  <c r="C170" i="8"/>
  <c r="V13" i="7" s="1"/>
  <c r="V13" i="3" s="1"/>
  <c r="C171" i="8"/>
  <c r="V14" i="7" s="1"/>
  <c r="V14" i="3" s="1"/>
  <c r="C172" i="8"/>
  <c r="V15" i="7" s="1"/>
  <c r="V15" i="3" s="1"/>
  <c r="C173" i="8"/>
  <c r="V16" i="7" s="1"/>
  <c r="V16" i="3" s="1"/>
  <c r="C174" i="8"/>
  <c r="V17" i="7" s="1"/>
  <c r="V17" i="3" s="1"/>
  <c r="C175" i="8"/>
  <c r="V18" i="7" s="1"/>
  <c r="V18" i="3" s="1"/>
  <c r="C176" i="8"/>
  <c r="V19" i="7" s="1"/>
  <c r="V19" i="3" s="1"/>
  <c r="C177" i="8"/>
  <c r="V20" i="7" s="1"/>
  <c r="V20" i="3" s="1"/>
  <c r="C178" i="8"/>
  <c r="V21" i="7" s="1"/>
  <c r="V21" i="3" s="1"/>
  <c r="C179" i="8"/>
  <c r="V22" i="7" s="1"/>
  <c r="V22" i="3" s="1"/>
  <c r="C180" i="8"/>
  <c r="V23" i="7" s="1"/>
  <c r="V23" i="3" s="1"/>
  <c r="C181" i="8"/>
  <c r="V24" i="7" s="1"/>
  <c r="V24" i="3" s="1"/>
  <c r="C182" i="8"/>
  <c r="V25" i="7" s="1"/>
  <c r="V25" i="3" s="1"/>
  <c r="C183" i="8"/>
  <c r="V26" i="7" s="1"/>
  <c r="V26" i="3" s="1"/>
  <c r="C184" i="8"/>
  <c r="V27" i="7" s="1"/>
  <c r="V27" i="3" s="1"/>
  <c r="C185" i="8"/>
  <c r="V28" i="7" s="1"/>
  <c r="V28" i="3" s="1"/>
  <c r="C186" i="8"/>
  <c r="V29" i="7" s="1"/>
  <c r="V29" i="3" s="1"/>
  <c r="C187" i="8"/>
  <c r="V30" i="7" s="1"/>
  <c r="V30" i="3" s="1"/>
  <c r="C188" i="8"/>
  <c r="V31" i="7" s="1"/>
  <c r="V31" i="3" s="1"/>
  <c r="C189" i="8"/>
  <c r="V32" i="7" s="1"/>
  <c r="V32" i="3" s="1"/>
  <c r="C190" i="8"/>
  <c r="V33" i="7" s="1"/>
  <c r="V33" i="3" s="1"/>
  <c r="C191" i="8"/>
  <c r="V34" i="7" s="1"/>
  <c r="V34" i="3" s="1"/>
  <c r="C192" i="8"/>
  <c r="V35" i="7" s="1"/>
  <c r="V35" i="3" s="1"/>
  <c r="C193" i="8"/>
  <c r="V36" i="7" s="1"/>
  <c r="V36" i="3" s="1"/>
  <c r="C194" i="8"/>
  <c r="V37" i="7" s="1"/>
  <c r="V37" i="3" s="1"/>
  <c r="C195" i="8"/>
  <c r="V38" i="7" s="1"/>
  <c r="V38" i="3" s="1"/>
  <c r="C196" i="8"/>
  <c r="V39" i="7" s="1"/>
  <c r="V39" i="3" s="1"/>
  <c r="C197" i="8"/>
  <c r="V40" i="7" s="1"/>
  <c r="V40" i="3" s="1"/>
  <c r="C198" i="8"/>
  <c r="V41" i="7" s="1"/>
  <c r="V41" i="3" s="1"/>
  <c r="C199" i="8"/>
  <c r="V42" i="7" s="1"/>
  <c r="V42" i="3" s="1"/>
  <c r="C200" i="8"/>
  <c r="V43" i="7" s="1"/>
  <c r="V43" i="3" s="1"/>
  <c r="C201" i="8"/>
  <c r="V44" i="7" s="1"/>
  <c r="V44" i="3" s="1"/>
  <c r="C202" i="8"/>
  <c r="V45" i="7" s="1"/>
  <c r="V45" i="3" s="1"/>
  <c r="C203" i="8"/>
  <c r="V46" i="7" s="1"/>
  <c r="V46" i="3" s="1"/>
  <c r="C204" i="8"/>
  <c r="V47" i="7" s="1"/>
  <c r="V47" i="3" s="1"/>
  <c r="C205" i="8"/>
  <c r="V48" i="7" s="1"/>
  <c r="V48" i="3" s="1"/>
  <c r="C206" i="8"/>
  <c r="V49" i="7" s="1"/>
  <c r="V49" i="3" s="1"/>
  <c r="C207" i="8"/>
  <c r="V50" i="7" s="1"/>
  <c r="V50" i="3" s="1"/>
  <c r="C208" i="8"/>
  <c r="V51" i="7" s="1"/>
  <c r="V51" i="3" s="1"/>
  <c r="C209" i="8"/>
  <c r="V52" i="7" s="1"/>
  <c r="V52" i="3" s="1"/>
  <c r="C210" i="8"/>
  <c r="V53" i="7" s="1"/>
  <c r="V53" i="3" s="1"/>
  <c r="C211" i="8"/>
  <c r="V54" i="7" s="1"/>
  <c r="V54" i="3" s="1"/>
  <c r="C212" i="8"/>
  <c r="V55" i="7" s="1"/>
  <c r="V55" i="3" s="1"/>
  <c r="C213" i="8"/>
  <c r="V56" i="7" s="1"/>
  <c r="V56" i="3" s="1"/>
  <c r="C214" i="8"/>
  <c r="V57" i="7" s="1"/>
  <c r="V57" i="3" s="1"/>
  <c r="C215" i="8"/>
  <c r="V58" i="7" s="1"/>
  <c r="V58" i="3" s="1"/>
  <c r="C216" i="8"/>
  <c r="V59" i="7" s="1"/>
  <c r="V59" i="3" s="1"/>
  <c r="C217" i="8"/>
  <c r="V60" i="7" s="1"/>
  <c r="V60" i="3" s="1"/>
  <c r="C218" i="8"/>
  <c r="V61" i="7" s="1"/>
  <c r="V61" i="3" s="1"/>
  <c r="C219" i="8"/>
  <c r="V62" i="7" s="1"/>
  <c r="V62" i="3" s="1"/>
  <c r="C220" i="8"/>
  <c r="V63" i="7" s="1"/>
  <c r="V63" i="3" s="1"/>
  <c r="C221" i="8"/>
  <c r="V64" i="7" s="1"/>
  <c r="V64" i="3" s="1"/>
  <c r="C222" i="8"/>
  <c r="V65" i="7" s="1"/>
  <c r="C223" i="8"/>
  <c r="V66" i="7" s="1"/>
  <c r="V66" i="3" s="1"/>
  <c r="C224" i="8"/>
  <c r="V67" i="7" s="1"/>
  <c r="V67" i="3" s="1"/>
  <c r="C225" i="8"/>
  <c r="V68" i="7" s="1"/>
  <c r="V68" i="3" s="1"/>
  <c r="C226" i="8"/>
  <c r="V69" i="7" s="1"/>
  <c r="V69" i="3" s="1"/>
  <c r="C227" i="8"/>
  <c r="V70" i="7" s="1"/>
  <c r="V70" i="3" s="1"/>
  <c r="C228" i="8"/>
  <c r="V71" i="7" s="1"/>
  <c r="V71" i="3" s="1"/>
  <c r="C229" i="8"/>
  <c r="V72" i="7" s="1"/>
  <c r="V72" i="3" s="1"/>
  <c r="C230" i="8"/>
  <c r="V73" i="7" s="1"/>
  <c r="V73" i="3" s="1"/>
  <c r="C231" i="8"/>
  <c r="V74" i="7" s="1"/>
  <c r="V74" i="3" s="1"/>
  <c r="C232" i="8"/>
  <c r="V75" i="7" s="1"/>
  <c r="V75" i="3" s="1"/>
  <c r="C233" i="8"/>
  <c r="V76" i="7" s="1"/>
  <c r="V76" i="3" s="1"/>
  <c r="C234" i="8"/>
  <c r="V77" i="7" s="1"/>
  <c r="V77" i="3" s="1"/>
  <c r="C235" i="8"/>
  <c r="V78" i="7" s="1"/>
  <c r="V78" i="3" s="1"/>
  <c r="C236" i="8"/>
  <c r="V79" i="7" s="1"/>
  <c r="V79" i="3" s="1"/>
  <c r="C237" i="8"/>
  <c r="V80" i="7" s="1"/>
  <c r="V80" i="3" s="1"/>
  <c r="C238" i="8"/>
  <c r="V81" i="7" s="1"/>
  <c r="V81" i="3" s="1"/>
  <c r="C239" i="8"/>
  <c r="V82" i="7" s="1"/>
  <c r="V82" i="3" s="1"/>
  <c r="C240" i="8"/>
  <c r="V83" i="7" s="1"/>
  <c r="V83" i="3" s="1"/>
  <c r="C241" i="8"/>
  <c r="V84" i="7" s="1"/>
  <c r="V84" i="3" s="1"/>
  <c r="C242" i="8"/>
  <c r="V85" i="7" s="1"/>
  <c r="V85" i="3" s="1"/>
  <c r="C243" i="8"/>
  <c r="V86" i="7" s="1"/>
  <c r="V86" i="3" s="1"/>
  <c r="C244" i="8"/>
  <c r="V87" i="7" s="1"/>
  <c r="V87" i="3" s="1"/>
  <c r="C245" i="8"/>
  <c r="V88" i="7" s="1"/>
  <c r="V88" i="3" s="1"/>
  <c r="C246" i="8"/>
  <c r="V89" i="7" s="1"/>
  <c r="V89" i="3" s="1"/>
  <c r="C247" i="8"/>
  <c r="V90" i="7" s="1"/>
  <c r="V90" i="3" s="1"/>
  <c r="C248" i="8"/>
  <c r="V91" i="7" s="1"/>
  <c r="V91" i="3" s="1"/>
  <c r="C249" i="8"/>
  <c r="V92" i="7" s="1"/>
  <c r="V92" i="3" s="1"/>
  <c r="C250" i="8"/>
  <c r="V93" i="7" s="1"/>
  <c r="V93" i="3" s="1"/>
  <c r="C251" i="8"/>
  <c r="V94" i="7" s="1"/>
  <c r="V94" i="3" s="1"/>
  <c r="C252" i="8"/>
  <c r="V95" i="7" s="1"/>
  <c r="V95" i="3" s="1"/>
  <c r="C253" i="8"/>
  <c r="V96" i="7" s="1"/>
  <c r="C254" i="8"/>
  <c r="V97" i="7" s="1"/>
  <c r="V97" i="3" s="1"/>
  <c r="C255" i="8"/>
  <c r="V98" i="7" s="1"/>
  <c r="V98" i="3" s="1"/>
  <c r="C256" i="8"/>
  <c r="V99" i="7" s="1"/>
  <c r="V99" i="3" s="1"/>
  <c r="C257" i="8"/>
  <c r="V100" i="7" s="1"/>
  <c r="V100" i="3" s="1"/>
  <c r="C258" i="8"/>
  <c r="V101" i="7" s="1"/>
  <c r="V101" i="3" s="1"/>
  <c r="C259" i="8"/>
  <c r="V102" i="7" s="1"/>
  <c r="V102" i="3" s="1"/>
  <c r="C260" i="8"/>
  <c r="V103" i="7" s="1"/>
  <c r="V103" i="3" s="1"/>
  <c r="C261" i="8"/>
  <c r="V104" i="7" s="1"/>
  <c r="V104" i="3" s="1"/>
  <c r="C262" i="8"/>
  <c r="V105" i="7" s="1"/>
  <c r="V105" i="3" s="1"/>
  <c r="C263" i="8"/>
  <c r="V106" i="7" s="1"/>
  <c r="V106" i="3" s="1"/>
  <c r="C264" i="8"/>
  <c r="V107" i="7" s="1"/>
  <c r="V107" i="3" s="1"/>
  <c r="C265" i="8"/>
  <c r="V108" i="7" s="1"/>
  <c r="V108" i="3" s="1"/>
  <c r="C266" i="8"/>
  <c r="V109" i="7" s="1"/>
  <c r="V109" i="3" s="1"/>
  <c r="C267" i="8"/>
  <c r="V110" i="7" s="1"/>
  <c r="V110" i="3" s="1"/>
  <c r="C268" i="8"/>
  <c r="V111" i="7" s="1"/>
  <c r="V111" i="3" s="1"/>
  <c r="C269" i="8"/>
  <c r="V112" i="7" s="1"/>
  <c r="V112" i="3" s="1"/>
  <c r="C270" i="8"/>
  <c r="V113" i="7" s="1"/>
  <c r="V113" i="3" s="1"/>
  <c r="C271" i="8"/>
  <c r="V114" i="7" s="1"/>
  <c r="C272" i="8"/>
  <c r="V115" i="7" s="1"/>
  <c r="V115" i="3" s="1"/>
  <c r="C273" i="8"/>
  <c r="V116" i="7" s="1"/>
  <c r="V116" i="3" s="1"/>
  <c r="C274" i="8"/>
  <c r="V117" i="7" s="1"/>
  <c r="V117" i="3" s="1"/>
  <c r="C275" i="8"/>
  <c r="V118" i="7" s="1"/>
  <c r="V118" i="3" s="1"/>
  <c r="C276" i="8"/>
  <c r="V119" i="7" s="1"/>
  <c r="V119" i="3" s="1"/>
  <c r="C277" i="8"/>
  <c r="V120" i="7" s="1"/>
  <c r="V120" i="3" s="1"/>
  <c r="C278" i="8"/>
  <c r="V121" i="7" s="1"/>
  <c r="V121" i="3" s="1"/>
  <c r="C279" i="8"/>
  <c r="V122" i="7" s="1"/>
  <c r="V122" i="3" s="1"/>
  <c r="C280" i="8"/>
  <c r="V123" i="7" s="1"/>
  <c r="V123" i="3" s="1"/>
  <c r="C281" i="8"/>
  <c r="V124" i="7" s="1"/>
  <c r="V124" i="3" s="1"/>
  <c r="C282" i="8"/>
  <c r="V125" i="7" s="1"/>
  <c r="V125" i="3" s="1"/>
  <c r="C283" i="8"/>
  <c r="V126" i="7" s="1"/>
  <c r="V126" i="3" s="1"/>
  <c r="C284" i="8"/>
  <c r="V127" i="7" s="1"/>
  <c r="V127" i="3" s="1"/>
  <c r="C285" i="8"/>
  <c r="V128" i="7" s="1"/>
  <c r="V128" i="3" s="1"/>
  <c r="C286" i="8"/>
  <c r="V129" i="7" s="1"/>
  <c r="V129" i="3" s="1"/>
  <c r="C287" i="8"/>
  <c r="V130" i="7" s="1"/>
  <c r="V130" i="3" s="1"/>
  <c r="C288" i="8"/>
  <c r="V131" i="7" s="1"/>
  <c r="V131" i="3" s="1"/>
  <c r="C289" i="8"/>
  <c r="V132" i="7" s="1"/>
  <c r="V132" i="3" s="1"/>
  <c r="C290" i="8"/>
  <c r="V133" i="7" s="1"/>
  <c r="V133" i="3" s="1"/>
  <c r="C291" i="8"/>
  <c r="V134" i="7" s="1"/>
  <c r="V134" i="3" s="1"/>
  <c r="C292" i="8"/>
  <c r="V135" i="7" s="1"/>
  <c r="V135" i="3" s="1"/>
  <c r="C293" i="8"/>
  <c r="V136" i="7" s="1"/>
  <c r="V136" i="3" s="1"/>
  <c r="C294" i="8"/>
  <c r="V137" i="7" s="1"/>
  <c r="V137" i="3" s="1"/>
  <c r="AK9" i="8"/>
  <c r="AP252" i="8" s="1"/>
  <c r="AB371" i="7" s="1"/>
  <c r="AB371" i="3" s="1"/>
  <c r="AJ9" i="8"/>
  <c r="W252" i="8" s="1"/>
  <c r="AB233" i="7" s="1"/>
  <c r="AB233" i="3" s="1"/>
  <c r="M279" i="7"/>
  <c r="M279" i="3" s="1"/>
  <c r="N279" i="7"/>
  <c r="N279" i="3" s="1"/>
  <c r="O279" i="7"/>
  <c r="O279" i="3" s="1"/>
  <c r="M280" i="7"/>
  <c r="M280" i="3" s="1"/>
  <c r="N280" i="7"/>
  <c r="N280" i="3" s="1"/>
  <c r="O280" i="7"/>
  <c r="O280" i="3" s="1"/>
  <c r="M281" i="7"/>
  <c r="M281" i="3" s="1"/>
  <c r="N281" i="7"/>
  <c r="N281" i="3" s="1"/>
  <c r="O281" i="7"/>
  <c r="O281" i="3" s="1"/>
  <c r="M282" i="7"/>
  <c r="M282" i="3" s="1"/>
  <c r="N282" i="7"/>
  <c r="N282" i="3" s="1"/>
  <c r="O282" i="7"/>
  <c r="O282" i="3" s="1"/>
  <c r="M283" i="7"/>
  <c r="M283" i="3" s="1"/>
  <c r="N283" i="7"/>
  <c r="N283" i="3" s="1"/>
  <c r="O283" i="7"/>
  <c r="O283" i="3" s="1"/>
  <c r="M284" i="7"/>
  <c r="M284" i="3" s="1"/>
  <c r="N284" i="7"/>
  <c r="N284" i="3" s="1"/>
  <c r="O284" i="7"/>
  <c r="O284" i="3" s="1"/>
  <c r="M285" i="7"/>
  <c r="M285" i="3" s="1"/>
  <c r="N285" i="7"/>
  <c r="N285" i="3" s="1"/>
  <c r="O285" i="7"/>
  <c r="O285" i="3" s="1"/>
  <c r="M286" i="7"/>
  <c r="M286" i="3" s="1"/>
  <c r="N286" i="7"/>
  <c r="N286" i="3" s="1"/>
  <c r="O286" i="7"/>
  <c r="O286" i="3" s="1"/>
  <c r="M287" i="7"/>
  <c r="M287" i="3" s="1"/>
  <c r="N287" i="7"/>
  <c r="N287" i="3" s="1"/>
  <c r="O287" i="7"/>
  <c r="O287" i="3" s="1"/>
  <c r="M288" i="7"/>
  <c r="M288" i="3" s="1"/>
  <c r="N288" i="7"/>
  <c r="N288" i="3" s="1"/>
  <c r="O288" i="7"/>
  <c r="O288" i="3" s="1"/>
  <c r="M289" i="7"/>
  <c r="M289" i="3" s="1"/>
  <c r="N289" i="7"/>
  <c r="N289" i="3" s="1"/>
  <c r="O289" i="7"/>
  <c r="O289" i="3" s="1"/>
  <c r="M290" i="7"/>
  <c r="M290" i="3" s="1"/>
  <c r="N290" i="7"/>
  <c r="N290" i="3" s="1"/>
  <c r="O290" i="7"/>
  <c r="O290" i="3" s="1"/>
  <c r="M291" i="7"/>
  <c r="M291" i="3" s="1"/>
  <c r="N291" i="7"/>
  <c r="N291" i="3" s="1"/>
  <c r="O291" i="7"/>
  <c r="O291" i="3" s="1"/>
  <c r="M292" i="7"/>
  <c r="M292" i="3" s="1"/>
  <c r="N292" i="7"/>
  <c r="N292" i="3" s="1"/>
  <c r="O292" i="7"/>
  <c r="O292" i="3" s="1"/>
  <c r="M293" i="7"/>
  <c r="M293" i="3" s="1"/>
  <c r="N293" i="7"/>
  <c r="N293" i="3" s="1"/>
  <c r="O293" i="7"/>
  <c r="O293" i="3" s="1"/>
  <c r="M294" i="7"/>
  <c r="M294" i="3" s="1"/>
  <c r="N294" i="7"/>
  <c r="N294" i="3" s="1"/>
  <c r="O294" i="7"/>
  <c r="O294" i="3" s="1"/>
  <c r="M295" i="7"/>
  <c r="M295" i="3" s="1"/>
  <c r="N295" i="7"/>
  <c r="N295" i="3" s="1"/>
  <c r="O295" i="7"/>
  <c r="O295" i="3" s="1"/>
  <c r="M296" i="7"/>
  <c r="M296" i="3" s="1"/>
  <c r="N296" i="7"/>
  <c r="N296" i="3" s="1"/>
  <c r="O296" i="7"/>
  <c r="O296" i="3" s="1"/>
  <c r="M297" i="7"/>
  <c r="M297" i="3" s="1"/>
  <c r="N297" i="7"/>
  <c r="N297" i="3" s="1"/>
  <c r="O297" i="7"/>
  <c r="O297" i="3" s="1"/>
  <c r="M298" i="7"/>
  <c r="M298" i="3" s="1"/>
  <c r="N298" i="7"/>
  <c r="N298" i="3" s="1"/>
  <c r="O298" i="7"/>
  <c r="O298" i="3" s="1"/>
  <c r="M299" i="7"/>
  <c r="M299" i="3" s="1"/>
  <c r="N299" i="7"/>
  <c r="N299" i="3" s="1"/>
  <c r="O299" i="7"/>
  <c r="O299" i="3" s="1"/>
  <c r="M300" i="7"/>
  <c r="M300" i="3" s="1"/>
  <c r="N300" i="7"/>
  <c r="N300" i="3" s="1"/>
  <c r="O300" i="7"/>
  <c r="O300" i="3" s="1"/>
  <c r="M301" i="7"/>
  <c r="M301" i="3" s="1"/>
  <c r="N301" i="7"/>
  <c r="N301" i="3" s="1"/>
  <c r="O301" i="7"/>
  <c r="O301" i="3" s="1"/>
  <c r="M302" i="7"/>
  <c r="M302" i="3" s="1"/>
  <c r="N302" i="7"/>
  <c r="N302" i="3" s="1"/>
  <c r="O302" i="7"/>
  <c r="O302" i="3" s="1"/>
  <c r="M303" i="7"/>
  <c r="M303" i="3" s="1"/>
  <c r="N303" i="7"/>
  <c r="N303" i="3" s="1"/>
  <c r="O303" i="7"/>
  <c r="O303" i="3" s="1"/>
  <c r="M304" i="7"/>
  <c r="M304" i="3" s="1"/>
  <c r="N304" i="7"/>
  <c r="N304" i="3" s="1"/>
  <c r="O304" i="7"/>
  <c r="O304" i="3" s="1"/>
  <c r="M305" i="7"/>
  <c r="M305" i="3" s="1"/>
  <c r="N305" i="7"/>
  <c r="N305" i="3" s="1"/>
  <c r="O305" i="7"/>
  <c r="O305" i="3" s="1"/>
  <c r="M306" i="7"/>
  <c r="M306" i="3" s="1"/>
  <c r="N306" i="7"/>
  <c r="N306" i="3" s="1"/>
  <c r="O306" i="7"/>
  <c r="O306" i="3" s="1"/>
  <c r="M307" i="7"/>
  <c r="M307" i="3" s="1"/>
  <c r="N307" i="7"/>
  <c r="N307" i="3" s="1"/>
  <c r="O307" i="7"/>
  <c r="O307" i="3" s="1"/>
  <c r="M308" i="7"/>
  <c r="M308" i="3" s="1"/>
  <c r="N308" i="7"/>
  <c r="N308" i="3" s="1"/>
  <c r="O308" i="7"/>
  <c r="O308" i="3" s="1"/>
  <c r="M309" i="7"/>
  <c r="M309" i="3" s="1"/>
  <c r="N309" i="7"/>
  <c r="N309" i="3" s="1"/>
  <c r="O309" i="7"/>
  <c r="O309" i="3" s="1"/>
  <c r="M310" i="7"/>
  <c r="M310" i="3" s="1"/>
  <c r="N310" i="7"/>
  <c r="N310" i="3" s="1"/>
  <c r="O310" i="7"/>
  <c r="O310" i="3" s="1"/>
  <c r="M311" i="7"/>
  <c r="M311" i="3" s="1"/>
  <c r="N311" i="7"/>
  <c r="O311" i="7"/>
  <c r="O311" i="3" s="1"/>
  <c r="M312" i="7"/>
  <c r="M312" i="3" s="1"/>
  <c r="N312" i="7"/>
  <c r="N312" i="3" s="1"/>
  <c r="O312" i="7"/>
  <c r="O312" i="3" s="1"/>
  <c r="M313" i="7"/>
  <c r="M313" i="3" s="1"/>
  <c r="N313" i="7"/>
  <c r="N313" i="3" s="1"/>
  <c r="O313" i="7"/>
  <c r="O313" i="3" s="1"/>
  <c r="M314" i="7"/>
  <c r="M314" i="3" s="1"/>
  <c r="N314" i="7"/>
  <c r="N314" i="3" s="1"/>
  <c r="O314" i="7"/>
  <c r="O314" i="3" s="1"/>
  <c r="M315" i="7"/>
  <c r="M315" i="3" s="1"/>
  <c r="N315" i="7"/>
  <c r="N315" i="3" s="1"/>
  <c r="O315" i="7"/>
  <c r="O315" i="3" s="1"/>
  <c r="M316" i="7"/>
  <c r="M316" i="3" s="1"/>
  <c r="N316" i="7"/>
  <c r="N316" i="3" s="1"/>
  <c r="O316" i="7"/>
  <c r="O316" i="3" s="1"/>
  <c r="M317" i="7"/>
  <c r="M317" i="3" s="1"/>
  <c r="N317" i="7"/>
  <c r="N317" i="3" s="1"/>
  <c r="O317" i="7"/>
  <c r="O317" i="3" s="1"/>
  <c r="M318" i="7"/>
  <c r="M318" i="3" s="1"/>
  <c r="N318" i="7"/>
  <c r="N318" i="3" s="1"/>
  <c r="O318" i="7"/>
  <c r="O318" i="3" s="1"/>
  <c r="M319" i="7"/>
  <c r="M319" i="3" s="1"/>
  <c r="N319" i="7"/>
  <c r="N319" i="3" s="1"/>
  <c r="O319" i="7"/>
  <c r="O319" i="3" s="1"/>
  <c r="M320" i="7"/>
  <c r="M320" i="3" s="1"/>
  <c r="N320" i="7"/>
  <c r="N320" i="3" s="1"/>
  <c r="O320" i="7"/>
  <c r="O320" i="3" s="1"/>
  <c r="M321" i="7"/>
  <c r="M321" i="3" s="1"/>
  <c r="N321" i="7"/>
  <c r="N321" i="3" s="1"/>
  <c r="O321" i="7"/>
  <c r="O321" i="3" s="1"/>
  <c r="M322" i="7"/>
  <c r="M322" i="3" s="1"/>
  <c r="N322" i="7"/>
  <c r="N322" i="3" s="1"/>
  <c r="O322" i="7"/>
  <c r="O322" i="3" s="1"/>
  <c r="M323" i="7"/>
  <c r="M323" i="3" s="1"/>
  <c r="N323" i="7"/>
  <c r="N323" i="3" s="1"/>
  <c r="O323" i="7"/>
  <c r="O323" i="3" s="1"/>
  <c r="M324" i="7"/>
  <c r="M324" i="3" s="1"/>
  <c r="N324" i="7"/>
  <c r="N324" i="3" s="1"/>
  <c r="O324" i="7"/>
  <c r="O324" i="3" s="1"/>
  <c r="M325" i="7"/>
  <c r="M325" i="3" s="1"/>
  <c r="N325" i="7"/>
  <c r="N325" i="3" s="1"/>
  <c r="O325" i="7"/>
  <c r="O325" i="3" s="1"/>
  <c r="M326" i="7"/>
  <c r="M326" i="3" s="1"/>
  <c r="N326" i="7"/>
  <c r="N326" i="3" s="1"/>
  <c r="O326" i="7"/>
  <c r="O326" i="3" s="1"/>
  <c r="M327" i="7"/>
  <c r="M327" i="3" s="1"/>
  <c r="N327" i="7"/>
  <c r="N327" i="3" s="1"/>
  <c r="O327" i="7"/>
  <c r="O327" i="3" s="1"/>
  <c r="M328" i="7"/>
  <c r="M328" i="3" s="1"/>
  <c r="N328" i="7"/>
  <c r="N328" i="3" s="1"/>
  <c r="O328" i="7"/>
  <c r="O328" i="3" s="1"/>
  <c r="M329" i="7"/>
  <c r="M329" i="3" s="1"/>
  <c r="N329" i="7"/>
  <c r="N329" i="3" s="1"/>
  <c r="O329" i="7"/>
  <c r="O329" i="3" s="1"/>
  <c r="M330" i="7"/>
  <c r="M330" i="3" s="1"/>
  <c r="N330" i="7"/>
  <c r="N330" i="3" s="1"/>
  <c r="O330" i="7"/>
  <c r="O330" i="3" s="1"/>
  <c r="M331" i="7"/>
  <c r="M331" i="3" s="1"/>
  <c r="N331" i="7"/>
  <c r="N331" i="3" s="1"/>
  <c r="O331" i="7"/>
  <c r="O331" i="3" s="1"/>
  <c r="M332" i="7"/>
  <c r="M332" i="3" s="1"/>
  <c r="N332" i="7"/>
  <c r="N332" i="3" s="1"/>
  <c r="O332" i="7"/>
  <c r="O332" i="3" s="1"/>
  <c r="M333" i="7"/>
  <c r="M333" i="3" s="1"/>
  <c r="N333" i="7"/>
  <c r="N333" i="3" s="1"/>
  <c r="O333" i="7"/>
  <c r="O333" i="3" s="1"/>
  <c r="M334" i="7"/>
  <c r="M334" i="3" s="1"/>
  <c r="N334" i="7"/>
  <c r="N334" i="3" s="1"/>
  <c r="O334" i="7"/>
  <c r="O334" i="3" s="1"/>
  <c r="M335" i="7"/>
  <c r="M335" i="3" s="1"/>
  <c r="N335" i="7"/>
  <c r="N335" i="3" s="1"/>
  <c r="O335" i="7"/>
  <c r="O335" i="3" s="1"/>
  <c r="M336" i="7"/>
  <c r="M336" i="3" s="1"/>
  <c r="N336" i="7"/>
  <c r="N336" i="3" s="1"/>
  <c r="O336" i="7"/>
  <c r="O336" i="3" s="1"/>
  <c r="M337" i="7"/>
  <c r="M337" i="3" s="1"/>
  <c r="N337" i="7"/>
  <c r="N337" i="3" s="1"/>
  <c r="O337" i="7"/>
  <c r="O337" i="3" s="1"/>
  <c r="M338" i="7"/>
  <c r="M338" i="3" s="1"/>
  <c r="N338" i="7"/>
  <c r="N338" i="3" s="1"/>
  <c r="O338" i="7"/>
  <c r="O338" i="3" s="1"/>
  <c r="M339" i="7"/>
  <c r="M339" i="3" s="1"/>
  <c r="N339" i="7"/>
  <c r="N339" i="3" s="1"/>
  <c r="O339" i="7"/>
  <c r="O339" i="3" s="1"/>
  <c r="M340" i="7"/>
  <c r="M340" i="3" s="1"/>
  <c r="N340" i="7"/>
  <c r="N340" i="3" s="1"/>
  <c r="O340" i="7"/>
  <c r="O340" i="3" s="1"/>
  <c r="M341" i="7"/>
  <c r="M341" i="3" s="1"/>
  <c r="N341" i="7"/>
  <c r="N341" i="3" s="1"/>
  <c r="O341" i="7"/>
  <c r="O341" i="3" s="1"/>
  <c r="M342" i="7"/>
  <c r="M342" i="3" s="1"/>
  <c r="N342" i="7"/>
  <c r="N342" i="3" s="1"/>
  <c r="O342" i="7"/>
  <c r="O342" i="3" s="1"/>
  <c r="M343" i="7"/>
  <c r="M343" i="3" s="1"/>
  <c r="N343" i="7"/>
  <c r="N343" i="3" s="1"/>
  <c r="O343" i="7"/>
  <c r="O343" i="3" s="1"/>
  <c r="M344" i="7"/>
  <c r="M344" i="3" s="1"/>
  <c r="N344" i="7"/>
  <c r="N344" i="3" s="1"/>
  <c r="O344" i="7"/>
  <c r="O344" i="3" s="1"/>
  <c r="M345" i="7"/>
  <c r="M345" i="3" s="1"/>
  <c r="N345" i="7"/>
  <c r="N345" i="3" s="1"/>
  <c r="O345" i="7"/>
  <c r="O345" i="3" s="1"/>
  <c r="M346" i="7"/>
  <c r="M346" i="3" s="1"/>
  <c r="N346" i="7"/>
  <c r="N346" i="3" s="1"/>
  <c r="O346" i="7"/>
  <c r="O346" i="3" s="1"/>
  <c r="M347" i="7"/>
  <c r="M347" i="3" s="1"/>
  <c r="N347" i="7"/>
  <c r="N347" i="3" s="1"/>
  <c r="O347" i="7"/>
  <c r="O347" i="3" s="1"/>
  <c r="M348" i="7"/>
  <c r="M348" i="3" s="1"/>
  <c r="N348" i="7"/>
  <c r="N348" i="3" s="1"/>
  <c r="O348" i="7"/>
  <c r="O348" i="3" s="1"/>
  <c r="M349" i="7"/>
  <c r="M349" i="3" s="1"/>
  <c r="N349" i="7"/>
  <c r="N349" i="3" s="1"/>
  <c r="O349" i="7"/>
  <c r="O349" i="3" s="1"/>
  <c r="M350" i="7"/>
  <c r="M350" i="3" s="1"/>
  <c r="N350" i="7"/>
  <c r="N350" i="3" s="1"/>
  <c r="O350" i="7"/>
  <c r="O350" i="3" s="1"/>
  <c r="M351" i="7"/>
  <c r="M351" i="3" s="1"/>
  <c r="N351" i="7"/>
  <c r="N351" i="3" s="1"/>
  <c r="O351" i="7"/>
  <c r="O351" i="3" s="1"/>
  <c r="M352" i="7"/>
  <c r="M352" i="3" s="1"/>
  <c r="N352" i="7"/>
  <c r="N352" i="3" s="1"/>
  <c r="O352" i="7"/>
  <c r="O352" i="3" s="1"/>
  <c r="M353" i="7"/>
  <c r="M353" i="3" s="1"/>
  <c r="N353" i="7"/>
  <c r="O353" i="7"/>
  <c r="O353" i="3" s="1"/>
  <c r="M354" i="7"/>
  <c r="M354" i="3" s="1"/>
  <c r="N354" i="7"/>
  <c r="N354" i="3" s="1"/>
  <c r="O354" i="7"/>
  <c r="O354" i="3" s="1"/>
  <c r="M355" i="7"/>
  <c r="M355" i="3" s="1"/>
  <c r="N355" i="7"/>
  <c r="N355" i="3" s="1"/>
  <c r="O355" i="7"/>
  <c r="O355" i="3" s="1"/>
  <c r="M356" i="7"/>
  <c r="M356" i="3" s="1"/>
  <c r="N356" i="7"/>
  <c r="N356" i="3" s="1"/>
  <c r="O356" i="7"/>
  <c r="O356" i="3" s="1"/>
  <c r="M357" i="7"/>
  <c r="M357" i="3" s="1"/>
  <c r="N357" i="7"/>
  <c r="N357" i="3" s="1"/>
  <c r="O357" i="7"/>
  <c r="O357" i="3" s="1"/>
  <c r="M358" i="7"/>
  <c r="M358" i="3" s="1"/>
  <c r="N358" i="7"/>
  <c r="N358" i="3" s="1"/>
  <c r="O358" i="7"/>
  <c r="O358" i="3" s="1"/>
  <c r="M359" i="7"/>
  <c r="M359" i="3" s="1"/>
  <c r="N359" i="7"/>
  <c r="N359" i="3" s="1"/>
  <c r="O359" i="7"/>
  <c r="O359" i="3" s="1"/>
  <c r="M360" i="7"/>
  <c r="M360" i="3" s="1"/>
  <c r="N360" i="7"/>
  <c r="N360" i="3" s="1"/>
  <c r="O360" i="7"/>
  <c r="O360" i="3" s="1"/>
  <c r="M361" i="7"/>
  <c r="M361" i="3" s="1"/>
  <c r="N361" i="7"/>
  <c r="N361" i="3" s="1"/>
  <c r="O361" i="7"/>
  <c r="O361" i="3" s="1"/>
  <c r="M362" i="7"/>
  <c r="M362" i="3" s="1"/>
  <c r="N362" i="7"/>
  <c r="N362" i="3" s="1"/>
  <c r="O362" i="7"/>
  <c r="O362" i="3" s="1"/>
  <c r="M363" i="7"/>
  <c r="M363" i="3" s="1"/>
  <c r="N363" i="7"/>
  <c r="N363" i="3" s="1"/>
  <c r="O363" i="7"/>
  <c r="O363" i="3" s="1"/>
  <c r="M364" i="7"/>
  <c r="M364" i="3" s="1"/>
  <c r="N364" i="7"/>
  <c r="N364" i="3" s="1"/>
  <c r="O364" i="7"/>
  <c r="O364" i="3" s="1"/>
  <c r="M365" i="7"/>
  <c r="M365" i="3" s="1"/>
  <c r="N365" i="7"/>
  <c r="O365" i="7"/>
  <c r="O365" i="3" s="1"/>
  <c r="M366" i="7"/>
  <c r="M366" i="3" s="1"/>
  <c r="N366" i="7"/>
  <c r="N366" i="3" s="1"/>
  <c r="O366" i="7"/>
  <c r="O366" i="3" s="1"/>
  <c r="M367" i="7"/>
  <c r="M367" i="3" s="1"/>
  <c r="N367" i="7"/>
  <c r="N367" i="3" s="1"/>
  <c r="O367" i="7"/>
  <c r="O367" i="3" s="1"/>
  <c r="M368" i="7"/>
  <c r="M368" i="3" s="1"/>
  <c r="N368" i="7"/>
  <c r="N368" i="3" s="1"/>
  <c r="O368" i="7"/>
  <c r="O368" i="3" s="1"/>
  <c r="M369" i="7"/>
  <c r="M369" i="3" s="1"/>
  <c r="N369" i="7"/>
  <c r="N369" i="3" s="1"/>
  <c r="O369" i="7"/>
  <c r="O369" i="3" s="1"/>
  <c r="M370" i="7"/>
  <c r="M370" i="3" s="1"/>
  <c r="N370" i="7"/>
  <c r="N370" i="3" s="1"/>
  <c r="O370" i="7"/>
  <c r="O370" i="3" s="1"/>
  <c r="M371" i="7"/>
  <c r="M371" i="3" s="1"/>
  <c r="N371" i="7"/>
  <c r="N371" i="3" s="1"/>
  <c r="O371" i="7"/>
  <c r="O371" i="3" s="1"/>
  <c r="M372" i="7"/>
  <c r="N372" i="7"/>
  <c r="O372" i="7"/>
  <c r="O372" i="3" s="1"/>
  <c r="M373" i="7"/>
  <c r="M373" i="3" s="1"/>
  <c r="N373" i="7"/>
  <c r="N373" i="3" s="1"/>
  <c r="O373" i="7"/>
  <c r="O373" i="3" s="1"/>
  <c r="M374" i="7"/>
  <c r="M374" i="3" s="1"/>
  <c r="N374" i="7"/>
  <c r="N374" i="3" s="1"/>
  <c r="O374" i="7"/>
  <c r="O374" i="3" s="1"/>
  <c r="M375" i="7"/>
  <c r="M375" i="3" s="1"/>
  <c r="N375" i="7"/>
  <c r="N375" i="3" s="1"/>
  <c r="O375" i="7"/>
  <c r="O375" i="3" s="1"/>
  <c r="M376" i="7"/>
  <c r="M376" i="3" s="1"/>
  <c r="N376" i="7"/>
  <c r="N376" i="3" s="1"/>
  <c r="O376" i="7"/>
  <c r="O376" i="3" s="1"/>
  <c r="M377" i="7"/>
  <c r="M377" i="3" s="1"/>
  <c r="N377" i="7"/>
  <c r="N377" i="3" s="1"/>
  <c r="O377" i="7"/>
  <c r="O377" i="3" s="1"/>
  <c r="M378" i="7"/>
  <c r="M378" i="3" s="1"/>
  <c r="N378" i="7"/>
  <c r="N378" i="3" s="1"/>
  <c r="O378" i="7"/>
  <c r="O378" i="3" s="1"/>
  <c r="M379" i="7"/>
  <c r="M379" i="3" s="1"/>
  <c r="N379" i="7"/>
  <c r="N379" i="3" s="1"/>
  <c r="O379" i="7"/>
  <c r="O379" i="3" s="1"/>
  <c r="M380" i="7"/>
  <c r="M380" i="3" s="1"/>
  <c r="N380" i="7"/>
  <c r="N380" i="3" s="1"/>
  <c r="O380" i="7"/>
  <c r="O380" i="3" s="1"/>
  <c r="M381" i="7"/>
  <c r="M381" i="3" s="1"/>
  <c r="N381" i="7"/>
  <c r="N381" i="3" s="1"/>
  <c r="O381" i="7"/>
  <c r="O381" i="3" s="1"/>
  <c r="M382" i="7"/>
  <c r="M382" i="3" s="1"/>
  <c r="N382" i="7"/>
  <c r="N382" i="3" s="1"/>
  <c r="O382" i="7"/>
  <c r="O382" i="3" s="1"/>
  <c r="M383" i="7"/>
  <c r="M383" i="3" s="1"/>
  <c r="N383" i="7"/>
  <c r="O383" i="7"/>
  <c r="O383" i="3" s="1"/>
  <c r="M384" i="7"/>
  <c r="M384" i="3" s="1"/>
  <c r="N384" i="7"/>
  <c r="N384" i="3" s="1"/>
  <c r="O384" i="7"/>
  <c r="O384" i="3" s="1"/>
  <c r="M385" i="7"/>
  <c r="M385" i="3" s="1"/>
  <c r="N385" i="7"/>
  <c r="N385" i="3" s="1"/>
  <c r="O385" i="7"/>
  <c r="O385" i="3" s="1"/>
  <c r="M386" i="7"/>
  <c r="M386" i="3" s="1"/>
  <c r="N386" i="7"/>
  <c r="N386" i="3" s="1"/>
  <c r="O386" i="7"/>
  <c r="O386" i="3" s="1"/>
  <c r="M387" i="7"/>
  <c r="M387" i="3" s="1"/>
  <c r="N387" i="7"/>
  <c r="N387" i="3" s="1"/>
  <c r="O387" i="7"/>
  <c r="O387" i="3" s="1"/>
  <c r="M388" i="7"/>
  <c r="M388" i="3" s="1"/>
  <c r="N388" i="7"/>
  <c r="N388" i="3" s="1"/>
  <c r="O388" i="7"/>
  <c r="O388" i="3" s="1"/>
  <c r="M389" i="7"/>
  <c r="M389" i="3" s="1"/>
  <c r="N389" i="7"/>
  <c r="N389" i="3" s="1"/>
  <c r="O389" i="7"/>
  <c r="O389" i="3" s="1"/>
  <c r="M390" i="7"/>
  <c r="M390" i="3" s="1"/>
  <c r="N390" i="7"/>
  <c r="N390" i="3" s="1"/>
  <c r="O390" i="7"/>
  <c r="O390" i="3" s="1"/>
  <c r="M391" i="7"/>
  <c r="M391" i="3" s="1"/>
  <c r="N391" i="7"/>
  <c r="N391" i="3" s="1"/>
  <c r="O391" i="7"/>
  <c r="O391" i="3" s="1"/>
  <c r="M392" i="7"/>
  <c r="M392" i="3" s="1"/>
  <c r="N392" i="7"/>
  <c r="N392" i="3" s="1"/>
  <c r="O392" i="7"/>
  <c r="O392" i="3" s="1"/>
  <c r="M393" i="7"/>
  <c r="M393" i="3" s="1"/>
  <c r="N393" i="7"/>
  <c r="N393" i="3" s="1"/>
  <c r="O393" i="7"/>
  <c r="O393" i="3" s="1"/>
  <c r="M394" i="7"/>
  <c r="M394" i="3" s="1"/>
  <c r="N394" i="7"/>
  <c r="N394" i="3" s="1"/>
  <c r="O394" i="7"/>
  <c r="O394" i="3" s="1"/>
  <c r="M395" i="7"/>
  <c r="M395" i="3" s="1"/>
  <c r="N395" i="7"/>
  <c r="N395" i="3" s="1"/>
  <c r="O395" i="7"/>
  <c r="O395" i="3" s="1"/>
  <c r="M396" i="7"/>
  <c r="M396" i="3" s="1"/>
  <c r="N396" i="7"/>
  <c r="N396" i="3" s="1"/>
  <c r="O396" i="7"/>
  <c r="O396" i="3" s="1"/>
  <c r="M397" i="7"/>
  <c r="M397" i="3" s="1"/>
  <c r="N397" i="7"/>
  <c r="N397" i="3" s="1"/>
  <c r="O397" i="7"/>
  <c r="O397" i="3" s="1"/>
  <c r="M398" i="7"/>
  <c r="M398" i="3" s="1"/>
  <c r="N398" i="7"/>
  <c r="N398" i="3" s="1"/>
  <c r="O398" i="7"/>
  <c r="O398" i="3" s="1"/>
  <c r="M399" i="7"/>
  <c r="M399" i="3" s="1"/>
  <c r="N399" i="7"/>
  <c r="N399" i="3" s="1"/>
  <c r="O399" i="7"/>
  <c r="O399" i="3" s="1"/>
  <c r="M400" i="7"/>
  <c r="M400" i="3" s="1"/>
  <c r="N400" i="7"/>
  <c r="N400" i="3" s="1"/>
  <c r="O400" i="7"/>
  <c r="O400" i="3" s="1"/>
  <c r="M401" i="7"/>
  <c r="M401" i="3" s="1"/>
  <c r="N401" i="7"/>
  <c r="N401" i="3" s="1"/>
  <c r="O401" i="7"/>
  <c r="O401" i="3" s="1"/>
  <c r="M402" i="7"/>
  <c r="M402" i="3" s="1"/>
  <c r="N402" i="7"/>
  <c r="N402" i="3" s="1"/>
  <c r="O402" i="7"/>
  <c r="O402" i="3" s="1"/>
  <c r="M403" i="7"/>
  <c r="M403" i="3" s="1"/>
  <c r="N403" i="7"/>
  <c r="N403" i="3" s="1"/>
  <c r="O403" i="7"/>
  <c r="O403" i="3" s="1"/>
  <c r="M404" i="7"/>
  <c r="M404" i="3" s="1"/>
  <c r="N404" i="7"/>
  <c r="O404" i="7"/>
  <c r="O404" i="3" s="1"/>
  <c r="M405" i="7"/>
  <c r="M405" i="3" s="1"/>
  <c r="N405" i="7"/>
  <c r="N405" i="3" s="1"/>
  <c r="O405" i="7"/>
  <c r="O405" i="3" s="1"/>
  <c r="M406" i="7"/>
  <c r="M406" i="3" s="1"/>
  <c r="N406" i="7"/>
  <c r="N406" i="3" s="1"/>
  <c r="O406" i="7"/>
  <c r="O406" i="3" s="1"/>
  <c r="M407" i="7"/>
  <c r="M407" i="3" s="1"/>
  <c r="N407" i="7"/>
  <c r="N407" i="3" s="1"/>
  <c r="O407" i="7"/>
  <c r="O407" i="3" s="1"/>
  <c r="M408" i="7"/>
  <c r="M408" i="3" s="1"/>
  <c r="N408" i="7"/>
  <c r="N408" i="3" s="1"/>
  <c r="O408" i="7"/>
  <c r="O408" i="3" s="1"/>
  <c r="M409" i="7"/>
  <c r="M409" i="3" s="1"/>
  <c r="N409" i="7"/>
  <c r="N409" i="3" s="1"/>
  <c r="O409" i="7"/>
  <c r="O409" i="3" s="1"/>
  <c r="M410" i="7"/>
  <c r="M410" i="3" s="1"/>
  <c r="N410" i="7"/>
  <c r="N410" i="3" s="1"/>
  <c r="O410" i="7"/>
  <c r="O410" i="3" s="1"/>
  <c r="M411" i="7"/>
  <c r="M411" i="3" s="1"/>
  <c r="N411" i="7"/>
  <c r="N411" i="3" s="1"/>
  <c r="O411" i="7"/>
  <c r="O411" i="3" s="1"/>
  <c r="M412" i="7"/>
  <c r="M412" i="3" s="1"/>
  <c r="N412" i="7"/>
  <c r="N412" i="3" s="1"/>
  <c r="O412" i="7"/>
  <c r="O412" i="3" s="1"/>
  <c r="M413" i="7"/>
  <c r="M413" i="3" s="1"/>
  <c r="N413" i="7"/>
  <c r="N413" i="3" s="1"/>
  <c r="O413" i="7"/>
  <c r="O413" i="3" s="1"/>
  <c r="O278" i="7"/>
  <c r="O278" i="3" s="1"/>
  <c r="N278" i="7"/>
  <c r="N278" i="3" s="1"/>
  <c r="M278" i="7"/>
  <c r="M278" i="3" s="1"/>
  <c r="P140" i="7"/>
  <c r="P140" i="3" s="1"/>
  <c r="P141" i="7"/>
  <c r="P141" i="3" s="1"/>
  <c r="P142" i="7"/>
  <c r="P142" i="3" s="1"/>
  <c r="P143" i="7"/>
  <c r="P143" i="3" s="1"/>
  <c r="P144" i="7"/>
  <c r="P144" i="3" s="1"/>
  <c r="P145" i="7"/>
  <c r="P145" i="3" s="1"/>
  <c r="P146" i="7"/>
  <c r="P146" i="3" s="1"/>
  <c r="P147" i="7"/>
  <c r="P147" i="3" s="1"/>
  <c r="P148" i="7"/>
  <c r="P148" i="3" s="1"/>
  <c r="P149" i="7"/>
  <c r="P149" i="3" s="1"/>
  <c r="P150" i="7"/>
  <c r="P150" i="3" s="1"/>
  <c r="P151" i="7"/>
  <c r="P151" i="3" s="1"/>
  <c r="P152" i="7"/>
  <c r="P152" i="3" s="1"/>
  <c r="P153" i="7"/>
  <c r="P153" i="3" s="1"/>
  <c r="P154" i="7"/>
  <c r="P154" i="3" s="1"/>
  <c r="P155" i="7"/>
  <c r="P155" i="3" s="1"/>
  <c r="P156" i="7"/>
  <c r="P156" i="3" s="1"/>
  <c r="P157" i="7"/>
  <c r="P157" i="3" s="1"/>
  <c r="P158" i="7"/>
  <c r="P158" i="3" s="1"/>
  <c r="P159" i="7"/>
  <c r="P159" i="3" s="1"/>
  <c r="P160" i="7"/>
  <c r="P160" i="3" s="1"/>
  <c r="P161" i="7"/>
  <c r="P161" i="3" s="1"/>
  <c r="P162" i="7"/>
  <c r="P162" i="3" s="1"/>
  <c r="P163" i="7"/>
  <c r="P163" i="3" s="1"/>
  <c r="P164" i="7"/>
  <c r="P164" i="3" s="1"/>
  <c r="P165" i="7"/>
  <c r="P165" i="3" s="1"/>
  <c r="P166" i="7"/>
  <c r="P166" i="3" s="1"/>
  <c r="P167" i="7"/>
  <c r="P167" i="3" s="1"/>
  <c r="P168" i="7"/>
  <c r="P168" i="3" s="1"/>
  <c r="P169" i="7"/>
  <c r="P169" i="3" s="1"/>
  <c r="P170" i="7"/>
  <c r="P170" i="3" s="1"/>
  <c r="P171" i="7"/>
  <c r="P171" i="3" s="1"/>
  <c r="P172" i="7"/>
  <c r="P172" i="3" s="1"/>
  <c r="P173" i="7"/>
  <c r="P173" i="3" s="1"/>
  <c r="P174" i="7"/>
  <c r="P174" i="3" s="1"/>
  <c r="P175" i="7"/>
  <c r="P175" i="3" s="1"/>
  <c r="P176" i="7"/>
  <c r="P176" i="3" s="1"/>
  <c r="P177" i="7"/>
  <c r="P177" i="3" s="1"/>
  <c r="P178" i="7"/>
  <c r="P178" i="3" s="1"/>
  <c r="P179" i="7"/>
  <c r="P179" i="3" s="1"/>
  <c r="P180" i="7"/>
  <c r="P180" i="3" s="1"/>
  <c r="P181" i="7"/>
  <c r="P181" i="3" s="1"/>
  <c r="P182" i="7"/>
  <c r="P182" i="3" s="1"/>
  <c r="P183" i="7"/>
  <c r="P183" i="3" s="1"/>
  <c r="P184" i="7"/>
  <c r="P184" i="3" s="1"/>
  <c r="P185" i="7"/>
  <c r="P185" i="3" s="1"/>
  <c r="P186" i="7"/>
  <c r="P186" i="3" s="1"/>
  <c r="P187" i="7"/>
  <c r="P187" i="3" s="1"/>
  <c r="P188" i="7"/>
  <c r="P188" i="3" s="1"/>
  <c r="P189" i="7"/>
  <c r="P189" i="3" s="1"/>
  <c r="P190" i="7"/>
  <c r="P190" i="3" s="1"/>
  <c r="P191" i="7"/>
  <c r="P191" i="3" s="1"/>
  <c r="P192" i="7"/>
  <c r="P192" i="3" s="1"/>
  <c r="P193" i="7"/>
  <c r="P193" i="3" s="1"/>
  <c r="P194" i="7"/>
  <c r="P194" i="3" s="1"/>
  <c r="P195" i="7"/>
  <c r="P195" i="3" s="1"/>
  <c r="P196" i="7"/>
  <c r="P196" i="3" s="1"/>
  <c r="P197" i="7"/>
  <c r="P197" i="3" s="1"/>
  <c r="P198" i="7"/>
  <c r="P198" i="3" s="1"/>
  <c r="P199" i="7"/>
  <c r="P199" i="3" s="1"/>
  <c r="P200" i="7"/>
  <c r="P200" i="3" s="1"/>
  <c r="P201" i="7"/>
  <c r="P201" i="3" s="1"/>
  <c r="P202" i="7"/>
  <c r="P202" i="3" s="1"/>
  <c r="P203" i="7"/>
  <c r="P203" i="3" s="1"/>
  <c r="P204" i="7"/>
  <c r="P204" i="3" s="1"/>
  <c r="P205" i="7"/>
  <c r="P205" i="3" s="1"/>
  <c r="P206" i="7"/>
  <c r="P206" i="3" s="1"/>
  <c r="P207" i="7"/>
  <c r="P207" i="3" s="1"/>
  <c r="P208" i="7"/>
  <c r="P208" i="3" s="1"/>
  <c r="P209" i="7"/>
  <c r="P209" i="3" s="1"/>
  <c r="P210" i="7"/>
  <c r="P210" i="3" s="1"/>
  <c r="P211" i="7"/>
  <c r="P211" i="3" s="1"/>
  <c r="P212" i="7"/>
  <c r="P212" i="3" s="1"/>
  <c r="P213" i="7"/>
  <c r="P213" i="3" s="1"/>
  <c r="P214" i="7"/>
  <c r="P214" i="3" s="1"/>
  <c r="P215" i="7"/>
  <c r="P215" i="3" s="1"/>
  <c r="P216" i="7"/>
  <c r="P216" i="3" s="1"/>
  <c r="P217" i="7"/>
  <c r="P217" i="3" s="1"/>
  <c r="P218" i="7"/>
  <c r="P218" i="3" s="1"/>
  <c r="P219" i="7"/>
  <c r="P219" i="3" s="1"/>
  <c r="P220" i="7"/>
  <c r="P220" i="3" s="1"/>
  <c r="P221" i="7"/>
  <c r="P221" i="3" s="1"/>
  <c r="P222" i="7"/>
  <c r="P222" i="3" s="1"/>
  <c r="P223" i="7"/>
  <c r="P223" i="3" s="1"/>
  <c r="P224" i="7"/>
  <c r="P224" i="3" s="1"/>
  <c r="P225" i="7"/>
  <c r="P225" i="3" s="1"/>
  <c r="P226" i="7"/>
  <c r="P226" i="3" s="1"/>
  <c r="P227" i="7"/>
  <c r="P227" i="3" s="1"/>
  <c r="P228" i="7"/>
  <c r="P228" i="3" s="1"/>
  <c r="P229" i="7"/>
  <c r="P229" i="3" s="1"/>
  <c r="P230" i="7"/>
  <c r="P230" i="3" s="1"/>
  <c r="P231" i="7"/>
  <c r="P231" i="3" s="1"/>
  <c r="P232" i="7"/>
  <c r="P232" i="3" s="1"/>
  <c r="P233" i="7"/>
  <c r="P233" i="3" s="1"/>
  <c r="P234" i="7"/>
  <c r="P234" i="3" s="1"/>
  <c r="P235" i="7"/>
  <c r="P235" i="3" s="1"/>
  <c r="P236" i="7"/>
  <c r="P236" i="3" s="1"/>
  <c r="P237" i="7"/>
  <c r="P237" i="3" s="1"/>
  <c r="P238" i="7"/>
  <c r="P238" i="3" s="1"/>
  <c r="P239" i="7"/>
  <c r="P239" i="3" s="1"/>
  <c r="P240" i="7"/>
  <c r="P240" i="3" s="1"/>
  <c r="P241" i="7"/>
  <c r="P241" i="3" s="1"/>
  <c r="P242" i="7"/>
  <c r="P242" i="3" s="1"/>
  <c r="P243" i="7"/>
  <c r="P243" i="3" s="1"/>
  <c r="P244" i="7"/>
  <c r="P244" i="3" s="1"/>
  <c r="P245" i="7"/>
  <c r="P245" i="3" s="1"/>
  <c r="P246" i="7"/>
  <c r="P246" i="3" s="1"/>
  <c r="P247" i="7"/>
  <c r="P247" i="3" s="1"/>
  <c r="P248" i="7"/>
  <c r="P248" i="3" s="1"/>
  <c r="P249" i="7"/>
  <c r="P249" i="3" s="1"/>
  <c r="P250" i="7"/>
  <c r="P250" i="3" s="1"/>
  <c r="P251" i="7"/>
  <c r="P251" i="3" s="1"/>
  <c r="P252" i="7"/>
  <c r="P252" i="3" s="1"/>
  <c r="P253" i="7"/>
  <c r="P253" i="3" s="1"/>
  <c r="P254" i="7"/>
  <c r="P254" i="3" s="1"/>
  <c r="P255" i="7"/>
  <c r="P255" i="3" s="1"/>
  <c r="P256" i="7"/>
  <c r="P256" i="3" s="1"/>
  <c r="P257" i="7"/>
  <c r="P257" i="3" s="1"/>
  <c r="P258" i="7"/>
  <c r="P258" i="3" s="1"/>
  <c r="P259" i="7"/>
  <c r="P259" i="3" s="1"/>
  <c r="P260" i="7"/>
  <c r="P260" i="3" s="1"/>
  <c r="P261" i="7"/>
  <c r="P261" i="3" s="1"/>
  <c r="P262" i="7"/>
  <c r="P262" i="3" s="1"/>
  <c r="P263" i="7"/>
  <c r="P263" i="3" s="1"/>
  <c r="P264" i="7"/>
  <c r="P264" i="3" s="1"/>
  <c r="P265" i="7"/>
  <c r="P265" i="3" s="1"/>
  <c r="P266" i="7"/>
  <c r="P266" i="3" s="1"/>
  <c r="P267" i="7"/>
  <c r="P267" i="3" s="1"/>
  <c r="P268" i="7"/>
  <c r="P268" i="3" s="1"/>
  <c r="P269" i="7"/>
  <c r="P269" i="3" s="1"/>
  <c r="P270" i="7"/>
  <c r="P270" i="3" s="1"/>
  <c r="P271" i="7"/>
  <c r="P271" i="3" s="1"/>
  <c r="P272" i="7"/>
  <c r="P272" i="3" s="1"/>
  <c r="P273" i="7"/>
  <c r="P273" i="3" s="1"/>
  <c r="P274" i="7"/>
  <c r="P274" i="3" s="1"/>
  <c r="P275" i="7"/>
  <c r="P275" i="3" s="1"/>
  <c r="O140" i="7"/>
  <c r="O140" i="3" s="1"/>
  <c r="O141" i="7"/>
  <c r="O141" i="3" s="1"/>
  <c r="O142" i="7"/>
  <c r="O142" i="3" s="1"/>
  <c r="O143" i="7"/>
  <c r="O143" i="3" s="1"/>
  <c r="O144" i="7"/>
  <c r="O144" i="3" s="1"/>
  <c r="O145" i="7"/>
  <c r="O145" i="3" s="1"/>
  <c r="O146" i="7"/>
  <c r="O146" i="3" s="1"/>
  <c r="O147" i="7"/>
  <c r="O147" i="3" s="1"/>
  <c r="O148" i="7"/>
  <c r="O148" i="3" s="1"/>
  <c r="O149" i="7"/>
  <c r="O149" i="3" s="1"/>
  <c r="O150" i="7"/>
  <c r="O150" i="3" s="1"/>
  <c r="O151" i="7"/>
  <c r="O151" i="3" s="1"/>
  <c r="O152" i="7"/>
  <c r="O152" i="3" s="1"/>
  <c r="O153" i="7"/>
  <c r="O153" i="3" s="1"/>
  <c r="O154" i="7"/>
  <c r="O154" i="3" s="1"/>
  <c r="O155" i="7"/>
  <c r="O155" i="3" s="1"/>
  <c r="O156" i="7"/>
  <c r="O156" i="3" s="1"/>
  <c r="O157" i="7"/>
  <c r="O157" i="3" s="1"/>
  <c r="O158" i="7"/>
  <c r="O158" i="3" s="1"/>
  <c r="O159" i="7"/>
  <c r="O159" i="3" s="1"/>
  <c r="O160" i="7"/>
  <c r="O160" i="3" s="1"/>
  <c r="O161" i="7"/>
  <c r="O161" i="3" s="1"/>
  <c r="O162" i="7"/>
  <c r="O162" i="3" s="1"/>
  <c r="O163" i="7"/>
  <c r="O163" i="3" s="1"/>
  <c r="O164" i="7"/>
  <c r="O164" i="3" s="1"/>
  <c r="O165" i="7"/>
  <c r="O165" i="3" s="1"/>
  <c r="O166" i="7"/>
  <c r="O166" i="3" s="1"/>
  <c r="O167" i="7"/>
  <c r="O167" i="3" s="1"/>
  <c r="O168" i="7"/>
  <c r="O168" i="3" s="1"/>
  <c r="O169" i="7"/>
  <c r="O169" i="3" s="1"/>
  <c r="O170" i="7"/>
  <c r="O170" i="3" s="1"/>
  <c r="O171" i="7"/>
  <c r="O171" i="3" s="1"/>
  <c r="O172" i="7"/>
  <c r="O172" i="3" s="1"/>
  <c r="O173" i="7"/>
  <c r="O173" i="3" s="1"/>
  <c r="O174" i="7"/>
  <c r="O174" i="3" s="1"/>
  <c r="O175" i="7"/>
  <c r="O175" i="3" s="1"/>
  <c r="O176" i="7"/>
  <c r="O176" i="3" s="1"/>
  <c r="O177" i="7"/>
  <c r="O177" i="3" s="1"/>
  <c r="O178" i="7"/>
  <c r="O178" i="3" s="1"/>
  <c r="O179" i="7"/>
  <c r="O179" i="3" s="1"/>
  <c r="O180" i="7"/>
  <c r="O180" i="3" s="1"/>
  <c r="O181" i="7"/>
  <c r="O181" i="3" s="1"/>
  <c r="O182" i="7"/>
  <c r="O182" i="3" s="1"/>
  <c r="O183" i="7"/>
  <c r="O183" i="3" s="1"/>
  <c r="O184" i="7"/>
  <c r="O184" i="3" s="1"/>
  <c r="O185" i="7"/>
  <c r="O185" i="3" s="1"/>
  <c r="O186" i="7"/>
  <c r="O186" i="3" s="1"/>
  <c r="O187" i="7"/>
  <c r="O187" i="3" s="1"/>
  <c r="O188" i="7"/>
  <c r="O188" i="3" s="1"/>
  <c r="O189" i="7"/>
  <c r="O189" i="3" s="1"/>
  <c r="O190" i="7"/>
  <c r="O190" i="3" s="1"/>
  <c r="O191" i="7"/>
  <c r="O191" i="3" s="1"/>
  <c r="O192" i="7"/>
  <c r="O192" i="3" s="1"/>
  <c r="O193" i="7"/>
  <c r="O193" i="3" s="1"/>
  <c r="O194" i="7"/>
  <c r="O194" i="3" s="1"/>
  <c r="O195" i="7"/>
  <c r="O195" i="3" s="1"/>
  <c r="O196" i="7"/>
  <c r="O196" i="3" s="1"/>
  <c r="O197" i="7"/>
  <c r="O197" i="3" s="1"/>
  <c r="O198" i="7"/>
  <c r="O198" i="3" s="1"/>
  <c r="O199" i="7"/>
  <c r="O199" i="3" s="1"/>
  <c r="O200" i="7"/>
  <c r="O200" i="3" s="1"/>
  <c r="O201" i="7"/>
  <c r="O201" i="3" s="1"/>
  <c r="O202" i="7"/>
  <c r="O202" i="3" s="1"/>
  <c r="O203" i="7"/>
  <c r="O203" i="3" s="1"/>
  <c r="O204" i="7"/>
  <c r="O204" i="3" s="1"/>
  <c r="O205" i="7"/>
  <c r="O205" i="3" s="1"/>
  <c r="O206" i="7"/>
  <c r="O206" i="3" s="1"/>
  <c r="O207" i="7"/>
  <c r="O207" i="3" s="1"/>
  <c r="O208" i="7"/>
  <c r="O208" i="3" s="1"/>
  <c r="O209" i="7"/>
  <c r="O209" i="3" s="1"/>
  <c r="O210" i="7"/>
  <c r="O210" i="3" s="1"/>
  <c r="O211" i="7"/>
  <c r="O211" i="3" s="1"/>
  <c r="O212" i="7"/>
  <c r="O212" i="3" s="1"/>
  <c r="O213" i="7"/>
  <c r="O213" i="3" s="1"/>
  <c r="O214" i="7"/>
  <c r="O214" i="3" s="1"/>
  <c r="O215" i="7"/>
  <c r="O215" i="3" s="1"/>
  <c r="O216" i="7"/>
  <c r="O216" i="3" s="1"/>
  <c r="O217" i="7"/>
  <c r="O217" i="3" s="1"/>
  <c r="O218" i="7"/>
  <c r="O218" i="3" s="1"/>
  <c r="O219" i="7"/>
  <c r="O219" i="3" s="1"/>
  <c r="O220" i="7"/>
  <c r="O220" i="3" s="1"/>
  <c r="O221" i="7"/>
  <c r="O221" i="3" s="1"/>
  <c r="O222" i="7"/>
  <c r="O222" i="3" s="1"/>
  <c r="O223" i="7"/>
  <c r="O223" i="3" s="1"/>
  <c r="O224" i="7"/>
  <c r="O224" i="3" s="1"/>
  <c r="O225" i="7"/>
  <c r="O225" i="3" s="1"/>
  <c r="O226" i="7"/>
  <c r="O226" i="3" s="1"/>
  <c r="O227" i="7"/>
  <c r="O227" i="3" s="1"/>
  <c r="O228" i="7"/>
  <c r="O228" i="3" s="1"/>
  <c r="O229" i="7"/>
  <c r="O229" i="3" s="1"/>
  <c r="O230" i="7"/>
  <c r="O230" i="3" s="1"/>
  <c r="O231" i="7"/>
  <c r="O231" i="3" s="1"/>
  <c r="O232" i="7"/>
  <c r="O232" i="3" s="1"/>
  <c r="O233" i="7"/>
  <c r="O233" i="3" s="1"/>
  <c r="O234" i="7"/>
  <c r="O234" i="3" s="1"/>
  <c r="O235" i="7"/>
  <c r="O235" i="3" s="1"/>
  <c r="O236" i="7"/>
  <c r="O236" i="3" s="1"/>
  <c r="O237" i="7"/>
  <c r="O237" i="3" s="1"/>
  <c r="O238" i="7"/>
  <c r="O238" i="3" s="1"/>
  <c r="O239" i="7"/>
  <c r="O239" i="3" s="1"/>
  <c r="O240" i="7"/>
  <c r="O240" i="3" s="1"/>
  <c r="O241" i="7"/>
  <c r="O241" i="3" s="1"/>
  <c r="O242" i="7"/>
  <c r="O242" i="3" s="1"/>
  <c r="O243" i="7"/>
  <c r="O243" i="3" s="1"/>
  <c r="O244" i="7"/>
  <c r="O244" i="3" s="1"/>
  <c r="O245" i="7"/>
  <c r="O245" i="3" s="1"/>
  <c r="O246" i="7"/>
  <c r="O246" i="3" s="1"/>
  <c r="O247" i="7"/>
  <c r="O247" i="3" s="1"/>
  <c r="O248" i="7"/>
  <c r="O248" i="3" s="1"/>
  <c r="O249" i="7"/>
  <c r="O249" i="3" s="1"/>
  <c r="O250" i="7"/>
  <c r="O250" i="3" s="1"/>
  <c r="O251" i="7"/>
  <c r="O251" i="3" s="1"/>
  <c r="O252" i="7"/>
  <c r="O252" i="3" s="1"/>
  <c r="O253" i="7"/>
  <c r="O253" i="3" s="1"/>
  <c r="O254" i="7"/>
  <c r="O254" i="3" s="1"/>
  <c r="O255" i="7"/>
  <c r="O255" i="3" s="1"/>
  <c r="O256" i="7"/>
  <c r="O256" i="3" s="1"/>
  <c r="O257" i="7"/>
  <c r="O257" i="3" s="1"/>
  <c r="O258" i="7"/>
  <c r="O258" i="3" s="1"/>
  <c r="O259" i="7"/>
  <c r="O259" i="3" s="1"/>
  <c r="O260" i="7"/>
  <c r="O260" i="3" s="1"/>
  <c r="O261" i="7"/>
  <c r="O261" i="3" s="1"/>
  <c r="O262" i="7"/>
  <c r="O262" i="3" s="1"/>
  <c r="O263" i="7"/>
  <c r="O263" i="3" s="1"/>
  <c r="O264" i="7"/>
  <c r="O264" i="3" s="1"/>
  <c r="O265" i="7"/>
  <c r="O265" i="3" s="1"/>
  <c r="O266" i="7"/>
  <c r="O266" i="3" s="1"/>
  <c r="O267" i="7"/>
  <c r="O267" i="3" s="1"/>
  <c r="O268" i="7"/>
  <c r="O268" i="3" s="1"/>
  <c r="O269" i="7"/>
  <c r="O269" i="3" s="1"/>
  <c r="O270" i="7"/>
  <c r="O270" i="3" s="1"/>
  <c r="O271" i="7"/>
  <c r="O271" i="3" s="1"/>
  <c r="O272" i="7"/>
  <c r="O272" i="3" s="1"/>
  <c r="O273" i="7"/>
  <c r="O273" i="3" s="1"/>
  <c r="O274" i="7"/>
  <c r="O274" i="3" s="1"/>
  <c r="O275" i="7"/>
  <c r="O275" i="3" s="1"/>
  <c r="N140" i="7"/>
  <c r="N140" i="3" s="1"/>
  <c r="N141" i="7"/>
  <c r="N141" i="3" s="1"/>
  <c r="N142" i="7"/>
  <c r="N142" i="3" s="1"/>
  <c r="N143" i="7"/>
  <c r="N143" i="3" s="1"/>
  <c r="N144" i="7"/>
  <c r="N144" i="3" s="1"/>
  <c r="N145" i="7"/>
  <c r="N145" i="3" s="1"/>
  <c r="N146" i="7"/>
  <c r="N146" i="3" s="1"/>
  <c r="N147" i="7"/>
  <c r="N147" i="3" s="1"/>
  <c r="N148" i="7"/>
  <c r="N148" i="3" s="1"/>
  <c r="N149" i="7"/>
  <c r="N149" i="3" s="1"/>
  <c r="N150" i="7"/>
  <c r="N150" i="3" s="1"/>
  <c r="N151" i="7"/>
  <c r="N151" i="3" s="1"/>
  <c r="N152" i="7"/>
  <c r="N152" i="3" s="1"/>
  <c r="N153" i="7"/>
  <c r="N153" i="3" s="1"/>
  <c r="N154" i="7"/>
  <c r="N154" i="3" s="1"/>
  <c r="N155" i="7"/>
  <c r="N155" i="3" s="1"/>
  <c r="N156" i="7"/>
  <c r="N156" i="3" s="1"/>
  <c r="N157" i="7"/>
  <c r="N157" i="3" s="1"/>
  <c r="N158" i="7"/>
  <c r="N158" i="3" s="1"/>
  <c r="N159" i="7"/>
  <c r="N159" i="3" s="1"/>
  <c r="N160" i="7"/>
  <c r="N160" i="3" s="1"/>
  <c r="N161" i="7"/>
  <c r="N161" i="3" s="1"/>
  <c r="N162" i="7"/>
  <c r="N162" i="3" s="1"/>
  <c r="N163" i="7"/>
  <c r="N163" i="3" s="1"/>
  <c r="N164" i="7"/>
  <c r="N164" i="3" s="1"/>
  <c r="N165" i="7"/>
  <c r="N165" i="3" s="1"/>
  <c r="N166" i="7"/>
  <c r="N166" i="3" s="1"/>
  <c r="N167" i="7"/>
  <c r="N167" i="3" s="1"/>
  <c r="N168" i="7"/>
  <c r="N168" i="3" s="1"/>
  <c r="N169" i="7"/>
  <c r="N169" i="3" s="1"/>
  <c r="N170" i="7"/>
  <c r="N170" i="3" s="1"/>
  <c r="N171" i="7"/>
  <c r="N171" i="3" s="1"/>
  <c r="N172" i="7"/>
  <c r="N172" i="3" s="1"/>
  <c r="N173" i="7"/>
  <c r="N174" i="7"/>
  <c r="N174" i="3" s="1"/>
  <c r="N175" i="7"/>
  <c r="N175" i="3" s="1"/>
  <c r="N176" i="7"/>
  <c r="N176" i="3" s="1"/>
  <c r="N177" i="7"/>
  <c r="N177" i="3" s="1"/>
  <c r="N178" i="7"/>
  <c r="N178" i="3" s="1"/>
  <c r="N179" i="7"/>
  <c r="N179" i="3" s="1"/>
  <c r="N180" i="7"/>
  <c r="N180" i="3" s="1"/>
  <c r="N181" i="7"/>
  <c r="N181" i="3" s="1"/>
  <c r="N182" i="7"/>
  <c r="N182" i="3" s="1"/>
  <c r="N183" i="7"/>
  <c r="N183" i="3" s="1"/>
  <c r="N184" i="7"/>
  <c r="N184" i="3" s="1"/>
  <c r="N185" i="7"/>
  <c r="N185" i="3" s="1"/>
  <c r="N186" i="7"/>
  <c r="N186" i="3" s="1"/>
  <c r="N187" i="7"/>
  <c r="N187" i="3" s="1"/>
  <c r="N188" i="7"/>
  <c r="N188" i="3" s="1"/>
  <c r="N189" i="7"/>
  <c r="N189" i="3" s="1"/>
  <c r="N190" i="7"/>
  <c r="N190" i="3" s="1"/>
  <c r="N191" i="7"/>
  <c r="N191" i="3" s="1"/>
  <c r="N192" i="7"/>
  <c r="N192" i="3" s="1"/>
  <c r="N193" i="7"/>
  <c r="N193" i="3" s="1"/>
  <c r="N194" i="7"/>
  <c r="N194" i="3" s="1"/>
  <c r="N195" i="7"/>
  <c r="N195" i="3" s="1"/>
  <c r="N196" i="7"/>
  <c r="N196" i="3" s="1"/>
  <c r="N197" i="7"/>
  <c r="N197" i="3" s="1"/>
  <c r="N198" i="7"/>
  <c r="N198" i="3" s="1"/>
  <c r="N199" i="7"/>
  <c r="N199" i="3" s="1"/>
  <c r="N200" i="7"/>
  <c r="N200" i="3" s="1"/>
  <c r="N201" i="7"/>
  <c r="N201" i="3" s="1"/>
  <c r="N202" i="7"/>
  <c r="N202" i="3" s="1"/>
  <c r="N203" i="7"/>
  <c r="N203" i="3" s="1"/>
  <c r="N204" i="7"/>
  <c r="N204" i="3" s="1"/>
  <c r="N205" i="7"/>
  <c r="N205" i="3" s="1"/>
  <c r="N206" i="7"/>
  <c r="N206" i="3" s="1"/>
  <c r="N207" i="7"/>
  <c r="N207" i="3" s="1"/>
  <c r="N208" i="7"/>
  <c r="N208" i="3" s="1"/>
  <c r="N209" i="7"/>
  <c r="N209" i="3" s="1"/>
  <c r="N210" i="7"/>
  <c r="N210" i="3" s="1"/>
  <c r="N211" i="7"/>
  <c r="N211" i="3" s="1"/>
  <c r="N212" i="7"/>
  <c r="N212" i="3" s="1"/>
  <c r="N213" i="7"/>
  <c r="N213" i="3" s="1"/>
  <c r="N214" i="7"/>
  <c r="N214" i="3" s="1"/>
  <c r="N215" i="7"/>
  <c r="N216" i="7"/>
  <c r="N216" i="3" s="1"/>
  <c r="N217" i="7"/>
  <c r="N217" i="3" s="1"/>
  <c r="N218" i="7"/>
  <c r="N218" i="3" s="1"/>
  <c r="N219" i="7"/>
  <c r="N219" i="3" s="1"/>
  <c r="N220" i="7"/>
  <c r="N220" i="3" s="1"/>
  <c r="N221" i="7"/>
  <c r="N221" i="3" s="1"/>
  <c r="N222" i="7"/>
  <c r="N222" i="3" s="1"/>
  <c r="N223" i="7"/>
  <c r="N223" i="3" s="1"/>
  <c r="N224" i="7"/>
  <c r="N224" i="3" s="1"/>
  <c r="N225" i="7"/>
  <c r="N225" i="3" s="1"/>
  <c r="N226" i="7"/>
  <c r="N226" i="3" s="1"/>
  <c r="N227" i="7"/>
  <c r="N228" i="7"/>
  <c r="N228" i="3" s="1"/>
  <c r="N229" i="7"/>
  <c r="N229" i="3" s="1"/>
  <c r="N230" i="7"/>
  <c r="N230" i="3" s="1"/>
  <c r="N231" i="7"/>
  <c r="N231" i="3" s="1"/>
  <c r="N232" i="7"/>
  <c r="N232" i="3" s="1"/>
  <c r="N233" i="7"/>
  <c r="N233" i="3" s="1"/>
  <c r="N234" i="7"/>
  <c r="N235" i="7"/>
  <c r="N235" i="3" s="1"/>
  <c r="N236" i="7"/>
  <c r="N236" i="3" s="1"/>
  <c r="N237" i="7"/>
  <c r="N237" i="3" s="1"/>
  <c r="N238" i="7"/>
  <c r="N238" i="3" s="1"/>
  <c r="N239" i="7"/>
  <c r="N239" i="3" s="1"/>
  <c r="N240" i="7"/>
  <c r="N240" i="3" s="1"/>
  <c r="N241" i="7"/>
  <c r="N241" i="3" s="1"/>
  <c r="N242" i="7"/>
  <c r="N242" i="3" s="1"/>
  <c r="N243" i="7"/>
  <c r="N243" i="3" s="1"/>
  <c r="N244" i="7"/>
  <c r="N244" i="3" s="1"/>
  <c r="N245" i="7"/>
  <c r="N246" i="7"/>
  <c r="N246" i="3" s="1"/>
  <c r="N247" i="7"/>
  <c r="N247" i="3" s="1"/>
  <c r="N248" i="7"/>
  <c r="N248" i="3" s="1"/>
  <c r="N249" i="7"/>
  <c r="N249" i="3" s="1"/>
  <c r="N250" i="7"/>
  <c r="N250" i="3" s="1"/>
  <c r="N251" i="7"/>
  <c r="N251" i="3" s="1"/>
  <c r="N252" i="7"/>
  <c r="N252" i="3" s="1"/>
  <c r="N253" i="7"/>
  <c r="N253" i="3" s="1"/>
  <c r="N254" i="7"/>
  <c r="N254" i="3" s="1"/>
  <c r="N255" i="7"/>
  <c r="N255" i="3" s="1"/>
  <c r="N256" i="7"/>
  <c r="N256" i="3" s="1"/>
  <c r="N257" i="7"/>
  <c r="N257" i="3" s="1"/>
  <c r="N258" i="7"/>
  <c r="N258" i="3" s="1"/>
  <c r="N259" i="7"/>
  <c r="N259" i="3" s="1"/>
  <c r="N260" i="7"/>
  <c r="N260" i="3" s="1"/>
  <c r="N261" i="7"/>
  <c r="N261" i="3" s="1"/>
  <c r="N262" i="7"/>
  <c r="N262" i="3" s="1"/>
  <c r="N263" i="7"/>
  <c r="N263" i="3" s="1"/>
  <c r="N264" i="7"/>
  <c r="N264" i="3" s="1"/>
  <c r="N265" i="7"/>
  <c r="N265" i="3" s="1"/>
  <c r="N266" i="7"/>
  <c r="N267" i="7"/>
  <c r="N267" i="3" s="1"/>
  <c r="N268" i="7"/>
  <c r="N268" i="3" s="1"/>
  <c r="N269" i="7"/>
  <c r="N269" i="3" s="1"/>
  <c r="N270" i="7"/>
  <c r="N270" i="3" s="1"/>
  <c r="N271" i="7"/>
  <c r="N271" i="3" s="1"/>
  <c r="N272" i="7"/>
  <c r="N272" i="3" s="1"/>
  <c r="N273" i="7"/>
  <c r="N273" i="3" s="1"/>
  <c r="N274" i="7"/>
  <c r="N274" i="3" s="1"/>
  <c r="N275" i="7"/>
  <c r="N275" i="3" s="1"/>
  <c r="M140" i="7"/>
  <c r="M140" i="3" s="1"/>
  <c r="M141" i="7"/>
  <c r="M141" i="3" s="1"/>
  <c r="M142" i="7"/>
  <c r="M142" i="3" s="1"/>
  <c r="M143" i="7"/>
  <c r="M143" i="3" s="1"/>
  <c r="M144" i="7"/>
  <c r="M144" i="3" s="1"/>
  <c r="M145" i="7"/>
  <c r="M145" i="3" s="1"/>
  <c r="M146" i="7"/>
  <c r="M146" i="3" s="1"/>
  <c r="M147" i="7"/>
  <c r="M147" i="3" s="1"/>
  <c r="M148" i="7"/>
  <c r="M148" i="3" s="1"/>
  <c r="M149" i="7"/>
  <c r="M149" i="3" s="1"/>
  <c r="M150" i="7"/>
  <c r="M150" i="3" s="1"/>
  <c r="M151" i="7"/>
  <c r="M151" i="3" s="1"/>
  <c r="M152" i="7"/>
  <c r="M152" i="3" s="1"/>
  <c r="M153" i="7"/>
  <c r="M153" i="3" s="1"/>
  <c r="M154" i="7"/>
  <c r="M154" i="3" s="1"/>
  <c r="M155" i="7"/>
  <c r="M155" i="3" s="1"/>
  <c r="M156" i="7"/>
  <c r="M156" i="3" s="1"/>
  <c r="M157" i="7"/>
  <c r="M157" i="3" s="1"/>
  <c r="M158" i="7"/>
  <c r="M158" i="3" s="1"/>
  <c r="M159" i="7"/>
  <c r="M159" i="3" s="1"/>
  <c r="M160" i="7"/>
  <c r="M160" i="3" s="1"/>
  <c r="M161" i="7"/>
  <c r="M161" i="3" s="1"/>
  <c r="M162" i="7"/>
  <c r="M162" i="3" s="1"/>
  <c r="M163" i="7"/>
  <c r="M163" i="3" s="1"/>
  <c r="M164" i="7"/>
  <c r="M164" i="3" s="1"/>
  <c r="M165" i="7"/>
  <c r="M165" i="3" s="1"/>
  <c r="M166" i="7"/>
  <c r="M166" i="3" s="1"/>
  <c r="M167" i="7"/>
  <c r="M167" i="3" s="1"/>
  <c r="M168" i="7"/>
  <c r="M168" i="3" s="1"/>
  <c r="M169" i="7"/>
  <c r="M169" i="3" s="1"/>
  <c r="M170" i="7"/>
  <c r="M170" i="3" s="1"/>
  <c r="M171" i="7"/>
  <c r="M171" i="3" s="1"/>
  <c r="M172" i="7"/>
  <c r="M172" i="3" s="1"/>
  <c r="M173" i="7"/>
  <c r="M173" i="3" s="1"/>
  <c r="M174" i="7"/>
  <c r="M174" i="3" s="1"/>
  <c r="M175" i="7"/>
  <c r="M175" i="3" s="1"/>
  <c r="M176" i="7"/>
  <c r="M176" i="3" s="1"/>
  <c r="M177" i="7"/>
  <c r="M177" i="3" s="1"/>
  <c r="M178" i="7"/>
  <c r="M178" i="3" s="1"/>
  <c r="M179" i="7"/>
  <c r="M179" i="3" s="1"/>
  <c r="M180" i="7"/>
  <c r="M180" i="3" s="1"/>
  <c r="M181" i="7"/>
  <c r="M181" i="3" s="1"/>
  <c r="M182" i="7"/>
  <c r="M182" i="3" s="1"/>
  <c r="M183" i="7"/>
  <c r="M183" i="3" s="1"/>
  <c r="M184" i="7"/>
  <c r="M184" i="3" s="1"/>
  <c r="M185" i="7"/>
  <c r="M185" i="3" s="1"/>
  <c r="M186" i="7"/>
  <c r="M186" i="3" s="1"/>
  <c r="M187" i="7"/>
  <c r="M187" i="3" s="1"/>
  <c r="M188" i="7"/>
  <c r="M188" i="3" s="1"/>
  <c r="M189" i="7"/>
  <c r="M189" i="3" s="1"/>
  <c r="M190" i="7"/>
  <c r="M190" i="3" s="1"/>
  <c r="M191" i="7"/>
  <c r="M191" i="3" s="1"/>
  <c r="M192" i="7"/>
  <c r="M192" i="3" s="1"/>
  <c r="M193" i="7"/>
  <c r="M193" i="3" s="1"/>
  <c r="M194" i="7"/>
  <c r="M194" i="3" s="1"/>
  <c r="M195" i="7"/>
  <c r="M195" i="3" s="1"/>
  <c r="M196" i="7"/>
  <c r="M196" i="3" s="1"/>
  <c r="M197" i="7"/>
  <c r="M197" i="3" s="1"/>
  <c r="M198" i="7"/>
  <c r="M198" i="3" s="1"/>
  <c r="M199" i="7"/>
  <c r="M199" i="3" s="1"/>
  <c r="M200" i="7"/>
  <c r="M200" i="3" s="1"/>
  <c r="M201" i="7"/>
  <c r="M201" i="3" s="1"/>
  <c r="M202" i="7"/>
  <c r="M202" i="3" s="1"/>
  <c r="M203" i="7"/>
  <c r="M203" i="3" s="1"/>
  <c r="M204" i="7"/>
  <c r="M204" i="3" s="1"/>
  <c r="M205" i="7"/>
  <c r="M205" i="3" s="1"/>
  <c r="M206" i="7"/>
  <c r="M206" i="3" s="1"/>
  <c r="M207" i="7"/>
  <c r="M207" i="3" s="1"/>
  <c r="M208" i="7"/>
  <c r="M208" i="3" s="1"/>
  <c r="M209" i="7"/>
  <c r="M209" i="3" s="1"/>
  <c r="M210" i="7"/>
  <c r="M210" i="3" s="1"/>
  <c r="M211" i="7"/>
  <c r="M211" i="3" s="1"/>
  <c r="M212" i="7"/>
  <c r="M212" i="3" s="1"/>
  <c r="M213" i="7"/>
  <c r="M213" i="3" s="1"/>
  <c r="M214" i="7"/>
  <c r="M214" i="3" s="1"/>
  <c r="M215" i="7"/>
  <c r="M215" i="3" s="1"/>
  <c r="M216" i="7"/>
  <c r="M216" i="3" s="1"/>
  <c r="M217" i="7"/>
  <c r="M217" i="3" s="1"/>
  <c r="M218" i="7"/>
  <c r="M218" i="3" s="1"/>
  <c r="M219" i="7"/>
  <c r="M219" i="3" s="1"/>
  <c r="M220" i="7"/>
  <c r="M220" i="3" s="1"/>
  <c r="M221" i="7"/>
  <c r="M221" i="3" s="1"/>
  <c r="M222" i="7"/>
  <c r="M222" i="3" s="1"/>
  <c r="M223" i="7"/>
  <c r="M223" i="3" s="1"/>
  <c r="M224" i="7"/>
  <c r="M224" i="3" s="1"/>
  <c r="M225" i="7"/>
  <c r="M225" i="3" s="1"/>
  <c r="M226" i="7"/>
  <c r="M226" i="3" s="1"/>
  <c r="M227" i="7"/>
  <c r="M227" i="3" s="1"/>
  <c r="M228" i="7"/>
  <c r="M228" i="3" s="1"/>
  <c r="M229" i="7"/>
  <c r="M229" i="3" s="1"/>
  <c r="M230" i="7"/>
  <c r="M230" i="3" s="1"/>
  <c r="M231" i="7"/>
  <c r="M231" i="3" s="1"/>
  <c r="M232" i="7"/>
  <c r="M232" i="3" s="1"/>
  <c r="M233" i="7"/>
  <c r="M233" i="3" s="1"/>
  <c r="M234" i="7"/>
  <c r="M235" i="7"/>
  <c r="M235" i="3" s="1"/>
  <c r="M236" i="7"/>
  <c r="M236" i="3" s="1"/>
  <c r="M237" i="7"/>
  <c r="M237" i="3" s="1"/>
  <c r="M238" i="7"/>
  <c r="M238" i="3" s="1"/>
  <c r="M239" i="7"/>
  <c r="M239" i="3" s="1"/>
  <c r="M240" i="7"/>
  <c r="M240" i="3" s="1"/>
  <c r="M241" i="7"/>
  <c r="M241" i="3" s="1"/>
  <c r="M242" i="7"/>
  <c r="M242" i="3" s="1"/>
  <c r="M243" i="7"/>
  <c r="M243" i="3" s="1"/>
  <c r="M244" i="7"/>
  <c r="M244" i="3" s="1"/>
  <c r="M245" i="7"/>
  <c r="M245" i="3" s="1"/>
  <c r="M246" i="7"/>
  <c r="M246" i="3" s="1"/>
  <c r="M247" i="7"/>
  <c r="M247" i="3" s="1"/>
  <c r="M248" i="7"/>
  <c r="M248" i="3" s="1"/>
  <c r="M249" i="7"/>
  <c r="M249" i="3" s="1"/>
  <c r="M250" i="7"/>
  <c r="M250" i="3" s="1"/>
  <c r="M251" i="7"/>
  <c r="M251" i="3" s="1"/>
  <c r="M252" i="7"/>
  <c r="M252" i="3" s="1"/>
  <c r="M253" i="7"/>
  <c r="M253" i="3" s="1"/>
  <c r="M254" i="7"/>
  <c r="M254" i="3" s="1"/>
  <c r="M255" i="7"/>
  <c r="M255" i="3" s="1"/>
  <c r="M256" i="7"/>
  <c r="M256" i="3" s="1"/>
  <c r="M257" i="7"/>
  <c r="M257" i="3" s="1"/>
  <c r="M258" i="7"/>
  <c r="M258" i="3" s="1"/>
  <c r="M259" i="7"/>
  <c r="M259" i="3" s="1"/>
  <c r="M260" i="7"/>
  <c r="M260" i="3" s="1"/>
  <c r="M261" i="7"/>
  <c r="M261" i="3" s="1"/>
  <c r="M262" i="7"/>
  <c r="M262" i="3" s="1"/>
  <c r="M263" i="7"/>
  <c r="M263" i="3" s="1"/>
  <c r="M264" i="7"/>
  <c r="M264" i="3" s="1"/>
  <c r="M265" i="7"/>
  <c r="M265" i="3" s="1"/>
  <c r="M266" i="7"/>
  <c r="M266" i="3" s="1"/>
  <c r="M267" i="7"/>
  <c r="M267" i="3" s="1"/>
  <c r="M268" i="7"/>
  <c r="M268" i="3" s="1"/>
  <c r="M269" i="7"/>
  <c r="M269" i="3" s="1"/>
  <c r="M270" i="7"/>
  <c r="M270" i="3" s="1"/>
  <c r="M271" i="7"/>
  <c r="M271" i="3" s="1"/>
  <c r="M272" i="7"/>
  <c r="M272" i="3" s="1"/>
  <c r="M273" i="7"/>
  <c r="M273" i="3" s="1"/>
  <c r="M274" i="7"/>
  <c r="M274" i="3" s="1"/>
  <c r="M275" i="7"/>
  <c r="M275" i="3" s="1"/>
  <c r="AD204" i="7"/>
  <c r="AD204" i="3" s="1"/>
  <c r="AE227" i="7"/>
  <c r="AS236" i="7"/>
  <c r="AS236" i="3" s="1"/>
  <c r="AV241" i="7"/>
  <c r="AV241" i="3" s="1"/>
  <c r="AK249" i="7"/>
  <c r="AK249" i="3" s="1"/>
  <c r="AI252" i="7"/>
  <c r="AI252" i="3" s="1"/>
  <c r="AE258" i="7"/>
  <c r="AE258" i="3" s="1"/>
  <c r="AR263" i="7"/>
  <c r="AR263" i="3" s="1"/>
  <c r="AV267" i="7"/>
  <c r="AV267" i="3" s="1"/>
  <c r="AX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192" i="7" s="1"/>
  <c r="AX192" i="3" s="1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248" i="7" s="1"/>
  <c r="AX248" i="3" s="1"/>
  <c r="AX111" i="7"/>
  <c r="AX112" i="7"/>
  <c r="AX113" i="7"/>
  <c r="AX114" i="7"/>
  <c r="AX115" i="7"/>
  <c r="AX116" i="7"/>
  <c r="AX117" i="7"/>
  <c r="AX118" i="7"/>
  <c r="AX256" i="7" s="1"/>
  <c r="AX256" i="3" s="1"/>
  <c r="AX119" i="7"/>
  <c r="AX120" i="7"/>
  <c r="AX121" i="7"/>
  <c r="AX122" i="7"/>
  <c r="AX123" i="7"/>
  <c r="AX124" i="7"/>
  <c r="AX262" i="7" s="1"/>
  <c r="AX262" i="3" s="1"/>
  <c r="AX125" i="7"/>
  <c r="AX126" i="7"/>
  <c r="AX127" i="7"/>
  <c r="AX128" i="7"/>
  <c r="AX129" i="7"/>
  <c r="AX267" i="7" s="1"/>
  <c r="AX267" i="3" s="1"/>
  <c r="AX130" i="7"/>
  <c r="AX131" i="7"/>
  <c r="AX132" i="7"/>
  <c r="AX133" i="7"/>
  <c r="AX271" i="7" s="1"/>
  <c r="AX271" i="3" s="1"/>
  <c r="AX134" i="7"/>
  <c r="AX272" i="7" s="1"/>
  <c r="AX272" i="3" s="1"/>
  <c r="AX135" i="7"/>
  <c r="AX136" i="7"/>
  <c r="AX137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U179" i="7" s="1"/>
  <c r="AU179" i="3" s="1"/>
  <c r="AV41" i="7"/>
  <c r="AW41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C49" i="7"/>
  <c r="AD49" i="7"/>
  <c r="AE49" i="7"/>
  <c r="AF49" i="7"/>
  <c r="AG49" i="7"/>
  <c r="AH49" i="7"/>
  <c r="AI49" i="7"/>
  <c r="AJ49" i="7"/>
  <c r="AK49" i="7"/>
  <c r="AL49" i="7"/>
  <c r="AM49" i="7"/>
  <c r="AM187" i="7" s="1"/>
  <c r="AM187" i="3" s="1"/>
  <c r="AN49" i="7"/>
  <c r="AO49" i="7"/>
  <c r="AP49" i="7"/>
  <c r="AQ49" i="7"/>
  <c r="AR49" i="7"/>
  <c r="AS49" i="7"/>
  <c r="AT49" i="7"/>
  <c r="AU49" i="7"/>
  <c r="AV49" i="7"/>
  <c r="AW49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P196" i="7" s="1"/>
  <c r="AP196" i="3" s="1"/>
  <c r="AQ58" i="7"/>
  <c r="AR58" i="7"/>
  <c r="AS58" i="7"/>
  <c r="AS196" i="7" s="1"/>
  <c r="AS196" i="3" s="1"/>
  <c r="AT58" i="7"/>
  <c r="AU58" i="7"/>
  <c r="AV58" i="7"/>
  <c r="AW58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C62" i="7"/>
  <c r="AD62" i="7"/>
  <c r="AE62" i="7"/>
  <c r="AF62" i="7"/>
  <c r="AG62" i="7"/>
  <c r="AH62" i="7"/>
  <c r="AI62" i="7"/>
  <c r="AJ62" i="7"/>
  <c r="AK62" i="7"/>
  <c r="AL62" i="7"/>
  <c r="AL200" i="7" s="1"/>
  <c r="AL200" i="3" s="1"/>
  <c r="AM62" i="7"/>
  <c r="AN62" i="7"/>
  <c r="AO62" i="7"/>
  <c r="AP62" i="7"/>
  <c r="AQ62" i="7"/>
  <c r="AR62" i="7"/>
  <c r="AS62" i="7"/>
  <c r="AT62" i="7"/>
  <c r="AU62" i="7"/>
  <c r="AV62" i="7"/>
  <c r="AW62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P204" i="7" s="1"/>
  <c r="AP204" i="3" s="1"/>
  <c r="AQ66" i="7"/>
  <c r="AR66" i="7"/>
  <c r="AS66" i="7"/>
  <c r="AT66" i="7"/>
  <c r="AU66" i="7"/>
  <c r="AV66" i="7"/>
  <c r="AW66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R353" i="7" s="1"/>
  <c r="AS77" i="7"/>
  <c r="AT77" i="7"/>
  <c r="AU77" i="7"/>
  <c r="AV77" i="7"/>
  <c r="AW77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W222" i="7" s="1"/>
  <c r="AW222" i="3" s="1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C87" i="7"/>
  <c r="AD87" i="7"/>
  <c r="AE87" i="7"/>
  <c r="AF87" i="7"/>
  <c r="AF225" i="7" s="1"/>
  <c r="AF225" i="3" s="1"/>
  <c r="AG87" i="7"/>
  <c r="AH87" i="7"/>
  <c r="AH225" i="7" s="1"/>
  <c r="AH225" i="3" s="1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C89" i="7"/>
  <c r="AD89" i="7"/>
  <c r="AE89" i="7"/>
  <c r="AE365" i="7" s="1"/>
  <c r="AF89" i="7"/>
  <c r="AF365" i="7" s="1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C92" i="7"/>
  <c r="AD92" i="7"/>
  <c r="AE92" i="7"/>
  <c r="AF92" i="7"/>
  <c r="AG92" i="7"/>
  <c r="AG230" i="7" s="1"/>
  <c r="AG230" i="3" s="1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Q231" i="7" s="1"/>
  <c r="AQ231" i="3" s="1"/>
  <c r="AR93" i="7"/>
  <c r="AS93" i="7"/>
  <c r="AT93" i="7"/>
  <c r="AU93" i="7"/>
  <c r="AV93" i="7"/>
  <c r="AW93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C96" i="7"/>
  <c r="AD96" i="7"/>
  <c r="AE96" i="7"/>
  <c r="AF96" i="7"/>
  <c r="AF234" i="7" s="1"/>
  <c r="AF234" i="3" s="1"/>
  <c r="AG96" i="7"/>
  <c r="AG234" i="7" s="1"/>
  <c r="AG234" i="3" s="1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C98" i="7"/>
  <c r="AC236" i="7" s="1"/>
  <c r="AC236" i="3" s="1"/>
  <c r="AD98" i="7"/>
  <c r="AD236" i="7" s="1"/>
  <c r="AD236" i="3" s="1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T236" i="7" s="1"/>
  <c r="AT236" i="3" s="1"/>
  <c r="AU98" i="7"/>
  <c r="AV98" i="7"/>
  <c r="AW98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C102" i="7"/>
  <c r="AD102" i="7"/>
  <c r="AE102" i="7"/>
  <c r="AF102" i="7"/>
  <c r="AG102" i="7"/>
  <c r="AH102" i="7"/>
  <c r="AI102" i="7"/>
  <c r="AJ102" i="7"/>
  <c r="AK102" i="7"/>
  <c r="AK240" i="7" s="1"/>
  <c r="AK240" i="3" s="1"/>
  <c r="AL102" i="7"/>
  <c r="AL240" i="7" s="1"/>
  <c r="AL240" i="3" s="1"/>
  <c r="AM102" i="7"/>
  <c r="AN102" i="7"/>
  <c r="AO102" i="7"/>
  <c r="AP102" i="7"/>
  <c r="AQ102" i="7"/>
  <c r="AR102" i="7"/>
  <c r="AS102" i="7"/>
  <c r="AT102" i="7"/>
  <c r="AU102" i="7"/>
  <c r="AV102" i="7"/>
  <c r="AW102" i="7"/>
  <c r="AC103" i="7"/>
  <c r="AD103" i="7"/>
  <c r="AE103" i="7"/>
  <c r="AE241" i="7" s="1"/>
  <c r="AE241" i="3" s="1"/>
  <c r="AF103" i="7"/>
  <c r="AF241" i="7" s="1"/>
  <c r="AF241" i="3" s="1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R241" i="7" s="1"/>
  <c r="AR241" i="3" s="1"/>
  <c r="AS103" i="7"/>
  <c r="AT103" i="7"/>
  <c r="AU103" i="7"/>
  <c r="AU241" i="7" s="1"/>
  <c r="AU241" i="3" s="1"/>
  <c r="AV103" i="7"/>
  <c r="AW103" i="7"/>
  <c r="AC104" i="7"/>
  <c r="AD104" i="7"/>
  <c r="AE104" i="7"/>
  <c r="AF104" i="7"/>
  <c r="AG104" i="7"/>
  <c r="AH104" i="7"/>
  <c r="AI104" i="7"/>
  <c r="AJ104" i="7"/>
  <c r="AK104" i="7"/>
  <c r="AL104" i="7"/>
  <c r="AL242" i="7" s="1"/>
  <c r="AL242" i="3" s="1"/>
  <c r="AM104" i="7"/>
  <c r="AN104" i="7"/>
  <c r="AO104" i="7"/>
  <c r="AP104" i="7"/>
  <c r="AQ104" i="7"/>
  <c r="AR104" i="7"/>
  <c r="AS104" i="7"/>
  <c r="AT104" i="7"/>
  <c r="AU104" i="7"/>
  <c r="AV104" i="7"/>
  <c r="AW104" i="7"/>
  <c r="AC105" i="7"/>
  <c r="AD105" i="7"/>
  <c r="AE105" i="7"/>
  <c r="AF105" i="7"/>
  <c r="AF243" i="7" s="1"/>
  <c r="AF243" i="3" s="1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V243" i="7" s="1"/>
  <c r="AV243" i="3" s="1"/>
  <c r="AW105" i="7"/>
  <c r="AC106" i="7"/>
  <c r="AC244" i="7" s="1"/>
  <c r="AC244" i="3" s="1"/>
  <c r="AD106" i="7"/>
  <c r="AD244" i="7" s="1"/>
  <c r="AD244" i="3" s="1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P244" i="7" s="1"/>
  <c r="AP244" i="3" s="1"/>
  <c r="AQ106" i="7"/>
  <c r="AR106" i="7"/>
  <c r="AS106" i="7"/>
  <c r="AS244" i="7" s="1"/>
  <c r="AS244" i="3" s="1"/>
  <c r="AT106" i="7"/>
  <c r="AT244" i="7" s="1"/>
  <c r="AT244" i="3" s="1"/>
  <c r="AU106" i="7"/>
  <c r="AV106" i="7"/>
  <c r="AW106" i="7"/>
  <c r="AC107" i="7"/>
  <c r="AD107" i="7"/>
  <c r="AE107" i="7"/>
  <c r="AF107" i="7"/>
  <c r="AG107" i="7"/>
  <c r="AH107" i="7"/>
  <c r="AI107" i="7"/>
  <c r="AJ107" i="7"/>
  <c r="AK107" i="7"/>
  <c r="AL107" i="7"/>
  <c r="AM107" i="7"/>
  <c r="AM245" i="7" s="1"/>
  <c r="AM245" i="3" s="1"/>
  <c r="AN107" i="7"/>
  <c r="AN245" i="7" s="1"/>
  <c r="AN245" i="3" s="1"/>
  <c r="AO107" i="7"/>
  <c r="AP107" i="7"/>
  <c r="AQ107" i="7"/>
  <c r="AR107" i="7"/>
  <c r="AS107" i="7"/>
  <c r="AT107" i="7"/>
  <c r="AU107" i="7"/>
  <c r="AV107" i="7"/>
  <c r="AW107" i="7"/>
  <c r="AC108" i="7"/>
  <c r="AD108" i="7"/>
  <c r="AE108" i="7"/>
  <c r="AF108" i="7"/>
  <c r="AG108" i="7"/>
  <c r="AG246" i="7" s="1"/>
  <c r="AG246" i="3" s="1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W246" i="7" s="1"/>
  <c r="AW246" i="3" s="1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Q247" i="7" s="1"/>
  <c r="AQ247" i="3" s="1"/>
  <c r="AR109" i="7"/>
  <c r="AR247" i="7" s="1"/>
  <c r="AR247" i="3" s="1"/>
  <c r="AS109" i="7"/>
  <c r="AT109" i="7"/>
  <c r="AU109" i="7"/>
  <c r="AV109" i="7"/>
  <c r="AW109" i="7"/>
  <c r="AC110" i="7"/>
  <c r="AD110" i="7"/>
  <c r="AE110" i="7"/>
  <c r="AF110" i="7"/>
  <c r="AG110" i="7"/>
  <c r="AH110" i="7"/>
  <c r="AI110" i="7"/>
  <c r="AJ110" i="7"/>
  <c r="AK110" i="7"/>
  <c r="AL110" i="7"/>
  <c r="AL248" i="7" s="1"/>
  <c r="AL248" i="3" s="1"/>
  <c r="AM110" i="7"/>
  <c r="AN110" i="7"/>
  <c r="AO110" i="7"/>
  <c r="AP110" i="7"/>
  <c r="AQ110" i="7"/>
  <c r="AQ248" i="7" s="1"/>
  <c r="AQ248" i="3" s="1"/>
  <c r="AR110" i="7"/>
  <c r="AS110" i="7"/>
  <c r="AT110" i="7"/>
  <c r="AU110" i="7"/>
  <c r="AV110" i="7"/>
  <c r="AW110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R249" i="7" s="1"/>
  <c r="AR249" i="3" s="1"/>
  <c r="AS111" i="7"/>
  <c r="AT111" i="7"/>
  <c r="AU111" i="7"/>
  <c r="AV111" i="7"/>
  <c r="AW111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U250" i="7" s="1"/>
  <c r="AU250" i="3" s="1"/>
  <c r="AV112" i="7"/>
  <c r="AW112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O251" i="7" s="1"/>
  <c r="AO251" i="3" s="1"/>
  <c r="AP113" i="7"/>
  <c r="AQ113" i="7"/>
  <c r="AR113" i="7"/>
  <c r="AS113" i="7"/>
  <c r="AT113" i="7"/>
  <c r="AU113" i="7"/>
  <c r="AV113" i="7"/>
  <c r="AV251" i="7" s="1"/>
  <c r="AV251" i="3" s="1"/>
  <c r="AW113" i="7"/>
  <c r="AC114" i="7"/>
  <c r="AC252" i="7" s="1"/>
  <c r="AC252" i="3" s="1"/>
  <c r="AD114" i="7"/>
  <c r="AD252" i="7" s="1"/>
  <c r="AD252" i="3" s="1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P252" i="7" s="1"/>
  <c r="AP252" i="3" s="1"/>
  <c r="AQ114" i="7"/>
  <c r="AR114" i="7"/>
  <c r="AS114" i="7"/>
  <c r="AT114" i="7"/>
  <c r="AU114" i="7"/>
  <c r="AV114" i="7"/>
  <c r="AW114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C116" i="7"/>
  <c r="AD116" i="7"/>
  <c r="AD254" i="7" s="1"/>
  <c r="AD254" i="3" s="1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T254" i="7" s="1"/>
  <c r="AT254" i="3" s="1"/>
  <c r="AU116" i="7"/>
  <c r="AV116" i="7"/>
  <c r="AW116" i="7"/>
  <c r="AW254" i="7" s="1"/>
  <c r="AW254" i="3" s="1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N255" i="7" s="1"/>
  <c r="AN255" i="3" s="1"/>
  <c r="AO117" i="7"/>
  <c r="AP117" i="7"/>
  <c r="AQ117" i="7"/>
  <c r="AR117" i="7"/>
  <c r="AS117" i="7"/>
  <c r="AT117" i="7"/>
  <c r="AU117" i="7"/>
  <c r="AV117" i="7"/>
  <c r="AW117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C119" i="7"/>
  <c r="AD119" i="7"/>
  <c r="AE119" i="7"/>
  <c r="AE257" i="7" s="1"/>
  <c r="AE257" i="3" s="1"/>
  <c r="AF119" i="7"/>
  <c r="AF257" i="7" s="1"/>
  <c r="AF257" i="3" s="1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R257" i="7" s="1"/>
  <c r="AR257" i="3" s="1"/>
  <c r="AS119" i="7"/>
  <c r="AT119" i="7"/>
  <c r="AU119" i="7"/>
  <c r="AU257" i="7" s="1"/>
  <c r="AU257" i="3" s="1"/>
  <c r="AV119" i="7"/>
  <c r="AV257" i="7" s="1"/>
  <c r="AV257" i="3" s="1"/>
  <c r="AW119" i="7"/>
  <c r="AC120" i="7"/>
  <c r="AD120" i="7"/>
  <c r="AE120" i="7"/>
  <c r="AF120" i="7"/>
  <c r="AG120" i="7"/>
  <c r="AH120" i="7"/>
  <c r="AI120" i="7"/>
  <c r="AJ120" i="7"/>
  <c r="AK120" i="7"/>
  <c r="AL120" i="7"/>
  <c r="AL258" i="7" s="1"/>
  <c r="AL258" i="3" s="1"/>
  <c r="AM120" i="7"/>
  <c r="AN120" i="7"/>
  <c r="AO120" i="7"/>
  <c r="AP120" i="7"/>
  <c r="AQ120" i="7"/>
  <c r="AR120" i="7"/>
  <c r="AS120" i="7"/>
  <c r="AT120" i="7"/>
  <c r="AU120" i="7"/>
  <c r="AV120" i="7"/>
  <c r="AW120" i="7"/>
  <c r="AC121" i="7"/>
  <c r="AD121" i="7"/>
  <c r="AE121" i="7"/>
  <c r="AF121" i="7"/>
  <c r="AF259" i="7" s="1"/>
  <c r="AF259" i="3" s="1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V259" i="7" s="1"/>
  <c r="AV259" i="3" s="1"/>
  <c r="AW121" i="7"/>
  <c r="AC122" i="7"/>
  <c r="AC260" i="7" s="1"/>
  <c r="AC260" i="3" s="1"/>
  <c r="AD122" i="7"/>
  <c r="AD260" i="7" s="1"/>
  <c r="AD260" i="3" s="1"/>
  <c r="AE122" i="7"/>
  <c r="AF122" i="7"/>
  <c r="AG122" i="7"/>
  <c r="AH122" i="7"/>
  <c r="AI122" i="7"/>
  <c r="AI260" i="7" s="1"/>
  <c r="AI260" i="3" s="1"/>
  <c r="AJ122" i="7"/>
  <c r="AK122" i="7"/>
  <c r="AL122" i="7"/>
  <c r="AM122" i="7"/>
  <c r="AN122" i="7"/>
  <c r="AO122" i="7"/>
  <c r="AP122" i="7"/>
  <c r="AQ122" i="7"/>
  <c r="AR122" i="7"/>
  <c r="AS122" i="7"/>
  <c r="AS260" i="7" s="1"/>
  <c r="AS260" i="3" s="1"/>
  <c r="AT122" i="7"/>
  <c r="AT260" i="7" s="1"/>
  <c r="AT260" i="3" s="1"/>
  <c r="AU122" i="7"/>
  <c r="AV122" i="7"/>
  <c r="AW122" i="7"/>
  <c r="AC123" i="7"/>
  <c r="AC261" i="7" s="1"/>
  <c r="AC261" i="3" s="1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C124" i="7"/>
  <c r="AD124" i="7"/>
  <c r="AE124" i="7"/>
  <c r="AF124" i="7"/>
  <c r="AG124" i="7"/>
  <c r="AG262" i="7" s="1"/>
  <c r="AG262" i="3" s="1"/>
  <c r="AH124" i="7"/>
  <c r="AH262" i="7" s="1"/>
  <c r="AH262" i="3" s="1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W262" i="7" s="1"/>
  <c r="AW262" i="3" s="1"/>
  <c r="AC125" i="7"/>
  <c r="AD125" i="7"/>
  <c r="AE125" i="7"/>
  <c r="AF125" i="7"/>
  <c r="AG125" i="7"/>
  <c r="AG263" i="7" s="1"/>
  <c r="AG263" i="3" s="1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W263" i="7" s="1"/>
  <c r="AW263" i="3" s="1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C127" i="7"/>
  <c r="AD127" i="7"/>
  <c r="AE127" i="7"/>
  <c r="AF127" i="7"/>
  <c r="AG127" i="7"/>
  <c r="AH127" i="7"/>
  <c r="AI127" i="7"/>
  <c r="AJ127" i="7"/>
  <c r="AK127" i="7"/>
  <c r="AK265" i="7" s="1"/>
  <c r="AK265" i="3" s="1"/>
  <c r="AL127" i="7"/>
  <c r="AL265" i="7" s="1"/>
  <c r="AL265" i="3" s="1"/>
  <c r="AM127" i="7"/>
  <c r="AN127" i="7"/>
  <c r="AO127" i="7"/>
  <c r="AP127" i="7"/>
  <c r="AQ127" i="7"/>
  <c r="AR127" i="7"/>
  <c r="AR265" i="7" s="1"/>
  <c r="AR265" i="3" s="1"/>
  <c r="AS127" i="7"/>
  <c r="AT127" i="7"/>
  <c r="AU127" i="7"/>
  <c r="AU265" i="7" s="1"/>
  <c r="AU265" i="3" s="1"/>
  <c r="AV127" i="7"/>
  <c r="AW127" i="7"/>
  <c r="AC128" i="7"/>
  <c r="AD128" i="7"/>
  <c r="AE128" i="7"/>
  <c r="AE404" i="7" s="1"/>
  <c r="AF128" i="7"/>
  <c r="AF404" i="7" s="1"/>
  <c r="AG128" i="7"/>
  <c r="AH128" i="7"/>
  <c r="AI128" i="7"/>
  <c r="AJ128" i="7"/>
  <c r="AK128" i="7"/>
  <c r="AL128" i="7"/>
  <c r="AL404" i="7" s="1"/>
  <c r="AM128" i="7"/>
  <c r="AN128" i="7"/>
  <c r="AN404" i="7" s="1"/>
  <c r="AO128" i="7"/>
  <c r="AP128" i="7"/>
  <c r="AQ128" i="7"/>
  <c r="AR128" i="7"/>
  <c r="AS128" i="7"/>
  <c r="AT128" i="7"/>
  <c r="AU128" i="7"/>
  <c r="AU404" i="7" s="1"/>
  <c r="AV128" i="7"/>
  <c r="AV404" i="7" s="1"/>
  <c r="AW128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O267" i="7" s="1"/>
  <c r="AO267" i="3" s="1"/>
  <c r="AP129" i="7"/>
  <c r="AP267" i="7" s="1"/>
  <c r="AP267" i="3" s="1"/>
  <c r="AQ129" i="7"/>
  <c r="AR129" i="7"/>
  <c r="AS129" i="7"/>
  <c r="AT129" i="7"/>
  <c r="AU129" i="7"/>
  <c r="AV129" i="7"/>
  <c r="AW129" i="7"/>
  <c r="AC130" i="7"/>
  <c r="AD130" i="7"/>
  <c r="AE130" i="7"/>
  <c r="AF130" i="7"/>
  <c r="AG130" i="7"/>
  <c r="AH130" i="7"/>
  <c r="AI130" i="7"/>
  <c r="AI268" i="7" s="1"/>
  <c r="AI268" i="3" s="1"/>
  <c r="AJ130" i="7"/>
  <c r="AJ268" i="7" s="1"/>
  <c r="AJ268" i="3" s="1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C131" i="7"/>
  <c r="AD131" i="7"/>
  <c r="AD269" i="7" s="1"/>
  <c r="AD269" i="3" s="1"/>
  <c r="AE131" i="7"/>
  <c r="AF131" i="7"/>
  <c r="AG131" i="7"/>
  <c r="AH131" i="7"/>
  <c r="AI131" i="7"/>
  <c r="AJ131" i="7"/>
  <c r="AJ269" i="7" s="1"/>
  <c r="AJ269" i="3" s="1"/>
  <c r="AK131" i="7"/>
  <c r="AL131" i="7"/>
  <c r="AL269" i="7" s="1"/>
  <c r="AL269" i="3" s="1"/>
  <c r="AM131" i="7"/>
  <c r="AM269" i="7" s="1"/>
  <c r="AM269" i="3" s="1"/>
  <c r="AN131" i="7"/>
  <c r="AN269" i="7" s="1"/>
  <c r="AN269" i="3" s="1"/>
  <c r="AO131" i="7"/>
  <c r="AP131" i="7"/>
  <c r="AQ131" i="7"/>
  <c r="AR131" i="7"/>
  <c r="AS131" i="7"/>
  <c r="AS269" i="7" s="1"/>
  <c r="AS269" i="3" s="1"/>
  <c r="AT131" i="7"/>
  <c r="AT269" i="7" s="1"/>
  <c r="AT269" i="3" s="1"/>
  <c r="AU131" i="7"/>
  <c r="AV131" i="7"/>
  <c r="AW131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P271" i="7" s="1"/>
  <c r="AP271" i="3" s="1"/>
  <c r="AQ133" i="7"/>
  <c r="AQ271" i="7" s="1"/>
  <c r="AQ271" i="3" s="1"/>
  <c r="AR133" i="7"/>
  <c r="AR271" i="7" s="1"/>
  <c r="AR271" i="3" s="1"/>
  <c r="AS133" i="7"/>
  <c r="AT133" i="7"/>
  <c r="AU133" i="7"/>
  <c r="AV133" i="7"/>
  <c r="AW133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C135" i="7"/>
  <c r="AD135" i="7"/>
  <c r="AE135" i="7"/>
  <c r="AF135" i="7"/>
  <c r="AF273" i="7" s="1"/>
  <c r="AF273" i="3" s="1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R273" i="7" s="1"/>
  <c r="AR273" i="3" s="1"/>
  <c r="AS135" i="7"/>
  <c r="AT135" i="7"/>
  <c r="AU135" i="7"/>
  <c r="AV135" i="7"/>
  <c r="AW135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P275" i="7" s="1"/>
  <c r="AP275" i="3" s="1"/>
  <c r="AQ137" i="7"/>
  <c r="AR137" i="7"/>
  <c r="AS137" i="7"/>
  <c r="AT137" i="7"/>
  <c r="AU137" i="7"/>
  <c r="AV137" i="7"/>
  <c r="AW137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C2" i="7"/>
  <c r="P3" i="7"/>
  <c r="P3" i="3" s="1"/>
  <c r="P4" i="7"/>
  <c r="P4" i="3" s="1"/>
  <c r="P5" i="7"/>
  <c r="P5" i="3" s="1"/>
  <c r="P6" i="7"/>
  <c r="P6" i="3" s="1"/>
  <c r="P7" i="7"/>
  <c r="P7" i="3" s="1"/>
  <c r="P8" i="7"/>
  <c r="P8" i="3" s="1"/>
  <c r="P9" i="7"/>
  <c r="P9" i="3" s="1"/>
  <c r="P10" i="7"/>
  <c r="P10" i="3" s="1"/>
  <c r="P11" i="7"/>
  <c r="P11" i="3" s="1"/>
  <c r="P12" i="7"/>
  <c r="P12" i="3" s="1"/>
  <c r="P13" i="7"/>
  <c r="P13" i="3" s="1"/>
  <c r="P14" i="7"/>
  <c r="P14" i="3" s="1"/>
  <c r="P15" i="7"/>
  <c r="P15" i="3" s="1"/>
  <c r="P16" i="7"/>
  <c r="P16" i="3" s="1"/>
  <c r="P17" i="7"/>
  <c r="P17" i="3" s="1"/>
  <c r="P18" i="7"/>
  <c r="P18" i="3" s="1"/>
  <c r="P19" i="7"/>
  <c r="P19" i="3" s="1"/>
  <c r="P20" i="7"/>
  <c r="P20" i="3" s="1"/>
  <c r="P21" i="7"/>
  <c r="P21" i="3" s="1"/>
  <c r="P22" i="7"/>
  <c r="P22" i="3" s="1"/>
  <c r="P23" i="7"/>
  <c r="P23" i="3" s="1"/>
  <c r="P24" i="7"/>
  <c r="P24" i="3" s="1"/>
  <c r="P25" i="7"/>
  <c r="P25" i="3" s="1"/>
  <c r="P26" i="7"/>
  <c r="P26" i="3" s="1"/>
  <c r="P27" i="7"/>
  <c r="P27" i="3" s="1"/>
  <c r="P28" i="7"/>
  <c r="P28" i="3" s="1"/>
  <c r="P29" i="7"/>
  <c r="P29" i="3" s="1"/>
  <c r="P30" i="7"/>
  <c r="P30" i="3" s="1"/>
  <c r="P31" i="7"/>
  <c r="P31" i="3" s="1"/>
  <c r="P32" i="7"/>
  <c r="P32" i="3" s="1"/>
  <c r="P33" i="7"/>
  <c r="P33" i="3" s="1"/>
  <c r="P34" i="7"/>
  <c r="P34" i="3" s="1"/>
  <c r="P35" i="7"/>
  <c r="P35" i="3" s="1"/>
  <c r="P36" i="7"/>
  <c r="P36" i="3" s="1"/>
  <c r="P37" i="7"/>
  <c r="P37" i="3" s="1"/>
  <c r="P38" i="7"/>
  <c r="P38" i="3" s="1"/>
  <c r="P39" i="7"/>
  <c r="P39" i="3" s="1"/>
  <c r="P40" i="7"/>
  <c r="P40" i="3" s="1"/>
  <c r="P41" i="7"/>
  <c r="P41" i="3" s="1"/>
  <c r="P42" i="7"/>
  <c r="P42" i="3" s="1"/>
  <c r="P43" i="7"/>
  <c r="P43" i="3" s="1"/>
  <c r="P44" i="7"/>
  <c r="P44" i="3" s="1"/>
  <c r="P45" i="7"/>
  <c r="P45" i="3" s="1"/>
  <c r="P46" i="7"/>
  <c r="P46" i="3" s="1"/>
  <c r="P47" i="7"/>
  <c r="P47" i="3" s="1"/>
  <c r="P48" i="7"/>
  <c r="P48" i="3" s="1"/>
  <c r="P49" i="7"/>
  <c r="P49" i="3" s="1"/>
  <c r="P50" i="7"/>
  <c r="P50" i="3" s="1"/>
  <c r="P51" i="7"/>
  <c r="P51" i="3" s="1"/>
  <c r="P52" i="7"/>
  <c r="P52" i="3" s="1"/>
  <c r="P53" i="7"/>
  <c r="P53" i="3" s="1"/>
  <c r="P54" i="7"/>
  <c r="P54" i="3" s="1"/>
  <c r="P55" i="7"/>
  <c r="P55" i="3" s="1"/>
  <c r="P56" i="7"/>
  <c r="P56" i="3" s="1"/>
  <c r="P57" i="7"/>
  <c r="P57" i="3" s="1"/>
  <c r="P58" i="7"/>
  <c r="P58" i="3" s="1"/>
  <c r="P59" i="7"/>
  <c r="P59" i="3" s="1"/>
  <c r="P60" i="7"/>
  <c r="P60" i="3" s="1"/>
  <c r="P61" i="7"/>
  <c r="P61" i="3" s="1"/>
  <c r="P62" i="7"/>
  <c r="P62" i="3" s="1"/>
  <c r="P63" i="7"/>
  <c r="P63" i="3" s="1"/>
  <c r="P64" i="7"/>
  <c r="P64" i="3" s="1"/>
  <c r="P65" i="7"/>
  <c r="P65" i="3" s="1"/>
  <c r="P66" i="7"/>
  <c r="P66" i="3" s="1"/>
  <c r="P67" i="7"/>
  <c r="P67" i="3" s="1"/>
  <c r="P68" i="7"/>
  <c r="P68" i="3" s="1"/>
  <c r="P69" i="7"/>
  <c r="P69" i="3" s="1"/>
  <c r="P70" i="7"/>
  <c r="P70" i="3" s="1"/>
  <c r="P71" i="7"/>
  <c r="P71" i="3" s="1"/>
  <c r="P72" i="7"/>
  <c r="P72" i="3" s="1"/>
  <c r="P73" i="7"/>
  <c r="P73" i="3" s="1"/>
  <c r="P74" i="7"/>
  <c r="P74" i="3" s="1"/>
  <c r="P75" i="7"/>
  <c r="P75" i="3" s="1"/>
  <c r="P76" i="7"/>
  <c r="P76" i="3" s="1"/>
  <c r="P77" i="7"/>
  <c r="P77" i="3" s="1"/>
  <c r="P78" i="7"/>
  <c r="P78" i="3" s="1"/>
  <c r="P79" i="7"/>
  <c r="P79" i="3" s="1"/>
  <c r="P80" i="7"/>
  <c r="P80" i="3" s="1"/>
  <c r="P81" i="7"/>
  <c r="P81" i="3" s="1"/>
  <c r="P82" i="7"/>
  <c r="P82" i="3" s="1"/>
  <c r="P83" i="7"/>
  <c r="P83" i="3" s="1"/>
  <c r="P84" i="7"/>
  <c r="P84" i="3" s="1"/>
  <c r="P85" i="7"/>
  <c r="P85" i="3" s="1"/>
  <c r="P86" i="7"/>
  <c r="P86" i="3" s="1"/>
  <c r="P87" i="7"/>
  <c r="P87" i="3" s="1"/>
  <c r="P88" i="7"/>
  <c r="P88" i="3" s="1"/>
  <c r="P89" i="7"/>
  <c r="P89" i="3" s="1"/>
  <c r="P90" i="7"/>
  <c r="P90" i="3" s="1"/>
  <c r="P91" i="7"/>
  <c r="P91" i="3" s="1"/>
  <c r="P92" i="7"/>
  <c r="P92" i="3" s="1"/>
  <c r="P93" i="7"/>
  <c r="P93" i="3" s="1"/>
  <c r="P94" i="7"/>
  <c r="P94" i="3" s="1"/>
  <c r="P95" i="7"/>
  <c r="P95" i="3" s="1"/>
  <c r="P96" i="7"/>
  <c r="P96" i="3" s="1"/>
  <c r="P97" i="7"/>
  <c r="P97" i="3" s="1"/>
  <c r="P98" i="7"/>
  <c r="P98" i="3" s="1"/>
  <c r="P99" i="7"/>
  <c r="P99" i="3" s="1"/>
  <c r="P100" i="7"/>
  <c r="P100" i="3" s="1"/>
  <c r="P101" i="7"/>
  <c r="P101" i="3" s="1"/>
  <c r="P102" i="7"/>
  <c r="P102" i="3" s="1"/>
  <c r="P103" i="7"/>
  <c r="P103" i="3" s="1"/>
  <c r="P104" i="7"/>
  <c r="P104" i="3" s="1"/>
  <c r="P105" i="7"/>
  <c r="P105" i="3" s="1"/>
  <c r="P106" i="7"/>
  <c r="P106" i="3" s="1"/>
  <c r="P107" i="7"/>
  <c r="P107" i="3" s="1"/>
  <c r="P108" i="7"/>
  <c r="P108" i="3" s="1"/>
  <c r="P109" i="7"/>
  <c r="P109" i="3" s="1"/>
  <c r="P110" i="7"/>
  <c r="P110" i="3" s="1"/>
  <c r="P111" i="7"/>
  <c r="P111" i="3" s="1"/>
  <c r="P112" i="7"/>
  <c r="P112" i="3" s="1"/>
  <c r="P113" i="7"/>
  <c r="P113" i="3" s="1"/>
  <c r="P114" i="7"/>
  <c r="P114" i="3" s="1"/>
  <c r="P115" i="7"/>
  <c r="P115" i="3" s="1"/>
  <c r="P116" i="7"/>
  <c r="P116" i="3" s="1"/>
  <c r="P117" i="7"/>
  <c r="P117" i="3" s="1"/>
  <c r="P118" i="7"/>
  <c r="P118" i="3" s="1"/>
  <c r="P119" i="7"/>
  <c r="P119" i="3" s="1"/>
  <c r="P120" i="7"/>
  <c r="P120" i="3" s="1"/>
  <c r="P121" i="7"/>
  <c r="P121" i="3" s="1"/>
  <c r="P122" i="7"/>
  <c r="P122" i="3" s="1"/>
  <c r="P123" i="7"/>
  <c r="P123" i="3" s="1"/>
  <c r="P124" i="7"/>
  <c r="P124" i="3" s="1"/>
  <c r="P125" i="7"/>
  <c r="P125" i="3" s="1"/>
  <c r="P126" i="7"/>
  <c r="P126" i="3" s="1"/>
  <c r="P127" i="7"/>
  <c r="P127" i="3" s="1"/>
  <c r="P128" i="7"/>
  <c r="P128" i="3" s="1"/>
  <c r="P129" i="7"/>
  <c r="P129" i="3" s="1"/>
  <c r="P130" i="7"/>
  <c r="P130" i="3" s="1"/>
  <c r="P131" i="7"/>
  <c r="P131" i="3" s="1"/>
  <c r="P132" i="7"/>
  <c r="P132" i="3" s="1"/>
  <c r="P133" i="7"/>
  <c r="P133" i="3" s="1"/>
  <c r="P134" i="7"/>
  <c r="P134" i="3" s="1"/>
  <c r="P135" i="7"/>
  <c r="P135" i="3" s="1"/>
  <c r="P136" i="7"/>
  <c r="P136" i="3" s="1"/>
  <c r="P137" i="7"/>
  <c r="P137" i="3" s="1"/>
  <c r="P2" i="7"/>
  <c r="O2" i="7"/>
  <c r="O3" i="7"/>
  <c r="O3" i="3" s="1"/>
  <c r="O4" i="7"/>
  <c r="O4" i="3" s="1"/>
  <c r="O5" i="7"/>
  <c r="O5" i="3" s="1"/>
  <c r="O6" i="7"/>
  <c r="O6" i="3" s="1"/>
  <c r="O7" i="7"/>
  <c r="O7" i="3" s="1"/>
  <c r="O8" i="7"/>
  <c r="O8" i="3" s="1"/>
  <c r="O9" i="7"/>
  <c r="O9" i="3" s="1"/>
  <c r="O10" i="7"/>
  <c r="O10" i="3" s="1"/>
  <c r="O11" i="7"/>
  <c r="O11" i="3" s="1"/>
  <c r="O12" i="7"/>
  <c r="O12" i="3" s="1"/>
  <c r="O13" i="7"/>
  <c r="O13" i="3" s="1"/>
  <c r="O14" i="7"/>
  <c r="O14" i="3" s="1"/>
  <c r="O15" i="7"/>
  <c r="O15" i="3" s="1"/>
  <c r="O16" i="7"/>
  <c r="O16" i="3" s="1"/>
  <c r="O17" i="7"/>
  <c r="O17" i="3" s="1"/>
  <c r="O18" i="7"/>
  <c r="O18" i="3" s="1"/>
  <c r="O19" i="7"/>
  <c r="O19" i="3" s="1"/>
  <c r="O20" i="7"/>
  <c r="O20" i="3" s="1"/>
  <c r="O21" i="7"/>
  <c r="O21" i="3" s="1"/>
  <c r="O22" i="7"/>
  <c r="O22" i="3" s="1"/>
  <c r="O23" i="7"/>
  <c r="O23" i="3" s="1"/>
  <c r="O24" i="7"/>
  <c r="O24" i="3" s="1"/>
  <c r="O25" i="7"/>
  <c r="O25" i="3" s="1"/>
  <c r="O26" i="7"/>
  <c r="O26" i="3" s="1"/>
  <c r="O27" i="7"/>
  <c r="O27" i="3" s="1"/>
  <c r="O28" i="7"/>
  <c r="O28" i="3" s="1"/>
  <c r="O29" i="7"/>
  <c r="O29" i="3" s="1"/>
  <c r="O30" i="7"/>
  <c r="O30" i="3" s="1"/>
  <c r="O31" i="7"/>
  <c r="O31" i="3" s="1"/>
  <c r="O32" i="7"/>
  <c r="O32" i="3" s="1"/>
  <c r="O33" i="7"/>
  <c r="O33" i="3" s="1"/>
  <c r="O34" i="7"/>
  <c r="O34" i="3" s="1"/>
  <c r="O35" i="7"/>
  <c r="O35" i="3" s="1"/>
  <c r="O36" i="7"/>
  <c r="O36" i="3" s="1"/>
  <c r="O37" i="7"/>
  <c r="O37" i="3" s="1"/>
  <c r="O38" i="7"/>
  <c r="O38" i="3" s="1"/>
  <c r="O39" i="7"/>
  <c r="O39" i="3" s="1"/>
  <c r="O40" i="7"/>
  <c r="O40" i="3" s="1"/>
  <c r="O41" i="7"/>
  <c r="O41" i="3" s="1"/>
  <c r="O42" i="7"/>
  <c r="O42" i="3" s="1"/>
  <c r="O43" i="7"/>
  <c r="O43" i="3" s="1"/>
  <c r="O44" i="7"/>
  <c r="O44" i="3" s="1"/>
  <c r="O45" i="7"/>
  <c r="O45" i="3" s="1"/>
  <c r="O46" i="7"/>
  <c r="O46" i="3" s="1"/>
  <c r="O47" i="7"/>
  <c r="O47" i="3" s="1"/>
  <c r="O48" i="7"/>
  <c r="O48" i="3" s="1"/>
  <c r="O49" i="7"/>
  <c r="O49" i="3" s="1"/>
  <c r="O50" i="7"/>
  <c r="O50" i="3" s="1"/>
  <c r="O51" i="7"/>
  <c r="O51" i="3" s="1"/>
  <c r="O52" i="7"/>
  <c r="O52" i="3" s="1"/>
  <c r="O53" i="7"/>
  <c r="O53" i="3" s="1"/>
  <c r="O54" i="7"/>
  <c r="O54" i="3" s="1"/>
  <c r="O55" i="7"/>
  <c r="O55" i="3" s="1"/>
  <c r="O56" i="7"/>
  <c r="O56" i="3" s="1"/>
  <c r="O57" i="7"/>
  <c r="O57" i="3" s="1"/>
  <c r="O58" i="7"/>
  <c r="O58" i="3" s="1"/>
  <c r="O59" i="7"/>
  <c r="O59" i="3" s="1"/>
  <c r="O60" i="7"/>
  <c r="O60" i="3" s="1"/>
  <c r="O61" i="7"/>
  <c r="O61" i="3" s="1"/>
  <c r="O62" i="7"/>
  <c r="O62" i="3" s="1"/>
  <c r="O63" i="7"/>
  <c r="O63" i="3" s="1"/>
  <c r="O64" i="7"/>
  <c r="O64" i="3" s="1"/>
  <c r="O65" i="7"/>
  <c r="O65" i="3" s="1"/>
  <c r="O66" i="7"/>
  <c r="O66" i="3" s="1"/>
  <c r="O67" i="7"/>
  <c r="O67" i="3" s="1"/>
  <c r="O68" i="7"/>
  <c r="O68" i="3" s="1"/>
  <c r="O69" i="7"/>
  <c r="O69" i="3" s="1"/>
  <c r="O70" i="7"/>
  <c r="O70" i="3" s="1"/>
  <c r="O71" i="7"/>
  <c r="O71" i="3" s="1"/>
  <c r="O72" i="7"/>
  <c r="O72" i="3" s="1"/>
  <c r="O73" i="7"/>
  <c r="O73" i="3" s="1"/>
  <c r="O74" i="7"/>
  <c r="O74" i="3" s="1"/>
  <c r="O75" i="7"/>
  <c r="O75" i="3" s="1"/>
  <c r="O76" i="7"/>
  <c r="O76" i="3" s="1"/>
  <c r="O77" i="7"/>
  <c r="O77" i="3" s="1"/>
  <c r="O78" i="7"/>
  <c r="O78" i="3" s="1"/>
  <c r="O79" i="7"/>
  <c r="O79" i="3" s="1"/>
  <c r="O80" i="7"/>
  <c r="O80" i="3" s="1"/>
  <c r="O81" i="7"/>
  <c r="O81" i="3" s="1"/>
  <c r="O82" i="7"/>
  <c r="O82" i="3" s="1"/>
  <c r="O83" i="7"/>
  <c r="O83" i="3" s="1"/>
  <c r="O84" i="7"/>
  <c r="O84" i="3" s="1"/>
  <c r="O85" i="7"/>
  <c r="O85" i="3" s="1"/>
  <c r="O86" i="7"/>
  <c r="O86" i="3" s="1"/>
  <c r="O87" i="7"/>
  <c r="O87" i="3" s="1"/>
  <c r="O88" i="7"/>
  <c r="O88" i="3" s="1"/>
  <c r="O89" i="7"/>
  <c r="O89" i="3" s="1"/>
  <c r="O90" i="7"/>
  <c r="O90" i="3" s="1"/>
  <c r="O91" i="7"/>
  <c r="O91" i="3" s="1"/>
  <c r="O92" i="7"/>
  <c r="O92" i="3" s="1"/>
  <c r="O93" i="7"/>
  <c r="O93" i="3" s="1"/>
  <c r="O94" i="7"/>
  <c r="O94" i="3" s="1"/>
  <c r="O95" i="7"/>
  <c r="O95" i="3" s="1"/>
  <c r="O96" i="7"/>
  <c r="O96" i="3" s="1"/>
  <c r="O97" i="7"/>
  <c r="O97" i="3" s="1"/>
  <c r="O98" i="7"/>
  <c r="O98" i="3" s="1"/>
  <c r="O99" i="7"/>
  <c r="O99" i="3" s="1"/>
  <c r="O100" i="7"/>
  <c r="O100" i="3" s="1"/>
  <c r="O101" i="7"/>
  <c r="O101" i="3" s="1"/>
  <c r="O102" i="7"/>
  <c r="O102" i="3" s="1"/>
  <c r="O103" i="7"/>
  <c r="O103" i="3" s="1"/>
  <c r="O104" i="7"/>
  <c r="O104" i="3" s="1"/>
  <c r="O105" i="7"/>
  <c r="O105" i="3" s="1"/>
  <c r="O106" i="7"/>
  <c r="O106" i="3" s="1"/>
  <c r="O107" i="7"/>
  <c r="O107" i="3" s="1"/>
  <c r="O108" i="7"/>
  <c r="O108" i="3" s="1"/>
  <c r="O109" i="7"/>
  <c r="O109" i="3" s="1"/>
  <c r="O110" i="7"/>
  <c r="O110" i="3" s="1"/>
  <c r="O111" i="7"/>
  <c r="O111" i="3" s="1"/>
  <c r="O112" i="7"/>
  <c r="O112" i="3" s="1"/>
  <c r="O113" i="7"/>
  <c r="O113" i="3" s="1"/>
  <c r="O114" i="7"/>
  <c r="O114" i="3" s="1"/>
  <c r="O115" i="7"/>
  <c r="O115" i="3" s="1"/>
  <c r="O116" i="7"/>
  <c r="O116" i="3" s="1"/>
  <c r="O117" i="7"/>
  <c r="O117" i="3" s="1"/>
  <c r="O118" i="7"/>
  <c r="O118" i="3" s="1"/>
  <c r="O119" i="7"/>
  <c r="O119" i="3" s="1"/>
  <c r="O120" i="7"/>
  <c r="O120" i="3" s="1"/>
  <c r="O121" i="7"/>
  <c r="O121" i="3" s="1"/>
  <c r="O122" i="7"/>
  <c r="O122" i="3" s="1"/>
  <c r="O123" i="7"/>
  <c r="O123" i="3" s="1"/>
  <c r="O124" i="7"/>
  <c r="O124" i="3" s="1"/>
  <c r="O125" i="7"/>
  <c r="O125" i="3" s="1"/>
  <c r="O126" i="7"/>
  <c r="O126" i="3" s="1"/>
  <c r="O127" i="7"/>
  <c r="O127" i="3" s="1"/>
  <c r="O128" i="7"/>
  <c r="O128" i="3" s="1"/>
  <c r="O129" i="7"/>
  <c r="O129" i="3" s="1"/>
  <c r="O130" i="7"/>
  <c r="O130" i="3" s="1"/>
  <c r="O131" i="7"/>
  <c r="O131" i="3" s="1"/>
  <c r="O132" i="7"/>
  <c r="O132" i="3" s="1"/>
  <c r="O133" i="7"/>
  <c r="O133" i="3" s="1"/>
  <c r="O134" i="7"/>
  <c r="O134" i="3" s="1"/>
  <c r="O135" i="7"/>
  <c r="O135" i="3" s="1"/>
  <c r="O136" i="7"/>
  <c r="O136" i="3" s="1"/>
  <c r="O137" i="7"/>
  <c r="O137" i="3" s="1"/>
  <c r="N2" i="7"/>
  <c r="N3" i="7"/>
  <c r="N3" i="3" s="1"/>
  <c r="N4" i="7"/>
  <c r="N4" i="3" s="1"/>
  <c r="N5" i="7"/>
  <c r="N5" i="3" s="1"/>
  <c r="N6" i="7"/>
  <c r="N6" i="3" s="1"/>
  <c r="N7" i="7"/>
  <c r="N7" i="3" s="1"/>
  <c r="N8" i="7"/>
  <c r="N8" i="3" s="1"/>
  <c r="N9" i="7"/>
  <c r="N9" i="3" s="1"/>
  <c r="N10" i="7"/>
  <c r="N10" i="3" s="1"/>
  <c r="N11" i="7"/>
  <c r="N11" i="3" s="1"/>
  <c r="N12" i="7"/>
  <c r="N12" i="3" s="1"/>
  <c r="N13" i="7"/>
  <c r="N13" i="3" s="1"/>
  <c r="N14" i="7"/>
  <c r="N14" i="3" s="1"/>
  <c r="N15" i="7"/>
  <c r="N15" i="3" s="1"/>
  <c r="N16" i="7"/>
  <c r="N16" i="3" s="1"/>
  <c r="N17" i="7"/>
  <c r="N17" i="3" s="1"/>
  <c r="N18" i="7"/>
  <c r="N18" i="3" s="1"/>
  <c r="N19" i="7"/>
  <c r="N19" i="3" s="1"/>
  <c r="N20" i="7"/>
  <c r="N20" i="3" s="1"/>
  <c r="N21" i="7"/>
  <c r="N21" i="3" s="1"/>
  <c r="N22" i="7"/>
  <c r="N22" i="3" s="1"/>
  <c r="N23" i="7"/>
  <c r="N23" i="3" s="1"/>
  <c r="N24" i="7"/>
  <c r="N24" i="3" s="1"/>
  <c r="N25" i="7"/>
  <c r="N25" i="3" s="1"/>
  <c r="N26" i="7"/>
  <c r="N26" i="3" s="1"/>
  <c r="N27" i="7"/>
  <c r="N27" i="3" s="1"/>
  <c r="N28" i="7"/>
  <c r="N28" i="3" s="1"/>
  <c r="N29" i="7"/>
  <c r="N29" i="3" s="1"/>
  <c r="N30" i="7"/>
  <c r="N30" i="3" s="1"/>
  <c r="N31" i="7"/>
  <c r="N31" i="3" s="1"/>
  <c r="N32" i="7"/>
  <c r="N32" i="3" s="1"/>
  <c r="N33" i="7"/>
  <c r="N33" i="3" s="1"/>
  <c r="N34" i="7"/>
  <c r="N34" i="3" s="1"/>
  <c r="N35" i="7"/>
  <c r="N36" i="7"/>
  <c r="N36" i="3" s="1"/>
  <c r="N37" i="7"/>
  <c r="N37" i="3" s="1"/>
  <c r="N38" i="7"/>
  <c r="N38" i="3" s="1"/>
  <c r="N39" i="7"/>
  <c r="N39" i="3" s="1"/>
  <c r="N40" i="7"/>
  <c r="N40" i="3" s="1"/>
  <c r="N41" i="7"/>
  <c r="N41" i="3" s="1"/>
  <c r="N42" i="7"/>
  <c r="N42" i="3" s="1"/>
  <c r="N43" i="7"/>
  <c r="N43" i="3" s="1"/>
  <c r="N44" i="7"/>
  <c r="N44" i="3" s="1"/>
  <c r="N45" i="7"/>
  <c r="N45" i="3" s="1"/>
  <c r="N46" i="7"/>
  <c r="N46" i="3" s="1"/>
  <c r="N47" i="7"/>
  <c r="N47" i="3" s="1"/>
  <c r="N48" i="7"/>
  <c r="N48" i="3" s="1"/>
  <c r="N49" i="7"/>
  <c r="N49" i="3" s="1"/>
  <c r="N50" i="7"/>
  <c r="N50" i="3" s="1"/>
  <c r="N51" i="7"/>
  <c r="N51" i="3" s="1"/>
  <c r="N52" i="7"/>
  <c r="N52" i="3" s="1"/>
  <c r="N53" i="7"/>
  <c r="N53" i="3" s="1"/>
  <c r="N54" i="7"/>
  <c r="N54" i="3" s="1"/>
  <c r="N55" i="7"/>
  <c r="N55" i="3" s="1"/>
  <c r="N56" i="7"/>
  <c r="N56" i="3" s="1"/>
  <c r="N57" i="7"/>
  <c r="N57" i="3" s="1"/>
  <c r="N58" i="7"/>
  <c r="N58" i="3" s="1"/>
  <c r="N59" i="7"/>
  <c r="N59" i="3" s="1"/>
  <c r="N60" i="7"/>
  <c r="N60" i="3" s="1"/>
  <c r="N61" i="7"/>
  <c r="N61" i="3" s="1"/>
  <c r="N62" i="7"/>
  <c r="N62" i="3" s="1"/>
  <c r="N63" i="7"/>
  <c r="N63" i="3" s="1"/>
  <c r="N64" i="7"/>
  <c r="N64" i="3" s="1"/>
  <c r="N65" i="7"/>
  <c r="N65" i="3" s="1"/>
  <c r="N66" i="7"/>
  <c r="N66" i="3" s="1"/>
  <c r="N67" i="7"/>
  <c r="N67" i="3" s="1"/>
  <c r="N68" i="7"/>
  <c r="N68" i="3" s="1"/>
  <c r="N69" i="7"/>
  <c r="N69" i="3" s="1"/>
  <c r="N70" i="7"/>
  <c r="N70" i="3" s="1"/>
  <c r="N71" i="7"/>
  <c r="N71" i="3" s="1"/>
  <c r="N72" i="7"/>
  <c r="N72" i="3" s="1"/>
  <c r="N73" i="7"/>
  <c r="N73" i="3" s="1"/>
  <c r="N74" i="7"/>
  <c r="N74" i="3" s="1"/>
  <c r="N75" i="7"/>
  <c r="N75" i="3" s="1"/>
  <c r="N76" i="7"/>
  <c r="N76" i="3" s="1"/>
  <c r="N77" i="7"/>
  <c r="N78" i="7"/>
  <c r="N78" i="3" s="1"/>
  <c r="N79" i="7"/>
  <c r="N79" i="3" s="1"/>
  <c r="N80" i="7"/>
  <c r="N80" i="3" s="1"/>
  <c r="N81" i="7"/>
  <c r="N81" i="3" s="1"/>
  <c r="N82" i="7"/>
  <c r="N82" i="3" s="1"/>
  <c r="N83" i="7"/>
  <c r="N83" i="3" s="1"/>
  <c r="N84" i="7"/>
  <c r="N84" i="3" s="1"/>
  <c r="N85" i="7"/>
  <c r="N85" i="3" s="1"/>
  <c r="N86" i="7"/>
  <c r="N86" i="3" s="1"/>
  <c r="N87" i="7"/>
  <c r="N87" i="3" s="1"/>
  <c r="N88" i="7"/>
  <c r="N88" i="3" s="1"/>
  <c r="N89" i="7"/>
  <c r="N90" i="7"/>
  <c r="N90" i="3" s="1"/>
  <c r="N91" i="7"/>
  <c r="N91" i="3" s="1"/>
  <c r="N92" i="7"/>
  <c r="N92" i="3" s="1"/>
  <c r="N93" i="7"/>
  <c r="N93" i="3" s="1"/>
  <c r="N94" i="7"/>
  <c r="N94" i="3" s="1"/>
  <c r="N95" i="7"/>
  <c r="N95" i="3" s="1"/>
  <c r="N96" i="7"/>
  <c r="N97" i="7"/>
  <c r="N97" i="3" s="1"/>
  <c r="N98" i="7"/>
  <c r="N98" i="3" s="1"/>
  <c r="N99" i="7"/>
  <c r="N99" i="3" s="1"/>
  <c r="N100" i="7"/>
  <c r="N100" i="3" s="1"/>
  <c r="N101" i="7"/>
  <c r="N101" i="3" s="1"/>
  <c r="N102" i="7"/>
  <c r="N102" i="3" s="1"/>
  <c r="N103" i="7"/>
  <c r="N103" i="3" s="1"/>
  <c r="N104" i="7"/>
  <c r="N104" i="3" s="1"/>
  <c r="N105" i="7"/>
  <c r="N105" i="3" s="1"/>
  <c r="N106" i="7"/>
  <c r="N106" i="3" s="1"/>
  <c r="N107" i="7"/>
  <c r="N108" i="7"/>
  <c r="N108" i="3" s="1"/>
  <c r="N109" i="7"/>
  <c r="N109" i="3" s="1"/>
  <c r="N110" i="7"/>
  <c r="N110" i="3" s="1"/>
  <c r="N111" i="7"/>
  <c r="N111" i="3" s="1"/>
  <c r="N112" i="7"/>
  <c r="N112" i="3" s="1"/>
  <c r="N113" i="7"/>
  <c r="N113" i="3" s="1"/>
  <c r="N114" i="7"/>
  <c r="N114" i="3" s="1"/>
  <c r="N115" i="7"/>
  <c r="N115" i="3" s="1"/>
  <c r="N116" i="7"/>
  <c r="N116" i="3" s="1"/>
  <c r="N117" i="7"/>
  <c r="N117" i="3" s="1"/>
  <c r="N118" i="7"/>
  <c r="N118" i="3" s="1"/>
  <c r="N119" i="7"/>
  <c r="N119" i="3" s="1"/>
  <c r="N120" i="7"/>
  <c r="N120" i="3" s="1"/>
  <c r="N121" i="7"/>
  <c r="N121" i="3" s="1"/>
  <c r="N122" i="7"/>
  <c r="N122" i="3" s="1"/>
  <c r="N123" i="7"/>
  <c r="N123" i="3" s="1"/>
  <c r="N124" i="7"/>
  <c r="N124" i="3" s="1"/>
  <c r="N125" i="7"/>
  <c r="N125" i="3" s="1"/>
  <c r="N126" i="7"/>
  <c r="N126" i="3" s="1"/>
  <c r="N127" i="7"/>
  <c r="N127" i="3" s="1"/>
  <c r="N128" i="7"/>
  <c r="N129" i="7"/>
  <c r="N129" i="3" s="1"/>
  <c r="N130" i="7"/>
  <c r="N130" i="3" s="1"/>
  <c r="N131" i="7"/>
  <c r="N131" i="3" s="1"/>
  <c r="N132" i="7"/>
  <c r="N132" i="3" s="1"/>
  <c r="N133" i="7"/>
  <c r="N133" i="3" s="1"/>
  <c r="N134" i="7"/>
  <c r="N134" i="3" s="1"/>
  <c r="N135" i="7"/>
  <c r="N135" i="3" s="1"/>
  <c r="N136" i="7"/>
  <c r="N136" i="3" s="1"/>
  <c r="N137" i="7"/>
  <c r="N137" i="3" s="1"/>
  <c r="M2" i="7"/>
  <c r="M3" i="7"/>
  <c r="M3" i="3" s="1"/>
  <c r="M4" i="7"/>
  <c r="M4" i="3" s="1"/>
  <c r="M5" i="7"/>
  <c r="M5" i="3" s="1"/>
  <c r="M6" i="7"/>
  <c r="M6" i="3" s="1"/>
  <c r="M7" i="7"/>
  <c r="M7" i="3" s="1"/>
  <c r="M8" i="7"/>
  <c r="M8" i="3" s="1"/>
  <c r="M9" i="7"/>
  <c r="M9" i="3" s="1"/>
  <c r="M10" i="7"/>
  <c r="M10" i="3" s="1"/>
  <c r="M11" i="7"/>
  <c r="M11" i="3" s="1"/>
  <c r="M12" i="7"/>
  <c r="M12" i="3" s="1"/>
  <c r="M13" i="7"/>
  <c r="M13" i="3" s="1"/>
  <c r="M14" i="7"/>
  <c r="M14" i="3" s="1"/>
  <c r="M15" i="7"/>
  <c r="M15" i="3" s="1"/>
  <c r="M16" i="7"/>
  <c r="M16" i="3" s="1"/>
  <c r="M17" i="7"/>
  <c r="M17" i="3" s="1"/>
  <c r="M18" i="7"/>
  <c r="M18" i="3" s="1"/>
  <c r="M19" i="7"/>
  <c r="M19" i="3" s="1"/>
  <c r="M20" i="7"/>
  <c r="M20" i="3" s="1"/>
  <c r="M21" i="7"/>
  <c r="M21" i="3" s="1"/>
  <c r="M22" i="7"/>
  <c r="M22" i="3" s="1"/>
  <c r="M23" i="7"/>
  <c r="M23" i="3" s="1"/>
  <c r="M24" i="7"/>
  <c r="M24" i="3" s="1"/>
  <c r="M25" i="7"/>
  <c r="M25" i="3" s="1"/>
  <c r="M26" i="7"/>
  <c r="M26" i="3" s="1"/>
  <c r="M27" i="7"/>
  <c r="M27" i="3" s="1"/>
  <c r="M28" i="7"/>
  <c r="M28" i="3" s="1"/>
  <c r="M29" i="7"/>
  <c r="M29" i="3" s="1"/>
  <c r="M30" i="7"/>
  <c r="M30" i="3" s="1"/>
  <c r="M31" i="7"/>
  <c r="M31" i="3" s="1"/>
  <c r="M32" i="7"/>
  <c r="M32" i="3" s="1"/>
  <c r="M33" i="7"/>
  <c r="M33" i="3" s="1"/>
  <c r="M34" i="7"/>
  <c r="M34" i="3" s="1"/>
  <c r="M35" i="7"/>
  <c r="M35" i="3" s="1"/>
  <c r="M36" i="7"/>
  <c r="M36" i="3" s="1"/>
  <c r="M37" i="7"/>
  <c r="M37" i="3" s="1"/>
  <c r="M38" i="7"/>
  <c r="M38" i="3" s="1"/>
  <c r="M39" i="7"/>
  <c r="M39" i="3" s="1"/>
  <c r="M40" i="7"/>
  <c r="M40" i="3" s="1"/>
  <c r="M41" i="7"/>
  <c r="M41" i="3" s="1"/>
  <c r="M42" i="7"/>
  <c r="M42" i="3" s="1"/>
  <c r="M43" i="7"/>
  <c r="M43" i="3" s="1"/>
  <c r="M44" i="7"/>
  <c r="M44" i="3" s="1"/>
  <c r="M45" i="7"/>
  <c r="M45" i="3" s="1"/>
  <c r="M46" i="7"/>
  <c r="M46" i="3" s="1"/>
  <c r="M47" i="7"/>
  <c r="M47" i="3" s="1"/>
  <c r="M48" i="7"/>
  <c r="M48" i="3" s="1"/>
  <c r="M49" i="7"/>
  <c r="M49" i="3" s="1"/>
  <c r="M50" i="7"/>
  <c r="M50" i="3" s="1"/>
  <c r="M51" i="7"/>
  <c r="M51" i="3" s="1"/>
  <c r="M52" i="7"/>
  <c r="M52" i="3" s="1"/>
  <c r="M53" i="7"/>
  <c r="M53" i="3" s="1"/>
  <c r="M54" i="7"/>
  <c r="M54" i="3" s="1"/>
  <c r="M55" i="7"/>
  <c r="M55" i="3" s="1"/>
  <c r="M56" i="7"/>
  <c r="M56" i="3" s="1"/>
  <c r="M57" i="7"/>
  <c r="M57" i="3" s="1"/>
  <c r="M58" i="7"/>
  <c r="M58" i="3" s="1"/>
  <c r="M59" i="7"/>
  <c r="M59" i="3" s="1"/>
  <c r="M60" i="7"/>
  <c r="M60" i="3" s="1"/>
  <c r="M61" i="7"/>
  <c r="M61" i="3" s="1"/>
  <c r="M62" i="7"/>
  <c r="M62" i="3" s="1"/>
  <c r="M63" i="7"/>
  <c r="M63" i="3" s="1"/>
  <c r="M64" i="7"/>
  <c r="M64" i="3" s="1"/>
  <c r="M65" i="7"/>
  <c r="M65" i="3" s="1"/>
  <c r="M66" i="7"/>
  <c r="M66" i="3" s="1"/>
  <c r="M67" i="7"/>
  <c r="M67" i="3" s="1"/>
  <c r="M68" i="7"/>
  <c r="M68" i="3" s="1"/>
  <c r="M69" i="7"/>
  <c r="M69" i="3" s="1"/>
  <c r="M70" i="7"/>
  <c r="M70" i="3" s="1"/>
  <c r="M71" i="7"/>
  <c r="M71" i="3" s="1"/>
  <c r="M72" i="7"/>
  <c r="M72" i="3" s="1"/>
  <c r="M73" i="7"/>
  <c r="M73" i="3" s="1"/>
  <c r="M74" i="7"/>
  <c r="M74" i="3" s="1"/>
  <c r="M75" i="7"/>
  <c r="M75" i="3" s="1"/>
  <c r="M76" i="7"/>
  <c r="M76" i="3" s="1"/>
  <c r="M77" i="7"/>
  <c r="M77" i="3" s="1"/>
  <c r="M78" i="7"/>
  <c r="M78" i="3" s="1"/>
  <c r="M79" i="7"/>
  <c r="M79" i="3" s="1"/>
  <c r="M80" i="7"/>
  <c r="M80" i="3" s="1"/>
  <c r="M81" i="7"/>
  <c r="M81" i="3" s="1"/>
  <c r="M82" i="7"/>
  <c r="M82" i="3" s="1"/>
  <c r="M83" i="7"/>
  <c r="M83" i="3" s="1"/>
  <c r="M84" i="7"/>
  <c r="M84" i="3" s="1"/>
  <c r="M85" i="7"/>
  <c r="M85" i="3" s="1"/>
  <c r="M86" i="7"/>
  <c r="M86" i="3" s="1"/>
  <c r="M87" i="7"/>
  <c r="M87" i="3" s="1"/>
  <c r="M88" i="7"/>
  <c r="M88" i="3" s="1"/>
  <c r="M89" i="7"/>
  <c r="M89" i="3" s="1"/>
  <c r="M90" i="7"/>
  <c r="M90" i="3" s="1"/>
  <c r="M91" i="7"/>
  <c r="M91" i="3" s="1"/>
  <c r="M92" i="7"/>
  <c r="M92" i="3" s="1"/>
  <c r="M93" i="7"/>
  <c r="M93" i="3" s="1"/>
  <c r="M94" i="7"/>
  <c r="M94" i="3" s="1"/>
  <c r="M95" i="7"/>
  <c r="M95" i="3" s="1"/>
  <c r="M96" i="7"/>
  <c r="M97" i="7"/>
  <c r="M97" i="3" s="1"/>
  <c r="M98" i="7"/>
  <c r="M98" i="3" s="1"/>
  <c r="M99" i="7"/>
  <c r="M99" i="3" s="1"/>
  <c r="M100" i="7"/>
  <c r="M100" i="3" s="1"/>
  <c r="M101" i="7"/>
  <c r="M101" i="3" s="1"/>
  <c r="M102" i="7"/>
  <c r="M102" i="3" s="1"/>
  <c r="M103" i="7"/>
  <c r="M103" i="3" s="1"/>
  <c r="M104" i="7"/>
  <c r="M104" i="3" s="1"/>
  <c r="M105" i="7"/>
  <c r="M105" i="3" s="1"/>
  <c r="M106" i="7"/>
  <c r="M106" i="3" s="1"/>
  <c r="M107" i="7"/>
  <c r="M107" i="3" s="1"/>
  <c r="M108" i="7"/>
  <c r="M108" i="3" s="1"/>
  <c r="M109" i="7"/>
  <c r="M109" i="3" s="1"/>
  <c r="M110" i="7"/>
  <c r="M110" i="3" s="1"/>
  <c r="M111" i="7"/>
  <c r="M111" i="3" s="1"/>
  <c r="M112" i="7"/>
  <c r="M112" i="3" s="1"/>
  <c r="M113" i="7"/>
  <c r="M113" i="3" s="1"/>
  <c r="M114" i="7"/>
  <c r="M114" i="3" s="1"/>
  <c r="M115" i="7"/>
  <c r="M115" i="3" s="1"/>
  <c r="M116" i="7"/>
  <c r="M116" i="3" s="1"/>
  <c r="M117" i="7"/>
  <c r="M117" i="3" s="1"/>
  <c r="M118" i="7"/>
  <c r="M118" i="3" s="1"/>
  <c r="M119" i="7"/>
  <c r="M119" i="3" s="1"/>
  <c r="M120" i="7"/>
  <c r="M120" i="3" s="1"/>
  <c r="M121" i="7"/>
  <c r="M121" i="3" s="1"/>
  <c r="M122" i="7"/>
  <c r="M122" i="3" s="1"/>
  <c r="M123" i="7"/>
  <c r="M123" i="3" s="1"/>
  <c r="M124" i="7"/>
  <c r="M124" i="3" s="1"/>
  <c r="M125" i="7"/>
  <c r="M125" i="3" s="1"/>
  <c r="M126" i="7"/>
  <c r="M126" i="3" s="1"/>
  <c r="M127" i="7"/>
  <c r="M127" i="3" s="1"/>
  <c r="M128" i="7"/>
  <c r="M128" i="3" s="1"/>
  <c r="M129" i="7"/>
  <c r="M129" i="3" s="1"/>
  <c r="M130" i="7"/>
  <c r="M130" i="3" s="1"/>
  <c r="M131" i="7"/>
  <c r="M131" i="3" s="1"/>
  <c r="M132" i="7"/>
  <c r="M132" i="3" s="1"/>
  <c r="M133" i="7"/>
  <c r="M133" i="3" s="1"/>
  <c r="M134" i="7"/>
  <c r="M134" i="3" s="1"/>
  <c r="M135" i="7"/>
  <c r="M135" i="3" s="1"/>
  <c r="M136" i="7"/>
  <c r="M136" i="3" s="1"/>
  <c r="M137" i="7"/>
  <c r="M137" i="3" s="1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233" i="7" s="1"/>
  <c r="L233" i="3" s="1"/>
  <c r="L96" i="7"/>
  <c r="L97" i="7"/>
  <c r="L98" i="7"/>
  <c r="L99" i="7"/>
  <c r="L100" i="7"/>
  <c r="L101" i="7"/>
  <c r="L102" i="7"/>
  <c r="L103" i="7"/>
  <c r="L241" i="7" s="1"/>
  <c r="L241" i="3" s="1"/>
  <c r="L104" i="7"/>
  <c r="L105" i="7"/>
  <c r="L106" i="7"/>
  <c r="L107" i="7"/>
  <c r="L108" i="7"/>
  <c r="L109" i="7"/>
  <c r="L110" i="7"/>
  <c r="L111" i="7"/>
  <c r="L249" i="7" s="1"/>
  <c r="L249" i="3" s="1"/>
  <c r="L112" i="7"/>
  <c r="L113" i="7"/>
  <c r="L114" i="7"/>
  <c r="L115" i="7"/>
  <c r="L116" i="7"/>
  <c r="L117" i="7"/>
  <c r="L118" i="7"/>
  <c r="L119" i="7"/>
  <c r="L257" i="7" s="1"/>
  <c r="L257" i="3" s="1"/>
  <c r="L120" i="7"/>
  <c r="L121" i="7"/>
  <c r="L122" i="7"/>
  <c r="L123" i="7"/>
  <c r="L124" i="7"/>
  <c r="L125" i="7"/>
  <c r="L126" i="7"/>
  <c r="L127" i="7"/>
  <c r="L265" i="7" s="1"/>
  <c r="L265" i="3" s="1"/>
  <c r="L128" i="7"/>
  <c r="L129" i="7"/>
  <c r="L130" i="7"/>
  <c r="L131" i="7"/>
  <c r="L132" i="7"/>
  <c r="L133" i="7"/>
  <c r="L134" i="7"/>
  <c r="L135" i="7"/>
  <c r="L273" i="7" s="1"/>
  <c r="L273" i="3" s="1"/>
  <c r="L136" i="7"/>
  <c r="L137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208" i="7" s="1"/>
  <c r="AY208" i="3" s="1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2" i="7"/>
  <c r="I35" i="7"/>
  <c r="I2" i="7"/>
  <c r="P4" i="11" s="1"/>
  <c r="I3" i="7"/>
  <c r="I4" i="7"/>
  <c r="P6" i="11" s="1"/>
  <c r="I5" i="7"/>
  <c r="I6" i="7"/>
  <c r="I7" i="7"/>
  <c r="I8" i="7"/>
  <c r="P14" i="11" s="1"/>
  <c r="I9" i="7"/>
  <c r="I10" i="7"/>
  <c r="I11" i="7"/>
  <c r="I12" i="7"/>
  <c r="P22" i="11" s="1"/>
  <c r="I13" i="7"/>
  <c r="I14" i="7"/>
  <c r="P24" i="11" s="1"/>
  <c r="I15" i="7"/>
  <c r="I16" i="7"/>
  <c r="P26" i="11" s="1"/>
  <c r="I17" i="7"/>
  <c r="I18" i="7"/>
  <c r="I19" i="7"/>
  <c r="I20" i="7"/>
  <c r="P31" i="11" s="1"/>
  <c r="I21" i="7"/>
  <c r="I22" i="7"/>
  <c r="P34" i="11" s="1"/>
  <c r="I23" i="7"/>
  <c r="I24" i="7"/>
  <c r="P37" i="11" s="1"/>
  <c r="I25" i="7"/>
  <c r="I26" i="7"/>
  <c r="P40" i="11" s="1"/>
  <c r="I27" i="7"/>
  <c r="I28" i="7"/>
  <c r="P42" i="11" s="1"/>
  <c r="I29" i="7"/>
  <c r="I30" i="7"/>
  <c r="P43" i="11" s="1"/>
  <c r="I31" i="7"/>
  <c r="I32" i="7"/>
  <c r="I33" i="7"/>
  <c r="I34" i="7"/>
  <c r="P53" i="11" s="1"/>
  <c r="I36" i="7"/>
  <c r="I37" i="7"/>
  <c r="I38" i="7"/>
  <c r="P57" i="11" s="1"/>
  <c r="I39" i="7"/>
  <c r="I40" i="7"/>
  <c r="P59" i="11" s="1"/>
  <c r="I41" i="7"/>
  <c r="I42" i="7"/>
  <c r="P169" i="11" s="1"/>
  <c r="I43" i="7"/>
  <c r="I44" i="7"/>
  <c r="P63" i="11" s="1"/>
  <c r="I45" i="7"/>
  <c r="I46" i="7"/>
  <c r="P67" i="11" s="1"/>
  <c r="I47" i="7"/>
  <c r="I48" i="7"/>
  <c r="P70" i="11" s="1"/>
  <c r="I49" i="7"/>
  <c r="I50" i="7"/>
  <c r="P73" i="11" s="1"/>
  <c r="I51" i="7"/>
  <c r="I52" i="7"/>
  <c r="P75" i="11" s="1"/>
  <c r="I53" i="7"/>
  <c r="I54" i="7"/>
  <c r="P77" i="11" s="1"/>
  <c r="I55" i="7"/>
  <c r="I56" i="7"/>
  <c r="P81" i="11" s="1"/>
  <c r="I57" i="7"/>
  <c r="I58" i="7"/>
  <c r="P83" i="11" s="1"/>
  <c r="I59" i="7"/>
  <c r="I60" i="7"/>
  <c r="I61" i="7"/>
  <c r="I62" i="7"/>
  <c r="P91" i="11" s="1"/>
  <c r="I63" i="7"/>
  <c r="I64" i="7"/>
  <c r="P93" i="11" s="1"/>
  <c r="I65" i="7"/>
  <c r="I66" i="7"/>
  <c r="P95" i="11" s="1"/>
  <c r="I67" i="7"/>
  <c r="I68" i="7"/>
  <c r="P98" i="11" s="1"/>
  <c r="I69" i="7"/>
  <c r="I70" i="7"/>
  <c r="P100" i="11" s="1"/>
  <c r="I71" i="7"/>
  <c r="I72" i="7"/>
  <c r="P104" i="11" s="1"/>
  <c r="I73" i="7"/>
  <c r="I74" i="7"/>
  <c r="P106" i="11" s="1"/>
  <c r="I75" i="7"/>
  <c r="I76" i="7"/>
  <c r="P108" i="11" s="1"/>
  <c r="I77" i="7"/>
  <c r="I78" i="7"/>
  <c r="P111" i="11" s="1"/>
  <c r="I79" i="7"/>
  <c r="I80" i="7"/>
  <c r="P113" i="11" s="1"/>
  <c r="I81" i="7"/>
  <c r="I82" i="7"/>
  <c r="P143" i="11" s="1"/>
  <c r="I83" i="7"/>
  <c r="I84" i="7"/>
  <c r="I85" i="7"/>
  <c r="I86" i="7"/>
  <c r="P119" i="11" s="1"/>
  <c r="I87" i="7"/>
  <c r="I88" i="7"/>
  <c r="P121" i="11" s="1"/>
  <c r="I89" i="7"/>
  <c r="I90" i="7"/>
  <c r="P123" i="11" s="1"/>
  <c r="I91" i="7"/>
  <c r="I92" i="7"/>
  <c r="I93" i="7"/>
  <c r="I94" i="7"/>
  <c r="I95" i="7"/>
  <c r="I96" i="7"/>
  <c r="I97" i="7"/>
  <c r="I98" i="7"/>
  <c r="I99" i="7"/>
  <c r="I100" i="7"/>
  <c r="P138" i="11" s="1"/>
  <c r="I101" i="7"/>
  <c r="I102" i="7"/>
  <c r="I103" i="7"/>
  <c r="I104" i="7"/>
  <c r="P148" i="11" s="1"/>
  <c r="I105" i="7"/>
  <c r="I106" i="7"/>
  <c r="I107" i="7"/>
  <c r="I108" i="7"/>
  <c r="P154" i="11" s="1"/>
  <c r="I109" i="7"/>
  <c r="I110" i="7"/>
  <c r="I111" i="7"/>
  <c r="I112" i="7"/>
  <c r="P162" i="11" s="1"/>
  <c r="I113" i="7"/>
  <c r="I114" i="7"/>
  <c r="I115" i="7"/>
  <c r="I116" i="7"/>
  <c r="I117" i="7"/>
  <c r="I118" i="7"/>
  <c r="I119" i="7"/>
  <c r="I120" i="7"/>
  <c r="P188" i="11" s="1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P196" i="11" s="1"/>
  <c r="I137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165" i="7" s="1"/>
  <c r="J165" i="3" s="1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245" i="7" s="1"/>
  <c r="J245" i="3" s="1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2" i="7"/>
  <c r="D162" i="11" l="1"/>
  <c r="J112" i="3"/>
  <c r="J388" i="7"/>
  <c r="J388" i="3" s="1"/>
  <c r="J250" i="7"/>
  <c r="J250" i="3" s="1"/>
  <c r="D32" i="11"/>
  <c r="J32" i="3"/>
  <c r="J308" i="7"/>
  <c r="J308" i="3" s="1"/>
  <c r="J170" i="7"/>
  <c r="J170" i="3" s="1"/>
  <c r="H87" i="3"/>
  <c r="H225" i="7"/>
  <c r="H363" i="7"/>
  <c r="D126" i="11"/>
  <c r="J91" i="3"/>
  <c r="J367" i="7"/>
  <c r="J367" i="3" s="1"/>
  <c r="D21" i="11"/>
  <c r="J11" i="3"/>
  <c r="J287" i="7"/>
  <c r="J287" i="3" s="1"/>
  <c r="AJ108" i="9"/>
  <c r="O154" i="11"/>
  <c r="AY108" i="3"/>
  <c r="E154" i="11"/>
  <c r="K108" i="3"/>
  <c r="K384" i="7"/>
  <c r="K246" i="7"/>
  <c r="L86" i="3"/>
  <c r="L362" i="7"/>
  <c r="L362" i="3" s="1"/>
  <c r="L224" i="7"/>
  <c r="L224" i="3" s="1"/>
  <c r="H401" i="7"/>
  <c r="H125" i="3"/>
  <c r="H263" i="7"/>
  <c r="H93" i="3"/>
  <c r="H369" i="7"/>
  <c r="H231" i="7"/>
  <c r="H45" i="3"/>
  <c r="H321" i="7"/>
  <c r="H183" i="7"/>
  <c r="H108" i="3"/>
  <c r="H384" i="7"/>
  <c r="H246" i="7"/>
  <c r="H60" i="3"/>
  <c r="H336" i="7"/>
  <c r="H198" i="7"/>
  <c r="H12" i="3"/>
  <c r="H288" i="7"/>
  <c r="H150" i="7"/>
  <c r="D191" i="11"/>
  <c r="J131" i="3"/>
  <c r="J407" i="7"/>
  <c r="J407" i="3" s="1"/>
  <c r="J269" i="7"/>
  <c r="J269" i="3" s="1"/>
  <c r="D166" i="11"/>
  <c r="J115" i="3"/>
  <c r="J391" i="7"/>
  <c r="J391" i="3" s="1"/>
  <c r="J253" i="7"/>
  <c r="J253" i="3" s="1"/>
  <c r="D137" i="11"/>
  <c r="J99" i="3"/>
  <c r="J375" i="7"/>
  <c r="J375" i="3" s="1"/>
  <c r="J237" i="7"/>
  <c r="J237" i="3" s="1"/>
  <c r="D116" i="11"/>
  <c r="J83" i="3"/>
  <c r="J359" i="7"/>
  <c r="J359" i="3" s="1"/>
  <c r="J221" i="7"/>
  <c r="J221" i="3" s="1"/>
  <c r="D96" i="11"/>
  <c r="J67" i="3"/>
  <c r="J343" i="7"/>
  <c r="J343" i="3" s="1"/>
  <c r="J205" i="7"/>
  <c r="J205" i="3" s="1"/>
  <c r="D74" i="11"/>
  <c r="J51" i="3"/>
  <c r="J327" i="7"/>
  <c r="J327" i="3" s="1"/>
  <c r="J189" i="7"/>
  <c r="J189" i="3" s="1"/>
  <c r="D54" i="11"/>
  <c r="J311" i="7"/>
  <c r="J173" i="7"/>
  <c r="D30" i="11"/>
  <c r="J19" i="3"/>
  <c r="J295" i="7"/>
  <c r="J295" i="3" s="1"/>
  <c r="J157" i="7"/>
  <c r="J157" i="3" s="1"/>
  <c r="D5" i="11"/>
  <c r="J3" i="3"/>
  <c r="J279" i="7"/>
  <c r="J279" i="3" s="1"/>
  <c r="J141" i="7"/>
  <c r="J141" i="3" s="1"/>
  <c r="I123" i="3"/>
  <c r="P177" i="11"/>
  <c r="I107" i="3"/>
  <c r="P152" i="11"/>
  <c r="I91" i="3"/>
  <c r="P126" i="11"/>
  <c r="I75" i="3"/>
  <c r="P107" i="11"/>
  <c r="I59" i="3"/>
  <c r="P84" i="11"/>
  <c r="I43" i="3"/>
  <c r="P62" i="11"/>
  <c r="I148" i="7"/>
  <c r="P19" i="11"/>
  <c r="AJ132" i="9"/>
  <c r="O192" i="11"/>
  <c r="AY132" i="3"/>
  <c r="E192" i="11"/>
  <c r="K132" i="3"/>
  <c r="K408" i="7"/>
  <c r="K270" i="7"/>
  <c r="AJ116" i="9"/>
  <c r="O167" i="11"/>
  <c r="AY116" i="3"/>
  <c r="E167" i="11"/>
  <c r="K392" i="7"/>
  <c r="AY392" i="3" s="1"/>
  <c r="K254" i="7"/>
  <c r="AY254" i="3" s="1"/>
  <c r="AJ100" i="9"/>
  <c r="AY100" i="3"/>
  <c r="O138" i="11"/>
  <c r="E138" i="11"/>
  <c r="K100" i="3"/>
  <c r="K376" i="7"/>
  <c r="K238" i="7"/>
  <c r="AJ84" i="9"/>
  <c r="AY84" i="3"/>
  <c r="O117" i="11"/>
  <c r="E117" i="11"/>
  <c r="K360" i="7"/>
  <c r="AY360" i="3" s="1"/>
  <c r="K222" i="7"/>
  <c r="AY222" i="3" s="1"/>
  <c r="AJ68" i="9"/>
  <c r="AY68" i="3"/>
  <c r="O98" i="11"/>
  <c r="E98" i="11"/>
  <c r="K68" i="3"/>
  <c r="K344" i="7"/>
  <c r="K206" i="7"/>
  <c r="AJ52" i="9"/>
  <c r="O75" i="11"/>
  <c r="AY52" i="3"/>
  <c r="E75" i="11"/>
  <c r="K328" i="7"/>
  <c r="AY328" i="3" s="1"/>
  <c r="K190" i="7"/>
  <c r="AY190" i="3" s="1"/>
  <c r="AJ36" i="9"/>
  <c r="O55" i="11"/>
  <c r="AY36" i="3"/>
  <c r="E55" i="11"/>
  <c r="K36" i="3"/>
  <c r="K312" i="7"/>
  <c r="K174" i="7"/>
  <c r="AJ20" i="9"/>
  <c r="O31" i="11"/>
  <c r="AY20" i="3"/>
  <c r="E31" i="11"/>
  <c r="K296" i="7"/>
  <c r="AY296" i="3" s="1"/>
  <c r="K158" i="7"/>
  <c r="AY158" i="3" s="1"/>
  <c r="AJ4" i="9"/>
  <c r="AY4" i="3"/>
  <c r="O6" i="11"/>
  <c r="E6" i="11"/>
  <c r="K4" i="3"/>
  <c r="K280" i="7"/>
  <c r="K142" i="7"/>
  <c r="L23" i="3"/>
  <c r="L299" i="7"/>
  <c r="L299" i="3" s="1"/>
  <c r="L161" i="7"/>
  <c r="L161" i="3" s="1"/>
  <c r="L7" i="3"/>
  <c r="L283" i="7"/>
  <c r="L283" i="3" s="1"/>
  <c r="L145" i="7"/>
  <c r="L145" i="3" s="1"/>
  <c r="L126" i="3"/>
  <c r="L402" i="7"/>
  <c r="L402" i="3" s="1"/>
  <c r="L264" i="7"/>
  <c r="L264" i="3" s="1"/>
  <c r="L110" i="3"/>
  <c r="L386" i="7"/>
  <c r="L386" i="3" s="1"/>
  <c r="L248" i="7"/>
  <c r="L248" i="3" s="1"/>
  <c r="L94" i="3"/>
  <c r="L370" i="7"/>
  <c r="L370" i="3" s="1"/>
  <c r="L232" i="7"/>
  <c r="L232" i="3" s="1"/>
  <c r="L78" i="3"/>
  <c r="L354" i="7"/>
  <c r="L354" i="3" s="1"/>
  <c r="L216" i="7"/>
  <c r="L216" i="3" s="1"/>
  <c r="L62" i="3"/>
  <c r="L338" i="7"/>
  <c r="L338" i="3" s="1"/>
  <c r="L200" i="7"/>
  <c r="L200" i="3" s="1"/>
  <c r="L46" i="3"/>
  <c r="L322" i="7"/>
  <c r="L322" i="3" s="1"/>
  <c r="L184" i="7"/>
  <c r="L184" i="3" s="1"/>
  <c r="AR2" i="3"/>
  <c r="AR278" i="7"/>
  <c r="AR140" i="7"/>
  <c r="AR140" i="3" s="1"/>
  <c r="AV311" i="7"/>
  <c r="AV173" i="7"/>
  <c r="AF311" i="7"/>
  <c r="AF173" i="7"/>
  <c r="AK34" i="3"/>
  <c r="AK310" i="7"/>
  <c r="AK310" i="3" s="1"/>
  <c r="AK172" i="7"/>
  <c r="AK172" i="3" s="1"/>
  <c r="AP33" i="3"/>
  <c r="AP309" i="7"/>
  <c r="AP309" i="3" s="1"/>
  <c r="AP171" i="7"/>
  <c r="AP171" i="3" s="1"/>
  <c r="AU32" i="3"/>
  <c r="AU308" i="7"/>
  <c r="AU308" i="3" s="1"/>
  <c r="AU170" i="7"/>
  <c r="AU170" i="3" s="1"/>
  <c r="AE32" i="3"/>
  <c r="AE308" i="7"/>
  <c r="AE308" i="3" s="1"/>
  <c r="AE170" i="7"/>
  <c r="AE170" i="3" s="1"/>
  <c r="AJ31" i="3"/>
  <c r="AJ307" i="7"/>
  <c r="AJ307" i="3" s="1"/>
  <c r="AJ169" i="7"/>
  <c r="AJ169" i="3" s="1"/>
  <c r="AO30" i="3"/>
  <c r="AO306" i="7"/>
  <c r="AO306" i="3" s="1"/>
  <c r="AO168" i="7"/>
  <c r="AO168" i="3" s="1"/>
  <c r="AT29" i="3"/>
  <c r="AT305" i="7"/>
  <c r="AT305" i="3" s="1"/>
  <c r="AT167" i="7"/>
  <c r="AT167" i="3" s="1"/>
  <c r="AD29" i="3"/>
  <c r="AD305" i="7"/>
  <c r="AD305" i="3" s="1"/>
  <c r="AD167" i="7"/>
  <c r="AD167" i="3" s="1"/>
  <c r="AI28" i="3"/>
  <c r="AI304" i="7"/>
  <c r="AI304" i="3" s="1"/>
  <c r="AI166" i="7"/>
  <c r="AI166" i="3" s="1"/>
  <c r="AN27" i="3"/>
  <c r="AN303" i="7"/>
  <c r="AN303" i="3" s="1"/>
  <c r="AN165" i="7"/>
  <c r="AN165" i="3" s="1"/>
  <c r="AS26" i="3"/>
  <c r="AS302" i="7"/>
  <c r="AS302" i="3" s="1"/>
  <c r="AS164" i="7"/>
  <c r="AS164" i="3" s="1"/>
  <c r="AC26" i="3"/>
  <c r="AC302" i="7"/>
  <c r="AC302" i="3" s="1"/>
  <c r="AC164" i="7"/>
  <c r="AC164" i="3" s="1"/>
  <c r="AH25" i="3"/>
  <c r="AH301" i="7"/>
  <c r="AH301" i="3" s="1"/>
  <c r="AH163" i="7"/>
  <c r="AH163" i="3" s="1"/>
  <c r="AM24" i="3"/>
  <c r="AM300" i="7"/>
  <c r="AM300" i="3" s="1"/>
  <c r="AM162" i="7"/>
  <c r="AM162" i="3" s="1"/>
  <c r="AR23" i="3"/>
  <c r="AR299" i="7"/>
  <c r="AR299" i="3" s="1"/>
  <c r="AR161" i="7"/>
  <c r="AR161" i="3" s="1"/>
  <c r="AW22" i="3"/>
  <c r="AW298" i="7"/>
  <c r="AW298" i="3" s="1"/>
  <c r="AW160" i="7"/>
  <c r="AW160" i="3" s="1"/>
  <c r="AG22" i="3"/>
  <c r="AG298" i="7"/>
  <c r="AG298" i="3" s="1"/>
  <c r="AG160" i="7"/>
  <c r="AG160" i="3" s="1"/>
  <c r="AL21" i="3"/>
  <c r="AL297" i="7"/>
  <c r="AL297" i="3" s="1"/>
  <c r="AL159" i="7"/>
  <c r="AL159" i="3" s="1"/>
  <c r="AQ20" i="3"/>
  <c r="AQ296" i="7"/>
  <c r="AQ296" i="3" s="1"/>
  <c r="AQ158" i="7"/>
  <c r="AQ158" i="3" s="1"/>
  <c r="AV19" i="3"/>
  <c r="AV295" i="7"/>
  <c r="AV295" i="3" s="1"/>
  <c r="AV157" i="7"/>
  <c r="AV157" i="3" s="1"/>
  <c r="AF19" i="3"/>
  <c r="AF295" i="7"/>
  <c r="AF295" i="3" s="1"/>
  <c r="AF157" i="7"/>
  <c r="AF157" i="3" s="1"/>
  <c r="AK18" i="3"/>
  <c r="AK294" i="7"/>
  <c r="AK294" i="3" s="1"/>
  <c r="AK156" i="7"/>
  <c r="AK156" i="3" s="1"/>
  <c r="AP17" i="3"/>
  <c r="AP293" i="7"/>
  <c r="AP293" i="3" s="1"/>
  <c r="AP155" i="7"/>
  <c r="AP155" i="3" s="1"/>
  <c r="AU16" i="3"/>
  <c r="AU292" i="7"/>
  <c r="AU292" i="3" s="1"/>
  <c r="AU154" i="7"/>
  <c r="AU154" i="3" s="1"/>
  <c r="AE16" i="3"/>
  <c r="AE292" i="7"/>
  <c r="AE292" i="3" s="1"/>
  <c r="AE154" i="7"/>
  <c r="AE154" i="3" s="1"/>
  <c r="AJ15" i="3"/>
  <c r="AJ291" i="7"/>
  <c r="AJ291" i="3" s="1"/>
  <c r="AJ153" i="7"/>
  <c r="AJ153" i="3" s="1"/>
  <c r="AO14" i="3"/>
  <c r="AO290" i="7"/>
  <c r="AO290" i="3" s="1"/>
  <c r="AO152" i="7"/>
  <c r="AO152" i="3" s="1"/>
  <c r="AT13" i="3"/>
  <c r="AT289" i="7"/>
  <c r="AT289" i="3" s="1"/>
  <c r="AT151" i="7"/>
  <c r="AT151" i="3" s="1"/>
  <c r="AD13" i="3"/>
  <c r="AD289" i="7"/>
  <c r="AD289" i="3" s="1"/>
  <c r="AD151" i="7"/>
  <c r="AD151" i="3" s="1"/>
  <c r="AI12" i="3"/>
  <c r="AI288" i="7"/>
  <c r="AI288" i="3" s="1"/>
  <c r="AI150" i="7"/>
  <c r="AI150" i="3" s="1"/>
  <c r="AN11" i="3"/>
  <c r="AN287" i="7"/>
  <c r="AN287" i="3" s="1"/>
  <c r="AN149" i="7"/>
  <c r="AN149" i="3" s="1"/>
  <c r="AS10" i="3"/>
  <c r="AS286" i="7"/>
  <c r="AS286" i="3" s="1"/>
  <c r="AS148" i="7"/>
  <c r="AS148" i="3" s="1"/>
  <c r="AC10" i="3"/>
  <c r="AC286" i="7"/>
  <c r="AC286" i="3" s="1"/>
  <c r="AC148" i="7"/>
  <c r="AC148" i="3" s="1"/>
  <c r="AH9" i="3"/>
  <c r="AH285" i="7"/>
  <c r="AH285" i="3" s="1"/>
  <c r="AH147" i="7"/>
  <c r="AH147" i="3" s="1"/>
  <c r="AM8" i="3"/>
  <c r="AM284" i="7"/>
  <c r="AM284" i="3" s="1"/>
  <c r="AM146" i="7"/>
  <c r="AM146" i="3" s="1"/>
  <c r="AR7" i="3"/>
  <c r="AR283" i="7"/>
  <c r="AR283" i="3" s="1"/>
  <c r="AR145" i="7"/>
  <c r="AR145" i="3" s="1"/>
  <c r="AW6" i="3"/>
  <c r="AW282" i="7"/>
  <c r="AW282" i="3" s="1"/>
  <c r="AW144" i="7"/>
  <c r="AW144" i="3" s="1"/>
  <c r="AG6" i="3"/>
  <c r="AG282" i="7"/>
  <c r="AG282" i="3" s="1"/>
  <c r="AG144" i="7"/>
  <c r="AG144" i="3" s="1"/>
  <c r="AL5" i="3"/>
  <c r="AL281" i="7"/>
  <c r="AL281" i="3" s="1"/>
  <c r="AL143" i="7"/>
  <c r="AL143" i="3" s="1"/>
  <c r="AQ4" i="3"/>
  <c r="AQ280" i="7"/>
  <c r="AQ280" i="3" s="1"/>
  <c r="AQ142" i="7"/>
  <c r="AQ142" i="3" s="1"/>
  <c r="AV3" i="3"/>
  <c r="AV279" i="7"/>
  <c r="AV279" i="3" s="1"/>
  <c r="AV141" i="7"/>
  <c r="AV141" i="3" s="1"/>
  <c r="AF3" i="3"/>
  <c r="AF279" i="7"/>
  <c r="AF279" i="3" s="1"/>
  <c r="AF141" i="7"/>
  <c r="AF141" i="3" s="1"/>
  <c r="AK137" i="3"/>
  <c r="AK413" i="7"/>
  <c r="AK413" i="3" s="1"/>
  <c r="AK275" i="7"/>
  <c r="AK275" i="3" s="1"/>
  <c r="AP136" i="3"/>
  <c r="AP412" i="7"/>
  <c r="AP412" i="3" s="1"/>
  <c r="AP274" i="7"/>
  <c r="AP274" i="3" s="1"/>
  <c r="AU135" i="3"/>
  <c r="AU411" i="7"/>
  <c r="AU411" i="3" s="1"/>
  <c r="AU273" i="7"/>
  <c r="AU273" i="3" s="1"/>
  <c r="AE135" i="3"/>
  <c r="AE411" i="7"/>
  <c r="AE411" i="3" s="1"/>
  <c r="AE273" i="7"/>
  <c r="AE273" i="3" s="1"/>
  <c r="H73" i="3"/>
  <c r="H211" i="7"/>
  <c r="H349" i="7"/>
  <c r="H273" i="7"/>
  <c r="H135" i="3"/>
  <c r="H411" i="7"/>
  <c r="H23" i="3"/>
  <c r="H161" i="7"/>
  <c r="H299" i="7"/>
  <c r="D67" i="11"/>
  <c r="J46" i="3"/>
  <c r="J322" i="7"/>
  <c r="J322" i="3" s="1"/>
  <c r="J184" i="7"/>
  <c r="J184" i="3" s="1"/>
  <c r="D177" i="11"/>
  <c r="J123" i="3"/>
  <c r="J399" i="7"/>
  <c r="J399" i="3" s="1"/>
  <c r="I156" i="7"/>
  <c r="P29" i="11"/>
  <c r="AJ12" i="9"/>
  <c r="AY12" i="3"/>
  <c r="O22" i="11"/>
  <c r="E22" i="11"/>
  <c r="K288" i="7"/>
  <c r="AY288" i="3" s="1"/>
  <c r="K150" i="7"/>
  <c r="AY150" i="3" s="1"/>
  <c r="H400" i="7"/>
  <c r="H262" i="7"/>
  <c r="H124" i="3"/>
  <c r="H44" i="3"/>
  <c r="H320" i="7"/>
  <c r="H182" i="7"/>
  <c r="H399" i="7"/>
  <c r="H261" i="7"/>
  <c r="H123" i="3"/>
  <c r="H107" i="3"/>
  <c r="H383" i="7"/>
  <c r="H245" i="7"/>
  <c r="H75" i="3"/>
  <c r="H351" i="7"/>
  <c r="H213" i="7"/>
  <c r="H27" i="3"/>
  <c r="H303" i="7"/>
  <c r="H165" i="7"/>
  <c r="D185" i="11"/>
  <c r="J130" i="3"/>
  <c r="J406" i="7"/>
  <c r="J406" i="3" s="1"/>
  <c r="J268" i="7"/>
  <c r="J268" i="3" s="1"/>
  <c r="D164" i="11"/>
  <c r="J114" i="3"/>
  <c r="J390" i="7"/>
  <c r="J390" i="3" s="1"/>
  <c r="J252" i="7"/>
  <c r="J252" i="3" s="1"/>
  <c r="D136" i="11"/>
  <c r="J98" i="3"/>
  <c r="J374" i="7"/>
  <c r="J374" i="3" s="1"/>
  <c r="J236" i="7"/>
  <c r="J236" i="3" s="1"/>
  <c r="D143" i="11"/>
  <c r="J82" i="3"/>
  <c r="J358" i="7"/>
  <c r="J358" i="3" s="1"/>
  <c r="J220" i="7"/>
  <c r="J220" i="3" s="1"/>
  <c r="D95" i="11"/>
  <c r="J66" i="3"/>
  <c r="J342" i="7"/>
  <c r="J342" i="3" s="1"/>
  <c r="J204" i="7"/>
  <c r="J204" i="3" s="1"/>
  <c r="D73" i="11"/>
  <c r="J50" i="3"/>
  <c r="J326" i="7"/>
  <c r="J326" i="3" s="1"/>
  <c r="J188" i="7"/>
  <c r="J188" i="3" s="1"/>
  <c r="D53" i="11"/>
  <c r="J34" i="3"/>
  <c r="J310" i="7"/>
  <c r="J310" i="3" s="1"/>
  <c r="J172" i="7"/>
  <c r="J172" i="3" s="1"/>
  <c r="D29" i="11"/>
  <c r="J18" i="3"/>
  <c r="J294" i="7"/>
  <c r="J294" i="3" s="1"/>
  <c r="J156" i="7"/>
  <c r="J156" i="3" s="1"/>
  <c r="D4" i="11"/>
  <c r="J2" i="3"/>
  <c r="J278" i="7"/>
  <c r="J140" i="7"/>
  <c r="J140" i="3" s="1"/>
  <c r="I122" i="3"/>
  <c r="P176" i="11"/>
  <c r="I106" i="3"/>
  <c r="P150" i="11"/>
  <c r="I25" i="3"/>
  <c r="P38" i="11"/>
  <c r="I9" i="3"/>
  <c r="P17" i="11"/>
  <c r="AJ131" i="9"/>
  <c r="O191" i="11"/>
  <c r="AY131" i="3"/>
  <c r="E191" i="11"/>
  <c r="K131" i="3"/>
  <c r="K407" i="7"/>
  <c r="K269" i="7"/>
  <c r="AJ115" i="9"/>
  <c r="AY115" i="3"/>
  <c r="O166" i="11"/>
  <c r="E166" i="11"/>
  <c r="K391" i="7"/>
  <c r="AY391" i="3" s="1"/>
  <c r="K253" i="7"/>
  <c r="AY253" i="3" s="1"/>
  <c r="AJ99" i="9"/>
  <c r="AY99" i="3"/>
  <c r="O137" i="11"/>
  <c r="E137" i="11"/>
  <c r="K99" i="3"/>
  <c r="K375" i="7"/>
  <c r="K237" i="7"/>
  <c r="AJ83" i="9"/>
  <c r="AY83" i="3"/>
  <c r="O116" i="11"/>
  <c r="E116" i="11"/>
  <c r="K83" i="3"/>
  <c r="K359" i="7"/>
  <c r="K221" i="7"/>
  <c r="AJ67" i="9"/>
  <c r="O96" i="11"/>
  <c r="AY67" i="3"/>
  <c r="E96" i="11"/>
  <c r="K67" i="3"/>
  <c r="K343" i="7"/>
  <c r="K205" i="7"/>
  <c r="AJ51" i="9"/>
  <c r="AY51" i="3"/>
  <c r="O74" i="11"/>
  <c r="E74" i="11"/>
  <c r="K327" i="7"/>
  <c r="AY327" i="3" s="1"/>
  <c r="K189" i="7"/>
  <c r="AY189" i="3" s="1"/>
  <c r="AJ35" i="9"/>
  <c r="AY35" i="3"/>
  <c r="O54" i="11"/>
  <c r="E54" i="11"/>
  <c r="K35" i="3"/>
  <c r="K311" i="7"/>
  <c r="K173" i="7"/>
  <c r="AJ19" i="9"/>
  <c r="AY19" i="3"/>
  <c r="O30" i="11"/>
  <c r="E30" i="11"/>
  <c r="K295" i="7"/>
  <c r="AY295" i="3" s="1"/>
  <c r="K157" i="7"/>
  <c r="AY157" i="3" s="1"/>
  <c r="AJ3" i="9"/>
  <c r="AY3" i="3"/>
  <c r="O5" i="11"/>
  <c r="E5" i="11"/>
  <c r="K3" i="3"/>
  <c r="K279" i="7"/>
  <c r="K141" i="7"/>
  <c r="L22" i="3"/>
  <c r="L298" i="7"/>
  <c r="L298" i="3" s="1"/>
  <c r="L160" i="7"/>
  <c r="L160" i="3" s="1"/>
  <c r="L6" i="3"/>
  <c r="L282" i="7"/>
  <c r="L282" i="3" s="1"/>
  <c r="L144" i="7"/>
  <c r="L144" i="3" s="1"/>
  <c r="L401" i="7"/>
  <c r="L401" i="3" s="1"/>
  <c r="L125" i="3"/>
  <c r="L263" i="7"/>
  <c r="L263" i="3" s="1"/>
  <c r="L109" i="3"/>
  <c r="L385" i="7"/>
  <c r="L385" i="3" s="1"/>
  <c r="L247" i="7"/>
  <c r="L247" i="3" s="1"/>
  <c r="L93" i="3"/>
  <c r="L369" i="7"/>
  <c r="L369" i="3" s="1"/>
  <c r="L231" i="7"/>
  <c r="L231" i="3" s="1"/>
  <c r="L77" i="3"/>
  <c r="L353" i="7"/>
  <c r="L353" i="3" s="1"/>
  <c r="L215" i="7"/>
  <c r="L215" i="3" s="1"/>
  <c r="L61" i="3"/>
  <c r="L337" i="7"/>
  <c r="L337" i="3" s="1"/>
  <c r="L199" i="7"/>
  <c r="L199" i="3" s="1"/>
  <c r="L45" i="3"/>
  <c r="L321" i="7"/>
  <c r="L321" i="3" s="1"/>
  <c r="L183" i="7"/>
  <c r="L183" i="3" s="1"/>
  <c r="M6" i="4"/>
  <c r="M7" i="4"/>
  <c r="M2" i="4"/>
  <c r="M2" i="3"/>
  <c r="M8" i="4"/>
  <c r="M3" i="4"/>
  <c r="M4" i="4"/>
  <c r="M96" i="3" s="1"/>
  <c r="M5" i="4"/>
  <c r="O3" i="4"/>
  <c r="O4" i="4"/>
  <c r="O5" i="4"/>
  <c r="O6" i="4"/>
  <c r="O7" i="4"/>
  <c r="O2" i="4"/>
  <c r="O2" i="3"/>
  <c r="O8" i="4"/>
  <c r="AQ2" i="3"/>
  <c r="AQ278" i="7"/>
  <c r="AQ140" i="7"/>
  <c r="AQ140" i="3" s="1"/>
  <c r="AU311" i="7"/>
  <c r="AU173" i="7"/>
  <c r="AE311" i="7"/>
  <c r="AE173" i="7"/>
  <c r="AJ34" i="3"/>
  <c r="AJ310" i="7"/>
  <c r="AJ310" i="3" s="1"/>
  <c r="AJ172" i="7"/>
  <c r="AJ172" i="3" s="1"/>
  <c r="AO33" i="3"/>
  <c r="AO309" i="7"/>
  <c r="AO309" i="3" s="1"/>
  <c r="AO171" i="7"/>
  <c r="AO171" i="3" s="1"/>
  <c r="AT32" i="3"/>
  <c r="AT308" i="7"/>
  <c r="AT308" i="3" s="1"/>
  <c r="AT170" i="7"/>
  <c r="AT170" i="3" s="1"/>
  <c r="AD32" i="3"/>
  <c r="AD308" i="7"/>
  <c r="AD308" i="3" s="1"/>
  <c r="AD170" i="7"/>
  <c r="AD170" i="3" s="1"/>
  <c r="AI31" i="3"/>
  <c r="AI307" i="7"/>
  <c r="AI307" i="3" s="1"/>
  <c r="AI169" i="7"/>
  <c r="AI169" i="3" s="1"/>
  <c r="AN30" i="3"/>
  <c r="AN306" i="7"/>
  <c r="AN306" i="3" s="1"/>
  <c r="AN168" i="7"/>
  <c r="AN168" i="3" s="1"/>
  <c r="AS29" i="3"/>
  <c r="AS305" i="7"/>
  <c r="AS305" i="3" s="1"/>
  <c r="AS167" i="7"/>
  <c r="AS167" i="3" s="1"/>
  <c r="AC29" i="3"/>
  <c r="AC305" i="7"/>
  <c r="AC305" i="3" s="1"/>
  <c r="AC167" i="7"/>
  <c r="AC167" i="3" s="1"/>
  <c r="AH28" i="3"/>
  <c r="AH304" i="7"/>
  <c r="AH304" i="3" s="1"/>
  <c r="AH166" i="7"/>
  <c r="AH166" i="3" s="1"/>
  <c r="AM27" i="3"/>
  <c r="AM303" i="7"/>
  <c r="AM303" i="3" s="1"/>
  <c r="AM165" i="7"/>
  <c r="AM165" i="3" s="1"/>
  <c r="AR26" i="3"/>
  <c r="AR302" i="7"/>
  <c r="AR302" i="3" s="1"/>
  <c r="AR164" i="7"/>
  <c r="AR164" i="3" s="1"/>
  <c r="AW25" i="3"/>
  <c r="AW301" i="7"/>
  <c r="AW301" i="3" s="1"/>
  <c r="AW163" i="7"/>
  <c r="AW163" i="3" s="1"/>
  <c r="AG25" i="3"/>
  <c r="AG301" i="7"/>
  <c r="AG301" i="3" s="1"/>
  <c r="AG163" i="7"/>
  <c r="AG163" i="3" s="1"/>
  <c r="AL24" i="3"/>
  <c r="AL300" i="7"/>
  <c r="AL300" i="3" s="1"/>
  <c r="AL162" i="7"/>
  <c r="AL162" i="3" s="1"/>
  <c r="AQ23" i="3"/>
  <c r="AQ299" i="7"/>
  <c r="AQ299" i="3" s="1"/>
  <c r="AQ161" i="7"/>
  <c r="AQ161" i="3" s="1"/>
  <c r="AV22" i="3"/>
  <c r="AV298" i="7"/>
  <c r="AV298" i="3" s="1"/>
  <c r="AV160" i="7"/>
  <c r="AV160" i="3" s="1"/>
  <c r="AF22" i="3"/>
  <c r="AF298" i="7"/>
  <c r="AF298" i="3" s="1"/>
  <c r="AF160" i="7"/>
  <c r="AF160" i="3" s="1"/>
  <c r="AK21" i="3"/>
  <c r="AK297" i="7"/>
  <c r="AK297" i="3" s="1"/>
  <c r="AK159" i="7"/>
  <c r="AK159" i="3" s="1"/>
  <c r="AP20" i="3"/>
  <c r="AP296" i="7"/>
  <c r="AP296" i="3" s="1"/>
  <c r="AP158" i="7"/>
  <c r="AP158" i="3" s="1"/>
  <c r="AU19" i="3"/>
  <c r="AU295" i="7"/>
  <c r="AU295" i="3" s="1"/>
  <c r="AU157" i="7"/>
  <c r="AU157" i="3" s="1"/>
  <c r="AE19" i="3"/>
  <c r="AE295" i="7"/>
  <c r="AE295" i="3" s="1"/>
  <c r="AE157" i="7"/>
  <c r="AE157" i="3" s="1"/>
  <c r="AJ18" i="3"/>
  <c r="AJ294" i="7"/>
  <c r="AJ294" i="3" s="1"/>
  <c r="AJ156" i="7"/>
  <c r="AJ156" i="3" s="1"/>
  <c r="AO17" i="3"/>
  <c r="AO293" i="7"/>
  <c r="AO293" i="3" s="1"/>
  <c r="AO155" i="7"/>
  <c r="AO155" i="3" s="1"/>
  <c r="AT16" i="3"/>
  <c r="AT292" i="7"/>
  <c r="AT292" i="3" s="1"/>
  <c r="AT154" i="7"/>
  <c r="AT154" i="3" s="1"/>
  <c r="AD16" i="3"/>
  <c r="AD292" i="7"/>
  <c r="AD292" i="3" s="1"/>
  <c r="AD154" i="7"/>
  <c r="AD154" i="3" s="1"/>
  <c r="AI15" i="3"/>
  <c r="AI291" i="7"/>
  <c r="AI291" i="3" s="1"/>
  <c r="AI153" i="7"/>
  <c r="AI153" i="3" s="1"/>
  <c r="AN14" i="3"/>
  <c r="AN290" i="7"/>
  <c r="AN290" i="3" s="1"/>
  <c r="AN152" i="7"/>
  <c r="AN152" i="3" s="1"/>
  <c r="AS13" i="3"/>
  <c r="AS289" i="7"/>
  <c r="AS289" i="3" s="1"/>
  <c r="AS151" i="7"/>
  <c r="AS151" i="3" s="1"/>
  <c r="AC13" i="3"/>
  <c r="AC289" i="7"/>
  <c r="AC289" i="3" s="1"/>
  <c r="AC151" i="7"/>
  <c r="AC151" i="3" s="1"/>
  <c r="AH12" i="3"/>
  <c r="AH288" i="7"/>
  <c r="AH288" i="3" s="1"/>
  <c r="AH150" i="7"/>
  <c r="AH150" i="3" s="1"/>
  <c r="AM11" i="3"/>
  <c r="AM287" i="7"/>
  <c r="AM287" i="3" s="1"/>
  <c r="AM149" i="7"/>
  <c r="AM149" i="3" s="1"/>
  <c r="AR10" i="3"/>
  <c r="AR286" i="7"/>
  <c r="AR286" i="3" s="1"/>
  <c r="AR148" i="7"/>
  <c r="AR148" i="3" s="1"/>
  <c r="AW9" i="3"/>
  <c r="AW285" i="7"/>
  <c r="AW285" i="3" s="1"/>
  <c r="AW147" i="7"/>
  <c r="AW147" i="3" s="1"/>
  <c r="AG9" i="3"/>
  <c r="AG285" i="7"/>
  <c r="AG285" i="3" s="1"/>
  <c r="AG147" i="7"/>
  <c r="AG147" i="3" s="1"/>
  <c r="AL8" i="3"/>
  <c r="AL284" i="7"/>
  <c r="AL284" i="3" s="1"/>
  <c r="AL146" i="7"/>
  <c r="AL146" i="3" s="1"/>
  <c r="AQ7" i="3"/>
  <c r="AQ283" i="7"/>
  <c r="AQ283" i="3" s="1"/>
  <c r="AQ145" i="7"/>
  <c r="AQ145" i="3" s="1"/>
  <c r="AV6" i="3"/>
  <c r="AV282" i="7"/>
  <c r="AV282" i="3" s="1"/>
  <c r="AV144" i="7"/>
  <c r="AV144" i="3" s="1"/>
  <c r="AF6" i="3"/>
  <c r="AF282" i="7"/>
  <c r="AF282" i="3" s="1"/>
  <c r="AF144" i="7"/>
  <c r="AF144" i="3" s="1"/>
  <c r="AK5" i="3"/>
  <c r="AK281" i="7"/>
  <c r="AK281" i="3" s="1"/>
  <c r="AK143" i="7"/>
  <c r="AK143" i="3" s="1"/>
  <c r="AP4" i="3"/>
  <c r="AP280" i="7"/>
  <c r="AP280" i="3" s="1"/>
  <c r="AP142" i="7"/>
  <c r="AP142" i="3" s="1"/>
  <c r="AU3" i="3"/>
  <c r="AU279" i="7"/>
  <c r="AU279" i="3" s="1"/>
  <c r="AU141" i="7"/>
  <c r="AU141" i="3" s="1"/>
  <c r="AE3" i="3"/>
  <c r="AE279" i="7"/>
  <c r="AE279" i="3" s="1"/>
  <c r="AE141" i="7"/>
  <c r="AE141" i="3" s="1"/>
  <c r="AJ137" i="3"/>
  <c r="AJ413" i="7"/>
  <c r="AJ413" i="3" s="1"/>
  <c r="AJ275" i="7"/>
  <c r="AJ275" i="3" s="1"/>
  <c r="AO136" i="3"/>
  <c r="AO412" i="7"/>
  <c r="AO412" i="3" s="1"/>
  <c r="AO274" i="7"/>
  <c r="AO274" i="3" s="1"/>
  <c r="AT135" i="3"/>
  <c r="AT411" i="7"/>
  <c r="AT411" i="3" s="1"/>
  <c r="AT273" i="7"/>
  <c r="AT273" i="3" s="1"/>
  <c r="AD135" i="3"/>
  <c r="AD411" i="7"/>
  <c r="AD411" i="3" s="1"/>
  <c r="AD273" i="7"/>
  <c r="AD273" i="3" s="1"/>
  <c r="AI134" i="3"/>
  <c r="AI410" i="7"/>
  <c r="AI410" i="3" s="1"/>
  <c r="AI272" i="7"/>
  <c r="AI272" i="3" s="1"/>
  <c r="AN133" i="3"/>
  <c r="AN409" i="7"/>
  <c r="AN409" i="3" s="1"/>
  <c r="AN271" i="7"/>
  <c r="AN271" i="3" s="1"/>
  <c r="AS132" i="3"/>
  <c r="AS408" i="7"/>
  <c r="AS408" i="3" s="1"/>
  <c r="AS270" i="7"/>
  <c r="AS270" i="3" s="1"/>
  <c r="J149" i="7"/>
  <c r="J149" i="3" s="1"/>
  <c r="D183" i="11"/>
  <c r="J128" i="3"/>
  <c r="J404" i="7"/>
  <c r="J404" i="3" s="1"/>
  <c r="J266" i="7"/>
  <c r="J266" i="3" s="1"/>
  <c r="I7" i="3"/>
  <c r="P11" i="11"/>
  <c r="D175" i="11"/>
  <c r="J94" i="3"/>
  <c r="J370" i="7"/>
  <c r="J370" i="3" s="1"/>
  <c r="J232" i="7"/>
  <c r="J232" i="3" s="1"/>
  <c r="H84" i="3"/>
  <c r="H222" i="7"/>
  <c r="H360" i="7"/>
  <c r="I99" i="3"/>
  <c r="P137" i="11"/>
  <c r="L118" i="3"/>
  <c r="L394" i="7"/>
  <c r="L394" i="3" s="1"/>
  <c r="L256" i="7"/>
  <c r="L256" i="3" s="1"/>
  <c r="H385" i="7"/>
  <c r="H247" i="7"/>
  <c r="H109" i="3"/>
  <c r="H61" i="3"/>
  <c r="H337" i="7"/>
  <c r="H199" i="7"/>
  <c r="H13" i="3"/>
  <c r="H289" i="7"/>
  <c r="H151" i="7"/>
  <c r="H92" i="3"/>
  <c r="H368" i="7"/>
  <c r="H230" i="7"/>
  <c r="H76" i="3"/>
  <c r="H352" i="7"/>
  <c r="H214" i="7"/>
  <c r="H28" i="3"/>
  <c r="H304" i="7"/>
  <c r="H166" i="7"/>
  <c r="H91" i="3"/>
  <c r="H367" i="7"/>
  <c r="H229" i="7"/>
  <c r="H59" i="3"/>
  <c r="H335" i="7"/>
  <c r="H197" i="7"/>
  <c r="H43" i="3"/>
  <c r="H319" i="7"/>
  <c r="H181" i="7"/>
  <c r="H11" i="3"/>
  <c r="H287" i="7"/>
  <c r="H149" i="7"/>
  <c r="H2" i="3"/>
  <c r="H8" i="4"/>
  <c r="H3" i="4"/>
  <c r="H4" i="4"/>
  <c r="H140" i="7"/>
  <c r="H5" i="4"/>
  <c r="H6" i="4"/>
  <c r="H7" i="4"/>
  <c r="H2" i="4"/>
  <c r="H278" i="7"/>
  <c r="H260" i="7"/>
  <c r="H122" i="3"/>
  <c r="H398" i="7"/>
  <c r="H106" i="3"/>
  <c r="H244" i="7"/>
  <c r="H382" i="7"/>
  <c r="H90" i="3"/>
  <c r="H228" i="7"/>
  <c r="H366" i="7"/>
  <c r="H74" i="3"/>
  <c r="H212" i="7"/>
  <c r="H350" i="7"/>
  <c r="H58" i="3"/>
  <c r="H196" i="7"/>
  <c r="H334" i="7"/>
  <c r="H42" i="3"/>
  <c r="H180" i="7"/>
  <c r="H318" i="7"/>
  <c r="H26" i="3"/>
  <c r="H164" i="7"/>
  <c r="H302" i="7"/>
  <c r="H10" i="3"/>
  <c r="H148" i="7"/>
  <c r="H286" i="7"/>
  <c r="D184" i="11"/>
  <c r="J129" i="3"/>
  <c r="J405" i="7"/>
  <c r="J405" i="3" s="1"/>
  <c r="J267" i="7"/>
  <c r="J267" i="3" s="1"/>
  <c r="D163" i="11"/>
  <c r="J113" i="3"/>
  <c r="J389" i="7"/>
  <c r="J389" i="3" s="1"/>
  <c r="J251" i="7"/>
  <c r="J251" i="3" s="1"/>
  <c r="D135" i="11"/>
  <c r="J97" i="3"/>
  <c r="J373" i="7"/>
  <c r="J373" i="3" s="1"/>
  <c r="J235" i="7"/>
  <c r="J235" i="3" s="1"/>
  <c r="D114" i="11"/>
  <c r="J81" i="3"/>
  <c r="J357" i="7"/>
  <c r="J357" i="3" s="1"/>
  <c r="J219" i="7"/>
  <c r="J219" i="3" s="1"/>
  <c r="D50" i="11"/>
  <c r="J65" i="3"/>
  <c r="J341" i="7"/>
  <c r="J341" i="3" s="1"/>
  <c r="J203" i="7"/>
  <c r="J203" i="3" s="1"/>
  <c r="D72" i="11"/>
  <c r="J325" i="7"/>
  <c r="J187" i="7"/>
  <c r="D47" i="11"/>
  <c r="J33" i="3"/>
  <c r="J309" i="7"/>
  <c r="J309" i="3" s="1"/>
  <c r="J171" i="7"/>
  <c r="J171" i="3" s="1"/>
  <c r="D27" i="11"/>
  <c r="J17" i="3"/>
  <c r="J293" i="7"/>
  <c r="J293" i="3" s="1"/>
  <c r="J155" i="7"/>
  <c r="J155" i="3" s="1"/>
  <c r="I413" i="7"/>
  <c r="P197" i="11"/>
  <c r="I121" i="3"/>
  <c r="P174" i="11"/>
  <c r="I105" i="3"/>
  <c r="P149" i="11"/>
  <c r="I365" i="7"/>
  <c r="P122" i="11"/>
  <c r="I73" i="3"/>
  <c r="P105" i="11"/>
  <c r="I57" i="3"/>
  <c r="P82" i="11"/>
  <c r="I41" i="3"/>
  <c r="P60" i="11"/>
  <c r="AJ130" i="9"/>
  <c r="AY130" i="3"/>
  <c r="O185" i="11"/>
  <c r="E185" i="11"/>
  <c r="K130" i="3"/>
  <c r="K406" i="7"/>
  <c r="K268" i="7"/>
  <c r="AJ114" i="9"/>
  <c r="AY114" i="3"/>
  <c r="O164" i="11"/>
  <c r="E164" i="11"/>
  <c r="K390" i="7"/>
  <c r="AY390" i="3" s="1"/>
  <c r="K252" i="7"/>
  <c r="AY252" i="3" s="1"/>
  <c r="AJ98" i="9"/>
  <c r="O136" i="11"/>
  <c r="AY98" i="3"/>
  <c r="E136" i="11"/>
  <c r="K374" i="7"/>
  <c r="AY374" i="3" s="1"/>
  <c r="K236" i="7"/>
  <c r="AY236" i="3" s="1"/>
  <c r="AJ82" i="9"/>
  <c r="O143" i="11"/>
  <c r="AY82" i="3"/>
  <c r="E143" i="11"/>
  <c r="K82" i="3"/>
  <c r="K358" i="7"/>
  <c r="K220" i="7"/>
  <c r="AJ66" i="9"/>
  <c r="O95" i="11"/>
  <c r="AY66" i="3"/>
  <c r="E95" i="11"/>
  <c r="K66" i="3"/>
  <c r="K342" i="7"/>
  <c r="K204" i="7"/>
  <c r="AJ50" i="9"/>
  <c r="AY50" i="3"/>
  <c r="O73" i="11"/>
  <c r="E73" i="11"/>
  <c r="K50" i="3"/>
  <c r="K326" i="7"/>
  <c r="K188" i="7"/>
  <c r="AJ34" i="9"/>
  <c r="AY34" i="3"/>
  <c r="O53" i="11"/>
  <c r="E53" i="11"/>
  <c r="K34" i="3"/>
  <c r="K310" i="7"/>
  <c r="K172" i="7"/>
  <c r="AJ18" i="9"/>
  <c r="AY18" i="3"/>
  <c r="O29" i="11"/>
  <c r="E29" i="11"/>
  <c r="K18" i="3"/>
  <c r="K294" i="7"/>
  <c r="K156" i="7"/>
  <c r="L2" i="3"/>
  <c r="L278" i="7"/>
  <c r="L140" i="7"/>
  <c r="L140" i="3" s="1"/>
  <c r="L21" i="3"/>
  <c r="L297" i="7"/>
  <c r="L297" i="3" s="1"/>
  <c r="L159" i="7"/>
  <c r="L159" i="3" s="1"/>
  <c r="L5" i="3"/>
  <c r="L281" i="7"/>
  <c r="L281" i="3" s="1"/>
  <c r="L143" i="7"/>
  <c r="L143" i="3" s="1"/>
  <c r="L400" i="7"/>
  <c r="L400" i="3" s="1"/>
  <c r="L124" i="3"/>
  <c r="L262" i="7"/>
  <c r="L262" i="3" s="1"/>
  <c r="L108" i="3"/>
  <c r="L384" i="7"/>
  <c r="L384" i="3" s="1"/>
  <c r="L246" i="7"/>
  <c r="L246" i="3" s="1"/>
  <c r="L92" i="3"/>
  <c r="L368" i="7"/>
  <c r="L368" i="3" s="1"/>
  <c r="L230" i="7"/>
  <c r="L230" i="3" s="1"/>
  <c r="L76" i="3"/>
  <c r="L352" i="7"/>
  <c r="L352" i="3" s="1"/>
  <c r="L214" i="7"/>
  <c r="L214" i="3" s="1"/>
  <c r="L60" i="3"/>
  <c r="L336" i="7"/>
  <c r="L336" i="3" s="1"/>
  <c r="L198" i="7"/>
  <c r="L198" i="3" s="1"/>
  <c r="L44" i="3"/>
  <c r="L320" i="7"/>
  <c r="L320" i="3" s="1"/>
  <c r="L182" i="7"/>
  <c r="L182" i="3" s="1"/>
  <c r="P8" i="4"/>
  <c r="P3" i="4"/>
  <c r="P2" i="3"/>
  <c r="P4" i="4"/>
  <c r="P5" i="4"/>
  <c r="P6" i="4"/>
  <c r="P7" i="4"/>
  <c r="P2" i="4"/>
  <c r="G15" i="12" s="1"/>
  <c r="AP2" i="3"/>
  <c r="AP278" i="7"/>
  <c r="AP140" i="7"/>
  <c r="AP140" i="3" s="1"/>
  <c r="AT311" i="7"/>
  <c r="AT173" i="7"/>
  <c r="AD311" i="7"/>
  <c r="AD173" i="7"/>
  <c r="AI34" i="3"/>
  <c r="AI310" i="7"/>
  <c r="AI310" i="3" s="1"/>
  <c r="AI172" i="7"/>
  <c r="AI172" i="3" s="1"/>
  <c r="AN33" i="3"/>
  <c r="AN309" i="7"/>
  <c r="AN309" i="3" s="1"/>
  <c r="AN171" i="7"/>
  <c r="AN171" i="3" s="1"/>
  <c r="AS32" i="3"/>
  <c r="AS308" i="7"/>
  <c r="AS308" i="3" s="1"/>
  <c r="AS170" i="7"/>
  <c r="AS170" i="3" s="1"/>
  <c r="AC32" i="3"/>
  <c r="AC308" i="7"/>
  <c r="AC308" i="3" s="1"/>
  <c r="AC170" i="7"/>
  <c r="AC170" i="3" s="1"/>
  <c r="AH31" i="3"/>
  <c r="AH307" i="7"/>
  <c r="AH307" i="3" s="1"/>
  <c r="AH169" i="7"/>
  <c r="AH169" i="3" s="1"/>
  <c r="AM30" i="3"/>
  <c r="AM306" i="7"/>
  <c r="AM306" i="3" s="1"/>
  <c r="AM168" i="7"/>
  <c r="AM168" i="3" s="1"/>
  <c r="AR29" i="3"/>
  <c r="AR305" i="7"/>
  <c r="AR305" i="3" s="1"/>
  <c r="AR167" i="7"/>
  <c r="AR167" i="3" s="1"/>
  <c r="AW28" i="3"/>
  <c r="AW304" i="7"/>
  <c r="AW304" i="3" s="1"/>
  <c r="AW166" i="7"/>
  <c r="AW166" i="3" s="1"/>
  <c r="AG28" i="3"/>
  <c r="AG304" i="7"/>
  <c r="AG304" i="3" s="1"/>
  <c r="AG166" i="7"/>
  <c r="AG166" i="3" s="1"/>
  <c r="AL27" i="3"/>
  <c r="AL303" i="7"/>
  <c r="AL303" i="3" s="1"/>
  <c r="AL165" i="7"/>
  <c r="AL165" i="3" s="1"/>
  <c r="AQ26" i="3"/>
  <c r="AQ302" i="7"/>
  <c r="AQ302" i="3" s="1"/>
  <c r="AQ164" i="7"/>
  <c r="AQ164" i="3" s="1"/>
  <c r="AV25" i="3"/>
  <c r="AV301" i="7"/>
  <c r="AV301" i="3" s="1"/>
  <c r="AV163" i="7"/>
  <c r="AV163" i="3" s="1"/>
  <c r="AF25" i="3"/>
  <c r="AF301" i="7"/>
  <c r="AF301" i="3" s="1"/>
  <c r="AF163" i="7"/>
  <c r="AF163" i="3" s="1"/>
  <c r="AK24" i="3"/>
  <c r="AK300" i="7"/>
  <c r="AK300" i="3" s="1"/>
  <c r="AK162" i="7"/>
  <c r="AK162" i="3" s="1"/>
  <c r="AP23" i="3"/>
  <c r="AP299" i="7"/>
  <c r="AP299" i="3" s="1"/>
  <c r="AP161" i="7"/>
  <c r="AP161" i="3" s="1"/>
  <c r="AU22" i="3"/>
  <c r="AU298" i="7"/>
  <c r="AU298" i="3" s="1"/>
  <c r="AU160" i="7"/>
  <c r="AU160" i="3" s="1"/>
  <c r="AE22" i="3"/>
  <c r="AE298" i="7"/>
  <c r="AE298" i="3" s="1"/>
  <c r="AE160" i="7"/>
  <c r="AE160" i="3" s="1"/>
  <c r="AJ21" i="3"/>
  <c r="AJ297" i="7"/>
  <c r="AJ297" i="3" s="1"/>
  <c r="AJ159" i="7"/>
  <c r="AJ159" i="3" s="1"/>
  <c r="AO20" i="3"/>
  <c r="AO296" i="7"/>
  <c r="AO296" i="3" s="1"/>
  <c r="AO158" i="7"/>
  <c r="AO158" i="3" s="1"/>
  <c r="AT19" i="3"/>
  <c r="AT295" i="7"/>
  <c r="AT295" i="3" s="1"/>
  <c r="AT157" i="7"/>
  <c r="AT157" i="3" s="1"/>
  <c r="AD19" i="3"/>
  <c r="AD295" i="7"/>
  <c r="AD295" i="3" s="1"/>
  <c r="AD157" i="7"/>
  <c r="AD157" i="3" s="1"/>
  <c r="AI18" i="3"/>
  <c r="AI294" i="7"/>
  <c r="AI294" i="3" s="1"/>
  <c r="AI156" i="7"/>
  <c r="AI156" i="3" s="1"/>
  <c r="AN17" i="3"/>
  <c r="AN293" i="7"/>
  <c r="AN293" i="3" s="1"/>
  <c r="AN155" i="7"/>
  <c r="AN155" i="3" s="1"/>
  <c r="AS16" i="3"/>
  <c r="AS292" i="7"/>
  <c r="AS292" i="3" s="1"/>
  <c r="AS154" i="7"/>
  <c r="AS154" i="3" s="1"/>
  <c r="AC16" i="3"/>
  <c r="AC292" i="7"/>
  <c r="AC292" i="3" s="1"/>
  <c r="AC154" i="7"/>
  <c r="AC154" i="3" s="1"/>
  <c r="AH15" i="3"/>
  <c r="AH291" i="7"/>
  <c r="AH291" i="3" s="1"/>
  <c r="AH153" i="7"/>
  <c r="AH153" i="3" s="1"/>
  <c r="AM14" i="3"/>
  <c r="AM290" i="7"/>
  <c r="AM290" i="3" s="1"/>
  <c r="AM152" i="7"/>
  <c r="AM152" i="3" s="1"/>
  <c r="AR13" i="3"/>
  <c r="AR289" i="7"/>
  <c r="AR289" i="3" s="1"/>
  <c r="AR151" i="7"/>
  <c r="AR151" i="3" s="1"/>
  <c r="AW12" i="3"/>
  <c r="AW288" i="7"/>
  <c r="AW288" i="3" s="1"/>
  <c r="AW150" i="7"/>
  <c r="AW150" i="3" s="1"/>
  <c r="AG12" i="3"/>
  <c r="AG288" i="7"/>
  <c r="AG288" i="3" s="1"/>
  <c r="AG150" i="7"/>
  <c r="AG150" i="3" s="1"/>
  <c r="AL11" i="3"/>
  <c r="AL287" i="7"/>
  <c r="AL287" i="3" s="1"/>
  <c r="AL149" i="7"/>
  <c r="AL149" i="3" s="1"/>
  <c r="AQ10" i="3"/>
  <c r="AQ286" i="7"/>
  <c r="AQ286" i="3" s="1"/>
  <c r="AQ148" i="7"/>
  <c r="AQ148" i="3" s="1"/>
  <c r="AV9" i="3"/>
  <c r="AV285" i="7"/>
  <c r="AV285" i="3" s="1"/>
  <c r="AV147" i="7"/>
  <c r="AV147" i="3" s="1"/>
  <c r="AF9" i="3"/>
  <c r="AF285" i="7"/>
  <c r="AF285" i="3" s="1"/>
  <c r="AF147" i="7"/>
  <c r="AF147" i="3" s="1"/>
  <c r="AK8" i="3"/>
  <c r="AK284" i="7"/>
  <c r="AK284" i="3" s="1"/>
  <c r="AK146" i="7"/>
  <c r="AK146" i="3" s="1"/>
  <c r="AP7" i="3"/>
  <c r="AP283" i="7"/>
  <c r="AP283" i="3" s="1"/>
  <c r="AP145" i="7"/>
  <c r="AP145" i="3" s="1"/>
  <c r="AU6" i="3"/>
  <c r="AU282" i="7"/>
  <c r="AU282" i="3" s="1"/>
  <c r="AU144" i="7"/>
  <c r="AU144" i="3" s="1"/>
  <c r="AE6" i="3"/>
  <c r="AE282" i="7"/>
  <c r="AE282" i="3" s="1"/>
  <c r="AE144" i="7"/>
  <c r="AE144" i="3" s="1"/>
  <c r="AJ5" i="3"/>
  <c r="AJ281" i="7"/>
  <c r="AJ281" i="3" s="1"/>
  <c r="AJ143" i="7"/>
  <c r="AJ143" i="3" s="1"/>
  <c r="AO4" i="3"/>
  <c r="AO280" i="7"/>
  <c r="AO280" i="3" s="1"/>
  <c r="AO142" i="7"/>
  <c r="AO142" i="3" s="1"/>
  <c r="AT3" i="3"/>
  <c r="AT279" i="7"/>
  <c r="AT279" i="3" s="1"/>
  <c r="AT141" i="7"/>
  <c r="AT141" i="3" s="1"/>
  <c r="AD3" i="3"/>
  <c r="AD279" i="7"/>
  <c r="AD279" i="3" s="1"/>
  <c r="AD141" i="7"/>
  <c r="AD141" i="3" s="1"/>
  <c r="AI137" i="3"/>
  <c r="AI413" i="7"/>
  <c r="AI413" i="3" s="1"/>
  <c r="AI275" i="7"/>
  <c r="AI275" i="3" s="1"/>
  <c r="AN136" i="3"/>
  <c r="AN412" i="7"/>
  <c r="AN412" i="3" s="1"/>
  <c r="AN274" i="7"/>
  <c r="AN274" i="3" s="1"/>
  <c r="AS135" i="3"/>
  <c r="AS411" i="7"/>
  <c r="AS411" i="3" s="1"/>
  <c r="AS273" i="7"/>
  <c r="AS273" i="3" s="1"/>
  <c r="AC135" i="3"/>
  <c r="AC411" i="7"/>
  <c r="AC411" i="3" s="1"/>
  <c r="AC273" i="7"/>
  <c r="AC273" i="3" s="1"/>
  <c r="AH134" i="3"/>
  <c r="AH410" i="7"/>
  <c r="AH410" i="3" s="1"/>
  <c r="AH272" i="7"/>
  <c r="AH272" i="3" s="1"/>
  <c r="AM133" i="3"/>
  <c r="AM409" i="7"/>
  <c r="AM409" i="3" s="1"/>
  <c r="AM271" i="7"/>
  <c r="AM271" i="3" s="1"/>
  <c r="AR132" i="3"/>
  <c r="AR408" i="7"/>
  <c r="AR408" i="3" s="1"/>
  <c r="AR270" i="7"/>
  <c r="AR270" i="3" s="1"/>
  <c r="AW131" i="3"/>
  <c r="AW407" i="7"/>
  <c r="AW407" i="3" s="1"/>
  <c r="AW269" i="7"/>
  <c r="AW269" i="3" s="1"/>
  <c r="AO2" i="3"/>
  <c r="AO278" i="7"/>
  <c r="AO140" i="7"/>
  <c r="AO140" i="3" s="1"/>
  <c r="AS311" i="7"/>
  <c r="AS173" i="7"/>
  <c r="AC311" i="7"/>
  <c r="AC173" i="7"/>
  <c r="AH34" i="3"/>
  <c r="AH310" i="7"/>
  <c r="AH310" i="3" s="1"/>
  <c r="AH172" i="7"/>
  <c r="AH172" i="3" s="1"/>
  <c r="AM33" i="3"/>
  <c r="AM309" i="7"/>
  <c r="AM309" i="3" s="1"/>
  <c r="AM171" i="7"/>
  <c r="AM171" i="3" s="1"/>
  <c r="AR32" i="3"/>
  <c r="AR308" i="7"/>
  <c r="AR308" i="3" s="1"/>
  <c r="AR170" i="7"/>
  <c r="AR170" i="3" s="1"/>
  <c r="AW31" i="3"/>
  <c r="AW307" i="7"/>
  <c r="AW307" i="3" s="1"/>
  <c r="AW169" i="7"/>
  <c r="AW169" i="3" s="1"/>
  <c r="AG31" i="3"/>
  <c r="AG307" i="7"/>
  <c r="AG307" i="3" s="1"/>
  <c r="AG169" i="7"/>
  <c r="AG169" i="3" s="1"/>
  <c r="AL30" i="3"/>
  <c r="AL306" i="7"/>
  <c r="AL306" i="3" s="1"/>
  <c r="AL168" i="7"/>
  <c r="AL168" i="3" s="1"/>
  <c r="AQ29" i="3"/>
  <c r="AQ305" i="7"/>
  <c r="AQ305" i="3" s="1"/>
  <c r="AQ167" i="7"/>
  <c r="AQ167" i="3" s="1"/>
  <c r="AV28" i="3"/>
  <c r="AV304" i="7"/>
  <c r="AV304" i="3" s="1"/>
  <c r="AV166" i="7"/>
  <c r="AV166" i="3" s="1"/>
  <c r="AF28" i="3"/>
  <c r="AF304" i="7"/>
  <c r="AF304" i="3" s="1"/>
  <c r="AF166" i="7"/>
  <c r="AF166" i="3" s="1"/>
  <c r="AK27" i="3"/>
  <c r="AK303" i="7"/>
  <c r="AK303" i="3" s="1"/>
  <c r="AK165" i="7"/>
  <c r="AK165" i="3" s="1"/>
  <c r="AP26" i="3"/>
  <c r="AP302" i="7"/>
  <c r="AP302" i="3" s="1"/>
  <c r="AP164" i="7"/>
  <c r="AP164" i="3" s="1"/>
  <c r="AU25" i="3"/>
  <c r="AU301" i="7"/>
  <c r="AU301" i="3" s="1"/>
  <c r="AU163" i="7"/>
  <c r="AU163" i="3" s="1"/>
  <c r="AE25" i="3"/>
  <c r="AE301" i="7"/>
  <c r="AE301" i="3" s="1"/>
  <c r="AE163" i="7"/>
  <c r="AE163" i="3" s="1"/>
  <c r="AJ24" i="3"/>
  <c r="AJ300" i="7"/>
  <c r="AJ300" i="3" s="1"/>
  <c r="AJ162" i="7"/>
  <c r="AJ162" i="3" s="1"/>
  <c r="AO23" i="3"/>
  <c r="AO299" i="7"/>
  <c r="AO299" i="3" s="1"/>
  <c r="AO161" i="7"/>
  <c r="AO161" i="3" s="1"/>
  <c r="AT22" i="3"/>
  <c r="AT298" i="7"/>
  <c r="AT298" i="3" s="1"/>
  <c r="AT160" i="7"/>
  <c r="AT160" i="3" s="1"/>
  <c r="AD22" i="3"/>
  <c r="AD298" i="7"/>
  <c r="AD298" i="3" s="1"/>
  <c r="AD160" i="7"/>
  <c r="AD160" i="3" s="1"/>
  <c r="AI21" i="3"/>
  <c r="AI297" i="7"/>
  <c r="AI297" i="3" s="1"/>
  <c r="AI159" i="7"/>
  <c r="AI159" i="3" s="1"/>
  <c r="AN20" i="3"/>
  <c r="AN296" i="7"/>
  <c r="AN296" i="3" s="1"/>
  <c r="AN158" i="7"/>
  <c r="AN158" i="3" s="1"/>
  <c r="AS19" i="3"/>
  <c r="AS295" i="7"/>
  <c r="AS295" i="3" s="1"/>
  <c r="AS157" i="7"/>
  <c r="AS157" i="3" s="1"/>
  <c r="AC19" i="3"/>
  <c r="AC295" i="7"/>
  <c r="AC295" i="3" s="1"/>
  <c r="AC157" i="7"/>
  <c r="AC157" i="3" s="1"/>
  <c r="AH18" i="3"/>
  <c r="AH294" i="7"/>
  <c r="AH294" i="3" s="1"/>
  <c r="AH156" i="7"/>
  <c r="AH156" i="3" s="1"/>
  <c r="AM17" i="3"/>
  <c r="AM293" i="7"/>
  <c r="AM293" i="3" s="1"/>
  <c r="AM155" i="7"/>
  <c r="AM155" i="3" s="1"/>
  <c r="AR16" i="3"/>
  <c r="AR292" i="7"/>
  <c r="AR292" i="3" s="1"/>
  <c r="AR154" i="7"/>
  <c r="AR154" i="3" s="1"/>
  <c r="AW15" i="3"/>
  <c r="AW291" i="7"/>
  <c r="AW291" i="3" s="1"/>
  <c r="AW153" i="7"/>
  <c r="AW153" i="3" s="1"/>
  <c r="AG15" i="3"/>
  <c r="AG291" i="7"/>
  <c r="AG291" i="3" s="1"/>
  <c r="AG153" i="7"/>
  <c r="AG153" i="3" s="1"/>
  <c r="AL14" i="3"/>
  <c r="AL290" i="7"/>
  <c r="AL290" i="3" s="1"/>
  <c r="AL152" i="7"/>
  <c r="AL152" i="3" s="1"/>
  <c r="AQ13" i="3"/>
  <c r="AQ289" i="7"/>
  <c r="AQ289" i="3" s="1"/>
  <c r="AQ151" i="7"/>
  <c r="AQ151" i="3" s="1"/>
  <c r="AV12" i="3"/>
  <c r="AV288" i="7"/>
  <c r="AV288" i="3" s="1"/>
  <c r="AV150" i="7"/>
  <c r="AV150" i="3" s="1"/>
  <c r="AF12" i="3"/>
  <c r="AF288" i="7"/>
  <c r="AF288" i="3" s="1"/>
  <c r="AF150" i="7"/>
  <c r="AF150" i="3" s="1"/>
  <c r="AK11" i="3"/>
  <c r="AK287" i="7"/>
  <c r="AK287" i="3" s="1"/>
  <c r="AK149" i="7"/>
  <c r="AK149" i="3" s="1"/>
  <c r="AP10" i="3"/>
  <c r="AP286" i="7"/>
  <c r="AP286" i="3" s="1"/>
  <c r="AP148" i="7"/>
  <c r="AP148" i="3" s="1"/>
  <c r="AU9" i="3"/>
  <c r="AU285" i="7"/>
  <c r="AU285" i="3" s="1"/>
  <c r="AU147" i="7"/>
  <c r="AU147" i="3" s="1"/>
  <c r="AE9" i="3"/>
  <c r="AE285" i="7"/>
  <c r="AE285" i="3" s="1"/>
  <c r="AE147" i="7"/>
  <c r="AE147" i="3" s="1"/>
  <c r="AJ8" i="3"/>
  <c r="AJ284" i="7"/>
  <c r="AJ284" i="3" s="1"/>
  <c r="AJ146" i="7"/>
  <c r="AJ146" i="3" s="1"/>
  <c r="AO7" i="3"/>
  <c r="AO283" i="7"/>
  <c r="AO283" i="3" s="1"/>
  <c r="AO145" i="7"/>
  <c r="AO145" i="3" s="1"/>
  <c r="AT6" i="3"/>
  <c r="AT282" i="7"/>
  <c r="AT282" i="3" s="1"/>
  <c r="AT144" i="7"/>
  <c r="AT144" i="3" s="1"/>
  <c r="AD6" i="3"/>
  <c r="AD282" i="7"/>
  <c r="AD282" i="3" s="1"/>
  <c r="AD144" i="7"/>
  <c r="AD144" i="3" s="1"/>
  <c r="AI5" i="3"/>
  <c r="AI281" i="7"/>
  <c r="AI281" i="3" s="1"/>
  <c r="AI143" i="7"/>
  <c r="AI143" i="3" s="1"/>
  <c r="AN4" i="3"/>
  <c r="AN280" i="7"/>
  <c r="AN280" i="3" s="1"/>
  <c r="AN142" i="7"/>
  <c r="AN142" i="3" s="1"/>
  <c r="AS3" i="3"/>
  <c r="AS279" i="7"/>
  <c r="AS279" i="3" s="1"/>
  <c r="AS141" i="7"/>
  <c r="AS141" i="3" s="1"/>
  <c r="AC3" i="3"/>
  <c r="AC279" i="7"/>
  <c r="AC279" i="3" s="1"/>
  <c r="AC141" i="7"/>
  <c r="AC141" i="3" s="1"/>
  <c r="AH137" i="3"/>
  <c r="AH413" i="7"/>
  <c r="AH413" i="3" s="1"/>
  <c r="AH275" i="7"/>
  <c r="AH275" i="3" s="1"/>
  <c r="AM136" i="3"/>
  <c r="AM412" i="7"/>
  <c r="AM412" i="3" s="1"/>
  <c r="AM274" i="7"/>
  <c r="AM274" i="3" s="1"/>
  <c r="AR135" i="3"/>
  <c r="AR411" i="7"/>
  <c r="AR411" i="3" s="1"/>
  <c r="AW134" i="3"/>
  <c r="AW410" i="7"/>
  <c r="AW410" i="3" s="1"/>
  <c r="AW272" i="7"/>
  <c r="AW272" i="3" s="1"/>
  <c r="H9" i="3"/>
  <c r="H147" i="7"/>
  <c r="H285" i="7"/>
  <c r="M24" i="4" s="1"/>
  <c r="D70" i="11"/>
  <c r="J48" i="3"/>
  <c r="J324" i="7"/>
  <c r="J324" i="3" s="1"/>
  <c r="J186" i="7"/>
  <c r="J186" i="3" s="1"/>
  <c r="AJ97" i="9"/>
  <c r="O135" i="11"/>
  <c r="AY97" i="3"/>
  <c r="E135" i="11"/>
  <c r="K97" i="3"/>
  <c r="K373" i="7"/>
  <c r="K235" i="7"/>
  <c r="AJ81" i="9"/>
  <c r="AY81" i="3"/>
  <c r="O114" i="11"/>
  <c r="E114" i="11"/>
  <c r="K81" i="3"/>
  <c r="K357" i="7"/>
  <c r="K219" i="7"/>
  <c r="AJ65" i="9"/>
  <c r="AY65" i="3"/>
  <c r="O50" i="11"/>
  <c r="E50" i="11"/>
  <c r="K65" i="3"/>
  <c r="K341" i="7"/>
  <c r="K203" i="7"/>
  <c r="AJ49" i="9"/>
  <c r="AY49" i="3"/>
  <c r="O72" i="11"/>
  <c r="E72" i="11"/>
  <c r="K49" i="3"/>
  <c r="K325" i="7"/>
  <c r="K187" i="7"/>
  <c r="AJ33" i="9"/>
  <c r="O47" i="11"/>
  <c r="AY33" i="3"/>
  <c r="E47" i="11"/>
  <c r="K33" i="3"/>
  <c r="K309" i="7"/>
  <c r="K171" i="7"/>
  <c r="AJ17" i="9"/>
  <c r="AY17" i="3"/>
  <c r="O27" i="11"/>
  <c r="E27" i="11"/>
  <c r="K17" i="3"/>
  <c r="K293" i="7"/>
  <c r="K155" i="7"/>
  <c r="L36" i="3"/>
  <c r="L312" i="7"/>
  <c r="L312" i="3" s="1"/>
  <c r="L174" i="7"/>
  <c r="L174" i="3" s="1"/>
  <c r="L20" i="3"/>
  <c r="L296" i="7"/>
  <c r="L296" i="3" s="1"/>
  <c r="L158" i="7"/>
  <c r="L158" i="3" s="1"/>
  <c r="L4" i="3"/>
  <c r="L280" i="7"/>
  <c r="L280" i="3" s="1"/>
  <c r="L142" i="7"/>
  <c r="L142" i="3" s="1"/>
  <c r="L399" i="7"/>
  <c r="L399" i="3" s="1"/>
  <c r="L123" i="3"/>
  <c r="L261" i="7"/>
  <c r="L261" i="3" s="1"/>
  <c r="L107" i="3"/>
  <c r="L383" i="7"/>
  <c r="L383" i="3" s="1"/>
  <c r="L245" i="7"/>
  <c r="L245" i="3" s="1"/>
  <c r="L91" i="3"/>
  <c r="L367" i="7"/>
  <c r="L367" i="3" s="1"/>
  <c r="L229" i="7"/>
  <c r="L229" i="3" s="1"/>
  <c r="L75" i="3"/>
  <c r="L351" i="7"/>
  <c r="L351" i="3" s="1"/>
  <c r="L213" i="7"/>
  <c r="L213" i="3" s="1"/>
  <c r="L59" i="3"/>
  <c r="L335" i="7"/>
  <c r="L335" i="3" s="1"/>
  <c r="L197" i="7"/>
  <c r="L197" i="3" s="1"/>
  <c r="L43" i="3"/>
  <c r="L319" i="7"/>
  <c r="L319" i="3" s="1"/>
  <c r="L181" i="7"/>
  <c r="L181" i="3" s="1"/>
  <c r="H274" i="7"/>
  <c r="H136" i="3"/>
  <c r="H412" i="7"/>
  <c r="H120" i="3"/>
  <c r="H258" i="7"/>
  <c r="H396" i="7"/>
  <c r="H104" i="3"/>
  <c r="H242" i="7"/>
  <c r="H380" i="7"/>
  <c r="H88" i="3"/>
  <c r="H226" i="7"/>
  <c r="H364" i="7"/>
  <c r="H72" i="3"/>
  <c r="H210" i="7"/>
  <c r="H348" i="7"/>
  <c r="H56" i="3"/>
  <c r="H194" i="7"/>
  <c r="H332" i="7"/>
  <c r="H40" i="3"/>
  <c r="H178" i="7"/>
  <c r="H316" i="7"/>
  <c r="H24" i="3"/>
  <c r="H162" i="7"/>
  <c r="H300" i="7"/>
  <c r="H8" i="3"/>
  <c r="H146" i="7"/>
  <c r="H284" i="7"/>
  <c r="D182" i="11"/>
  <c r="J127" i="3"/>
  <c r="J403" i="7"/>
  <c r="J403" i="3" s="1"/>
  <c r="J265" i="7"/>
  <c r="J265" i="3" s="1"/>
  <c r="D161" i="11"/>
  <c r="J111" i="3"/>
  <c r="J387" i="7"/>
  <c r="J387" i="3" s="1"/>
  <c r="J249" i="7"/>
  <c r="J249" i="3" s="1"/>
  <c r="D132" i="11"/>
  <c r="J95" i="3"/>
  <c r="J371" i="7"/>
  <c r="J371" i="3" s="1"/>
  <c r="J233" i="7"/>
  <c r="J233" i="3" s="1"/>
  <c r="D112" i="11"/>
  <c r="J79" i="3"/>
  <c r="J355" i="7"/>
  <c r="J355" i="3" s="1"/>
  <c r="J217" i="7"/>
  <c r="J217" i="3" s="1"/>
  <c r="D92" i="11"/>
  <c r="J63" i="3"/>
  <c r="J339" i="7"/>
  <c r="J339" i="3" s="1"/>
  <c r="J201" i="7"/>
  <c r="J201" i="3" s="1"/>
  <c r="D68" i="11"/>
  <c r="J47" i="3"/>
  <c r="J323" i="7"/>
  <c r="J323" i="3" s="1"/>
  <c r="J185" i="7"/>
  <c r="J185" i="3" s="1"/>
  <c r="D45" i="11"/>
  <c r="J31" i="3"/>
  <c r="J307" i="7"/>
  <c r="J307" i="3" s="1"/>
  <c r="J169" i="7"/>
  <c r="J169" i="3" s="1"/>
  <c r="D25" i="11"/>
  <c r="J15" i="3"/>
  <c r="J291" i="7"/>
  <c r="J291" i="3" s="1"/>
  <c r="J153" i="7"/>
  <c r="J153" i="3" s="1"/>
  <c r="I135" i="3"/>
  <c r="P195" i="11"/>
  <c r="I119" i="3"/>
  <c r="P173" i="11"/>
  <c r="I103" i="3"/>
  <c r="P146" i="11"/>
  <c r="I87" i="3"/>
  <c r="P120" i="11"/>
  <c r="I71" i="3"/>
  <c r="P101" i="11"/>
  <c r="I55" i="3"/>
  <c r="P78" i="11"/>
  <c r="I39" i="3"/>
  <c r="P58" i="11"/>
  <c r="I144" i="7"/>
  <c r="P10" i="11"/>
  <c r="AJ128" i="9"/>
  <c r="O183" i="11"/>
  <c r="AY128" i="3"/>
  <c r="E183" i="11"/>
  <c r="K128" i="3"/>
  <c r="K404" i="7"/>
  <c r="K266" i="7"/>
  <c r="AJ112" i="9"/>
  <c r="AY112" i="3"/>
  <c r="O162" i="11"/>
  <c r="E162" i="11"/>
  <c r="K388" i="7"/>
  <c r="AY388" i="3" s="1"/>
  <c r="K250" i="7"/>
  <c r="AY250" i="3" s="1"/>
  <c r="AJ96" i="9"/>
  <c r="AY96" i="3"/>
  <c r="K96" i="3"/>
  <c r="K372" i="7"/>
  <c r="K234" i="7"/>
  <c r="AJ80" i="9"/>
  <c r="AY80" i="3"/>
  <c r="O113" i="11"/>
  <c r="E113" i="11"/>
  <c r="K356" i="7"/>
  <c r="AY356" i="3" s="1"/>
  <c r="K218" i="7"/>
  <c r="AY218" i="3" s="1"/>
  <c r="AJ64" i="9"/>
  <c r="AY64" i="3"/>
  <c r="O93" i="11"/>
  <c r="E93" i="11"/>
  <c r="K64" i="3"/>
  <c r="K340" i="7"/>
  <c r="K202" i="7"/>
  <c r="AJ48" i="9"/>
  <c r="AY48" i="3"/>
  <c r="O70" i="11"/>
  <c r="E70" i="11"/>
  <c r="K324" i="7"/>
  <c r="AY324" i="3" s="1"/>
  <c r="K186" i="7"/>
  <c r="AY186" i="3" s="1"/>
  <c r="AJ32" i="9"/>
  <c r="AY32" i="3"/>
  <c r="O32" i="11"/>
  <c r="E32" i="11"/>
  <c r="K32" i="3"/>
  <c r="K308" i="7"/>
  <c r="K170" i="7"/>
  <c r="AJ16" i="9"/>
  <c r="AY16" i="3"/>
  <c r="O26" i="11"/>
  <c r="E26" i="11"/>
  <c r="K292" i="7"/>
  <c r="AY292" i="3" s="1"/>
  <c r="K154" i="7"/>
  <c r="AY154" i="3" s="1"/>
  <c r="L35" i="3"/>
  <c r="L311" i="7"/>
  <c r="L311" i="3" s="1"/>
  <c r="L173" i="7"/>
  <c r="L173" i="3" s="1"/>
  <c r="L19" i="3"/>
  <c r="L295" i="7"/>
  <c r="L295" i="3" s="1"/>
  <c r="L157" i="7"/>
  <c r="L157" i="3" s="1"/>
  <c r="L3" i="3"/>
  <c r="L279" i="7"/>
  <c r="L279" i="3" s="1"/>
  <c r="L141" i="7"/>
  <c r="L141" i="3" s="1"/>
  <c r="L122" i="3"/>
  <c r="L398" i="7"/>
  <c r="L398" i="3" s="1"/>
  <c r="L260" i="7"/>
  <c r="L260" i="3" s="1"/>
  <c r="L106" i="3"/>
  <c r="L382" i="7"/>
  <c r="L382" i="3" s="1"/>
  <c r="L244" i="7"/>
  <c r="L244" i="3" s="1"/>
  <c r="L90" i="3"/>
  <c r="L366" i="7"/>
  <c r="L366" i="3" s="1"/>
  <c r="L228" i="7"/>
  <c r="L228" i="3" s="1"/>
  <c r="L74" i="3"/>
  <c r="L350" i="7"/>
  <c r="L350" i="3" s="1"/>
  <c r="L212" i="7"/>
  <c r="L212" i="3" s="1"/>
  <c r="L58" i="3"/>
  <c r="L334" i="7"/>
  <c r="L334" i="3" s="1"/>
  <c r="L196" i="7"/>
  <c r="L196" i="3" s="1"/>
  <c r="L42" i="3"/>
  <c r="L318" i="7"/>
  <c r="L318" i="3" s="1"/>
  <c r="L180" i="7"/>
  <c r="L180" i="3" s="1"/>
  <c r="AN2" i="3"/>
  <c r="AN278" i="7"/>
  <c r="AN140" i="7"/>
  <c r="AN140" i="3" s="1"/>
  <c r="AR311" i="7"/>
  <c r="AR173" i="7"/>
  <c r="AW34" i="3"/>
  <c r="AW310" i="7"/>
  <c r="AW310" i="3" s="1"/>
  <c r="AW172" i="7"/>
  <c r="AW172" i="3" s="1"/>
  <c r="AG34" i="3"/>
  <c r="AG310" i="7"/>
  <c r="AG310" i="3" s="1"/>
  <c r="AG172" i="7"/>
  <c r="AG172" i="3" s="1"/>
  <c r="AL33" i="3"/>
  <c r="AL309" i="7"/>
  <c r="AL309" i="3" s="1"/>
  <c r="AL171" i="7"/>
  <c r="AL171" i="3" s="1"/>
  <c r="AQ32" i="3"/>
  <c r="AQ308" i="7"/>
  <c r="AQ308" i="3" s="1"/>
  <c r="AQ170" i="7"/>
  <c r="AQ170" i="3" s="1"/>
  <c r="AV31" i="3"/>
  <c r="AV307" i="7"/>
  <c r="AV307" i="3" s="1"/>
  <c r="AV169" i="7"/>
  <c r="AV169" i="3" s="1"/>
  <c r="AF31" i="3"/>
  <c r="AF307" i="7"/>
  <c r="AF307" i="3" s="1"/>
  <c r="AF169" i="7"/>
  <c r="AF169" i="3" s="1"/>
  <c r="AK30" i="3"/>
  <c r="AK306" i="7"/>
  <c r="AK306" i="3" s="1"/>
  <c r="AK168" i="7"/>
  <c r="AK168" i="3" s="1"/>
  <c r="AP29" i="3"/>
  <c r="AP305" i="7"/>
  <c r="AP305" i="3" s="1"/>
  <c r="AP167" i="7"/>
  <c r="AP167" i="3" s="1"/>
  <c r="AU28" i="3"/>
  <c r="AU304" i="7"/>
  <c r="AU304" i="3" s="1"/>
  <c r="AU166" i="7"/>
  <c r="AU166" i="3" s="1"/>
  <c r="AE28" i="3"/>
  <c r="AE304" i="7"/>
  <c r="AE304" i="3" s="1"/>
  <c r="AE166" i="7"/>
  <c r="AE166" i="3" s="1"/>
  <c r="AJ27" i="3"/>
  <c r="AJ303" i="7"/>
  <c r="AJ303" i="3" s="1"/>
  <c r="AJ165" i="7"/>
  <c r="AJ165" i="3" s="1"/>
  <c r="AO26" i="3"/>
  <c r="AO302" i="7"/>
  <c r="AO302" i="3" s="1"/>
  <c r="AO164" i="7"/>
  <c r="AO164" i="3" s="1"/>
  <c r="AT25" i="3"/>
  <c r="AT301" i="7"/>
  <c r="AT301" i="3" s="1"/>
  <c r="AT163" i="7"/>
  <c r="AT163" i="3" s="1"/>
  <c r="AD25" i="3"/>
  <c r="AD301" i="7"/>
  <c r="AD301" i="3" s="1"/>
  <c r="AD163" i="7"/>
  <c r="AD163" i="3" s="1"/>
  <c r="AI24" i="3"/>
  <c r="AI300" i="7"/>
  <c r="AI300" i="3" s="1"/>
  <c r="AI162" i="7"/>
  <c r="AI162" i="3" s="1"/>
  <c r="AN23" i="3"/>
  <c r="AN299" i="7"/>
  <c r="AN299" i="3" s="1"/>
  <c r="AN161" i="7"/>
  <c r="AN161" i="3" s="1"/>
  <c r="AS22" i="3"/>
  <c r="AS298" i="7"/>
  <c r="AS298" i="3" s="1"/>
  <c r="AS160" i="7"/>
  <c r="AS160" i="3" s="1"/>
  <c r="AC22" i="3"/>
  <c r="AC298" i="7"/>
  <c r="AC298" i="3" s="1"/>
  <c r="AC160" i="7"/>
  <c r="AC160" i="3" s="1"/>
  <c r="AH21" i="3"/>
  <c r="AH297" i="7"/>
  <c r="AH297" i="3" s="1"/>
  <c r="AH159" i="7"/>
  <c r="AH159" i="3" s="1"/>
  <c r="AM20" i="3"/>
  <c r="AM296" i="7"/>
  <c r="AM296" i="3" s="1"/>
  <c r="AM158" i="7"/>
  <c r="AM158" i="3" s="1"/>
  <c r="AR19" i="3"/>
  <c r="AR295" i="7"/>
  <c r="AR295" i="3" s="1"/>
  <c r="AR157" i="7"/>
  <c r="AR157" i="3" s="1"/>
  <c r="AW18" i="3"/>
  <c r="AW294" i="7"/>
  <c r="AW294" i="3" s="1"/>
  <c r="AW156" i="7"/>
  <c r="AW156" i="3" s="1"/>
  <c r="AG18" i="3"/>
  <c r="AG294" i="7"/>
  <c r="AG294" i="3" s="1"/>
  <c r="AG156" i="7"/>
  <c r="AG156" i="3" s="1"/>
  <c r="AL17" i="3"/>
  <c r="AL293" i="7"/>
  <c r="AL293" i="3" s="1"/>
  <c r="AL155" i="7"/>
  <c r="AL155" i="3" s="1"/>
  <c r="AQ16" i="3"/>
  <c r="AQ292" i="7"/>
  <c r="AQ292" i="3" s="1"/>
  <c r="AQ154" i="7"/>
  <c r="AQ154" i="3" s="1"/>
  <c r="AV15" i="3"/>
  <c r="AV291" i="7"/>
  <c r="AV291" i="3" s="1"/>
  <c r="AV153" i="7"/>
  <c r="AV153" i="3" s="1"/>
  <c r="AF15" i="3"/>
  <c r="AF291" i="7"/>
  <c r="AF291" i="3" s="1"/>
  <c r="AF153" i="7"/>
  <c r="AF153" i="3" s="1"/>
  <c r="AK14" i="3"/>
  <c r="AK290" i="7"/>
  <c r="AK290" i="3" s="1"/>
  <c r="AK152" i="7"/>
  <c r="AK152" i="3" s="1"/>
  <c r="AP13" i="3"/>
  <c r="AP289" i="7"/>
  <c r="AP289" i="3" s="1"/>
  <c r="AP151" i="7"/>
  <c r="AP151" i="3" s="1"/>
  <c r="AU12" i="3"/>
  <c r="AU288" i="7"/>
  <c r="AU288" i="3" s="1"/>
  <c r="AU150" i="7"/>
  <c r="AU150" i="3" s="1"/>
  <c r="AE12" i="3"/>
  <c r="AE288" i="7"/>
  <c r="AE288" i="3" s="1"/>
  <c r="AE150" i="7"/>
  <c r="AE150" i="3" s="1"/>
  <c r="AJ11" i="3"/>
  <c r="AJ287" i="7"/>
  <c r="AJ287" i="3" s="1"/>
  <c r="AJ149" i="7"/>
  <c r="AJ149" i="3" s="1"/>
  <c r="AO10" i="3"/>
  <c r="AO286" i="7"/>
  <c r="AO286" i="3" s="1"/>
  <c r="AO148" i="7"/>
  <c r="AO148" i="3" s="1"/>
  <c r="AT9" i="3"/>
  <c r="AT285" i="7"/>
  <c r="AT285" i="3" s="1"/>
  <c r="AT147" i="7"/>
  <c r="AT147" i="3" s="1"/>
  <c r="AD9" i="3"/>
  <c r="AD285" i="7"/>
  <c r="AD285" i="3" s="1"/>
  <c r="AD147" i="7"/>
  <c r="AD147" i="3" s="1"/>
  <c r="AI8" i="3"/>
  <c r="AI284" i="7"/>
  <c r="AI284" i="3" s="1"/>
  <c r="AI146" i="7"/>
  <c r="AI146" i="3" s="1"/>
  <c r="AN7" i="3"/>
  <c r="AN283" i="7"/>
  <c r="AN283" i="3" s="1"/>
  <c r="AN145" i="7"/>
  <c r="AN145" i="3" s="1"/>
  <c r="AS6" i="3"/>
  <c r="AS282" i="7"/>
  <c r="AS282" i="3" s="1"/>
  <c r="AS144" i="7"/>
  <c r="AS144" i="3" s="1"/>
  <c r="AC6" i="3"/>
  <c r="AC282" i="7"/>
  <c r="AC282" i="3" s="1"/>
  <c r="AC144" i="7"/>
  <c r="AC144" i="3" s="1"/>
  <c r="AH5" i="3"/>
  <c r="AH281" i="7"/>
  <c r="AH281" i="3" s="1"/>
  <c r="AH143" i="7"/>
  <c r="AH143" i="3" s="1"/>
  <c r="AM4" i="3"/>
  <c r="AM280" i="7"/>
  <c r="AM280" i="3" s="1"/>
  <c r="AM142" i="7"/>
  <c r="AM142" i="3" s="1"/>
  <c r="AR3" i="3"/>
  <c r="AR279" i="7"/>
  <c r="AR279" i="3" s="1"/>
  <c r="AR141" i="7"/>
  <c r="AR141" i="3" s="1"/>
  <c r="AW137" i="3"/>
  <c r="AW413" i="7"/>
  <c r="AW413" i="3" s="1"/>
  <c r="AW275" i="7"/>
  <c r="AW275" i="3" s="1"/>
  <c r="AG137" i="3"/>
  <c r="AG413" i="7"/>
  <c r="AG413" i="3" s="1"/>
  <c r="AG275" i="7"/>
  <c r="AG275" i="3" s="1"/>
  <c r="AL136" i="3"/>
  <c r="AL412" i="7"/>
  <c r="AL412" i="3" s="1"/>
  <c r="AL274" i="7"/>
  <c r="AL274" i="3" s="1"/>
  <c r="AQ135" i="3"/>
  <c r="AQ411" i="7"/>
  <c r="AQ411" i="3" s="1"/>
  <c r="AQ273" i="7"/>
  <c r="AQ273" i="3" s="1"/>
  <c r="H105" i="3"/>
  <c r="H243" i="7"/>
  <c r="H381" i="7"/>
  <c r="D113" i="11"/>
  <c r="J80" i="3"/>
  <c r="J356" i="7"/>
  <c r="J356" i="3" s="1"/>
  <c r="J218" i="7"/>
  <c r="J218" i="3" s="1"/>
  <c r="D26" i="11"/>
  <c r="J16" i="3"/>
  <c r="J292" i="7"/>
  <c r="J292" i="3" s="1"/>
  <c r="J154" i="7"/>
  <c r="J154" i="3" s="1"/>
  <c r="H55" i="3"/>
  <c r="H193" i="7"/>
  <c r="H331" i="7"/>
  <c r="AJ111" i="9"/>
  <c r="AY111" i="3"/>
  <c r="O161" i="11"/>
  <c r="E161" i="11"/>
  <c r="K111" i="3"/>
  <c r="K387" i="7"/>
  <c r="K249" i="7"/>
  <c r="AJ95" i="9"/>
  <c r="AY95" i="3"/>
  <c r="O132" i="11"/>
  <c r="E132" i="11"/>
  <c r="K371" i="7"/>
  <c r="AY371" i="3" s="1"/>
  <c r="K233" i="7"/>
  <c r="AY233" i="3" s="1"/>
  <c r="AJ79" i="9"/>
  <c r="AY79" i="3"/>
  <c r="O112" i="11"/>
  <c r="E112" i="11"/>
  <c r="K355" i="7"/>
  <c r="AY355" i="3" s="1"/>
  <c r="AJ63" i="9"/>
  <c r="AY63" i="3"/>
  <c r="O92" i="11"/>
  <c r="E92" i="11"/>
  <c r="K339" i="7"/>
  <c r="AY339" i="3" s="1"/>
  <c r="K201" i="7"/>
  <c r="AY201" i="3" s="1"/>
  <c r="AJ47" i="9"/>
  <c r="AY47" i="3"/>
  <c r="O68" i="11"/>
  <c r="E68" i="11"/>
  <c r="K47" i="3"/>
  <c r="K323" i="7"/>
  <c r="K185" i="7"/>
  <c r="AJ31" i="9"/>
  <c r="AY31" i="3"/>
  <c r="O45" i="11"/>
  <c r="W2" i="10" s="1"/>
  <c r="W137" i="9" s="1"/>
  <c r="E45" i="11"/>
  <c r="K31" i="3"/>
  <c r="K307" i="7"/>
  <c r="K169" i="7"/>
  <c r="AJ15" i="9"/>
  <c r="AY15" i="3"/>
  <c r="O25" i="11"/>
  <c r="E25" i="11"/>
  <c r="K291" i="7"/>
  <c r="AY291" i="3" s="1"/>
  <c r="K153" i="7"/>
  <c r="AY153" i="3" s="1"/>
  <c r="L34" i="3"/>
  <c r="L310" i="7"/>
  <c r="L310" i="3" s="1"/>
  <c r="L172" i="7"/>
  <c r="L172" i="3" s="1"/>
  <c r="L18" i="3"/>
  <c r="L294" i="7"/>
  <c r="L294" i="3" s="1"/>
  <c r="L156" i="7"/>
  <c r="L156" i="3" s="1"/>
  <c r="L137" i="3"/>
  <c r="L413" i="7"/>
  <c r="L413" i="3" s="1"/>
  <c r="L275" i="7"/>
  <c r="L275" i="3" s="1"/>
  <c r="L121" i="3"/>
  <c r="L397" i="7"/>
  <c r="L397" i="3" s="1"/>
  <c r="L259" i="7"/>
  <c r="L259" i="3" s="1"/>
  <c r="L105" i="3"/>
  <c r="L381" i="7"/>
  <c r="L381" i="3" s="1"/>
  <c r="L243" i="7"/>
  <c r="L243" i="3" s="1"/>
  <c r="L89" i="3"/>
  <c r="L365" i="7"/>
  <c r="L365" i="3" s="1"/>
  <c r="L227" i="7"/>
  <c r="L227" i="3" s="1"/>
  <c r="L73" i="3"/>
  <c r="L349" i="7"/>
  <c r="L349" i="3" s="1"/>
  <c r="L211" i="7"/>
  <c r="L211" i="3" s="1"/>
  <c r="L57" i="3"/>
  <c r="L333" i="7"/>
  <c r="L333" i="3" s="1"/>
  <c r="L195" i="7"/>
  <c r="L195" i="3" s="1"/>
  <c r="L41" i="3"/>
  <c r="L317" i="7"/>
  <c r="L317" i="3" s="1"/>
  <c r="L179" i="7"/>
  <c r="L179" i="3" s="1"/>
  <c r="AM2" i="3"/>
  <c r="AM278" i="7"/>
  <c r="AM140" i="7"/>
  <c r="AM140" i="3" s="1"/>
  <c r="AQ311" i="7"/>
  <c r="AQ173" i="7"/>
  <c r="AV34" i="3"/>
  <c r="AV310" i="7"/>
  <c r="AV310" i="3" s="1"/>
  <c r="AV172" i="7"/>
  <c r="AV172" i="3" s="1"/>
  <c r="AF34" i="3"/>
  <c r="AF310" i="7"/>
  <c r="AF310" i="3" s="1"/>
  <c r="AF172" i="7"/>
  <c r="AF172" i="3" s="1"/>
  <c r="AK33" i="3"/>
  <c r="AK309" i="7"/>
  <c r="AK309" i="3" s="1"/>
  <c r="AK171" i="7"/>
  <c r="AK171" i="3" s="1"/>
  <c r="AP32" i="3"/>
  <c r="AP308" i="7"/>
  <c r="AP308" i="3" s="1"/>
  <c r="AP170" i="7"/>
  <c r="AP170" i="3" s="1"/>
  <c r="AU31" i="3"/>
  <c r="AU307" i="7"/>
  <c r="AU307" i="3" s="1"/>
  <c r="AU169" i="7"/>
  <c r="AU169" i="3" s="1"/>
  <c r="AE31" i="3"/>
  <c r="AE307" i="7"/>
  <c r="AE307" i="3" s="1"/>
  <c r="AE169" i="7"/>
  <c r="AE169" i="3" s="1"/>
  <c r="AJ30" i="3"/>
  <c r="AJ306" i="7"/>
  <c r="AJ306" i="3" s="1"/>
  <c r="AJ168" i="7"/>
  <c r="AJ168" i="3" s="1"/>
  <c r="AO29" i="3"/>
  <c r="AO305" i="7"/>
  <c r="AO305" i="3" s="1"/>
  <c r="AO167" i="7"/>
  <c r="AO167" i="3" s="1"/>
  <c r="AT28" i="3"/>
  <c r="AT304" i="7"/>
  <c r="AT304" i="3" s="1"/>
  <c r="AT166" i="7"/>
  <c r="AT166" i="3" s="1"/>
  <c r="AD28" i="3"/>
  <c r="AD304" i="7"/>
  <c r="AD304" i="3" s="1"/>
  <c r="AD166" i="7"/>
  <c r="AD166" i="3" s="1"/>
  <c r="AI27" i="3"/>
  <c r="AI303" i="7"/>
  <c r="AI303" i="3" s="1"/>
  <c r="AI165" i="7"/>
  <c r="AI165" i="3" s="1"/>
  <c r="AN26" i="3"/>
  <c r="AN302" i="7"/>
  <c r="AN302" i="3" s="1"/>
  <c r="AN164" i="7"/>
  <c r="AN164" i="3" s="1"/>
  <c r="AS25" i="3"/>
  <c r="AS301" i="7"/>
  <c r="AS301" i="3" s="1"/>
  <c r="AS163" i="7"/>
  <c r="AS163" i="3" s="1"/>
  <c r="AC25" i="3"/>
  <c r="AC301" i="7"/>
  <c r="AC301" i="3" s="1"/>
  <c r="AC163" i="7"/>
  <c r="AC163" i="3" s="1"/>
  <c r="AH24" i="3"/>
  <c r="AH300" i="7"/>
  <c r="AH300" i="3" s="1"/>
  <c r="AH162" i="7"/>
  <c r="AH162" i="3" s="1"/>
  <c r="AM23" i="3"/>
  <c r="AM299" i="7"/>
  <c r="AM299" i="3" s="1"/>
  <c r="AM161" i="7"/>
  <c r="AM161" i="3" s="1"/>
  <c r="AR22" i="3"/>
  <c r="AR298" i="7"/>
  <c r="AR298" i="3" s="1"/>
  <c r="AR160" i="7"/>
  <c r="AR160" i="3" s="1"/>
  <c r="AW21" i="3"/>
  <c r="AW297" i="7"/>
  <c r="AW297" i="3" s="1"/>
  <c r="AW159" i="7"/>
  <c r="AW159" i="3" s="1"/>
  <c r="AG21" i="3"/>
  <c r="AG297" i="7"/>
  <c r="AG297" i="3" s="1"/>
  <c r="AG159" i="7"/>
  <c r="AG159" i="3" s="1"/>
  <c r="AL20" i="3"/>
  <c r="AL296" i="7"/>
  <c r="AL296" i="3" s="1"/>
  <c r="AL158" i="7"/>
  <c r="AL158" i="3" s="1"/>
  <c r="AQ19" i="3"/>
  <c r="AQ295" i="7"/>
  <c r="AQ295" i="3" s="1"/>
  <c r="AQ157" i="7"/>
  <c r="AQ157" i="3" s="1"/>
  <c r="AV18" i="3"/>
  <c r="AV294" i="7"/>
  <c r="AV294" i="3" s="1"/>
  <c r="AV156" i="7"/>
  <c r="AV156" i="3" s="1"/>
  <c r="AF18" i="3"/>
  <c r="AF294" i="7"/>
  <c r="AF294" i="3" s="1"/>
  <c r="AF156" i="7"/>
  <c r="AF156" i="3" s="1"/>
  <c r="AK17" i="3"/>
  <c r="AK293" i="7"/>
  <c r="AK293" i="3" s="1"/>
  <c r="AK155" i="7"/>
  <c r="AK155" i="3" s="1"/>
  <c r="AP16" i="3"/>
  <c r="AP292" i="7"/>
  <c r="AP292" i="3" s="1"/>
  <c r="AP154" i="7"/>
  <c r="AP154" i="3" s="1"/>
  <c r="AU15" i="3"/>
  <c r="AU291" i="7"/>
  <c r="AU291" i="3" s="1"/>
  <c r="AU153" i="7"/>
  <c r="AU153" i="3" s="1"/>
  <c r="AE15" i="3"/>
  <c r="AE291" i="7"/>
  <c r="AE291" i="3" s="1"/>
  <c r="AE153" i="7"/>
  <c r="AE153" i="3" s="1"/>
  <c r="AJ14" i="3"/>
  <c r="AJ290" i="7"/>
  <c r="AJ290" i="3" s="1"/>
  <c r="AJ152" i="7"/>
  <c r="AJ152" i="3" s="1"/>
  <c r="AO13" i="3"/>
  <c r="AO289" i="7"/>
  <c r="AO289" i="3" s="1"/>
  <c r="AO151" i="7"/>
  <c r="AO151" i="3" s="1"/>
  <c r="AT12" i="3"/>
  <c r="AT288" i="7"/>
  <c r="AT288" i="3" s="1"/>
  <c r="AT150" i="7"/>
  <c r="AT150" i="3" s="1"/>
  <c r="AD12" i="3"/>
  <c r="AD288" i="7"/>
  <c r="AD288" i="3" s="1"/>
  <c r="AD150" i="7"/>
  <c r="AD150" i="3" s="1"/>
  <c r="AI11" i="3"/>
  <c r="AI287" i="7"/>
  <c r="AI287" i="3" s="1"/>
  <c r="AI149" i="7"/>
  <c r="AI149" i="3" s="1"/>
  <c r="AN10" i="3"/>
  <c r="AN286" i="7"/>
  <c r="AN286" i="3" s="1"/>
  <c r="AN148" i="7"/>
  <c r="AN148" i="3" s="1"/>
  <c r="AS9" i="3"/>
  <c r="AS285" i="7"/>
  <c r="AS285" i="3" s="1"/>
  <c r="AS147" i="7"/>
  <c r="AS147" i="3" s="1"/>
  <c r="AC9" i="3"/>
  <c r="AC285" i="7"/>
  <c r="AC285" i="3" s="1"/>
  <c r="AC147" i="7"/>
  <c r="AC147" i="3" s="1"/>
  <c r="AH8" i="3"/>
  <c r="AH284" i="7"/>
  <c r="AH284" i="3" s="1"/>
  <c r="AH146" i="7"/>
  <c r="AH146" i="3" s="1"/>
  <c r="AM7" i="3"/>
  <c r="AM283" i="7"/>
  <c r="AM283" i="3" s="1"/>
  <c r="AM145" i="7"/>
  <c r="AM145" i="3" s="1"/>
  <c r="AR6" i="3"/>
  <c r="AR282" i="7"/>
  <c r="AR282" i="3" s="1"/>
  <c r="AR144" i="7"/>
  <c r="AR144" i="3" s="1"/>
  <c r="AW5" i="3"/>
  <c r="AW281" i="7"/>
  <c r="AW281" i="3" s="1"/>
  <c r="AW143" i="7"/>
  <c r="AW143" i="3" s="1"/>
  <c r="AG5" i="3"/>
  <c r="AG281" i="7"/>
  <c r="AG281" i="3" s="1"/>
  <c r="AG143" i="7"/>
  <c r="AG143" i="3" s="1"/>
  <c r="AL4" i="3"/>
  <c r="AL280" i="7"/>
  <c r="AL280" i="3" s="1"/>
  <c r="AL142" i="7"/>
  <c r="AL142" i="3" s="1"/>
  <c r="AQ3" i="3"/>
  <c r="AQ279" i="7"/>
  <c r="AQ279" i="3" s="1"/>
  <c r="AQ141" i="7"/>
  <c r="AQ141" i="3" s="1"/>
  <c r="AV137" i="3"/>
  <c r="AV413" i="7"/>
  <c r="AV413" i="3" s="1"/>
  <c r="AV275" i="7"/>
  <c r="AV275" i="3" s="1"/>
  <c r="AF137" i="3"/>
  <c r="AF413" i="7"/>
  <c r="AF413" i="3" s="1"/>
  <c r="AF275" i="7"/>
  <c r="AF275" i="3" s="1"/>
  <c r="AK136" i="3"/>
  <c r="AK412" i="7"/>
  <c r="AK412" i="3" s="1"/>
  <c r="AK274" i="7"/>
  <c r="AK274" i="3" s="1"/>
  <c r="AP135" i="3"/>
  <c r="AP411" i="7"/>
  <c r="AP411" i="3" s="1"/>
  <c r="AP273" i="7"/>
  <c r="AP273" i="3" s="1"/>
  <c r="AU134" i="3"/>
  <c r="AU410" i="7"/>
  <c r="AU410" i="3" s="1"/>
  <c r="AU272" i="7"/>
  <c r="AU272" i="3" s="1"/>
  <c r="AE134" i="3"/>
  <c r="AE410" i="7"/>
  <c r="AE410" i="3" s="1"/>
  <c r="AE272" i="7"/>
  <c r="AE272" i="3" s="1"/>
  <c r="D181" i="11"/>
  <c r="J126" i="3"/>
  <c r="J402" i="7"/>
  <c r="J402" i="3" s="1"/>
  <c r="J264" i="7"/>
  <c r="J264" i="3" s="1"/>
  <c r="D24" i="11"/>
  <c r="J14" i="3"/>
  <c r="J290" i="7"/>
  <c r="J290" i="3" s="1"/>
  <c r="J152" i="7"/>
  <c r="J152" i="3" s="1"/>
  <c r="I5" i="3"/>
  <c r="P8" i="11"/>
  <c r="H272" i="7"/>
  <c r="H410" i="7"/>
  <c r="H134" i="3"/>
  <c r="H118" i="3"/>
  <c r="H256" i="7"/>
  <c r="H394" i="7"/>
  <c r="H86" i="3"/>
  <c r="H224" i="7"/>
  <c r="H362" i="7"/>
  <c r="H70" i="3"/>
  <c r="H208" i="7"/>
  <c r="H346" i="7"/>
  <c r="H22" i="3"/>
  <c r="H160" i="7"/>
  <c r="H298" i="7"/>
  <c r="D180" i="11"/>
  <c r="J125" i="3"/>
  <c r="J401" i="7"/>
  <c r="J401" i="3" s="1"/>
  <c r="J263" i="7"/>
  <c r="J263" i="3" s="1"/>
  <c r="D128" i="11"/>
  <c r="J93" i="3"/>
  <c r="J369" i="7"/>
  <c r="J369" i="3" s="1"/>
  <c r="J231" i="7"/>
  <c r="J231" i="3" s="1"/>
  <c r="D90" i="11"/>
  <c r="J61" i="3"/>
  <c r="J337" i="7"/>
  <c r="J337" i="3" s="1"/>
  <c r="J199" i="7"/>
  <c r="J199" i="3" s="1"/>
  <c r="I133" i="3"/>
  <c r="P193" i="11"/>
  <c r="I101" i="3"/>
  <c r="P144" i="11"/>
  <c r="I69" i="3"/>
  <c r="P99" i="11"/>
  <c r="I37" i="3"/>
  <c r="P56" i="11"/>
  <c r="AJ110" i="9"/>
  <c r="AY110" i="3"/>
  <c r="O157" i="11"/>
  <c r="E157" i="11"/>
  <c r="K386" i="7"/>
  <c r="AY386" i="3" s="1"/>
  <c r="K248" i="7"/>
  <c r="AY248" i="3" s="1"/>
  <c r="AJ78" i="9"/>
  <c r="AY78" i="3"/>
  <c r="O111" i="11"/>
  <c r="E111" i="11"/>
  <c r="K354" i="7"/>
  <c r="AY354" i="3" s="1"/>
  <c r="K216" i="7"/>
  <c r="AY216" i="3" s="1"/>
  <c r="AJ46" i="9"/>
  <c r="AY46" i="3"/>
  <c r="O67" i="11"/>
  <c r="E67" i="11"/>
  <c r="K322" i="7"/>
  <c r="AY322" i="3" s="1"/>
  <c r="AJ14" i="9"/>
  <c r="AY14" i="3"/>
  <c r="O24" i="11"/>
  <c r="E24" i="11"/>
  <c r="K290" i="7"/>
  <c r="AY290" i="3" s="1"/>
  <c r="K152" i="7"/>
  <c r="AY152" i="3" s="1"/>
  <c r="L136" i="3"/>
  <c r="L412" i="7"/>
  <c r="L412" i="3" s="1"/>
  <c r="L274" i="7"/>
  <c r="L274" i="3" s="1"/>
  <c r="L104" i="3"/>
  <c r="L380" i="7"/>
  <c r="L380" i="3" s="1"/>
  <c r="L242" i="7"/>
  <c r="L242" i="3" s="1"/>
  <c r="L72" i="3"/>
  <c r="L348" i="7"/>
  <c r="L348" i="3" s="1"/>
  <c r="L210" i="7"/>
  <c r="L210" i="3" s="1"/>
  <c r="L56" i="3"/>
  <c r="L332" i="7"/>
  <c r="L332" i="3" s="1"/>
  <c r="L194" i="7"/>
  <c r="L194" i="3" s="1"/>
  <c r="L40" i="3"/>
  <c r="L316" i="7"/>
  <c r="L316" i="3" s="1"/>
  <c r="L178" i="7"/>
  <c r="L178" i="3" s="1"/>
  <c r="AL2" i="3"/>
  <c r="AL278" i="7"/>
  <c r="AL140" i="7"/>
  <c r="AL140" i="3" s="1"/>
  <c r="AP311" i="7"/>
  <c r="AP173" i="7"/>
  <c r="AU34" i="3"/>
  <c r="AU310" i="7"/>
  <c r="AU310" i="3" s="1"/>
  <c r="AU172" i="7"/>
  <c r="AU172" i="3" s="1"/>
  <c r="AE34" i="3"/>
  <c r="AE310" i="7"/>
  <c r="AE310" i="3" s="1"/>
  <c r="AE172" i="7"/>
  <c r="AE172" i="3" s="1"/>
  <c r="AJ33" i="3"/>
  <c r="AJ309" i="7"/>
  <c r="AJ309" i="3" s="1"/>
  <c r="AJ171" i="7"/>
  <c r="AJ171" i="3" s="1"/>
  <c r="AO32" i="3"/>
  <c r="AO308" i="7"/>
  <c r="AO308" i="3" s="1"/>
  <c r="AO170" i="7"/>
  <c r="AO170" i="3" s="1"/>
  <c r="AT31" i="3"/>
  <c r="AT307" i="7"/>
  <c r="AT307" i="3" s="1"/>
  <c r="AT169" i="7"/>
  <c r="AT169" i="3" s="1"/>
  <c r="AD31" i="3"/>
  <c r="AD307" i="7"/>
  <c r="AD307" i="3" s="1"/>
  <c r="AD169" i="7"/>
  <c r="AD169" i="3" s="1"/>
  <c r="AI30" i="3"/>
  <c r="AI306" i="7"/>
  <c r="AI306" i="3" s="1"/>
  <c r="AI168" i="7"/>
  <c r="AI168" i="3" s="1"/>
  <c r="AN29" i="3"/>
  <c r="AN305" i="7"/>
  <c r="AN305" i="3" s="1"/>
  <c r="AN167" i="7"/>
  <c r="AN167" i="3" s="1"/>
  <c r="AS28" i="3"/>
  <c r="AS304" i="7"/>
  <c r="AS304" i="3" s="1"/>
  <c r="AS166" i="7"/>
  <c r="AS166" i="3" s="1"/>
  <c r="AC28" i="3"/>
  <c r="AC304" i="7"/>
  <c r="AC304" i="3" s="1"/>
  <c r="AC166" i="7"/>
  <c r="AC166" i="3" s="1"/>
  <c r="AH27" i="3"/>
  <c r="AH303" i="7"/>
  <c r="AH303" i="3" s="1"/>
  <c r="AH165" i="7"/>
  <c r="AH165" i="3" s="1"/>
  <c r="AM26" i="3"/>
  <c r="AM302" i="7"/>
  <c r="AM302" i="3" s="1"/>
  <c r="AM164" i="7"/>
  <c r="AM164" i="3" s="1"/>
  <c r="AR25" i="3"/>
  <c r="AR301" i="7"/>
  <c r="AR301" i="3" s="1"/>
  <c r="AR163" i="7"/>
  <c r="AR163" i="3" s="1"/>
  <c r="AW24" i="3"/>
  <c r="AW300" i="7"/>
  <c r="AW300" i="3" s="1"/>
  <c r="AW162" i="7"/>
  <c r="AW162" i="3" s="1"/>
  <c r="AG24" i="3"/>
  <c r="AG300" i="7"/>
  <c r="AG300" i="3" s="1"/>
  <c r="AG162" i="7"/>
  <c r="AG162" i="3" s="1"/>
  <c r="AL23" i="3"/>
  <c r="AL299" i="7"/>
  <c r="AL299" i="3" s="1"/>
  <c r="AL161" i="7"/>
  <c r="AL161" i="3" s="1"/>
  <c r="AQ22" i="3"/>
  <c r="AQ298" i="7"/>
  <c r="AQ298" i="3" s="1"/>
  <c r="AQ160" i="7"/>
  <c r="AQ160" i="3" s="1"/>
  <c r="AV21" i="3"/>
  <c r="AV297" i="7"/>
  <c r="AV297" i="3" s="1"/>
  <c r="AV159" i="7"/>
  <c r="AV159" i="3" s="1"/>
  <c r="AF21" i="3"/>
  <c r="AF297" i="7"/>
  <c r="AF297" i="3" s="1"/>
  <c r="AF159" i="7"/>
  <c r="AF159" i="3" s="1"/>
  <c r="AK20" i="3"/>
  <c r="AK296" i="7"/>
  <c r="AK296" i="3" s="1"/>
  <c r="AK158" i="7"/>
  <c r="AK158" i="3" s="1"/>
  <c r="AP19" i="3"/>
  <c r="AP295" i="7"/>
  <c r="AP295" i="3" s="1"/>
  <c r="AP157" i="7"/>
  <c r="AP157" i="3" s="1"/>
  <c r="AU18" i="3"/>
  <c r="AU294" i="7"/>
  <c r="AU294" i="3" s="1"/>
  <c r="AU156" i="7"/>
  <c r="AU156" i="3" s="1"/>
  <c r="AE18" i="3"/>
  <c r="AE294" i="7"/>
  <c r="AE294" i="3" s="1"/>
  <c r="AE156" i="7"/>
  <c r="AE156" i="3" s="1"/>
  <c r="AJ17" i="3"/>
  <c r="AJ293" i="7"/>
  <c r="AJ293" i="3" s="1"/>
  <c r="AJ155" i="7"/>
  <c r="AJ155" i="3" s="1"/>
  <c r="AO16" i="3"/>
  <c r="AO292" i="7"/>
  <c r="AO292" i="3" s="1"/>
  <c r="AO154" i="7"/>
  <c r="AO154" i="3" s="1"/>
  <c r="AT15" i="3"/>
  <c r="AT291" i="7"/>
  <c r="AT291" i="3" s="1"/>
  <c r="AT153" i="7"/>
  <c r="AT153" i="3" s="1"/>
  <c r="AD15" i="3"/>
  <c r="AD291" i="7"/>
  <c r="AD291" i="3" s="1"/>
  <c r="AD153" i="7"/>
  <c r="AD153" i="3" s="1"/>
  <c r="AI14" i="3"/>
  <c r="AI290" i="7"/>
  <c r="AI290" i="3" s="1"/>
  <c r="AI152" i="7"/>
  <c r="AI152" i="3" s="1"/>
  <c r="AN13" i="3"/>
  <c r="AN289" i="7"/>
  <c r="AN289" i="3" s="1"/>
  <c r="AN151" i="7"/>
  <c r="AN151" i="3" s="1"/>
  <c r="AS12" i="3"/>
  <c r="AS288" i="7"/>
  <c r="AS288" i="3" s="1"/>
  <c r="AS150" i="7"/>
  <c r="AS150" i="3" s="1"/>
  <c r="AC12" i="3"/>
  <c r="AC288" i="7"/>
  <c r="AC288" i="3" s="1"/>
  <c r="AC150" i="7"/>
  <c r="AC150" i="3" s="1"/>
  <c r="AH11" i="3"/>
  <c r="AH287" i="7"/>
  <c r="AH287" i="3" s="1"/>
  <c r="AH149" i="7"/>
  <c r="AH149" i="3" s="1"/>
  <c r="AM10" i="3"/>
  <c r="AM286" i="7"/>
  <c r="AM286" i="3" s="1"/>
  <c r="AM148" i="7"/>
  <c r="AM148" i="3" s="1"/>
  <c r="AR9" i="3"/>
  <c r="AR285" i="7"/>
  <c r="AR285" i="3" s="1"/>
  <c r="AR147" i="7"/>
  <c r="AR147" i="3" s="1"/>
  <c r="AW8" i="3"/>
  <c r="AW284" i="7"/>
  <c r="AW284" i="3" s="1"/>
  <c r="AW146" i="7"/>
  <c r="AW146" i="3" s="1"/>
  <c r="AG8" i="3"/>
  <c r="AG284" i="7"/>
  <c r="AG284" i="3" s="1"/>
  <c r="AG146" i="7"/>
  <c r="AG146" i="3" s="1"/>
  <c r="AL7" i="3"/>
  <c r="AL283" i="7"/>
  <c r="AL283" i="3" s="1"/>
  <c r="AL145" i="7"/>
  <c r="AL145" i="3" s="1"/>
  <c r="AQ6" i="3"/>
  <c r="AQ282" i="7"/>
  <c r="AQ282" i="3" s="1"/>
  <c r="AQ144" i="7"/>
  <c r="AQ144" i="3" s="1"/>
  <c r="AV5" i="3"/>
  <c r="AV281" i="7"/>
  <c r="AV281" i="3" s="1"/>
  <c r="AV143" i="7"/>
  <c r="AV143" i="3" s="1"/>
  <c r="AF5" i="3"/>
  <c r="AF281" i="7"/>
  <c r="AF281" i="3" s="1"/>
  <c r="AF143" i="7"/>
  <c r="AF143" i="3" s="1"/>
  <c r="AK4" i="3"/>
  <c r="AK280" i="7"/>
  <c r="AK280" i="3" s="1"/>
  <c r="AK142" i="7"/>
  <c r="AK142" i="3" s="1"/>
  <c r="AP3" i="3"/>
  <c r="AP279" i="7"/>
  <c r="AP279" i="3" s="1"/>
  <c r="AP141" i="7"/>
  <c r="AP141" i="3" s="1"/>
  <c r="AU137" i="3"/>
  <c r="AU413" i="7"/>
  <c r="AU413" i="3" s="1"/>
  <c r="AU275" i="7"/>
  <c r="AU275" i="3" s="1"/>
  <c r="AE137" i="3"/>
  <c r="AE413" i="7"/>
  <c r="AE413" i="3" s="1"/>
  <c r="AE275" i="7"/>
  <c r="AE275" i="3" s="1"/>
  <c r="AJ136" i="3"/>
  <c r="AJ412" i="7"/>
  <c r="AJ412" i="3" s="1"/>
  <c r="AJ274" i="7"/>
  <c r="AJ274" i="3" s="1"/>
  <c r="AO135" i="3"/>
  <c r="AO411" i="7"/>
  <c r="AO411" i="3" s="1"/>
  <c r="AO273" i="7"/>
  <c r="AO273" i="3" s="1"/>
  <c r="AT134" i="3"/>
  <c r="AT410" i="7"/>
  <c r="AT410" i="3" s="1"/>
  <c r="AT272" i="7"/>
  <c r="AT272" i="3" s="1"/>
  <c r="AD134" i="3"/>
  <c r="AD410" i="7"/>
  <c r="AD410" i="3" s="1"/>
  <c r="AD272" i="7"/>
  <c r="AD272" i="3" s="1"/>
  <c r="AI133" i="3"/>
  <c r="AI409" i="7"/>
  <c r="AI409" i="3" s="1"/>
  <c r="AI271" i="7"/>
  <c r="AI271" i="3" s="1"/>
  <c r="AN132" i="3"/>
  <c r="AN408" i="7"/>
  <c r="AN408" i="3" s="1"/>
  <c r="AN270" i="7"/>
  <c r="AN270" i="3" s="1"/>
  <c r="AS131" i="3"/>
  <c r="AS407" i="7"/>
  <c r="AS407" i="3" s="1"/>
  <c r="AC131" i="3"/>
  <c r="AC407" i="7"/>
  <c r="AC407" i="3" s="1"/>
  <c r="AC269" i="7"/>
  <c r="AC269" i="3" s="1"/>
  <c r="AH130" i="3"/>
  <c r="AH406" i="7"/>
  <c r="AH406" i="3" s="1"/>
  <c r="AH268" i="7"/>
  <c r="AH268" i="3" s="1"/>
  <c r="AM129" i="3"/>
  <c r="AM405" i="7"/>
  <c r="AM405" i="3" s="1"/>
  <c r="AM267" i="7"/>
  <c r="AM267" i="3" s="1"/>
  <c r="AR404" i="7"/>
  <c r="AR266" i="7"/>
  <c r="AW127" i="3"/>
  <c r="AW403" i="7"/>
  <c r="AW403" i="3" s="1"/>
  <c r="AW265" i="7"/>
  <c r="AW265" i="3" s="1"/>
  <c r="AG127" i="3"/>
  <c r="AG403" i="7"/>
  <c r="AG403" i="3" s="1"/>
  <c r="AG265" i="7"/>
  <c r="AG265" i="3" s="1"/>
  <c r="AL126" i="3"/>
  <c r="AL402" i="7"/>
  <c r="AL402" i="3" s="1"/>
  <c r="AL264" i="7"/>
  <c r="AL264" i="3" s="1"/>
  <c r="AQ125" i="3"/>
  <c r="AQ401" i="7"/>
  <c r="AQ401" i="3" s="1"/>
  <c r="AQ263" i="7"/>
  <c r="AQ263" i="3" s="1"/>
  <c r="AV124" i="3"/>
  <c r="AV400" i="7"/>
  <c r="AV400" i="3" s="1"/>
  <c r="AV262" i="7"/>
  <c r="AV262" i="3" s="1"/>
  <c r="AF124" i="3"/>
  <c r="AF400" i="7"/>
  <c r="AF400" i="3" s="1"/>
  <c r="AF262" i="7"/>
  <c r="AF262" i="3" s="1"/>
  <c r="AK123" i="3"/>
  <c r="AK399" i="7"/>
  <c r="AK399" i="3" s="1"/>
  <c r="AK261" i="7"/>
  <c r="AK261" i="3" s="1"/>
  <c r="AP122" i="3"/>
  <c r="AP398" i="7"/>
  <c r="AP398" i="3" s="1"/>
  <c r="AP260" i="7"/>
  <c r="AP260" i="3" s="1"/>
  <c r="AU121" i="3"/>
  <c r="AU397" i="7"/>
  <c r="AU397" i="3" s="1"/>
  <c r="AU259" i="7"/>
  <c r="AU259" i="3" s="1"/>
  <c r="AE121" i="3"/>
  <c r="AE397" i="7"/>
  <c r="AE397" i="3" s="1"/>
  <c r="AE259" i="7"/>
  <c r="AE259" i="3" s="1"/>
  <c r="AJ120" i="3"/>
  <c r="AJ396" i="7"/>
  <c r="AJ396" i="3" s="1"/>
  <c r="AJ258" i="7"/>
  <c r="AJ258" i="3" s="1"/>
  <c r="AO119" i="3"/>
  <c r="AO395" i="7"/>
  <c r="AO395" i="3" s="1"/>
  <c r="AO257" i="7"/>
  <c r="AO257" i="3" s="1"/>
  <c r="AT118" i="3"/>
  <c r="AT394" i="7"/>
  <c r="AT394" i="3" s="1"/>
  <c r="AT256" i="7"/>
  <c r="AT256" i="3" s="1"/>
  <c r="AD118" i="3"/>
  <c r="AD394" i="7"/>
  <c r="AD394" i="3" s="1"/>
  <c r="AD256" i="7"/>
  <c r="AD256" i="3" s="1"/>
  <c r="AI117" i="3"/>
  <c r="AI393" i="7"/>
  <c r="AI393" i="3" s="1"/>
  <c r="AI255" i="7"/>
  <c r="AI255" i="3" s="1"/>
  <c r="AN116" i="3"/>
  <c r="AN392" i="7"/>
  <c r="AN392" i="3" s="1"/>
  <c r="AN254" i="7"/>
  <c r="AN254" i="3" s="1"/>
  <c r="AS115" i="3"/>
  <c r="AS391" i="7"/>
  <c r="AS391" i="3" s="1"/>
  <c r="AS253" i="7"/>
  <c r="AS253" i="3" s="1"/>
  <c r="AC115" i="3"/>
  <c r="AC391" i="7"/>
  <c r="AC391" i="3" s="1"/>
  <c r="AC253" i="7"/>
  <c r="AC253" i="3" s="1"/>
  <c r="AH114" i="3"/>
  <c r="AH390" i="7"/>
  <c r="AH390" i="3" s="1"/>
  <c r="AH252" i="7"/>
  <c r="AH252" i="3" s="1"/>
  <c r="AM113" i="3"/>
  <c r="AM389" i="7"/>
  <c r="AM389" i="3" s="1"/>
  <c r="AM251" i="7"/>
  <c r="AM251" i="3" s="1"/>
  <c r="AR112" i="3"/>
  <c r="AR388" i="7"/>
  <c r="AR388" i="3" s="1"/>
  <c r="AR250" i="7"/>
  <c r="AR250" i="3" s="1"/>
  <c r="J96" i="3"/>
  <c r="J372" i="7"/>
  <c r="J372" i="3" s="1"/>
  <c r="J234" i="7"/>
  <c r="J234" i="3" s="1"/>
  <c r="I23" i="3"/>
  <c r="P35" i="11"/>
  <c r="H71" i="3"/>
  <c r="H209" i="7"/>
  <c r="H347" i="7"/>
  <c r="D91" i="11"/>
  <c r="J62" i="3"/>
  <c r="J338" i="7"/>
  <c r="J338" i="3" s="1"/>
  <c r="J200" i="7"/>
  <c r="J200" i="3" s="1"/>
  <c r="AJ127" i="9"/>
  <c r="AY127" i="3"/>
  <c r="O182" i="11"/>
  <c r="E182" i="11"/>
  <c r="K127" i="3"/>
  <c r="K403" i="7"/>
  <c r="K265" i="7"/>
  <c r="H102" i="3"/>
  <c r="H240" i="7"/>
  <c r="H378" i="7"/>
  <c r="H54" i="3"/>
  <c r="H192" i="7"/>
  <c r="H330" i="7"/>
  <c r="H38" i="3"/>
  <c r="H176" i="7"/>
  <c r="H314" i="7"/>
  <c r="H6" i="3"/>
  <c r="H144" i="7"/>
  <c r="H282" i="7"/>
  <c r="D155" i="11"/>
  <c r="J109" i="3"/>
  <c r="J385" i="7"/>
  <c r="J385" i="3" s="1"/>
  <c r="J247" i="7"/>
  <c r="J247" i="3" s="1"/>
  <c r="D110" i="11"/>
  <c r="J77" i="3"/>
  <c r="J353" i="7"/>
  <c r="J353" i="3" s="1"/>
  <c r="J215" i="7"/>
  <c r="J215" i="3" s="1"/>
  <c r="D66" i="11"/>
  <c r="J45" i="3"/>
  <c r="J321" i="7"/>
  <c r="J321" i="3" s="1"/>
  <c r="J183" i="7"/>
  <c r="J183" i="3" s="1"/>
  <c r="D51" i="11"/>
  <c r="J29" i="3"/>
  <c r="J305" i="7"/>
  <c r="J305" i="3" s="1"/>
  <c r="J167" i="7"/>
  <c r="J167" i="3" s="1"/>
  <c r="D23" i="11"/>
  <c r="J13" i="3"/>
  <c r="J289" i="7"/>
  <c r="J289" i="3" s="1"/>
  <c r="J151" i="7"/>
  <c r="J151" i="3" s="1"/>
  <c r="I117" i="3"/>
  <c r="P168" i="11"/>
  <c r="I85" i="3"/>
  <c r="P118" i="11"/>
  <c r="I53" i="3"/>
  <c r="P76" i="11"/>
  <c r="AJ126" i="9"/>
  <c r="AY126" i="3"/>
  <c r="O181" i="11"/>
  <c r="E181" i="11"/>
  <c r="K126" i="3"/>
  <c r="K402" i="7"/>
  <c r="K264" i="7"/>
  <c r="AJ94" i="9"/>
  <c r="AY94" i="3"/>
  <c r="O175" i="11"/>
  <c r="E175" i="11"/>
  <c r="K94" i="3"/>
  <c r="K370" i="7"/>
  <c r="K232" i="7"/>
  <c r="AJ62" i="9"/>
  <c r="AY62" i="3"/>
  <c r="O91" i="11"/>
  <c r="E91" i="11"/>
  <c r="K62" i="3"/>
  <c r="K338" i="7"/>
  <c r="K200" i="7"/>
  <c r="AJ30" i="9"/>
  <c r="AY30" i="3"/>
  <c r="O43" i="11"/>
  <c r="E43" i="11"/>
  <c r="K306" i="7"/>
  <c r="AY306" i="3" s="1"/>
  <c r="K168" i="7"/>
  <c r="AY168" i="3" s="1"/>
  <c r="L33" i="3"/>
  <c r="L309" i="7"/>
  <c r="L309" i="3" s="1"/>
  <c r="L171" i="7"/>
  <c r="L171" i="3" s="1"/>
  <c r="L17" i="3"/>
  <c r="L293" i="7"/>
  <c r="L293" i="3" s="1"/>
  <c r="L155" i="7"/>
  <c r="L155" i="3" s="1"/>
  <c r="L120" i="3"/>
  <c r="L396" i="7"/>
  <c r="L396" i="3" s="1"/>
  <c r="L258" i="7"/>
  <c r="L258" i="3" s="1"/>
  <c r="L88" i="3"/>
  <c r="L364" i="7"/>
  <c r="L364" i="3" s="1"/>
  <c r="L226" i="7"/>
  <c r="L226" i="3" s="1"/>
  <c r="H133" i="3"/>
  <c r="H271" i="7"/>
  <c r="H409" i="7"/>
  <c r="H117" i="3"/>
  <c r="H255" i="7"/>
  <c r="H393" i="7"/>
  <c r="H101" i="3"/>
  <c r="H239" i="7"/>
  <c r="H377" i="7"/>
  <c r="H85" i="3"/>
  <c r="H223" i="7"/>
  <c r="H361" i="7"/>
  <c r="H69" i="3"/>
  <c r="H207" i="7"/>
  <c r="H345" i="7"/>
  <c r="H53" i="3"/>
  <c r="H191" i="7"/>
  <c r="H329" i="7"/>
  <c r="H37" i="3"/>
  <c r="H175" i="7"/>
  <c r="H313" i="7"/>
  <c r="H21" i="3"/>
  <c r="H159" i="7"/>
  <c r="H297" i="7"/>
  <c r="H5" i="3"/>
  <c r="H143" i="7"/>
  <c r="H281" i="7"/>
  <c r="D178" i="11"/>
  <c r="J124" i="3"/>
  <c r="J400" i="7"/>
  <c r="J400" i="3" s="1"/>
  <c r="J262" i="7"/>
  <c r="J262" i="3" s="1"/>
  <c r="D154" i="11"/>
  <c r="J108" i="3"/>
  <c r="J384" i="7"/>
  <c r="J384" i="3" s="1"/>
  <c r="J246" i="7"/>
  <c r="J246" i="3" s="1"/>
  <c r="D127" i="11"/>
  <c r="J92" i="3"/>
  <c r="J368" i="7"/>
  <c r="J368" i="3" s="1"/>
  <c r="J230" i="7"/>
  <c r="J230" i="3" s="1"/>
  <c r="D108" i="11"/>
  <c r="J76" i="3"/>
  <c r="J352" i="7"/>
  <c r="J352" i="3" s="1"/>
  <c r="J214" i="7"/>
  <c r="J214" i="3" s="1"/>
  <c r="D88" i="11"/>
  <c r="J60" i="3"/>
  <c r="J336" i="7"/>
  <c r="J336" i="3" s="1"/>
  <c r="J198" i="7"/>
  <c r="J198" i="3" s="1"/>
  <c r="D63" i="11"/>
  <c r="J44" i="3"/>
  <c r="J320" i="7"/>
  <c r="J320" i="3" s="1"/>
  <c r="J182" i="7"/>
  <c r="J182" i="3" s="1"/>
  <c r="D42" i="11"/>
  <c r="J28" i="3"/>
  <c r="J304" i="7"/>
  <c r="J304" i="3" s="1"/>
  <c r="J166" i="7"/>
  <c r="J166" i="3" s="1"/>
  <c r="D22" i="11"/>
  <c r="J12" i="3"/>
  <c r="J288" i="7"/>
  <c r="J288" i="3" s="1"/>
  <c r="J150" i="7"/>
  <c r="J150" i="3" s="1"/>
  <c r="I270" i="7"/>
  <c r="P192" i="11"/>
  <c r="I254" i="7"/>
  <c r="P167" i="11"/>
  <c r="I222" i="7"/>
  <c r="P117" i="11"/>
  <c r="I174" i="7"/>
  <c r="P55" i="11"/>
  <c r="I19" i="3"/>
  <c r="P30" i="11"/>
  <c r="I3" i="3"/>
  <c r="P5" i="11"/>
  <c r="AJ125" i="9"/>
  <c r="O180" i="11"/>
  <c r="AY125" i="3"/>
  <c r="E180" i="11"/>
  <c r="K125" i="3"/>
  <c r="K401" i="7"/>
  <c r="K263" i="7"/>
  <c r="AJ109" i="9"/>
  <c r="O155" i="11"/>
  <c r="AY109" i="3"/>
  <c r="E155" i="11"/>
  <c r="K109" i="3"/>
  <c r="K385" i="7"/>
  <c r="K247" i="7"/>
  <c r="AJ93" i="9"/>
  <c r="O128" i="11"/>
  <c r="AY93" i="3"/>
  <c r="E128" i="11"/>
  <c r="K369" i="7"/>
  <c r="AY369" i="3" s="1"/>
  <c r="K231" i="7"/>
  <c r="AY231" i="3" s="1"/>
  <c r="AJ77" i="9"/>
  <c r="AY77" i="3"/>
  <c r="O110" i="11"/>
  <c r="E110" i="11"/>
  <c r="K77" i="3"/>
  <c r="K353" i="7"/>
  <c r="K215" i="7"/>
  <c r="AJ61" i="9"/>
  <c r="O90" i="11"/>
  <c r="AY61" i="3"/>
  <c r="E90" i="11"/>
  <c r="K337" i="7"/>
  <c r="AY337" i="3" s="1"/>
  <c r="K199" i="7"/>
  <c r="AY199" i="3" s="1"/>
  <c r="AJ45" i="9"/>
  <c r="O66" i="11"/>
  <c r="AY45" i="3"/>
  <c r="E66" i="11"/>
  <c r="K321" i="7"/>
  <c r="AY321" i="3" s="1"/>
  <c r="K183" i="7"/>
  <c r="AY183" i="3" s="1"/>
  <c r="AJ29" i="9"/>
  <c r="O51" i="11"/>
  <c r="AY29" i="3"/>
  <c r="E51" i="11"/>
  <c r="K305" i="7"/>
  <c r="AY305" i="3" s="1"/>
  <c r="K167" i="7"/>
  <c r="AY167" i="3" s="1"/>
  <c r="AJ13" i="9"/>
  <c r="O23" i="11"/>
  <c r="AY13" i="3"/>
  <c r="E23" i="11"/>
  <c r="K13" i="3"/>
  <c r="K289" i="7"/>
  <c r="K151" i="7"/>
  <c r="L32" i="3"/>
  <c r="L308" i="7"/>
  <c r="L308" i="3" s="1"/>
  <c r="L170" i="7"/>
  <c r="L170" i="3" s="1"/>
  <c r="L16" i="3"/>
  <c r="L292" i="7"/>
  <c r="L292" i="3" s="1"/>
  <c r="L154" i="7"/>
  <c r="L154" i="3" s="1"/>
  <c r="L135" i="3"/>
  <c r="L411" i="7"/>
  <c r="L411" i="3" s="1"/>
  <c r="L119" i="3"/>
  <c r="L395" i="7"/>
  <c r="L395" i="3" s="1"/>
  <c r="L103" i="3"/>
  <c r="L379" i="7"/>
  <c r="L379" i="3" s="1"/>
  <c r="L87" i="3"/>
  <c r="L363" i="7"/>
  <c r="L363" i="3" s="1"/>
  <c r="L71" i="3"/>
  <c r="L347" i="7"/>
  <c r="L347" i="3" s="1"/>
  <c r="L209" i="7"/>
  <c r="L209" i="3" s="1"/>
  <c r="L55" i="3"/>
  <c r="L331" i="7"/>
  <c r="L331" i="3" s="1"/>
  <c r="L193" i="7"/>
  <c r="L193" i="3" s="1"/>
  <c r="L39" i="3"/>
  <c r="L315" i="7"/>
  <c r="L315" i="3" s="1"/>
  <c r="L177" i="7"/>
  <c r="L177" i="3" s="1"/>
  <c r="AK2" i="3"/>
  <c r="AK278" i="7"/>
  <c r="AK140" i="7"/>
  <c r="AK140" i="3" s="1"/>
  <c r="AO311" i="7"/>
  <c r="AO173" i="7"/>
  <c r="AT34" i="3"/>
  <c r="AT310" i="7"/>
  <c r="AT310" i="3" s="1"/>
  <c r="AT172" i="7"/>
  <c r="AT172" i="3" s="1"/>
  <c r="AD34" i="3"/>
  <c r="AD310" i="7"/>
  <c r="AD310" i="3" s="1"/>
  <c r="AD172" i="7"/>
  <c r="AD172" i="3" s="1"/>
  <c r="AI33" i="3"/>
  <c r="AI309" i="7"/>
  <c r="AI309" i="3" s="1"/>
  <c r="AI171" i="7"/>
  <c r="AI171" i="3" s="1"/>
  <c r="AN32" i="3"/>
  <c r="AN308" i="7"/>
  <c r="AN308" i="3" s="1"/>
  <c r="AN170" i="7"/>
  <c r="AN170" i="3" s="1"/>
  <c r="AS31" i="3"/>
  <c r="AS307" i="7"/>
  <c r="AS307" i="3" s="1"/>
  <c r="AS169" i="7"/>
  <c r="AS169" i="3" s="1"/>
  <c r="AC31" i="3"/>
  <c r="AC307" i="7"/>
  <c r="AC307" i="3" s="1"/>
  <c r="AC169" i="7"/>
  <c r="AC169" i="3" s="1"/>
  <c r="AH30" i="3"/>
  <c r="AH306" i="7"/>
  <c r="AH306" i="3" s="1"/>
  <c r="AH168" i="7"/>
  <c r="AH168" i="3" s="1"/>
  <c r="AM29" i="3"/>
  <c r="AM305" i="7"/>
  <c r="AM305" i="3" s="1"/>
  <c r="AM167" i="7"/>
  <c r="AM167" i="3" s="1"/>
  <c r="AR28" i="3"/>
  <c r="AR304" i="7"/>
  <c r="AR304" i="3" s="1"/>
  <c r="AR166" i="7"/>
  <c r="AR166" i="3" s="1"/>
  <c r="AW27" i="3"/>
  <c r="AW303" i="7"/>
  <c r="AW303" i="3" s="1"/>
  <c r="AW165" i="7"/>
  <c r="AW165" i="3" s="1"/>
  <c r="AG27" i="3"/>
  <c r="AG303" i="7"/>
  <c r="AG303" i="3" s="1"/>
  <c r="AG165" i="7"/>
  <c r="AG165" i="3" s="1"/>
  <c r="AL26" i="3"/>
  <c r="AL302" i="7"/>
  <c r="AL302" i="3" s="1"/>
  <c r="AL164" i="7"/>
  <c r="AL164" i="3" s="1"/>
  <c r="AQ25" i="3"/>
  <c r="AQ301" i="7"/>
  <c r="AQ301" i="3" s="1"/>
  <c r="AQ163" i="7"/>
  <c r="AQ163" i="3" s="1"/>
  <c r="AV24" i="3"/>
  <c r="AV300" i="7"/>
  <c r="AV300" i="3" s="1"/>
  <c r="AV162" i="7"/>
  <c r="AV162" i="3" s="1"/>
  <c r="AF24" i="3"/>
  <c r="AF300" i="7"/>
  <c r="AF300" i="3" s="1"/>
  <c r="AF162" i="7"/>
  <c r="AF162" i="3" s="1"/>
  <c r="AK23" i="3"/>
  <c r="AK299" i="7"/>
  <c r="AK299" i="3" s="1"/>
  <c r="AK161" i="7"/>
  <c r="AK161" i="3" s="1"/>
  <c r="AP22" i="3"/>
  <c r="AP298" i="7"/>
  <c r="AP298" i="3" s="1"/>
  <c r="AP160" i="7"/>
  <c r="AP160" i="3" s="1"/>
  <c r="AU21" i="3"/>
  <c r="AU297" i="7"/>
  <c r="AU297" i="3" s="1"/>
  <c r="AU159" i="7"/>
  <c r="AU159" i="3" s="1"/>
  <c r="AE21" i="3"/>
  <c r="AE297" i="7"/>
  <c r="AE297" i="3" s="1"/>
  <c r="AE159" i="7"/>
  <c r="AE159" i="3" s="1"/>
  <c r="AJ20" i="3"/>
  <c r="AJ296" i="7"/>
  <c r="AJ296" i="3" s="1"/>
  <c r="AJ158" i="7"/>
  <c r="AJ158" i="3" s="1"/>
  <c r="AO19" i="3"/>
  <c r="AO295" i="7"/>
  <c r="AO295" i="3" s="1"/>
  <c r="AO157" i="7"/>
  <c r="AO157" i="3" s="1"/>
  <c r="AT18" i="3"/>
  <c r="AT294" i="7"/>
  <c r="AT294" i="3" s="1"/>
  <c r="AT156" i="7"/>
  <c r="AT156" i="3" s="1"/>
  <c r="AD18" i="3"/>
  <c r="AD294" i="7"/>
  <c r="AD294" i="3" s="1"/>
  <c r="AD156" i="7"/>
  <c r="AD156" i="3" s="1"/>
  <c r="AI17" i="3"/>
  <c r="AI293" i="7"/>
  <c r="AI293" i="3" s="1"/>
  <c r="AI155" i="7"/>
  <c r="AI155" i="3" s="1"/>
  <c r="AN16" i="3"/>
  <c r="AN292" i="7"/>
  <c r="AN292" i="3" s="1"/>
  <c r="AN154" i="7"/>
  <c r="AN154" i="3" s="1"/>
  <c r="AS15" i="3"/>
  <c r="AS291" i="7"/>
  <c r="AS291" i="3" s="1"/>
  <c r="AS153" i="7"/>
  <c r="AS153" i="3" s="1"/>
  <c r="AC15" i="3"/>
  <c r="AC291" i="7"/>
  <c r="AC291" i="3" s="1"/>
  <c r="AC153" i="7"/>
  <c r="AC153" i="3" s="1"/>
  <c r="AH14" i="3"/>
  <c r="AH290" i="7"/>
  <c r="AH290" i="3" s="1"/>
  <c r="AH152" i="7"/>
  <c r="AH152" i="3" s="1"/>
  <c r="AM13" i="3"/>
  <c r="AM289" i="7"/>
  <c r="AM289" i="3" s="1"/>
  <c r="AM151" i="7"/>
  <c r="AM151" i="3" s="1"/>
  <c r="AR12" i="3"/>
  <c r="AR288" i="7"/>
  <c r="AR288" i="3" s="1"/>
  <c r="AR150" i="7"/>
  <c r="AR150" i="3" s="1"/>
  <c r="AW11" i="3"/>
  <c r="AW287" i="7"/>
  <c r="AW287" i="3" s="1"/>
  <c r="AW149" i="7"/>
  <c r="AW149" i="3" s="1"/>
  <c r="AG11" i="3"/>
  <c r="AG287" i="7"/>
  <c r="AG287" i="3" s="1"/>
  <c r="AG149" i="7"/>
  <c r="AG149" i="3" s="1"/>
  <c r="AL10" i="3"/>
  <c r="AL286" i="7"/>
  <c r="AL286" i="3" s="1"/>
  <c r="AL148" i="7"/>
  <c r="AL148" i="3" s="1"/>
  <c r="AQ9" i="3"/>
  <c r="AQ285" i="7"/>
  <c r="AQ285" i="3" s="1"/>
  <c r="AQ147" i="7"/>
  <c r="AQ147" i="3" s="1"/>
  <c r="AV8" i="3"/>
  <c r="AV284" i="7"/>
  <c r="AV284" i="3" s="1"/>
  <c r="AV146" i="7"/>
  <c r="AV146" i="3" s="1"/>
  <c r="AF8" i="3"/>
  <c r="AF284" i="7"/>
  <c r="AF284" i="3" s="1"/>
  <c r="AF146" i="7"/>
  <c r="AF146" i="3" s="1"/>
  <c r="AK7" i="3"/>
  <c r="AK283" i="7"/>
  <c r="AK283" i="3" s="1"/>
  <c r="AK145" i="7"/>
  <c r="AK145" i="3" s="1"/>
  <c r="AP6" i="3"/>
  <c r="AP282" i="7"/>
  <c r="AP282" i="3" s="1"/>
  <c r="AP144" i="7"/>
  <c r="AP144" i="3" s="1"/>
  <c r="AU5" i="3"/>
  <c r="AU281" i="7"/>
  <c r="AU281" i="3" s="1"/>
  <c r="AU143" i="7"/>
  <c r="AU143" i="3" s="1"/>
  <c r="AE5" i="3"/>
  <c r="AE281" i="7"/>
  <c r="AE281" i="3" s="1"/>
  <c r="AE143" i="7"/>
  <c r="AE143" i="3" s="1"/>
  <c r="AJ4" i="3"/>
  <c r="AJ280" i="7"/>
  <c r="AJ280" i="3" s="1"/>
  <c r="AJ142" i="7"/>
  <c r="AJ142" i="3" s="1"/>
  <c r="AO3" i="3"/>
  <c r="AO279" i="7"/>
  <c r="AO279" i="3" s="1"/>
  <c r="AO141" i="7"/>
  <c r="AO141" i="3" s="1"/>
  <c r="AT137" i="3"/>
  <c r="AT413" i="7"/>
  <c r="AT413" i="3" s="1"/>
  <c r="AT275" i="7"/>
  <c r="AT275" i="3" s="1"/>
  <c r="AD137" i="3"/>
  <c r="AD413" i="7"/>
  <c r="AD413" i="3" s="1"/>
  <c r="AD275" i="7"/>
  <c r="AD275" i="3" s="1"/>
  <c r="AI136" i="3"/>
  <c r="AI412" i="7"/>
  <c r="AI412" i="3" s="1"/>
  <c r="AI274" i="7"/>
  <c r="AI274" i="3" s="1"/>
  <c r="AN135" i="3"/>
  <c r="AN411" i="7"/>
  <c r="AN411" i="3" s="1"/>
  <c r="AN273" i="7"/>
  <c r="AN273" i="3" s="1"/>
  <c r="AS134" i="3"/>
  <c r="AS410" i="7"/>
  <c r="AS410" i="3" s="1"/>
  <c r="AS272" i="7"/>
  <c r="AS272" i="3" s="1"/>
  <c r="AC134" i="3"/>
  <c r="AC410" i="7"/>
  <c r="AC410" i="3" s="1"/>
  <c r="AC272" i="7"/>
  <c r="AC272" i="3" s="1"/>
  <c r="I102" i="3"/>
  <c r="P145" i="11"/>
  <c r="H36" i="3"/>
  <c r="H174" i="7"/>
  <c r="H312" i="7"/>
  <c r="D41" i="11"/>
  <c r="J27" i="3"/>
  <c r="J303" i="7"/>
  <c r="J303" i="3" s="1"/>
  <c r="AJ124" i="9"/>
  <c r="O178" i="11"/>
  <c r="AY124" i="3"/>
  <c r="E178" i="11"/>
  <c r="K124" i="3"/>
  <c r="K400" i="7"/>
  <c r="K262" i="7"/>
  <c r="AJ28" i="9"/>
  <c r="O42" i="11"/>
  <c r="AY28" i="3"/>
  <c r="E42" i="11"/>
  <c r="K304" i="7"/>
  <c r="AY304" i="3" s="1"/>
  <c r="AJ2" i="3"/>
  <c r="AJ278" i="7"/>
  <c r="AJ140" i="7"/>
  <c r="AJ140" i="3" s="1"/>
  <c r="AN311" i="7"/>
  <c r="AN173" i="7"/>
  <c r="AS34" i="3"/>
  <c r="AS310" i="7"/>
  <c r="AS310" i="3" s="1"/>
  <c r="AS172" i="7"/>
  <c r="AS172" i="3" s="1"/>
  <c r="AC34" i="3"/>
  <c r="AC310" i="7"/>
  <c r="AC310" i="3" s="1"/>
  <c r="AC172" i="7"/>
  <c r="AC172" i="3" s="1"/>
  <c r="AH33" i="3"/>
  <c r="AH309" i="7"/>
  <c r="AH309" i="3" s="1"/>
  <c r="AH171" i="7"/>
  <c r="AH171" i="3" s="1"/>
  <c r="AM32" i="3"/>
  <c r="AM308" i="7"/>
  <c r="AM308" i="3" s="1"/>
  <c r="AM170" i="7"/>
  <c r="AM170" i="3" s="1"/>
  <c r="AR31" i="3"/>
  <c r="AR307" i="7"/>
  <c r="AR307" i="3" s="1"/>
  <c r="AR169" i="7"/>
  <c r="AR169" i="3" s="1"/>
  <c r="AW30" i="3"/>
  <c r="AW306" i="7"/>
  <c r="AW306" i="3" s="1"/>
  <c r="AW168" i="7"/>
  <c r="AW168" i="3" s="1"/>
  <c r="AG30" i="3"/>
  <c r="AG306" i="7"/>
  <c r="AG306" i="3" s="1"/>
  <c r="AG168" i="7"/>
  <c r="AG168" i="3" s="1"/>
  <c r="AL29" i="3"/>
  <c r="AL305" i="7"/>
  <c r="AL305" i="3" s="1"/>
  <c r="AL167" i="7"/>
  <c r="AL167" i="3" s="1"/>
  <c r="AQ28" i="3"/>
  <c r="AQ304" i="7"/>
  <c r="AQ304" i="3" s="1"/>
  <c r="AQ166" i="7"/>
  <c r="AQ166" i="3" s="1"/>
  <c r="AV27" i="3"/>
  <c r="AV303" i="7"/>
  <c r="AV303" i="3" s="1"/>
  <c r="AV165" i="7"/>
  <c r="AV165" i="3" s="1"/>
  <c r="AF27" i="3"/>
  <c r="AF303" i="7"/>
  <c r="AF303" i="3" s="1"/>
  <c r="AF165" i="7"/>
  <c r="AF165" i="3" s="1"/>
  <c r="AK26" i="3"/>
  <c r="AK302" i="7"/>
  <c r="AK302" i="3" s="1"/>
  <c r="AK164" i="7"/>
  <c r="AK164" i="3" s="1"/>
  <c r="AP25" i="3"/>
  <c r="AP301" i="7"/>
  <c r="AP301" i="3" s="1"/>
  <c r="AP163" i="7"/>
  <c r="AP163" i="3" s="1"/>
  <c r="AU24" i="3"/>
  <c r="AU300" i="7"/>
  <c r="AU300" i="3" s="1"/>
  <c r="AU162" i="7"/>
  <c r="AU162" i="3" s="1"/>
  <c r="AE24" i="3"/>
  <c r="AE300" i="7"/>
  <c r="AE300" i="3" s="1"/>
  <c r="AE162" i="7"/>
  <c r="AE162" i="3" s="1"/>
  <c r="AJ23" i="3"/>
  <c r="AJ299" i="7"/>
  <c r="AJ299" i="3" s="1"/>
  <c r="AJ161" i="7"/>
  <c r="AJ161" i="3" s="1"/>
  <c r="AO22" i="3"/>
  <c r="AO298" i="7"/>
  <c r="AO298" i="3" s="1"/>
  <c r="AO160" i="7"/>
  <c r="AO160" i="3" s="1"/>
  <c r="AT21" i="3"/>
  <c r="AT297" i="7"/>
  <c r="AT297" i="3" s="1"/>
  <c r="AT159" i="7"/>
  <c r="AT159" i="3" s="1"/>
  <c r="AD21" i="3"/>
  <c r="AD297" i="7"/>
  <c r="AD297" i="3" s="1"/>
  <c r="AD159" i="7"/>
  <c r="AD159" i="3" s="1"/>
  <c r="AI20" i="3"/>
  <c r="AI296" i="7"/>
  <c r="AI296" i="3" s="1"/>
  <c r="AI158" i="7"/>
  <c r="AI158" i="3" s="1"/>
  <c r="AN19" i="3"/>
  <c r="AN295" i="7"/>
  <c r="AN295" i="3" s="1"/>
  <c r="AN157" i="7"/>
  <c r="AN157" i="3" s="1"/>
  <c r="AS18" i="3"/>
  <c r="AS294" i="7"/>
  <c r="AS294" i="3" s="1"/>
  <c r="AS156" i="7"/>
  <c r="AS156" i="3" s="1"/>
  <c r="AC18" i="3"/>
  <c r="AC294" i="7"/>
  <c r="AC294" i="3" s="1"/>
  <c r="AC156" i="7"/>
  <c r="AC156" i="3" s="1"/>
  <c r="AH17" i="3"/>
  <c r="AH293" i="7"/>
  <c r="AH293" i="3" s="1"/>
  <c r="AH155" i="7"/>
  <c r="AH155" i="3" s="1"/>
  <c r="AM16" i="3"/>
  <c r="AM292" i="7"/>
  <c r="AM292" i="3" s="1"/>
  <c r="AM154" i="7"/>
  <c r="AM154" i="3" s="1"/>
  <c r="AR15" i="3"/>
  <c r="AR291" i="7"/>
  <c r="AR291" i="3" s="1"/>
  <c r="AR153" i="7"/>
  <c r="AR153" i="3" s="1"/>
  <c r="AW14" i="3"/>
  <c r="AW290" i="7"/>
  <c r="AW290" i="3" s="1"/>
  <c r="AW152" i="7"/>
  <c r="AW152" i="3" s="1"/>
  <c r="AG14" i="3"/>
  <c r="AG290" i="7"/>
  <c r="AG290" i="3" s="1"/>
  <c r="AG152" i="7"/>
  <c r="AG152" i="3" s="1"/>
  <c r="AL13" i="3"/>
  <c r="AL289" i="7"/>
  <c r="AL289" i="3" s="1"/>
  <c r="AL151" i="7"/>
  <c r="AL151" i="3" s="1"/>
  <c r="AQ12" i="3"/>
  <c r="AQ288" i="7"/>
  <c r="AQ288" i="3" s="1"/>
  <c r="AQ150" i="7"/>
  <c r="AQ150" i="3" s="1"/>
  <c r="AV11" i="3"/>
  <c r="AV287" i="7"/>
  <c r="AV287" i="3" s="1"/>
  <c r="AV149" i="7"/>
  <c r="AV149" i="3" s="1"/>
  <c r="AF11" i="3"/>
  <c r="AF287" i="7"/>
  <c r="AF287" i="3" s="1"/>
  <c r="AF149" i="7"/>
  <c r="AF149" i="3" s="1"/>
  <c r="AK10" i="3"/>
  <c r="AK286" i="7"/>
  <c r="AK286" i="3" s="1"/>
  <c r="AK148" i="7"/>
  <c r="AK148" i="3" s="1"/>
  <c r="AP9" i="3"/>
  <c r="AP285" i="7"/>
  <c r="AP285" i="3" s="1"/>
  <c r="AP147" i="7"/>
  <c r="AP147" i="3" s="1"/>
  <c r="AU8" i="3"/>
  <c r="AU284" i="7"/>
  <c r="AU284" i="3" s="1"/>
  <c r="AU146" i="7"/>
  <c r="AU146" i="3" s="1"/>
  <c r="AE8" i="3"/>
  <c r="AE284" i="7"/>
  <c r="AE284" i="3" s="1"/>
  <c r="AE146" i="7"/>
  <c r="AE146" i="3" s="1"/>
  <c r="AJ7" i="3"/>
  <c r="AJ283" i="7"/>
  <c r="AJ283" i="3" s="1"/>
  <c r="AJ145" i="7"/>
  <c r="AJ145" i="3" s="1"/>
  <c r="AO6" i="3"/>
  <c r="AO282" i="7"/>
  <c r="AO282" i="3" s="1"/>
  <c r="AO144" i="7"/>
  <c r="AO144" i="3" s="1"/>
  <c r="AT5" i="3"/>
  <c r="AT281" i="7"/>
  <c r="AT281" i="3" s="1"/>
  <c r="AT143" i="7"/>
  <c r="AT143" i="3" s="1"/>
  <c r="AD5" i="3"/>
  <c r="AD281" i="7"/>
  <c r="AD281" i="3" s="1"/>
  <c r="AD143" i="7"/>
  <c r="AD143" i="3" s="1"/>
  <c r="AI4" i="3"/>
  <c r="AI280" i="7"/>
  <c r="AI280" i="3" s="1"/>
  <c r="AI142" i="7"/>
  <c r="AI142" i="3" s="1"/>
  <c r="AN3" i="3"/>
  <c r="AN279" i="7"/>
  <c r="AN279" i="3" s="1"/>
  <c r="AN141" i="7"/>
  <c r="AN141" i="3" s="1"/>
  <c r="AS137" i="3"/>
  <c r="AS413" i="7"/>
  <c r="AS413" i="3" s="1"/>
  <c r="AS275" i="7"/>
  <c r="AS275" i="3" s="1"/>
  <c r="AC137" i="3"/>
  <c r="AC413" i="7"/>
  <c r="AC413" i="3" s="1"/>
  <c r="AC275" i="7"/>
  <c r="AC275" i="3" s="1"/>
  <c r="AH136" i="3"/>
  <c r="AH412" i="7"/>
  <c r="AH412" i="3" s="1"/>
  <c r="AH274" i="7"/>
  <c r="AH274" i="3" s="1"/>
  <c r="AM135" i="3"/>
  <c r="AM411" i="7"/>
  <c r="AM411" i="3" s="1"/>
  <c r="AM273" i="7"/>
  <c r="AM273" i="3" s="1"/>
  <c r="AR134" i="3"/>
  <c r="AR410" i="7"/>
  <c r="AR410" i="3" s="1"/>
  <c r="AR272" i="7"/>
  <c r="AR272" i="3" s="1"/>
  <c r="AW133" i="3"/>
  <c r="AW409" i="7"/>
  <c r="AW409" i="3" s="1"/>
  <c r="AW271" i="7"/>
  <c r="AW271" i="3" s="1"/>
  <c r="AG133" i="3"/>
  <c r="AG409" i="7"/>
  <c r="AG409" i="3" s="1"/>
  <c r="AG271" i="7"/>
  <c r="AG271" i="3" s="1"/>
  <c r="AL132" i="3"/>
  <c r="AL408" i="7"/>
  <c r="AL408" i="3" s="1"/>
  <c r="AL270" i="7"/>
  <c r="AL270" i="3" s="1"/>
  <c r="AQ131" i="3"/>
  <c r="AQ407" i="7"/>
  <c r="AQ407" i="3" s="1"/>
  <c r="AQ269" i="7"/>
  <c r="AQ269" i="3" s="1"/>
  <c r="AV130" i="3"/>
  <c r="AV406" i="7"/>
  <c r="AV406" i="3" s="1"/>
  <c r="AV268" i="7"/>
  <c r="AV268" i="3" s="1"/>
  <c r="AF130" i="3"/>
  <c r="AF406" i="7"/>
  <c r="AF406" i="3" s="1"/>
  <c r="AF268" i="7"/>
  <c r="AF268" i="3" s="1"/>
  <c r="AK129" i="3"/>
  <c r="AK405" i="7"/>
  <c r="AK405" i="3" s="1"/>
  <c r="AK267" i="7"/>
  <c r="AK267" i="3" s="1"/>
  <c r="AP404" i="7"/>
  <c r="AP266" i="7"/>
  <c r="AU127" i="3"/>
  <c r="AU403" i="7"/>
  <c r="AU403" i="3" s="1"/>
  <c r="AE127" i="3"/>
  <c r="AE403" i="7"/>
  <c r="AE403" i="3" s="1"/>
  <c r="AE265" i="7"/>
  <c r="AE265" i="3" s="1"/>
  <c r="AJ126" i="3"/>
  <c r="AJ402" i="7"/>
  <c r="AJ402" i="3" s="1"/>
  <c r="AJ264" i="7"/>
  <c r="AJ264" i="3" s="1"/>
  <c r="AO125" i="3"/>
  <c r="AO401" i="7"/>
  <c r="AO401" i="3" s="1"/>
  <c r="AO263" i="7"/>
  <c r="AO263" i="3" s="1"/>
  <c r="AT124" i="3"/>
  <c r="AT400" i="7"/>
  <c r="AT400" i="3" s="1"/>
  <c r="AT262" i="7"/>
  <c r="AT262" i="3" s="1"/>
  <c r="AD124" i="3"/>
  <c r="AD400" i="7"/>
  <c r="AD400" i="3" s="1"/>
  <c r="AD262" i="7"/>
  <c r="AD262" i="3" s="1"/>
  <c r="AI123" i="3"/>
  <c r="AI399" i="7"/>
  <c r="AI399" i="3" s="1"/>
  <c r="AI261" i="7"/>
  <c r="AI261" i="3" s="1"/>
  <c r="AN122" i="3"/>
  <c r="AN398" i="7"/>
  <c r="AN398" i="3" s="1"/>
  <c r="AN260" i="7"/>
  <c r="AN260" i="3" s="1"/>
  <c r="AS121" i="3"/>
  <c r="AS397" i="7"/>
  <c r="AS397" i="3" s="1"/>
  <c r="AS259" i="7"/>
  <c r="AS259" i="3" s="1"/>
  <c r="AC121" i="3"/>
  <c r="AC397" i="7"/>
  <c r="AC397" i="3" s="1"/>
  <c r="AC259" i="7"/>
  <c r="AC259" i="3" s="1"/>
  <c r="AH120" i="3"/>
  <c r="AH396" i="7"/>
  <c r="AH396" i="3" s="1"/>
  <c r="AH258" i="7"/>
  <c r="AH258" i="3" s="1"/>
  <c r="AM119" i="3"/>
  <c r="AM395" i="7"/>
  <c r="AM395" i="3" s="1"/>
  <c r="AM257" i="7"/>
  <c r="AM257" i="3" s="1"/>
  <c r="AR118" i="3"/>
  <c r="AR394" i="7"/>
  <c r="AR394" i="3" s="1"/>
  <c r="AR256" i="7"/>
  <c r="AR256" i="3" s="1"/>
  <c r="AW117" i="3"/>
  <c r="AW393" i="7"/>
  <c r="AW393" i="3" s="1"/>
  <c r="AW255" i="7"/>
  <c r="AW255" i="3" s="1"/>
  <c r="AG117" i="3"/>
  <c r="AG393" i="7"/>
  <c r="AG393" i="3" s="1"/>
  <c r="AL116" i="3"/>
  <c r="AL392" i="7"/>
  <c r="AL392" i="3" s="1"/>
  <c r="AL254" i="7"/>
  <c r="AL254" i="3" s="1"/>
  <c r="AQ115" i="3"/>
  <c r="AQ391" i="7"/>
  <c r="AQ391" i="3" s="1"/>
  <c r="AQ253" i="7"/>
  <c r="AQ253" i="3" s="1"/>
  <c r="AV114" i="3"/>
  <c r="AV390" i="7"/>
  <c r="AV390" i="3" s="1"/>
  <c r="AV252" i="7"/>
  <c r="AV252" i="3" s="1"/>
  <c r="AF114" i="3"/>
  <c r="AF390" i="7"/>
  <c r="AF390" i="3" s="1"/>
  <c r="AF252" i="7"/>
  <c r="AF252" i="3" s="1"/>
  <c r="AK113" i="3"/>
  <c r="AK389" i="7"/>
  <c r="AK389" i="3" s="1"/>
  <c r="AK251" i="7"/>
  <c r="AK251" i="3" s="1"/>
  <c r="AP112" i="3"/>
  <c r="AP388" i="7"/>
  <c r="AP388" i="3" s="1"/>
  <c r="AP250" i="7"/>
  <c r="AP250" i="3" s="1"/>
  <c r="AU111" i="3"/>
  <c r="AU387" i="7"/>
  <c r="AU387" i="3" s="1"/>
  <c r="AU249" i="7"/>
  <c r="AU249" i="3" s="1"/>
  <c r="AE111" i="3"/>
  <c r="AE387" i="7"/>
  <c r="AE387" i="3" s="1"/>
  <c r="AE249" i="7"/>
  <c r="AE249" i="3" s="1"/>
  <c r="AJ110" i="3"/>
  <c r="AJ386" i="7"/>
  <c r="AJ386" i="3" s="1"/>
  <c r="AJ248" i="7"/>
  <c r="AJ248" i="3" s="1"/>
  <c r="AO109" i="3"/>
  <c r="AO385" i="7"/>
  <c r="AO385" i="3" s="1"/>
  <c r="AO247" i="7"/>
  <c r="AO247" i="3" s="1"/>
  <c r="AT108" i="3"/>
  <c r="AT384" i="7"/>
  <c r="AT384" i="3" s="1"/>
  <c r="AT246" i="7"/>
  <c r="AT246" i="3" s="1"/>
  <c r="AD108" i="3"/>
  <c r="AD384" i="7"/>
  <c r="AD384" i="3" s="1"/>
  <c r="AI107" i="3"/>
  <c r="AI383" i="7"/>
  <c r="AI383" i="3" s="1"/>
  <c r="AI245" i="7"/>
  <c r="AI245" i="3" s="1"/>
  <c r="AN106" i="3"/>
  <c r="AN382" i="7"/>
  <c r="AN382" i="3" s="1"/>
  <c r="AN244" i="7"/>
  <c r="AN244" i="3" s="1"/>
  <c r="AS105" i="3"/>
  <c r="AS381" i="7"/>
  <c r="AS381" i="3" s="1"/>
  <c r="AS243" i="7"/>
  <c r="AS243" i="3" s="1"/>
  <c r="AC105" i="3"/>
  <c r="AC381" i="7"/>
  <c r="AC381" i="3" s="1"/>
  <c r="AC243" i="7"/>
  <c r="AC243" i="3" s="1"/>
  <c r="AH104" i="3"/>
  <c r="AH380" i="7"/>
  <c r="AH380" i="3" s="1"/>
  <c r="AH242" i="7"/>
  <c r="AH242" i="3" s="1"/>
  <c r="AM103" i="3"/>
  <c r="AM379" i="7"/>
  <c r="AM379" i="3" s="1"/>
  <c r="AM241" i="7"/>
  <c r="AM241" i="3" s="1"/>
  <c r="AR102" i="3"/>
  <c r="AR378" i="7"/>
  <c r="AR378" i="3" s="1"/>
  <c r="AR240" i="7"/>
  <c r="AR240" i="3" s="1"/>
  <c r="AW101" i="3"/>
  <c r="AW377" i="7"/>
  <c r="AW377" i="3" s="1"/>
  <c r="AW239" i="7"/>
  <c r="AW239" i="3" s="1"/>
  <c r="AG101" i="3"/>
  <c r="AG377" i="7"/>
  <c r="AG377" i="3" s="1"/>
  <c r="AG239" i="7"/>
  <c r="AG239" i="3" s="1"/>
  <c r="AL100" i="3"/>
  <c r="AL376" i="7"/>
  <c r="AL376" i="3" s="1"/>
  <c r="AL238" i="7"/>
  <c r="AL238" i="3" s="1"/>
  <c r="AQ99" i="3"/>
  <c r="AQ375" i="7"/>
  <c r="AQ375" i="3" s="1"/>
  <c r="AQ237" i="7"/>
  <c r="AQ237" i="3" s="1"/>
  <c r="AV98" i="3"/>
  <c r="AV374" i="7"/>
  <c r="AV374" i="3" s="1"/>
  <c r="AV236" i="7"/>
  <c r="AV236" i="3" s="1"/>
  <c r="AF98" i="3"/>
  <c r="AF374" i="7"/>
  <c r="AF374" i="3" s="1"/>
  <c r="AF236" i="7"/>
  <c r="AF236" i="3" s="1"/>
  <c r="AK97" i="3"/>
  <c r="AK373" i="7"/>
  <c r="AK373" i="3" s="1"/>
  <c r="AK235" i="7"/>
  <c r="AK235" i="3" s="1"/>
  <c r="AP96" i="3"/>
  <c r="AP372" i="7"/>
  <c r="AP372" i="3" s="1"/>
  <c r="AP234" i="7"/>
  <c r="AP234" i="3" s="1"/>
  <c r="AU95" i="3"/>
  <c r="AU371" i="7"/>
  <c r="AU371" i="3" s="1"/>
  <c r="AU233" i="7"/>
  <c r="AU233" i="3" s="1"/>
  <c r="AE95" i="3"/>
  <c r="AE371" i="7"/>
  <c r="AE371" i="3" s="1"/>
  <c r="AE233" i="7"/>
  <c r="AE233" i="3" s="1"/>
  <c r="AJ94" i="3"/>
  <c r="AJ370" i="7"/>
  <c r="AJ370" i="3" s="1"/>
  <c r="AJ232" i="7"/>
  <c r="AJ232" i="3" s="1"/>
  <c r="AO93" i="3"/>
  <c r="AO369" i="7"/>
  <c r="AO369" i="3" s="1"/>
  <c r="AO231" i="7"/>
  <c r="AO231" i="3" s="1"/>
  <c r="AT92" i="3"/>
  <c r="AT368" i="7"/>
  <c r="AT368" i="3" s="1"/>
  <c r="AT230" i="7"/>
  <c r="AT230" i="3" s="1"/>
  <c r="AD92" i="3"/>
  <c r="AD368" i="7"/>
  <c r="AD368" i="3" s="1"/>
  <c r="AD230" i="7"/>
  <c r="AD230" i="3" s="1"/>
  <c r="AI91" i="3"/>
  <c r="AI367" i="7"/>
  <c r="AI367" i="3" s="1"/>
  <c r="AI229" i="7"/>
  <c r="AI229" i="3" s="1"/>
  <c r="AN90" i="3"/>
  <c r="AN366" i="7"/>
  <c r="AN366" i="3" s="1"/>
  <c r="AN228" i="7"/>
  <c r="AN228" i="3" s="1"/>
  <c r="AS365" i="7"/>
  <c r="AS227" i="7"/>
  <c r="AC365" i="7"/>
  <c r="AC227" i="7"/>
  <c r="AH88" i="3"/>
  <c r="AH364" i="7"/>
  <c r="AH364" i="3" s="1"/>
  <c r="AH226" i="7"/>
  <c r="AH226" i="3" s="1"/>
  <c r="AM87" i="3"/>
  <c r="AM363" i="7"/>
  <c r="AM363" i="3" s="1"/>
  <c r="AM225" i="7"/>
  <c r="AM225" i="3" s="1"/>
  <c r="AR86" i="3"/>
  <c r="AR362" i="7"/>
  <c r="AR362" i="3" s="1"/>
  <c r="AR224" i="7"/>
  <c r="AR224" i="3" s="1"/>
  <c r="AW85" i="3"/>
  <c r="AW361" i="7"/>
  <c r="AW361" i="3" s="1"/>
  <c r="AW223" i="7"/>
  <c r="AW223" i="3" s="1"/>
  <c r="AG85" i="3"/>
  <c r="AG361" i="7"/>
  <c r="AG361" i="3" s="1"/>
  <c r="AG223" i="7"/>
  <c r="AG223" i="3" s="1"/>
  <c r="AL84" i="3"/>
  <c r="AL360" i="7"/>
  <c r="AL360" i="3" s="1"/>
  <c r="AL222" i="7"/>
  <c r="AL222" i="3" s="1"/>
  <c r="AQ83" i="3"/>
  <c r="AQ359" i="7"/>
  <c r="AQ359" i="3" s="1"/>
  <c r="AQ221" i="7"/>
  <c r="AQ221" i="3" s="1"/>
  <c r="AV82" i="3"/>
  <c r="AV358" i="7"/>
  <c r="AV358" i="3" s="1"/>
  <c r="AV220" i="7"/>
  <c r="AV220" i="3" s="1"/>
  <c r="AF82" i="3"/>
  <c r="AF358" i="7"/>
  <c r="AF358" i="3" s="1"/>
  <c r="AF220" i="7"/>
  <c r="AF220" i="3" s="1"/>
  <c r="AK81" i="3"/>
  <c r="AK357" i="7"/>
  <c r="AK357" i="3" s="1"/>
  <c r="AK219" i="7"/>
  <c r="AK219" i="3" s="1"/>
  <c r="AP80" i="3"/>
  <c r="AP356" i="7"/>
  <c r="AP356" i="3" s="1"/>
  <c r="AP218" i="7"/>
  <c r="AP218" i="3" s="1"/>
  <c r="AU79" i="3"/>
  <c r="AU355" i="7"/>
  <c r="AU355" i="3" s="1"/>
  <c r="AU217" i="7"/>
  <c r="AU217" i="3" s="1"/>
  <c r="AE79" i="3"/>
  <c r="AE355" i="7"/>
  <c r="AE355" i="3" s="1"/>
  <c r="AE217" i="7"/>
  <c r="AE217" i="3" s="1"/>
  <c r="AJ78" i="3"/>
  <c r="AJ354" i="7"/>
  <c r="AJ354" i="3" s="1"/>
  <c r="AJ216" i="7"/>
  <c r="AJ216" i="3" s="1"/>
  <c r="AO353" i="7"/>
  <c r="AO215" i="7"/>
  <c r="AT76" i="3"/>
  <c r="AT352" i="7"/>
  <c r="AT352" i="3" s="1"/>
  <c r="AT214" i="7"/>
  <c r="AT214" i="3" s="1"/>
  <c r="AD76" i="3"/>
  <c r="AD352" i="7"/>
  <c r="AD352" i="3" s="1"/>
  <c r="AD214" i="7"/>
  <c r="AD214" i="3" s="1"/>
  <c r="AI75" i="3"/>
  <c r="AI351" i="7"/>
  <c r="AI351" i="3" s="1"/>
  <c r="AI213" i="7"/>
  <c r="AI213" i="3" s="1"/>
  <c r="AN74" i="3"/>
  <c r="AN350" i="7"/>
  <c r="AN350" i="3" s="1"/>
  <c r="AN212" i="7"/>
  <c r="AN212" i="3" s="1"/>
  <c r="AS73" i="3"/>
  <c r="AS349" i="7"/>
  <c r="AS349" i="3" s="1"/>
  <c r="AS211" i="7"/>
  <c r="AS211" i="3" s="1"/>
  <c r="AC73" i="3"/>
  <c r="AC349" i="7"/>
  <c r="AC349" i="3" s="1"/>
  <c r="AC211" i="7"/>
  <c r="AC211" i="3" s="1"/>
  <c r="AH72" i="3"/>
  <c r="AH348" i="7"/>
  <c r="AH348" i="3" s="1"/>
  <c r="AH210" i="7"/>
  <c r="AH210" i="3" s="1"/>
  <c r="AM71" i="3"/>
  <c r="AM347" i="7"/>
  <c r="AM347" i="3" s="1"/>
  <c r="AM209" i="7"/>
  <c r="AM209" i="3" s="1"/>
  <c r="AR70" i="3"/>
  <c r="AR346" i="7"/>
  <c r="AR346" i="3" s="1"/>
  <c r="AR208" i="7"/>
  <c r="AR208" i="3" s="1"/>
  <c r="AW69" i="3"/>
  <c r="AW345" i="7"/>
  <c r="AW345" i="3" s="1"/>
  <c r="AW207" i="7"/>
  <c r="AW207" i="3" s="1"/>
  <c r="AG69" i="3"/>
  <c r="AG345" i="7"/>
  <c r="AG345" i="3" s="1"/>
  <c r="AG207" i="7"/>
  <c r="AG207" i="3" s="1"/>
  <c r="AL68" i="3"/>
  <c r="AL344" i="7"/>
  <c r="AL344" i="3" s="1"/>
  <c r="AL206" i="7"/>
  <c r="AL206" i="3" s="1"/>
  <c r="AQ67" i="3"/>
  <c r="AQ343" i="7"/>
  <c r="AQ343" i="3" s="1"/>
  <c r="AQ205" i="7"/>
  <c r="AQ205" i="3" s="1"/>
  <c r="AV66" i="3"/>
  <c r="AV342" i="7"/>
  <c r="AV342" i="3" s="1"/>
  <c r="AV204" i="7"/>
  <c r="AV204" i="3" s="1"/>
  <c r="AF66" i="3"/>
  <c r="AF342" i="7"/>
  <c r="AF342" i="3" s="1"/>
  <c r="AF204" i="7"/>
  <c r="AF204" i="3" s="1"/>
  <c r="AK65" i="3"/>
  <c r="AK341" i="7"/>
  <c r="AK341" i="3" s="1"/>
  <c r="AK203" i="7"/>
  <c r="AK203" i="3" s="1"/>
  <c r="AP64" i="3"/>
  <c r="AP340" i="7"/>
  <c r="AP340" i="3" s="1"/>
  <c r="AP202" i="7"/>
  <c r="AP202" i="3" s="1"/>
  <c r="AU63" i="3"/>
  <c r="AU339" i="7"/>
  <c r="AU339" i="3" s="1"/>
  <c r="AU201" i="7"/>
  <c r="AU201" i="3" s="1"/>
  <c r="AE63" i="3"/>
  <c r="AE339" i="7"/>
  <c r="AE339" i="3" s="1"/>
  <c r="AE201" i="7"/>
  <c r="AE201" i="3" s="1"/>
  <c r="AJ62" i="3"/>
  <c r="AJ338" i="7"/>
  <c r="AJ338" i="3" s="1"/>
  <c r="AJ200" i="7"/>
  <c r="AJ200" i="3" s="1"/>
  <c r="AO61" i="3"/>
  <c r="AO337" i="7"/>
  <c r="AO337" i="3" s="1"/>
  <c r="AO199" i="7"/>
  <c r="AO199" i="3" s="1"/>
  <c r="AT60" i="3"/>
  <c r="AT336" i="7"/>
  <c r="AT336" i="3" s="1"/>
  <c r="AT198" i="7"/>
  <c r="AT198" i="3" s="1"/>
  <c r="AD60" i="3"/>
  <c r="AD336" i="7"/>
  <c r="AD336" i="3" s="1"/>
  <c r="AD198" i="7"/>
  <c r="AD198" i="3" s="1"/>
  <c r="AI59" i="3"/>
  <c r="AI335" i="7"/>
  <c r="AI335" i="3" s="1"/>
  <c r="AI197" i="7"/>
  <c r="AI197" i="3" s="1"/>
  <c r="AN58" i="3"/>
  <c r="AN334" i="7"/>
  <c r="AN334" i="3" s="1"/>
  <c r="AN196" i="7"/>
  <c r="AN196" i="3" s="1"/>
  <c r="AS57" i="3"/>
  <c r="AS333" i="7"/>
  <c r="AS333" i="3" s="1"/>
  <c r="AS195" i="7"/>
  <c r="AS195" i="3" s="1"/>
  <c r="AC57" i="3"/>
  <c r="AC333" i="7"/>
  <c r="AC333" i="3" s="1"/>
  <c r="AC195" i="7"/>
  <c r="AC195" i="3" s="1"/>
  <c r="AH56" i="3"/>
  <c r="AH332" i="7"/>
  <c r="AH332" i="3" s="1"/>
  <c r="AH194" i="7"/>
  <c r="AH194" i="3" s="1"/>
  <c r="AM55" i="3"/>
  <c r="AM331" i="7"/>
  <c r="AM331" i="3" s="1"/>
  <c r="AM193" i="7"/>
  <c r="AM193" i="3" s="1"/>
  <c r="AR54" i="3"/>
  <c r="AR330" i="7"/>
  <c r="AR330" i="3" s="1"/>
  <c r="AR192" i="7"/>
  <c r="AR192" i="3" s="1"/>
  <c r="AW53" i="3"/>
  <c r="AW329" i="7"/>
  <c r="AW329" i="3" s="1"/>
  <c r="AW191" i="7"/>
  <c r="AW191" i="3" s="1"/>
  <c r="AG53" i="3"/>
  <c r="AG329" i="7"/>
  <c r="AG329" i="3" s="1"/>
  <c r="AG191" i="7"/>
  <c r="AG191" i="3" s="1"/>
  <c r="AL52" i="3"/>
  <c r="AL328" i="7"/>
  <c r="AL328" i="3" s="1"/>
  <c r="AL190" i="7"/>
  <c r="AL190" i="3" s="1"/>
  <c r="AQ51" i="3"/>
  <c r="AQ327" i="7"/>
  <c r="AQ327" i="3" s="1"/>
  <c r="AQ189" i="7"/>
  <c r="AQ189" i="3" s="1"/>
  <c r="AV50" i="3"/>
  <c r="AV326" i="7"/>
  <c r="AV326" i="3" s="1"/>
  <c r="AV188" i="7"/>
  <c r="AV188" i="3" s="1"/>
  <c r="AF50" i="3"/>
  <c r="AF326" i="7"/>
  <c r="AF326" i="3" s="1"/>
  <c r="AF188" i="7"/>
  <c r="AF188" i="3" s="1"/>
  <c r="AK49" i="3"/>
  <c r="AK325" i="7"/>
  <c r="AK325" i="3" s="1"/>
  <c r="AK187" i="7"/>
  <c r="AK187" i="3" s="1"/>
  <c r="AP48" i="3"/>
  <c r="AP324" i="7"/>
  <c r="AP324" i="3" s="1"/>
  <c r="AP186" i="7"/>
  <c r="AP186" i="3" s="1"/>
  <c r="AU47" i="3"/>
  <c r="AU323" i="7"/>
  <c r="AU323" i="3" s="1"/>
  <c r="AU185" i="7"/>
  <c r="AU185" i="3" s="1"/>
  <c r="AE47" i="3"/>
  <c r="AE323" i="7"/>
  <c r="AE323" i="3" s="1"/>
  <c r="AE185" i="7"/>
  <c r="AE185" i="3" s="1"/>
  <c r="AJ46" i="3"/>
  <c r="AJ322" i="7"/>
  <c r="AJ322" i="3" s="1"/>
  <c r="AJ184" i="7"/>
  <c r="AJ184" i="3" s="1"/>
  <c r="AO45" i="3"/>
  <c r="AO321" i="7"/>
  <c r="AO321" i="3" s="1"/>
  <c r="AO183" i="7"/>
  <c r="AO183" i="3" s="1"/>
  <c r="AT44" i="3"/>
  <c r="AT320" i="7"/>
  <c r="AT320" i="3" s="1"/>
  <c r="AT182" i="7"/>
  <c r="AT182" i="3" s="1"/>
  <c r="AD44" i="3"/>
  <c r="AD320" i="7"/>
  <c r="AD320" i="3" s="1"/>
  <c r="AD182" i="7"/>
  <c r="AD182" i="3" s="1"/>
  <c r="AI43" i="3"/>
  <c r="AI319" i="7"/>
  <c r="AI319" i="3" s="1"/>
  <c r="AI181" i="7"/>
  <c r="AI181" i="3" s="1"/>
  <c r="AN42" i="3"/>
  <c r="AN318" i="7"/>
  <c r="AN318" i="3" s="1"/>
  <c r="AN180" i="7"/>
  <c r="AN180" i="3" s="1"/>
  <c r="AS41" i="3"/>
  <c r="AS317" i="7"/>
  <c r="AS317" i="3" s="1"/>
  <c r="AS179" i="7"/>
  <c r="AS179" i="3" s="1"/>
  <c r="AC41" i="3"/>
  <c r="AC317" i="7"/>
  <c r="AC317" i="3" s="1"/>
  <c r="AC179" i="7"/>
  <c r="AC179" i="3" s="1"/>
  <c r="AH40" i="3"/>
  <c r="AH316" i="7"/>
  <c r="AH316" i="3" s="1"/>
  <c r="AH178" i="7"/>
  <c r="AH178" i="3" s="1"/>
  <c r="AM39" i="3"/>
  <c r="AM315" i="7"/>
  <c r="AM315" i="3" s="1"/>
  <c r="AM177" i="7"/>
  <c r="AM177" i="3" s="1"/>
  <c r="AR38" i="3"/>
  <c r="AR314" i="7"/>
  <c r="AR314" i="3" s="1"/>
  <c r="AR176" i="7"/>
  <c r="AR176" i="3" s="1"/>
  <c r="AW37" i="3"/>
  <c r="AW313" i="7"/>
  <c r="AW313" i="3" s="1"/>
  <c r="AW175" i="7"/>
  <c r="AW175" i="3" s="1"/>
  <c r="AG37" i="3"/>
  <c r="AG313" i="7"/>
  <c r="AG313" i="3" s="1"/>
  <c r="AG175" i="7"/>
  <c r="AG175" i="3" s="1"/>
  <c r="AL36" i="3"/>
  <c r="AL312" i="7"/>
  <c r="AL312" i="3" s="1"/>
  <c r="AL174" i="7"/>
  <c r="AL174" i="3" s="1"/>
  <c r="AX131" i="3"/>
  <c r="AX407" i="7"/>
  <c r="AX407" i="3" s="1"/>
  <c r="AX269" i="7"/>
  <c r="AX269" i="3" s="1"/>
  <c r="AX115" i="3"/>
  <c r="AX391" i="7"/>
  <c r="AX391" i="3" s="1"/>
  <c r="AX253" i="7"/>
  <c r="AX253" i="3" s="1"/>
  <c r="AX99" i="3"/>
  <c r="AX375" i="7"/>
  <c r="AX375" i="3" s="1"/>
  <c r="AX237" i="7"/>
  <c r="AX237" i="3" s="1"/>
  <c r="AX83" i="3"/>
  <c r="AX359" i="7"/>
  <c r="AX359" i="3" s="1"/>
  <c r="AX221" i="7"/>
  <c r="AX221" i="3" s="1"/>
  <c r="AX67" i="3"/>
  <c r="AX343" i="7"/>
  <c r="AX343" i="3" s="1"/>
  <c r="AX205" i="7"/>
  <c r="AX205" i="3" s="1"/>
  <c r="AX51" i="3"/>
  <c r="AX327" i="7"/>
  <c r="AX327" i="3" s="1"/>
  <c r="AX189" i="7"/>
  <c r="AX189" i="3" s="1"/>
  <c r="AX311" i="7"/>
  <c r="AX173" i="7"/>
  <c r="AX19" i="3"/>
  <c r="AX295" i="7"/>
  <c r="AX295" i="3" s="1"/>
  <c r="AX157" i="7"/>
  <c r="AX157" i="3" s="1"/>
  <c r="AX3" i="3"/>
  <c r="AX279" i="7"/>
  <c r="AX279" i="3" s="1"/>
  <c r="AX141" i="7"/>
  <c r="AX141" i="3" s="1"/>
  <c r="L225" i="7"/>
  <c r="L225" i="3" s="1"/>
  <c r="AG255" i="7"/>
  <c r="AG255" i="3" s="1"/>
  <c r="H39" i="3"/>
  <c r="H177" i="7"/>
  <c r="H315" i="7"/>
  <c r="I118" i="3"/>
  <c r="P172" i="11"/>
  <c r="H116" i="3"/>
  <c r="H254" i="7"/>
  <c r="H392" i="7"/>
  <c r="H4" i="3"/>
  <c r="H142" i="7"/>
  <c r="H280" i="7"/>
  <c r="I67" i="3"/>
  <c r="P96" i="11"/>
  <c r="L134" i="3"/>
  <c r="L410" i="7"/>
  <c r="L410" i="3" s="1"/>
  <c r="L272" i="7"/>
  <c r="L272" i="3" s="1"/>
  <c r="H253" i="7"/>
  <c r="H115" i="3"/>
  <c r="H391" i="7"/>
  <c r="H99" i="3"/>
  <c r="H237" i="7"/>
  <c r="H375" i="7"/>
  <c r="H83" i="3"/>
  <c r="H221" i="7"/>
  <c r="H359" i="7"/>
  <c r="H67" i="3"/>
  <c r="H205" i="7"/>
  <c r="H343" i="7"/>
  <c r="H51" i="3"/>
  <c r="H189" i="7"/>
  <c r="H327" i="7"/>
  <c r="H35" i="3"/>
  <c r="H173" i="7"/>
  <c r="H311" i="7"/>
  <c r="H19" i="3"/>
  <c r="H157" i="7"/>
  <c r="H295" i="7"/>
  <c r="H3" i="3"/>
  <c r="H141" i="7"/>
  <c r="M15" i="4" s="1"/>
  <c r="H279" i="7"/>
  <c r="D176" i="11"/>
  <c r="J122" i="3"/>
  <c r="J398" i="7"/>
  <c r="J398" i="3" s="1"/>
  <c r="J260" i="7"/>
  <c r="J260" i="3" s="1"/>
  <c r="D150" i="11"/>
  <c r="J106" i="3"/>
  <c r="J382" i="7"/>
  <c r="J382" i="3" s="1"/>
  <c r="J244" i="7"/>
  <c r="J244" i="3" s="1"/>
  <c r="D123" i="11"/>
  <c r="J90" i="3"/>
  <c r="J366" i="7"/>
  <c r="J366" i="3" s="1"/>
  <c r="J228" i="7"/>
  <c r="J228" i="3" s="1"/>
  <c r="D106" i="11"/>
  <c r="J74" i="3"/>
  <c r="J350" i="7"/>
  <c r="J350" i="3" s="1"/>
  <c r="J212" i="7"/>
  <c r="J212" i="3" s="1"/>
  <c r="D83" i="11"/>
  <c r="J58" i="3"/>
  <c r="J334" i="7"/>
  <c r="J334" i="3" s="1"/>
  <c r="J196" i="7"/>
  <c r="J196" i="3" s="1"/>
  <c r="D169" i="11"/>
  <c r="J42" i="3"/>
  <c r="J318" i="7"/>
  <c r="J318" i="3" s="1"/>
  <c r="J180" i="7"/>
  <c r="J180" i="3" s="1"/>
  <c r="D40" i="11"/>
  <c r="J26" i="3"/>
  <c r="J302" i="7"/>
  <c r="J302" i="3" s="1"/>
  <c r="J164" i="7"/>
  <c r="J164" i="3" s="1"/>
  <c r="D19" i="11"/>
  <c r="J10" i="3"/>
  <c r="J286" i="7"/>
  <c r="J286" i="3" s="1"/>
  <c r="J148" i="7"/>
  <c r="J148" i="3" s="1"/>
  <c r="I130" i="3"/>
  <c r="P185" i="11"/>
  <c r="I114" i="3"/>
  <c r="P164" i="11"/>
  <c r="I98" i="3"/>
  <c r="P136" i="11"/>
  <c r="I33" i="3"/>
  <c r="P47" i="11"/>
  <c r="I17" i="3"/>
  <c r="P27" i="11"/>
  <c r="I311" i="7"/>
  <c r="P54" i="11"/>
  <c r="AJ123" i="9"/>
  <c r="O177" i="11"/>
  <c r="AY123" i="3"/>
  <c r="E177" i="11"/>
  <c r="K399" i="7"/>
  <c r="AY399" i="3" s="1"/>
  <c r="K261" i="7"/>
  <c r="AY261" i="3" s="1"/>
  <c r="AJ107" i="9"/>
  <c r="O152" i="11"/>
  <c r="AY107" i="3"/>
  <c r="E152" i="11"/>
  <c r="K107" i="3"/>
  <c r="K383" i="7"/>
  <c r="K245" i="7"/>
  <c r="AJ91" i="9"/>
  <c r="AY91" i="3"/>
  <c r="O126" i="11"/>
  <c r="E126" i="11"/>
  <c r="K367" i="7"/>
  <c r="AY367" i="3" s="1"/>
  <c r="K229" i="7"/>
  <c r="AY229" i="3" s="1"/>
  <c r="AJ75" i="9"/>
  <c r="O107" i="11"/>
  <c r="AY75" i="3"/>
  <c r="E107" i="11"/>
  <c r="K75" i="3"/>
  <c r="K351" i="7"/>
  <c r="K213" i="7"/>
  <c r="AJ59" i="9"/>
  <c r="O84" i="11"/>
  <c r="AY59" i="3"/>
  <c r="E84" i="11"/>
  <c r="K59" i="3"/>
  <c r="K335" i="7"/>
  <c r="K197" i="7"/>
  <c r="AJ43" i="9"/>
  <c r="AY43" i="3"/>
  <c r="O62" i="11"/>
  <c r="E62" i="11"/>
  <c r="K319" i="7"/>
  <c r="AY319" i="3" s="1"/>
  <c r="K181" i="7"/>
  <c r="AY181" i="3" s="1"/>
  <c r="AJ27" i="9"/>
  <c r="O41" i="11"/>
  <c r="AY27" i="3"/>
  <c r="E41" i="11"/>
  <c r="K27" i="3"/>
  <c r="K303" i="7"/>
  <c r="K165" i="7"/>
  <c r="AJ11" i="9"/>
  <c r="AY11" i="3"/>
  <c r="O21" i="11"/>
  <c r="E21" i="11"/>
  <c r="K11" i="3"/>
  <c r="K287" i="7"/>
  <c r="K149" i="7"/>
  <c r="L30" i="3"/>
  <c r="L306" i="7"/>
  <c r="L306" i="3" s="1"/>
  <c r="L168" i="7"/>
  <c r="L168" i="3" s="1"/>
  <c r="L14" i="3"/>
  <c r="L290" i="7"/>
  <c r="L290" i="3" s="1"/>
  <c r="L152" i="7"/>
  <c r="L152" i="3" s="1"/>
  <c r="L133" i="3"/>
  <c r="L409" i="7"/>
  <c r="L409" i="3" s="1"/>
  <c r="L271" i="7"/>
  <c r="L271" i="3" s="1"/>
  <c r="L117" i="3"/>
  <c r="L393" i="7"/>
  <c r="L393" i="3" s="1"/>
  <c r="L255" i="7"/>
  <c r="L255" i="3" s="1"/>
  <c r="L101" i="3"/>
  <c r="L377" i="7"/>
  <c r="L377" i="3" s="1"/>
  <c r="L239" i="7"/>
  <c r="L239" i="3" s="1"/>
  <c r="L85" i="3"/>
  <c r="L361" i="7"/>
  <c r="L361" i="3" s="1"/>
  <c r="L223" i="7"/>
  <c r="L223" i="3" s="1"/>
  <c r="L69" i="3"/>
  <c r="L345" i="7"/>
  <c r="L345" i="3" s="1"/>
  <c r="L207" i="7"/>
  <c r="L207" i="3" s="1"/>
  <c r="L53" i="3"/>
  <c r="L329" i="7"/>
  <c r="L329" i="3" s="1"/>
  <c r="L191" i="7"/>
  <c r="L191" i="3" s="1"/>
  <c r="L37" i="3"/>
  <c r="L313" i="7"/>
  <c r="L313" i="3" s="1"/>
  <c r="L175" i="7"/>
  <c r="L175" i="3" s="1"/>
  <c r="N2" i="4"/>
  <c r="N8" i="4"/>
  <c r="N2" i="3"/>
  <c r="N3" i="4"/>
  <c r="N35" i="3" s="1"/>
  <c r="N4" i="4"/>
  <c r="N96" i="3" s="1"/>
  <c r="N5" i="4"/>
  <c r="N6" i="4"/>
  <c r="N7" i="4"/>
  <c r="N77" i="3" s="1"/>
  <c r="AI2" i="3"/>
  <c r="AI278" i="7"/>
  <c r="AI140" i="7"/>
  <c r="AI140" i="3" s="1"/>
  <c r="AM311" i="7"/>
  <c r="AM173" i="7"/>
  <c r="AR34" i="3"/>
  <c r="AR310" i="7"/>
  <c r="AR310" i="3" s="1"/>
  <c r="AR172" i="7"/>
  <c r="AR172" i="3" s="1"/>
  <c r="AW33" i="3"/>
  <c r="AW309" i="7"/>
  <c r="AW309" i="3" s="1"/>
  <c r="AW171" i="7"/>
  <c r="AW171" i="3" s="1"/>
  <c r="AG33" i="3"/>
  <c r="AG309" i="7"/>
  <c r="AG309" i="3" s="1"/>
  <c r="AG171" i="7"/>
  <c r="AG171" i="3" s="1"/>
  <c r="AL32" i="3"/>
  <c r="AL308" i="7"/>
  <c r="AL308" i="3" s="1"/>
  <c r="AL170" i="7"/>
  <c r="AL170" i="3" s="1"/>
  <c r="AQ31" i="3"/>
  <c r="AQ307" i="7"/>
  <c r="AQ307" i="3" s="1"/>
  <c r="AQ169" i="7"/>
  <c r="AQ169" i="3" s="1"/>
  <c r="AV30" i="3"/>
  <c r="AV306" i="7"/>
  <c r="AV306" i="3" s="1"/>
  <c r="AV168" i="7"/>
  <c r="AV168" i="3" s="1"/>
  <c r="AF30" i="3"/>
  <c r="AF306" i="7"/>
  <c r="AF306" i="3" s="1"/>
  <c r="AF168" i="7"/>
  <c r="AF168" i="3" s="1"/>
  <c r="AK29" i="3"/>
  <c r="AK305" i="7"/>
  <c r="AK305" i="3" s="1"/>
  <c r="AK167" i="7"/>
  <c r="AK167" i="3" s="1"/>
  <c r="AP28" i="3"/>
  <c r="AP304" i="7"/>
  <c r="AP304" i="3" s="1"/>
  <c r="AP166" i="7"/>
  <c r="AP166" i="3" s="1"/>
  <c r="AU27" i="3"/>
  <c r="AU303" i="7"/>
  <c r="AU303" i="3" s="1"/>
  <c r="AU165" i="7"/>
  <c r="AU165" i="3" s="1"/>
  <c r="AE27" i="3"/>
  <c r="AE303" i="7"/>
  <c r="AE303" i="3" s="1"/>
  <c r="AE165" i="7"/>
  <c r="AE165" i="3" s="1"/>
  <c r="AJ26" i="3"/>
  <c r="AJ302" i="7"/>
  <c r="AJ302" i="3" s="1"/>
  <c r="AJ164" i="7"/>
  <c r="AJ164" i="3" s="1"/>
  <c r="AO25" i="3"/>
  <c r="AO301" i="7"/>
  <c r="AO301" i="3" s="1"/>
  <c r="AO163" i="7"/>
  <c r="AO163" i="3" s="1"/>
  <c r="AT24" i="3"/>
  <c r="AT300" i="7"/>
  <c r="AT300" i="3" s="1"/>
  <c r="AT162" i="7"/>
  <c r="AT162" i="3" s="1"/>
  <c r="AD24" i="3"/>
  <c r="AD300" i="7"/>
  <c r="AD300" i="3" s="1"/>
  <c r="AD162" i="7"/>
  <c r="AD162" i="3" s="1"/>
  <c r="AI23" i="3"/>
  <c r="AI299" i="7"/>
  <c r="AI299" i="3" s="1"/>
  <c r="AI161" i="7"/>
  <c r="AI161" i="3" s="1"/>
  <c r="AN22" i="3"/>
  <c r="AN298" i="7"/>
  <c r="AN298" i="3" s="1"/>
  <c r="AN160" i="7"/>
  <c r="AN160" i="3" s="1"/>
  <c r="AS21" i="3"/>
  <c r="AS297" i="7"/>
  <c r="AS297" i="3" s="1"/>
  <c r="AS159" i="7"/>
  <c r="AS159" i="3" s="1"/>
  <c r="AC21" i="3"/>
  <c r="AC297" i="7"/>
  <c r="AC297" i="3" s="1"/>
  <c r="AC159" i="7"/>
  <c r="AC159" i="3" s="1"/>
  <c r="AH20" i="3"/>
  <c r="AH296" i="7"/>
  <c r="AH296" i="3" s="1"/>
  <c r="AH158" i="7"/>
  <c r="AH158" i="3" s="1"/>
  <c r="AM19" i="3"/>
  <c r="AM295" i="7"/>
  <c r="AM295" i="3" s="1"/>
  <c r="AM157" i="7"/>
  <c r="AM157" i="3" s="1"/>
  <c r="AR18" i="3"/>
  <c r="AR294" i="7"/>
  <c r="AR294" i="3" s="1"/>
  <c r="AR156" i="7"/>
  <c r="AR156" i="3" s="1"/>
  <c r="AW17" i="3"/>
  <c r="AW293" i="7"/>
  <c r="AW293" i="3" s="1"/>
  <c r="AW155" i="7"/>
  <c r="AW155" i="3" s="1"/>
  <c r="AG17" i="3"/>
  <c r="AG293" i="7"/>
  <c r="AG293" i="3" s="1"/>
  <c r="AG155" i="7"/>
  <c r="AG155" i="3" s="1"/>
  <c r="AL16" i="3"/>
  <c r="AL292" i="7"/>
  <c r="AL292" i="3" s="1"/>
  <c r="AL154" i="7"/>
  <c r="AL154" i="3" s="1"/>
  <c r="AQ15" i="3"/>
  <c r="AQ291" i="7"/>
  <c r="AQ291" i="3" s="1"/>
  <c r="AQ153" i="7"/>
  <c r="AQ153" i="3" s="1"/>
  <c r="AV14" i="3"/>
  <c r="AV290" i="7"/>
  <c r="AV290" i="3" s="1"/>
  <c r="AV152" i="7"/>
  <c r="AV152" i="3" s="1"/>
  <c r="AF14" i="3"/>
  <c r="AF290" i="7"/>
  <c r="AF290" i="3" s="1"/>
  <c r="AF152" i="7"/>
  <c r="AF152" i="3" s="1"/>
  <c r="AK13" i="3"/>
  <c r="AK289" i="7"/>
  <c r="AK289" i="3" s="1"/>
  <c r="AK151" i="7"/>
  <c r="AK151" i="3" s="1"/>
  <c r="AP12" i="3"/>
  <c r="AP288" i="7"/>
  <c r="AP288" i="3" s="1"/>
  <c r="AP150" i="7"/>
  <c r="AP150" i="3" s="1"/>
  <c r="AU11" i="3"/>
  <c r="AU287" i="7"/>
  <c r="AU287" i="3" s="1"/>
  <c r="AU149" i="7"/>
  <c r="AU149" i="3" s="1"/>
  <c r="AE11" i="3"/>
  <c r="AE287" i="7"/>
  <c r="AE287" i="3" s="1"/>
  <c r="AE149" i="7"/>
  <c r="AE149" i="3" s="1"/>
  <c r="AJ10" i="3"/>
  <c r="AJ286" i="7"/>
  <c r="AJ286" i="3" s="1"/>
  <c r="AJ148" i="7"/>
  <c r="AJ148" i="3" s="1"/>
  <c r="AO9" i="3"/>
  <c r="AO285" i="7"/>
  <c r="AO285" i="3" s="1"/>
  <c r="AO147" i="7"/>
  <c r="AO147" i="3" s="1"/>
  <c r="AT8" i="3"/>
  <c r="AT284" i="7"/>
  <c r="AT284" i="3" s="1"/>
  <c r="AT146" i="7"/>
  <c r="AT146" i="3" s="1"/>
  <c r="AD8" i="3"/>
  <c r="AD284" i="7"/>
  <c r="AD284" i="3" s="1"/>
  <c r="AD146" i="7"/>
  <c r="AD146" i="3" s="1"/>
  <c r="AI7" i="3"/>
  <c r="AI283" i="7"/>
  <c r="AI283" i="3" s="1"/>
  <c r="AI145" i="7"/>
  <c r="AI145" i="3" s="1"/>
  <c r="AN6" i="3"/>
  <c r="AN282" i="7"/>
  <c r="AN282" i="3" s="1"/>
  <c r="AN144" i="7"/>
  <c r="AN144" i="3" s="1"/>
  <c r="AS5" i="3"/>
  <c r="AS281" i="7"/>
  <c r="AS281" i="3" s="1"/>
  <c r="AS143" i="7"/>
  <c r="AS143" i="3" s="1"/>
  <c r="AC5" i="3"/>
  <c r="AC281" i="7"/>
  <c r="AC281" i="3" s="1"/>
  <c r="AC143" i="7"/>
  <c r="AC143" i="3" s="1"/>
  <c r="AH4" i="3"/>
  <c r="AH280" i="7"/>
  <c r="AH280" i="3" s="1"/>
  <c r="AH142" i="7"/>
  <c r="AH142" i="3" s="1"/>
  <c r="AM3" i="3"/>
  <c r="AM279" i="7"/>
  <c r="AM279" i="3" s="1"/>
  <c r="AM141" i="7"/>
  <c r="AM141" i="3" s="1"/>
  <c r="AR137" i="3"/>
  <c r="AR413" i="7"/>
  <c r="AR413" i="3" s="1"/>
  <c r="AR275" i="7"/>
  <c r="AR275" i="3" s="1"/>
  <c r="AW136" i="3"/>
  <c r="AW412" i="7"/>
  <c r="AW412" i="3" s="1"/>
  <c r="AW274" i="7"/>
  <c r="AW274" i="3" s="1"/>
  <c r="AG136" i="3"/>
  <c r="AG412" i="7"/>
  <c r="AG412" i="3" s="1"/>
  <c r="AG274" i="7"/>
  <c r="AG274" i="3" s="1"/>
  <c r="AL135" i="3"/>
  <c r="AL411" i="7"/>
  <c r="AL411" i="3" s="1"/>
  <c r="AL273" i="7"/>
  <c r="AL273" i="3" s="1"/>
  <c r="AQ134" i="3"/>
  <c r="AQ410" i="7"/>
  <c r="AQ410" i="3" s="1"/>
  <c r="AQ272" i="7"/>
  <c r="AQ272" i="3" s="1"/>
  <c r="AV133" i="3"/>
  <c r="AV409" i="7"/>
  <c r="AV409" i="3" s="1"/>
  <c r="AV271" i="7"/>
  <c r="AV271" i="3" s="1"/>
  <c r="AF133" i="3"/>
  <c r="AF409" i="7"/>
  <c r="AF409" i="3" s="1"/>
  <c r="AF271" i="7"/>
  <c r="AF271" i="3" s="1"/>
  <c r="AK132" i="3"/>
  <c r="AK408" i="7"/>
  <c r="AK408" i="3" s="1"/>
  <c r="AK270" i="7"/>
  <c r="AK270" i="3" s="1"/>
  <c r="AP131" i="3"/>
  <c r="AP407" i="7"/>
  <c r="AP407" i="3" s="1"/>
  <c r="AP269" i="7"/>
  <c r="AP269" i="3" s="1"/>
  <c r="AU130" i="3"/>
  <c r="AU406" i="7"/>
  <c r="AU406" i="3" s="1"/>
  <c r="AU268" i="7"/>
  <c r="AU268" i="3" s="1"/>
  <c r="AE130" i="3"/>
  <c r="AE406" i="7"/>
  <c r="AE406" i="3" s="1"/>
  <c r="AE268" i="7"/>
  <c r="AE268" i="3" s="1"/>
  <c r="AJ129" i="3"/>
  <c r="AJ405" i="7"/>
  <c r="AJ405" i="3" s="1"/>
  <c r="AJ267" i="7"/>
  <c r="AJ267" i="3" s="1"/>
  <c r="AO404" i="7"/>
  <c r="AO266" i="7"/>
  <c r="AT127" i="3"/>
  <c r="AT403" i="7"/>
  <c r="AT403" i="3" s="1"/>
  <c r="AT265" i="7"/>
  <c r="AT265" i="3" s="1"/>
  <c r="AD127" i="3"/>
  <c r="AD403" i="7"/>
  <c r="AD403" i="3" s="1"/>
  <c r="AD265" i="7"/>
  <c r="AD265" i="3" s="1"/>
  <c r="AI126" i="3"/>
  <c r="AI402" i="7"/>
  <c r="AI402" i="3" s="1"/>
  <c r="AI264" i="7"/>
  <c r="AI264" i="3" s="1"/>
  <c r="AN125" i="3"/>
  <c r="AN401" i="7"/>
  <c r="AN401" i="3" s="1"/>
  <c r="AN263" i="7"/>
  <c r="AN263" i="3" s="1"/>
  <c r="AS124" i="3"/>
  <c r="AS400" i="7"/>
  <c r="AS400" i="3" s="1"/>
  <c r="AS262" i="7"/>
  <c r="AS262" i="3" s="1"/>
  <c r="AC124" i="3"/>
  <c r="AC400" i="7"/>
  <c r="AC400" i="3" s="1"/>
  <c r="AC262" i="7"/>
  <c r="AC262" i="3" s="1"/>
  <c r="AH123" i="3"/>
  <c r="AH399" i="7"/>
  <c r="AH399" i="3" s="1"/>
  <c r="AH261" i="7"/>
  <c r="AH261" i="3" s="1"/>
  <c r="AM122" i="3"/>
  <c r="AM398" i="7"/>
  <c r="AM398" i="3" s="1"/>
  <c r="AM260" i="7"/>
  <c r="AM260" i="3" s="1"/>
  <c r="K217" i="7"/>
  <c r="AY217" i="3" s="1"/>
  <c r="H57" i="3"/>
  <c r="H195" i="7"/>
  <c r="H333" i="7"/>
  <c r="D84" i="11"/>
  <c r="J59" i="3"/>
  <c r="J335" i="7"/>
  <c r="J335" i="3" s="1"/>
  <c r="AJ44" i="9"/>
  <c r="O63" i="11"/>
  <c r="AY44" i="3"/>
  <c r="E63" i="11"/>
  <c r="K44" i="3"/>
  <c r="K320" i="7"/>
  <c r="K182" i="7"/>
  <c r="L15" i="3"/>
  <c r="L291" i="7"/>
  <c r="L291" i="3" s="1"/>
  <c r="L153" i="7"/>
  <c r="L153" i="3" s="1"/>
  <c r="L54" i="3"/>
  <c r="L330" i="7"/>
  <c r="L330" i="3" s="1"/>
  <c r="L192" i="7"/>
  <c r="L192" i="3" s="1"/>
  <c r="H98" i="3"/>
  <c r="H374" i="7"/>
  <c r="H236" i="7"/>
  <c r="D197" i="11"/>
  <c r="J137" i="3"/>
  <c r="J413" i="7"/>
  <c r="J413" i="3" s="1"/>
  <c r="J275" i="7"/>
  <c r="J275" i="3" s="1"/>
  <c r="D174" i="11"/>
  <c r="J121" i="3"/>
  <c r="J397" i="7"/>
  <c r="J397" i="3" s="1"/>
  <c r="J259" i="7"/>
  <c r="J259" i="3" s="1"/>
  <c r="D149" i="11"/>
  <c r="J381" i="7"/>
  <c r="J243" i="7"/>
  <c r="D122" i="11"/>
  <c r="J89" i="3"/>
  <c r="J365" i="7"/>
  <c r="J365" i="3" s="1"/>
  <c r="J227" i="7"/>
  <c r="J227" i="3" s="1"/>
  <c r="D105" i="11"/>
  <c r="J73" i="3"/>
  <c r="J349" i="7"/>
  <c r="J349" i="3" s="1"/>
  <c r="J211" i="7"/>
  <c r="J211" i="3" s="1"/>
  <c r="D82" i="11"/>
  <c r="J57" i="3"/>
  <c r="J333" i="7"/>
  <c r="J333" i="3" s="1"/>
  <c r="J195" i="7"/>
  <c r="J195" i="3" s="1"/>
  <c r="D60" i="11"/>
  <c r="J41" i="3"/>
  <c r="J317" i="7"/>
  <c r="J317" i="3" s="1"/>
  <c r="J179" i="7"/>
  <c r="J179" i="3" s="1"/>
  <c r="D38" i="11"/>
  <c r="J25" i="3"/>
  <c r="J301" i="7"/>
  <c r="J301" i="3" s="1"/>
  <c r="J163" i="7"/>
  <c r="J163" i="3" s="1"/>
  <c r="D17" i="11"/>
  <c r="J9" i="3"/>
  <c r="J285" i="7"/>
  <c r="J285" i="3" s="1"/>
  <c r="J147" i="7"/>
  <c r="J147" i="3" s="1"/>
  <c r="I129" i="3"/>
  <c r="P184" i="11"/>
  <c r="I113" i="3"/>
  <c r="P163" i="11"/>
  <c r="I97" i="3"/>
  <c r="P135" i="11"/>
  <c r="I81" i="3"/>
  <c r="P114" i="11"/>
  <c r="I65" i="3"/>
  <c r="P50" i="11"/>
  <c r="I49" i="3"/>
  <c r="P72" i="11"/>
  <c r="I170" i="7"/>
  <c r="P32" i="11"/>
  <c r="AJ2" i="9"/>
  <c r="AY2" i="3"/>
  <c r="O4" i="11"/>
  <c r="E4" i="11"/>
  <c r="K2" i="3"/>
  <c r="C2" i="12"/>
  <c r="D2" i="12"/>
  <c r="E2" i="12"/>
  <c r="F2" i="12"/>
  <c r="G2" i="12"/>
  <c r="B2" i="12"/>
  <c r="K278" i="7"/>
  <c r="AY278" i="3" s="1"/>
  <c r="K140" i="7"/>
  <c r="AJ122" i="9"/>
  <c r="O176" i="11"/>
  <c r="AY122" i="3"/>
  <c r="E176" i="11"/>
  <c r="K122" i="3"/>
  <c r="K398" i="7"/>
  <c r="K260" i="7"/>
  <c r="AJ106" i="9"/>
  <c r="AY106" i="3"/>
  <c r="O150" i="11"/>
  <c r="E150" i="11"/>
  <c r="K106" i="3"/>
  <c r="K382" i="7"/>
  <c r="K244" i="7"/>
  <c r="AJ90" i="9"/>
  <c r="O123" i="11"/>
  <c r="AY90" i="3"/>
  <c r="E123" i="11"/>
  <c r="K366" i="7"/>
  <c r="AY366" i="3" s="1"/>
  <c r="K228" i="7"/>
  <c r="AY228" i="3" s="1"/>
  <c r="AJ74" i="9"/>
  <c r="O106" i="11"/>
  <c r="AY74" i="3"/>
  <c r="E106" i="11"/>
  <c r="K74" i="3"/>
  <c r="K350" i="7"/>
  <c r="K212" i="7"/>
  <c r="AJ58" i="9"/>
  <c r="O83" i="11"/>
  <c r="AY58" i="3"/>
  <c r="E83" i="11"/>
  <c r="K58" i="3"/>
  <c r="K334" i="7"/>
  <c r="K196" i="7"/>
  <c r="AJ42" i="9"/>
  <c r="O169" i="11"/>
  <c r="AY42" i="3"/>
  <c r="E169" i="11"/>
  <c r="K318" i="7"/>
  <c r="AY318" i="3" s="1"/>
  <c r="K180" i="7"/>
  <c r="AY180" i="3" s="1"/>
  <c r="AJ26" i="9"/>
  <c r="O40" i="11"/>
  <c r="AY26" i="3"/>
  <c r="E40" i="11"/>
  <c r="K26" i="3"/>
  <c r="K302" i="7"/>
  <c r="K164" i="7"/>
  <c r="AJ10" i="9"/>
  <c r="AY10" i="3"/>
  <c r="O19" i="11"/>
  <c r="E19" i="11"/>
  <c r="K10" i="3"/>
  <c r="K286" i="7"/>
  <c r="N22" i="4" s="1"/>
  <c r="N372" i="3" s="1"/>
  <c r="K148" i="7"/>
  <c r="L29" i="3"/>
  <c r="L305" i="7"/>
  <c r="L305" i="3" s="1"/>
  <c r="L167" i="7"/>
  <c r="L167" i="3" s="1"/>
  <c r="L13" i="3"/>
  <c r="L289" i="7"/>
  <c r="L289" i="3" s="1"/>
  <c r="L151" i="7"/>
  <c r="L151" i="3" s="1"/>
  <c r="L132" i="3"/>
  <c r="L408" i="7"/>
  <c r="L408" i="3" s="1"/>
  <c r="L270" i="7"/>
  <c r="L270" i="3" s="1"/>
  <c r="L116" i="3"/>
  <c r="L392" i="7"/>
  <c r="L392" i="3" s="1"/>
  <c r="L254" i="7"/>
  <c r="L254" i="3" s="1"/>
  <c r="L100" i="3"/>
  <c r="L376" i="7"/>
  <c r="L376" i="3" s="1"/>
  <c r="L238" i="7"/>
  <c r="L238" i="3" s="1"/>
  <c r="L84" i="3"/>
  <c r="L360" i="7"/>
  <c r="L360" i="3" s="1"/>
  <c r="L222" i="7"/>
  <c r="L222" i="3" s="1"/>
  <c r="L68" i="3"/>
  <c r="L344" i="7"/>
  <c r="L344" i="3" s="1"/>
  <c r="L206" i="7"/>
  <c r="L206" i="3" s="1"/>
  <c r="L52" i="3"/>
  <c r="L328" i="7"/>
  <c r="L328" i="3" s="1"/>
  <c r="L190" i="7"/>
  <c r="L190" i="3" s="1"/>
  <c r="AC2" i="3"/>
  <c r="AC278" i="7"/>
  <c r="AC140" i="7"/>
  <c r="AC140" i="3" s="1"/>
  <c r="AH2" i="3"/>
  <c r="AH278" i="7"/>
  <c r="AH140" i="7"/>
  <c r="AH140" i="3" s="1"/>
  <c r="AL311" i="7"/>
  <c r="AL173" i="7"/>
  <c r="AQ34" i="3"/>
  <c r="AQ310" i="7"/>
  <c r="AQ310" i="3" s="1"/>
  <c r="AQ172" i="7"/>
  <c r="AQ172" i="3" s="1"/>
  <c r="AV33" i="3"/>
  <c r="AV309" i="7"/>
  <c r="AV309" i="3" s="1"/>
  <c r="AV171" i="7"/>
  <c r="AV171" i="3" s="1"/>
  <c r="AF33" i="3"/>
  <c r="AF309" i="7"/>
  <c r="AF309" i="3" s="1"/>
  <c r="AF171" i="7"/>
  <c r="AF171" i="3" s="1"/>
  <c r="AK32" i="3"/>
  <c r="AK308" i="7"/>
  <c r="AK308" i="3" s="1"/>
  <c r="AK170" i="7"/>
  <c r="AK170" i="3" s="1"/>
  <c r="AP31" i="3"/>
  <c r="AP307" i="7"/>
  <c r="AP307" i="3" s="1"/>
  <c r="AP169" i="7"/>
  <c r="AP169" i="3" s="1"/>
  <c r="AU30" i="3"/>
  <c r="AU306" i="7"/>
  <c r="AU306" i="3" s="1"/>
  <c r="AU168" i="7"/>
  <c r="AU168" i="3" s="1"/>
  <c r="AE30" i="3"/>
  <c r="AE306" i="7"/>
  <c r="AE306" i="3" s="1"/>
  <c r="AE168" i="7"/>
  <c r="AE168" i="3" s="1"/>
  <c r="AJ29" i="3"/>
  <c r="AJ305" i="7"/>
  <c r="AJ305" i="3" s="1"/>
  <c r="AJ167" i="7"/>
  <c r="AJ167" i="3" s="1"/>
  <c r="AO28" i="3"/>
  <c r="AO304" i="7"/>
  <c r="AO304" i="3" s="1"/>
  <c r="AO166" i="7"/>
  <c r="AO166" i="3" s="1"/>
  <c r="AT27" i="3"/>
  <c r="AT303" i="7"/>
  <c r="AT303" i="3" s="1"/>
  <c r="AT165" i="7"/>
  <c r="AT165" i="3" s="1"/>
  <c r="AD27" i="3"/>
  <c r="AD303" i="7"/>
  <c r="AD303" i="3" s="1"/>
  <c r="AD165" i="7"/>
  <c r="AD165" i="3" s="1"/>
  <c r="AI26" i="3"/>
  <c r="AI302" i="7"/>
  <c r="AI302" i="3" s="1"/>
  <c r="AI164" i="7"/>
  <c r="AI164" i="3" s="1"/>
  <c r="AN25" i="3"/>
  <c r="AN301" i="7"/>
  <c r="AN301" i="3" s="1"/>
  <c r="AN163" i="7"/>
  <c r="AN163" i="3" s="1"/>
  <c r="AS24" i="3"/>
  <c r="AS300" i="7"/>
  <c r="AS300" i="3" s="1"/>
  <c r="AS162" i="7"/>
  <c r="AS162" i="3" s="1"/>
  <c r="AC24" i="3"/>
  <c r="AC300" i="7"/>
  <c r="AC300" i="3" s="1"/>
  <c r="AC162" i="7"/>
  <c r="AC162" i="3" s="1"/>
  <c r="AH23" i="3"/>
  <c r="AH299" i="7"/>
  <c r="AH299" i="3" s="1"/>
  <c r="AH161" i="7"/>
  <c r="AH161" i="3" s="1"/>
  <c r="AM22" i="3"/>
  <c r="AM298" i="7"/>
  <c r="AM298" i="3" s="1"/>
  <c r="AM160" i="7"/>
  <c r="AM160" i="3" s="1"/>
  <c r="AR21" i="3"/>
  <c r="AR297" i="7"/>
  <c r="AR297" i="3" s="1"/>
  <c r="AR159" i="7"/>
  <c r="AR159" i="3" s="1"/>
  <c r="AW20" i="3"/>
  <c r="AW296" i="7"/>
  <c r="AW296" i="3" s="1"/>
  <c r="AW158" i="7"/>
  <c r="AW158" i="3" s="1"/>
  <c r="AG20" i="3"/>
  <c r="AG296" i="7"/>
  <c r="AG296" i="3" s="1"/>
  <c r="AG158" i="7"/>
  <c r="AG158" i="3" s="1"/>
  <c r="AL19" i="3"/>
  <c r="AL295" i="7"/>
  <c r="AL295" i="3" s="1"/>
  <c r="AL157" i="7"/>
  <c r="AL157" i="3" s="1"/>
  <c r="AQ18" i="3"/>
  <c r="AQ294" i="7"/>
  <c r="AQ294" i="3" s="1"/>
  <c r="AQ156" i="7"/>
  <c r="AQ156" i="3" s="1"/>
  <c r="AV17" i="3"/>
  <c r="AV293" i="7"/>
  <c r="AV293" i="3" s="1"/>
  <c r="AV155" i="7"/>
  <c r="AV155" i="3" s="1"/>
  <c r="AF17" i="3"/>
  <c r="AF293" i="7"/>
  <c r="AF293" i="3" s="1"/>
  <c r="AF155" i="7"/>
  <c r="AF155" i="3" s="1"/>
  <c r="AK16" i="3"/>
  <c r="AK292" i="7"/>
  <c r="AK292" i="3" s="1"/>
  <c r="AK154" i="7"/>
  <c r="AK154" i="3" s="1"/>
  <c r="AP15" i="3"/>
  <c r="AP291" i="7"/>
  <c r="AP291" i="3" s="1"/>
  <c r="AP153" i="7"/>
  <c r="AP153" i="3" s="1"/>
  <c r="AU14" i="3"/>
  <c r="AU290" i="7"/>
  <c r="AU290" i="3" s="1"/>
  <c r="AU152" i="7"/>
  <c r="AU152" i="3" s="1"/>
  <c r="AE14" i="3"/>
  <c r="AE290" i="7"/>
  <c r="AE290" i="3" s="1"/>
  <c r="AE152" i="7"/>
  <c r="AE152" i="3" s="1"/>
  <c r="AJ13" i="3"/>
  <c r="AJ289" i="7"/>
  <c r="AJ289" i="3" s="1"/>
  <c r="AJ151" i="7"/>
  <c r="AJ151" i="3" s="1"/>
  <c r="AO12" i="3"/>
  <c r="AO288" i="7"/>
  <c r="AO288" i="3" s="1"/>
  <c r="AO150" i="7"/>
  <c r="AO150" i="3" s="1"/>
  <c r="AT11" i="3"/>
  <c r="AT287" i="7"/>
  <c r="AT287" i="3" s="1"/>
  <c r="AT149" i="7"/>
  <c r="AT149" i="3" s="1"/>
  <c r="AD11" i="3"/>
  <c r="AD287" i="7"/>
  <c r="AD287" i="3" s="1"/>
  <c r="AD149" i="7"/>
  <c r="AD149" i="3" s="1"/>
  <c r="AI10" i="3"/>
  <c r="AI286" i="7"/>
  <c r="AI286" i="3" s="1"/>
  <c r="AI148" i="7"/>
  <c r="AI148" i="3" s="1"/>
  <c r="AN9" i="3"/>
  <c r="AN285" i="7"/>
  <c r="AN285" i="3" s="1"/>
  <c r="AN147" i="7"/>
  <c r="AN147" i="3" s="1"/>
  <c r="AS8" i="3"/>
  <c r="AS284" i="7"/>
  <c r="AS284" i="3" s="1"/>
  <c r="AS146" i="7"/>
  <c r="AS146" i="3" s="1"/>
  <c r="AC8" i="3"/>
  <c r="AC284" i="7"/>
  <c r="AC284" i="3" s="1"/>
  <c r="AC146" i="7"/>
  <c r="AC146" i="3" s="1"/>
  <c r="AH7" i="3"/>
  <c r="AH283" i="7"/>
  <c r="AH283" i="3" s="1"/>
  <c r="AH145" i="7"/>
  <c r="AH145" i="3" s="1"/>
  <c r="AM6" i="3"/>
  <c r="AM282" i="7"/>
  <c r="AM282" i="3" s="1"/>
  <c r="AM144" i="7"/>
  <c r="AM144" i="3" s="1"/>
  <c r="AR5" i="3"/>
  <c r="AR281" i="7"/>
  <c r="AR281" i="3" s="1"/>
  <c r="AR143" i="7"/>
  <c r="AR143" i="3" s="1"/>
  <c r="AW4" i="3"/>
  <c r="AW280" i="7"/>
  <c r="AW280" i="3" s="1"/>
  <c r="AW142" i="7"/>
  <c r="AW142" i="3" s="1"/>
  <c r="AG4" i="3"/>
  <c r="AG280" i="7"/>
  <c r="AG280" i="3" s="1"/>
  <c r="AG142" i="7"/>
  <c r="AG142" i="3" s="1"/>
  <c r="AL3" i="3"/>
  <c r="AL279" i="7"/>
  <c r="AL279" i="3" s="1"/>
  <c r="AL141" i="7"/>
  <c r="AL141" i="3" s="1"/>
  <c r="AQ137" i="3"/>
  <c r="AQ413" i="7"/>
  <c r="AQ413" i="3" s="1"/>
  <c r="AQ275" i="7"/>
  <c r="AQ275" i="3" s="1"/>
  <c r="AV136" i="3"/>
  <c r="AV412" i="7"/>
  <c r="AV412" i="3" s="1"/>
  <c r="AV274" i="7"/>
  <c r="AV274" i="3" s="1"/>
  <c r="AF136" i="3"/>
  <c r="AF412" i="7"/>
  <c r="AF412" i="3" s="1"/>
  <c r="AF274" i="7"/>
  <c r="AF274" i="3" s="1"/>
  <c r="AK135" i="3"/>
  <c r="AK411" i="7"/>
  <c r="AK411" i="3" s="1"/>
  <c r="AK273" i="7"/>
  <c r="AK273" i="3" s="1"/>
  <c r="AP134" i="3"/>
  <c r="AP410" i="7"/>
  <c r="AP410" i="3" s="1"/>
  <c r="AP272" i="7"/>
  <c r="AP272" i="3" s="1"/>
  <c r="AU133" i="3"/>
  <c r="AU409" i="7"/>
  <c r="AU409" i="3" s="1"/>
  <c r="AU271" i="7"/>
  <c r="AU271" i="3" s="1"/>
  <c r="AE133" i="3"/>
  <c r="AE409" i="7"/>
  <c r="AE409" i="3" s="1"/>
  <c r="AE271" i="7"/>
  <c r="AE271" i="3" s="1"/>
  <c r="AJ132" i="3"/>
  <c r="AJ408" i="7"/>
  <c r="AJ408" i="3" s="1"/>
  <c r="AJ270" i="7"/>
  <c r="AJ270" i="3" s="1"/>
  <c r="AO131" i="3"/>
  <c r="AO407" i="7"/>
  <c r="AO407" i="3" s="1"/>
  <c r="AO269" i="7"/>
  <c r="AO269" i="3" s="1"/>
  <c r="AT130" i="3"/>
  <c r="AT406" i="7"/>
  <c r="AT406" i="3" s="1"/>
  <c r="AT268" i="7"/>
  <c r="AT268" i="3" s="1"/>
  <c r="AD130" i="3"/>
  <c r="AD406" i="7"/>
  <c r="AD406" i="3" s="1"/>
  <c r="AD268" i="7"/>
  <c r="AD268" i="3" s="1"/>
  <c r="J261" i="7"/>
  <c r="J261" i="3" s="1"/>
  <c r="H41" i="3"/>
  <c r="H179" i="7"/>
  <c r="H317" i="7"/>
  <c r="AJ129" i="9"/>
  <c r="AY129" i="3"/>
  <c r="O184" i="11"/>
  <c r="E184" i="11"/>
  <c r="K405" i="7"/>
  <c r="AY405" i="3" s="1"/>
  <c r="K267" i="7"/>
  <c r="AY267" i="3" s="1"/>
  <c r="I134" i="3"/>
  <c r="P194" i="11"/>
  <c r="H100" i="3"/>
  <c r="H238" i="7"/>
  <c r="H376" i="7"/>
  <c r="H20" i="3"/>
  <c r="H158" i="7"/>
  <c r="H296" i="7"/>
  <c r="I115" i="3"/>
  <c r="P166" i="11"/>
  <c r="AJ92" i="9"/>
  <c r="O127" i="11"/>
  <c r="AY92" i="3"/>
  <c r="E127" i="11"/>
  <c r="K368" i="7"/>
  <c r="AY368" i="3" s="1"/>
  <c r="K230" i="7"/>
  <c r="AY230" i="3" s="1"/>
  <c r="L31" i="3"/>
  <c r="L307" i="7"/>
  <c r="L307" i="3" s="1"/>
  <c r="L169" i="7"/>
  <c r="L169" i="3" s="1"/>
  <c r="L70" i="3"/>
  <c r="L346" i="7"/>
  <c r="L346" i="3" s="1"/>
  <c r="L208" i="7"/>
  <c r="L208" i="3" s="1"/>
  <c r="L38" i="3"/>
  <c r="L314" i="7"/>
  <c r="L314" i="3" s="1"/>
  <c r="L176" i="7"/>
  <c r="L176" i="3" s="1"/>
  <c r="H130" i="3"/>
  <c r="H406" i="7"/>
  <c r="H268" i="7"/>
  <c r="H114" i="3"/>
  <c r="H390" i="7"/>
  <c r="H252" i="7"/>
  <c r="H66" i="3"/>
  <c r="H342" i="7"/>
  <c r="H204" i="7"/>
  <c r="H18" i="3"/>
  <c r="H294" i="7"/>
  <c r="H156" i="7"/>
  <c r="H97" i="3"/>
  <c r="H373" i="7"/>
  <c r="H235" i="7"/>
  <c r="H65" i="3"/>
  <c r="H341" i="7"/>
  <c r="H203" i="7"/>
  <c r="H33" i="3"/>
  <c r="H309" i="7"/>
  <c r="H171" i="7"/>
  <c r="H17" i="3"/>
  <c r="H293" i="7"/>
  <c r="H155" i="7"/>
  <c r="D188" i="11"/>
  <c r="J120" i="3"/>
  <c r="J396" i="7"/>
  <c r="J396" i="3" s="1"/>
  <c r="J258" i="7"/>
  <c r="J258" i="3" s="1"/>
  <c r="D121" i="11"/>
  <c r="J88" i="3"/>
  <c r="J364" i="7"/>
  <c r="J364" i="3" s="1"/>
  <c r="J226" i="7"/>
  <c r="J226" i="3" s="1"/>
  <c r="D81" i="11"/>
  <c r="J56" i="3"/>
  <c r="J332" i="7"/>
  <c r="J332" i="3" s="1"/>
  <c r="J194" i="7"/>
  <c r="J194" i="3" s="1"/>
  <c r="D37" i="11"/>
  <c r="J24" i="3"/>
  <c r="J300" i="7"/>
  <c r="J300" i="3" s="1"/>
  <c r="J162" i="7"/>
  <c r="J162" i="3" s="1"/>
  <c r="D14" i="11"/>
  <c r="J8" i="3"/>
  <c r="J284" i="7"/>
  <c r="J284" i="3" s="1"/>
  <c r="J146" i="7"/>
  <c r="J146" i="3" s="1"/>
  <c r="I404" i="7"/>
  <c r="P183" i="11"/>
  <c r="I31" i="3"/>
  <c r="P45" i="11"/>
  <c r="I15" i="3"/>
  <c r="P25" i="11"/>
  <c r="AJ137" i="9"/>
  <c r="O197" i="11"/>
  <c r="AY137" i="3"/>
  <c r="E197" i="11"/>
  <c r="K413" i="7"/>
  <c r="AY413" i="3" s="1"/>
  <c r="K275" i="7"/>
  <c r="AY275" i="3" s="1"/>
  <c r="AJ121" i="9"/>
  <c r="AY121" i="3"/>
  <c r="O174" i="11"/>
  <c r="E174" i="11"/>
  <c r="K121" i="3"/>
  <c r="K397" i="7"/>
  <c r="K259" i="7"/>
  <c r="AJ105" i="9"/>
  <c r="AY105" i="3"/>
  <c r="O149" i="11"/>
  <c r="E149" i="11"/>
  <c r="K105" i="3"/>
  <c r="K381" i="7"/>
  <c r="K243" i="7"/>
  <c r="AJ89" i="9"/>
  <c r="O122" i="11"/>
  <c r="AY89" i="3"/>
  <c r="E122" i="11"/>
  <c r="K89" i="3"/>
  <c r="K365" i="7"/>
  <c r="K227" i="7"/>
  <c r="AJ73" i="9"/>
  <c r="O105" i="11"/>
  <c r="AY73" i="3"/>
  <c r="E105" i="11"/>
  <c r="K349" i="7"/>
  <c r="AY349" i="3" s="1"/>
  <c r="K211" i="7"/>
  <c r="AY211" i="3" s="1"/>
  <c r="AJ57" i="9"/>
  <c r="O82" i="11"/>
  <c r="AY57" i="3"/>
  <c r="E82" i="11"/>
  <c r="K57" i="3"/>
  <c r="K333" i="7"/>
  <c r="AJ41" i="9"/>
  <c r="AY41" i="3"/>
  <c r="O60" i="11"/>
  <c r="E60" i="11"/>
  <c r="K317" i="7"/>
  <c r="AY317" i="3" s="1"/>
  <c r="K179" i="7"/>
  <c r="AY179" i="3" s="1"/>
  <c r="AJ25" i="9"/>
  <c r="AY25" i="3"/>
  <c r="O38" i="11"/>
  <c r="E38" i="11"/>
  <c r="K301" i="7"/>
  <c r="AY301" i="3" s="1"/>
  <c r="K163" i="7"/>
  <c r="AY163" i="3" s="1"/>
  <c r="AJ9" i="9"/>
  <c r="AY9" i="3"/>
  <c r="O17" i="11"/>
  <c r="E17" i="11"/>
  <c r="K285" i="7"/>
  <c r="AY285" i="3" s="1"/>
  <c r="K147" i="7"/>
  <c r="AY147" i="3" s="1"/>
  <c r="L28" i="3"/>
  <c r="L304" i="7"/>
  <c r="L304" i="3" s="1"/>
  <c r="L166" i="7"/>
  <c r="L166" i="3" s="1"/>
  <c r="L12" i="3"/>
  <c r="L288" i="7"/>
  <c r="L288" i="3" s="1"/>
  <c r="L150" i="7"/>
  <c r="L150" i="3" s="1"/>
  <c r="L131" i="3"/>
  <c r="L407" i="7"/>
  <c r="L407" i="3" s="1"/>
  <c r="L269" i="7"/>
  <c r="L269" i="3" s="1"/>
  <c r="L115" i="3"/>
  <c r="L391" i="7"/>
  <c r="L391" i="3" s="1"/>
  <c r="L253" i="7"/>
  <c r="L253" i="3" s="1"/>
  <c r="L99" i="3"/>
  <c r="L375" i="7"/>
  <c r="L375" i="3" s="1"/>
  <c r="L237" i="7"/>
  <c r="L237" i="3" s="1"/>
  <c r="L83" i="3"/>
  <c r="L359" i="7"/>
  <c r="L359" i="3" s="1"/>
  <c r="L221" i="7"/>
  <c r="L221" i="3" s="1"/>
  <c r="L67" i="3"/>
  <c r="L343" i="7"/>
  <c r="L343" i="3" s="1"/>
  <c r="L205" i="7"/>
  <c r="L205" i="3" s="1"/>
  <c r="L51" i="3"/>
  <c r="L327" i="7"/>
  <c r="L327" i="3" s="1"/>
  <c r="L189" i="7"/>
  <c r="L189" i="3" s="1"/>
  <c r="AW2" i="3"/>
  <c r="AW278" i="7"/>
  <c r="AW140" i="7"/>
  <c r="AW140" i="3" s="1"/>
  <c r="AG2" i="3"/>
  <c r="AG278" i="7"/>
  <c r="AG140" i="7"/>
  <c r="AG140" i="3" s="1"/>
  <c r="AK311" i="7"/>
  <c r="AK173" i="7"/>
  <c r="AP34" i="3"/>
  <c r="AP310" i="7"/>
  <c r="AP310" i="3" s="1"/>
  <c r="AP172" i="7"/>
  <c r="AP172" i="3" s="1"/>
  <c r="AU33" i="3"/>
  <c r="AU309" i="7"/>
  <c r="AU309" i="3" s="1"/>
  <c r="AU171" i="7"/>
  <c r="AU171" i="3" s="1"/>
  <c r="AE33" i="3"/>
  <c r="AE309" i="7"/>
  <c r="AE309" i="3" s="1"/>
  <c r="AE171" i="7"/>
  <c r="AE171" i="3" s="1"/>
  <c r="AJ32" i="3"/>
  <c r="AJ308" i="7"/>
  <c r="AJ308" i="3" s="1"/>
  <c r="AJ170" i="7"/>
  <c r="AJ170" i="3" s="1"/>
  <c r="AO31" i="3"/>
  <c r="AO307" i="7"/>
  <c r="AO307" i="3" s="1"/>
  <c r="AO169" i="7"/>
  <c r="AO169" i="3" s="1"/>
  <c r="AT30" i="3"/>
  <c r="AT306" i="7"/>
  <c r="AT306" i="3" s="1"/>
  <c r="AT168" i="7"/>
  <c r="AT168" i="3" s="1"/>
  <c r="AD30" i="3"/>
  <c r="AD306" i="7"/>
  <c r="AD306" i="3" s="1"/>
  <c r="AD168" i="7"/>
  <c r="AD168" i="3" s="1"/>
  <c r="AI29" i="3"/>
  <c r="AI305" i="7"/>
  <c r="AI305" i="3" s="1"/>
  <c r="AI167" i="7"/>
  <c r="AI167" i="3" s="1"/>
  <c r="AN28" i="3"/>
  <c r="AN304" i="7"/>
  <c r="AN304" i="3" s="1"/>
  <c r="AN166" i="7"/>
  <c r="AN166" i="3" s="1"/>
  <c r="AS27" i="3"/>
  <c r="AS303" i="7"/>
  <c r="AS303" i="3" s="1"/>
  <c r="AS165" i="7"/>
  <c r="AS165" i="3" s="1"/>
  <c r="AC27" i="3"/>
  <c r="AC303" i="7"/>
  <c r="AC303" i="3" s="1"/>
  <c r="AC165" i="7"/>
  <c r="AC165" i="3" s="1"/>
  <c r="AH26" i="3"/>
  <c r="AH302" i="7"/>
  <c r="AH302" i="3" s="1"/>
  <c r="AH164" i="7"/>
  <c r="AH164" i="3" s="1"/>
  <c r="AM25" i="3"/>
  <c r="AM301" i="7"/>
  <c r="AM301" i="3" s="1"/>
  <c r="AM163" i="7"/>
  <c r="AM163" i="3" s="1"/>
  <c r="AR24" i="3"/>
  <c r="AR300" i="7"/>
  <c r="AR300" i="3" s="1"/>
  <c r="AR162" i="7"/>
  <c r="AR162" i="3" s="1"/>
  <c r="AW23" i="3"/>
  <c r="AW299" i="7"/>
  <c r="AW299" i="3" s="1"/>
  <c r="AW161" i="7"/>
  <c r="AW161" i="3" s="1"/>
  <c r="AG23" i="3"/>
  <c r="AG299" i="7"/>
  <c r="AG299" i="3" s="1"/>
  <c r="AG161" i="7"/>
  <c r="AG161" i="3" s="1"/>
  <c r="AL22" i="3"/>
  <c r="AL298" i="7"/>
  <c r="AL298" i="3" s="1"/>
  <c r="AL160" i="7"/>
  <c r="AL160" i="3" s="1"/>
  <c r="AQ21" i="3"/>
  <c r="AQ297" i="7"/>
  <c r="AQ297" i="3" s="1"/>
  <c r="AQ159" i="7"/>
  <c r="AQ159" i="3" s="1"/>
  <c r="AV20" i="3"/>
  <c r="AV296" i="7"/>
  <c r="AV296" i="3" s="1"/>
  <c r="AV158" i="7"/>
  <c r="AV158" i="3" s="1"/>
  <c r="AF20" i="3"/>
  <c r="AF296" i="7"/>
  <c r="AF296" i="3" s="1"/>
  <c r="AF158" i="7"/>
  <c r="AF158" i="3" s="1"/>
  <c r="AK19" i="3"/>
  <c r="AK295" i="7"/>
  <c r="AK295" i="3" s="1"/>
  <c r="AK157" i="7"/>
  <c r="AK157" i="3" s="1"/>
  <c r="AP18" i="3"/>
  <c r="AP294" i="7"/>
  <c r="AP294" i="3" s="1"/>
  <c r="AP156" i="7"/>
  <c r="AP156" i="3" s="1"/>
  <c r="AU17" i="3"/>
  <c r="AU293" i="7"/>
  <c r="AU293" i="3" s="1"/>
  <c r="AU155" i="7"/>
  <c r="AU155" i="3" s="1"/>
  <c r="AE17" i="3"/>
  <c r="AE293" i="7"/>
  <c r="AE293" i="3" s="1"/>
  <c r="AE155" i="7"/>
  <c r="AE155" i="3" s="1"/>
  <c r="AJ16" i="3"/>
  <c r="AJ292" i="7"/>
  <c r="AJ292" i="3" s="1"/>
  <c r="AJ154" i="7"/>
  <c r="AJ154" i="3" s="1"/>
  <c r="AO15" i="3"/>
  <c r="AO291" i="7"/>
  <c r="AO291" i="3" s="1"/>
  <c r="AO153" i="7"/>
  <c r="AO153" i="3" s="1"/>
  <c r="AT14" i="3"/>
  <c r="AT290" i="7"/>
  <c r="AT290" i="3" s="1"/>
  <c r="AT152" i="7"/>
  <c r="AT152" i="3" s="1"/>
  <c r="AD14" i="3"/>
  <c r="AD290" i="7"/>
  <c r="AD290" i="3" s="1"/>
  <c r="AD152" i="7"/>
  <c r="AD152" i="3" s="1"/>
  <c r="AI13" i="3"/>
  <c r="AI289" i="7"/>
  <c r="AI289" i="3" s="1"/>
  <c r="AI151" i="7"/>
  <c r="AI151" i="3" s="1"/>
  <c r="AN12" i="3"/>
  <c r="AN288" i="7"/>
  <c r="AN288" i="3" s="1"/>
  <c r="AN150" i="7"/>
  <c r="AN150" i="3" s="1"/>
  <c r="AS11" i="3"/>
  <c r="AS287" i="7"/>
  <c r="AS287" i="3" s="1"/>
  <c r="AS149" i="7"/>
  <c r="AS149" i="3" s="1"/>
  <c r="AC11" i="3"/>
  <c r="AC287" i="7"/>
  <c r="AC287" i="3" s="1"/>
  <c r="AC149" i="7"/>
  <c r="AC149" i="3" s="1"/>
  <c r="AH10" i="3"/>
  <c r="AH286" i="7"/>
  <c r="AH286" i="3" s="1"/>
  <c r="AH148" i="7"/>
  <c r="AH148" i="3" s="1"/>
  <c r="AM9" i="3"/>
  <c r="AM285" i="7"/>
  <c r="AM285" i="3" s="1"/>
  <c r="AM147" i="7"/>
  <c r="AM147" i="3" s="1"/>
  <c r="AR8" i="3"/>
  <c r="AR284" i="7"/>
  <c r="AR284" i="3" s="1"/>
  <c r="AR146" i="7"/>
  <c r="AR146" i="3" s="1"/>
  <c r="AW7" i="3"/>
  <c r="AW283" i="7"/>
  <c r="AW283" i="3" s="1"/>
  <c r="AW145" i="7"/>
  <c r="AW145" i="3" s="1"/>
  <c r="AG7" i="3"/>
  <c r="AG283" i="7"/>
  <c r="AG283" i="3" s="1"/>
  <c r="AG145" i="7"/>
  <c r="AG145" i="3" s="1"/>
  <c r="AL6" i="3"/>
  <c r="AL282" i="7"/>
  <c r="AL282" i="3" s="1"/>
  <c r="AL144" i="7"/>
  <c r="AL144" i="3" s="1"/>
  <c r="AQ5" i="3"/>
  <c r="AQ281" i="7"/>
  <c r="AQ281" i="3" s="1"/>
  <c r="AQ143" i="7"/>
  <c r="AQ143" i="3" s="1"/>
  <c r="AV4" i="3"/>
  <c r="AV280" i="7"/>
  <c r="AV280" i="3" s="1"/>
  <c r="AV142" i="7"/>
  <c r="AV142" i="3" s="1"/>
  <c r="AF4" i="3"/>
  <c r="AF280" i="7"/>
  <c r="AF280" i="3" s="1"/>
  <c r="AF142" i="7"/>
  <c r="AF142" i="3" s="1"/>
  <c r="AK3" i="3"/>
  <c r="AK279" i="7"/>
  <c r="AK279" i="3" s="1"/>
  <c r="AK141" i="7"/>
  <c r="AK141" i="3" s="1"/>
  <c r="K195" i="7"/>
  <c r="AD246" i="7"/>
  <c r="AD246" i="3" s="1"/>
  <c r="H275" i="7"/>
  <c r="H137" i="3"/>
  <c r="H413" i="7"/>
  <c r="H119" i="3"/>
  <c r="H257" i="7"/>
  <c r="H395" i="7"/>
  <c r="D111" i="11"/>
  <c r="J78" i="3"/>
  <c r="J354" i="7"/>
  <c r="J354" i="3" s="1"/>
  <c r="J216" i="7"/>
  <c r="J216" i="3" s="1"/>
  <c r="H270" i="7"/>
  <c r="H132" i="3"/>
  <c r="H408" i="7"/>
  <c r="D107" i="11"/>
  <c r="J75" i="3"/>
  <c r="J351" i="7"/>
  <c r="J351" i="3" s="1"/>
  <c r="I51" i="3"/>
  <c r="P74" i="11"/>
  <c r="H269" i="7"/>
  <c r="H131" i="3"/>
  <c r="H407" i="7"/>
  <c r="H82" i="3"/>
  <c r="H358" i="7"/>
  <c r="H220" i="7"/>
  <c r="H50" i="3"/>
  <c r="H326" i="7"/>
  <c r="H188" i="7"/>
  <c r="H34" i="3"/>
  <c r="H310" i="7"/>
  <c r="H172" i="7"/>
  <c r="H405" i="7"/>
  <c r="H129" i="3"/>
  <c r="H267" i="7"/>
  <c r="H113" i="3"/>
  <c r="H389" i="7"/>
  <c r="H251" i="7"/>
  <c r="H81" i="3"/>
  <c r="H357" i="7"/>
  <c r="H219" i="7"/>
  <c r="H49" i="3"/>
  <c r="H325" i="7"/>
  <c r="H187" i="7"/>
  <c r="D196" i="11"/>
  <c r="J136" i="3"/>
  <c r="J412" i="7"/>
  <c r="J412" i="3" s="1"/>
  <c r="J274" i="7"/>
  <c r="J274" i="3" s="1"/>
  <c r="D148" i="11"/>
  <c r="J104" i="3"/>
  <c r="J380" i="7"/>
  <c r="J380" i="3" s="1"/>
  <c r="J242" i="7"/>
  <c r="J242" i="3" s="1"/>
  <c r="D104" i="11"/>
  <c r="J72" i="3"/>
  <c r="J348" i="7"/>
  <c r="J348" i="3" s="1"/>
  <c r="J210" i="7"/>
  <c r="J210" i="3" s="1"/>
  <c r="D59" i="11"/>
  <c r="J40" i="3"/>
  <c r="J316" i="7"/>
  <c r="J316" i="3" s="1"/>
  <c r="J178" i="7"/>
  <c r="J178" i="3" s="1"/>
  <c r="H128" i="3"/>
  <c r="H404" i="7"/>
  <c r="H266" i="7"/>
  <c r="H112" i="3"/>
  <c r="H388" i="7"/>
  <c r="H250" i="7"/>
  <c r="H96" i="3"/>
  <c r="H372" i="7"/>
  <c r="H234" i="7"/>
  <c r="H80" i="3"/>
  <c r="H356" i="7"/>
  <c r="H218" i="7"/>
  <c r="H64" i="3"/>
  <c r="H340" i="7"/>
  <c r="H202" i="7"/>
  <c r="H48" i="3"/>
  <c r="H324" i="7"/>
  <c r="H186" i="7"/>
  <c r="H32" i="3"/>
  <c r="H308" i="7"/>
  <c r="H170" i="7"/>
  <c r="H16" i="3"/>
  <c r="H292" i="7"/>
  <c r="H154" i="7"/>
  <c r="D195" i="11"/>
  <c r="J135" i="3"/>
  <c r="J411" i="7"/>
  <c r="J411" i="3" s="1"/>
  <c r="J273" i="7"/>
  <c r="J273" i="3" s="1"/>
  <c r="D173" i="11"/>
  <c r="J119" i="3"/>
  <c r="J395" i="7"/>
  <c r="J395" i="3" s="1"/>
  <c r="J257" i="7"/>
  <c r="J257" i="3" s="1"/>
  <c r="D146" i="11"/>
  <c r="J103" i="3"/>
  <c r="J379" i="7"/>
  <c r="J379" i="3" s="1"/>
  <c r="J241" i="7"/>
  <c r="J241" i="3" s="1"/>
  <c r="D120" i="11"/>
  <c r="J87" i="3"/>
  <c r="J363" i="7"/>
  <c r="J363" i="3" s="1"/>
  <c r="J225" i="7"/>
  <c r="J225" i="3" s="1"/>
  <c r="D101" i="11"/>
  <c r="J71" i="3"/>
  <c r="J347" i="7"/>
  <c r="J347" i="3" s="1"/>
  <c r="J209" i="7"/>
  <c r="J209" i="3" s="1"/>
  <c r="D78" i="11"/>
  <c r="J55" i="3"/>
  <c r="J331" i="7"/>
  <c r="J331" i="3" s="1"/>
  <c r="J193" i="7"/>
  <c r="J193" i="3" s="1"/>
  <c r="D58" i="11"/>
  <c r="J39" i="3"/>
  <c r="J315" i="7"/>
  <c r="J315" i="3" s="1"/>
  <c r="J177" i="7"/>
  <c r="J177" i="3" s="1"/>
  <c r="D35" i="11"/>
  <c r="J23" i="3"/>
  <c r="J299" i="7"/>
  <c r="J299" i="3" s="1"/>
  <c r="J161" i="7"/>
  <c r="J161" i="3" s="1"/>
  <c r="D11" i="11"/>
  <c r="J7" i="3"/>
  <c r="J283" i="7"/>
  <c r="J283" i="3" s="1"/>
  <c r="J145" i="7"/>
  <c r="J145" i="3" s="1"/>
  <c r="I127" i="3"/>
  <c r="P182" i="11"/>
  <c r="I111" i="3"/>
  <c r="P161" i="11"/>
  <c r="I95" i="3"/>
  <c r="P132" i="11"/>
  <c r="I79" i="3"/>
  <c r="P112" i="11"/>
  <c r="I63" i="3"/>
  <c r="P92" i="11"/>
  <c r="I47" i="3"/>
  <c r="P68" i="11"/>
  <c r="AJ136" i="9"/>
  <c r="AY136" i="3"/>
  <c r="O196" i="11"/>
  <c r="E196" i="11"/>
  <c r="K136" i="3"/>
  <c r="K412" i="7"/>
  <c r="K274" i="7"/>
  <c r="AJ120" i="9"/>
  <c r="AY120" i="3"/>
  <c r="O188" i="11"/>
  <c r="E188" i="11"/>
  <c r="K396" i="7"/>
  <c r="AY396" i="3" s="1"/>
  <c r="K258" i="7"/>
  <c r="AY258" i="3" s="1"/>
  <c r="AJ104" i="9"/>
  <c r="AY104" i="3"/>
  <c r="O148" i="11"/>
  <c r="E148" i="11"/>
  <c r="K104" i="3"/>
  <c r="K380" i="7"/>
  <c r="K242" i="7"/>
  <c r="AJ88" i="9"/>
  <c r="O121" i="11"/>
  <c r="AY88" i="3"/>
  <c r="E121" i="11"/>
  <c r="K88" i="3"/>
  <c r="K364" i="7"/>
  <c r="K226" i="7"/>
  <c r="AJ72" i="9"/>
  <c r="O104" i="11"/>
  <c r="AY72" i="3"/>
  <c r="E104" i="11"/>
  <c r="K348" i="7"/>
  <c r="AY348" i="3" s="1"/>
  <c r="K210" i="7"/>
  <c r="AY210" i="3" s="1"/>
  <c r="AJ56" i="9"/>
  <c r="O81" i="11"/>
  <c r="AY56" i="3"/>
  <c r="E81" i="11"/>
  <c r="K56" i="3"/>
  <c r="K332" i="7"/>
  <c r="K194" i="7"/>
  <c r="AJ40" i="9"/>
  <c r="O59" i="11"/>
  <c r="AY40" i="3"/>
  <c r="E59" i="11"/>
  <c r="K316" i="7"/>
  <c r="AY316" i="3" s="1"/>
  <c r="K178" i="7"/>
  <c r="AY178" i="3" s="1"/>
  <c r="AJ24" i="9"/>
  <c r="AY24" i="3"/>
  <c r="O37" i="11"/>
  <c r="E37" i="11"/>
  <c r="K300" i="7"/>
  <c r="AY300" i="3" s="1"/>
  <c r="K162" i="7"/>
  <c r="AY162" i="3" s="1"/>
  <c r="AJ8" i="9"/>
  <c r="AY8" i="3"/>
  <c r="O14" i="11"/>
  <c r="X8" i="10" s="1"/>
  <c r="E14" i="11"/>
  <c r="K8" i="3"/>
  <c r="K284" i="7"/>
  <c r="L27" i="3"/>
  <c r="L303" i="7"/>
  <c r="L303" i="3" s="1"/>
  <c r="L165" i="7"/>
  <c r="L165" i="3" s="1"/>
  <c r="L11" i="3"/>
  <c r="L287" i="7"/>
  <c r="L287" i="3" s="1"/>
  <c r="L149" i="7"/>
  <c r="L149" i="3" s="1"/>
  <c r="L130" i="3"/>
  <c r="L406" i="7"/>
  <c r="L406" i="3" s="1"/>
  <c r="L268" i="7"/>
  <c r="L268" i="3" s="1"/>
  <c r="L114" i="3"/>
  <c r="L390" i="7"/>
  <c r="L390" i="3" s="1"/>
  <c r="L252" i="7"/>
  <c r="L252" i="3" s="1"/>
  <c r="L98" i="3"/>
  <c r="L374" i="7"/>
  <c r="L374" i="3" s="1"/>
  <c r="L236" i="7"/>
  <c r="L236" i="3" s="1"/>
  <c r="L82" i="3"/>
  <c r="L358" i="7"/>
  <c r="L358" i="3" s="1"/>
  <c r="L220" i="7"/>
  <c r="L220" i="3" s="1"/>
  <c r="L66" i="3"/>
  <c r="L342" i="7"/>
  <c r="L342" i="3" s="1"/>
  <c r="L204" i="7"/>
  <c r="L204" i="3" s="1"/>
  <c r="L50" i="3"/>
  <c r="L326" i="7"/>
  <c r="L326" i="3" s="1"/>
  <c r="L188" i="7"/>
  <c r="L188" i="3" s="1"/>
  <c r="AV2" i="3"/>
  <c r="AV278" i="7"/>
  <c r="AV140" i="7"/>
  <c r="AV140" i="3" s="1"/>
  <c r="AF2" i="3"/>
  <c r="AF278" i="7"/>
  <c r="AF140" i="7"/>
  <c r="AF140" i="3" s="1"/>
  <c r="AJ311" i="7"/>
  <c r="AJ173" i="7"/>
  <c r="AO34" i="3"/>
  <c r="AO310" i="7"/>
  <c r="AO310" i="3" s="1"/>
  <c r="AO172" i="7"/>
  <c r="AO172" i="3" s="1"/>
  <c r="AT33" i="3"/>
  <c r="AT309" i="7"/>
  <c r="AT309" i="3" s="1"/>
  <c r="AT171" i="7"/>
  <c r="AT171" i="3" s="1"/>
  <c r="AD33" i="3"/>
  <c r="AD309" i="7"/>
  <c r="AD309" i="3" s="1"/>
  <c r="AD171" i="7"/>
  <c r="AD171" i="3" s="1"/>
  <c r="AI32" i="3"/>
  <c r="AI308" i="7"/>
  <c r="AI308" i="3" s="1"/>
  <c r="AI170" i="7"/>
  <c r="AI170" i="3" s="1"/>
  <c r="AN31" i="3"/>
  <c r="AN307" i="7"/>
  <c r="AN307" i="3" s="1"/>
  <c r="AN169" i="7"/>
  <c r="AN169" i="3" s="1"/>
  <c r="AS30" i="3"/>
  <c r="AS306" i="7"/>
  <c r="AS306" i="3" s="1"/>
  <c r="AS168" i="7"/>
  <c r="AS168" i="3" s="1"/>
  <c r="AC30" i="3"/>
  <c r="AC306" i="7"/>
  <c r="AC306" i="3" s="1"/>
  <c r="AC168" i="7"/>
  <c r="AC168" i="3" s="1"/>
  <c r="AH29" i="3"/>
  <c r="AH305" i="7"/>
  <c r="AH305" i="3" s="1"/>
  <c r="AH167" i="7"/>
  <c r="AH167" i="3" s="1"/>
  <c r="AM28" i="3"/>
  <c r="AM304" i="7"/>
  <c r="AM304" i="3" s="1"/>
  <c r="AM166" i="7"/>
  <c r="AM166" i="3" s="1"/>
  <c r="AR27" i="3"/>
  <c r="AR303" i="7"/>
  <c r="AR303" i="3" s="1"/>
  <c r="AR165" i="7"/>
  <c r="AR165" i="3" s="1"/>
  <c r="AW26" i="3"/>
  <c r="AW302" i="7"/>
  <c r="AW302" i="3" s="1"/>
  <c r="AW164" i="7"/>
  <c r="AW164" i="3" s="1"/>
  <c r="AG26" i="3"/>
  <c r="AG302" i="7"/>
  <c r="AG302" i="3" s="1"/>
  <c r="AG164" i="7"/>
  <c r="AG164" i="3" s="1"/>
  <c r="AL25" i="3"/>
  <c r="AL301" i="7"/>
  <c r="AL301" i="3" s="1"/>
  <c r="AL163" i="7"/>
  <c r="AL163" i="3" s="1"/>
  <c r="AQ24" i="3"/>
  <c r="AQ300" i="7"/>
  <c r="AQ300" i="3" s="1"/>
  <c r="AQ162" i="7"/>
  <c r="AQ162" i="3" s="1"/>
  <c r="AV23" i="3"/>
  <c r="AV299" i="7"/>
  <c r="AV299" i="3" s="1"/>
  <c r="AV161" i="7"/>
  <c r="AV161" i="3" s="1"/>
  <c r="AF23" i="3"/>
  <c r="AF299" i="7"/>
  <c r="AF299" i="3" s="1"/>
  <c r="AF161" i="7"/>
  <c r="AF161" i="3" s="1"/>
  <c r="AK22" i="3"/>
  <c r="AK298" i="7"/>
  <c r="AK298" i="3" s="1"/>
  <c r="AK160" i="7"/>
  <c r="AK160" i="3" s="1"/>
  <c r="AP21" i="3"/>
  <c r="AP297" i="7"/>
  <c r="AP297" i="3" s="1"/>
  <c r="AP159" i="7"/>
  <c r="AP159" i="3" s="1"/>
  <c r="AU20" i="3"/>
  <c r="AU296" i="7"/>
  <c r="AU296" i="3" s="1"/>
  <c r="AU158" i="7"/>
  <c r="AU158" i="3" s="1"/>
  <c r="AE20" i="3"/>
  <c r="AE296" i="7"/>
  <c r="AE296" i="3" s="1"/>
  <c r="AE158" i="7"/>
  <c r="AE158" i="3" s="1"/>
  <c r="AJ19" i="3"/>
  <c r="AJ295" i="7"/>
  <c r="AJ295" i="3" s="1"/>
  <c r="AJ157" i="7"/>
  <c r="AJ157" i="3" s="1"/>
  <c r="AO18" i="3"/>
  <c r="AO294" i="7"/>
  <c r="AO294" i="3" s="1"/>
  <c r="AO156" i="7"/>
  <c r="AO156" i="3" s="1"/>
  <c r="AT17" i="3"/>
  <c r="AT293" i="7"/>
  <c r="AT293" i="3" s="1"/>
  <c r="AT155" i="7"/>
  <c r="AT155" i="3" s="1"/>
  <c r="AD17" i="3"/>
  <c r="AD293" i="7"/>
  <c r="AD293" i="3" s="1"/>
  <c r="AD155" i="7"/>
  <c r="AD155" i="3" s="1"/>
  <c r="AI16" i="3"/>
  <c r="AI292" i="7"/>
  <c r="AI292" i="3" s="1"/>
  <c r="AI154" i="7"/>
  <c r="AI154" i="3" s="1"/>
  <c r="AN15" i="3"/>
  <c r="AN291" i="7"/>
  <c r="AN291" i="3" s="1"/>
  <c r="AN153" i="7"/>
  <c r="AN153" i="3" s="1"/>
  <c r="AS14" i="3"/>
  <c r="AS290" i="7"/>
  <c r="AS290" i="3" s="1"/>
  <c r="AS152" i="7"/>
  <c r="AS152" i="3" s="1"/>
  <c r="AC14" i="3"/>
  <c r="AC290" i="7"/>
  <c r="AC290" i="3" s="1"/>
  <c r="AC152" i="7"/>
  <c r="AC152" i="3" s="1"/>
  <c r="AH13" i="3"/>
  <c r="AH289" i="7"/>
  <c r="AH289" i="3" s="1"/>
  <c r="AH151" i="7"/>
  <c r="AH151" i="3" s="1"/>
  <c r="AM12" i="3"/>
  <c r="AM288" i="7"/>
  <c r="AM288" i="3" s="1"/>
  <c r="AM150" i="7"/>
  <c r="AM150" i="3" s="1"/>
  <c r="AR11" i="3"/>
  <c r="AR287" i="7"/>
  <c r="AR287" i="3" s="1"/>
  <c r="AR149" i="7"/>
  <c r="AR149" i="3" s="1"/>
  <c r="AW10" i="3"/>
  <c r="AW286" i="7"/>
  <c r="AW286" i="3" s="1"/>
  <c r="AW148" i="7"/>
  <c r="AW148" i="3" s="1"/>
  <c r="AG10" i="3"/>
  <c r="AG286" i="7"/>
  <c r="AG286" i="3" s="1"/>
  <c r="AG148" i="7"/>
  <c r="AG148" i="3" s="1"/>
  <c r="AL9" i="3"/>
  <c r="AL285" i="7"/>
  <c r="AL285" i="3" s="1"/>
  <c r="AL147" i="7"/>
  <c r="AL147" i="3" s="1"/>
  <c r="AQ8" i="3"/>
  <c r="AQ284" i="7"/>
  <c r="AQ284" i="3" s="1"/>
  <c r="AQ146" i="7"/>
  <c r="AQ146" i="3" s="1"/>
  <c r="AV7" i="3"/>
  <c r="AV283" i="7"/>
  <c r="AV283" i="3" s="1"/>
  <c r="AV145" i="7"/>
  <c r="AV145" i="3" s="1"/>
  <c r="AF7" i="3"/>
  <c r="AF283" i="7"/>
  <c r="AF283" i="3" s="1"/>
  <c r="AF145" i="7"/>
  <c r="AF145" i="3" s="1"/>
  <c r="AK6" i="3"/>
  <c r="AK282" i="7"/>
  <c r="AK282" i="3" s="1"/>
  <c r="AK144" i="7"/>
  <c r="AK144" i="3" s="1"/>
  <c r="AP5" i="3"/>
  <c r="AP281" i="7"/>
  <c r="AP281" i="3" s="1"/>
  <c r="AP143" i="7"/>
  <c r="AP143" i="3" s="1"/>
  <c r="AU4" i="3"/>
  <c r="AU280" i="7"/>
  <c r="AU280" i="3" s="1"/>
  <c r="AU142" i="7"/>
  <c r="AU142" i="3" s="1"/>
  <c r="AE4" i="3"/>
  <c r="AE280" i="7"/>
  <c r="AE280" i="3" s="1"/>
  <c r="AE142" i="7"/>
  <c r="AE142" i="3" s="1"/>
  <c r="AJ3" i="3"/>
  <c r="AJ279" i="7"/>
  <c r="AJ279" i="3" s="1"/>
  <c r="AJ141" i="7"/>
  <c r="AJ141" i="3" s="1"/>
  <c r="AO137" i="3"/>
  <c r="AO413" i="7"/>
  <c r="AO413" i="3" s="1"/>
  <c r="AT136" i="3"/>
  <c r="AT412" i="7"/>
  <c r="AT412" i="3" s="1"/>
  <c r="AT274" i="7"/>
  <c r="AT274" i="3" s="1"/>
  <c r="AD136" i="3"/>
  <c r="AD412" i="7"/>
  <c r="AD412" i="3" s="1"/>
  <c r="AD274" i="7"/>
  <c r="AD274" i="3" s="1"/>
  <c r="AI135" i="3"/>
  <c r="AI411" i="7"/>
  <c r="AI411" i="3" s="1"/>
  <c r="AI273" i="7"/>
  <c r="AI273" i="3" s="1"/>
  <c r="AN134" i="3"/>
  <c r="AN410" i="7"/>
  <c r="AN410" i="3" s="1"/>
  <c r="AN272" i="7"/>
  <c r="AN272" i="3" s="1"/>
  <c r="J229" i="7"/>
  <c r="J229" i="3" s="1"/>
  <c r="K184" i="7"/>
  <c r="AY184" i="3" s="1"/>
  <c r="H89" i="3"/>
  <c r="H227" i="7"/>
  <c r="H365" i="7"/>
  <c r="AJ113" i="9"/>
  <c r="AY113" i="3"/>
  <c r="O163" i="11"/>
  <c r="E163" i="11"/>
  <c r="K389" i="7"/>
  <c r="AY389" i="3" s="1"/>
  <c r="K251" i="7"/>
  <c r="AY251" i="3" s="1"/>
  <c r="H103" i="3"/>
  <c r="H241" i="7"/>
  <c r="H379" i="7"/>
  <c r="H7" i="3"/>
  <c r="H145" i="7"/>
  <c r="H283" i="7"/>
  <c r="D43" i="11"/>
  <c r="J30" i="3"/>
  <c r="J306" i="7"/>
  <c r="J306" i="3" s="1"/>
  <c r="J168" i="7"/>
  <c r="J168" i="3" s="1"/>
  <c r="D152" i="11"/>
  <c r="J107" i="3"/>
  <c r="J383" i="7"/>
  <c r="J383" i="3" s="1"/>
  <c r="I83" i="3"/>
  <c r="P116" i="11"/>
  <c r="AJ60" i="9"/>
  <c r="O88" i="11"/>
  <c r="AY60" i="3"/>
  <c r="E88" i="11"/>
  <c r="K336" i="7"/>
  <c r="AY336" i="3" s="1"/>
  <c r="K198" i="7"/>
  <c r="AY198" i="3" s="1"/>
  <c r="H127" i="3"/>
  <c r="H403" i="7"/>
  <c r="H265" i="7"/>
  <c r="H95" i="3"/>
  <c r="H371" i="7"/>
  <c r="H233" i="7"/>
  <c r="H63" i="3"/>
  <c r="H339" i="7"/>
  <c r="H201" i="7"/>
  <c r="H31" i="3"/>
  <c r="H307" i="7"/>
  <c r="H169" i="7"/>
  <c r="H15" i="3"/>
  <c r="H291" i="7"/>
  <c r="H153" i="7"/>
  <c r="D172" i="11"/>
  <c r="J118" i="3"/>
  <c r="J394" i="7"/>
  <c r="J394" i="3" s="1"/>
  <c r="J256" i="7"/>
  <c r="J256" i="3" s="1"/>
  <c r="D145" i="11"/>
  <c r="J102" i="3"/>
  <c r="J378" i="7"/>
  <c r="J378" i="3" s="1"/>
  <c r="J240" i="7"/>
  <c r="J240" i="3" s="1"/>
  <c r="D119" i="11"/>
  <c r="J86" i="3"/>
  <c r="J362" i="7"/>
  <c r="J362" i="3" s="1"/>
  <c r="J224" i="7"/>
  <c r="J224" i="3" s="1"/>
  <c r="D100" i="11"/>
  <c r="J70" i="3"/>
  <c r="J346" i="7"/>
  <c r="J346" i="3" s="1"/>
  <c r="J208" i="7"/>
  <c r="J208" i="3" s="1"/>
  <c r="D77" i="11"/>
  <c r="J54" i="3"/>
  <c r="J330" i="7"/>
  <c r="J330" i="3" s="1"/>
  <c r="J192" i="7"/>
  <c r="J192" i="3" s="1"/>
  <c r="D57" i="11"/>
  <c r="J38" i="3"/>
  <c r="J314" i="7"/>
  <c r="J314" i="3" s="1"/>
  <c r="J176" i="7"/>
  <c r="J176" i="3" s="1"/>
  <c r="D34" i="11"/>
  <c r="J22" i="3"/>
  <c r="J298" i="7"/>
  <c r="J298" i="3" s="1"/>
  <c r="J160" i="7"/>
  <c r="J160" i="3" s="1"/>
  <c r="D10" i="11"/>
  <c r="J6" i="3"/>
  <c r="J282" i="7"/>
  <c r="J282" i="3" s="1"/>
  <c r="J144" i="7"/>
  <c r="J144" i="3" s="1"/>
  <c r="I126" i="3"/>
  <c r="P181" i="11"/>
  <c r="I110" i="3"/>
  <c r="P157" i="11"/>
  <c r="I94" i="3"/>
  <c r="P175" i="11"/>
  <c r="I29" i="3"/>
  <c r="P51" i="11"/>
  <c r="I13" i="3"/>
  <c r="P23" i="11"/>
  <c r="W4" i="10" s="1"/>
  <c r="W96" i="9" s="1"/>
  <c r="AJ135" i="9"/>
  <c r="O195" i="11"/>
  <c r="AY135" i="3"/>
  <c r="E195" i="11"/>
  <c r="K411" i="7"/>
  <c r="AY411" i="3" s="1"/>
  <c r="K273" i="7"/>
  <c r="AY273" i="3" s="1"/>
  <c r="AJ119" i="9"/>
  <c r="AY119" i="3"/>
  <c r="O173" i="11"/>
  <c r="E173" i="11"/>
  <c r="K119" i="3"/>
  <c r="K395" i="7"/>
  <c r="K257" i="7"/>
  <c r="AJ103" i="9"/>
  <c r="O146" i="11"/>
  <c r="AY103" i="3"/>
  <c r="E146" i="11"/>
  <c r="K379" i="7"/>
  <c r="AY379" i="3" s="1"/>
  <c r="K241" i="7"/>
  <c r="AY241" i="3" s="1"/>
  <c r="AJ87" i="9"/>
  <c r="O120" i="11"/>
  <c r="AY87" i="3"/>
  <c r="E120" i="11"/>
  <c r="K87" i="3"/>
  <c r="K363" i="7"/>
  <c r="K225" i="7"/>
  <c r="AJ71" i="9"/>
  <c r="AY71" i="3"/>
  <c r="O101" i="11"/>
  <c r="E101" i="11"/>
  <c r="K347" i="7"/>
  <c r="AY347" i="3" s="1"/>
  <c r="K209" i="7"/>
  <c r="AY209" i="3" s="1"/>
  <c r="AJ55" i="9"/>
  <c r="AY55" i="3"/>
  <c r="O78" i="11"/>
  <c r="E78" i="11"/>
  <c r="K55" i="3"/>
  <c r="K331" i="7"/>
  <c r="K193" i="7"/>
  <c r="AJ39" i="9"/>
  <c r="O58" i="11"/>
  <c r="AY39" i="3"/>
  <c r="E58" i="11"/>
  <c r="K39" i="3"/>
  <c r="K315" i="7"/>
  <c r="K177" i="7"/>
  <c r="AJ23" i="9"/>
  <c r="O35" i="11"/>
  <c r="AY23" i="3"/>
  <c r="E35" i="11"/>
  <c r="K299" i="7"/>
  <c r="AY299" i="3" s="1"/>
  <c r="K161" i="7"/>
  <c r="AY161" i="3" s="1"/>
  <c r="AJ7" i="9"/>
  <c r="AY7" i="3"/>
  <c r="O11" i="11"/>
  <c r="E11" i="11"/>
  <c r="K7" i="3"/>
  <c r="K283" i="7"/>
  <c r="K145" i="7"/>
  <c r="L26" i="3"/>
  <c r="L302" i="7"/>
  <c r="L302" i="3" s="1"/>
  <c r="L164" i="7"/>
  <c r="L164" i="3" s="1"/>
  <c r="L10" i="3"/>
  <c r="L286" i="7"/>
  <c r="L286" i="3" s="1"/>
  <c r="L148" i="7"/>
  <c r="L148" i="3" s="1"/>
  <c r="L129" i="3"/>
  <c r="L405" i="7"/>
  <c r="L405" i="3" s="1"/>
  <c r="L267" i="7"/>
  <c r="L267" i="3" s="1"/>
  <c r="L113" i="3"/>
  <c r="L389" i="7"/>
  <c r="L389" i="3" s="1"/>
  <c r="L251" i="7"/>
  <c r="L251" i="3" s="1"/>
  <c r="L97" i="3"/>
  <c r="L373" i="7"/>
  <c r="L373" i="3" s="1"/>
  <c r="L235" i="7"/>
  <c r="L235" i="3" s="1"/>
  <c r="L81" i="3"/>
  <c r="L357" i="7"/>
  <c r="L357" i="3" s="1"/>
  <c r="L219" i="7"/>
  <c r="L219" i="3" s="1"/>
  <c r="L65" i="3"/>
  <c r="L341" i="7"/>
  <c r="L341" i="3" s="1"/>
  <c r="L203" i="7"/>
  <c r="L203" i="3" s="1"/>
  <c r="L49" i="3"/>
  <c r="L325" i="7"/>
  <c r="L325" i="3" s="1"/>
  <c r="L187" i="7"/>
  <c r="L187" i="3" s="1"/>
  <c r="AU2" i="3"/>
  <c r="AU278" i="7"/>
  <c r="AU140" i="7"/>
  <c r="AU140" i="3" s="1"/>
  <c r="AE2" i="3"/>
  <c r="AE278" i="7"/>
  <c r="AE140" i="7"/>
  <c r="AE140" i="3" s="1"/>
  <c r="AI311" i="7"/>
  <c r="AI173" i="7"/>
  <c r="AN34" i="3"/>
  <c r="AN310" i="7"/>
  <c r="AN310" i="3" s="1"/>
  <c r="AN172" i="7"/>
  <c r="AN172" i="3" s="1"/>
  <c r="AS33" i="3"/>
  <c r="AS309" i="7"/>
  <c r="AS309" i="3" s="1"/>
  <c r="AS171" i="7"/>
  <c r="AS171" i="3" s="1"/>
  <c r="AC33" i="3"/>
  <c r="AC309" i="7"/>
  <c r="AC309" i="3" s="1"/>
  <c r="AC171" i="7"/>
  <c r="AC171" i="3" s="1"/>
  <c r="AH32" i="3"/>
  <c r="AH308" i="7"/>
  <c r="AH308" i="3" s="1"/>
  <c r="AH170" i="7"/>
  <c r="AH170" i="3" s="1"/>
  <c r="AM31" i="3"/>
  <c r="AM307" i="7"/>
  <c r="AM307" i="3" s="1"/>
  <c r="AM169" i="7"/>
  <c r="AM169" i="3" s="1"/>
  <c r="AR30" i="3"/>
  <c r="AR306" i="7"/>
  <c r="AR306" i="3" s="1"/>
  <c r="AR168" i="7"/>
  <c r="AR168" i="3" s="1"/>
  <c r="AW29" i="3"/>
  <c r="AW305" i="7"/>
  <c r="AW305" i="3" s="1"/>
  <c r="AW167" i="7"/>
  <c r="AW167" i="3" s="1"/>
  <c r="AG29" i="3"/>
  <c r="AG305" i="7"/>
  <c r="AG305" i="3" s="1"/>
  <c r="AG167" i="7"/>
  <c r="AG167" i="3" s="1"/>
  <c r="AL28" i="3"/>
  <c r="AL304" i="7"/>
  <c r="AL304" i="3" s="1"/>
  <c r="AL166" i="7"/>
  <c r="AL166" i="3" s="1"/>
  <c r="AQ27" i="3"/>
  <c r="AQ303" i="7"/>
  <c r="AQ303" i="3" s="1"/>
  <c r="AQ165" i="7"/>
  <c r="AQ165" i="3" s="1"/>
  <c r="AV26" i="3"/>
  <c r="AV302" i="7"/>
  <c r="AV302" i="3" s="1"/>
  <c r="AV164" i="7"/>
  <c r="AV164" i="3" s="1"/>
  <c r="AF26" i="3"/>
  <c r="AF302" i="7"/>
  <c r="AF302" i="3" s="1"/>
  <c r="AF164" i="7"/>
  <c r="AF164" i="3" s="1"/>
  <c r="AK25" i="3"/>
  <c r="AK301" i="7"/>
  <c r="AK301" i="3" s="1"/>
  <c r="AK163" i="7"/>
  <c r="AK163" i="3" s="1"/>
  <c r="AP24" i="3"/>
  <c r="AP300" i="7"/>
  <c r="AP300" i="3" s="1"/>
  <c r="AP162" i="7"/>
  <c r="AP162" i="3" s="1"/>
  <c r="AU23" i="3"/>
  <c r="AU299" i="7"/>
  <c r="AU299" i="3" s="1"/>
  <c r="AU161" i="7"/>
  <c r="AU161" i="3" s="1"/>
  <c r="AE23" i="3"/>
  <c r="AE299" i="7"/>
  <c r="AE299" i="3" s="1"/>
  <c r="AE161" i="7"/>
  <c r="AE161" i="3" s="1"/>
  <c r="AJ22" i="3"/>
  <c r="AJ298" i="7"/>
  <c r="AJ298" i="3" s="1"/>
  <c r="AJ160" i="7"/>
  <c r="AJ160" i="3" s="1"/>
  <c r="AO21" i="3"/>
  <c r="AO297" i="7"/>
  <c r="AO297" i="3" s="1"/>
  <c r="AO159" i="7"/>
  <c r="AO159" i="3" s="1"/>
  <c r="AT20" i="3"/>
  <c r="AT296" i="7"/>
  <c r="AT296" i="3" s="1"/>
  <c r="AT158" i="7"/>
  <c r="AT158" i="3" s="1"/>
  <c r="AD20" i="3"/>
  <c r="AD296" i="7"/>
  <c r="AD296" i="3" s="1"/>
  <c r="AD158" i="7"/>
  <c r="AD158" i="3" s="1"/>
  <c r="AI19" i="3"/>
  <c r="AI295" i="7"/>
  <c r="AI295" i="3" s="1"/>
  <c r="AI157" i="7"/>
  <c r="AI157" i="3" s="1"/>
  <c r="AN18" i="3"/>
  <c r="AN294" i="7"/>
  <c r="AN294" i="3" s="1"/>
  <c r="AN156" i="7"/>
  <c r="AN156" i="3" s="1"/>
  <c r="AS17" i="3"/>
  <c r="AS293" i="7"/>
  <c r="AS293" i="3" s="1"/>
  <c r="AS155" i="7"/>
  <c r="AS155" i="3" s="1"/>
  <c r="AC17" i="3"/>
  <c r="AC293" i="7"/>
  <c r="AC293" i="3" s="1"/>
  <c r="AC155" i="7"/>
  <c r="AC155" i="3" s="1"/>
  <c r="AH16" i="3"/>
  <c r="AH292" i="7"/>
  <c r="AH292" i="3" s="1"/>
  <c r="AH154" i="7"/>
  <c r="AH154" i="3" s="1"/>
  <c r="AM15" i="3"/>
  <c r="AM291" i="7"/>
  <c r="AM291" i="3" s="1"/>
  <c r="AM153" i="7"/>
  <c r="AM153" i="3" s="1"/>
  <c r="AR14" i="3"/>
  <c r="AR290" i="7"/>
  <c r="AR290" i="3" s="1"/>
  <c r="AR152" i="7"/>
  <c r="AR152" i="3" s="1"/>
  <c r="AW13" i="3"/>
  <c r="AW289" i="7"/>
  <c r="AW289" i="3" s="1"/>
  <c r="AW151" i="7"/>
  <c r="AW151" i="3" s="1"/>
  <c r="AG13" i="3"/>
  <c r="AG289" i="7"/>
  <c r="AG289" i="3" s="1"/>
  <c r="AG151" i="7"/>
  <c r="AG151" i="3" s="1"/>
  <c r="AL12" i="3"/>
  <c r="AL288" i="7"/>
  <c r="AL288" i="3" s="1"/>
  <c r="AL150" i="7"/>
  <c r="AL150" i="3" s="1"/>
  <c r="AQ11" i="3"/>
  <c r="AQ287" i="7"/>
  <c r="AQ287" i="3" s="1"/>
  <c r="AQ149" i="7"/>
  <c r="AQ149" i="3" s="1"/>
  <c r="AV10" i="3"/>
  <c r="AV286" i="7"/>
  <c r="AV286" i="3" s="1"/>
  <c r="AV148" i="7"/>
  <c r="AV148" i="3" s="1"/>
  <c r="AF10" i="3"/>
  <c r="AF286" i="7"/>
  <c r="AF286" i="3" s="1"/>
  <c r="AF148" i="7"/>
  <c r="AF148" i="3" s="1"/>
  <c r="AK9" i="3"/>
  <c r="AK285" i="7"/>
  <c r="AK285" i="3" s="1"/>
  <c r="AK147" i="7"/>
  <c r="AK147" i="3" s="1"/>
  <c r="AP8" i="3"/>
  <c r="AP284" i="7"/>
  <c r="AP284" i="3" s="1"/>
  <c r="AP146" i="7"/>
  <c r="AP146" i="3" s="1"/>
  <c r="AU7" i="3"/>
  <c r="AU283" i="7"/>
  <c r="AU283" i="3" s="1"/>
  <c r="AU145" i="7"/>
  <c r="AU145" i="3" s="1"/>
  <c r="AE7" i="3"/>
  <c r="AE283" i="7"/>
  <c r="AE283" i="3" s="1"/>
  <c r="AE145" i="7"/>
  <c r="AE145" i="3" s="1"/>
  <c r="AJ6" i="3"/>
  <c r="AJ282" i="7"/>
  <c r="AJ282" i="3" s="1"/>
  <c r="AJ144" i="7"/>
  <c r="AJ144" i="3" s="1"/>
  <c r="AO5" i="3"/>
  <c r="AO281" i="7"/>
  <c r="AO281" i="3" s="1"/>
  <c r="AO143" i="7"/>
  <c r="AO143" i="3" s="1"/>
  <c r="AT4" i="3"/>
  <c r="AT280" i="7"/>
  <c r="AT280" i="3" s="1"/>
  <c r="AT142" i="7"/>
  <c r="AT142" i="3" s="1"/>
  <c r="AD4" i="3"/>
  <c r="AD280" i="7"/>
  <c r="AD280" i="3" s="1"/>
  <c r="AD142" i="7"/>
  <c r="AD142" i="3" s="1"/>
  <c r="AI3" i="3"/>
  <c r="AI279" i="7"/>
  <c r="AI279" i="3" s="1"/>
  <c r="AI141" i="7"/>
  <c r="AI141" i="3" s="1"/>
  <c r="AN137" i="3"/>
  <c r="AN413" i="7"/>
  <c r="AN413" i="3" s="1"/>
  <c r="AN275" i="7"/>
  <c r="AN275" i="3" s="1"/>
  <c r="AS136" i="3"/>
  <c r="AS412" i="7"/>
  <c r="AS412" i="3" s="1"/>
  <c r="AS274" i="7"/>
  <c r="AS274" i="3" s="1"/>
  <c r="AC136" i="3"/>
  <c r="AC412" i="7"/>
  <c r="AC412" i="3" s="1"/>
  <c r="AC274" i="7"/>
  <c r="AC274" i="3" s="1"/>
  <c r="AH135" i="3"/>
  <c r="AH411" i="7"/>
  <c r="AH411" i="3" s="1"/>
  <c r="AH273" i="7"/>
  <c r="AH273" i="3" s="1"/>
  <c r="AM134" i="3"/>
  <c r="AM410" i="7"/>
  <c r="AM410" i="3" s="1"/>
  <c r="AM272" i="7"/>
  <c r="AM272" i="3" s="1"/>
  <c r="J213" i="7"/>
  <c r="J213" i="3" s="1"/>
  <c r="K166" i="7"/>
  <c r="AY166" i="3" s="1"/>
  <c r="D157" i="11"/>
  <c r="J110" i="3"/>
  <c r="J386" i="7"/>
  <c r="J386" i="3" s="1"/>
  <c r="J248" i="7"/>
  <c r="J248" i="3" s="1"/>
  <c r="I21" i="3"/>
  <c r="P33" i="11"/>
  <c r="H52" i="3"/>
  <c r="H190" i="7"/>
  <c r="H328" i="7"/>
  <c r="I269" i="7"/>
  <c r="P191" i="11"/>
  <c r="AJ76" i="9"/>
  <c r="O108" i="11"/>
  <c r="AY76" i="3"/>
  <c r="E108" i="11"/>
  <c r="K352" i="7"/>
  <c r="AY352" i="3" s="1"/>
  <c r="K214" i="7"/>
  <c r="AY214" i="3" s="1"/>
  <c r="H111" i="3"/>
  <c r="H387" i="7"/>
  <c r="H249" i="7"/>
  <c r="H79" i="3"/>
  <c r="H355" i="7"/>
  <c r="H217" i="7"/>
  <c r="H47" i="3"/>
  <c r="H323" i="7"/>
  <c r="H185" i="7"/>
  <c r="D194" i="11"/>
  <c r="J134" i="3"/>
  <c r="J410" i="7"/>
  <c r="J410" i="3" s="1"/>
  <c r="J272" i="7"/>
  <c r="J272" i="3" s="1"/>
  <c r="H402" i="7"/>
  <c r="H126" i="3"/>
  <c r="H264" i="7"/>
  <c r="H110" i="3"/>
  <c r="H386" i="7"/>
  <c r="H248" i="7"/>
  <c r="H94" i="3"/>
  <c r="H370" i="7"/>
  <c r="H232" i="7"/>
  <c r="H78" i="3"/>
  <c r="H354" i="7"/>
  <c r="H216" i="7"/>
  <c r="H62" i="3"/>
  <c r="H338" i="7"/>
  <c r="H200" i="7"/>
  <c r="H46" i="3"/>
  <c r="H322" i="7"/>
  <c r="H184" i="7"/>
  <c r="H30" i="3"/>
  <c r="H306" i="7"/>
  <c r="H168" i="7"/>
  <c r="H14" i="3"/>
  <c r="H290" i="7"/>
  <c r="H152" i="7"/>
  <c r="D193" i="11"/>
  <c r="J133" i="3"/>
  <c r="J409" i="7"/>
  <c r="J409" i="3" s="1"/>
  <c r="J271" i="7"/>
  <c r="J271" i="3" s="1"/>
  <c r="D168" i="11"/>
  <c r="J117" i="3"/>
  <c r="J393" i="7"/>
  <c r="J393" i="3" s="1"/>
  <c r="J255" i="7"/>
  <c r="J255" i="3" s="1"/>
  <c r="D144" i="11"/>
  <c r="J101" i="3"/>
  <c r="J377" i="7"/>
  <c r="J377" i="3" s="1"/>
  <c r="J239" i="7"/>
  <c r="J239" i="3" s="1"/>
  <c r="D118" i="11"/>
  <c r="J85" i="3"/>
  <c r="J361" i="7"/>
  <c r="J361" i="3" s="1"/>
  <c r="J223" i="7"/>
  <c r="J223" i="3" s="1"/>
  <c r="D99" i="11"/>
  <c r="J69" i="3"/>
  <c r="J345" i="7"/>
  <c r="J345" i="3" s="1"/>
  <c r="J207" i="7"/>
  <c r="J207" i="3" s="1"/>
  <c r="D76" i="11"/>
  <c r="J53" i="3"/>
  <c r="J329" i="7"/>
  <c r="J329" i="3" s="1"/>
  <c r="J191" i="7"/>
  <c r="J191" i="3" s="1"/>
  <c r="D56" i="11"/>
  <c r="J37" i="3"/>
  <c r="J313" i="7"/>
  <c r="J313" i="3" s="1"/>
  <c r="J175" i="7"/>
  <c r="J175" i="3" s="1"/>
  <c r="D33" i="11"/>
  <c r="J21" i="3"/>
  <c r="J297" i="7"/>
  <c r="J297" i="3" s="1"/>
  <c r="J159" i="7"/>
  <c r="J159" i="3" s="1"/>
  <c r="D8" i="11"/>
  <c r="J5" i="3"/>
  <c r="J281" i="7"/>
  <c r="J281" i="3" s="1"/>
  <c r="J143" i="7"/>
  <c r="J143" i="3" s="1"/>
  <c r="I125" i="3"/>
  <c r="P180" i="11"/>
  <c r="I109" i="3"/>
  <c r="P155" i="11"/>
  <c r="I93" i="3"/>
  <c r="P128" i="11"/>
  <c r="I353" i="7"/>
  <c r="P110" i="11"/>
  <c r="I61" i="3"/>
  <c r="P90" i="11"/>
  <c r="I45" i="3"/>
  <c r="P66" i="11"/>
  <c r="AJ134" i="9"/>
  <c r="O194" i="11"/>
  <c r="AY134" i="3"/>
  <c r="E194" i="11"/>
  <c r="K134" i="3"/>
  <c r="K410" i="7"/>
  <c r="K272" i="7"/>
  <c r="AJ118" i="9"/>
  <c r="AY118" i="3"/>
  <c r="O172" i="11"/>
  <c r="E172" i="11"/>
  <c r="K394" i="7"/>
  <c r="AY394" i="3" s="1"/>
  <c r="K256" i="7"/>
  <c r="AY256" i="3" s="1"/>
  <c r="AJ102" i="9"/>
  <c r="O145" i="11"/>
  <c r="AY102" i="3"/>
  <c r="E145" i="11"/>
  <c r="K378" i="7"/>
  <c r="AY378" i="3" s="1"/>
  <c r="K240" i="7"/>
  <c r="AY240" i="3" s="1"/>
  <c r="AJ86" i="9"/>
  <c r="O119" i="11"/>
  <c r="AY86" i="3"/>
  <c r="E119" i="11"/>
  <c r="K362" i="7"/>
  <c r="AY362" i="3" s="1"/>
  <c r="K224" i="7"/>
  <c r="AY224" i="3" s="1"/>
  <c r="AJ70" i="9"/>
  <c r="AY70" i="3"/>
  <c r="O100" i="11"/>
  <c r="E100" i="11"/>
  <c r="K346" i="7"/>
  <c r="AY346" i="3" s="1"/>
  <c r="AJ54" i="9"/>
  <c r="AY54" i="3"/>
  <c r="O77" i="11"/>
  <c r="E77" i="11"/>
  <c r="K330" i="7"/>
  <c r="AY330" i="3" s="1"/>
  <c r="K192" i="7"/>
  <c r="AY192" i="3" s="1"/>
  <c r="AJ38" i="9"/>
  <c r="O57" i="11"/>
  <c r="AY38" i="3"/>
  <c r="E57" i="11"/>
  <c r="K38" i="3"/>
  <c r="K314" i="7"/>
  <c r="K176" i="7"/>
  <c r="AJ22" i="9"/>
  <c r="O34" i="11"/>
  <c r="AY22" i="3"/>
  <c r="E34" i="11"/>
  <c r="K22" i="3"/>
  <c r="K298" i="7"/>
  <c r="K160" i="7"/>
  <c r="AJ6" i="9"/>
  <c r="O10" i="11"/>
  <c r="AY6" i="3"/>
  <c r="E10" i="11"/>
  <c r="K6" i="3"/>
  <c r="K282" i="7"/>
  <c r="K144" i="7"/>
  <c r="L25" i="3"/>
  <c r="L301" i="7"/>
  <c r="L301" i="3" s="1"/>
  <c r="L163" i="7"/>
  <c r="L163" i="3" s="1"/>
  <c r="L9" i="3"/>
  <c r="L285" i="7"/>
  <c r="L285" i="3" s="1"/>
  <c r="L147" i="7"/>
  <c r="L147" i="3" s="1"/>
  <c r="L128" i="3"/>
  <c r="L404" i="7"/>
  <c r="L404" i="3" s="1"/>
  <c r="L266" i="7"/>
  <c r="L266" i="3" s="1"/>
  <c r="L112" i="3"/>
  <c r="L388" i="7"/>
  <c r="L388" i="3" s="1"/>
  <c r="L250" i="7"/>
  <c r="L250" i="3" s="1"/>
  <c r="L96" i="3"/>
  <c r="L372" i="7"/>
  <c r="L372" i="3" s="1"/>
  <c r="L234" i="7"/>
  <c r="L234" i="3" s="1"/>
  <c r="L80" i="3"/>
  <c r="L356" i="7"/>
  <c r="L356" i="3" s="1"/>
  <c r="L218" i="7"/>
  <c r="L218" i="3" s="1"/>
  <c r="L64" i="3"/>
  <c r="L340" i="7"/>
  <c r="L340" i="3" s="1"/>
  <c r="L202" i="7"/>
  <c r="L202" i="3" s="1"/>
  <c r="L48" i="3"/>
  <c r="L324" i="7"/>
  <c r="L324" i="3" s="1"/>
  <c r="L186" i="7"/>
  <c r="L186" i="3" s="1"/>
  <c r="AT2" i="3"/>
  <c r="AT278" i="7"/>
  <c r="AT140" i="7"/>
  <c r="AT140" i="3" s="1"/>
  <c r="AD2" i="3"/>
  <c r="AD278" i="7"/>
  <c r="AD140" i="7"/>
  <c r="AD140" i="3" s="1"/>
  <c r="AH311" i="7"/>
  <c r="AH173" i="7"/>
  <c r="AM34" i="3"/>
  <c r="AM310" i="7"/>
  <c r="AM310" i="3" s="1"/>
  <c r="AM172" i="7"/>
  <c r="AM172" i="3" s="1"/>
  <c r="AR33" i="3"/>
  <c r="AR309" i="7"/>
  <c r="AR309" i="3" s="1"/>
  <c r="AR171" i="7"/>
  <c r="AR171" i="3" s="1"/>
  <c r="AW32" i="3"/>
  <c r="AW308" i="7"/>
  <c r="AW308" i="3" s="1"/>
  <c r="AW170" i="7"/>
  <c r="AW170" i="3" s="1"/>
  <c r="AG32" i="3"/>
  <c r="AG308" i="7"/>
  <c r="AG308" i="3" s="1"/>
  <c r="AG170" i="7"/>
  <c r="AG170" i="3" s="1"/>
  <c r="AL31" i="3"/>
  <c r="AL307" i="7"/>
  <c r="AL307" i="3" s="1"/>
  <c r="AL169" i="7"/>
  <c r="AL169" i="3" s="1"/>
  <c r="AQ30" i="3"/>
  <c r="AQ306" i="7"/>
  <c r="AQ306" i="3" s="1"/>
  <c r="AQ168" i="7"/>
  <c r="AQ168" i="3" s="1"/>
  <c r="AV29" i="3"/>
  <c r="AV305" i="7"/>
  <c r="AV305" i="3" s="1"/>
  <c r="AV167" i="7"/>
  <c r="AV167" i="3" s="1"/>
  <c r="AF29" i="3"/>
  <c r="AF305" i="7"/>
  <c r="AF305" i="3" s="1"/>
  <c r="AF167" i="7"/>
  <c r="AF167" i="3" s="1"/>
  <c r="AK28" i="3"/>
  <c r="AK304" i="7"/>
  <c r="AK304" i="3" s="1"/>
  <c r="AK166" i="7"/>
  <c r="AK166" i="3" s="1"/>
  <c r="AP27" i="3"/>
  <c r="AP303" i="7"/>
  <c r="AP303" i="3" s="1"/>
  <c r="AP165" i="7"/>
  <c r="AP165" i="3" s="1"/>
  <c r="AU26" i="3"/>
  <c r="AU302" i="7"/>
  <c r="AU302" i="3" s="1"/>
  <c r="AU164" i="7"/>
  <c r="AU164" i="3" s="1"/>
  <c r="AE26" i="3"/>
  <c r="AE302" i="7"/>
  <c r="AE302" i="3" s="1"/>
  <c r="AE164" i="7"/>
  <c r="AE164" i="3" s="1"/>
  <c r="AJ25" i="3"/>
  <c r="AJ301" i="7"/>
  <c r="AJ301" i="3" s="1"/>
  <c r="AJ163" i="7"/>
  <c r="AJ163" i="3" s="1"/>
  <c r="AO24" i="3"/>
  <c r="AO300" i="7"/>
  <c r="AO300" i="3" s="1"/>
  <c r="AO162" i="7"/>
  <c r="AO162" i="3" s="1"/>
  <c r="AT23" i="3"/>
  <c r="AT299" i="7"/>
  <c r="AT299" i="3" s="1"/>
  <c r="AT161" i="7"/>
  <c r="AT161" i="3" s="1"/>
  <c r="AD23" i="3"/>
  <c r="AD299" i="7"/>
  <c r="AD299" i="3" s="1"/>
  <c r="AD161" i="7"/>
  <c r="AD161" i="3" s="1"/>
  <c r="AI22" i="3"/>
  <c r="AI298" i="7"/>
  <c r="AI298" i="3" s="1"/>
  <c r="AI160" i="7"/>
  <c r="AI160" i="3" s="1"/>
  <c r="AN21" i="3"/>
  <c r="AN297" i="7"/>
  <c r="AN297" i="3" s="1"/>
  <c r="AN159" i="7"/>
  <c r="AN159" i="3" s="1"/>
  <c r="AS20" i="3"/>
  <c r="AS296" i="7"/>
  <c r="AS296" i="3" s="1"/>
  <c r="AS158" i="7"/>
  <c r="AS158" i="3" s="1"/>
  <c r="AC20" i="3"/>
  <c r="AC296" i="7"/>
  <c r="AC296" i="3" s="1"/>
  <c r="AC158" i="7"/>
  <c r="AC158" i="3" s="1"/>
  <c r="AH19" i="3"/>
  <c r="AH295" i="7"/>
  <c r="AH295" i="3" s="1"/>
  <c r="AH157" i="7"/>
  <c r="AH157" i="3" s="1"/>
  <c r="AM18" i="3"/>
  <c r="AM294" i="7"/>
  <c r="AM294" i="3" s="1"/>
  <c r="AM156" i="7"/>
  <c r="AM156" i="3" s="1"/>
  <c r="AR17" i="3"/>
  <c r="AR293" i="7"/>
  <c r="AR293" i="3" s="1"/>
  <c r="AR155" i="7"/>
  <c r="AR155" i="3" s="1"/>
  <c r="AW16" i="3"/>
  <c r="AW292" i="7"/>
  <c r="AW292" i="3" s="1"/>
  <c r="AW154" i="7"/>
  <c r="AW154" i="3" s="1"/>
  <c r="AG16" i="3"/>
  <c r="AG292" i="7"/>
  <c r="AG292" i="3" s="1"/>
  <c r="AG154" i="7"/>
  <c r="AG154" i="3" s="1"/>
  <c r="AL15" i="3"/>
  <c r="AL291" i="7"/>
  <c r="AL291" i="3" s="1"/>
  <c r="AL153" i="7"/>
  <c r="AL153" i="3" s="1"/>
  <c r="AQ14" i="3"/>
  <c r="AQ290" i="7"/>
  <c r="AQ290" i="3" s="1"/>
  <c r="AQ152" i="7"/>
  <c r="AQ152" i="3" s="1"/>
  <c r="AV13" i="3"/>
  <c r="AV289" i="7"/>
  <c r="AV289" i="3" s="1"/>
  <c r="AV151" i="7"/>
  <c r="AV151" i="3" s="1"/>
  <c r="AF13" i="3"/>
  <c r="AF289" i="7"/>
  <c r="AF289" i="3" s="1"/>
  <c r="AF151" i="7"/>
  <c r="AF151" i="3" s="1"/>
  <c r="AK12" i="3"/>
  <c r="AK288" i="7"/>
  <c r="AK288" i="3" s="1"/>
  <c r="AK150" i="7"/>
  <c r="AK150" i="3" s="1"/>
  <c r="AP11" i="3"/>
  <c r="AP287" i="7"/>
  <c r="AP287" i="3" s="1"/>
  <c r="AP149" i="7"/>
  <c r="AP149" i="3" s="1"/>
  <c r="AU10" i="3"/>
  <c r="AU286" i="7"/>
  <c r="AU286" i="3" s="1"/>
  <c r="AU148" i="7"/>
  <c r="AU148" i="3" s="1"/>
  <c r="AE10" i="3"/>
  <c r="AE286" i="7"/>
  <c r="AE286" i="3" s="1"/>
  <c r="AE148" i="7"/>
  <c r="AE148" i="3" s="1"/>
  <c r="AJ9" i="3"/>
  <c r="AJ285" i="7"/>
  <c r="AJ285" i="3" s="1"/>
  <c r="AJ147" i="7"/>
  <c r="AJ147" i="3" s="1"/>
  <c r="AO8" i="3"/>
  <c r="AO284" i="7"/>
  <c r="AO284" i="3" s="1"/>
  <c r="AO146" i="7"/>
  <c r="AO146" i="3" s="1"/>
  <c r="AT7" i="3"/>
  <c r="AT283" i="7"/>
  <c r="AT283" i="3" s="1"/>
  <c r="AT145" i="7"/>
  <c r="AT145" i="3" s="1"/>
  <c r="AD7" i="3"/>
  <c r="AD283" i="7"/>
  <c r="AD283" i="3" s="1"/>
  <c r="AD145" i="7"/>
  <c r="AD145" i="3" s="1"/>
  <c r="AI6" i="3"/>
  <c r="AI282" i="7"/>
  <c r="AI282" i="3" s="1"/>
  <c r="AI144" i="7"/>
  <c r="AI144" i="3" s="1"/>
  <c r="AN5" i="3"/>
  <c r="AN281" i="7"/>
  <c r="AN281" i="3" s="1"/>
  <c r="AN143" i="7"/>
  <c r="AN143" i="3" s="1"/>
  <c r="AS4" i="3"/>
  <c r="AS280" i="7"/>
  <c r="AS280" i="3" s="1"/>
  <c r="AS142" i="7"/>
  <c r="AS142" i="3" s="1"/>
  <c r="AC4" i="3"/>
  <c r="AC280" i="7"/>
  <c r="AC280" i="3" s="1"/>
  <c r="AC142" i="7"/>
  <c r="AC142" i="3" s="1"/>
  <c r="AH3" i="3"/>
  <c r="AH279" i="7"/>
  <c r="AH279" i="3" s="1"/>
  <c r="AH141" i="7"/>
  <c r="AH141" i="3" s="1"/>
  <c r="AM137" i="3"/>
  <c r="AM413" i="7"/>
  <c r="AM413" i="3" s="1"/>
  <c r="AM275" i="7"/>
  <c r="AM275" i="3" s="1"/>
  <c r="AR136" i="3"/>
  <c r="AR412" i="7"/>
  <c r="AR412" i="3" s="1"/>
  <c r="AR274" i="7"/>
  <c r="AR274" i="3" s="1"/>
  <c r="AW135" i="3"/>
  <c r="AW411" i="7"/>
  <c r="AW411" i="3" s="1"/>
  <c r="AW273" i="7"/>
  <c r="AW273" i="3" s="1"/>
  <c r="AG135" i="3"/>
  <c r="AG411" i="7"/>
  <c r="AG411" i="3" s="1"/>
  <c r="AG273" i="7"/>
  <c r="AG273" i="3" s="1"/>
  <c r="AL134" i="3"/>
  <c r="AL410" i="7"/>
  <c r="AL410" i="3" s="1"/>
  <c r="AL272" i="7"/>
  <c r="AL272" i="3" s="1"/>
  <c r="AQ133" i="3"/>
  <c r="AQ409" i="7"/>
  <c r="AQ409" i="3" s="1"/>
  <c r="AV132" i="3"/>
  <c r="AV408" i="7"/>
  <c r="AV408" i="3" s="1"/>
  <c r="AV270" i="7"/>
  <c r="AV270" i="3" s="1"/>
  <c r="AF132" i="3"/>
  <c r="AF408" i="7"/>
  <c r="AF408" i="3" s="1"/>
  <c r="AF270" i="7"/>
  <c r="AF270" i="3" s="1"/>
  <c r="AK131" i="3"/>
  <c r="AK407" i="7"/>
  <c r="AK407" i="3" s="1"/>
  <c r="AK269" i="7"/>
  <c r="AK269" i="3" s="1"/>
  <c r="AP130" i="3"/>
  <c r="AP406" i="7"/>
  <c r="AP406" i="3" s="1"/>
  <c r="AP268" i="7"/>
  <c r="AP268" i="3" s="1"/>
  <c r="AU129" i="3"/>
  <c r="AU405" i="7"/>
  <c r="AU405" i="3" s="1"/>
  <c r="AU267" i="7"/>
  <c r="AU267" i="3" s="1"/>
  <c r="AE129" i="3"/>
  <c r="AE405" i="7"/>
  <c r="AE405" i="3" s="1"/>
  <c r="AE267" i="7"/>
  <c r="AE267" i="3" s="1"/>
  <c r="AJ404" i="7"/>
  <c r="AJ266" i="7"/>
  <c r="AO127" i="3"/>
  <c r="AO403" i="7"/>
  <c r="AO403" i="3" s="1"/>
  <c r="AO265" i="7"/>
  <c r="AO265" i="3" s="1"/>
  <c r="AT126" i="3"/>
  <c r="AT402" i="7"/>
  <c r="AT402" i="3" s="1"/>
  <c r="AT264" i="7"/>
  <c r="AT264" i="3" s="1"/>
  <c r="AD126" i="3"/>
  <c r="AD402" i="7"/>
  <c r="AD402" i="3" s="1"/>
  <c r="AD264" i="7"/>
  <c r="AD264" i="3" s="1"/>
  <c r="AI125" i="3"/>
  <c r="AI401" i="7"/>
  <c r="AI401" i="3" s="1"/>
  <c r="AI263" i="7"/>
  <c r="AI263" i="3" s="1"/>
  <c r="AN124" i="3"/>
  <c r="AN400" i="7"/>
  <c r="AN400" i="3" s="1"/>
  <c r="AN262" i="7"/>
  <c r="AN262" i="3" s="1"/>
  <c r="AS123" i="3"/>
  <c r="AS399" i="7"/>
  <c r="AS399" i="3" s="1"/>
  <c r="AS261" i="7"/>
  <c r="AS261" i="3" s="1"/>
  <c r="AC123" i="3"/>
  <c r="AC399" i="7"/>
  <c r="AC399" i="3" s="1"/>
  <c r="AH122" i="3"/>
  <c r="AH398" i="7"/>
  <c r="AH398" i="3" s="1"/>
  <c r="AH260" i="7"/>
  <c r="AH260" i="3" s="1"/>
  <c r="AM121" i="3"/>
  <c r="AM397" i="7"/>
  <c r="AM397" i="3" s="1"/>
  <c r="AM259" i="7"/>
  <c r="AM259" i="3" s="1"/>
  <c r="AR120" i="3"/>
  <c r="AR396" i="7"/>
  <c r="AR396" i="3" s="1"/>
  <c r="AR258" i="7"/>
  <c r="AR258" i="3" s="1"/>
  <c r="AW119" i="3"/>
  <c r="AW395" i="7"/>
  <c r="AW395" i="3" s="1"/>
  <c r="AW257" i="7"/>
  <c r="AW257" i="3" s="1"/>
  <c r="AG119" i="3"/>
  <c r="AG395" i="7"/>
  <c r="AG395" i="3" s="1"/>
  <c r="AG257" i="7"/>
  <c r="AG257" i="3" s="1"/>
  <c r="J197" i="7"/>
  <c r="J197" i="3" s="1"/>
  <c r="K146" i="7"/>
  <c r="H259" i="7"/>
  <c r="H121" i="3"/>
  <c r="H397" i="7"/>
  <c r="H25" i="3"/>
  <c r="H163" i="7"/>
  <c r="H301" i="7"/>
  <c r="D93" i="11"/>
  <c r="J64" i="3"/>
  <c r="J340" i="7"/>
  <c r="J340" i="3" s="1"/>
  <c r="J202" i="7"/>
  <c r="J202" i="3" s="1"/>
  <c r="H206" i="7"/>
  <c r="H68" i="3"/>
  <c r="H344" i="7"/>
  <c r="D62" i="11"/>
  <c r="J43" i="3"/>
  <c r="J319" i="7"/>
  <c r="J319" i="3" s="1"/>
  <c r="L102" i="3"/>
  <c r="L378" i="7"/>
  <c r="L378" i="3" s="1"/>
  <c r="L240" i="7"/>
  <c r="L240" i="3" s="1"/>
  <c r="H77" i="3"/>
  <c r="H353" i="7"/>
  <c r="H215" i="7"/>
  <c r="H29" i="3"/>
  <c r="H305" i="7"/>
  <c r="H167" i="7"/>
  <c r="D192" i="11"/>
  <c r="J132" i="3"/>
  <c r="J408" i="7"/>
  <c r="J408" i="3" s="1"/>
  <c r="J270" i="7"/>
  <c r="J270" i="3" s="1"/>
  <c r="D167" i="11"/>
  <c r="J116" i="3"/>
  <c r="J392" i="7"/>
  <c r="J392" i="3" s="1"/>
  <c r="J254" i="7"/>
  <c r="J254" i="3" s="1"/>
  <c r="D138" i="11"/>
  <c r="J100" i="3"/>
  <c r="J376" i="7"/>
  <c r="J376" i="3" s="1"/>
  <c r="J238" i="7"/>
  <c r="J238" i="3" s="1"/>
  <c r="D117" i="11"/>
  <c r="J84" i="3"/>
  <c r="J360" i="7"/>
  <c r="J360" i="3" s="1"/>
  <c r="J222" i="7"/>
  <c r="J222" i="3" s="1"/>
  <c r="D98" i="11"/>
  <c r="J68" i="3"/>
  <c r="J344" i="7"/>
  <c r="J344" i="3" s="1"/>
  <c r="J206" i="7"/>
  <c r="J206" i="3" s="1"/>
  <c r="D75" i="11"/>
  <c r="J52" i="3"/>
  <c r="J328" i="7"/>
  <c r="J328" i="3" s="1"/>
  <c r="J190" i="7"/>
  <c r="J190" i="3" s="1"/>
  <c r="D55" i="11"/>
  <c r="J36" i="3"/>
  <c r="J312" i="7"/>
  <c r="J312" i="3" s="1"/>
  <c r="J174" i="7"/>
  <c r="J174" i="3" s="1"/>
  <c r="D31" i="11"/>
  <c r="J20" i="3"/>
  <c r="J296" i="7"/>
  <c r="J296" i="3" s="1"/>
  <c r="J158" i="7"/>
  <c r="J158" i="3" s="1"/>
  <c r="D6" i="11"/>
  <c r="J4" i="3"/>
  <c r="J280" i="7"/>
  <c r="J280" i="3" s="1"/>
  <c r="J142" i="7"/>
  <c r="J142" i="3" s="1"/>
  <c r="I262" i="7"/>
  <c r="P178" i="11"/>
  <c r="I230" i="7"/>
  <c r="P127" i="11"/>
  <c r="I198" i="7"/>
  <c r="P88" i="11"/>
  <c r="I27" i="3"/>
  <c r="P41" i="11"/>
  <c r="I11" i="3"/>
  <c r="P21" i="11"/>
  <c r="AJ133" i="9"/>
  <c r="O193" i="11"/>
  <c r="AY133" i="3"/>
  <c r="E193" i="11"/>
  <c r="K133" i="3"/>
  <c r="K409" i="7"/>
  <c r="K271" i="7"/>
  <c r="AJ117" i="9"/>
  <c r="O168" i="11"/>
  <c r="AY117" i="3"/>
  <c r="E168" i="11"/>
  <c r="K117" i="3"/>
  <c r="K393" i="7"/>
  <c r="K255" i="7"/>
  <c r="AJ101" i="9"/>
  <c r="O144" i="11"/>
  <c r="AY101" i="3"/>
  <c r="E144" i="11"/>
  <c r="K101" i="3"/>
  <c r="K377" i="7"/>
  <c r="K239" i="7"/>
  <c r="AJ85" i="9"/>
  <c r="AY85" i="3"/>
  <c r="O118" i="11"/>
  <c r="E118" i="11"/>
  <c r="K85" i="3"/>
  <c r="K361" i="7"/>
  <c r="K223" i="7"/>
  <c r="AJ69" i="9"/>
  <c r="O99" i="11"/>
  <c r="AY69" i="3"/>
  <c r="E99" i="11"/>
  <c r="K345" i="7"/>
  <c r="AY345" i="3" s="1"/>
  <c r="K207" i="7"/>
  <c r="AY207" i="3" s="1"/>
  <c r="AJ53" i="9"/>
  <c r="AY53" i="3"/>
  <c r="O76" i="11"/>
  <c r="E76" i="11"/>
  <c r="K329" i="7"/>
  <c r="AY329" i="3" s="1"/>
  <c r="K191" i="7"/>
  <c r="AY191" i="3" s="1"/>
  <c r="AJ37" i="9"/>
  <c r="O56" i="11"/>
  <c r="AY37" i="3"/>
  <c r="E56" i="11"/>
  <c r="K37" i="3"/>
  <c r="K313" i="7"/>
  <c r="K175" i="7"/>
  <c r="AJ21" i="9"/>
  <c r="O33" i="11"/>
  <c r="AY21" i="3"/>
  <c r="E33" i="11"/>
  <c r="K21" i="3"/>
  <c r="K297" i="7"/>
  <c r="K159" i="7"/>
  <c r="AJ5" i="9"/>
  <c r="O8" i="11"/>
  <c r="Y8" i="10" s="1"/>
  <c r="AY5" i="3"/>
  <c r="E8" i="11"/>
  <c r="K281" i="7"/>
  <c r="AY281" i="3" s="1"/>
  <c r="K143" i="7"/>
  <c r="AY143" i="3" s="1"/>
  <c r="L24" i="3"/>
  <c r="L300" i="7"/>
  <c r="L300" i="3" s="1"/>
  <c r="L162" i="7"/>
  <c r="L162" i="3" s="1"/>
  <c r="L8" i="3"/>
  <c r="L284" i="7"/>
  <c r="L284" i="3" s="1"/>
  <c r="L146" i="7"/>
  <c r="L146" i="3" s="1"/>
  <c r="L127" i="3"/>
  <c r="L403" i="7"/>
  <c r="L403" i="3" s="1"/>
  <c r="L111" i="3"/>
  <c r="L387" i="7"/>
  <c r="L387" i="3" s="1"/>
  <c r="L95" i="3"/>
  <c r="L371" i="7"/>
  <c r="L371" i="3" s="1"/>
  <c r="L79" i="3"/>
  <c r="L355" i="7"/>
  <c r="L355" i="3" s="1"/>
  <c r="L217" i="7"/>
  <c r="L217" i="3" s="1"/>
  <c r="L63" i="3"/>
  <c r="L339" i="7"/>
  <c r="L339" i="3" s="1"/>
  <c r="L201" i="7"/>
  <c r="L201" i="3" s="1"/>
  <c r="L47" i="3"/>
  <c r="L323" i="7"/>
  <c r="L323" i="3" s="1"/>
  <c r="L185" i="7"/>
  <c r="L185" i="3" s="1"/>
  <c r="AS2" i="3"/>
  <c r="AS278" i="7"/>
  <c r="AS140" i="7"/>
  <c r="AS140" i="3" s="1"/>
  <c r="AW311" i="7"/>
  <c r="AW173" i="7"/>
  <c r="AG311" i="7"/>
  <c r="AG173" i="7"/>
  <c r="AL34" i="3"/>
  <c r="AL310" i="7"/>
  <c r="AL310" i="3" s="1"/>
  <c r="AL172" i="7"/>
  <c r="AL172" i="3" s="1"/>
  <c r="AQ33" i="3"/>
  <c r="AQ309" i="7"/>
  <c r="AQ309" i="3" s="1"/>
  <c r="AQ171" i="7"/>
  <c r="AQ171" i="3" s="1"/>
  <c r="AV32" i="3"/>
  <c r="AV308" i="7"/>
  <c r="AV308" i="3" s="1"/>
  <c r="AV170" i="7"/>
  <c r="AV170" i="3" s="1"/>
  <c r="AF32" i="3"/>
  <c r="AF308" i="7"/>
  <c r="AF308" i="3" s="1"/>
  <c r="AF170" i="7"/>
  <c r="AF170" i="3" s="1"/>
  <c r="AK31" i="3"/>
  <c r="AK307" i="7"/>
  <c r="AK307" i="3" s="1"/>
  <c r="AK169" i="7"/>
  <c r="AK169" i="3" s="1"/>
  <c r="AP30" i="3"/>
  <c r="AP306" i="7"/>
  <c r="AP306" i="3" s="1"/>
  <c r="AP168" i="7"/>
  <c r="AP168" i="3" s="1"/>
  <c r="AU29" i="3"/>
  <c r="AU305" i="7"/>
  <c r="AU305" i="3" s="1"/>
  <c r="AU167" i="7"/>
  <c r="AU167" i="3" s="1"/>
  <c r="AE29" i="3"/>
  <c r="AE305" i="7"/>
  <c r="AE305" i="3" s="1"/>
  <c r="AE167" i="7"/>
  <c r="AE167" i="3" s="1"/>
  <c r="AJ28" i="3"/>
  <c r="AJ304" i="7"/>
  <c r="AJ304" i="3" s="1"/>
  <c r="AJ166" i="7"/>
  <c r="AJ166" i="3" s="1"/>
  <c r="AO27" i="3"/>
  <c r="AO303" i="7"/>
  <c r="AO303" i="3" s="1"/>
  <c r="AO165" i="7"/>
  <c r="AO165" i="3" s="1"/>
  <c r="AT26" i="3"/>
  <c r="AT302" i="7"/>
  <c r="AT302" i="3" s="1"/>
  <c r="AT164" i="7"/>
  <c r="AT164" i="3" s="1"/>
  <c r="AD26" i="3"/>
  <c r="AD302" i="7"/>
  <c r="AD302" i="3" s="1"/>
  <c r="AD164" i="7"/>
  <c r="AD164" i="3" s="1"/>
  <c r="AI25" i="3"/>
  <c r="AI301" i="7"/>
  <c r="AI301" i="3" s="1"/>
  <c r="AI163" i="7"/>
  <c r="AI163" i="3" s="1"/>
  <c r="AN24" i="3"/>
  <c r="AN300" i="7"/>
  <c r="AN300" i="3" s="1"/>
  <c r="AN162" i="7"/>
  <c r="AN162" i="3" s="1"/>
  <c r="AS23" i="3"/>
  <c r="AS299" i="7"/>
  <c r="AS299" i="3" s="1"/>
  <c r="AS161" i="7"/>
  <c r="AS161" i="3" s="1"/>
  <c r="AC23" i="3"/>
  <c r="AC299" i="7"/>
  <c r="AC299" i="3" s="1"/>
  <c r="AC161" i="7"/>
  <c r="AC161" i="3" s="1"/>
  <c r="AH22" i="3"/>
  <c r="AH298" i="7"/>
  <c r="AH298" i="3" s="1"/>
  <c r="AH160" i="7"/>
  <c r="AH160" i="3" s="1"/>
  <c r="AM21" i="3"/>
  <c r="AM297" i="7"/>
  <c r="AM297" i="3" s="1"/>
  <c r="AM159" i="7"/>
  <c r="AM159" i="3" s="1"/>
  <c r="AR20" i="3"/>
  <c r="AR296" i="7"/>
  <c r="AR296" i="3" s="1"/>
  <c r="AR158" i="7"/>
  <c r="AR158" i="3" s="1"/>
  <c r="AW19" i="3"/>
  <c r="AW295" i="7"/>
  <c r="AW295" i="3" s="1"/>
  <c r="AW157" i="7"/>
  <c r="AW157" i="3" s="1"/>
  <c r="AG19" i="3"/>
  <c r="AG295" i="7"/>
  <c r="AG295" i="3" s="1"/>
  <c r="AG157" i="7"/>
  <c r="AG157" i="3" s="1"/>
  <c r="AL18" i="3"/>
  <c r="AL294" i="7"/>
  <c r="AL294" i="3" s="1"/>
  <c r="AL156" i="7"/>
  <c r="AL156" i="3" s="1"/>
  <c r="AQ17" i="3"/>
  <c r="AQ293" i="7"/>
  <c r="AQ293" i="3" s="1"/>
  <c r="AQ155" i="7"/>
  <c r="AQ155" i="3" s="1"/>
  <c r="AV16" i="3"/>
  <c r="AV292" i="7"/>
  <c r="AV292" i="3" s="1"/>
  <c r="AV154" i="7"/>
  <c r="AV154" i="3" s="1"/>
  <c r="AF16" i="3"/>
  <c r="AF292" i="7"/>
  <c r="AF292" i="3" s="1"/>
  <c r="AF154" i="7"/>
  <c r="AF154" i="3" s="1"/>
  <c r="AK15" i="3"/>
  <c r="AK291" i="7"/>
  <c r="AK291" i="3" s="1"/>
  <c r="AK153" i="7"/>
  <c r="AK153" i="3" s="1"/>
  <c r="AP14" i="3"/>
  <c r="AP290" i="7"/>
  <c r="AP290" i="3" s="1"/>
  <c r="AP152" i="7"/>
  <c r="AP152" i="3" s="1"/>
  <c r="AU13" i="3"/>
  <c r="AU289" i="7"/>
  <c r="AU289" i="3" s="1"/>
  <c r="AU151" i="7"/>
  <c r="AU151" i="3" s="1"/>
  <c r="AE13" i="3"/>
  <c r="AE289" i="7"/>
  <c r="AE289" i="3" s="1"/>
  <c r="AE151" i="7"/>
  <c r="AE151" i="3" s="1"/>
  <c r="AJ12" i="3"/>
  <c r="AJ288" i="7"/>
  <c r="AJ288" i="3" s="1"/>
  <c r="AJ150" i="7"/>
  <c r="AJ150" i="3" s="1"/>
  <c r="AO11" i="3"/>
  <c r="AO287" i="7"/>
  <c r="AO287" i="3" s="1"/>
  <c r="AO149" i="7"/>
  <c r="AO149" i="3" s="1"/>
  <c r="AT10" i="3"/>
  <c r="AT286" i="7"/>
  <c r="AT286" i="3" s="1"/>
  <c r="AT148" i="7"/>
  <c r="AT148" i="3" s="1"/>
  <c r="AD10" i="3"/>
  <c r="AD286" i="7"/>
  <c r="AD286" i="3" s="1"/>
  <c r="AD148" i="7"/>
  <c r="AD148" i="3" s="1"/>
  <c r="AI9" i="3"/>
  <c r="AI285" i="7"/>
  <c r="AI285" i="3" s="1"/>
  <c r="AI147" i="7"/>
  <c r="AI147" i="3" s="1"/>
  <c r="AN8" i="3"/>
  <c r="AN284" i="7"/>
  <c r="AN284" i="3" s="1"/>
  <c r="AN146" i="7"/>
  <c r="AN146" i="3" s="1"/>
  <c r="AS7" i="3"/>
  <c r="AS283" i="7"/>
  <c r="AS283" i="3" s="1"/>
  <c r="AS145" i="7"/>
  <c r="AS145" i="3" s="1"/>
  <c r="AC7" i="3"/>
  <c r="AC283" i="7"/>
  <c r="AC283" i="3" s="1"/>
  <c r="AC145" i="7"/>
  <c r="AC145" i="3" s="1"/>
  <c r="AH6" i="3"/>
  <c r="AH282" i="7"/>
  <c r="AH282" i="3" s="1"/>
  <c r="AH144" i="7"/>
  <c r="AH144" i="3" s="1"/>
  <c r="AM5" i="3"/>
  <c r="AM281" i="7"/>
  <c r="AM281" i="3" s="1"/>
  <c r="AM143" i="7"/>
  <c r="AM143" i="3" s="1"/>
  <c r="AR4" i="3"/>
  <c r="AR280" i="7"/>
  <c r="AR280" i="3" s="1"/>
  <c r="AR142" i="7"/>
  <c r="AR142" i="3" s="1"/>
  <c r="AW3" i="3"/>
  <c r="AW279" i="7"/>
  <c r="AW279" i="3" s="1"/>
  <c r="AW141" i="7"/>
  <c r="AW141" i="3" s="1"/>
  <c r="AG3" i="3"/>
  <c r="AG279" i="7"/>
  <c r="AG279" i="3" s="1"/>
  <c r="AG141" i="7"/>
  <c r="AG141" i="3" s="1"/>
  <c r="AL137" i="3"/>
  <c r="AL413" i="7"/>
  <c r="AL413" i="3" s="1"/>
  <c r="AL275" i="7"/>
  <c r="AL275" i="3" s="1"/>
  <c r="AQ136" i="3"/>
  <c r="AQ412" i="7"/>
  <c r="AQ412" i="3" s="1"/>
  <c r="AQ274" i="7"/>
  <c r="AQ274" i="3" s="1"/>
  <c r="AV135" i="3"/>
  <c r="AV411" i="7"/>
  <c r="AV411" i="3" s="1"/>
  <c r="AV273" i="7"/>
  <c r="AV273" i="3" s="1"/>
  <c r="J181" i="7"/>
  <c r="J181" i="3" s="1"/>
  <c r="AO275" i="7"/>
  <c r="AO275" i="3" s="1"/>
  <c r="AH133" i="3"/>
  <c r="AH409" i="7"/>
  <c r="AH409" i="3" s="1"/>
  <c r="AM132" i="3"/>
  <c r="AM408" i="7"/>
  <c r="AM408" i="3" s="1"/>
  <c r="AR131" i="3"/>
  <c r="AR407" i="7"/>
  <c r="AR407" i="3" s="1"/>
  <c r="AR269" i="7"/>
  <c r="AR269" i="3" s="1"/>
  <c r="AW130" i="3"/>
  <c r="AW406" i="7"/>
  <c r="AW406" i="3" s="1"/>
  <c r="AW268" i="7"/>
  <c r="AW268" i="3" s="1"/>
  <c r="AG130" i="3"/>
  <c r="AG406" i="7"/>
  <c r="AG406" i="3" s="1"/>
  <c r="AG268" i="7"/>
  <c r="AG268" i="3" s="1"/>
  <c r="AL129" i="3"/>
  <c r="AL405" i="7"/>
  <c r="AL405" i="3" s="1"/>
  <c r="AL267" i="7"/>
  <c r="AL267" i="3" s="1"/>
  <c r="AQ404" i="7"/>
  <c r="AQ266" i="7"/>
  <c r="AV127" i="3"/>
  <c r="AV403" i="7"/>
  <c r="AV403" i="3" s="1"/>
  <c r="AF127" i="3"/>
  <c r="AF403" i="7"/>
  <c r="AF403" i="3" s="1"/>
  <c r="AK126" i="3"/>
  <c r="AK402" i="7"/>
  <c r="AK402" i="3" s="1"/>
  <c r="AP125" i="3"/>
  <c r="AP401" i="7"/>
  <c r="AP401" i="3" s="1"/>
  <c r="AU124" i="3"/>
  <c r="AU400" i="7"/>
  <c r="AU400" i="3" s="1"/>
  <c r="AU262" i="7"/>
  <c r="AU262" i="3" s="1"/>
  <c r="AE124" i="3"/>
  <c r="AE400" i="7"/>
  <c r="AE400" i="3" s="1"/>
  <c r="AE262" i="7"/>
  <c r="AE262" i="3" s="1"/>
  <c r="AJ123" i="3"/>
  <c r="AJ399" i="7"/>
  <c r="AJ399" i="3" s="1"/>
  <c r="AO122" i="3"/>
  <c r="AO398" i="7"/>
  <c r="AO398" i="3" s="1"/>
  <c r="AO260" i="7"/>
  <c r="AO260" i="3" s="1"/>
  <c r="AT121" i="3"/>
  <c r="AT397" i="7"/>
  <c r="AT397" i="3" s="1"/>
  <c r="AT259" i="7"/>
  <c r="AT259" i="3" s="1"/>
  <c r="AD121" i="3"/>
  <c r="AD397" i="7"/>
  <c r="AD397" i="3" s="1"/>
  <c r="AD259" i="7"/>
  <c r="AD259" i="3" s="1"/>
  <c r="AI120" i="3"/>
  <c r="AI396" i="7"/>
  <c r="AI396" i="3" s="1"/>
  <c r="AI258" i="7"/>
  <c r="AI258" i="3" s="1"/>
  <c r="AN119" i="3"/>
  <c r="AN395" i="7"/>
  <c r="AN395" i="3" s="1"/>
  <c r="AN257" i="7"/>
  <c r="AN257" i="3" s="1"/>
  <c r="AS118" i="3"/>
  <c r="AS394" i="7"/>
  <c r="AS394" i="3" s="1"/>
  <c r="AS256" i="7"/>
  <c r="AS256" i="3" s="1"/>
  <c r="AC118" i="3"/>
  <c r="AC394" i="7"/>
  <c r="AC394" i="3" s="1"/>
  <c r="AC256" i="7"/>
  <c r="AC256" i="3" s="1"/>
  <c r="AH117" i="3"/>
  <c r="AH393" i="7"/>
  <c r="AH393" i="3" s="1"/>
  <c r="AH255" i="7"/>
  <c r="AH255" i="3" s="1"/>
  <c r="AM116" i="3"/>
  <c r="AM392" i="7"/>
  <c r="AM392" i="3" s="1"/>
  <c r="AR115" i="3"/>
  <c r="AR391" i="7"/>
  <c r="AR391" i="3" s="1"/>
  <c r="AR253" i="7"/>
  <c r="AR253" i="3" s="1"/>
  <c r="AW114" i="3"/>
  <c r="AW390" i="7"/>
  <c r="AW390" i="3" s="1"/>
  <c r="AW252" i="7"/>
  <c r="AW252" i="3" s="1"/>
  <c r="AG114" i="3"/>
  <c r="AG390" i="7"/>
  <c r="AG390" i="3" s="1"/>
  <c r="AG252" i="7"/>
  <c r="AG252" i="3" s="1"/>
  <c r="AL113" i="3"/>
  <c r="AL389" i="7"/>
  <c r="AL389" i="3" s="1"/>
  <c r="AL251" i="7"/>
  <c r="AL251" i="3" s="1"/>
  <c r="AQ112" i="3"/>
  <c r="AQ388" i="7"/>
  <c r="AQ388" i="3" s="1"/>
  <c r="AQ250" i="7"/>
  <c r="AQ250" i="3" s="1"/>
  <c r="AV111" i="3"/>
  <c r="AV387" i="7"/>
  <c r="AV387" i="3" s="1"/>
  <c r="AF111" i="3"/>
  <c r="AF387" i="7"/>
  <c r="AF387" i="3" s="1"/>
  <c r="AK110" i="3"/>
  <c r="AK386" i="7"/>
  <c r="AK386" i="3" s="1"/>
  <c r="AP109" i="3"/>
  <c r="AP385" i="7"/>
  <c r="AP385" i="3" s="1"/>
  <c r="AP247" i="7"/>
  <c r="AP247" i="3" s="1"/>
  <c r="AU108" i="3"/>
  <c r="AU384" i="7"/>
  <c r="AU384" i="3" s="1"/>
  <c r="AU246" i="7"/>
  <c r="AU246" i="3" s="1"/>
  <c r="AE108" i="3"/>
  <c r="AE384" i="7"/>
  <c r="AE384" i="3" s="1"/>
  <c r="AE246" i="7"/>
  <c r="AE246" i="3" s="1"/>
  <c r="AJ107" i="3"/>
  <c r="AJ383" i="7"/>
  <c r="AJ383" i="3" s="1"/>
  <c r="AO106" i="3"/>
  <c r="AO382" i="7"/>
  <c r="AO382" i="3" s="1"/>
  <c r="AO244" i="7"/>
  <c r="AO244" i="3" s="1"/>
  <c r="AT105" i="3"/>
  <c r="AT381" i="7"/>
  <c r="AT381" i="3" s="1"/>
  <c r="AT243" i="7"/>
  <c r="AT243" i="3" s="1"/>
  <c r="AD105" i="3"/>
  <c r="AD381" i="7"/>
  <c r="AD381" i="3" s="1"/>
  <c r="AD243" i="7"/>
  <c r="AD243" i="3" s="1"/>
  <c r="AI104" i="3"/>
  <c r="AI380" i="7"/>
  <c r="AI380" i="3" s="1"/>
  <c r="AI242" i="7"/>
  <c r="AI242" i="3" s="1"/>
  <c r="AN103" i="3"/>
  <c r="AN379" i="7"/>
  <c r="AN379" i="3" s="1"/>
  <c r="AN241" i="7"/>
  <c r="AN241" i="3" s="1"/>
  <c r="AS102" i="3"/>
  <c r="AS378" i="7"/>
  <c r="AS378" i="3" s="1"/>
  <c r="AS240" i="7"/>
  <c r="AS240" i="3" s="1"/>
  <c r="AC102" i="3"/>
  <c r="AC378" i="7"/>
  <c r="AC378" i="3" s="1"/>
  <c r="AC240" i="7"/>
  <c r="AC240" i="3" s="1"/>
  <c r="AH101" i="3"/>
  <c r="AH377" i="7"/>
  <c r="AH377" i="3" s="1"/>
  <c r="AH239" i="7"/>
  <c r="AH239" i="3" s="1"/>
  <c r="AM100" i="3"/>
  <c r="AM376" i="7"/>
  <c r="AM376" i="3" s="1"/>
  <c r="AM238" i="7"/>
  <c r="AM238" i="3" s="1"/>
  <c r="AR99" i="3"/>
  <c r="AR375" i="7"/>
  <c r="AR375" i="3" s="1"/>
  <c r="AR237" i="7"/>
  <c r="AR237" i="3" s="1"/>
  <c r="AW98" i="3"/>
  <c r="AW374" i="7"/>
  <c r="AW374" i="3" s="1"/>
  <c r="AW236" i="7"/>
  <c r="AW236" i="3" s="1"/>
  <c r="AG98" i="3"/>
  <c r="AG374" i="7"/>
  <c r="AG374" i="3" s="1"/>
  <c r="AG236" i="7"/>
  <c r="AG236" i="3" s="1"/>
  <c r="AL97" i="3"/>
  <c r="AL373" i="7"/>
  <c r="AL373" i="3" s="1"/>
  <c r="AL235" i="7"/>
  <c r="AL235" i="3" s="1"/>
  <c r="AQ96" i="3"/>
  <c r="AQ372" i="7"/>
  <c r="AQ372" i="3" s="1"/>
  <c r="AQ234" i="7"/>
  <c r="AQ234" i="3" s="1"/>
  <c r="AV95" i="3"/>
  <c r="AV371" i="7"/>
  <c r="AV371" i="3" s="1"/>
  <c r="AV233" i="7"/>
  <c r="AV233" i="3" s="1"/>
  <c r="AF95" i="3"/>
  <c r="AF371" i="7"/>
  <c r="AF371" i="3" s="1"/>
  <c r="AF233" i="7"/>
  <c r="AF233" i="3" s="1"/>
  <c r="AK94" i="3"/>
  <c r="AK370" i="7"/>
  <c r="AK370" i="3" s="1"/>
  <c r="AK232" i="7"/>
  <c r="AK232" i="3" s="1"/>
  <c r="AP93" i="3"/>
  <c r="AP369" i="7"/>
  <c r="AP369" i="3" s="1"/>
  <c r="AP231" i="7"/>
  <c r="AP231" i="3" s="1"/>
  <c r="AU92" i="3"/>
  <c r="AU368" i="7"/>
  <c r="AU368" i="3" s="1"/>
  <c r="AU230" i="7"/>
  <c r="AU230" i="3" s="1"/>
  <c r="AE92" i="3"/>
  <c r="AE368" i="7"/>
  <c r="AE368" i="3" s="1"/>
  <c r="AE230" i="7"/>
  <c r="AE230" i="3" s="1"/>
  <c r="AJ91" i="3"/>
  <c r="AJ367" i="7"/>
  <c r="AJ367" i="3" s="1"/>
  <c r="AJ229" i="7"/>
  <c r="AJ229" i="3" s="1"/>
  <c r="AO90" i="3"/>
  <c r="AO366" i="7"/>
  <c r="AO366" i="3" s="1"/>
  <c r="AO228" i="7"/>
  <c r="AO228" i="3" s="1"/>
  <c r="AT365" i="7"/>
  <c r="AT227" i="7"/>
  <c r="AD365" i="7"/>
  <c r="AD227" i="7"/>
  <c r="AI88" i="3"/>
  <c r="AI364" i="7"/>
  <c r="AI364" i="3" s="1"/>
  <c r="AI226" i="7"/>
  <c r="AI226" i="3" s="1"/>
  <c r="AN87" i="3"/>
  <c r="AN363" i="7"/>
  <c r="AN363" i="3" s="1"/>
  <c r="AN225" i="7"/>
  <c r="AN225" i="3" s="1"/>
  <c r="AS86" i="3"/>
  <c r="AS362" i="7"/>
  <c r="AS362" i="3" s="1"/>
  <c r="AS224" i="7"/>
  <c r="AS224" i="3" s="1"/>
  <c r="AC86" i="3"/>
  <c r="AC362" i="7"/>
  <c r="AC362" i="3" s="1"/>
  <c r="AC224" i="7"/>
  <c r="AC224" i="3" s="1"/>
  <c r="AH85" i="3"/>
  <c r="AH361" i="7"/>
  <c r="AH361" i="3" s="1"/>
  <c r="AH223" i="7"/>
  <c r="AH223" i="3" s="1"/>
  <c r="AM84" i="3"/>
  <c r="AM360" i="7"/>
  <c r="AM360" i="3" s="1"/>
  <c r="AM222" i="7"/>
  <c r="AM222" i="3" s="1"/>
  <c r="AR83" i="3"/>
  <c r="AR359" i="7"/>
  <c r="AR359" i="3" s="1"/>
  <c r="AR221" i="7"/>
  <c r="AR221" i="3" s="1"/>
  <c r="AW82" i="3"/>
  <c r="AW358" i="7"/>
  <c r="AW358" i="3" s="1"/>
  <c r="AW220" i="7"/>
  <c r="AW220" i="3" s="1"/>
  <c r="AG82" i="3"/>
  <c r="AG358" i="7"/>
  <c r="AG358" i="3" s="1"/>
  <c r="AG220" i="7"/>
  <c r="AG220" i="3" s="1"/>
  <c r="AL81" i="3"/>
  <c r="AL357" i="7"/>
  <c r="AL357" i="3" s="1"/>
  <c r="AL219" i="7"/>
  <c r="AL219" i="3" s="1"/>
  <c r="AQ80" i="3"/>
  <c r="AQ356" i="7"/>
  <c r="AQ356" i="3" s="1"/>
  <c r="AQ218" i="7"/>
  <c r="AQ218" i="3" s="1"/>
  <c r="AV79" i="3"/>
  <c r="AV355" i="7"/>
  <c r="AV355" i="3" s="1"/>
  <c r="AV217" i="7"/>
  <c r="AV217" i="3" s="1"/>
  <c r="AF79" i="3"/>
  <c r="AF355" i="7"/>
  <c r="AF355" i="3" s="1"/>
  <c r="AF217" i="7"/>
  <c r="AF217" i="3" s="1"/>
  <c r="AK78" i="3"/>
  <c r="AK354" i="7"/>
  <c r="AK354" i="3" s="1"/>
  <c r="AK216" i="7"/>
  <c r="AK216" i="3" s="1"/>
  <c r="AP353" i="7"/>
  <c r="AP215" i="7"/>
  <c r="AU76" i="3"/>
  <c r="AU352" i="7"/>
  <c r="AU352" i="3" s="1"/>
  <c r="AU214" i="7"/>
  <c r="AU214" i="3" s="1"/>
  <c r="AE76" i="3"/>
  <c r="AE352" i="7"/>
  <c r="AE352" i="3" s="1"/>
  <c r="AE214" i="7"/>
  <c r="AE214" i="3" s="1"/>
  <c r="AJ75" i="3"/>
  <c r="AJ351" i="7"/>
  <c r="AJ351" i="3" s="1"/>
  <c r="AJ213" i="7"/>
  <c r="AJ213" i="3" s="1"/>
  <c r="AO74" i="3"/>
  <c r="AO350" i="7"/>
  <c r="AO350" i="3" s="1"/>
  <c r="AO212" i="7"/>
  <c r="AO212" i="3" s="1"/>
  <c r="AT73" i="3"/>
  <c r="AT349" i="7"/>
  <c r="AT349" i="3" s="1"/>
  <c r="AT211" i="7"/>
  <c r="AT211" i="3" s="1"/>
  <c r="AD73" i="3"/>
  <c r="AD349" i="7"/>
  <c r="AD349" i="3" s="1"/>
  <c r="AD211" i="7"/>
  <c r="AD211" i="3" s="1"/>
  <c r="AI72" i="3"/>
  <c r="AI348" i="7"/>
  <c r="AI348" i="3" s="1"/>
  <c r="AI210" i="7"/>
  <c r="AI210" i="3" s="1"/>
  <c r="AN71" i="3"/>
  <c r="AN347" i="7"/>
  <c r="AN347" i="3" s="1"/>
  <c r="AN209" i="7"/>
  <c r="AN209" i="3" s="1"/>
  <c r="AS70" i="3"/>
  <c r="AS346" i="7"/>
  <c r="AS346" i="3" s="1"/>
  <c r="AS208" i="7"/>
  <c r="AS208" i="3" s="1"/>
  <c r="AC70" i="3"/>
  <c r="AC346" i="7"/>
  <c r="AC346" i="3" s="1"/>
  <c r="AC208" i="7"/>
  <c r="AC208" i="3" s="1"/>
  <c r="AH69" i="3"/>
  <c r="AH345" i="7"/>
  <c r="AH345" i="3" s="1"/>
  <c r="AH207" i="7"/>
  <c r="AH207" i="3" s="1"/>
  <c r="AM68" i="3"/>
  <c r="AM344" i="7"/>
  <c r="AM344" i="3" s="1"/>
  <c r="AM206" i="7"/>
  <c r="AM206" i="3" s="1"/>
  <c r="AR67" i="3"/>
  <c r="AR343" i="7"/>
  <c r="AR343" i="3" s="1"/>
  <c r="AR205" i="7"/>
  <c r="AR205" i="3" s="1"/>
  <c r="AW66" i="3"/>
  <c r="AW342" i="7"/>
  <c r="AW342" i="3" s="1"/>
  <c r="AW204" i="7"/>
  <c r="AW204" i="3" s="1"/>
  <c r="AG66" i="3"/>
  <c r="AG342" i="7"/>
  <c r="AG342" i="3" s="1"/>
  <c r="AG204" i="7"/>
  <c r="AG204" i="3" s="1"/>
  <c r="AL65" i="3"/>
  <c r="AL341" i="7"/>
  <c r="AL341" i="3" s="1"/>
  <c r="AL203" i="7"/>
  <c r="AL203" i="3" s="1"/>
  <c r="AQ64" i="3"/>
  <c r="AQ340" i="7"/>
  <c r="AQ340" i="3" s="1"/>
  <c r="AQ202" i="7"/>
  <c r="AQ202" i="3" s="1"/>
  <c r="AV63" i="3"/>
  <c r="AV339" i="7"/>
  <c r="AV339" i="3" s="1"/>
  <c r="AV201" i="7"/>
  <c r="AV201" i="3" s="1"/>
  <c r="AF63" i="3"/>
  <c r="AF339" i="7"/>
  <c r="AF339" i="3" s="1"/>
  <c r="AF201" i="7"/>
  <c r="AF201" i="3" s="1"/>
  <c r="AK62" i="3"/>
  <c r="AK338" i="7"/>
  <c r="AK338" i="3" s="1"/>
  <c r="AP61" i="3"/>
  <c r="AP337" i="7"/>
  <c r="AP337" i="3" s="1"/>
  <c r="AP199" i="7"/>
  <c r="AP199" i="3" s="1"/>
  <c r="AU60" i="3"/>
  <c r="AU336" i="7"/>
  <c r="AU336" i="3" s="1"/>
  <c r="AU198" i="7"/>
  <c r="AU198" i="3" s="1"/>
  <c r="AE60" i="3"/>
  <c r="AE336" i="7"/>
  <c r="AE336" i="3" s="1"/>
  <c r="AE198" i="7"/>
  <c r="AE198" i="3" s="1"/>
  <c r="AJ59" i="3"/>
  <c r="AJ335" i="7"/>
  <c r="AJ335" i="3" s="1"/>
  <c r="AJ197" i="7"/>
  <c r="AJ197" i="3" s="1"/>
  <c r="AO58" i="3"/>
  <c r="AO334" i="7"/>
  <c r="AO334" i="3" s="1"/>
  <c r="AO196" i="7"/>
  <c r="AO196" i="3" s="1"/>
  <c r="AT57" i="3"/>
  <c r="AT333" i="7"/>
  <c r="AT333" i="3" s="1"/>
  <c r="AT195" i="7"/>
  <c r="AT195" i="3" s="1"/>
  <c r="AD57" i="3"/>
  <c r="AD333" i="7"/>
  <c r="AD333" i="3" s="1"/>
  <c r="AD195" i="7"/>
  <c r="AD195" i="3" s="1"/>
  <c r="AI56" i="3"/>
  <c r="AI332" i="7"/>
  <c r="AI332" i="3" s="1"/>
  <c r="AI194" i="7"/>
  <c r="AI194" i="3" s="1"/>
  <c r="AN55" i="3"/>
  <c r="AN331" i="7"/>
  <c r="AN331" i="3" s="1"/>
  <c r="AN193" i="7"/>
  <c r="AN193" i="3" s="1"/>
  <c r="AS54" i="3"/>
  <c r="AS330" i="7"/>
  <c r="AS330" i="3" s="1"/>
  <c r="AS192" i="7"/>
  <c r="AS192" i="3" s="1"/>
  <c r="AC54" i="3"/>
  <c r="AC330" i="7"/>
  <c r="AC330" i="3" s="1"/>
  <c r="AC192" i="7"/>
  <c r="AC192" i="3" s="1"/>
  <c r="AH53" i="3"/>
  <c r="AH329" i="7"/>
  <c r="AH329" i="3" s="1"/>
  <c r="AH191" i="7"/>
  <c r="AH191" i="3" s="1"/>
  <c r="AM52" i="3"/>
  <c r="AM328" i="7"/>
  <c r="AM328" i="3" s="1"/>
  <c r="AM190" i="7"/>
  <c r="AM190" i="3" s="1"/>
  <c r="AR51" i="3"/>
  <c r="AR327" i="7"/>
  <c r="AR327" i="3" s="1"/>
  <c r="AR189" i="7"/>
  <c r="AR189" i="3" s="1"/>
  <c r="AW50" i="3"/>
  <c r="AW326" i="7"/>
  <c r="AW326" i="3" s="1"/>
  <c r="AW188" i="7"/>
  <c r="AW188" i="3" s="1"/>
  <c r="AG50" i="3"/>
  <c r="AG326" i="7"/>
  <c r="AG326" i="3" s="1"/>
  <c r="AG188" i="7"/>
  <c r="AG188" i="3" s="1"/>
  <c r="AL49" i="3"/>
  <c r="AL325" i="7"/>
  <c r="AL325" i="3" s="1"/>
  <c r="AQ48" i="3"/>
  <c r="AQ324" i="7"/>
  <c r="AQ324" i="3" s="1"/>
  <c r="AQ186" i="7"/>
  <c r="AQ186" i="3" s="1"/>
  <c r="AV47" i="3"/>
  <c r="AV323" i="7"/>
  <c r="AV323" i="3" s="1"/>
  <c r="AV185" i="7"/>
  <c r="AV185" i="3" s="1"/>
  <c r="AF47" i="3"/>
  <c r="AF323" i="7"/>
  <c r="AF323" i="3" s="1"/>
  <c r="AF185" i="7"/>
  <c r="AF185" i="3" s="1"/>
  <c r="AK46" i="3"/>
  <c r="AK322" i="7"/>
  <c r="AK322" i="3" s="1"/>
  <c r="AK184" i="7"/>
  <c r="AK184" i="3" s="1"/>
  <c r="AP45" i="3"/>
  <c r="AP321" i="7"/>
  <c r="AP321" i="3" s="1"/>
  <c r="AP183" i="7"/>
  <c r="AP183" i="3" s="1"/>
  <c r="AU44" i="3"/>
  <c r="AU320" i="7"/>
  <c r="AU320" i="3" s="1"/>
  <c r="AU182" i="7"/>
  <c r="AU182" i="3" s="1"/>
  <c r="AE44" i="3"/>
  <c r="AE320" i="7"/>
  <c r="AE320" i="3" s="1"/>
  <c r="AE182" i="7"/>
  <c r="AE182" i="3" s="1"/>
  <c r="AJ43" i="3"/>
  <c r="AJ319" i="7"/>
  <c r="AJ319" i="3" s="1"/>
  <c r="AJ181" i="7"/>
  <c r="AJ181" i="3" s="1"/>
  <c r="AO42" i="3"/>
  <c r="AO318" i="7"/>
  <c r="AO318" i="3" s="1"/>
  <c r="AO180" i="7"/>
  <c r="AO180" i="3" s="1"/>
  <c r="AT41" i="3"/>
  <c r="AT317" i="7"/>
  <c r="AT317" i="3" s="1"/>
  <c r="AT179" i="7"/>
  <c r="AT179" i="3" s="1"/>
  <c r="AD41" i="3"/>
  <c r="AD317" i="7"/>
  <c r="AD317" i="3" s="1"/>
  <c r="AD179" i="7"/>
  <c r="AD179" i="3" s="1"/>
  <c r="AI40" i="3"/>
  <c r="AI316" i="7"/>
  <c r="AI316" i="3" s="1"/>
  <c r="AI178" i="7"/>
  <c r="AI178" i="3" s="1"/>
  <c r="AN39" i="3"/>
  <c r="AN315" i="7"/>
  <c r="AN315" i="3" s="1"/>
  <c r="AN177" i="7"/>
  <c r="AN177" i="3" s="1"/>
  <c r="AS38" i="3"/>
  <c r="AS314" i="7"/>
  <c r="AS314" i="3" s="1"/>
  <c r="AS176" i="7"/>
  <c r="AS176" i="3" s="1"/>
  <c r="AC38" i="3"/>
  <c r="AC314" i="7"/>
  <c r="AC314" i="3" s="1"/>
  <c r="AC176" i="7"/>
  <c r="AC176" i="3" s="1"/>
  <c r="AH37" i="3"/>
  <c r="AH313" i="7"/>
  <c r="AH313" i="3" s="1"/>
  <c r="AH175" i="7"/>
  <c r="AH175" i="3" s="1"/>
  <c r="AM36" i="3"/>
  <c r="AM312" i="7"/>
  <c r="AM312" i="3" s="1"/>
  <c r="AM174" i="7"/>
  <c r="AM174" i="3" s="1"/>
  <c r="AX132" i="3"/>
  <c r="AX408" i="7"/>
  <c r="AX408" i="3" s="1"/>
  <c r="AX116" i="3"/>
  <c r="AX392" i="7"/>
  <c r="AX392" i="3" s="1"/>
  <c r="AX100" i="3"/>
  <c r="AX376" i="7"/>
  <c r="AX376" i="3" s="1"/>
  <c r="AX84" i="3"/>
  <c r="AX360" i="7"/>
  <c r="AX360" i="3" s="1"/>
  <c r="AX68" i="3"/>
  <c r="AX344" i="7"/>
  <c r="AX344" i="3" s="1"/>
  <c r="AX206" i="7"/>
  <c r="AX206" i="3" s="1"/>
  <c r="AX52" i="3"/>
  <c r="AX328" i="7"/>
  <c r="AX328" i="3" s="1"/>
  <c r="AX190" i="7"/>
  <c r="AX190" i="3" s="1"/>
  <c r="AX36" i="3"/>
  <c r="AX312" i="7"/>
  <c r="AX312" i="3" s="1"/>
  <c r="AX174" i="7"/>
  <c r="AX174" i="3" s="1"/>
  <c r="AX20" i="3"/>
  <c r="AX296" i="7"/>
  <c r="AX296" i="3" s="1"/>
  <c r="AX158" i="7"/>
  <c r="AX158" i="3" s="1"/>
  <c r="AX4" i="3"/>
  <c r="AX280" i="7"/>
  <c r="AX280" i="3" s="1"/>
  <c r="AX142" i="7"/>
  <c r="AX142" i="3" s="1"/>
  <c r="AV265" i="7"/>
  <c r="AV265" i="3" s="1"/>
  <c r="AJ261" i="7"/>
  <c r="AJ261" i="3" s="1"/>
  <c r="AF227" i="7"/>
  <c r="AR121" i="3"/>
  <c r="AR397" i="7"/>
  <c r="AR397" i="3" s="1"/>
  <c r="AR259" i="7"/>
  <c r="AR259" i="3" s="1"/>
  <c r="AW120" i="3"/>
  <c r="AW396" i="7"/>
  <c r="AW396" i="3" s="1"/>
  <c r="AW258" i="7"/>
  <c r="AW258" i="3" s="1"/>
  <c r="AG120" i="3"/>
  <c r="AG396" i="7"/>
  <c r="AG396" i="3" s="1"/>
  <c r="AG258" i="7"/>
  <c r="AG258" i="3" s="1"/>
  <c r="AL119" i="3"/>
  <c r="AL395" i="7"/>
  <c r="AL395" i="3" s="1"/>
  <c r="AL257" i="7"/>
  <c r="AL257" i="3" s="1"/>
  <c r="AQ118" i="3"/>
  <c r="AQ394" i="7"/>
  <c r="AQ394" i="3" s="1"/>
  <c r="AV117" i="3"/>
  <c r="AV393" i="7"/>
  <c r="AV393" i="3" s="1"/>
  <c r="AV255" i="7"/>
  <c r="AV255" i="3" s="1"/>
  <c r="AF117" i="3"/>
  <c r="AF393" i="7"/>
  <c r="AF393" i="3" s="1"/>
  <c r="AF255" i="7"/>
  <c r="AF255" i="3" s="1"/>
  <c r="AK116" i="3"/>
  <c r="AK392" i="7"/>
  <c r="AK392" i="3" s="1"/>
  <c r="AK254" i="7"/>
  <c r="AK254" i="3" s="1"/>
  <c r="AP115" i="3"/>
  <c r="AP391" i="7"/>
  <c r="AP391" i="3" s="1"/>
  <c r="AP253" i="7"/>
  <c r="AP253" i="3" s="1"/>
  <c r="AU114" i="3"/>
  <c r="AU390" i="7"/>
  <c r="AU390" i="3" s="1"/>
  <c r="AU252" i="7"/>
  <c r="AU252" i="3" s="1"/>
  <c r="AE114" i="3"/>
  <c r="AE390" i="7"/>
  <c r="AE390" i="3" s="1"/>
  <c r="AE252" i="7"/>
  <c r="AE252" i="3" s="1"/>
  <c r="AJ113" i="3"/>
  <c r="AJ389" i="7"/>
  <c r="AJ389" i="3" s="1"/>
  <c r="AO112" i="3"/>
  <c r="AO388" i="7"/>
  <c r="AO388" i="3" s="1"/>
  <c r="AT111" i="3"/>
  <c r="AT387" i="7"/>
  <c r="AT387" i="3" s="1"/>
  <c r="AT249" i="7"/>
  <c r="AT249" i="3" s="1"/>
  <c r="AD111" i="3"/>
  <c r="AD387" i="7"/>
  <c r="AD387" i="3" s="1"/>
  <c r="AD249" i="7"/>
  <c r="AD249" i="3" s="1"/>
  <c r="AI110" i="3"/>
  <c r="AI386" i="7"/>
  <c r="AI386" i="3" s="1"/>
  <c r="AI248" i="7"/>
  <c r="AI248" i="3" s="1"/>
  <c r="AN109" i="3"/>
  <c r="AN385" i="7"/>
  <c r="AN385" i="3" s="1"/>
  <c r="AS108" i="3"/>
  <c r="AS384" i="7"/>
  <c r="AS384" i="3" s="1"/>
  <c r="AS246" i="7"/>
  <c r="AS246" i="3" s="1"/>
  <c r="AC108" i="3"/>
  <c r="AC384" i="7"/>
  <c r="AC384" i="3" s="1"/>
  <c r="AC246" i="7"/>
  <c r="AC246" i="3" s="1"/>
  <c r="AH107" i="3"/>
  <c r="AH383" i="7"/>
  <c r="AH383" i="3" s="1"/>
  <c r="AH245" i="7"/>
  <c r="AH245" i="3" s="1"/>
  <c r="AM106" i="3"/>
  <c r="AM382" i="7"/>
  <c r="AM382" i="3" s="1"/>
  <c r="AM244" i="7"/>
  <c r="AM244" i="3" s="1"/>
  <c r="AR105" i="3"/>
  <c r="AR381" i="7"/>
  <c r="AR381" i="3" s="1"/>
  <c r="AR243" i="7"/>
  <c r="AR243" i="3" s="1"/>
  <c r="AW104" i="3"/>
  <c r="AW380" i="7"/>
  <c r="AW380" i="3" s="1"/>
  <c r="AW242" i="7"/>
  <c r="AW242" i="3" s="1"/>
  <c r="AG104" i="3"/>
  <c r="AG380" i="7"/>
  <c r="AG380" i="3" s="1"/>
  <c r="AG242" i="7"/>
  <c r="AG242" i="3" s="1"/>
  <c r="AL103" i="3"/>
  <c r="AL379" i="7"/>
  <c r="AL379" i="3" s="1"/>
  <c r="AL241" i="7"/>
  <c r="AL241" i="3" s="1"/>
  <c r="AQ102" i="3"/>
  <c r="AQ378" i="7"/>
  <c r="AQ378" i="3" s="1"/>
  <c r="AQ240" i="7"/>
  <c r="AQ240" i="3" s="1"/>
  <c r="AV101" i="3"/>
  <c r="AV377" i="7"/>
  <c r="AV377" i="3" s="1"/>
  <c r="AV239" i="7"/>
  <c r="AV239" i="3" s="1"/>
  <c r="AF101" i="3"/>
  <c r="AF377" i="7"/>
  <c r="AF377" i="3" s="1"/>
  <c r="AF239" i="7"/>
  <c r="AF239" i="3" s="1"/>
  <c r="AK100" i="3"/>
  <c r="AK376" i="7"/>
  <c r="AK376" i="3" s="1"/>
  <c r="AK238" i="7"/>
  <c r="AK238" i="3" s="1"/>
  <c r="AP99" i="3"/>
  <c r="AP375" i="7"/>
  <c r="AP375" i="3" s="1"/>
  <c r="AP237" i="7"/>
  <c r="AP237" i="3" s="1"/>
  <c r="AU98" i="3"/>
  <c r="AU374" i="7"/>
  <c r="AU374" i="3" s="1"/>
  <c r="AU236" i="7"/>
  <c r="AU236" i="3" s="1"/>
  <c r="AE98" i="3"/>
  <c r="AE374" i="7"/>
  <c r="AE374" i="3" s="1"/>
  <c r="AE236" i="7"/>
  <c r="AE236" i="3" s="1"/>
  <c r="AJ97" i="3"/>
  <c r="AJ373" i="7"/>
  <c r="AJ373" i="3" s="1"/>
  <c r="AJ235" i="7"/>
  <c r="AJ235" i="3" s="1"/>
  <c r="AO96" i="3"/>
  <c r="AO372" i="7"/>
  <c r="AO372" i="3" s="1"/>
  <c r="AO234" i="7"/>
  <c r="AO234" i="3" s="1"/>
  <c r="AT95" i="3"/>
  <c r="AT371" i="7"/>
  <c r="AT371" i="3" s="1"/>
  <c r="AT233" i="7"/>
  <c r="AT233" i="3" s="1"/>
  <c r="AD95" i="3"/>
  <c r="AD371" i="7"/>
  <c r="AD371" i="3" s="1"/>
  <c r="AD233" i="7"/>
  <c r="AD233" i="3" s="1"/>
  <c r="AI94" i="3"/>
  <c r="AI370" i="7"/>
  <c r="AI370" i="3" s="1"/>
  <c r="AI232" i="7"/>
  <c r="AI232" i="3" s="1"/>
  <c r="AN93" i="3"/>
  <c r="AN369" i="7"/>
  <c r="AN369" i="3" s="1"/>
  <c r="AS92" i="3"/>
  <c r="AS368" i="7"/>
  <c r="AS368" i="3" s="1"/>
  <c r="AS230" i="7"/>
  <c r="AS230" i="3" s="1"/>
  <c r="AC92" i="3"/>
  <c r="AC368" i="7"/>
  <c r="AC368" i="3" s="1"/>
  <c r="AC230" i="7"/>
  <c r="AC230" i="3" s="1"/>
  <c r="AH91" i="3"/>
  <c r="AH367" i="7"/>
  <c r="AH367" i="3" s="1"/>
  <c r="AH229" i="7"/>
  <c r="AH229" i="3" s="1"/>
  <c r="AM90" i="3"/>
  <c r="AM366" i="7"/>
  <c r="AM366" i="3" s="1"/>
  <c r="AM228" i="7"/>
  <c r="AM228" i="3" s="1"/>
  <c r="AR365" i="7"/>
  <c r="AR227" i="7"/>
  <c r="AW88" i="3"/>
  <c r="AW364" i="7"/>
  <c r="AW364" i="3" s="1"/>
  <c r="AW226" i="7"/>
  <c r="AW226" i="3" s="1"/>
  <c r="AG88" i="3"/>
  <c r="AG364" i="7"/>
  <c r="AG364" i="3" s="1"/>
  <c r="AG226" i="7"/>
  <c r="AG226" i="3" s="1"/>
  <c r="AL87" i="3"/>
  <c r="AL363" i="7"/>
  <c r="AL363" i="3" s="1"/>
  <c r="AL225" i="7"/>
  <c r="AL225" i="3" s="1"/>
  <c r="AQ86" i="3"/>
  <c r="AQ362" i="7"/>
  <c r="AQ362" i="3" s="1"/>
  <c r="AQ224" i="7"/>
  <c r="AQ224" i="3" s="1"/>
  <c r="AV85" i="3"/>
  <c r="AV361" i="7"/>
  <c r="AV361" i="3" s="1"/>
  <c r="AV223" i="7"/>
  <c r="AV223" i="3" s="1"/>
  <c r="AF85" i="3"/>
  <c r="AF361" i="7"/>
  <c r="AF361" i="3" s="1"/>
  <c r="AF223" i="7"/>
  <c r="AF223" i="3" s="1"/>
  <c r="AK84" i="3"/>
  <c r="AK360" i="7"/>
  <c r="AK360" i="3" s="1"/>
  <c r="AK222" i="7"/>
  <c r="AK222" i="3" s="1"/>
  <c r="AP83" i="3"/>
  <c r="AP359" i="7"/>
  <c r="AP359" i="3" s="1"/>
  <c r="AP221" i="7"/>
  <c r="AP221" i="3" s="1"/>
  <c r="AU82" i="3"/>
  <c r="AU358" i="7"/>
  <c r="AU358" i="3" s="1"/>
  <c r="AU220" i="7"/>
  <c r="AU220" i="3" s="1"/>
  <c r="AE82" i="3"/>
  <c r="AE358" i="7"/>
  <c r="AE358" i="3" s="1"/>
  <c r="AE220" i="7"/>
  <c r="AE220" i="3" s="1"/>
  <c r="AJ81" i="3"/>
  <c r="AJ357" i="7"/>
  <c r="AJ357" i="3" s="1"/>
  <c r="AJ219" i="7"/>
  <c r="AJ219" i="3" s="1"/>
  <c r="AO80" i="3"/>
  <c r="AO356" i="7"/>
  <c r="AO356" i="3" s="1"/>
  <c r="AO218" i="7"/>
  <c r="AO218" i="3" s="1"/>
  <c r="AT79" i="3"/>
  <c r="AT355" i="7"/>
  <c r="AT355" i="3" s="1"/>
  <c r="AT217" i="7"/>
  <c r="AT217" i="3" s="1"/>
  <c r="AD79" i="3"/>
  <c r="AD355" i="7"/>
  <c r="AD355" i="3" s="1"/>
  <c r="AD217" i="7"/>
  <c r="AD217" i="3" s="1"/>
  <c r="AI78" i="3"/>
  <c r="AI354" i="7"/>
  <c r="AI354" i="3" s="1"/>
  <c r="AI216" i="7"/>
  <c r="AI216" i="3" s="1"/>
  <c r="AN353" i="7"/>
  <c r="AN215" i="7"/>
  <c r="AS76" i="3"/>
  <c r="AS352" i="7"/>
  <c r="AS352" i="3" s="1"/>
  <c r="AS214" i="7"/>
  <c r="AS214" i="3" s="1"/>
  <c r="AC76" i="3"/>
  <c r="AC352" i="7"/>
  <c r="AC352" i="3" s="1"/>
  <c r="AC214" i="7"/>
  <c r="AC214" i="3" s="1"/>
  <c r="AH75" i="3"/>
  <c r="AH351" i="7"/>
  <c r="AH351" i="3" s="1"/>
  <c r="AH213" i="7"/>
  <c r="AH213" i="3" s="1"/>
  <c r="AM74" i="3"/>
  <c r="AM350" i="7"/>
  <c r="AM350" i="3" s="1"/>
  <c r="AM212" i="7"/>
  <c r="AM212" i="3" s="1"/>
  <c r="AR73" i="3"/>
  <c r="AR349" i="7"/>
  <c r="AR349" i="3" s="1"/>
  <c r="AR211" i="7"/>
  <c r="AR211" i="3" s="1"/>
  <c r="AW72" i="3"/>
  <c r="AW348" i="7"/>
  <c r="AW348" i="3" s="1"/>
  <c r="AW210" i="7"/>
  <c r="AW210" i="3" s="1"/>
  <c r="AG72" i="3"/>
  <c r="AG348" i="7"/>
  <c r="AG348" i="3" s="1"/>
  <c r="AG210" i="7"/>
  <c r="AG210" i="3" s="1"/>
  <c r="AL71" i="3"/>
  <c r="AL347" i="7"/>
  <c r="AL347" i="3" s="1"/>
  <c r="AL209" i="7"/>
  <c r="AL209" i="3" s="1"/>
  <c r="AQ70" i="3"/>
  <c r="AQ346" i="7"/>
  <c r="AQ346" i="3" s="1"/>
  <c r="AQ208" i="7"/>
  <c r="AQ208" i="3" s="1"/>
  <c r="AV69" i="3"/>
  <c r="AV345" i="7"/>
  <c r="AV345" i="3" s="1"/>
  <c r="AV207" i="7"/>
  <c r="AV207" i="3" s="1"/>
  <c r="AF69" i="3"/>
  <c r="AF345" i="7"/>
  <c r="AF345" i="3" s="1"/>
  <c r="AF207" i="7"/>
  <c r="AF207" i="3" s="1"/>
  <c r="AK68" i="3"/>
  <c r="AK344" i="7"/>
  <c r="AK344" i="3" s="1"/>
  <c r="AK206" i="7"/>
  <c r="AK206" i="3" s="1"/>
  <c r="AP67" i="3"/>
  <c r="AP343" i="7"/>
  <c r="AP343" i="3" s="1"/>
  <c r="AP205" i="7"/>
  <c r="AP205" i="3" s="1"/>
  <c r="AU66" i="3"/>
  <c r="AU342" i="7"/>
  <c r="AU342" i="3" s="1"/>
  <c r="AU204" i="7"/>
  <c r="AU204" i="3" s="1"/>
  <c r="AE66" i="3"/>
  <c r="AE342" i="7"/>
  <c r="AE342" i="3" s="1"/>
  <c r="AE204" i="7"/>
  <c r="AE204" i="3" s="1"/>
  <c r="AJ65" i="3"/>
  <c r="AJ341" i="7"/>
  <c r="AJ341" i="3" s="1"/>
  <c r="AJ203" i="7"/>
  <c r="AJ203" i="3" s="1"/>
  <c r="AO64" i="3"/>
  <c r="AO340" i="7"/>
  <c r="AO340" i="3" s="1"/>
  <c r="AO202" i="7"/>
  <c r="AO202" i="3" s="1"/>
  <c r="AT63" i="3"/>
  <c r="AT339" i="7"/>
  <c r="AT339" i="3" s="1"/>
  <c r="AT201" i="7"/>
  <c r="AT201" i="3" s="1"/>
  <c r="AD63" i="3"/>
  <c r="AD339" i="7"/>
  <c r="AD339" i="3" s="1"/>
  <c r="AD201" i="7"/>
  <c r="AD201" i="3" s="1"/>
  <c r="AI62" i="3"/>
  <c r="AI338" i="7"/>
  <c r="AI338" i="3" s="1"/>
  <c r="AI200" i="7"/>
  <c r="AI200" i="3" s="1"/>
  <c r="AN61" i="3"/>
  <c r="AN337" i="7"/>
  <c r="AN337" i="3" s="1"/>
  <c r="AN199" i="7"/>
  <c r="AN199" i="3" s="1"/>
  <c r="AS60" i="3"/>
  <c r="AS336" i="7"/>
  <c r="AS336" i="3" s="1"/>
  <c r="AS198" i="7"/>
  <c r="AS198" i="3" s="1"/>
  <c r="AC60" i="3"/>
  <c r="AC336" i="7"/>
  <c r="AC336" i="3" s="1"/>
  <c r="AC198" i="7"/>
  <c r="AC198" i="3" s="1"/>
  <c r="AH59" i="3"/>
  <c r="AH335" i="7"/>
  <c r="AH335" i="3" s="1"/>
  <c r="AH197" i="7"/>
  <c r="AH197" i="3" s="1"/>
  <c r="AM58" i="3"/>
  <c r="AM334" i="7"/>
  <c r="AM334" i="3" s="1"/>
  <c r="AM196" i="7"/>
  <c r="AM196" i="3" s="1"/>
  <c r="AR57" i="3"/>
  <c r="AR333" i="7"/>
  <c r="AR333" i="3" s="1"/>
  <c r="AR195" i="7"/>
  <c r="AR195" i="3" s="1"/>
  <c r="AW56" i="3"/>
  <c r="AW332" i="7"/>
  <c r="AW332" i="3" s="1"/>
  <c r="AW194" i="7"/>
  <c r="AW194" i="3" s="1"/>
  <c r="AG56" i="3"/>
  <c r="AG332" i="7"/>
  <c r="AG332" i="3" s="1"/>
  <c r="AG194" i="7"/>
  <c r="AG194" i="3" s="1"/>
  <c r="AL55" i="3"/>
  <c r="AL331" i="7"/>
  <c r="AL331" i="3" s="1"/>
  <c r="AL193" i="7"/>
  <c r="AL193" i="3" s="1"/>
  <c r="AQ54" i="3"/>
  <c r="AQ330" i="7"/>
  <c r="AQ330" i="3" s="1"/>
  <c r="AQ192" i="7"/>
  <c r="AQ192" i="3" s="1"/>
  <c r="AV53" i="3"/>
  <c r="AV329" i="7"/>
  <c r="AV329" i="3" s="1"/>
  <c r="AV191" i="7"/>
  <c r="AV191" i="3" s="1"/>
  <c r="AF53" i="3"/>
  <c r="AF329" i="7"/>
  <c r="AF329" i="3" s="1"/>
  <c r="AF191" i="7"/>
  <c r="AF191" i="3" s="1"/>
  <c r="AK52" i="3"/>
  <c r="AK328" i="7"/>
  <c r="AK328" i="3" s="1"/>
  <c r="AK190" i="7"/>
  <c r="AK190" i="3" s="1"/>
  <c r="AP51" i="3"/>
  <c r="AP327" i="7"/>
  <c r="AP327" i="3" s="1"/>
  <c r="AP189" i="7"/>
  <c r="AP189" i="3" s="1"/>
  <c r="AU50" i="3"/>
  <c r="AU326" i="7"/>
  <c r="AU326" i="3" s="1"/>
  <c r="AU188" i="7"/>
  <c r="AU188" i="3" s="1"/>
  <c r="AE50" i="3"/>
  <c r="AE326" i="7"/>
  <c r="AE326" i="3" s="1"/>
  <c r="AE188" i="7"/>
  <c r="AE188" i="3" s="1"/>
  <c r="AJ49" i="3"/>
  <c r="AJ325" i="7"/>
  <c r="AJ325" i="3" s="1"/>
  <c r="AJ187" i="7"/>
  <c r="AJ187" i="3" s="1"/>
  <c r="AO48" i="3"/>
  <c r="AO324" i="7"/>
  <c r="AO324" i="3" s="1"/>
  <c r="AO186" i="7"/>
  <c r="AO186" i="3" s="1"/>
  <c r="AT47" i="3"/>
  <c r="AT323" i="7"/>
  <c r="AT323" i="3" s="1"/>
  <c r="AT185" i="7"/>
  <c r="AT185" i="3" s="1"/>
  <c r="AD47" i="3"/>
  <c r="AD323" i="7"/>
  <c r="AD323" i="3" s="1"/>
  <c r="AD185" i="7"/>
  <c r="AD185" i="3" s="1"/>
  <c r="AI46" i="3"/>
  <c r="AI322" i="7"/>
  <c r="AI322" i="3" s="1"/>
  <c r="AI184" i="7"/>
  <c r="AI184" i="3" s="1"/>
  <c r="AN45" i="3"/>
  <c r="AN321" i="7"/>
  <c r="AN321" i="3" s="1"/>
  <c r="AN183" i="7"/>
  <c r="AN183" i="3" s="1"/>
  <c r="AS44" i="3"/>
  <c r="AS320" i="7"/>
  <c r="AS320" i="3" s="1"/>
  <c r="AS182" i="7"/>
  <c r="AS182" i="3" s="1"/>
  <c r="AC44" i="3"/>
  <c r="AC320" i="7"/>
  <c r="AC320" i="3" s="1"/>
  <c r="AC182" i="7"/>
  <c r="AC182" i="3" s="1"/>
  <c r="AH43" i="3"/>
  <c r="AH319" i="7"/>
  <c r="AH319" i="3" s="1"/>
  <c r="AH181" i="7"/>
  <c r="AH181" i="3" s="1"/>
  <c r="AM42" i="3"/>
  <c r="AM318" i="7"/>
  <c r="AM318" i="3" s="1"/>
  <c r="AM180" i="7"/>
  <c r="AM180" i="3" s="1"/>
  <c r="AR41" i="3"/>
  <c r="AR317" i="7"/>
  <c r="AR317" i="3" s="1"/>
  <c r="AR179" i="7"/>
  <c r="AR179" i="3" s="1"/>
  <c r="AW40" i="3"/>
  <c r="AW316" i="7"/>
  <c r="AW316" i="3" s="1"/>
  <c r="AW178" i="7"/>
  <c r="AW178" i="3" s="1"/>
  <c r="AG40" i="3"/>
  <c r="AG316" i="7"/>
  <c r="AG316" i="3" s="1"/>
  <c r="AG178" i="7"/>
  <c r="AG178" i="3" s="1"/>
  <c r="AL39" i="3"/>
  <c r="AL315" i="7"/>
  <c r="AL315" i="3" s="1"/>
  <c r="AL177" i="7"/>
  <c r="AL177" i="3" s="1"/>
  <c r="AQ38" i="3"/>
  <c r="AQ314" i="7"/>
  <c r="AQ314" i="3" s="1"/>
  <c r="AQ176" i="7"/>
  <c r="AQ176" i="3" s="1"/>
  <c r="AV37" i="3"/>
  <c r="AV313" i="7"/>
  <c r="AV313" i="3" s="1"/>
  <c r="AV175" i="7"/>
  <c r="AV175" i="3" s="1"/>
  <c r="AF37" i="3"/>
  <c r="AF313" i="7"/>
  <c r="AF313" i="3" s="1"/>
  <c r="AF175" i="7"/>
  <c r="AF175" i="3" s="1"/>
  <c r="AK36" i="3"/>
  <c r="AK312" i="7"/>
  <c r="AK312" i="3" s="1"/>
  <c r="AK174" i="7"/>
  <c r="AK174" i="3" s="1"/>
  <c r="AX130" i="3"/>
  <c r="AX406" i="7"/>
  <c r="AX406" i="3" s="1"/>
  <c r="AX268" i="7"/>
  <c r="AX268" i="3" s="1"/>
  <c r="AX114" i="3"/>
  <c r="AX390" i="7"/>
  <c r="AX390" i="3" s="1"/>
  <c r="AX252" i="7"/>
  <c r="AX252" i="3" s="1"/>
  <c r="AX98" i="3"/>
  <c r="AX374" i="7"/>
  <c r="AX374" i="3" s="1"/>
  <c r="AX236" i="7"/>
  <c r="AX236" i="3" s="1"/>
  <c r="AX82" i="3"/>
  <c r="AX358" i="7"/>
  <c r="AX358" i="3" s="1"/>
  <c r="AX220" i="7"/>
  <c r="AX220" i="3" s="1"/>
  <c r="AX66" i="3"/>
  <c r="AX342" i="7"/>
  <c r="AX342" i="3" s="1"/>
  <c r="AX204" i="7"/>
  <c r="AX204" i="3" s="1"/>
  <c r="AX50" i="3"/>
  <c r="AX326" i="7"/>
  <c r="AX326" i="3" s="1"/>
  <c r="AX188" i="7"/>
  <c r="AX188" i="3" s="1"/>
  <c r="AX34" i="3"/>
  <c r="AX310" i="7"/>
  <c r="AX310" i="3" s="1"/>
  <c r="AX172" i="7"/>
  <c r="AX172" i="3" s="1"/>
  <c r="AX18" i="3"/>
  <c r="AX294" i="7"/>
  <c r="AX294" i="3" s="1"/>
  <c r="AX156" i="7"/>
  <c r="AX156" i="3" s="1"/>
  <c r="AX2" i="3"/>
  <c r="AX278" i="7"/>
  <c r="AX254" i="7"/>
  <c r="AX254" i="3" s="1"/>
  <c r="AF249" i="7"/>
  <c r="AF249" i="3" s="1"/>
  <c r="AI129" i="3"/>
  <c r="AI405" i="7"/>
  <c r="AI405" i="3" s="1"/>
  <c r="AS127" i="3"/>
  <c r="AS403" i="7"/>
  <c r="AS403" i="3" s="1"/>
  <c r="AS265" i="7"/>
  <c r="AS265" i="3" s="1"/>
  <c r="AC127" i="3"/>
  <c r="AC403" i="7"/>
  <c r="AC403" i="3" s="1"/>
  <c r="AC265" i="7"/>
  <c r="AC265" i="3" s="1"/>
  <c r="AH126" i="3"/>
  <c r="AH402" i="7"/>
  <c r="AH402" i="3" s="1"/>
  <c r="AM125" i="3"/>
  <c r="AM401" i="7"/>
  <c r="AM401" i="3" s="1"/>
  <c r="AM263" i="7"/>
  <c r="AM263" i="3" s="1"/>
  <c r="AR124" i="3"/>
  <c r="AR400" i="7"/>
  <c r="AR400" i="3" s="1"/>
  <c r="AR262" i="7"/>
  <c r="AR262" i="3" s="1"/>
  <c r="AW123" i="3"/>
  <c r="AW399" i="7"/>
  <c r="AW399" i="3" s="1"/>
  <c r="AW261" i="7"/>
  <c r="AW261" i="3" s="1"/>
  <c r="AG123" i="3"/>
  <c r="AG399" i="7"/>
  <c r="AG399" i="3" s="1"/>
  <c r="AG261" i="7"/>
  <c r="AG261" i="3" s="1"/>
  <c r="AL122" i="3"/>
  <c r="AL398" i="7"/>
  <c r="AL398" i="3" s="1"/>
  <c r="AL260" i="7"/>
  <c r="AL260" i="3" s="1"/>
  <c r="AQ121" i="3"/>
  <c r="AQ397" i="7"/>
  <c r="AQ397" i="3" s="1"/>
  <c r="AQ259" i="7"/>
  <c r="AQ259" i="3" s="1"/>
  <c r="AV120" i="3"/>
  <c r="AV396" i="7"/>
  <c r="AV396" i="3" s="1"/>
  <c r="AV258" i="7"/>
  <c r="AV258" i="3" s="1"/>
  <c r="AF120" i="3"/>
  <c r="AF396" i="7"/>
  <c r="AF396" i="3" s="1"/>
  <c r="AF258" i="7"/>
  <c r="AF258" i="3" s="1"/>
  <c r="AK119" i="3"/>
  <c r="AK395" i="7"/>
  <c r="AK395" i="3" s="1"/>
  <c r="AP118" i="3"/>
  <c r="AP394" i="7"/>
  <c r="AP394" i="3" s="1"/>
  <c r="AP256" i="7"/>
  <c r="AP256" i="3" s="1"/>
  <c r="AU117" i="3"/>
  <c r="AU393" i="7"/>
  <c r="AU393" i="3" s="1"/>
  <c r="AU255" i="7"/>
  <c r="AU255" i="3" s="1"/>
  <c r="AE117" i="3"/>
  <c r="AE393" i="7"/>
  <c r="AE393" i="3" s="1"/>
  <c r="AE255" i="7"/>
  <c r="AE255" i="3" s="1"/>
  <c r="AJ116" i="3"/>
  <c r="AJ392" i="7"/>
  <c r="AJ392" i="3" s="1"/>
  <c r="AJ254" i="7"/>
  <c r="AJ254" i="3" s="1"/>
  <c r="AO115" i="3"/>
  <c r="AO391" i="7"/>
  <c r="AO391" i="3" s="1"/>
  <c r="AO253" i="7"/>
  <c r="AO253" i="3" s="1"/>
  <c r="AT114" i="3"/>
  <c r="AT390" i="7"/>
  <c r="AT390" i="3" s="1"/>
  <c r="AD114" i="3"/>
  <c r="AD390" i="7"/>
  <c r="AD390" i="3" s="1"/>
  <c r="AI113" i="3"/>
  <c r="AI389" i="7"/>
  <c r="AI389" i="3" s="1"/>
  <c r="AN112" i="3"/>
  <c r="AN388" i="7"/>
  <c r="AN388" i="3" s="1"/>
  <c r="AN250" i="7"/>
  <c r="AN250" i="3" s="1"/>
  <c r="AS111" i="3"/>
  <c r="AS387" i="7"/>
  <c r="AS387" i="3" s="1"/>
  <c r="AS249" i="7"/>
  <c r="AS249" i="3" s="1"/>
  <c r="AC111" i="3"/>
  <c r="AC387" i="7"/>
  <c r="AC387" i="3" s="1"/>
  <c r="AC249" i="7"/>
  <c r="AC249" i="3" s="1"/>
  <c r="AH110" i="3"/>
  <c r="AH386" i="7"/>
  <c r="AH386" i="3" s="1"/>
  <c r="AM109" i="3"/>
  <c r="AM385" i="7"/>
  <c r="AM385" i="3" s="1"/>
  <c r="AM247" i="7"/>
  <c r="AM247" i="3" s="1"/>
  <c r="AR108" i="3"/>
  <c r="AR384" i="7"/>
  <c r="AR384" i="3" s="1"/>
  <c r="AR246" i="7"/>
  <c r="AR246" i="3" s="1"/>
  <c r="AW107" i="3"/>
  <c r="AW383" i="7"/>
  <c r="AW383" i="3" s="1"/>
  <c r="AW245" i="7"/>
  <c r="AW245" i="3" s="1"/>
  <c r="AG107" i="3"/>
  <c r="AG383" i="7"/>
  <c r="AG383" i="3" s="1"/>
  <c r="AG245" i="7"/>
  <c r="AG245" i="3" s="1"/>
  <c r="AL106" i="3"/>
  <c r="AL382" i="7"/>
  <c r="AL382" i="3" s="1"/>
  <c r="AL244" i="7"/>
  <c r="AL244" i="3" s="1"/>
  <c r="AQ105" i="3"/>
  <c r="AQ381" i="7"/>
  <c r="AQ381" i="3" s="1"/>
  <c r="AQ243" i="7"/>
  <c r="AQ243" i="3" s="1"/>
  <c r="AV104" i="3"/>
  <c r="AV380" i="7"/>
  <c r="AV380" i="3" s="1"/>
  <c r="AV242" i="7"/>
  <c r="AV242" i="3" s="1"/>
  <c r="AF104" i="3"/>
  <c r="AF380" i="7"/>
  <c r="AF380" i="3" s="1"/>
  <c r="AF242" i="7"/>
  <c r="AF242" i="3" s="1"/>
  <c r="AK103" i="3"/>
  <c r="AK379" i="7"/>
  <c r="AK379" i="3" s="1"/>
  <c r="AK241" i="7"/>
  <c r="AK241" i="3" s="1"/>
  <c r="AP102" i="3"/>
  <c r="AP378" i="7"/>
  <c r="AP378" i="3" s="1"/>
  <c r="AP240" i="7"/>
  <c r="AP240" i="3" s="1"/>
  <c r="AU101" i="3"/>
  <c r="AU377" i="7"/>
  <c r="AU377" i="3" s="1"/>
  <c r="AU239" i="7"/>
  <c r="AU239" i="3" s="1"/>
  <c r="AE101" i="3"/>
  <c r="AE377" i="7"/>
  <c r="AE377" i="3" s="1"/>
  <c r="AE239" i="7"/>
  <c r="AE239" i="3" s="1"/>
  <c r="AJ100" i="3"/>
  <c r="AJ376" i="7"/>
  <c r="AJ376" i="3" s="1"/>
  <c r="AJ238" i="7"/>
  <c r="AJ238" i="3" s="1"/>
  <c r="AO99" i="3"/>
  <c r="AO375" i="7"/>
  <c r="AO375" i="3" s="1"/>
  <c r="AO237" i="7"/>
  <c r="AO237" i="3" s="1"/>
  <c r="AT98" i="3"/>
  <c r="AT374" i="7"/>
  <c r="AT374" i="3" s="1"/>
  <c r="AD98" i="3"/>
  <c r="AD374" i="7"/>
  <c r="AD374" i="3" s="1"/>
  <c r="AI97" i="3"/>
  <c r="AI373" i="7"/>
  <c r="AI373" i="3" s="1"/>
  <c r="AN96" i="3"/>
  <c r="AN372" i="7"/>
  <c r="AN372" i="3" s="1"/>
  <c r="AN234" i="7"/>
  <c r="AN234" i="3" s="1"/>
  <c r="AS95" i="3"/>
  <c r="AS371" i="7"/>
  <c r="AS371" i="3" s="1"/>
  <c r="AS233" i="7"/>
  <c r="AS233" i="3" s="1"/>
  <c r="AC95" i="3"/>
  <c r="AC371" i="7"/>
  <c r="AC371" i="3" s="1"/>
  <c r="AC233" i="7"/>
  <c r="AC233" i="3" s="1"/>
  <c r="AH94" i="3"/>
  <c r="AH370" i="7"/>
  <c r="AH370" i="3" s="1"/>
  <c r="AH232" i="7"/>
  <c r="AH232" i="3" s="1"/>
  <c r="AM93" i="3"/>
  <c r="AM369" i="7"/>
  <c r="AM369" i="3" s="1"/>
  <c r="AM231" i="7"/>
  <c r="AM231" i="3" s="1"/>
  <c r="AR92" i="3"/>
  <c r="AR368" i="7"/>
  <c r="AR368" i="3" s="1"/>
  <c r="AR230" i="7"/>
  <c r="AR230" i="3" s="1"/>
  <c r="AW91" i="3"/>
  <c r="AW367" i="7"/>
  <c r="AW367" i="3" s="1"/>
  <c r="AW229" i="7"/>
  <c r="AW229" i="3" s="1"/>
  <c r="AG91" i="3"/>
  <c r="AG367" i="7"/>
  <c r="AG367" i="3" s="1"/>
  <c r="AG229" i="7"/>
  <c r="AG229" i="3" s="1"/>
  <c r="AL90" i="3"/>
  <c r="AL366" i="7"/>
  <c r="AL366" i="3" s="1"/>
  <c r="AL228" i="7"/>
  <c r="AL228" i="3" s="1"/>
  <c r="AQ365" i="7"/>
  <c r="AQ227" i="7"/>
  <c r="AV88" i="3"/>
  <c r="AV364" i="7"/>
  <c r="AV364" i="3" s="1"/>
  <c r="AV226" i="7"/>
  <c r="AV226" i="3" s="1"/>
  <c r="AF88" i="3"/>
  <c r="AF364" i="7"/>
  <c r="AF364" i="3" s="1"/>
  <c r="AF226" i="7"/>
  <c r="AF226" i="3" s="1"/>
  <c r="AK87" i="3"/>
  <c r="AK363" i="7"/>
  <c r="AK363" i="3" s="1"/>
  <c r="AK225" i="7"/>
  <c r="AK225" i="3" s="1"/>
  <c r="AP86" i="3"/>
  <c r="AP362" i="7"/>
  <c r="AP362" i="3" s="1"/>
  <c r="AP224" i="7"/>
  <c r="AP224" i="3" s="1"/>
  <c r="AU85" i="3"/>
  <c r="AU361" i="7"/>
  <c r="AU361" i="3" s="1"/>
  <c r="AU223" i="7"/>
  <c r="AU223" i="3" s="1"/>
  <c r="AE85" i="3"/>
  <c r="AE361" i="7"/>
  <c r="AE361" i="3" s="1"/>
  <c r="AE223" i="7"/>
  <c r="AE223" i="3" s="1"/>
  <c r="AJ84" i="3"/>
  <c r="AJ360" i="7"/>
  <c r="AJ360" i="3" s="1"/>
  <c r="AJ222" i="7"/>
  <c r="AJ222" i="3" s="1"/>
  <c r="AO83" i="3"/>
  <c r="AO359" i="7"/>
  <c r="AO359" i="3" s="1"/>
  <c r="AO221" i="7"/>
  <c r="AO221" i="3" s="1"/>
  <c r="AT82" i="3"/>
  <c r="AT358" i="7"/>
  <c r="AT358" i="3" s="1"/>
  <c r="AT220" i="7"/>
  <c r="AT220" i="3" s="1"/>
  <c r="AD82" i="3"/>
  <c r="AD358" i="7"/>
  <c r="AD358" i="3" s="1"/>
  <c r="AD220" i="7"/>
  <c r="AD220" i="3" s="1"/>
  <c r="AI81" i="3"/>
  <c r="AI357" i="7"/>
  <c r="AI357" i="3" s="1"/>
  <c r="AI219" i="7"/>
  <c r="AI219" i="3" s="1"/>
  <c r="AN80" i="3"/>
  <c r="AN356" i="7"/>
  <c r="AN356" i="3" s="1"/>
  <c r="AN218" i="7"/>
  <c r="AN218" i="3" s="1"/>
  <c r="AS79" i="3"/>
  <c r="AS355" i="7"/>
  <c r="AS355" i="3" s="1"/>
  <c r="AS217" i="7"/>
  <c r="AS217" i="3" s="1"/>
  <c r="AC79" i="3"/>
  <c r="AC355" i="7"/>
  <c r="AC355" i="3" s="1"/>
  <c r="AC217" i="7"/>
  <c r="AC217" i="3" s="1"/>
  <c r="AH78" i="3"/>
  <c r="AH354" i="7"/>
  <c r="AH354" i="3" s="1"/>
  <c r="AH216" i="7"/>
  <c r="AH216" i="3" s="1"/>
  <c r="AM353" i="7"/>
  <c r="AM215" i="7"/>
  <c r="AR76" i="3"/>
  <c r="AR352" i="7"/>
  <c r="AR352" i="3" s="1"/>
  <c r="AR214" i="7"/>
  <c r="AR214" i="3" s="1"/>
  <c r="AW75" i="3"/>
  <c r="AW351" i="7"/>
  <c r="AW351" i="3" s="1"/>
  <c r="AW213" i="7"/>
  <c r="AW213" i="3" s="1"/>
  <c r="AG75" i="3"/>
  <c r="AG351" i="7"/>
  <c r="AG351" i="3" s="1"/>
  <c r="AG213" i="7"/>
  <c r="AG213" i="3" s="1"/>
  <c r="AL74" i="3"/>
  <c r="AL350" i="7"/>
  <c r="AL350" i="3" s="1"/>
  <c r="AL212" i="7"/>
  <c r="AL212" i="3" s="1"/>
  <c r="AQ73" i="3"/>
  <c r="AQ349" i="7"/>
  <c r="AQ349" i="3" s="1"/>
  <c r="AQ211" i="7"/>
  <c r="AQ211" i="3" s="1"/>
  <c r="AV72" i="3"/>
  <c r="AV348" i="7"/>
  <c r="AV348" i="3" s="1"/>
  <c r="AV210" i="7"/>
  <c r="AV210" i="3" s="1"/>
  <c r="AF72" i="3"/>
  <c r="AF348" i="7"/>
  <c r="AF348" i="3" s="1"/>
  <c r="AF210" i="7"/>
  <c r="AF210" i="3" s="1"/>
  <c r="AK71" i="3"/>
  <c r="AK347" i="7"/>
  <c r="AK347" i="3" s="1"/>
  <c r="AK209" i="7"/>
  <c r="AK209" i="3" s="1"/>
  <c r="AP70" i="3"/>
  <c r="AP346" i="7"/>
  <c r="AP346" i="3" s="1"/>
  <c r="AP208" i="7"/>
  <c r="AP208" i="3" s="1"/>
  <c r="AU69" i="3"/>
  <c r="AU345" i="7"/>
  <c r="AU345" i="3" s="1"/>
  <c r="AU207" i="7"/>
  <c r="AU207" i="3" s="1"/>
  <c r="AE69" i="3"/>
  <c r="AE345" i="7"/>
  <c r="AE345" i="3" s="1"/>
  <c r="AE207" i="7"/>
  <c r="AE207" i="3" s="1"/>
  <c r="AJ68" i="3"/>
  <c r="AJ344" i="7"/>
  <c r="AJ344" i="3" s="1"/>
  <c r="AJ206" i="7"/>
  <c r="AJ206" i="3" s="1"/>
  <c r="AO67" i="3"/>
  <c r="AO343" i="7"/>
  <c r="AO343" i="3" s="1"/>
  <c r="AO205" i="7"/>
  <c r="AO205" i="3" s="1"/>
  <c r="AT66" i="3"/>
  <c r="AT342" i="7"/>
  <c r="AT342" i="3" s="1"/>
  <c r="AT204" i="7"/>
  <c r="AT204" i="3" s="1"/>
  <c r="AD66" i="3"/>
  <c r="AD342" i="7"/>
  <c r="AD342" i="3" s="1"/>
  <c r="AI65" i="3"/>
  <c r="AI341" i="7"/>
  <c r="AI341" i="3" s="1"/>
  <c r="AI203" i="7"/>
  <c r="AI203" i="3" s="1"/>
  <c r="AN64" i="3"/>
  <c r="AN340" i="7"/>
  <c r="AN340" i="3" s="1"/>
  <c r="AN202" i="7"/>
  <c r="AN202" i="3" s="1"/>
  <c r="AS63" i="3"/>
  <c r="AS339" i="7"/>
  <c r="AS339" i="3" s="1"/>
  <c r="AS201" i="7"/>
  <c r="AS201" i="3" s="1"/>
  <c r="AC63" i="3"/>
  <c r="AC339" i="7"/>
  <c r="AC339" i="3" s="1"/>
  <c r="AC201" i="7"/>
  <c r="AC201" i="3" s="1"/>
  <c r="AH62" i="3"/>
  <c r="AH338" i="7"/>
  <c r="AH338" i="3" s="1"/>
  <c r="AH200" i="7"/>
  <c r="AH200" i="3" s="1"/>
  <c r="AM61" i="3"/>
  <c r="AM337" i="7"/>
  <c r="AM337" i="3" s="1"/>
  <c r="AM199" i="7"/>
  <c r="AM199" i="3" s="1"/>
  <c r="AR60" i="3"/>
  <c r="AR336" i="7"/>
  <c r="AR336" i="3" s="1"/>
  <c r="AR198" i="7"/>
  <c r="AR198" i="3" s="1"/>
  <c r="AW59" i="3"/>
  <c r="AW335" i="7"/>
  <c r="AW335" i="3" s="1"/>
  <c r="AW197" i="7"/>
  <c r="AW197" i="3" s="1"/>
  <c r="AG59" i="3"/>
  <c r="AG335" i="7"/>
  <c r="AG335" i="3" s="1"/>
  <c r="AG197" i="7"/>
  <c r="AG197" i="3" s="1"/>
  <c r="AL58" i="3"/>
  <c r="AL334" i="7"/>
  <c r="AL334" i="3" s="1"/>
  <c r="AL196" i="7"/>
  <c r="AL196" i="3" s="1"/>
  <c r="AQ57" i="3"/>
  <c r="AQ333" i="7"/>
  <c r="AQ333" i="3" s="1"/>
  <c r="AQ195" i="7"/>
  <c r="AQ195" i="3" s="1"/>
  <c r="AV56" i="3"/>
  <c r="AV332" i="7"/>
  <c r="AV332" i="3" s="1"/>
  <c r="AV194" i="7"/>
  <c r="AV194" i="3" s="1"/>
  <c r="AF56" i="3"/>
  <c r="AF332" i="7"/>
  <c r="AF332" i="3" s="1"/>
  <c r="AF194" i="7"/>
  <c r="AF194" i="3" s="1"/>
  <c r="AK55" i="3"/>
  <c r="AK331" i="7"/>
  <c r="AK331" i="3" s="1"/>
  <c r="AK193" i="7"/>
  <c r="AK193" i="3" s="1"/>
  <c r="AP54" i="3"/>
  <c r="AP330" i="7"/>
  <c r="AP330" i="3" s="1"/>
  <c r="AP192" i="7"/>
  <c r="AP192" i="3" s="1"/>
  <c r="AU53" i="3"/>
  <c r="AU329" i="7"/>
  <c r="AU329" i="3" s="1"/>
  <c r="AU191" i="7"/>
  <c r="AU191" i="3" s="1"/>
  <c r="AE53" i="3"/>
  <c r="AE329" i="7"/>
  <c r="AE329" i="3" s="1"/>
  <c r="AE191" i="7"/>
  <c r="AE191" i="3" s="1"/>
  <c r="AJ52" i="3"/>
  <c r="AJ328" i="7"/>
  <c r="AJ328" i="3" s="1"/>
  <c r="AJ190" i="7"/>
  <c r="AJ190" i="3" s="1"/>
  <c r="AO51" i="3"/>
  <c r="AO327" i="7"/>
  <c r="AO327" i="3" s="1"/>
  <c r="AO189" i="7"/>
  <c r="AO189" i="3" s="1"/>
  <c r="AT50" i="3"/>
  <c r="AT326" i="7"/>
  <c r="AT326" i="3" s="1"/>
  <c r="AT188" i="7"/>
  <c r="AT188" i="3" s="1"/>
  <c r="AD50" i="3"/>
  <c r="AD326" i="7"/>
  <c r="AD326" i="3" s="1"/>
  <c r="AD188" i="7"/>
  <c r="AD188" i="3" s="1"/>
  <c r="AI49" i="3"/>
  <c r="AI325" i="7"/>
  <c r="AI325" i="3" s="1"/>
  <c r="AI187" i="7"/>
  <c r="AI187" i="3" s="1"/>
  <c r="AN48" i="3"/>
  <c r="AN324" i="7"/>
  <c r="AN324" i="3" s="1"/>
  <c r="AN186" i="7"/>
  <c r="AN186" i="3" s="1"/>
  <c r="AS47" i="3"/>
  <c r="AS323" i="7"/>
  <c r="AS323" i="3" s="1"/>
  <c r="AS185" i="7"/>
  <c r="AS185" i="3" s="1"/>
  <c r="AC47" i="3"/>
  <c r="AC323" i="7"/>
  <c r="AC323" i="3" s="1"/>
  <c r="AC185" i="7"/>
  <c r="AC185" i="3" s="1"/>
  <c r="AH46" i="3"/>
  <c r="AH322" i="7"/>
  <c r="AH322" i="3" s="1"/>
  <c r="AH184" i="7"/>
  <c r="AH184" i="3" s="1"/>
  <c r="AM45" i="3"/>
  <c r="AM321" i="7"/>
  <c r="AM321" i="3" s="1"/>
  <c r="AM183" i="7"/>
  <c r="AM183" i="3" s="1"/>
  <c r="AR44" i="3"/>
  <c r="AR320" i="7"/>
  <c r="AR320" i="3" s="1"/>
  <c r="AR182" i="7"/>
  <c r="AR182" i="3" s="1"/>
  <c r="AW43" i="3"/>
  <c r="AW319" i="7"/>
  <c r="AW319" i="3" s="1"/>
  <c r="AW181" i="7"/>
  <c r="AW181" i="3" s="1"/>
  <c r="AG43" i="3"/>
  <c r="AG319" i="7"/>
  <c r="AG319" i="3" s="1"/>
  <c r="AG181" i="7"/>
  <c r="AG181" i="3" s="1"/>
  <c r="AL42" i="3"/>
  <c r="AL318" i="7"/>
  <c r="AL318" i="3" s="1"/>
  <c r="AL180" i="7"/>
  <c r="AL180" i="3" s="1"/>
  <c r="AQ41" i="3"/>
  <c r="AQ317" i="7"/>
  <c r="AQ317" i="3" s="1"/>
  <c r="AQ179" i="7"/>
  <c r="AQ179" i="3" s="1"/>
  <c r="AV40" i="3"/>
  <c r="AV316" i="7"/>
  <c r="AV316" i="3" s="1"/>
  <c r="AV178" i="7"/>
  <c r="AV178" i="3" s="1"/>
  <c r="AF40" i="3"/>
  <c r="AF316" i="7"/>
  <c r="AF316" i="3" s="1"/>
  <c r="AF178" i="7"/>
  <c r="AF178" i="3" s="1"/>
  <c r="AK39" i="3"/>
  <c r="AK315" i="7"/>
  <c r="AK315" i="3" s="1"/>
  <c r="AK177" i="7"/>
  <c r="AK177" i="3" s="1"/>
  <c r="AP38" i="3"/>
  <c r="AP314" i="7"/>
  <c r="AP314" i="3" s="1"/>
  <c r="AP176" i="7"/>
  <c r="AP176" i="3" s="1"/>
  <c r="AU37" i="3"/>
  <c r="AU313" i="7"/>
  <c r="AU313" i="3" s="1"/>
  <c r="AU175" i="7"/>
  <c r="AU175" i="3" s="1"/>
  <c r="AE37" i="3"/>
  <c r="AE313" i="7"/>
  <c r="AE313" i="3" s="1"/>
  <c r="AE175" i="7"/>
  <c r="AE175" i="3" s="1"/>
  <c r="AJ36" i="3"/>
  <c r="AJ312" i="7"/>
  <c r="AJ312" i="3" s="1"/>
  <c r="AJ174" i="7"/>
  <c r="AJ174" i="3" s="1"/>
  <c r="AX129" i="3"/>
  <c r="AX405" i="7"/>
  <c r="AX405" i="3" s="1"/>
  <c r="AX113" i="3"/>
  <c r="AX389" i="7"/>
  <c r="AX389" i="3" s="1"/>
  <c r="AX251" i="7"/>
  <c r="AX251" i="3" s="1"/>
  <c r="AX97" i="3"/>
  <c r="AX373" i="7"/>
  <c r="AX373" i="3" s="1"/>
  <c r="AX235" i="7"/>
  <c r="AX235" i="3" s="1"/>
  <c r="AX81" i="3"/>
  <c r="AX357" i="7"/>
  <c r="AX357" i="3" s="1"/>
  <c r="AX219" i="7"/>
  <c r="AX219" i="3" s="1"/>
  <c r="AX65" i="3"/>
  <c r="AX341" i="7"/>
  <c r="AX341" i="3" s="1"/>
  <c r="AX203" i="7"/>
  <c r="AX203" i="3" s="1"/>
  <c r="AX49" i="3"/>
  <c r="AX325" i="7"/>
  <c r="AX325" i="3" s="1"/>
  <c r="AX187" i="7"/>
  <c r="AX187" i="3" s="1"/>
  <c r="AX33" i="3"/>
  <c r="AX309" i="7"/>
  <c r="AX309" i="3" s="1"/>
  <c r="AX171" i="7"/>
  <c r="AX171" i="3" s="1"/>
  <c r="AX17" i="3"/>
  <c r="AX293" i="7"/>
  <c r="AX293" i="3" s="1"/>
  <c r="AX155" i="7"/>
  <c r="AX155" i="3" s="1"/>
  <c r="AP263" i="7"/>
  <c r="AP263" i="3" s="1"/>
  <c r="AK200" i="7"/>
  <c r="AK200" i="3" s="1"/>
  <c r="AP137" i="3"/>
  <c r="AP413" i="7"/>
  <c r="AP413" i="3" s="1"/>
  <c r="AU136" i="3"/>
  <c r="AU412" i="7"/>
  <c r="AU412" i="3" s="1"/>
  <c r="AE136" i="3"/>
  <c r="AE412" i="7"/>
  <c r="AE412" i="3" s="1"/>
  <c r="AJ135" i="3"/>
  <c r="AJ411" i="7"/>
  <c r="AJ411" i="3" s="1"/>
  <c r="AJ273" i="7"/>
  <c r="AJ273" i="3" s="1"/>
  <c r="AO134" i="3"/>
  <c r="AO410" i="7"/>
  <c r="AO410" i="3" s="1"/>
  <c r="AO272" i="7"/>
  <c r="AO272" i="3" s="1"/>
  <c r="AT133" i="3"/>
  <c r="AT409" i="7"/>
  <c r="AT409" i="3" s="1"/>
  <c r="AT271" i="7"/>
  <c r="AT271" i="3" s="1"/>
  <c r="AD133" i="3"/>
  <c r="AD409" i="7"/>
  <c r="AD409" i="3" s="1"/>
  <c r="AD271" i="7"/>
  <c r="AD271" i="3" s="1"/>
  <c r="AI132" i="3"/>
  <c r="AI408" i="7"/>
  <c r="AI408" i="3" s="1"/>
  <c r="AI270" i="7"/>
  <c r="AI270" i="3" s="1"/>
  <c r="AN131" i="3"/>
  <c r="AN407" i="7"/>
  <c r="AN407" i="3" s="1"/>
  <c r="AS130" i="3"/>
  <c r="AS406" i="7"/>
  <c r="AS406" i="3" s="1"/>
  <c r="AC130" i="3"/>
  <c r="AC406" i="7"/>
  <c r="AC406" i="3" s="1"/>
  <c r="AH129" i="3"/>
  <c r="AH405" i="7"/>
  <c r="AH405" i="3" s="1"/>
  <c r="AM404" i="7"/>
  <c r="AM266" i="7"/>
  <c r="AR127" i="3"/>
  <c r="AR403" i="7"/>
  <c r="AR403" i="3" s="1"/>
  <c r="AW126" i="3"/>
  <c r="AW402" i="7"/>
  <c r="AW402" i="3" s="1"/>
  <c r="AW264" i="7"/>
  <c r="AW264" i="3" s="1"/>
  <c r="AG126" i="3"/>
  <c r="AG402" i="7"/>
  <c r="AG402" i="3" s="1"/>
  <c r="AG264" i="7"/>
  <c r="AG264" i="3" s="1"/>
  <c r="AL125" i="3"/>
  <c r="AL401" i="7"/>
  <c r="AL401" i="3" s="1"/>
  <c r="AL263" i="7"/>
  <c r="AL263" i="3" s="1"/>
  <c r="AQ124" i="3"/>
  <c r="AQ400" i="7"/>
  <c r="AQ400" i="3" s="1"/>
  <c r="AQ262" i="7"/>
  <c r="AQ262" i="3" s="1"/>
  <c r="AV123" i="3"/>
  <c r="AV399" i="7"/>
  <c r="AV399" i="3" s="1"/>
  <c r="AV261" i="7"/>
  <c r="AV261" i="3" s="1"/>
  <c r="AF123" i="3"/>
  <c r="AF399" i="7"/>
  <c r="AF399" i="3" s="1"/>
  <c r="AF261" i="7"/>
  <c r="AF261" i="3" s="1"/>
  <c r="AK122" i="3"/>
  <c r="AK398" i="7"/>
  <c r="AK398" i="3" s="1"/>
  <c r="AK260" i="7"/>
  <c r="AK260" i="3" s="1"/>
  <c r="AP121" i="3"/>
  <c r="AP397" i="7"/>
  <c r="AP397" i="3" s="1"/>
  <c r="AP259" i="7"/>
  <c r="AP259" i="3" s="1"/>
  <c r="AU120" i="3"/>
  <c r="AU396" i="7"/>
  <c r="AU396" i="3" s="1"/>
  <c r="AE120" i="3"/>
  <c r="AE396" i="7"/>
  <c r="AE396" i="3" s="1"/>
  <c r="AJ119" i="3"/>
  <c r="AJ395" i="7"/>
  <c r="AJ395" i="3" s="1"/>
  <c r="AJ257" i="7"/>
  <c r="AJ257" i="3" s="1"/>
  <c r="AO118" i="3"/>
  <c r="AO394" i="7"/>
  <c r="AO394" i="3" s="1"/>
  <c r="AO256" i="7"/>
  <c r="AO256" i="3" s="1"/>
  <c r="AT117" i="3"/>
  <c r="AT393" i="7"/>
  <c r="AT393" i="3" s="1"/>
  <c r="AT255" i="7"/>
  <c r="AT255" i="3" s="1"/>
  <c r="AD117" i="3"/>
  <c r="AD393" i="7"/>
  <c r="AD393" i="3" s="1"/>
  <c r="AD255" i="7"/>
  <c r="AD255" i="3" s="1"/>
  <c r="AI116" i="3"/>
  <c r="AI392" i="7"/>
  <c r="AI392" i="3" s="1"/>
  <c r="AI254" i="7"/>
  <c r="AI254" i="3" s="1"/>
  <c r="AN115" i="3"/>
  <c r="AN391" i="7"/>
  <c r="AN391" i="3" s="1"/>
  <c r="AS114" i="3"/>
  <c r="AS390" i="7"/>
  <c r="AS390" i="3" s="1"/>
  <c r="AC114" i="3"/>
  <c r="AC390" i="7"/>
  <c r="AC390" i="3" s="1"/>
  <c r="AH113" i="3"/>
  <c r="AH389" i="7"/>
  <c r="AH389" i="3" s="1"/>
  <c r="AH251" i="7"/>
  <c r="AH251" i="3" s="1"/>
  <c r="AM112" i="3"/>
  <c r="AM388" i="7"/>
  <c r="AM388" i="3" s="1"/>
  <c r="AM250" i="7"/>
  <c r="AM250" i="3" s="1"/>
  <c r="AR111" i="3"/>
  <c r="AR387" i="7"/>
  <c r="AR387" i="3" s="1"/>
  <c r="AW110" i="3"/>
  <c r="AW386" i="7"/>
  <c r="AW386" i="3" s="1"/>
  <c r="AW248" i="7"/>
  <c r="AW248" i="3" s="1"/>
  <c r="AG110" i="3"/>
  <c r="AG386" i="7"/>
  <c r="AG386" i="3" s="1"/>
  <c r="AG248" i="7"/>
  <c r="AG248" i="3" s="1"/>
  <c r="AL109" i="3"/>
  <c r="AL385" i="7"/>
  <c r="AL385" i="3" s="1"/>
  <c r="AL247" i="7"/>
  <c r="AL247" i="3" s="1"/>
  <c r="AQ108" i="3"/>
  <c r="AQ384" i="7"/>
  <c r="AQ384" i="3" s="1"/>
  <c r="AQ246" i="7"/>
  <c r="AQ246" i="3" s="1"/>
  <c r="AV107" i="3"/>
  <c r="AV383" i="7"/>
  <c r="AV383" i="3" s="1"/>
  <c r="AV245" i="7"/>
  <c r="AV245" i="3" s="1"/>
  <c r="AF107" i="3"/>
  <c r="AF383" i="7"/>
  <c r="AF383" i="3" s="1"/>
  <c r="AF245" i="7"/>
  <c r="AF245" i="3" s="1"/>
  <c r="AK106" i="3"/>
  <c r="AK382" i="7"/>
  <c r="AK382" i="3" s="1"/>
  <c r="AK244" i="7"/>
  <c r="AK244" i="3" s="1"/>
  <c r="AP105" i="3"/>
  <c r="AP381" i="7"/>
  <c r="AP381" i="3" s="1"/>
  <c r="AP243" i="7"/>
  <c r="AP243" i="3" s="1"/>
  <c r="AU104" i="3"/>
  <c r="AU380" i="7"/>
  <c r="AU380" i="3" s="1"/>
  <c r="AU242" i="7"/>
  <c r="AU242" i="3" s="1"/>
  <c r="AE104" i="3"/>
  <c r="AE380" i="7"/>
  <c r="AE380" i="3" s="1"/>
  <c r="AE242" i="7"/>
  <c r="AE242" i="3" s="1"/>
  <c r="AJ103" i="3"/>
  <c r="AJ379" i="7"/>
  <c r="AJ379" i="3" s="1"/>
  <c r="AJ241" i="7"/>
  <c r="AJ241" i="3" s="1"/>
  <c r="AO102" i="3"/>
  <c r="AO378" i="7"/>
  <c r="AO378" i="3" s="1"/>
  <c r="AO240" i="7"/>
  <c r="AO240" i="3" s="1"/>
  <c r="AT101" i="3"/>
  <c r="AT377" i="7"/>
  <c r="AT377" i="3" s="1"/>
  <c r="AT239" i="7"/>
  <c r="AT239" i="3" s="1"/>
  <c r="AD101" i="3"/>
  <c r="AD377" i="7"/>
  <c r="AD377" i="3" s="1"/>
  <c r="AD239" i="7"/>
  <c r="AD239" i="3" s="1"/>
  <c r="AI100" i="3"/>
  <c r="AI376" i="7"/>
  <c r="AI376" i="3" s="1"/>
  <c r="AI238" i="7"/>
  <c r="AI238" i="3" s="1"/>
  <c r="AN99" i="3"/>
  <c r="AN375" i="7"/>
  <c r="AN375" i="3" s="1"/>
  <c r="AS98" i="3"/>
  <c r="AS374" i="7"/>
  <c r="AS374" i="3" s="1"/>
  <c r="AC98" i="3"/>
  <c r="AC374" i="7"/>
  <c r="AC374" i="3" s="1"/>
  <c r="AH97" i="3"/>
  <c r="AH373" i="7"/>
  <c r="AH373" i="3" s="1"/>
  <c r="AM96" i="3"/>
  <c r="AM372" i="7"/>
  <c r="AM372" i="3" s="1"/>
  <c r="AM234" i="7"/>
  <c r="AM234" i="3" s="1"/>
  <c r="AR95" i="3"/>
  <c r="AR371" i="7"/>
  <c r="AR371" i="3" s="1"/>
  <c r="AR233" i="7"/>
  <c r="AR233" i="3" s="1"/>
  <c r="AW94" i="3"/>
  <c r="AW370" i="7"/>
  <c r="AW370" i="3" s="1"/>
  <c r="AG94" i="3"/>
  <c r="AG370" i="7"/>
  <c r="AG370" i="3" s="1"/>
  <c r="AG232" i="7"/>
  <c r="AG232" i="3" s="1"/>
  <c r="AL93" i="3"/>
  <c r="AL369" i="7"/>
  <c r="AL369" i="3" s="1"/>
  <c r="AL231" i="7"/>
  <c r="AL231" i="3" s="1"/>
  <c r="AQ92" i="3"/>
  <c r="AQ368" i="7"/>
  <c r="AQ368" i="3" s="1"/>
  <c r="AQ230" i="7"/>
  <c r="AQ230" i="3" s="1"/>
  <c r="AV91" i="3"/>
  <c r="AV367" i="7"/>
  <c r="AV367" i="3" s="1"/>
  <c r="AV229" i="7"/>
  <c r="AV229" i="3" s="1"/>
  <c r="AF91" i="3"/>
  <c r="AF367" i="7"/>
  <c r="AF367" i="3" s="1"/>
  <c r="AF229" i="7"/>
  <c r="AF229" i="3" s="1"/>
  <c r="AK90" i="3"/>
  <c r="AK366" i="7"/>
  <c r="AK366" i="3" s="1"/>
  <c r="AK228" i="7"/>
  <c r="AK228" i="3" s="1"/>
  <c r="AP365" i="7"/>
  <c r="AP227" i="7"/>
  <c r="AU88" i="3"/>
  <c r="AU364" i="7"/>
  <c r="AU364" i="3" s="1"/>
  <c r="AU226" i="7"/>
  <c r="AU226" i="3" s="1"/>
  <c r="AE88" i="3"/>
  <c r="AE364" i="7"/>
  <c r="AE364" i="3" s="1"/>
  <c r="AE226" i="7"/>
  <c r="AE226" i="3" s="1"/>
  <c r="AJ87" i="3"/>
  <c r="AJ363" i="7"/>
  <c r="AJ363" i="3" s="1"/>
  <c r="AJ225" i="7"/>
  <c r="AJ225" i="3" s="1"/>
  <c r="AO86" i="3"/>
  <c r="AO362" i="7"/>
  <c r="AO362" i="3" s="1"/>
  <c r="AO224" i="7"/>
  <c r="AO224" i="3" s="1"/>
  <c r="AT85" i="3"/>
  <c r="AT361" i="7"/>
  <c r="AT361" i="3" s="1"/>
  <c r="AT223" i="7"/>
  <c r="AT223" i="3" s="1"/>
  <c r="AD85" i="3"/>
  <c r="AD361" i="7"/>
  <c r="AD361" i="3" s="1"/>
  <c r="AD223" i="7"/>
  <c r="AD223" i="3" s="1"/>
  <c r="AI84" i="3"/>
  <c r="AI360" i="7"/>
  <c r="AI360" i="3" s="1"/>
  <c r="AI222" i="7"/>
  <c r="AI222" i="3" s="1"/>
  <c r="AN83" i="3"/>
  <c r="AN359" i="7"/>
  <c r="AN359" i="3" s="1"/>
  <c r="AN221" i="7"/>
  <c r="AN221" i="3" s="1"/>
  <c r="AS82" i="3"/>
  <c r="AS358" i="7"/>
  <c r="AS358" i="3" s="1"/>
  <c r="AC82" i="3"/>
  <c r="AC358" i="7"/>
  <c r="AC358" i="3" s="1"/>
  <c r="AC220" i="7"/>
  <c r="AC220" i="3" s="1"/>
  <c r="AH81" i="3"/>
  <c r="AH357" i="7"/>
  <c r="AH357" i="3" s="1"/>
  <c r="AH219" i="7"/>
  <c r="AH219" i="3" s="1"/>
  <c r="AM80" i="3"/>
  <c r="AM356" i="7"/>
  <c r="AM356" i="3" s="1"/>
  <c r="AM218" i="7"/>
  <c r="AM218" i="3" s="1"/>
  <c r="AR79" i="3"/>
  <c r="AR355" i="7"/>
  <c r="AR355" i="3" s="1"/>
  <c r="AR217" i="7"/>
  <c r="AR217" i="3" s="1"/>
  <c r="AW78" i="3"/>
  <c r="AW354" i="7"/>
  <c r="AW354" i="3" s="1"/>
  <c r="AW216" i="7"/>
  <c r="AW216" i="3" s="1"/>
  <c r="AG78" i="3"/>
  <c r="AG354" i="7"/>
  <c r="AG354" i="3" s="1"/>
  <c r="AL353" i="7"/>
  <c r="AL215" i="7"/>
  <c r="AQ76" i="3"/>
  <c r="AQ352" i="7"/>
  <c r="AQ352" i="3" s="1"/>
  <c r="AQ214" i="7"/>
  <c r="AQ214" i="3" s="1"/>
  <c r="AV75" i="3"/>
  <c r="AV351" i="7"/>
  <c r="AV351" i="3" s="1"/>
  <c r="AV213" i="7"/>
  <c r="AV213" i="3" s="1"/>
  <c r="AF75" i="3"/>
  <c r="AF351" i="7"/>
  <c r="AF351" i="3" s="1"/>
  <c r="AF213" i="7"/>
  <c r="AF213" i="3" s="1"/>
  <c r="AK74" i="3"/>
  <c r="AK350" i="7"/>
  <c r="AK350" i="3" s="1"/>
  <c r="AK212" i="7"/>
  <c r="AK212" i="3" s="1"/>
  <c r="AP73" i="3"/>
  <c r="AP349" i="7"/>
  <c r="AP349" i="3" s="1"/>
  <c r="AP211" i="7"/>
  <c r="AP211" i="3" s="1"/>
  <c r="AU72" i="3"/>
  <c r="AU348" i="7"/>
  <c r="AU348" i="3" s="1"/>
  <c r="AU210" i="7"/>
  <c r="AU210" i="3" s="1"/>
  <c r="AE72" i="3"/>
  <c r="AE348" i="7"/>
  <c r="AE348" i="3" s="1"/>
  <c r="AE210" i="7"/>
  <c r="AE210" i="3" s="1"/>
  <c r="AJ71" i="3"/>
  <c r="AJ347" i="7"/>
  <c r="AJ347" i="3" s="1"/>
  <c r="AJ209" i="7"/>
  <c r="AJ209" i="3" s="1"/>
  <c r="AO70" i="3"/>
  <c r="AO346" i="7"/>
  <c r="AO346" i="3" s="1"/>
  <c r="AO208" i="7"/>
  <c r="AO208" i="3" s="1"/>
  <c r="AT69" i="3"/>
  <c r="AT345" i="7"/>
  <c r="AT345" i="3" s="1"/>
  <c r="AT207" i="7"/>
  <c r="AT207" i="3" s="1"/>
  <c r="AD69" i="3"/>
  <c r="AD345" i="7"/>
  <c r="AD345" i="3" s="1"/>
  <c r="AD207" i="7"/>
  <c r="AD207" i="3" s="1"/>
  <c r="AI68" i="3"/>
  <c r="AI344" i="7"/>
  <c r="AI344" i="3" s="1"/>
  <c r="AI206" i="7"/>
  <c r="AI206" i="3" s="1"/>
  <c r="AN67" i="3"/>
  <c r="AN343" i="7"/>
  <c r="AN343" i="3" s="1"/>
  <c r="AN205" i="7"/>
  <c r="AN205" i="3" s="1"/>
  <c r="AS66" i="3"/>
  <c r="AS342" i="7"/>
  <c r="AS342" i="3" s="1"/>
  <c r="AS204" i="7"/>
  <c r="AS204" i="3" s="1"/>
  <c r="AC66" i="3"/>
  <c r="AC342" i="7"/>
  <c r="AC342" i="3" s="1"/>
  <c r="AC204" i="7"/>
  <c r="AC204" i="3" s="1"/>
  <c r="AH65" i="3"/>
  <c r="AH341" i="7"/>
  <c r="AH341" i="3" s="1"/>
  <c r="AH203" i="7"/>
  <c r="AH203" i="3" s="1"/>
  <c r="AM64" i="3"/>
  <c r="AM340" i="7"/>
  <c r="AM340" i="3" s="1"/>
  <c r="AM202" i="7"/>
  <c r="AM202" i="3" s="1"/>
  <c r="AR63" i="3"/>
  <c r="AR339" i="7"/>
  <c r="AR339" i="3" s="1"/>
  <c r="AR201" i="7"/>
  <c r="AR201" i="3" s="1"/>
  <c r="AW62" i="3"/>
  <c r="AW338" i="7"/>
  <c r="AW338" i="3" s="1"/>
  <c r="AW200" i="7"/>
  <c r="AW200" i="3" s="1"/>
  <c r="AG62" i="3"/>
  <c r="AG338" i="7"/>
  <c r="AG338" i="3" s="1"/>
  <c r="AG200" i="7"/>
  <c r="AG200" i="3" s="1"/>
  <c r="AL61" i="3"/>
  <c r="AL337" i="7"/>
  <c r="AL337" i="3" s="1"/>
  <c r="AL199" i="7"/>
  <c r="AL199" i="3" s="1"/>
  <c r="AQ60" i="3"/>
  <c r="AQ336" i="7"/>
  <c r="AQ336" i="3" s="1"/>
  <c r="AQ198" i="7"/>
  <c r="AQ198" i="3" s="1"/>
  <c r="AV59" i="3"/>
  <c r="AV335" i="7"/>
  <c r="AV335" i="3" s="1"/>
  <c r="AV197" i="7"/>
  <c r="AV197" i="3" s="1"/>
  <c r="AF59" i="3"/>
  <c r="AF335" i="7"/>
  <c r="AF335" i="3" s="1"/>
  <c r="AF197" i="7"/>
  <c r="AF197" i="3" s="1"/>
  <c r="AK58" i="3"/>
  <c r="AK334" i="7"/>
  <c r="AK334" i="3" s="1"/>
  <c r="AK196" i="7"/>
  <c r="AK196" i="3" s="1"/>
  <c r="AP57" i="3"/>
  <c r="AP333" i="7"/>
  <c r="AP333" i="3" s="1"/>
  <c r="AP195" i="7"/>
  <c r="AP195" i="3" s="1"/>
  <c r="AU56" i="3"/>
  <c r="AU332" i="7"/>
  <c r="AU332" i="3" s="1"/>
  <c r="AU194" i="7"/>
  <c r="AU194" i="3" s="1"/>
  <c r="AE56" i="3"/>
  <c r="AE332" i="7"/>
  <c r="AE332" i="3" s="1"/>
  <c r="AE194" i="7"/>
  <c r="AE194" i="3" s="1"/>
  <c r="AJ55" i="3"/>
  <c r="AJ331" i="7"/>
  <c r="AJ331" i="3" s="1"/>
  <c r="AJ193" i="7"/>
  <c r="AJ193" i="3" s="1"/>
  <c r="AO54" i="3"/>
  <c r="AO330" i="7"/>
  <c r="AO330" i="3" s="1"/>
  <c r="AO192" i="7"/>
  <c r="AO192" i="3" s="1"/>
  <c r="AT53" i="3"/>
  <c r="AT329" i="7"/>
  <c r="AT329" i="3" s="1"/>
  <c r="AT191" i="7"/>
  <c r="AT191" i="3" s="1"/>
  <c r="AD53" i="3"/>
  <c r="AD329" i="7"/>
  <c r="AD329" i="3" s="1"/>
  <c r="AD191" i="7"/>
  <c r="AD191" i="3" s="1"/>
  <c r="AI52" i="3"/>
  <c r="AI328" i="7"/>
  <c r="AI328" i="3" s="1"/>
  <c r="AI190" i="7"/>
  <c r="AI190" i="3" s="1"/>
  <c r="AN51" i="3"/>
  <c r="AN327" i="7"/>
  <c r="AN327" i="3" s="1"/>
  <c r="AN189" i="7"/>
  <c r="AN189" i="3" s="1"/>
  <c r="AS50" i="3"/>
  <c r="AS326" i="7"/>
  <c r="AS326" i="3" s="1"/>
  <c r="AS188" i="7"/>
  <c r="AS188" i="3" s="1"/>
  <c r="AC50" i="3"/>
  <c r="AC326" i="7"/>
  <c r="AC326" i="3" s="1"/>
  <c r="AC188" i="7"/>
  <c r="AC188" i="3" s="1"/>
  <c r="AH49" i="3"/>
  <c r="AH325" i="7"/>
  <c r="AH325" i="3" s="1"/>
  <c r="AH187" i="7"/>
  <c r="AH187" i="3" s="1"/>
  <c r="AM48" i="3"/>
  <c r="AM324" i="7"/>
  <c r="AM324" i="3" s="1"/>
  <c r="AM186" i="7"/>
  <c r="AM186" i="3" s="1"/>
  <c r="AR47" i="3"/>
  <c r="AR323" i="7"/>
  <c r="AR323" i="3" s="1"/>
  <c r="AR185" i="7"/>
  <c r="AR185" i="3" s="1"/>
  <c r="AW46" i="3"/>
  <c r="AW322" i="7"/>
  <c r="AW322" i="3" s="1"/>
  <c r="AW184" i="7"/>
  <c r="AW184" i="3" s="1"/>
  <c r="AG46" i="3"/>
  <c r="AG322" i="7"/>
  <c r="AG322" i="3" s="1"/>
  <c r="AG184" i="7"/>
  <c r="AG184" i="3" s="1"/>
  <c r="AL45" i="3"/>
  <c r="AL321" i="7"/>
  <c r="AL321" i="3" s="1"/>
  <c r="AL183" i="7"/>
  <c r="AL183" i="3" s="1"/>
  <c r="AQ44" i="3"/>
  <c r="AQ320" i="7"/>
  <c r="AQ320" i="3" s="1"/>
  <c r="AQ182" i="7"/>
  <c r="AQ182" i="3" s="1"/>
  <c r="AV43" i="3"/>
  <c r="AV319" i="7"/>
  <c r="AV319" i="3" s="1"/>
  <c r="AV181" i="7"/>
  <c r="AV181" i="3" s="1"/>
  <c r="AF43" i="3"/>
  <c r="AF319" i="7"/>
  <c r="AF319" i="3" s="1"/>
  <c r="AF181" i="7"/>
  <c r="AF181" i="3" s="1"/>
  <c r="AK42" i="3"/>
  <c r="AK318" i="7"/>
  <c r="AK318" i="3" s="1"/>
  <c r="AK180" i="7"/>
  <c r="AK180" i="3" s="1"/>
  <c r="AP41" i="3"/>
  <c r="AP317" i="7"/>
  <c r="AP317" i="3" s="1"/>
  <c r="AP179" i="7"/>
  <c r="AP179" i="3" s="1"/>
  <c r="AU40" i="3"/>
  <c r="AU316" i="7"/>
  <c r="AU316" i="3" s="1"/>
  <c r="AU178" i="7"/>
  <c r="AU178" i="3" s="1"/>
  <c r="AE40" i="3"/>
  <c r="AE316" i="7"/>
  <c r="AE316" i="3" s="1"/>
  <c r="AE178" i="7"/>
  <c r="AE178" i="3" s="1"/>
  <c r="AJ39" i="3"/>
  <c r="AJ315" i="7"/>
  <c r="AJ315" i="3" s="1"/>
  <c r="AJ177" i="7"/>
  <c r="AJ177" i="3" s="1"/>
  <c r="AO38" i="3"/>
  <c r="AO314" i="7"/>
  <c r="AO314" i="3" s="1"/>
  <c r="AO176" i="7"/>
  <c r="AO176" i="3" s="1"/>
  <c r="AT37" i="3"/>
  <c r="AT313" i="7"/>
  <c r="AT313" i="3" s="1"/>
  <c r="AT175" i="7"/>
  <c r="AT175" i="3" s="1"/>
  <c r="AD37" i="3"/>
  <c r="AD313" i="7"/>
  <c r="AD313" i="3" s="1"/>
  <c r="AD175" i="7"/>
  <c r="AD175" i="3" s="1"/>
  <c r="AI36" i="3"/>
  <c r="AI312" i="7"/>
  <c r="AI312" i="3" s="1"/>
  <c r="AI174" i="7"/>
  <c r="AI174" i="3" s="1"/>
  <c r="AX404" i="7"/>
  <c r="AX266" i="7"/>
  <c r="AX112" i="3"/>
  <c r="AX388" i="7"/>
  <c r="AX388" i="3" s="1"/>
  <c r="AX250" i="7"/>
  <c r="AX250" i="3" s="1"/>
  <c r="AX96" i="3"/>
  <c r="AX372" i="7"/>
  <c r="AX372" i="3" s="1"/>
  <c r="AX234" i="7"/>
  <c r="AX234" i="3" s="1"/>
  <c r="AX80" i="3"/>
  <c r="AX356" i="7"/>
  <c r="AX356" i="3" s="1"/>
  <c r="AX218" i="7"/>
  <c r="AX218" i="3" s="1"/>
  <c r="AX64" i="3"/>
  <c r="AX340" i="7"/>
  <c r="AX340" i="3" s="1"/>
  <c r="AX202" i="7"/>
  <c r="AX202" i="3" s="1"/>
  <c r="AX48" i="3"/>
  <c r="AX324" i="7"/>
  <c r="AX324" i="3" s="1"/>
  <c r="AX186" i="7"/>
  <c r="AX186" i="3" s="1"/>
  <c r="AX32" i="3"/>
  <c r="AX308" i="7"/>
  <c r="AX308" i="3" s="1"/>
  <c r="AX170" i="7"/>
  <c r="AX170" i="3" s="1"/>
  <c r="AX16" i="3"/>
  <c r="AX292" i="7"/>
  <c r="AX292" i="3" s="1"/>
  <c r="AX154" i="7"/>
  <c r="AX154" i="3" s="1"/>
  <c r="AH271" i="7"/>
  <c r="AH271" i="3" s="1"/>
  <c r="AJ245" i="7"/>
  <c r="AJ245" i="3" s="1"/>
  <c r="AI235" i="7"/>
  <c r="AI235" i="3" s="1"/>
  <c r="AX222" i="7"/>
  <c r="AX222" i="3" s="1"/>
  <c r="AS133" i="3"/>
  <c r="AS409" i="7"/>
  <c r="AS409" i="3" s="1"/>
  <c r="AS271" i="7"/>
  <c r="AS271" i="3" s="1"/>
  <c r="AC133" i="3"/>
  <c r="AC409" i="7"/>
  <c r="AC409" i="3" s="1"/>
  <c r="AC271" i="7"/>
  <c r="AC271" i="3" s="1"/>
  <c r="AH132" i="3"/>
  <c r="AH408" i="7"/>
  <c r="AH408" i="3" s="1"/>
  <c r="AM131" i="3"/>
  <c r="AM407" i="7"/>
  <c r="AM407" i="3" s="1"/>
  <c r="AR130" i="3"/>
  <c r="AR406" i="7"/>
  <c r="AR406" i="3" s="1"/>
  <c r="AW129" i="3"/>
  <c r="AW405" i="7"/>
  <c r="AW405" i="3" s="1"/>
  <c r="AW267" i="7"/>
  <c r="AW267" i="3" s="1"/>
  <c r="AG129" i="3"/>
  <c r="AG405" i="7"/>
  <c r="AG405" i="3" s="1"/>
  <c r="AG267" i="7"/>
  <c r="AG267" i="3" s="1"/>
  <c r="AQ127" i="3"/>
  <c r="AQ403" i="7"/>
  <c r="AQ403" i="3" s="1"/>
  <c r="AQ265" i="7"/>
  <c r="AQ265" i="3" s="1"/>
  <c r="AV126" i="3"/>
  <c r="AV402" i="7"/>
  <c r="AV402" i="3" s="1"/>
  <c r="AV264" i="7"/>
  <c r="AV264" i="3" s="1"/>
  <c r="AF126" i="3"/>
  <c r="AF402" i="7"/>
  <c r="AF402" i="3" s="1"/>
  <c r="AF264" i="7"/>
  <c r="AF264" i="3" s="1"/>
  <c r="AK125" i="3"/>
  <c r="AK401" i="7"/>
  <c r="AK401" i="3" s="1"/>
  <c r="AK263" i="7"/>
  <c r="AK263" i="3" s="1"/>
  <c r="AP124" i="3"/>
  <c r="AP400" i="7"/>
  <c r="AP400" i="3" s="1"/>
  <c r="AP262" i="7"/>
  <c r="AP262" i="3" s="1"/>
  <c r="AU123" i="3"/>
  <c r="AU399" i="7"/>
  <c r="AU399" i="3" s="1"/>
  <c r="AU261" i="7"/>
  <c r="AU261" i="3" s="1"/>
  <c r="AE123" i="3"/>
  <c r="AE399" i="7"/>
  <c r="AE399" i="3" s="1"/>
  <c r="AE261" i="7"/>
  <c r="AE261" i="3" s="1"/>
  <c r="AJ122" i="3"/>
  <c r="AJ398" i="7"/>
  <c r="AJ398" i="3" s="1"/>
  <c r="AJ260" i="7"/>
  <c r="AJ260" i="3" s="1"/>
  <c r="AO121" i="3"/>
  <c r="AO397" i="7"/>
  <c r="AO397" i="3" s="1"/>
  <c r="AT120" i="3"/>
  <c r="AT396" i="7"/>
  <c r="AT396" i="3" s="1"/>
  <c r="AT258" i="7"/>
  <c r="AT258" i="3" s="1"/>
  <c r="AD120" i="3"/>
  <c r="AD396" i="7"/>
  <c r="AD396" i="3" s="1"/>
  <c r="AD258" i="7"/>
  <c r="AD258" i="3" s="1"/>
  <c r="AI119" i="3"/>
  <c r="AI395" i="7"/>
  <c r="AI395" i="3" s="1"/>
  <c r="AI257" i="7"/>
  <c r="AI257" i="3" s="1"/>
  <c r="AN118" i="3"/>
  <c r="AN394" i="7"/>
  <c r="AN394" i="3" s="1"/>
  <c r="AN256" i="7"/>
  <c r="AN256" i="3" s="1"/>
  <c r="AS117" i="3"/>
  <c r="AS393" i="7"/>
  <c r="AS393" i="3" s="1"/>
  <c r="AS255" i="7"/>
  <c r="AS255" i="3" s="1"/>
  <c r="AC117" i="3"/>
  <c r="AC393" i="7"/>
  <c r="AC393" i="3" s="1"/>
  <c r="AC255" i="7"/>
  <c r="AC255" i="3" s="1"/>
  <c r="AH116" i="3"/>
  <c r="AH392" i="7"/>
  <c r="AH392" i="3" s="1"/>
  <c r="AM115" i="3"/>
  <c r="AM391" i="7"/>
  <c r="AM391" i="3" s="1"/>
  <c r="AR114" i="3"/>
  <c r="AR390" i="7"/>
  <c r="AR390" i="3" s="1"/>
  <c r="AR252" i="7"/>
  <c r="AR252" i="3" s="1"/>
  <c r="AW113" i="3"/>
  <c r="AW389" i="7"/>
  <c r="AW389" i="3" s="1"/>
  <c r="AW251" i="7"/>
  <c r="AW251" i="3" s="1"/>
  <c r="AG113" i="3"/>
  <c r="AG389" i="7"/>
  <c r="AG389" i="3" s="1"/>
  <c r="AG251" i="7"/>
  <c r="AG251" i="3" s="1"/>
  <c r="AL112" i="3"/>
  <c r="AL388" i="7"/>
  <c r="AL388" i="3" s="1"/>
  <c r="AQ111" i="3"/>
  <c r="AQ387" i="7"/>
  <c r="AQ387" i="3" s="1"/>
  <c r="AQ249" i="7"/>
  <c r="AQ249" i="3" s="1"/>
  <c r="AV110" i="3"/>
  <c r="AV386" i="7"/>
  <c r="AV386" i="3" s="1"/>
  <c r="AV248" i="7"/>
  <c r="AV248" i="3" s="1"/>
  <c r="AF110" i="3"/>
  <c r="AF386" i="7"/>
  <c r="AF386" i="3" s="1"/>
  <c r="AF248" i="7"/>
  <c r="AF248" i="3" s="1"/>
  <c r="AK109" i="3"/>
  <c r="AK385" i="7"/>
  <c r="AK385" i="3" s="1"/>
  <c r="AK247" i="7"/>
  <c r="AK247" i="3" s="1"/>
  <c r="AP108" i="3"/>
  <c r="AP384" i="7"/>
  <c r="AP384" i="3" s="1"/>
  <c r="AP246" i="7"/>
  <c r="AP246" i="3" s="1"/>
  <c r="AU107" i="3"/>
  <c r="AU383" i="7"/>
  <c r="AU383" i="3" s="1"/>
  <c r="AU245" i="7"/>
  <c r="AU245" i="3" s="1"/>
  <c r="AE107" i="3"/>
  <c r="AE383" i="7"/>
  <c r="AE383" i="3" s="1"/>
  <c r="AE245" i="7"/>
  <c r="AE245" i="3" s="1"/>
  <c r="AJ106" i="3"/>
  <c r="AJ382" i="7"/>
  <c r="AJ382" i="3" s="1"/>
  <c r="AJ244" i="7"/>
  <c r="AJ244" i="3" s="1"/>
  <c r="AO105" i="3"/>
  <c r="AO381" i="7"/>
  <c r="AO381" i="3" s="1"/>
  <c r="AO243" i="7"/>
  <c r="AO243" i="3" s="1"/>
  <c r="AT104" i="3"/>
  <c r="AT380" i="7"/>
  <c r="AT380" i="3" s="1"/>
  <c r="AT242" i="7"/>
  <c r="AT242" i="3" s="1"/>
  <c r="AD104" i="3"/>
  <c r="AD380" i="7"/>
  <c r="AD380" i="3" s="1"/>
  <c r="AD242" i="7"/>
  <c r="AD242" i="3" s="1"/>
  <c r="AI103" i="3"/>
  <c r="AI379" i="7"/>
  <c r="AI379" i="3" s="1"/>
  <c r="AI241" i="7"/>
  <c r="AI241" i="3" s="1"/>
  <c r="AN102" i="3"/>
  <c r="AN378" i="7"/>
  <c r="AN378" i="3" s="1"/>
  <c r="AN240" i="7"/>
  <c r="AN240" i="3" s="1"/>
  <c r="AS101" i="3"/>
  <c r="AS377" i="7"/>
  <c r="AS377" i="3" s="1"/>
  <c r="AS239" i="7"/>
  <c r="AS239" i="3" s="1"/>
  <c r="AC101" i="3"/>
  <c r="AC377" i="7"/>
  <c r="AC377" i="3" s="1"/>
  <c r="AC239" i="7"/>
  <c r="AC239" i="3" s="1"/>
  <c r="AH100" i="3"/>
  <c r="AH376" i="7"/>
  <c r="AH376" i="3" s="1"/>
  <c r="AM99" i="3"/>
  <c r="AM375" i="7"/>
  <c r="AM375" i="3" s="1"/>
  <c r="AR98" i="3"/>
  <c r="AR374" i="7"/>
  <c r="AR374" i="3" s="1"/>
  <c r="AR236" i="7"/>
  <c r="AR236" i="3" s="1"/>
  <c r="AW97" i="3"/>
  <c r="AW373" i="7"/>
  <c r="AW373" i="3" s="1"/>
  <c r="AW235" i="7"/>
  <c r="AW235" i="3" s="1"/>
  <c r="AG97" i="3"/>
  <c r="AG373" i="7"/>
  <c r="AG373" i="3" s="1"/>
  <c r="AG235" i="7"/>
  <c r="AG235" i="3" s="1"/>
  <c r="AL96" i="3"/>
  <c r="AL372" i="7"/>
  <c r="AL372" i="3" s="1"/>
  <c r="AL234" i="7"/>
  <c r="AL234" i="3" s="1"/>
  <c r="AQ95" i="3"/>
  <c r="AQ371" i="7"/>
  <c r="AQ371" i="3" s="1"/>
  <c r="AQ233" i="7"/>
  <c r="AQ233" i="3" s="1"/>
  <c r="AV94" i="3"/>
  <c r="AV370" i="7"/>
  <c r="AV370" i="3" s="1"/>
  <c r="AV232" i="7"/>
  <c r="AV232" i="3" s="1"/>
  <c r="AF94" i="3"/>
  <c r="AF370" i="7"/>
  <c r="AF370" i="3" s="1"/>
  <c r="AF232" i="7"/>
  <c r="AF232" i="3" s="1"/>
  <c r="AK93" i="3"/>
  <c r="AK369" i="7"/>
  <c r="AK369" i="3" s="1"/>
  <c r="AK231" i="7"/>
  <c r="AK231" i="3" s="1"/>
  <c r="AP92" i="3"/>
  <c r="AP368" i="7"/>
  <c r="AP368" i="3" s="1"/>
  <c r="AP230" i="7"/>
  <c r="AP230" i="3" s="1"/>
  <c r="AU91" i="3"/>
  <c r="AU367" i="7"/>
  <c r="AU367" i="3" s="1"/>
  <c r="AU229" i="7"/>
  <c r="AU229" i="3" s="1"/>
  <c r="AE91" i="3"/>
  <c r="AE367" i="7"/>
  <c r="AE367" i="3" s="1"/>
  <c r="AE229" i="7"/>
  <c r="AE229" i="3" s="1"/>
  <c r="AJ90" i="3"/>
  <c r="AJ366" i="7"/>
  <c r="AJ366" i="3" s="1"/>
  <c r="AJ228" i="7"/>
  <c r="AJ228" i="3" s="1"/>
  <c r="AO365" i="7"/>
  <c r="AO227" i="7"/>
  <c r="AT88" i="3"/>
  <c r="AT364" i="7"/>
  <c r="AT364" i="3" s="1"/>
  <c r="AT226" i="7"/>
  <c r="AT226" i="3" s="1"/>
  <c r="AD88" i="3"/>
  <c r="AD364" i="7"/>
  <c r="AD364" i="3" s="1"/>
  <c r="AD226" i="7"/>
  <c r="AD226" i="3" s="1"/>
  <c r="AI87" i="3"/>
  <c r="AI363" i="7"/>
  <c r="AI363" i="3" s="1"/>
  <c r="AI225" i="7"/>
  <c r="AI225" i="3" s="1"/>
  <c r="AN86" i="3"/>
  <c r="AN362" i="7"/>
  <c r="AN362" i="3" s="1"/>
  <c r="AN224" i="7"/>
  <c r="AN224" i="3" s="1"/>
  <c r="AS85" i="3"/>
  <c r="AS361" i="7"/>
  <c r="AS361" i="3" s="1"/>
  <c r="AS223" i="7"/>
  <c r="AS223" i="3" s="1"/>
  <c r="AC85" i="3"/>
  <c r="AC361" i="7"/>
  <c r="AC361" i="3" s="1"/>
  <c r="AC223" i="7"/>
  <c r="AC223" i="3" s="1"/>
  <c r="AH84" i="3"/>
  <c r="AH360" i="7"/>
  <c r="AH360" i="3" s="1"/>
  <c r="AH222" i="7"/>
  <c r="AH222" i="3" s="1"/>
  <c r="AM83" i="3"/>
  <c r="AM359" i="7"/>
  <c r="AM359" i="3" s="1"/>
  <c r="AM221" i="7"/>
  <c r="AM221" i="3" s="1"/>
  <c r="AR82" i="3"/>
  <c r="AR358" i="7"/>
  <c r="AR358" i="3" s="1"/>
  <c r="AR220" i="7"/>
  <c r="AR220" i="3" s="1"/>
  <c r="AW81" i="3"/>
  <c r="AW357" i="7"/>
  <c r="AW357" i="3" s="1"/>
  <c r="AW219" i="7"/>
  <c r="AW219" i="3" s="1"/>
  <c r="AG81" i="3"/>
  <c r="AG357" i="7"/>
  <c r="AG357" i="3" s="1"/>
  <c r="AG219" i="7"/>
  <c r="AG219" i="3" s="1"/>
  <c r="AL80" i="3"/>
  <c r="AL356" i="7"/>
  <c r="AL356" i="3" s="1"/>
  <c r="AQ79" i="3"/>
  <c r="AQ355" i="7"/>
  <c r="AQ355" i="3" s="1"/>
  <c r="AQ217" i="7"/>
  <c r="AQ217" i="3" s="1"/>
  <c r="AV78" i="3"/>
  <c r="AV354" i="7"/>
  <c r="AV354" i="3" s="1"/>
  <c r="AV216" i="7"/>
  <c r="AV216" i="3" s="1"/>
  <c r="AF78" i="3"/>
  <c r="AF354" i="7"/>
  <c r="AF354" i="3" s="1"/>
  <c r="AF216" i="7"/>
  <c r="AF216" i="3" s="1"/>
  <c r="AK353" i="7"/>
  <c r="AK215" i="7"/>
  <c r="AP76" i="3"/>
  <c r="AP352" i="7"/>
  <c r="AP352" i="3" s="1"/>
  <c r="AP214" i="7"/>
  <c r="AP214" i="3" s="1"/>
  <c r="AU75" i="3"/>
  <c r="AU351" i="7"/>
  <c r="AU351" i="3" s="1"/>
  <c r="AU213" i="7"/>
  <c r="AU213" i="3" s="1"/>
  <c r="AE75" i="3"/>
  <c r="AE351" i="7"/>
  <c r="AE351" i="3" s="1"/>
  <c r="AE213" i="7"/>
  <c r="AE213" i="3" s="1"/>
  <c r="AJ74" i="3"/>
  <c r="AJ350" i="7"/>
  <c r="AJ350" i="3" s="1"/>
  <c r="AJ212" i="7"/>
  <c r="AJ212" i="3" s="1"/>
  <c r="AO73" i="3"/>
  <c r="AO349" i="7"/>
  <c r="AO349" i="3" s="1"/>
  <c r="AO211" i="7"/>
  <c r="AO211" i="3" s="1"/>
  <c r="AT72" i="3"/>
  <c r="AT348" i="7"/>
  <c r="AT348" i="3" s="1"/>
  <c r="AT210" i="7"/>
  <c r="AT210" i="3" s="1"/>
  <c r="AD72" i="3"/>
  <c r="AD348" i="7"/>
  <c r="AD348" i="3" s="1"/>
  <c r="AD210" i="7"/>
  <c r="AD210" i="3" s="1"/>
  <c r="AI71" i="3"/>
  <c r="AI347" i="7"/>
  <c r="AI347" i="3" s="1"/>
  <c r="AI209" i="7"/>
  <c r="AI209" i="3" s="1"/>
  <c r="AN70" i="3"/>
  <c r="AN346" i="7"/>
  <c r="AN346" i="3" s="1"/>
  <c r="AN208" i="7"/>
  <c r="AN208" i="3" s="1"/>
  <c r="AS69" i="3"/>
  <c r="AS345" i="7"/>
  <c r="AS345" i="3" s="1"/>
  <c r="AS207" i="7"/>
  <c r="AS207" i="3" s="1"/>
  <c r="AC69" i="3"/>
  <c r="AC345" i="7"/>
  <c r="AC345" i="3" s="1"/>
  <c r="AC207" i="7"/>
  <c r="AC207" i="3" s="1"/>
  <c r="AH68" i="3"/>
  <c r="AH344" i="7"/>
  <c r="AH344" i="3" s="1"/>
  <c r="AH206" i="7"/>
  <c r="AH206" i="3" s="1"/>
  <c r="AM67" i="3"/>
  <c r="AM343" i="7"/>
  <c r="AM343" i="3" s="1"/>
  <c r="AM205" i="7"/>
  <c r="AM205" i="3" s="1"/>
  <c r="AR66" i="3"/>
  <c r="AR342" i="7"/>
  <c r="AR342" i="3" s="1"/>
  <c r="AR204" i="7"/>
  <c r="AR204" i="3" s="1"/>
  <c r="AW65" i="3"/>
  <c r="AW341" i="7"/>
  <c r="AW341" i="3" s="1"/>
  <c r="AW203" i="7"/>
  <c r="AW203" i="3" s="1"/>
  <c r="AG65" i="3"/>
  <c r="AG341" i="7"/>
  <c r="AG341" i="3" s="1"/>
  <c r="AG203" i="7"/>
  <c r="AG203" i="3" s="1"/>
  <c r="AL64" i="3"/>
  <c r="AL340" i="7"/>
  <c r="AL340" i="3" s="1"/>
  <c r="AL202" i="7"/>
  <c r="AL202" i="3" s="1"/>
  <c r="AQ63" i="3"/>
  <c r="AQ339" i="7"/>
  <c r="AQ339" i="3" s="1"/>
  <c r="AQ201" i="7"/>
  <c r="AQ201" i="3" s="1"/>
  <c r="AV62" i="3"/>
  <c r="AV338" i="7"/>
  <c r="AV338" i="3" s="1"/>
  <c r="AV200" i="7"/>
  <c r="AV200" i="3" s="1"/>
  <c r="AF62" i="3"/>
  <c r="AF338" i="7"/>
  <c r="AF338" i="3" s="1"/>
  <c r="AF200" i="7"/>
  <c r="AF200" i="3" s="1"/>
  <c r="AK61" i="3"/>
  <c r="AK337" i="7"/>
  <c r="AK337" i="3" s="1"/>
  <c r="AK199" i="7"/>
  <c r="AK199" i="3" s="1"/>
  <c r="AP60" i="3"/>
  <c r="AP336" i="7"/>
  <c r="AP336" i="3" s="1"/>
  <c r="AP198" i="7"/>
  <c r="AP198" i="3" s="1"/>
  <c r="AU59" i="3"/>
  <c r="AU335" i="7"/>
  <c r="AU335" i="3" s="1"/>
  <c r="AU197" i="7"/>
  <c r="AU197" i="3" s="1"/>
  <c r="AE59" i="3"/>
  <c r="AE335" i="7"/>
  <c r="AE335" i="3" s="1"/>
  <c r="AE197" i="7"/>
  <c r="AE197" i="3" s="1"/>
  <c r="AJ58" i="3"/>
  <c r="AJ334" i="7"/>
  <c r="AJ334" i="3" s="1"/>
  <c r="AJ196" i="7"/>
  <c r="AJ196" i="3" s="1"/>
  <c r="AO57" i="3"/>
  <c r="AO333" i="7"/>
  <c r="AO333" i="3" s="1"/>
  <c r="AO195" i="7"/>
  <c r="AO195" i="3" s="1"/>
  <c r="AT56" i="3"/>
  <c r="AT332" i="7"/>
  <c r="AT332" i="3" s="1"/>
  <c r="AT194" i="7"/>
  <c r="AT194" i="3" s="1"/>
  <c r="AD56" i="3"/>
  <c r="AD332" i="7"/>
  <c r="AD332" i="3" s="1"/>
  <c r="AD194" i="7"/>
  <c r="AD194" i="3" s="1"/>
  <c r="AI55" i="3"/>
  <c r="AI331" i="7"/>
  <c r="AI331" i="3" s="1"/>
  <c r="AI193" i="7"/>
  <c r="AI193" i="3" s="1"/>
  <c r="AN54" i="3"/>
  <c r="AN330" i="7"/>
  <c r="AN330" i="3" s="1"/>
  <c r="AN192" i="7"/>
  <c r="AN192" i="3" s="1"/>
  <c r="AS53" i="3"/>
  <c r="AS329" i="7"/>
  <c r="AS329" i="3" s="1"/>
  <c r="AS191" i="7"/>
  <c r="AS191" i="3" s="1"/>
  <c r="AC53" i="3"/>
  <c r="AC329" i="7"/>
  <c r="AC329" i="3" s="1"/>
  <c r="AC191" i="7"/>
  <c r="AC191" i="3" s="1"/>
  <c r="AH52" i="3"/>
  <c r="AH328" i="7"/>
  <c r="AH328" i="3" s="1"/>
  <c r="AH190" i="7"/>
  <c r="AH190" i="3" s="1"/>
  <c r="AM51" i="3"/>
  <c r="AM327" i="7"/>
  <c r="AM327" i="3" s="1"/>
  <c r="AM189" i="7"/>
  <c r="AM189" i="3" s="1"/>
  <c r="AR50" i="3"/>
  <c r="AR326" i="7"/>
  <c r="AR326" i="3" s="1"/>
  <c r="AR188" i="7"/>
  <c r="AR188" i="3" s="1"/>
  <c r="AW49" i="3"/>
  <c r="AW325" i="7"/>
  <c r="AW325" i="3" s="1"/>
  <c r="AW187" i="7"/>
  <c r="AW187" i="3" s="1"/>
  <c r="AG49" i="3"/>
  <c r="AG325" i="7"/>
  <c r="AG325" i="3" s="1"/>
  <c r="AG187" i="7"/>
  <c r="AG187" i="3" s="1"/>
  <c r="AL48" i="3"/>
  <c r="AL324" i="7"/>
  <c r="AL324" i="3" s="1"/>
  <c r="AL186" i="7"/>
  <c r="AL186" i="3" s="1"/>
  <c r="AQ47" i="3"/>
  <c r="AQ323" i="7"/>
  <c r="AQ323" i="3" s="1"/>
  <c r="AQ185" i="7"/>
  <c r="AQ185" i="3" s="1"/>
  <c r="AV46" i="3"/>
  <c r="AV322" i="7"/>
  <c r="AV322" i="3" s="1"/>
  <c r="AV184" i="7"/>
  <c r="AV184" i="3" s="1"/>
  <c r="AF46" i="3"/>
  <c r="AF322" i="7"/>
  <c r="AF322" i="3" s="1"/>
  <c r="AF184" i="7"/>
  <c r="AF184" i="3" s="1"/>
  <c r="AK45" i="3"/>
  <c r="AK321" i="7"/>
  <c r="AK321" i="3" s="1"/>
  <c r="AK183" i="7"/>
  <c r="AK183" i="3" s="1"/>
  <c r="AP44" i="3"/>
  <c r="AP320" i="7"/>
  <c r="AP320" i="3" s="1"/>
  <c r="AP182" i="7"/>
  <c r="AP182" i="3" s="1"/>
  <c r="AU43" i="3"/>
  <c r="AU319" i="7"/>
  <c r="AU319" i="3" s="1"/>
  <c r="AU181" i="7"/>
  <c r="AU181" i="3" s="1"/>
  <c r="AE43" i="3"/>
  <c r="AE319" i="7"/>
  <c r="AE319" i="3" s="1"/>
  <c r="AE181" i="7"/>
  <c r="AE181" i="3" s="1"/>
  <c r="AJ42" i="3"/>
  <c r="AJ318" i="7"/>
  <c r="AJ318" i="3" s="1"/>
  <c r="AJ180" i="7"/>
  <c r="AJ180" i="3" s="1"/>
  <c r="AO41" i="3"/>
  <c r="AO317" i="7"/>
  <c r="AO317" i="3" s="1"/>
  <c r="AO179" i="7"/>
  <c r="AO179" i="3" s="1"/>
  <c r="AT40" i="3"/>
  <c r="AT316" i="7"/>
  <c r="AT316" i="3" s="1"/>
  <c r="AT178" i="7"/>
  <c r="AT178" i="3" s="1"/>
  <c r="AD40" i="3"/>
  <c r="AD316" i="7"/>
  <c r="AD316" i="3" s="1"/>
  <c r="AD178" i="7"/>
  <c r="AD178" i="3" s="1"/>
  <c r="AI39" i="3"/>
  <c r="AI315" i="7"/>
  <c r="AI315" i="3" s="1"/>
  <c r="AI177" i="7"/>
  <c r="AI177" i="3" s="1"/>
  <c r="AN38" i="3"/>
  <c r="AN314" i="7"/>
  <c r="AN314" i="3" s="1"/>
  <c r="AN176" i="7"/>
  <c r="AN176" i="3" s="1"/>
  <c r="AS37" i="3"/>
  <c r="AS313" i="7"/>
  <c r="AS313" i="3" s="1"/>
  <c r="AS175" i="7"/>
  <c r="AS175" i="3" s="1"/>
  <c r="AC37" i="3"/>
  <c r="AC313" i="7"/>
  <c r="AC313" i="3" s="1"/>
  <c r="AC175" i="7"/>
  <c r="AC175" i="3" s="1"/>
  <c r="AH36" i="3"/>
  <c r="AH312" i="7"/>
  <c r="AH312" i="3" s="1"/>
  <c r="AH174" i="7"/>
  <c r="AH174" i="3" s="1"/>
  <c r="AX127" i="3"/>
  <c r="AX403" i="7"/>
  <c r="AX403" i="3" s="1"/>
  <c r="AX265" i="7"/>
  <c r="AX265" i="3" s="1"/>
  <c r="AX111" i="3"/>
  <c r="AX387" i="7"/>
  <c r="AX387" i="3" s="1"/>
  <c r="AX249" i="7"/>
  <c r="AX249" i="3" s="1"/>
  <c r="AX95" i="3"/>
  <c r="AX371" i="7"/>
  <c r="AX371" i="3" s="1"/>
  <c r="AX233" i="7"/>
  <c r="AX233" i="3" s="1"/>
  <c r="AX79" i="3"/>
  <c r="AX355" i="7"/>
  <c r="AX355" i="3" s="1"/>
  <c r="AX217" i="7"/>
  <c r="AX217" i="3" s="1"/>
  <c r="AX63" i="3"/>
  <c r="AX339" i="7"/>
  <c r="AX339" i="3" s="1"/>
  <c r="AX201" i="7"/>
  <c r="AX201" i="3" s="1"/>
  <c r="AX47" i="3"/>
  <c r="AX323" i="7"/>
  <c r="AX323" i="3" s="1"/>
  <c r="AX185" i="7"/>
  <c r="AX185" i="3" s="1"/>
  <c r="AX31" i="3"/>
  <c r="AX307" i="7"/>
  <c r="AX307" i="3" s="1"/>
  <c r="AX169" i="7"/>
  <c r="AX169" i="3" s="1"/>
  <c r="AX15" i="3"/>
  <c r="AX291" i="7"/>
  <c r="AX291" i="3" s="1"/>
  <c r="AX153" i="7"/>
  <c r="AX153" i="3" s="1"/>
  <c r="AI267" i="7"/>
  <c r="AI267" i="3" s="1"/>
  <c r="AK257" i="7"/>
  <c r="AK257" i="3" s="1"/>
  <c r="AM254" i="7"/>
  <c r="AM254" i="3" s="1"/>
  <c r="AH235" i="7"/>
  <c r="AH235" i="3" s="1"/>
  <c r="AR133" i="3"/>
  <c r="AR409" i="7"/>
  <c r="AR409" i="3" s="1"/>
  <c r="AW132" i="3"/>
  <c r="AW408" i="7"/>
  <c r="AW408" i="3" s="1"/>
  <c r="AG132" i="3"/>
  <c r="AG408" i="7"/>
  <c r="AG408" i="3" s="1"/>
  <c r="AL131" i="3"/>
  <c r="AL407" i="7"/>
  <c r="AL407" i="3" s="1"/>
  <c r="AQ130" i="3"/>
  <c r="AQ406" i="7"/>
  <c r="AQ406" i="3" s="1"/>
  <c r="AQ268" i="7"/>
  <c r="AQ268" i="3" s="1"/>
  <c r="AV129" i="3"/>
  <c r="AV405" i="7"/>
  <c r="AV405" i="3" s="1"/>
  <c r="AF129" i="3"/>
  <c r="AF405" i="7"/>
  <c r="AF405" i="3" s="1"/>
  <c r="AK404" i="7"/>
  <c r="AK266" i="7"/>
  <c r="AP127" i="3"/>
  <c r="AP403" i="7"/>
  <c r="AP403" i="3" s="1"/>
  <c r="AP265" i="7"/>
  <c r="AP265" i="3" s="1"/>
  <c r="AU126" i="3"/>
  <c r="AU402" i="7"/>
  <c r="AU402" i="3" s="1"/>
  <c r="AU264" i="7"/>
  <c r="AU264" i="3" s="1"/>
  <c r="AE126" i="3"/>
  <c r="AE402" i="7"/>
  <c r="AE402" i="3" s="1"/>
  <c r="AE264" i="7"/>
  <c r="AE264" i="3" s="1"/>
  <c r="AJ125" i="3"/>
  <c r="AJ401" i="7"/>
  <c r="AJ401" i="3" s="1"/>
  <c r="AJ263" i="7"/>
  <c r="AJ263" i="3" s="1"/>
  <c r="AO124" i="3"/>
  <c r="AO400" i="7"/>
  <c r="AO400" i="3" s="1"/>
  <c r="AO262" i="7"/>
  <c r="AO262" i="3" s="1"/>
  <c r="AT123" i="3"/>
  <c r="AT399" i="7"/>
  <c r="AT399" i="3" s="1"/>
  <c r="AT261" i="7"/>
  <c r="AT261" i="3" s="1"/>
  <c r="AD123" i="3"/>
  <c r="AD399" i="7"/>
  <c r="AD399" i="3" s="1"/>
  <c r="AD261" i="7"/>
  <c r="AD261" i="3" s="1"/>
  <c r="AI122" i="3"/>
  <c r="AI398" i="7"/>
  <c r="AI398" i="3" s="1"/>
  <c r="AN121" i="3"/>
  <c r="AN397" i="7"/>
  <c r="AN397" i="3" s="1"/>
  <c r="AN259" i="7"/>
  <c r="AN259" i="3" s="1"/>
  <c r="AS120" i="3"/>
  <c r="AS396" i="7"/>
  <c r="AS396" i="3" s="1"/>
  <c r="AS258" i="7"/>
  <c r="AS258" i="3" s="1"/>
  <c r="AC120" i="3"/>
  <c r="AC396" i="7"/>
  <c r="AC396" i="3" s="1"/>
  <c r="AC258" i="7"/>
  <c r="AC258" i="3" s="1"/>
  <c r="AH119" i="3"/>
  <c r="AH395" i="7"/>
  <c r="AH395" i="3" s="1"/>
  <c r="AH257" i="7"/>
  <c r="AH257" i="3" s="1"/>
  <c r="AM118" i="3"/>
  <c r="AM394" i="7"/>
  <c r="AM394" i="3" s="1"/>
  <c r="AM256" i="7"/>
  <c r="AM256" i="3" s="1"/>
  <c r="AR117" i="3"/>
  <c r="AR393" i="7"/>
  <c r="AR393" i="3" s="1"/>
  <c r="AW116" i="3"/>
  <c r="AW392" i="7"/>
  <c r="AW392" i="3" s="1"/>
  <c r="AG116" i="3"/>
  <c r="AG392" i="7"/>
  <c r="AG392" i="3" s="1"/>
  <c r="AL115" i="3"/>
  <c r="AL391" i="7"/>
  <c r="AL391" i="3" s="1"/>
  <c r="AL253" i="7"/>
  <c r="AL253" i="3" s="1"/>
  <c r="AQ114" i="3"/>
  <c r="AQ390" i="7"/>
  <c r="AQ390" i="3" s="1"/>
  <c r="AQ252" i="7"/>
  <c r="AQ252" i="3" s="1"/>
  <c r="AV113" i="3"/>
  <c r="AV389" i="7"/>
  <c r="AV389" i="3" s="1"/>
  <c r="AF113" i="3"/>
  <c r="AF389" i="7"/>
  <c r="AF389" i="3" s="1"/>
  <c r="AK112" i="3"/>
  <c r="AK388" i="7"/>
  <c r="AK388" i="3" s="1"/>
  <c r="AK250" i="7"/>
  <c r="AK250" i="3" s="1"/>
  <c r="AP111" i="3"/>
  <c r="AP387" i="7"/>
  <c r="AP387" i="3" s="1"/>
  <c r="AP249" i="7"/>
  <c r="AP249" i="3" s="1"/>
  <c r="AU110" i="3"/>
  <c r="AU386" i="7"/>
  <c r="AU386" i="3" s="1"/>
  <c r="AU248" i="7"/>
  <c r="AU248" i="3" s="1"/>
  <c r="AE110" i="3"/>
  <c r="AE386" i="7"/>
  <c r="AE386" i="3" s="1"/>
  <c r="AE248" i="7"/>
  <c r="AE248" i="3" s="1"/>
  <c r="AJ109" i="3"/>
  <c r="AJ385" i="7"/>
  <c r="AJ385" i="3" s="1"/>
  <c r="AJ247" i="7"/>
  <c r="AJ247" i="3" s="1"/>
  <c r="AO108" i="3"/>
  <c r="AO384" i="7"/>
  <c r="AO384" i="3" s="1"/>
  <c r="AO246" i="7"/>
  <c r="AO246" i="3" s="1"/>
  <c r="AT107" i="3"/>
  <c r="AT383" i="7"/>
  <c r="AT383" i="3" s="1"/>
  <c r="AT245" i="7"/>
  <c r="AT245" i="3" s="1"/>
  <c r="AD107" i="3"/>
  <c r="AD383" i="7"/>
  <c r="AD383" i="3" s="1"/>
  <c r="AD245" i="7"/>
  <c r="AD245" i="3" s="1"/>
  <c r="AI106" i="3"/>
  <c r="AI382" i="7"/>
  <c r="AI382" i="3" s="1"/>
  <c r="AI244" i="7"/>
  <c r="AI244" i="3" s="1"/>
  <c r="AN105" i="3"/>
  <c r="AN381" i="7"/>
  <c r="AN381" i="3" s="1"/>
  <c r="AN243" i="7"/>
  <c r="AN243" i="3" s="1"/>
  <c r="AS104" i="3"/>
  <c r="AS380" i="7"/>
  <c r="AS380" i="3" s="1"/>
  <c r="AS242" i="7"/>
  <c r="AS242" i="3" s="1"/>
  <c r="AC104" i="3"/>
  <c r="AC380" i="7"/>
  <c r="AC380" i="3" s="1"/>
  <c r="AC242" i="7"/>
  <c r="AC242" i="3" s="1"/>
  <c r="AH103" i="3"/>
  <c r="AH379" i="7"/>
  <c r="AH379" i="3" s="1"/>
  <c r="AH241" i="7"/>
  <c r="AH241" i="3" s="1"/>
  <c r="AM102" i="3"/>
  <c r="AM378" i="7"/>
  <c r="AM378" i="3" s="1"/>
  <c r="AM240" i="7"/>
  <c r="AM240" i="3" s="1"/>
  <c r="AR101" i="3"/>
  <c r="AR377" i="7"/>
  <c r="AR377" i="3" s="1"/>
  <c r="AW100" i="3"/>
  <c r="AW376" i="7"/>
  <c r="AW376" i="3" s="1"/>
  <c r="AG100" i="3"/>
  <c r="AG376" i="7"/>
  <c r="AG376" i="3" s="1"/>
  <c r="AL99" i="3"/>
  <c r="AL375" i="7"/>
  <c r="AL375" i="3" s="1"/>
  <c r="AL237" i="7"/>
  <c r="AL237" i="3" s="1"/>
  <c r="AQ98" i="3"/>
  <c r="AQ374" i="7"/>
  <c r="AQ374" i="3" s="1"/>
  <c r="AQ236" i="7"/>
  <c r="AQ236" i="3" s="1"/>
  <c r="AV97" i="3"/>
  <c r="AV373" i="7"/>
  <c r="AV373" i="3" s="1"/>
  <c r="AV235" i="7"/>
  <c r="AV235" i="3" s="1"/>
  <c r="AF97" i="3"/>
  <c r="AF373" i="7"/>
  <c r="AF373" i="3" s="1"/>
  <c r="AF235" i="7"/>
  <c r="AF235" i="3" s="1"/>
  <c r="AK96" i="3"/>
  <c r="AK372" i="7"/>
  <c r="AK372" i="3" s="1"/>
  <c r="AK234" i="7"/>
  <c r="AK234" i="3" s="1"/>
  <c r="AP95" i="3"/>
  <c r="AP371" i="7"/>
  <c r="AP371" i="3" s="1"/>
  <c r="AP233" i="7"/>
  <c r="AP233" i="3" s="1"/>
  <c r="AU94" i="3"/>
  <c r="AU370" i="7"/>
  <c r="AU370" i="3" s="1"/>
  <c r="AU232" i="7"/>
  <c r="AU232" i="3" s="1"/>
  <c r="AE94" i="3"/>
  <c r="AE370" i="7"/>
  <c r="AE370" i="3" s="1"/>
  <c r="AE232" i="7"/>
  <c r="AE232" i="3" s="1"/>
  <c r="AJ93" i="3"/>
  <c r="AJ369" i="7"/>
  <c r="AJ369" i="3" s="1"/>
  <c r="AJ231" i="7"/>
  <c r="AJ231" i="3" s="1"/>
  <c r="AO92" i="3"/>
  <c r="AO368" i="7"/>
  <c r="AO368" i="3" s="1"/>
  <c r="AO230" i="7"/>
  <c r="AO230" i="3" s="1"/>
  <c r="AT91" i="3"/>
  <c r="AT367" i="7"/>
  <c r="AT367" i="3" s="1"/>
  <c r="AT229" i="7"/>
  <c r="AT229" i="3" s="1"/>
  <c r="AD91" i="3"/>
  <c r="AD367" i="7"/>
  <c r="AD367" i="3" s="1"/>
  <c r="AD229" i="7"/>
  <c r="AD229" i="3" s="1"/>
  <c r="AI90" i="3"/>
  <c r="AI366" i="7"/>
  <c r="AI366" i="3" s="1"/>
  <c r="AI228" i="7"/>
  <c r="AI228" i="3" s="1"/>
  <c r="AN365" i="7"/>
  <c r="AN227" i="7"/>
  <c r="AS88" i="3"/>
  <c r="AS364" i="7"/>
  <c r="AS364" i="3" s="1"/>
  <c r="AS226" i="7"/>
  <c r="AS226" i="3" s="1"/>
  <c r="AC88" i="3"/>
  <c r="AC364" i="7"/>
  <c r="AC364" i="3" s="1"/>
  <c r="AC226" i="7"/>
  <c r="AC226" i="3" s="1"/>
  <c r="AH87" i="3"/>
  <c r="AH363" i="7"/>
  <c r="AH363" i="3" s="1"/>
  <c r="AM86" i="3"/>
  <c r="AM362" i="7"/>
  <c r="AM362" i="3" s="1"/>
  <c r="AM224" i="7"/>
  <c r="AM224" i="3" s="1"/>
  <c r="AR85" i="3"/>
  <c r="AR361" i="7"/>
  <c r="AR361" i="3" s="1"/>
  <c r="AR223" i="7"/>
  <c r="AR223" i="3" s="1"/>
  <c r="AW84" i="3"/>
  <c r="AW360" i="7"/>
  <c r="AW360" i="3" s="1"/>
  <c r="AG84" i="3"/>
  <c r="AG360" i="7"/>
  <c r="AG360" i="3" s="1"/>
  <c r="AG222" i="7"/>
  <c r="AG222" i="3" s="1"/>
  <c r="AL83" i="3"/>
  <c r="AL359" i="7"/>
  <c r="AL359" i="3" s="1"/>
  <c r="AL221" i="7"/>
  <c r="AL221" i="3" s="1"/>
  <c r="AQ82" i="3"/>
  <c r="AQ358" i="7"/>
  <c r="AQ358" i="3" s="1"/>
  <c r="AQ220" i="7"/>
  <c r="AQ220" i="3" s="1"/>
  <c r="AV81" i="3"/>
  <c r="AV357" i="7"/>
  <c r="AV357" i="3" s="1"/>
  <c r="AV219" i="7"/>
  <c r="AV219" i="3" s="1"/>
  <c r="AF81" i="3"/>
  <c r="AF357" i="7"/>
  <c r="AF357" i="3" s="1"/>
  <c r="AF219" i="7"/>
  <c r="AF219" i="3" s="1"/>
  <c r="AK80" i="3"/>
  <c r="AK356" i="7"/>
  <c r="AK356" i="3" s="1"/>
  <c r="AP79" i="3"/>
  <c r="AP355" i="7"/>
  <c r="AP355" i="3" s="1"/>
  <c r="AP217" i="7"/>
  <c r="AP217" i="3" s="1"/>
  <c r="AU78" i="3"/>
  <c r="AU354" i="7"/>
  <c r="AU354" i="3" s="1"/>
  <c r="AU216" i="7"/>
  <c r="AU216" i="3" s="1"/>
  <c r="AE78" i="3"/>
  <c r="AE354" i="7"/>
  <c r="AE354" i="3" s="1"/>
  <c r="AE216" i="7"/>
  <c r="AE216" i="3" s="1"/>
  <c r="AJ353" i="7"/>
  <c r="AJ215" i="7"/>
  <c r="AO76" i="3"/>
  <c r="AO352" i="7"/>
  <c r="AO352" i="3" s="1"/>
  <c r="AO214" i="7"/>
  <c r="AO214" i="3" s="1"/>
  <c r="AT75" i="3"/>
  <c r="AT351" i="7"/>
  <c r="AT351" i="3" s="1"/>
  <c r="AT213" i="7"/>
  <c r="AT213" i="3" s="1"/>
  <c r="AD75" i="3"/>
  <c r="AD351" i="7"/>
  <c r="AD351" i="3" s="1"/>
  <c r="AD213" i="7"/>
  <c r="AD213" i="3" s="1"/>
  <c r="AI74" i="3"/>
  <c r="AI350" i="7"/>
  <c r="AI350" i="3" s="1"/>
  <c r="AI212" i="7"/>
  <c r="AI212" i="3" s="1"/>
  <c r="AN73" i="3"/>
  <c r="AN349" i="7"/>
  <c r="AN349" i="3" s="1"/>
  <c r="AN211" i="7"/>
  <c r="AN211" i="3" s="1"/>
  <c r="AS72" i="3"/>
  <c r="AS348" i="7"/>
  <c r="AS348" i="3" s="1"/>
  <c r="AS210" i="7"/>
  <c r="AS210" i="3" s="1"/>
  <c r="AC72" i="3"/>
  <c r="AC348" i="7"/>
  <c r="AC348" i="3" s="1"/>
  <c r="AC210" i="7"/>
  <c r="AC210" i="3" s="1"/>
  <c r="AH71" i="3"/>
  <c r="AH347" i="7"/>
  <c r="AH347" i="3" s="1"/>
  <c r="AH209" i="7"/>
  <c r="AH209" i="3" s="1"/>
  <c r="AM70" i="3"/>
  <c r="AM346" i="7"/>
  <c r="AM346" i="3" s="1"/>
  <c r="AM208" i="7"/>
  <c r="AM208" i="3" s="1"/>
  <c r="AR69" i="3"/>
  <c r="AR345" i="7"/>
  <c r="AR345" i="3" s="1"/>
  <c r="AR207" i="7"/>
  <c r="AR207" i="3" s="1"/>
  <c r="AW68" i="3"/>
  <c r="AW344" i="7"/>
  <c r="AW344" i="3" s="1"/>
  <c r="AW206" i="7"/>
  <c r="AW206" i="3" s="1"/>
  <c r="AG68" i="3"/>
  <c r="AG344" i="7"/>
  <c r="AG344" i="3" s="1"/>
  <c r="AG206" i="7"/>
  <c r="AG206" i="3" s="1"/>
  <c r="AL67" i="3"/>
  <c r="AL343" i="7"/>
  <c r="AL343" i="3" s="1"/>
  <c r="AL205" i="7"/>
  <c r="AL205" i="3" s="1"/>
  <c r="AQ66" i="3"/>
  <c r="AQ342" i="7"/>
  <c r="AQ342" i="3" s="1"/>
  <c r="AQ204" i="7"/>
  <c r="AQ204" i="3" s="1"/>
  <c r="AV65" i="3"/>
  <c r="AV341" i="7"/>
  <c r="AV341" i="3" s="1"/>
  <c r="AV203" i="7"/>
  <c r="AV203" i="3" s="1"/>
  <c r="AF65" i="3"/>
  <c r="AF341" i="7"/>
  <c r="AF341" i="3" s="1"/>
  <c r="AF203" i="7"/>
  <c r="AF203" i="3" s="1"/>
  <c r="AK64" i="3"/>
  <c r="AK340" i="7"/>
  <c r="AK340" i="3" s="1"/>
  <c r="AK202" i="7"/>
  <c r="AK202" i="3" s="1"/>
  <c r="AP63" i="3"/>
  <c r="AP339" i="7"/>
  <c r="AP339" i="3" s="1"/>
  <c r="AP201" i="7"/>
  <c r="AP201" i="3" s="1"/>
  <c r="AU62" i="3"/>
  <c r="AU338" i="7"/>
  <c r="AU338" i="3" s="1"/>
  <c r="AU200" i="7"/>
  <c r="AU200" i="3" s="1"/>
  <c r="AE62" i="3"/>
  <c r="AE338" i="7"/>
  <c r="AE338" i="3" s="1"/>
  <c r="AE200" i="7"/>
  <c r="AE200" i="3" s="1"/>
  <c r="AJ61" i="3"/>
  <c r="AJ337" i="7"/>
  <c r="AJ337" i="3" s="1"/>
  <c r="AJ199" i="7"/>
  <c r="AJ199" i="3" s="1"/>
  <c r="AO60" i="3"/>
  <c r="AO336" i="7"/>
  <c r="AO336" i="3" s="1"/>
  <c r="AO198" i="7"/>
  <c r="AO198" i="3" s="1"/>
  <c r="AT59" i="3"/>
  <c r="AT335" i="7"/>
  <c r="AT335" i="3" s="1"/>
  <c r="AT197" i="7"/>
  <c r="AT197" i="3" s="1"/>
  <c r="AD59" i="3"/>
  <c r="AD335" i="7"/>
  <c r="AD335" i="3" s="1"/>
  <c r="AD197" i="7"/>
  <c r="AD197" i="3" s="1"/>
  <c r="AI58" i="3"/>
  <c r="AI334" i="7"/>
  <c r="AI334" i="3" s="1"/>
  <c r="AI196" i="7"/>
  <c r="AI196" i="3" s="1"/>
  <c r="AN57" i="3"/>
  <c r="AN333" i="7"/>
  <c r="AN333" i="3" s="1"/>
  <c r="AN195" i="7"/>
  <c r="AN195" i="3" s="1"/>
  <c r="AS56" i="3"/>
  <c r="AS332" i="7"/>
  <c r="AS332" i="3" s="1"/>
  <c r="AS194" i="7"/>
  <c r="AS194" i="3" s="1"/>
  <c r="AC56" i="3"/>
  <c r="AC332" i="7"/>
  <c r="AC332" i="3" s="1"/>
  <c r="AC194" i="7"/>
  <c r="AC194" i="3" s="1"/>
  <c r="AH55" i="3"/>
  <c r="AH331" i="7"/>
  <c r="AH331" i="3" s="1"/>
  <c r="AH193" i="7"/>
  <c r="AH193" i="3" s="1"/>
  <c r="AM54" i="3"/>
  <c r="AM330" i="7"/>
  <c r="AM330" i="3" s="1"/>
  <c r="AM192" i="7"/>
  <c r="AM192" i="3" s="1"/>
  <c r="AR53" i="3"/>
  <c r="AR329" i="7"/>
  <c r="AR329" i="3" s="1"/>
  <c r="AR191" i="7"/>
  <c r="AR191" i="3" s="1"/>
  <c r="AW52" i="3"/>
  <c r="AW328" i="7"/>
  <c r="AW328" i="3" s="1"/>
  <c r="AW190" i="7"/>
  <c r="AW190" i="3" s="1"/>
  <c r="AG52" i="3"/>
  <c r="AG328" i="7"/>
  <c r="AG328" i="3" s="1"/>
  <c r="AG190" i="7"/>
  <c r="AG190" i="3" s="1"/>
  <c r="AL51" i="3"/>
  <c r="AL327" i="7"/>
  <c r="AL327" i="3" s="1"/>
  <c r="AL189" i="7"/>
  <c r="AL189" i="3" s="1"/>
  <c r="AQ50" i="3"/>
  <c r="AQ326" i="7"/>
  <c r="AQ326" i="3" s="1"/>
  <c r="AQ188" i="7"/>
  <c r="AQ188" i="3" s="1"/>
  <c r="AV49" i="3"/>
  <c r="AV325" i="7"/>
  <c r="AV325" i="3" s="1"/>
  <c r="AV187" i="7"/>
  <c r="AV187" i="3" s="1"/>
  <c r="AF49" i="3"/>
  <c r="AF325" i="7"/>
  <c r="AF325" i="3" s="1"/>
  <c r="AF187" i="7"/>
  <c r="AF187" i="3" s="1"/>
  <c r="AK48" i="3"/>
  <c r="AK324" i="7"/>
  <c r="AK324" i="3" s="1"/>
  <c r="AK186" i="7"/>
  <c r="AK186" i="3" s="1"/>
  <c r="AP47" i="3"/>
  <c r="AP323" i="7"/>
  <c r="AP323" i="3" s="1"/>
  <c r="AP185" i="7"/>
  <c r="AP185" i="3" s="1"/>
  <c r="AU46" i="3"/>
  <c r="AU322" i="7"/>
  <c r="AU322" i="3" s="1"/>
  <c r="AU184" i="7"/>
  <c r="AU184" i="3" s="1"/>
  <c r="AE46" i="3"/>
  <c r="AE322" i="7"/>
  <c r="AE322" i="3" s="1"/>
  <c r="AE184" i="7"/>
  <c r="AE184" i="3" s="1"/>
  <c r="AJ45" i="3"/>
  <c r="AJ321" i="7"/>
  <c r="AJ321" i="3" s="1"/>
  <c r="AJ183" i="7"/>
  <c r="AJ183" i="3" s="1"/>
  <c r="AO44" i="3"/>
  <c r="AO320" i="7"/>
  <c r="AO320" i="3" s="1"/>
  <c r="AO182" i="7"/>
  <c r="AO182" i="3" s="1"/>
  <c r="AT43" i="3"/>
  <c r="AT319" i="7"/>
  <c r="AT319" i="3" s="1"/>
  <c r="AT181" i="7"/>
  <c r="AT181" i="3" s="1"/>
  <c r="AD43" i="3"/>
  <c r="AD319" i="7"/>
  <c r="AD319" i="3" s="1"/>
  <c r="AD181" i="7"/>
  <c r="AD181" i="3" s="1"/>
  <c r="AI42" i="3"/>
  <c r="AI318" i="7"/>
  <c r="AI318" i="3" s="1"/>
  <c r="AI180" i="7"/>
  <c r="AI180" i="3" s="1"/>
  <c r="AN41" i="3"/>
  <c r="AN317" i="7"/>
  <c r="AN317" i="3" s="1"/>
  <c r="AN179" i="7"/>
  <c r="AN179" i="3" s="1"/>
  <c r="AS40" i="3"/>
  <c r="AS316" i="7"/>
  <c r="AS316" i="3" s="1"/>
  <c r="AS178" i="7"/>
  <c r="AS178" i="3" s="1"/>
  <c r="AC40" i="3"/>
  <c r="AC316" i="7"/>
  <c r="AC316" i="3" s="1"/>
  <c r="AC178" i="7"/>
  <c r="AC178" i="3" s="1"/>
  <c r="AH39" i="3"/>
  <c r="AH315" i="7"/>
  <c r="AH315" i="3" s="1"/>
  <c r="AH177" i="7"/>
  <c r="AH177" i="3" s="1"/>
  <c r="AM38" i="3"/>
  <c r="AM314" i="7"/>
  <c r="AM314" i="3" s="1"/>
  <c r="AM176" i="7"/>
  <c r="AM176" i="3" s="1"/>
  <c r="AR37" i="3"/>
  <c r="AR313" i="7"/>
  <c r="AR313" i="3" s="1"/>
  <c r="AR175" i="7"/>
  <c r="AR175" i="3" s="1"/>
  <c r="AW36" i="3"/>
  <c r="AW312" i="7"/>
  <c r="AW312" i="3" s="1"/>
  <c r="AW174" i="7"/>
  <c r="AW174" i="3" s="1"/>
  <c r="AG36" i="3"/>
  <c r="AG312" i="7"/>
  <c r="AG312" i="3" s="1"/>
  <c r="AG174" i="7"/>
  <c r="AG174" i="3" s="1"/>
  <c r="AX126" i="3"/>
  <c r="AX402" i="7"/>
  <c r="AX402" i="3" s="1"/>
  <c r="AX110" i="3"/>
  <c r="AX386" i="7"/>
  <c r="AX386" i="3" s="1"/>
  <c r="AX94" i="3"/>
  <c r="AX370" i="7"/>
  <c r="AX370" i="3" s="1"/>
  <c r="AX78" i="3"/>
  <c r="AX354" i="7"/>
  <c r="AX354" i="3" s="1"/>
  <c r="AX216" i="7"/>
  <c r="AX216" i="3" s="1"/>
  <c r="AX62" i="3"/>
  <c r="AX338" i="7"/>
  <c r="AX338" i="3" s="1"/>
  <c r="AX200" i="7"/>
  <c r="AX200" i="3" s="1"/>
  <c r="AX46" i="3"/>
  <c r="AX322" i="7"/>
  <c r="AX322" i="3" s="1"/>
  <c r="AX184" i="7"/>
  <c r="AX184" i="3" s="1"/>
  <c r="AX30" i="3"/>
  <c r="AX306" i="7"/>
  <c r="AX306" i="3" s="1"/>
  <c r="AX168" i="7"/>
  <c r="AX168" i="3" s="1"/>
  <c r="AX14" i="3"/>
  <c r="AX290" i="7"/>
  <c r="AX290" i="3" s="1"/>
  <c r="AX152" i="7"/>
  <c r="AX152" i="3" s="1"/>
  <c r="AX270" i="7"/>
  <c r="AX270" i="3" s="1"/>
  <c r="AH267" i="7"/>
  <c r="AH267" i="3" s="1"/>
  <c r="AF265" i="7"/>
  <c r="AF265" i="3" s="1"/>
  <c r="AH254" i="7"/>
  <c r="AH254" i="3" s="1"/>
  <c r="AJ251" i="7"/>
  <c r="AJ251" i="3" s="1"/>
  <c r="AS220" i="7"/>
  <c r="AS220" i="3" s="1"/>
  <c r="AL118" i="3"/>
  <c r="AL394" i="7"/>
  <c r="AL394" i="3" s="1"/>
  <c r="AQ117" i="3"/>
  <c r="AQ393" i="7"/>
  <c r="AQ393" i="3" s="1"/>
  <c r="AV116" i="3"/>
  <c r="AV392" i="7"/>
  <c r="AV392" i="3" s="1"/>
  <c r="AV254" i="7"/>
  <c r="AV254" i="3" s="1"/>
  <c r="AF116" i="3"/>
  <c r="AF392" i="7"/>
  <c r="AF392" i="3" s="1"/>
  <c r="AF254" i="7"/>
  <c r="AF254" i="3" s="1"/>
  <c r="AK115" i="3"/>
  <c r="AK391" i="7"/>
  <c r="AK391" i="3" s="1"/>
  <c r="AK253" i="7"/>
  <c r="AK253" i="3" s="1"/>
  <c r="AP114" i="3"/>
  <c r="AP390" i="7"/>
  <c r="AP390" i="3" s="1"/>
  <c r="AU113" i="3"/>
  <c r="AU389" i="7"/>
  <c r="AU389" i="3" s="1"/>
  <c r="AU251" i="7"/>
  <c r="AU251" i="3" s="1"/>
  <c r="AE113" i="3"/>
  <c r="AE389" i="7"/>
  <c r="AE389" i="3" s="1"/>
  <c r="AE251" i="7"/>
  <c r="AE251" i="3" s="1"/>
  <c r="AJ112" i="3"/>
  <c r="AJ388" i="7"/>
  <c r="AJ388" i="3" s="1"/>
  <c r="AJ250" i="7"/>
  <c r="AJ250" i="3" s="1"/>
  <c r="AO111" i="3"/>
  <c r="AO387" i="7"/>
  <c r="AO387" i="3" s="1"/>
  <c r="AO249" i="7"/>
  <c r="AO249" i="3" s="1"/>
  <c r="AT110" i="3"/>
  <c r="AT386" i="7"/>
  <c r="AT386" i="3" s="1"/>
  <c r="AT248" i="7"/>
  <c r="AT248" i="3" s="1"/>
  <c r="AD110" i="3"/>
  <c r="AD386" i="7"/>
  <c r="AD386" i="3" s="1"/>
  <c r="AD248" i="7"/>
  <c r="AD248" i="3" s="1"/>
  <c r="AI109" i="3"/>
  <c r="AI385" i="7"/>
  <c r="AI385" i="3" s="1"/>
  <c r="AI247" i="7"/>
  <c r="AI247" i="3" s="1"/>
  <c r="AN108" i="3"/>
  <c r="AN384" i="7"/>
  <c r="AN384" i="3" s="1"/>
  <c r="AN246" i="7"/>
  <c r="AN246" i="3" s="1"/>
  <c r="AS107" i="3"/>
  <c r="AS383" i="7"/>
  <c r="AS383" i="3" s="1"/>
  <c r="AS245" i="7"/>
  <c r="AS245" i="3" s="1"/>
  <c r="AC107" i="3"/>
  <c r="AC383" i="7"/>
  <c r="AC383" i="3" s="1"/>
  <c r="AC245" i="7"/>
  <c r="AC245" i="3" s="1"/>
  <c r="AH106" i="3"/>
  <c r="AH382" i="7"/>
  <c r="AH382" i="3" s="1"/>
  <c r="AH244" i="7"/>
  <c r="AH244" i="3" s="1"/>
  <c r="AM105" i="3"/>
  <c r="AM381" i="7"/>
  <c r="AM381" i="3" s="1"/>
  <c r="AM243" i="7"/>
  <c r="AM243" i="3" s="1"/>
  <c r="AR104" i="3"/>
  <c r="AR380" i="7"/>
  <c r="AR380" i="3" s="1"/>
  <c r="AR242" i="7"/>
  <c r="AR242" i="3" s="1"/>
  <c r="AW103" i="3"/>
  <c r="AW379" i="7"/>
  <c r="AW379" i="3" s="1"/>
  <c r="AW241" i="7"/>
  <c r="AW241" i="3" s="1"/>
  <c r="AG103" i="3"/>
  <c r="AG379" i="7"/>
  <c r="AG379" i="3" s="1"/>
  <c r="AG241" i="7"/>
  <c r="AG241" i="3" s="1"/>
  <c r="AL102" i="3"/>
  <c r="AL378" i="7"/>
  <c r="AL378" i="3" s="1"/>
  <c r="AQ101" i="3"/>
  <c r="AQ377" i="7"/>
  <c r="AQ377" i="3" s="1"/>
  <c r="AV100" i="3"/>
  <c r="AV376" i="7"/>
  <c r="AV376" i="3" s="1"/>
  <c r="AV238" i="7"/>
  <c r="AV238" i="3" s="1"/>
  <c r="AF100" i="3"/>
  <c r="AF376" i="7"/>
  <c r="AF376" i="3" s="1"/>
  <c r="AF238" i="7"/>
  <c r="AF238" i="3" s="1"/>
  <c r="AK99" i="3"/>
  <c r="AK375" i="7"/>
  <c r="AK375" i="3" s="1"/>
  <c r="AK237" i="7"/>
  <c r="AK237" i="3" s="1"/>
  <c r="AP98" i="3"/>
  <c r="AP374" i="7"/>
  <c r="AP374" i="3" s="1"/>
  <c r="AP236" i="7"/>
  <c r="AP236" i="3" s="1"/>
  <c r="AU97" i="3"/>
  <c r="AU373" i="7"/>
  <c r="AU373" i="3" s="1"/>
  <c r="AU235" i="7"/>
  <c r="AU235" i="3" s="1"/>
  <c r="AE97" i="3"/>
  <c r="AE373" i="7"/>
  <c r="AE373" i="3" s="1"/>
  <c r="AE235" i="7"/>
  <c r="AE235" i="3" s="1"/>
  <c r="AJ96" i="3"/>
  <c r="AJ372" i="7"/>
  <c r="AJ372" i="3" s="1"/>
  <c r="AJ234" i="7"/>
  <c r="AJ234" i="3" s="1"/>
  <c r="AO95" i="3"/>
  <c r="AO371" i="7"/>
  <c r="AO371" i="3" s="1"/>
  <c r="AO233" i="7"/>
  <c r="AO233" i="3" s="1"/>
  <c r="AT94" i="3"/>
  <c r="AT370" i="7"/>
  <c r="AT370" i="3" s="1"/>
  <c r="AT232" i="7"/>
  <c r="AT232" i="3" s="1"/>
  <c r="AD94" i="3"/>
  <c r="AD370" i="7"/>
  <c r="AD370" i="3" s="1"/>
  <c r="AD232" i="7"/>
  <c r="AD232" i="3" s="1"/>
  <c r="AI93" i="3"/>
  <c r="AI369" i="7"/>
  <c r="AI369" i="3" s="1"/>
  <c r="AI231" i="7"/>
  <c r="AI231" i="3" s="1"/>
  <c r="AN92" i="3"/>
  <c r="AN368" i="7"/>
  <c r="AN368" i="3" s="1"/>
  <c r="AN230" i="7"/>
  <c r="AN230" i="3" s="1"/>
  <c r="AS91" i="3"/>
  <c r="AS367" i="7"/>
  <c r="AS367" i="3" s="1"/>
  <c r="AS229" i="7"/>
  <c r="AS229" i="3" s="1"/>
  <c r="AC91" i="3"/>
  <c r="AC367" i="7"/>
  <c r="AC367" i="3" s="1"/>
  <c r="AC229" i="7"/>
  <c r="AC229" i="3" s="1"/>
  <c r="AH90" i="3"/>
  <c r="AH366" i="7"/>
  <c r="AH366" i="3" s="1"/>
  <c r="AH228" i="7"/>
  <c r="AH228" i="3" s="1"/>
  <c r="AM365" i="7"/>
  <c r="AM227" i="7"/>
  <c r="AR88" i="3"/>
  <c r="AR364" i="7"/>
  <c r="AR364" i="3" s="1"/>
  <c r="AR226" i="7"/>
  <c r="AR226" i="3" s="1"/>
  <c r="AW87" i="3"/>
  <c r="AW363" i="7"/>
  <c r="AW363" i="3" s="1"/>
  <c r="AW225" i="7"/>
  <c r="AW225" i="3" s="1"/>
  <c r="AG87" i="3"/>
  <c r="AG363" i="7"/>
  <c r="AG363" i="3" s="1"/>
  <c r="AG225" i="7"/>
  <c r="AG225" i="3" s="1"/>
  <c r="AL86" i="3"/>
  <c r="AL362" i="7"/>
  <c r="AL362" i="3" s="1"/>
  <c r="AL224" i="7"/>
  <c r="AL224" i="3" s="1"/>
  <c r="AQ85" i="3"/>
  <c r="AQ361" i="7"/>
  <c r="AQ361" i="3" s="1"/>
  <c r="AQ223" i="7"/>
  <c r="AQ223" i="3" s="1"/>
  <c r="AV84" i="3"/>
  <c r="AV360" i="7"/>
  <c r="AV360" i="3" s="1"/>
  <c r="AV222" i="7"/>
  <c r="AV222" i="3" s="1"/>
  <c r="AF84" i="3"/>
  <c r="AF360" i="7"/>
  <c r="AF360" i="3" s="1"/>
  <c r="AF222" i="7"/>
  <c r="AF222" i="3" s="1"/>
  <c r="AK83" i="3"/>
  <c r="AK359" i="7"/>
  <c r="AK359" i="3" s="1"/>
  <c r="AK221" i="7"/>
  <c r="AK221" i="3" s="1"/>
  <c r="AP82" i="3"/>
  <c r="AP358" i="7"/>
  <c r="AP358" i="3" s="1"/>
  <c r="AU81" i="3"/>
  <c r="AU357" i="7"/>
  <c r="AU357" i="3" s="1"/>
  <c r="AU219" i="7"/>
  <c r="AU219" i="3" s="1"/>
  <c r="AE81" i="3"/>
  <c r="AE357" i="7"/>
  <c r="AE357" i="3" s="1"/>
  <c r="AE219" i="7"/>
  <c r="AE219" i="3" s="1"/>
  <c r="AJ80" i="3"/>
  <c r="AJ356" i="7"/>
  <c r="AJ356" i="3" s="1"/>
  <c r="AJ218" i="7"/>
  <c r="AJ218" i="3" s="1"/>
  <c r="AO79" i="3"/>
  <c r="AO355" i="7"/>
  <c r="AO355" i="3" s="1"/>
  <c r="AO217" i="7"/>
  <c r="AO217" i="3" s="1"/>
  <c r="AT78" i="3"/>
  <c r="AT354" i="7"/>
  <c r="AT354" i="3" s="1"/>
  <c r="AT216" i="7"/>
  <c r="AT216" i="3" s="1"/>
  <c r="AD78" i="3"/>
  <c r="AD354" i="7"/>
  <c r="AD354" i="3" s="1"/>
  <c r="AD216" i="7"/>
  <c r="AD216" i="3" s="1"/>
  <c r="AI353" i="7"/>
  <c r="AI215" i="7"/>
  <c r="AN76" i="3"/>
  <c r="AN352" i="7"/>
  <c r="AN352" i="3" s="1"/>
  <c r="AN214" i="7"/>
  <c r="AN214" i="3" s="1"/>
  <c r="AS75" i="3"/>
  <c r="AS351" i="7"/>
  <c r="AS351" i="3" s="1"/>
  <c r="AS213" i="7"/>
  <c r="AS213" i="3" s="1"/>
  <c r="AC75" i="3"/>
  <c r="AC351" i="7"/>
  <c r="AC351" i="3" s="1"/>
  <c r="AC213" i="7"/>
  <c r="AC213" i="3" s="1"/>
  <c r="AH74" i="3"/>
  <c r="AH350" i="7"/>
  <c r="AH350" i="3" s="1"/>
  <c r="AH212" i="7"/>
  <c r="AH212" i="3" s="1"/>
  <c r="AM73" i="3"/>
  <c r="AM349" i="7"/>
  <c r="AM349" i="3" s="1"/>
  <c r="AM211" i="7"/>
  <c r="AM211" i="3" s="1"/>
  <c r="AR72" i="3"/>
  <c r="AR348" i="7"/>
  <c r="AR348" i="3" s="1"/>
  <c r="AR210" i="7"/>
  <c r="AR210" i="3" s="1"/>
  <c r="AW71" i="3"/>
  <c r="AW347" i="7"/>
  <c r="AW347" i="3" s="1"/>
  <c r="AW209" i="7"/>
  <c r="AW209" i="3" s="1"/>
  <c r="AG71" i="3"/>
  <c r="AG347" i="7"/>
  <c r="AG347" i="3" s="1"/>
  <c r="AG209" i="7"/>
  <c r="AG209" i="3" s="1"/>
  <c r="AL70" i="3"/>
  <c r="AL346" i="7"/>
  <c r="AL346" i="3" s="1"/>
  <c r="AL208" i="7"/>
  <c r="AL208" i="3" s="1"/>
  <c r="AQ69" i="3"/>
  <c r="AQ345" i="7"/>
  <c r="AQ345" i="3" s="1"/>
  <c r="AQ207" i="7"/>
  <c r="AQ207" i="3" s="1"/>
  <c r="AV68" i="3"/>
  <c r="AV344" i="7"/>
  <c r="AV344" i="3" s="1"/>
  <c r="AV206" i="7"/>
  <c r="AV206" i="3" s="1"/>
  <c r="AF68" i="3"/>
  <c r="AF344" i="7"/>
  <c r="AF344" i="3" s="1"/>
  <c r="AF206" i="7"/>
  <c r="AF206" i="3" s="1"/>
  <c r="AK67" i="3"/>
  <c r="AK343" i="7"/>
  <c r="AK343" i="3" s="1"/>
  <c r="AK205" i="7"/>
  <c r="AK205" i="3" s="1"/>
  <c r="AP66" i="3"/>
  <c r="AP342" i="7"/>
  <c r="AP342" i="3" s="1"/>
  <c r="AU65" i="3"/>
  <c r="AU341" i="7"/>
  <c r="AU341" i="3" s="1"/>
  <c r="AU203" i="7"/>
  <c r="AU203" i="3" s="1"/>
  <c r="AE65" i="3"/>
  <c r="AE341" i="7"/>
  <c r="AE341" i="3" s="1"/>
  <c r="AE203" i="7"/>
  <c r="AE203" i="3" s="1"/>
  <c r="AJ64" i="3"/>
  <c r="AJ340" i="7"/>
  <c r="AJ340" i="3" s="1"/>
  <c r="AJ202" i="7"/>
  <c r="AJ202" i="3" s="1"/>
  <c r="AO63" i="3"/>
  <c r="AO339" i="7"/>
  <c r="AO339" i="3" s="1"/>
  <c r="AO201" i="7"/>
  <c r="AO201" i="3" s="1"/>
  <c r="AT62" i="3"/>
  <c r="AT338" i="7"/>
  <c r="AT338" i="3" s="1"/>
  <c r="AT200" i="7"/>
  <c r="AT200" i="3" s="1"/>
  <c r="AD62" i="3"/>
  <c r="AD338" i="7"/>
  <c r="AD338" i="3" s="1"/>
  <c r="AD200" i="7"/>
  <c r="AD200" i="3" s="1"/>
  <c r="AI61" i="3"/>
  <c r="AI337" i="7"/>
  <c r="AI337" i="3" s="1"/>
  <c r="AI199" i="7"/>
  <c r="AI199" i="3" s="1"/>
  <c r="AN60" i="3"/>
  <c r="AN336" i="7"/>
  <c r="AN336" i="3" s="1"/>
  <c r="AN198" i="7"/>
  <c r="AN198" i="3" s="1"/>
  <c r="AS59" i="3"/>
  <c r="AS335" i="7"/>
  <c r="AS335" i="3" s="1"/>
  <c r="AS197" i="7"/>
  <c r="AS197" i="3" s="1"/>
  <c r="AC59" i="3"/>
  <c r="AC335" i="7"/>
  <c r="AC335" i="3" s="1"/>
  <c r="AC197" i="7"/>
  <c r="AC197" i="3" s="1"/>
  <c r="AH58" i="3"/>
  <c r="AH334" i="7"/>
  <c r="AH334" i="3" s="1"/>
  <c r="AH196" i="7"/>
  <c r="AH196" i="3" s="1"/>
  <c r="AM57" i="3"/>
  <c r="AM333" i="7"/>
  <c r="AM333" i="3" s="1"/>
  <c r="AM195" i="7"/>
  <c r="AM195" i="3" s="1"/>
  <c r="AR56" i="3"/>
  <c r="AR332" i="7"/>
  <c r="AR332" i="3" s="1"/>
  <c r="AR194" i="7"/>
  <c r="AR194" i="3" s="1"/>
  <c r="AW55" i="3"/>
  <c r="AW331" i="7"/>
  <c r="AW331" i="3" s="1"/>
  <c r="AW193" i="7"/>
  <c r="AW193" i="3" s="1"/>
  <c r="AG55" i="3"/>
  <c r="AG331" i="7"/>
  <c r="AG331" i="3" s="1"/>
  <c r="AG193" i="7"/>
  <c r="AG193" i="3" s="1"/>
  <c r="AL54" i="3"/>
  <c r="AL330" i="7"/>
  <c r="AL330" i="3" s="1"/>
  <c r="AQ53" i="3"/>
  <c r="AQ329" i="7"/>
  <c r="AQ329" i="3" s="1"/>
  <c r="AQ191" i="7"/>
  <c r="AQ191" i="3" s="1"/>
  <c r="AV52" i="3"/>
  <c r="AV328" i="7"/>
  <c r="AV328" i="3" s="1"/>
  <c r="AV190" i="7"/>
  <c r="AV190" i="3" s="1"/>
  <c r="AF52" i="3"/>
  <c r="AF328" i="7"/>
  <c r="AF328" i="3" s="1"/>
  <c r="AF190" i="7"/>
  <c r="AF190" i="3" s="1"/>
  <c r="AK51" i="3"/>
  <c r="AK327" i="7"/>
  <c r="AK327" i="3" s="1"/>
  <c r="AK189" i="7"/>
  <c r="AK189" i="3" s="1"/>
  <c r="AP50" i="3"/>
  <c r="AP326" i="7"/>
  <c r="AP326" i="3" s="1"/>
  <c r="AP188" i="7"/>
  <c r="AP188" i="3" s="1"/>
  <c r="AU49" i="3"/>
  <c r="AU325" i="7"/>
  <c r="AU325" i="3" s="1"/>
  <c r="AU187" i="7"/>
  <c r="AU187" i="3" s="1"/>
  <c r="AE49" i="3"/>
  <c r="AE325" i="7"/>
  <c r="AE325" i="3" s="1"/>
  <c r="AE187" i="7"/>
  <c r="AE187" i="3" s="1"/>
  <c r="AJ48" i="3"/>
  <c r="AJ324" i="7"/>
  <c r="AJ324" i="3" s="1"/>
  <c r="AJ186" i="7"/>
  <c r="AJ186" i="3" s="1"/>
  <c r="AO47" i="3"/>
  <c r="AO323" i="7"/>
  <c r="AO323" i="3" s="1"/>
  <c r="AO185" i="7"/>
  <c r="AO185" i="3" s="1"/>
  <c r="AT46" i="3"/>
  <c r="AT322" i="7"/>
  <c r="AT322" i="3" s="1"/>
  <c r="AT184" i="7"/>
  <c r="AT184" i="3" s="1"/>
  <c r="AD46" i="3"/>
  <c r="AD322" i="7"/>
  <c r="AD322" i="3" s="1"/>
  <c r="AD184" i="7"/>
  <c r="AD184" i="3" s="1"/>
  <c r="AI45" i="3"/>
  <c r="AI321" i="7"/>
  <c r="AI321" i="3" s="1"/>
  <c r="AI183" i="7"/>
  <c r="AI183" i="3" s="1"/>
  <c r="AN44" i="3"/>
  <c r="AN320" i="7"/>
  <c r="AN320" i="3" s="1"/>
  <c r="AN182" i="7"/>
  <c r="AN182" i="3" s="1"/>
  <c r="AS43" i="3"/>
  <c r="AS319" i="7"/>
  <c r="AS319" i="3" s="1"/>
  <c r="AS181" i="7"/>
  <c r="AS181" i="3" s="1"/>
  <c r="AC43" i="3"/>
  <c r="AC319" i="7"/>
  <c r="AC319" i="3" s="1"/>
  <c r="AC181" i="7"/>
  <c r="AC181" i="3" s="1"/>
  <c r="AH42" i="3"/>
  <c r="AH318" i="7"/>
  <c r="AH318" i="3" s="1"/>
  <c r="AH180" i="7"/>
  <c r="AH180" i="3" s="1"/>
  <c r="AM41" i="3"/>
  <c r="AM317" i="7"/>
  <c r="AM317" i="3" s="1"/>
  <c r="AM179" i="7"/>
  <c r="AM179" i="3" s="1"/>
  <c r="AR40" i="3"/>
  <c r="AR316" i="7"/>
  <c r="AR316" i="3" s="1"/>
  <c r="AR178" i="7"/>
  <c r="AR178" i="3" s="1"/>
  <c r="AW39" i="3"/>
  <c r="AW315" i="7"/>
  <c r="AW315" i="3" s="1"/>
  <c r="AW177" i="7"/>
  <c r="AW177" i="3" s="1"/>
  <c r="AG39" i="3"/>
  <c r="AG315" i="7"/>
  <c r="AG315" i="3" s="1"/>
  <c r="AG177" i="7"/>
  <c r="AG177" i="3" s="1"/>
  <c r="AL38" i="3"/>
  <c r="AL314" i="7"/>
  <c r="AL314" i="3" s="1"/>
  <c r="AL176" i="7"/>
  <c r="AL176" i="3" s="1"/>
  <c r="AQ37" i="3"/>
  <c r="AQ313" i="7"/>
  <c r="AQ313" i="3" s="1"/>
  <c r="AQ175" i="7"/>
  <c r="AQ175" i="3" s="1"/>
  <c r="AV36" i="3"/>
  <c r="AV312" i="7"/>
  <c r="AV312" i="3" s="1"/>
  <c r="AV174" i="7"/>
  <c r="AV174" i="3" s="1"/>
  <c r="AF36" i="3"/>
  <c r="AF312" i="7"/>
  <c r="AF312" i="3" s="1"/>
  <c r="AF174" i="7"/>
  <c r="AF174" i="3" s="1"/>
  <c r="AX125" i="3"/>
  <c r="AX401" i="7"/>
  <c r="AX401" i="3" s="1"/>
  <c r="AX263" i="7"/>
  <c r="AX263" i="3" s="1"/>
  <c r="AX109" i="3"/>
  <c r="AX385" i="7"/>
  <c r="AX385" i="3" s="1"/>
  <c r="AX247" i="7"/>
  <c r="AX247" i="3" s="1"/>
  <c r="AX93" i="3"/>
  <c r="AX369" i="7"/>
  <c r="AX369" i="3" s="1"/>
  <c r="AX231" i="7"/>
  <c r="AX231" i="3" s="1"/>
  <c r="AX353" i="7"/>
  <c r="AX215" i="7"/>
  <c r="AX61" i="3"/>
  <c r="AX337" i="7"/>
  <c r="AX337" i="3" s="1"/>
  <c r="AX199" i="7"/>
  <c r="AX199" i="3" s="1"/>
  <c r="AX45" i="3"/>
  <c r="AX321" i="7"/>
  <c r="AX321" i="3" s="1"/>
  <c r="AX183" i="7"/>
  <c r="AX183" i="3" s="1"/>
  <c r="AX29" i="3"/>
  <c r="AX305" i="7"/>
  <c r="AX305" i="3" s="1"/>
  <c r="AX167" i="7"/>
  <c r="AX167" i="3" s="1"/>
  <c r="AX13" i="3"/>
  <c r="AX289" i="7"/>
  <c r="AX289" i="3" s="1"/>
  <c r="AX151" i="7"/>
  <c r="AX151" i="3" s="1"/>
  <c r="AU274" i="7"/>
  <c r="AU274" i="3" s="1"/>
  <c r="AW270" i="7"/>
  <c r="AW270" i="3" s="1"/>
  <c r="AF267" i="7"/>
  <c r="AF267" i="3" s="1"/>
  <c r="AG254" i="7"/>
  <c r="AG254" i="3" s="1"/>
  <c r="AI251" i="7"/>
  <c r="AI251" i="3" s="1"/>
  <c r="AK248" i="7"/>
  <c r="AK248" i="3" s="1"/>
  <c r="AP220" i="7"/>
  <c r="AP220" i="3" s="1"/>
  <c r="AL192" i="7"/>
  <c r="AL192" i="3" s="1"/>
  <c r="AF135" i="3"/>
  <c r="AF411" i="7"/>
  <c r="AF411" i="3" s="1"/>
  <c r="AK134" i="3"/>
  <c r="AK410" i="7"/>
  <c r="AK410" i="3" s="1"/>
  <c r="AP133" i="3"/>
  <c r="AP409" i="7"/>
  <c r="AP409" i="3" s="1"/>
  <c r="AU132" i="3"/>
  <c r="AU408" i="7"/>
  <c r="AU408" i="3" s="1"/>
  <c r="AU270" i="7"/>
  <c r="AU270" i="3" s="1"/>
  <c r="AE132" i="3"/>
  <c r="AE408" i="7"/>
  <c r="AE408" i="3" s="1"/>
  <c r="AE270" i="7"/>
  <c r="AE270" i="3" s="1"/>
  <c r="AJ131" i="3"/>
  <c r="AJ407" i="7"/>
  <c r="AJ407" i="3" s="1"/>
  <c r="AO130" i="3"/>
  <c r="AO406" i="7"/>
  <c r="AO406" i="3" s="1"/>
  <c r="AO268" i="7"/>
  <c r="AO268" i="3" s="1"/>
  <c r="AT129" i="3"/>
  <c r="AT405" i="7"/>
  <c r="AT405" i="3" s="1"/>
  <c r="AT267" i="7"/>
  <c r="AT267" i="3" s="1"/>
  <c r="AD129" i="3"/>
  <c r="AD405" i="7"/>
  <c r="AD405" i="3" s="1"/>
  <c r="AD267" i="7"/>
  <c r="AD267" i="3" s="1"/>
  <c r="AI404" i="7"/>
  <c r="AI266" i="7"/>
  <c r="AN127" i="3"/>
  <c r="AN403" i="7"/>
  <c r="AN403" i="3" s="1"/>
  <c r="AN265" i="7"/>
  <c r="AN265" i="3" s="1"/>
  <c r="AS126" i="3"/>
  <c r="AS402" i="7"/>
  <c r="AS402" i="3" s="1"/>
  <c r="AS264" i="7"/>
  <c r="AS264" i="3" s="1"/>
  <c r="AC126" i="3"/>
  <c r="AC402" i="7"/>
  <c r="AC402" i="3" s="1"/>
  <c r="AC264" i="7"/>
  <c r="AC264" i="3" s="1"/>
  <c r="AH125" i="3"/>
  <c r="AH401" i="7"/>
  <c r="AH401" i="3" s="1"/>
  <c r="AH263" i="7"/>
  <c r="AH263" i="3" s="1"/>
  <c r="AM124" i="3"/>
  <c r="AM400" i="7"/>
  <c r="AM400" i="3" s="1"/>
  <c r="AR123" i="3"/>
  <c r="AR399" i="7"/>
  <c r="AR399" i="3" s="1"/>
  <c r="AR261" i="7"/>
  <c r="AR261" i="3" s="1"/>
  <c r="AW122" i="3"/>
  <c r="AW398" i="7"/>
  <c r="AW398" i="3" s="1"/>
  <c r="AW260" i="7"/>
  <c r="AW260" i="3" s="1"/>
  <c r="AG122" i="3"/>
  <c r="AG398" i="7"/>
  <c r="AG398" i="3" s="1"/>
  <c r="AG260" i="7"/>
  <c r="AG260" i="3" s="1"/>
  <c r="AL121" i="3"/>
  <c r="AL397" i="7"/>
  <c r="AL397" i="3" s="1"/>
  <c r="AL259" i="7"/>
  <c r="AL259" i="3" s="1"/>
  <c r="AQ120" i="3"/>
  <c r="AQ396" i="7"/>
  <c r="AQ396" i="3" s="1"/>
  <c r="AQ258" i="7"/>
  <c r="AQ258" i="3" s="1"/>
  <c r="AV119" i="3"/>
  <c r="AV395" i="7"/>
  <c r="AV395" i="3" s="1"/>
  <c r="AF119" i="3"/>
  <c r="AF395" i="7"/>
  <c r="AF395" i="3" s="1"/>
  <c r="AK118" i="3"/>
  <c r="AK394" i="7"/>
  <c r="AK394" i="3" s="1"/>
  <c r="AP117" i="3"/>
  <c r="AP393" i="7"/>
  <c r="AP393" i="3" s="1"/>
  <c r="AP255" i="7"/>
  <c r="AP255" i="3" s="1"/>
  <c r="AU116" i="3"/>
  <c r="AU392" i="7"/>
  <c r="AU392" i="3" s="1"/>
  <c r="AU254" i="7"/>
  <c r="AU254" i="3" s="1"/>
  <c r="AE116" i="3"/>
  <c r="AE392" i="7"/>
  <c r="AE392" i="3" s="1"/>
  <c r="AE254" i="7"/>
  <c r="AE254" i="3" s="1"/>
  <c r="AJ115" i="3"/>
  <c r="AJ391" i="7"/>
  <c r="AJ391" i="3" s="1"/>
  <c r="AO114" i="3"/>
  <c r="AO390" i="7"/>
  <c r="AO390" i="3" s="1"/>
  <c r="AO252" i="7"/>
  <c r="AO252" i="3" s="1"/>
  <c r="AT113" i="3"/>
  <c r="AT389" i="7"/>
  <c r="AT389" i="3" s="1"/>
  <c r="AT251" i="7"/>
  <c r="AT251" i="3" s="1"/>
  <c r="AD113" i="3"/>
  <c r="AD389" i="7"/>
  <c r="AD389" i="3" s="1"/>
  <c r="AD251" i="7"/>
  <c r="AD251" i="3" s="1"/>
  <c r="AI112" i="3"/>
  <c r="AI388" i="7"/>
  <c r="AI388" i="3" s="1"/>
  <c r="AI250" i="7"/>
  <c r="AI250" i="3" s="1"/>
  <c r="AN111" i="3"/>
  <c r="AN387" i="7"/>
  <c r="AN387" i="3" s="1"/>
  <c r="AN249" i="7"/>
  <c r="AN249" i="3" s="1"/>
  <c r="AS110" i="3"/>
  <c r="AS386" i="7"/>
  <c r="AS386" i="3" s="1"/>
  <c r="AS248" i="7"/>
  <c r="AS248" i="3" s="1"/>
  <c r="AC110" i="3"/>
  <c r="AC386" i="7"/>
  <c r="AC386" i="3" s="1"/>
  <c r="AC248" i="7"/>
  <c r="AC248" i="3" s="1"/>
  <c r="AH109" i="3"/>
  <c r="AH385" i="7"/>
  <c r="AH385" i="3" s="1"/>
  <c r="AH247" i="7"/>
  <c r="AH247" i="3" s="1"/>
  <c r="AM108" i="3"/>
  <c r="AM384" i="7"/>
  <c r="AM384" i="3" s="1"/>
  <c r="AM246" i="7"/>
  <c r="AM246" i="3" s="1"/>
  <c r="AR107" i="3"/>
  <c r="AR383" i="7"/>
  <c r="AR383" i="3" s="1"/>
  <c r="AR245" i="7"/>
  <c r="AR245" i="3" s="1"/>
  <c r="AW106" i="3"/>
  <c r="AW382" i="7"/>
  <c r="AW382" i="3" s="1"/>
  <c r="AW244" i="7"/>
  <c r="AW244" i="3" s="1"/>
  <c r="AG106" i="3"/>
  <c r="AG382" i="7"/>
  <c r="AG382" i="3" s="1"/>
  <c r="AG244" i="7"/>
  <c r="AG244" i="3" s="1"/>
  <c r="AL105" i="3"/>
  <c r="AL381" i="7"/>
  <c r="AL381" i="3" s="1"/>
  <c r="AL243" i="7"/>
  <c r="AL243" i="3" s="1"/>
  <c r="AQ104" i="3"/>
  <c r="AQ380" i="7"/>
  <c r="AQ380" i="3" s="1"/>
  <c r="AQ242" i="7"/>
  <c r="AQ242" i="3" s="1"/>
  <c r="AV103" i="3"/>
  <c r="AV379" i="7"/>
  <c r="AV379" i="3" s="1"/>
  <c r="AF103" i="3"/>
  <c r="AF379" i="7"/>
  <c r="AF379" i="3" s="1"/>
  <c r="AK102" i="3"/>
  <c r="AK378" i="7"/>
  <c r="AK378" i="3" s="1"/>
  <c r="AP101" i="3"/>
  <c r="AP377" i="7"/>
  <c r="AP377" i="3" s="1"/>
  <c r="AP239" i="7"/>
  <c r="AP239" i="3" s="1"/>
  <c r="AU100" i="3"/>
  <c r="AU376" i="7"/>
  <c r="AU376" i="3" s="1"/>
  <c r="AU238" i="7"/>
  <c r="AU238" i="3" s="1"/>
  <c r="AE100" i="3"/>
  <c r="AE376" i="7"/>
  <c r="AE376" i="3" s="1"/>
  <c r="AE238" i="7"/>
  <c r="AE238" i="3" s="1"/>
  <c r="AJ99" i="3"/>
  <c r="AJ375" i="7"/>
  <c r="AJ375" i="3" s="1"/>
  <c r="AJ237" i="7"/>
  <c r="AJ237" i="3" s="1"/>
  <c r="AO98" i="3"/>
  <c r="AO374" i="7"/>
  <c r="AO374" i="3" s="1"/>
  <c r="AO236" i="7"/>
  <c r="AO236" i="3" s="1"/>
  <c r="AT97" i="3"/>
  <c r="AT373" i="7"/>
  <c r="AT373" i="3" s="1"/>
  <c r="AT235" i="7"/>
  <c r="AT235" i="3" s="1"/>
  <c r="AD97" i="3"/>
  <c r="AD373" i="7"/>
  <c r="AD373" i="3" s="1"/>
  <c r="AD235" i="7"/>
  <c r="AD235" i="3" s="1"/>
  <c r="AI96" i="3"/>
  <c r="AI372" i="7"/>
  <c r="AI372" i="3" s="1"/>
  <c r="AI234" i="7"/>
  <c r="AI234" i="3" s="1"/>
  <c r="AN95" i="3"/>
  <c r="AN371" i="7"/>
  <c r="AN371" i="3" s="1"/>
  <c r="AN233" i="7"/>
  <c r="AN233" i="3" s="1"/>
  <c r="AS94" i="3"/>
  <c r="AS370" i="7"/>
  <c r="AS370" i="3" s="1"/>
  <c r="AS232" i="7"/>
  <c r="AS232" i="3" s="1"/>
  <c r="AC94" i="3"/>
  <c r="AC370" i="7"/>
  <c r="AC370" i="3" s="1"/>
  <c r="AC232" i="7"/>
  <c r="AC232" i="3" s="1"/>
  <c r="AH93" i="3"/>
  <c r="AH369" i="7"/>
  <c r="AH369" i="3" s="1"/>
  <c r="AH231" i="7"/>
  <c r="AH231" i="3" s="1"/>
  <c r="AM92" i="3"/>
  <c r="AM368" i="7"/>
  <c r="AM368" i="3" s="1"/>
  <c r="AM230" i="7"/>
  <c r="AM230" i="3" s="1"/>
  <c r="AR91" i="3"/>
  <c r="AR367" i="7"/>
  <c r="AR367" i="3" s="1"/>
  <c r="AR229" i="7"/>
  <c r="AR229" i="3" s="1"/>
  <c r="AW90" i="3"/>
  <c r="AW366" i="7"/>
  <c r="AW366" i="3" s="1"/>
  <c r="AW228" i="7"/>
  <c r="AW228" i="3" s="1"/>
  <c r="AG90" i="3"/>
  <c r="AG366" i="7"/>
  <c r="AG366" i="3" s="1"/>
  <c r="AG228" i="7"/>
  <c r="AG228" i="3" s="1"/>
  <c r="AL365" i="7"/>
  <c r="AL227" i="7"/>
  <c r="AQ88" i="3"/>
  <c r="AQ364" i="7"/>
  <c r="AQ364" i="3" s="1"/>
  <c r="AQ226" i="7"/>
  <c r="AQ226" i="3" s="1"/>
  <c r="AV87" i="3"/>
  <c r="AV363" i="7"/>
  <c r="AV363" i="3" s="1"/>
  <c r="AV225" i="7"/>
  <c r="AV225" i="3" s="1"/>
  <c r="AF87" i="3"/>
  <c r="AF363" i="7"/>
  <c r="AF363" i="3" s="1"/>
  <c r="AK86" i="3"/>
  <c r="AK362" i="7"/>
  <c r="AK362" i="3" s="1"/>
  <c r="AK224" i="7"/>
  <c r="AK224" i="3" s="1"/>
  <c r="AP85" i="3"/>
  <c r="AP361" i="7"/>
  <c r="AP361" i="3" s="1"/>
  <c r="AP223" i="7"/>
  <c r="AP223" i="3" s="1"/>
  <c r="AU84" i="3"/>
  <c r="AU360" i="7"/>
  <c r="AU360" i="3" s="1"/>
  <c r="AU222" i="7"/>
  <c r="AU222" i="3" s="1"/>
  <c r="AE84" i="3"/>
  <c r="AE360" i="7"/>
  <c r="AE360" i="3" s="1"/>
  <c r="AE222" i="7"/>
  <c r="AE222" i="3" s="1"/>
  <c r="AJ83" i="3"/>
  <c r="AJ359" i="7"/>
  <c r="AJ359" i="3" s="1"/>
  <c r="AJ221" i="7"/>
  <c r="AJ221" i="3" s="1"/>
  <c r="AO82" i="3"/>
  <c r="AO358" i="7"/>
  <c r="AO358" i="3" s="1"/>
  <c r="AO220" i="7"/>
  <c r="AO220" i="3" s="1"/>
  <c r="AT81" i="3"/>
  <c r="AT357" i="7"/>
  <c r="AT357" i="3" s="1"/>
  <c r="AT219" i="7"/>
  <c r="AT219" i="3" s="1"/>
  <c r="AD81" i="3"/>
  <c r="AD357" i="7"/>
  <c r="AD357" i="3" s="1"/>
  <c r="AD219" i="7"/>
  <c r="AD219" i="3" s="1"/>
  <c r="AI80" i="3"/>
  <c r="AI356" i="7"/>
  <c r="AI356" i="3" s="1"/>
  <c r="AI218" i="7"/>
  <c r="AI218" i="3" s="1"/>
  <c r="AN79" i="3"/>
  <c r="AN355" i="7"/>
  <c r="AN355" i="3" s="1"/>
  <c r="AN217" i="7"/>
  <c r="AN217" i="3" s="1"/>
  <c r="AS78" i="3"/>
  <c r="AS354" i="7"/>
  <c r="AS354" i="3" s="1"/>
  <c r="AS216" i="7"/>
  <c r="AS216" i="3" s="1"/>
  <c r="AC78" i="3"/>
  <c r="AC354" i="7"/>
  <c r="AC354" i="3" s="1"/>
  <c r="AC216" i="7"/>
  <c r="AC216" i="3" s="1"/>
  <c r="AH353" i="7"/>
  <c r="AH215" i="7"/>
  <c r="AM76" i="3"/>
  <c r="AM352" i="7"/>
  <c r="AM352" i="3" s="1"/>
  <c r="AM214" i="7"/>
  <c r="AM214" i="3" s="1"/>
  <c r="AR75" i="3"/>
  <c r="AR351" i="7"/>
  <c r="AR351" i="3" s="1"/>
  <c r="AR213" i="7"/>
  <c r="AR213" i="3" s="1"/>
  <c r="AW74" i="3"/>
  <c r="AW350" i="7"/>
  <c r="AW350" i="3" s="1"/>
  <c r="AW212" i="7"/>
  <c r="AW212" i="3" s="1"/>
  <c r="AG74" i="3"/>
  <c r="AG350" i="7"/>
  <c r="AG350" i="3" s="1"/>
  <c r="AG212" i="7"/>
  <c r="AG212" i="3" s="1"/>
  <c r="AL73" i="3"/>
  <c r="AL349" i="7"/>
  <c r="AL349" i="3" s="1"/>
  <c r="AL211" i="7"/>
  <c r="AL211" i="3" s="1"/>
  <c r="AQ72" i="3"/>
  <c r="AQ348" i="7"/>
  <c r="AQ348" i="3" s="1"/>
  <c r="AQ210" i="7"/>
  <c r="AQ210" i="3" s="1"/>
  <c r="AV71" i="3"/>
  <c r="AV347" i="7"/>
  <c r="AV347" i="3" s="1"/>
  <c r="AV209" i="7"/>
  <c r="AV209" i="3" s="1"/>
  <c r="AF71" i="3"/>
  <c r="AF347" i="7"/>
  <c r="AF347" i="3" s="1"/>
  <c r="AF209" i="7"/>
  <c r="AF209" i="3" s="1"/>
  <c r="AK70" i="3"/>
  <c r="AK346" i="7"/>
  <c r="AK346" i="3" s="1"/>
  <c r="AP69" i="3"/>
  <c r="AP345" i="7"/>
  <c r="AP345" i="3" s="1"/>
  <c r="AP207" i="7"/>
  <c r="AP207" i="3" s="1"/>
  <c r="AU68" i="3"/>
  <c r="AU344" i="7"/>
  <c r="AU344" i="3" s="1"/>
  <c r="AU206" i="7"/>
  <c r="AU206" i="3" s="1"/>
  <c r="AE68" i="3"/>
  <c r="AE344" i="7"/>
  <c r="AE344" i="3" s="1"/>
  <c r="AE206" i="7"/>
  <c r="AE206" i="3" s="1"/>
  <c r="AJ67" i="3"/>
  <c r="AJ343" i="7"/>
  <c r="AJ343" i="3" s="1"/>
  <c r="AJ205" i="7"/>
  <c r="AJ205" i="3" s="1"/>
  <c r="AO66" i="3"/>
  <c r="AO342" i="7"/>
  <c r="AO342" i="3" s="1"/>
  <c r="AO204" i="7"/>
  <c r="AO204" i="3" s="1"/>
  <c r="AT65" i="3"/>
  <c r="AT341" i="7"/>
  <c r="AT341" i="3" s="1"/>
  <c r="AT203" i="7"/>
  <c r="AT203" i="3" s="1"/>
  <c r="AD65" i="3"/>
  <c r="AD341" i="7"/>
  <c r="AD341" i="3" s="1"/>
  <c r="AD203" i="7"/>
  <c r="AD203" i="3" s="1"/>
  <c r="AI64" i="3"/>
  <c r="AI340" i="7"/>
  <c r="AI340" i="3" s="1"/>
  <c r="AI202" i="7"/>
  <c r="AI202" i="3" s="1"/>
  <c r="AN63" i="3"/>
  <c r="AN339" i="7"/>
  <c r="AN339" i="3" s="1"/>
  <c r="AN201" i="7"/>
  <c r="AN201" i="3" s="1"/>
  <c r="AS62" i="3"/>
  <c r="AS338" i="7"/>
  <c r="AS338" i="3" s="1"/>
  <c r="AS200" i="7"/>
  <c r="AS200" i="3" s="1"/>
  <c r="AC62" i="3"/>
  <c r="AC338" i="7"/>
  <c r="AC338" i="3" s="1"/>
  <c r="AC200" i="7"/>
  <c r="AC200" i="3" s="1"/>
  <c r="AH61" i="3"/>
  <c r="AH337" i="7"/>
  <c r="AH337" i="3" s="1"/>
  <c r="AH199" i="7"/>
  <c r="AH199" i="3" s="1"/>
  <c r="AM60" i="3"/>
  <c r="AM336" i="7"/>
  <c r="AM336" i="3" s="1"/>
  <c r="AM198" i="7"/>
  <c r="AM198" i="3" s="1"/>
  <c r="AR59" i="3"/>
  <c r="AR335" i="7"/>
  <c r="AR335" i="3" s="1"/>
  <c r="AR197" i="7"/>
  <c r="AR197" i="3" s="1"/>
  <c r="AW58" i="3"/>
  <c r="AW334" i="7"/>
  <c r="AW334" i="3" s="1"/>
  <c r="AW196" i="7"/>
  <c r="AW196" i="3" s="1"/>
  <c r="AG58" i="3"/>
  <c r="AG334" i="7"/>
  <c r="AG334" i="3" s="1"/>
  <c r="AG196" i="7"/>
  <c r="AG196" i="3" s="1"/>
  <c r="AL57" i="3"/>
  <c r="AL333" i="7"/>
  <c r="AL333" i="3" s="1"/>
  <c r="AL195" i="7"/>
  <c r="AL195" i="3" s="1"/>
  <c r="AQ56" i="3"/>
  <c r="AQ332" i="7"/>
  <c r="AQ332" i="3" s="1"/>
  <c r="AQ194" i="7"/>
  <c r="AQ194" i="3" s="1"/>
  <c r="AV55" i="3"/>
  <c r="AV331" i="7"/>
  <c r="AV331" i="3" s="1"/>
  <c r="AV193" i="7"/>
  <c r="AV193" i="3" s="1"/>
  <c r="AF55" i="3"/>
  <c r="AF331" i="7"/>
  <c r="AF331" i="3" s="1"/>
  <c r="AF193" i="7"/>
  <c r="AF193" i="3" s="1"/>
  <c r="AK54" i="3"/>
  <c r="AK330" i="7"/>
  <c r="AK330" i="3" s="1"/>
  <c r="AK192" i="7"/>
  <c r="AK192" i="3" s="1"/>
  <c r="AP53" i="3"/>
  <c r="AP329" i="7"/>
  <c r="AP329" i="3" s="1"/>
  <c r="AP191" i="7"/>
  <c r="AP191" i="3" s="1"/>
  <c r="AU52" i="3"/>
  <c r="AU328" i="7"/>
  <c r="AU328" i="3" s="1"/>
  <c r="AU190" i="7"/>
  <c r="AU190" i="3" s="1"/>
  <c r="AE52" i="3"/>
  <c r="AE328" i="7"/>
  <c r="AE328" i="3" s="1"/>
  <c r="AE190" i="7"/>
  <c r="AE190" i="3" s="1"/>
  <c r="AJ51" i="3"/>
  <c r="AJ327" i="7"/>
  <c r="AJ327" i="3" s="1"/>
  <c r="AJ189" i="7"/>
  <c r="AJ189" i="3" s="1"/>
  <c r="AO50" i="3"/>
  <c r="AO326" i="7"/>
  <c r="AO326" i="3" s="1"/>
  <c r="AO188" i="7"/>
  <c r="AO188" i="3" s="1"/>
  <c r="AT49" i="3"/>
  <c r="AT325" i="7"/>
  <c r="AT325" i="3" s="1"/>
  <c r="AT187" i="7"/>
  <c r="AT187" i="3" s="1"/>
  <c r="AD49" i="3"/>
  <c r="AD325" i="7"/>
  <c r="AD325" i="3" s="1"/>
  <c r="AD187" i="7"/>
  <c r="AD187" i="3" s="1"/>
  <c r="AI48" i="3"/>
  <c r="AI324" i="7"/>
  <c r="AI324" i="3" s="1"/>
  <c r="AI186" i="7"/>
  <c r="AI186" i="3" s="1"/>
  <c r="AN47" i="3"/>
  <c r="AN323" i="7"/>
  <c r="AN323" i="3" s="1"/>
  <c r="AN185" i="7"/>
  <c r="AN185" i="3" s="1"/>
  <c r="AS46" i="3"/>
  <c r="AS322" i="7"/>
  <c r="AS322" i="3" s="1"/>
  <c r="AS184" i="7"/>
  <c r="AS184" i="3" s="1"/>
  <c r="AC46" i="3"/>
  <c r="AC322" i="7"/>
  <c r="AC322" i="3" s="1"/>
  <c r="AC184" i="7"/>
  <c r="AC184" i="3" s="1"/>
  <c r="AH45" i="3"/>
  <c r="AH321" i="7"/>
  <c r="AH321" i="3" s="1"/>
  <c r="AH183" i="7"/>
  <c r="AH183" i="3" s="1"/>
  <c r="AM44" i="3"/>
  <c r="AM320" i="7"/>
  <c r="AM320" i="3" s="1"/>
  <c r="AM182" i="7"/>
  <c r="AM182" i="3" s="1"/>
  <c r="AR43" i="3"/>
  <c r="AR319" i="7"/>
  <c r="AR319" i="3" s="1"/>
  <c r="AR181" i="7"/>
  <c r="AR181" i="3" s="1"/>
  <c r="AW42" i="3"/>
  <c r="AW318" i="7"/>
  <c r="AW318" i="3" s="1"/>
  <c r="AW180" i="7"/>
  <c r="AW180" i="3" s="1"/>
  <c r="AG42" i="3"/>
  <c r="AG318" i="7"/>
  <c r="AG318" i="3" s="1"/>
  <c r="AL41" i="3"/>
  <c r="AL317" i="7"/>
  <c r="AL317" i="3" s="1"/>
  <c r="AL179" i="7"/>
  <c r="AL179" i="3" s="1"/>
  <c r="AQ40" i="3"/>
  <c r="AQ316" i="7"/>
  <c r="AQ316" i="3" s="1"/>
  <c r="AQ178" i="7"/>
  <c r="AQ178" i="3" s="1"/>
  <c r="AV39" i="3"/>
  <c r="AV315" i="7"/>
  <c r="AV315" i="3" s="1"/>
  <c r="AV177" i="7"/>
  <c r="AV177" i="3" s="1"/>
  <c r="AF39" i="3"/>
  <c r="AF315" i="7"/>
  <c r="AF315" i="3" s="1"/>
  <c r="AF177" i="7"/>
  <c r="AF177" i="3" s="1"/>
  <c r="AK38" i="3"/>
  <c r="AK314" i="7"/>
  <c r="AK314" i="3" s="1"/>
  <c r="AK176" i="7"/>
  <c r="AK176" i="3" s="1"/>
  <c r="AP37" i="3"/>
  <c r="AP313" i="7"/>
  <c r="AP313" i="3" s="1"/>
  <c r="AP175" i="7"/>
  <c r="AP175" i="3" s="1"/>
  <c r="AU36" i="3"/>
  <c r="AU312" i="7"/>
  <c r="AU312" i="3" s="1"/>
  <c r="AU174" i="7"/>
  <c r="AU174" i="3" s="1"/>
  <c r="AE36" i="3"/>
  <c r="AE312" i="7"/>
  <c r="AE312" i="3" s="1"/>
  <c r="AE174" i="7"/>
  <c r="AE174" i="3" s="1"/>
  <c r="AX124" i="3"/>
  <c r="AX400" i="7"/>
  <c r="AX400" i="3" s="1"/>
  <c r="AX108" i="3"/>
  <c r="AX384" i="7"/>
  <c r="AX384" i="3" s="1"/>
  <c r="AX92" i="3"/>
  <c r="AX368" i="7"/>
  <c r="AX368" i="3" s="1"/>
  <c r="AX230" i="7"/>
  <c r="AX230" i="3" s="1"/>
  <c r="AX76" i="3"/>
  <c r="AX352" i="7"/>
  <c r="AX352" i="3" s="1"/>
  <c r="AX214" i="7"/>
  <c r="AX214" i="3" s="1"/>
  <c r="AX60" i="3"/>
  <c r="AX336" i="7"/>
  <c r="AX336" i="3" s="1"/>
  <c r="AX198" i="7"/>
  <c r="AX198" i="3" s="1"/>
  <c r="AX44" i="3"/>
  <c r="AX320" i="7"/>
  <c r="AX320" i="3" s="1"/>
  <c r="AX182" i="7"/>
  <c r="AX182" i="3" s="1"/>
  <c r="AX28" i="3"/>
  <c r="AX304" i="7"/>
  <c r="AX304" i="3" s="1"/>
  <c r="AX166" i="7"/>
  <c r="AX166" i="3" s="1"/>
  <c r="AX12" i="3"/>
  <c r="AX288" i="7"/>
  <c r="AX288" i="3" s="1"/>
  <c r="AX150" i="7"/>
  <c r="AX150" i="3" s="1"/>
  <c r="AV266" i="7"/>
  <c r="AF251" i="7"/>
  <c r="AF251" i="3" s="1"/>
  <c r="AH248" i="7"/>
  <c r="AH248" i="3" s="1"/>
  <c r="AR239" i="7"/>
  <c r="AR239" i="3" s="1"/>
  <c r="AX232" i="7"/>
  <c r="AX232" i="3" s="1"/>
  <c r="AL218" i="7"/>
  <c r="AL218" i="3" s="1"/>
  <c r="AJ134" i="3"/>
  <c r="AJ410" i="7"/>
  <c r="AJ410" i="3" s="1"/>
  <c r="AO133" i="3"/>
  <c r="AO409" i="7"/>
  <c r="AO409" i="3" s="1"/>
  <c r="AO271" i="7"/>
  <c r="AO271" i="3" s="1"/>
  <c r="AT132" i="3"/>
  <c r="AT408" i="7"/>
  <c r="AT408" i="3" s="1"/>
  <c r="AD132" i="3"/>
  <c r="AD408" i="7"/>
  <c r="AD408" i="3" s="1"/>
  <c r="AI131" i="3"/>
  <c r="AI407" i="7"/>
  <c r="AI407" i="3" s="1"/>
  <c r="AI269" i="7"/>
  <c r="AI269" i="3" s="1"/>
  <c r="AN130" i="3"/>
  <c r="AN406" i="7"/>
  <c r="AN406" i="3" s="1"/>
  <c r="AN268" i="7"/>
  <c r="AN268" i="3" s="1"/>
  <c r="AS129" i="3"/>
  <c r="AS405" i="7"/>
  <c r="AS405" i="3" s="1"/>
  <c r="AS267" i="7"/>
  <c r="AS267" i="3" s="1"/>
  <c r="AC129" i="3"/>
  <c r="AC405" i="7"/>
  <c r="AC405" i="3" s="1"/>
  <c r="AC267" i="7"/>
  <c r="AC267" i="3" s="1"/>
  <c r="AH404" i="7"/>
  <c r="AH266" i="7"/>
  <c r="AM127" i="3"/>
  <c r="AM403" i="7"/>
  <c r="AM403" i="3" s="1"/>
  <c r="AM265" i="7"/>
  <c r="AM265" i="3" s="1"/>
  <c r="AR126" i="3"/>
  <c r="AR402" i="7"/>
  <c r="AR402" i="3" s="1"/>
  <c r="AW125" i="3"/>
  <c r="AW401" i="7"/>
  <c r="AW401" i="3" s="1"/>
  <c r="AG125" i="3"/>
  <c r="AG401" i="7"/>
  <c r="AG401" i="3" s="1"/>
  <c r="AL124" i="3"/>
  <c r="AL400" i="7"/>
  <c r="AL400" i="3" s="1"/>
  <c r="AL262" i="7"/>
  <c r="AL262" i="3" s="1"/>
  <c r="AQ123" i="3"/>
  <c r="AQ399" i="7"/>
  <c r="AQ399" i="3" s="1"/>
  <c r="AQ261" i="7"/>
  <c r="AQ261" i="3" s="1"/>
  <c r="AV122" i="3"/>
  <c r="AV398" i="7"/>
  <c r="AV398" i="3" s="1"/>
  <c r="AV260" i="7"/>
  <c r="AV260" i="3" s="1"/>
  <c r="AF122" i="3"/>
  <c r="AF398" i="7"/>
  <c r="AF398" i="3" s="1"/>
  <c r="AF260" i="7"/>
  <c r="AF260" i="3" s="1"/>
  <c r="AK121" i="3"/>
  <c r="AK397" i="7"/>
  <c r="AK397" i="3" s="1"/>
  <c r="AK259" i="7"/>
  <c r="AK259" i="3" s="1"/>
  <c r="AP120" i="3"/>
  <c r="AP396" i="7"/>
  <c r="AP396" i="3" s="1"/>
  <c r="AU119" i="3"/>
  <c r="AU395" i="7"/>
  <c r="AU395" i="3" s="1"/>
  <c r="AE119" i="3"/>
  <c r="AE395" i="7"/>
  <c r="AE395" i="3" s="1"/>
  <c r="AJ118" i="3"/>
  <c r="AJ394" i="7"/>
  <c r="AJ394" i="3" s="1"/>
  <c r="AJ256" i="7"/>
  <c r="AJ256" i="3" s="1"/>
  <c r="AO117" i="3"/>
  <c r="AO393" i="7"/>
  <c r="AO393" i="3" s="1"/>
  <c r="AO255" i="7"/>
  <c r="AO255" i="3" s="1"/>
  <c r="AT116" i="3"/>
  <c r="AT392" i="7"/>
  <c r="AT392" i="3" s="1"/>
  <c r="AD116" i="3"/>
  <c r="AD392" i="7"/>
  <c r="AD392" i="3" s="1"/>
  <c r="AI115" i="3"/>
  <c r="AI391" i="7"/>
  <c r="AI391" i="3" s="1"/>
  <c r="AI253" i="7"/>
  <c r="AI253" i="3" s="1"/>
  <c r="AN114" i="3"/>
  <c r="AN390" i="7"/>
  <c r="AN390" i="3" s="1"/>
  <c r="AN252" i="7"/>
  <c r="AN252" i="3" s="1"/>
  <c r="AS113" i="3"/>
  <c r="AS389" i="7"/>
  <c r="AS389" i="3" s="1"/>
  <c r="AS251" i="7"/>
  <c r="AS251" i="3" s="1"/>
  <c r="AC113" i="3"/>
  <c r="AC389" i="7"/>
  <c r="AC389" i="3" s="1"/>
  <c r="AC251" i="7"/>
  <c r="AC251" i="3" s="1"/>
  <c r="AH112" i="3"/>
  <c r="AH388" i="7"/>
  <c r="AH388" i="3" s="1"/>
  <c r="AH250" i="7"/>
  <c r="AH250" i="3" s="1"/>
  <c r="AM111" i="3"/>
  <c r="AM387" i="7"/>
  <c r="AM387" i="3" s="1"/>
  <c r="AM249" i="7"/>
  <c r="AM249" i="3" s="1"/>
  <c r="AR110" i="3"/>
  <c r="AR386" i="7"/>
  <c r="AR386" i="3" s="1"/>
  <c r="AR248" i="7"/>
  <c r="AR248" i="3" s="1"/>
  <c r="AW109" i="3"/>
  <c r="AW385" i="7"/>
  <c r="AW385" i="3" s="1"/>
  <c r="AW247" i="7"/>
  <c r="AW247" i="3" s="1"/>
  <c r="AG109" i="3"/>
  <c r="AG385" i="7"/>
  <c r="AG385" i="3" s="1"/>
  <c r="AG247" i="7"/>
  <c r="AG247" i="3" s="1"/>
  <c r="AL108" i="3"/>
  <c r="AL384" i="7"/>
  <c r="AL384" i="3" s="1"/>
  <c r="AL246" i="7"/>
  <c r="AL246" i="3" s="1"/>
  <c r="AQ107" i="3"/>
  <c r="AQ383" i="7"/>
  <c r="AQ383" i="3" s="1"/>
  <c r="AQ245" i="7"/>
  <c r="AQ245" i="3" s="1"/>
  <c r="AV106" i="3"/>
  <c r="AV382" i="7"/>
  <c r="AV382" i="3" s="1"/>
  <c r="AV244" i="7"/>
  <c r="AV244" i="3" s="1"/>
  <c r="AF106" i="3"/>
  <c r="AF382" i="7"/>
  <c r="AF382" i="3" s="1"/>
  <c r="AF244" i="7"/>
  <c r="AF244" i="3" s="1"/>
  <c r="AK105" i="3"/>
  <c r="AK381" i="7"/>
  <c r="AK381" i="3" s="1"/>
  <c r="AK243" i="7"/>
  <c r="AK243" i="3" s="1"/>
  <c r="AP104" i="3"/>
  <c r="AP380" i="7"/>
  <c r="AP380" i="3" s="1"/>
  <c r="AU103" i="3"/>
  <c r="AU379" i="7"/>
  <c r="AU379" i="3" s="1"/>
  <c r="AE103" i="3"/>
  <c r="AE379" i="7"/>
  <c r="AE379" i="3" s="1"/>
  <c r="AJ102" i="3"/>
  <c r="AJ378" i="7"/>
  <c r="AJ378" i="3" s="1"/>
  <c r="AJ240" i="7"/>
  <c r="AJ240" i="3" s="1"/>
  <c r="AO101" i="3"/>
  <c r="AO377" i="7"/>
  <c r="AO377" i="3" s="1"/>
  <c r="AO239" i="7"/>
  <c r="AO239" i="3" s="1"/>
  <c r="AT100" i="3"/>
  <c r="AT376" i="7"/>
  <c r="AT376" i="3" s="1"/>
  <c r="AT238" i="7"/>
  <c r="AT238" i="3" s="1"/>
  <c r="AD100" i="3"/>
  <c r="AD376" i="7"/>
  <c r="AD376" i="3" s="1"/>
  <c r="AD238" i="7"/>
  <c r="AD238" i="3" s="1"/>
  <c r="AI99" i="3"/>
  <c r="AI375" i="7"/>
  <c r="AI375" i="3" s="1"/>
  <c r="AI237" i="7"/>
  <c r="AI237" i="3" s="1"/>
  <c r="AN98" i="3"/>
  <c r="AN374" i="7"/>
  <c r="AN374" i="3" s="1"/>
  <c r="AN236" i="7"/>
  <c r="AN236" i="3" s="1"/>
  <c r="AS97" i="3"/>
  <c r="AS373" i="7"/>
  <c r="AS373" i="3" s="1"/>
  <c r="AS235" i="7"/>
  <c r="AS235" i="3" s="1"/>
  <c r="AC97" i="3"/>
  <c r="AC373" i="7"/>
  <c r="AC373" i="3" s="1"/>
  <c r="AC235" i="7"/>
  <c r="AC235" i="3" s="1"/>
  <c r="AH96" i="3"/>
  <c r="AH372" i="7"/>
  <c r="AH372" i="3" s="1"/>
  <c r="AH234" i="7"/>
  <c r="AH234" i="3" s="1"/>
  <c r="AM95" i="3"/>
  <c r="AM371" i="7"/>
  <c r="AM371" i="3" s="1"/>
  <c r="AM233" i="7"/>
  <c r="AM233" i="3" s="1"/>
  <c r="AR94" i="3"/>
  <c r="AR370" i="7"/>
  <c r="AR370" i="3" s="1"/>
  <c r="AR232" i="7"/>
  <c r="AR232" i="3" s="1"/>
  <c r="AW93" i="3"/>
  <c r="AW369" i="7"/>
  <c r="AW369" i="3" s="1"/>
  <c r="AW231" i="7"/>
  <c r="AW231" i="3" s="1"/>
  <c r="AG93" i="3"/>
  <c r="AG369" i="7"/>
  <c r="AG369" i="3" s="1"/>
  <c r="AG231" i="7"/>
  <c r="AG231" i="3" s="1"/>
  <c r="AL92" i="3"/>
  <c r="AL368" i="7"/>
  <c r="AL368" i="3" s="1"/>
  <c r="AL230" i="7"/>
  <c r="AL230" i="3" s="1"/>
  <c r="AQ91" i="3"/>
  <c r="AQ367" i="7"/>
  <c r="AQ367" i="3" s="1"/>
  <c r="AQ229" i="7"/>
  <c r="AQ229" i="3" s="1"/>
  <c r="AV90" i="3"/>
  <c r="AV366" i="7"/>
  <c r="AV366" i="3" s="1"/>
  <c r="AV228" i="7"/>
  <c r="AV228" i="3" s="1"/>
  <c r="AF90" i="3"/>
  <c r="AF366" i="7"/>
  <c r="AF366" i="3" s="1"/>
  <c r="AF228" i="7"/>
  <c r="AF228" i="3" s="1"/>
  <c r="AK365" i="7"/>
  <c r="AK227" i="7"/>
  <c r="AP88" i="3"/>
  <c r="AP364" i="7"/>
  <c r="AP364" i="3" s="1"/>
  <c r="AP226" i="7"/>
  <c r="AP226" i="3" s="1"/>
  <c r="AU87" i="3"/>
  <c r="AU363" i="7"/>
  <c r="AU363" i="3" s="1"/>
  <c r="AU225" i="7"/>
  <c r="AU225" i="3" s="1"/>
  <c r="AE87" i="3"/>
  <c r="AE363" i="7"/>
  <c r="AE363" i="3" s="1"/>
  <c r="AE225" i="7"/>
  <c r="AE225" i="3" s="1"/>
  <c r="AJ86" i="3"/>
  <c r="AJ362" i="7"/>
  <c r="AJ362" i="3" s="1"/>
  <c r="AJ224" i="7"/>
  <c r="AJ224" i="3" s="1"/>
  <c r="AO85" i="3"/>
  <c r="AO361" i="7"/>
  <c r="AO361" i="3" s="1"/>
  <c r="AO223" i="7"/>
  <c r="AO223" i="3" s="1"/>
  <c r="AT84" i="3"/>
  <c r="AT360" i="7"/>
  <c r="AT360" i="3" s="1"/>
  <c r="AT222" i="7"/>
  <c r="AT222" i="3" s="1"/>
  <c r="AD84" i="3"/>
  <c r="AD360" i="7"/>
  <c r="AD360" i="3" s="1"/>
  <c r="AD222" i="7"/>
  <c r="AD222" i="3" s="1"/>
  <c r="AI83" i="3"/>
  <c r="AI359" i="7"/>
  <c r="AI359" i="3" s="1"/>
  <c r="AI221" i="7"/>
  <c r="AI221" i="3" s="1"/>
  <c r="AN82" i="3"/>
  <c r="AN358" i="7"/>
  <c r="AN358" i="3" s="1"/>
  <c r="AN220" i="7"/>
  <c r="AN220" i="3" s="1"/>
  <c r="AS81" i="3"/>
  <c r="AS357" i="7"/>
  <c r="AS357" i="3" s="1"/>
  <c r="AS219" i="7"/>
  <c r="AS219" i="3" s="1"/>
  <c r="AC81" i="3"/>
  <c r="AC357" i="7"/>
  <c r="AC357" i="3" s="1"/>
  <c r="AC219" i="7"/>
  <c r="AC219" i="3" s="1"/>
  <c r="AH80" i="3"/>
  <c r="AH356" i="7"/>
  <c r="AH356" i="3" s="1"/>
  <c r="AH218" i="7"/>
  <c r="AH218" i="3" s="1"/>
  <c r="AM79" i="3"/>
  <c r="AM355" i="7"/>
  <c r="AM355" i="3" s="1"/>
  <c r="AM217" i="7"/>
  <c r="AM217" i="3" s="1"/>
  <c r="AR78" i="3"/>
  <c r="AR354" i="7"/>
  <c r="AR354" i="3" s="1"/>
  <c r="AR216" i="7"/>
  <c r="AR216" i="3" s="1"/>
  <c r="AW353" i="7"/>
  <c r="AW215" i="7"/>
  <c r="AG353" i="7"/>
  <c r="AG215" i="7"/>
  <c r="AL76" i="3"/>
  <c r="AL352" i="7"/>
  <c r="AL352" i="3" s="1"/>
  <c r="AL214" i="7"/>
  <c r="AL214" i="3" s="1"/>
  <c r="AQ75" i="3"/>
  <c r="AQ351" i="7"/>
  <c r="AQ351" i="3" s="1"/>
  <c r="AQ213" i="7"/>
  <c r="AQ213" i="3" s="1"/>
  <c r="AV74" i="3"/>
  <c r="AV350" i="7"/>
  <c r="AV350" i="3" s="1"/>
  <c r="AV212" i="7"/>
  <c r="AV212" i="3" s="1"/>
  <c r="AF74" i="3"/>
  <c r="AF350" i="7"/>
  <c r="AF350" i="3" s="1"/>
  <c r="AF212" i="7"/>
  <c r="AF212" i="3" s="1"/>
  <c r="AK73" i="3"/>
  <c r="AK349" i="7"/>
  <c r="AK349" i="3" s="1"/>
  <c r="AK211" i="7"/>
  <c r="AK211" i="3" s="1"/>
  <c r="AP72" i="3"/>
  <c r="AP348" i="7"/>
  <c r="AP348" i="3" s="1"/>
  <c r="AP210" i="7"/>
  <c r="AP210" i="3" s="1"/>
  <c r="AU71" i="3"/>
  <c r="AU347" i="7"/>
  <c r="AU347" i="3" s="1"/>
  <c r="AU209" i="7"/>
  <c r="AU209" i="3" s="1"/>
  <c r="AE71" i="3"/>
  <c r="AE347" i="7"/>
  <c r="AE347" i="3" s="1"/>
  <c r="AE209" i="7"/>
  <c r="AE209" i="3" s="1"/>
  <c r="AJ70" i="3"/>
  <c r="AJ346" i="7"/>
  <c r="AJ346" i="3" s="1"/>
  <c r="AJ208" i="7"/>
  <c r="AJ208" i="3" s="1"/>
  <c r="AO69" i="3"/>
  <c r="AO345" i="7"/>
  <c r="AO345" i="3" s="1"/>
  <c r="AO207" i="7"/>
  <c r="AO207" i="3" s="1"/>
  <c r="AT68" i="3"/>
  <c r="AT344" i="7"/>
  <c r="AT344" i="3" s="1"/>
  <c r="AT206" i="7"/>
  <c r="AT206" i="3" s="1"/>
  <c r="AD68" i="3"/>
  <c r="AD344" i="7"/>
  <c r="AD344" i="3" s="1"/>
  <c r="AD206" i="7"/>
  <c r="AD206" i="3" s="1"/>
  <c r="AI67" i="3"/>
  <c r="AI343" i="7"/>
  <c r="AI343" i="3" s="1"/>
  <c r="AI205" i="7"/>
  <c r="AI205" i="3" s="1"/>
  <c r="AN66" i="3"/>
  <c r="AN342" i="7"/>
  <c r="AN342" i="3" s="1"/>
  <c r="AN204" i="7"/>
  <c r="AN204" i="3" s="1"/>
  <c r="AS65" i="3"/>
  <c r="AS341" i="7"/>
  <c r="AS341" i="3" s="1"/>
  <c r="AS203" i="7"/>
  <c r="AS203" i="3" s="1"/>
  <c r="AC65" i="3"/>
  <c r="AC341" i="7"/>
  <c r="AC341" i="3" s="1"/>
  <c r="AC203" i="7"/>
  <c r="AC203" i="3" s="1"/>
  <c r="AH64" i="3"/>
  <c r="AH340" i="7"/>
  <c r="AH340" i="3" s="1"/>
  <c r="AH202" i="7"/>
  <c r="AH202" i="3" s="1"/>
  <c r="AM63" i="3"/>
  <c r="AM339" i="7"/>
  <c r="AM339" i="3" s="1"/>
  <c r="AM201" i="7"/>
  <c r="AM201" i="3" s="1"/>
  <c r="AR62" i="3"/>
  <c r="AR338" i="7"/>
  <c r="AR338" i="3" s="1"/>
  <c r="AR200" i="7"/>
  <c r="AR200" i="3" s="1"/>
  <c r="AW61" i="3"/>
  <c r="AW337" i="7"/>
  <c r="AW337" i="3" s="1"/>
  <c r="AW199" i="7"/>
  <c r="AW199" i="3" s="1"/>
  <c r="AG61" i="3"/>
  <c r="AG337" i="7"/>
  <c r="AG337" i="3" s="1"/>
  <c r="AG199" i="7"/>
  <c r="AG199" i="3" s="1"/>
  <c r="AL60" i="3"/>
  <c r="AL336" i="7"/>
  <c r="AL336" i="3" s="1"/>
  <c r="AL198" i="7"/>
  <c r="AL198" i="3" s="1"/>
  <c r="AQ59" i="3"/>
  <c r="AQ335" i="7"/>
  <c r="AQ335" i="3" s="1"/>
  <c r="AQ197" i="7"/>
  <c r="AQ197" i="3" s="1"/>
  <c r="AV58" i="3"/>
  <c r="AV334" i="7"/>
  <c r="AV334" i="3" s="1"/>
  <c r="AV196" i="7"/>
  <c r="AV196" i="3" s="1"/>
  <c r="AF58" i="3"/>
  <c r="AF334" i="7"/>
  <c r="AF334" i="3" s="1"/>
  <c r="AF196" i="7"/>
  <c r="AF196" i="3" s="1"/>
  <c r="AK57" i="3"/>
  <c r="AK333" i="7"/>
  <c r="AK333" i="3" s="1"/>
  <c r="AK195" i="7"/>
  <c r="AK195" i="3" s="1"/>
  <c r="AP56" i="3"/>
  <c r="AP332" i="7"/>
  <c r="AP332" i="3" s="1"/>
  <c r="AP194" i="7"/>
  <c r="AP194" i="3" s="1"/>
  <c r="AU55" i="3"/>
  <c r="AU331" i="7"/>
  <c r="AU331" i="3" s="1"/>
  <c r="AU193" i="7"/>
  <c r="AU193" i="3" s="1"/>
  <c r="AE55" i="3"/>
  <c r="AE331" i="7"/>
  <c r="AE331" i="3" s="1"/>
  <c r="AE193" i="7"/>
  <c r="AE193" i="3" s="1"/>
  <c r="AJ54" i="3"/>
  <c r="AJ330" i="7"/>
  <c r="AJ330" i="3" s="1"/>
  <c r="AJ192" i="7"/>
  <c r="AJ192" i="3" s="1"/>
  <c r="AO53" i="3"/>
  <c r="AO329" i="7"/>
  <c r="AO329" i="3" s="1"/>
  <c r="AO191" i="7"/>
  <c r="AO191" i="3" s="1"/>
  <c r="AT52" i="3"/>
  <c r="AT328" i="7"/>
  <c r="AT328" i="3" s="1"/>
  <c r="AT190" i="7"/>
  <c r="AT190" i="3" s="1"/>
  <c r="AD52" i="3"/>
  <c r="AD328" i="7"/>
  <c r="AD328" i="3" s="1"/>
  <c r="AD190" i="7"/>
  <c r="AD190" i="3" s="1"/>
  <c r="AI51" i="3"/>
  <c r="AI327" i="7"/>
  <c r="AI327" i="3" s="1"/>
  <c r="AI189" i="7"/>
  <c r="AI189" i="3" s="1"/>
  <c r="AN50" i="3"/>
  <c r="AN326" i="7"/>
  <c r="AN326" i="3" s="1"/>
  <c r="AN188" i="7"/>
  <c r="AN188" i="3" s="1"/>
  <c r="AS49" i="3"/>
  <c r="AS325" i="7"/>
  <c r="AS325" i="3" s="1"/>
  <c r="AS187" i="7"/>
  <c r="AS187" i="3" s="1"/>
  <c r="AC49" i="3"/>
  <c r="AC325" i="7"/>
  <c r="AC325" i="3" s="1"/>
  <c r="AC187" i="7"/>
  <c r="AC187" i="3" s="1"/>
  <c r="AH48" i="3"/>
  <c r="AH324" i="7"/>
  <c r="AH324" i="3" s="1"/>
  <c r="AH186" i="7"/>
  <c r="AH186" i="3" s="1"/>
  <c r="AM47" i="3"/>
  <c r="AM323" i="7"/>
  <c r="AM323" i="3" s="1"/>
  <c r="AM185" i="7"/>
  <c r="AM185" i="3" s="1"/>
  <c r="AR46" i="3"/>
  <c r="AR322" i="7"/>
  <c r="AR322" i="3" s="1"/>
  <c r="AR184" i="7"/>
  <c r="AR184" i="3" s="1"/>
  <c r="AW45" i="3"/>
  <c r="AW321" i="7"/>
  <c r="AW321" i="3" s="1"/>
  <c r="AW183" i="7"/>
  <c r="AW183" i="3" s="1"/>
  <c r="AG45" i="3"/>
  <c r="AG321" i="7"/>
  <c r="AG321" i="3" s="1"/>
  <c r="AG183" i="7"/>
  <c r="AG183" i="3" s="1"/>
  <c r="AL44" i="3"/>
  <c r="AL320" i="7"/>
  <c r="AL320" i="3" s="1"/>
  <c r="AL182" i="7"/>
  <c r="AL182" i="3" s="1"/>
  <c r="AQ43" i="3"/>
  <c r="AQ319" i="7"/>
  <c r="AQ319" i="3" s="1"/>
  <c r="AQ181" i="7"/>
  <c r="AQ181" i="3" s="1"/>
  <c r="AV42" i="3"/>
  <c r="AV318" i="7"/>
  <c r="AV318" i="3" s="1"/>
  <c r="AV180" i="7"/>
  <c r="AV180" i="3" s="1"/>
  <c r="AF42" i="3"/>
  <c r="AF318" i="7"/>
  <c r="AF318" i="3" s="1"/>
  <c r="AF180" i="7"/>
  <c r="AF180" i="3" s="1"/>
  <c r="AK41" i="3"/>
  <c r="AK317" i="7"/>
  <c r="AK317" i="3" s="1"/>
  <c r="AK179" i="7"/>
  <c r="AK179" i="3" s="1"/>
  <c r="AP40" i="3"/>
  <c r="AP316" i="7"/>
  <c r="AP316" i="3" s="1"/>
  <c r="AP178" i="7"/>
  <c r="AP178" i="3" s="1"/>
  <c r="AU39" i="3"/>
  <c r="AU315" i="7"/>
  <c r="AU315" i="3" s="1"/>
  <c r="AU177" i="7"/>
  <c r="AU177" i="3" s="1"/>
  <c r="AE39" i="3"/>
  <c r="AE315" i="7"/>
  <c r="AE315" i="3" s="1"/>
  <c r="AE177" i="7"/>
  <c r="AE177" i="3" s="1"/>
  <c r="AJ38" i="3"/>
  <c r="AJ314" i="7"/>
  <c r="AJ314" i="3" s="1"/>
  <c r="AJ176" i="7"/>
  <c r="AJ176" i="3" s="1"/>
  <c r="AO37" i="3"/>
  <c r="AO313" i="7"/>
  <c r="AO313" i="3" s="1"/>
  <c r="AO175" i="7"/>
  <c r="AO175" i="3" s="1"/>
  <c r="AT36" i="3"/>
  <c r="AT312" i="7"/>
  <c r="AT312" i="3" s="1"/>
  <c r="AT174" i="7"/>
  <c r="AT174" i="3" s="1"/>
  <c r="AD36" i="3"/>
  <c r="AD312" i="7"/>
  <c r="AD312" i="3" s="1"/>
  <c r="AD174" i="7"/>
  <c r="AD174" i="3" s="1"/>
  <c r="AX123" i="3"/>
  <c r="AX399" i="7"/>
  <c r="AX399" i="3" s="1"/>
  <c r="AX261" i="7"/>
  <c r="AX261" i="3" s="1"/>
  <c r="AX107" i="3"/>
  <c r="AX383" i="7"/>
  <c r="AX383" i="3" s="1"/>
  <c r="AX245" i="7"/>
  <c r="AX245" i="3" s="1"/>
  <c r="AX91" i="3"/>
  <c r="AX367" i="7"/>
  <c r="AX367" i="3" s="1"/>
  <c r="AX229" i="7"/>
  <c r="AX229" i="3" s="1"/>
  <c r="AX75" i="3"/>
  <c r="AX351" i="7"/>
  <c r="AX351" i="3" s="1"/>
  <c r="AX213" i="7"/>
  <c r="AX213" i="3" s="1"/>
  <c r="AX59" i="3"/>
  <c r="AX335" i="7"/>
  <c r="AX335" i="3" s="1"/>
  <c r="AX197" i="7"/>
  <c r="AX197" i="3" s="1"/>
  <c r="AX43" i="3"/>
  <c r="AX319" i="7"/>
  <c r="AX319" i="3" s="1"/>
  <c r="AX181" i="7"/>
  <c r="AX181" i="3" s="1"/>
  <c r="AX27" i="3"/>
  <c r="AX303" i="7"/>
  <c r="AX303" i="3" s="1"/>
  <c r="AX165" i="7"/>
  <c r="AX165" i="3" s="1"/>
  <c r="AX11" i="3"/>
  <c r="AX287" i="7"/>
  <c r="AX287" i="3" s="1"/>
  <c r="AX149" i="7"/>
  <c r="AX149" i="3" s="1"/>
  <c r="AT270" i="7"/>
  <c r="AT270" i="3" s="1"/>
  <c r="AS268" i="7"/>
  <c r="AS268" i="3" s="1"/>
  <c r="AU266" i="7"/>
  <c r="AX264" i="7"/>
  <c r="AX264" i="3" s="1"/>
  <c r="AM262" i="7"/>
  <c r="AM262" i="3" s="1"/>
  <c r="AO259" i="7"/>
  <c r="AO259" i="3" s="1"/>
  <c r="AQ256" i="7"/>
  <c r="AQ256" i="3" s="1"/>
  <c r="AQ239" i="7"/>
  <c r="AQ239" i="3" s="1"/>
  <c r="AW232" i="7"/>
  <c r="AW232" i="3" s="1"/>
  <c r="AK218" i="7"/>
  <c r="AK218" i="3" s="1"/>
  <c r="AL187" i="7"/>
  <c r="AL187" i="3" s="1"/>
  <c r="AC132" i="3"/>
  <c r="AC408" i="7"/>
  <c r="AC408" i="3" s="1"/>
  <c r="AC270" i="7"/>
  <c r="AC270" i="3" s="1"/>
  <c r="AH131" i="3"/>
  <c r="AH407" i="7"/>
  <c r="AH407" i="3" s="1"/>
  <c r="AH269" i="7"/>
  <c r="AH269" i="3" s="1"/>
  <c r="AM130" i="3"/>
  <c r="AM406" i="7"/>
  <c r="AM406" i="3" s="1"/>
  <c r="AM268" i="7"/>
  <c r="AM268" i="3" s="1"/>
  <c r="AR129" i="3"/>
  <c r="AR405" i="7"/>
  <c r="AR405" i="3" s="1"/>
  <c r="AR267" i="7"/>
  <c r="AR267" i="3" s="1"/>
  <c r="AW404" i="7"/>
  <c r="AW266" i="7"/>
  <c r="AG404" i="7"/>
  <c r="AG266" i="7"/>
  <c r="AL127" i="3"/>
  <c r="AL403" i="7"/>
  <c r="AL403" i="3" s="1"/>
  <c r="AQ126" i="3"/>
  <c r="AQ402" i="7"/>
  <c r="AQ402" i="3" s="1"/>
  <c r="AV125" i="3"/>
  <c r="AV401" i="7"/>
  <c r="AV401" i="3" s="1"/>
  <c r="AV263" i="7"/>
  <c r="AV263" i="3" s="1"/>
  <c r="AF125" i="3"/>
  <c r="AF401" i="7"/>
  <c r="AF401" i="3" s="1"/>
  <c r="AF263" i="7"/>
  <c r="AF263" i="3" s="1"/>
  <c r="AK124" i="3"/>
  <c r="AK400" i="7"/>
  <c r="AK400" i="3" s="1"/>
  <c r="AK262" i="7"/>
  <c r="AK262" i="3" s="1"/>
  <c r="AP123" i="3"/>
  <c r="AP399" i="7"/>
  <c r="AP399" i="3" s="1"/>
  <c r="AP261" i="7"/>
  <c r="AP261" i="3" s="1"/>
  <c r="AU122" i="3"/>
  <c r="AU398" i="7"/>
  <c r="AU398" i="3" s="1"/>
  <c r="AU260" i="7"/>
  <c r="AU260" i="3" s="1"/>
  <c r="AE122" i="3"/>
  <c r="AE398" i="7"/>
  <c r="AE398" i="3" s="1"/>
  <c r="AE260" i="7"/>
  <c r="AE260" i="3" s="1"/>
  <c r="AJ121" i="3"/>
  <c r="AJ397" i="7"/>
  <c r="AJ397" i="3" s="1"/>
  <c r="AO120" i="3"/>
  <c r="AO396" i="7"/>
  <c r="AO396" i="3" s="1"/>
  <c r="AT119" i="3"/>
  <c r="AT395" i="7"/>
  <c r="AT395" i="3" s="1"/>
  <c r="AT257" i="7"/>
  <c r="AT257" i="3" s="1"/>
  <c r="AD119" i="3"/>
  <c r="AD395" i="7"/>
  <c r="AD395" i="3" s="1"/>
  <c r="AD257" i="7"/>
  <c r="AD257" i="3" s="1"/>
  <c r="AI118" i="3"/>
  <c r="AI394" i="7"/>
  <c r="AI394" i="3" s="1"/>
  <c r="AI256" i="7"/>
  <c r="AI256" i="3" s="1"/>
  <c r="AN117" i="3"/>
  <c r="AN393" i="7"/>
  <c r="AN393" i="3" s="1"/>
  <c r="AS116" i="3"/>
  <c r="AS392" i="7"/>
  <c r="AS392" i="3" s="1"/>
  <c r="AS254" i="7"/>
  <c r="AS254" i="3" s="1"/>
  <c r="AC116" i="3"/>
  <c r="AC392" i="7"/>
  <c r="AC392" i="3" s="1"/>
  <c r="AC254" i="7"/>
  <c r="AC254" i="3" s="1"/>
  <c r="AH115" i="3"/>
  <c r="AH391" i="7"/>
  <c r="AH391" i="3" s="1"/>
  <c r="AH253" i="7"/>
  <c r="AH253" i="3" s="1"/>
  <c r="AM114" i="3"/>
  <c r="AM390" i="7"/>
  <c r="AM390" i="3" s="1"/>
  <c r="AM252" i="7"/>
  <c r="AM252" i="3" s="1"/>
  <c r="AR113" i="3"/>
  <c r="AR389" i="7"/>
  <c r="AR389" i="3" s="1"/>
  <c r="AR251" i="7"/>
  <c r="AR251" i="3" s="1"/>
  <c r="AW112" i="3"/>
  <c r="AW388" i="7"/>
  <c r="AW388" i="3" s="1"/>
  <c r="AW250" i="7"/>
  <c r="AW250" i="3" s="1"/>
  <c r="AG112" i="3"/>
  <c r="AG388" i="7"/>
  <c r="AG388" i="3" s="1"/>
  <c r="AG250" i="7"/>
  <c r="AG250" i="3" s="1"/>
  <c r="AL111" i="3"/>
  <c r="AL387" i="7"/>
  <c r="AL387" i="3" s="1"/>
  <c r="AL249" i="7"/>
  <c r="AL249" i="3" s="1"/>
  <c r="AQ110" i="3"/>
  <c r="AQ386" i="7"/>
  <c r="AQ386" i="3" s="1"/>
  <c r="AV109" i="3"/>
  <c r="AV385" i="7"/>
  <c r="AV385" i="3" s="1"/>
  <c r="AV247" i="7"/>
  <c r="AV247" i="3" s="1"/>
  <c r="AF109" i="3"/>
  <c r="AF385" i="7"/>
  <c r="AF385" i="3" s="1"/>
  <c r="AF247" i="7"/>
  <c r="AF247" i="3" s="1"/>
  <c r="AK108" i="3"/>
  <c r="AK384" i="7"/>
  <c r="AK384" i="3" s="1"/>
  <c r="AK246" i="7"/>
  <c r="AK246" i="3" s="1"/>
  <c r="AP107" i="3"/>
  <c r="AP383" i="7"/>
  <c r="AP383" i="3" s="1"/>
  <c r="AP245" i="7"/>
  <c r="AP245" i="3" s="1"/>
  <c r="AU106" i="3"/>
  <c r="AU382" i="7"/>
  <c r="AU382" i="3" s="1"/>
  <c r="AU244" i="7"/>
  <c r="AU244" i="3" s="1"/>
  <c r="AE106" i="3"/>
  <c r="AE382" i="7"/>
  <c r="AE382" i="3" s="1"/>
  <c r="AE244" i="7"/>
  <c r="AE244" i="3" s="1"/>
  <c r="AJ105" i="3"/>
  <c r="AJ381" i="7"/>
  <c r="AJ381" i="3" s="1"/>
  <c r="AO104" i="3"/>
  <c r="AO380" i="7"/>
  <c r="AO380" i="3" s="1"/>
  <c r="AT103" i="3"/>
  <c r="AT379" i="7"/>
  <c r="AT379" i="3" s="1"/>
  <c r="AT241" i="7"/>
  <c r="AT241" i="3" s="1"/>
  <c r="AD103" i="3"/>
  <c r="AD379" i="7"/>
  <c r="AD379" i="3" s="1"/>
  <c r="AD241" i="7"/>
  <c r="AD241" i="3" s="1"/>
  <c r="AI102" i="3"/>
  <c r="AI378" i="7"/>
  <c r="AI378" i="3" s="1"/>
  <c r="AI240" i="7"/>
  <c r="AI240" i="3" s="1"/>
  <c r="AN101" i="3"/>
  <c r="AN377" i="7"/>
  <c r="AN377" i="3" s="1"/>
  <c r="AN239" i="7"/>
  <c r="AN239" i="3" s="1"/>
  <c r="AS100" i="3"/>
  <c r="AS376" i="7"/>
  <c r="AS376" i="3" s="1"/>
  <c r="AS238" i="7"/>
  <c r="AS238" i="3" s="1"/>
  <c r="AC100" i="3"/>
  <c r="AC376" i="7"/>
  <c r="AC376" i="3" s="1"/>
  <c r="AC238" i="7"/>
  <c r="AC238" i="3" s="1"/>
  <c r="AH99" i="3"/>
  <c r="AH375" i="7"/>
  <c r="AH375" i="3" s="1"/>
  <c r="AH237" i="7"/>
  <c r="AH237" i="3" s="1"/>
  <c r="AM98" i="3"/>
  <c r="AM374" i="7"/>
  <c r="AM374" i="3" s="1"/>
  <c r="AM236" i="7"/>
  <c r="AM236" i="3" s="1"/>
  <c r="AR97" i="3"/>
  <c r="AR373" i="7"/>
  <c r="AR373" i="3" s="1"/>
  <c r="AR235" i="7"/>
  <c r="AR235" i="3" s="1"/>
  <c r="AW96" i="3"/>
  <c r="AW372" i="7"/>
  <c r="AW372" i="3" s="1"/>
  <c r="AW234" i="7"/>
  <c r="AW234" i="3" s="1"/>
  <c r="AG96" i="3"/>
  <c r="AG372" i="7"/>
  <c r="AG372" i="3" s="1"/>
  <c r="AL95" i="3"/>
  <c r="AL371" i="7"/>
  <c r="AL371" i="3" s="1"/>
  <c r="AL233" i="7"/>
  <c r="AL233" i="3" s="1"/>
  <c r="AQ94" i="3"/>
  <c r="AQ370" i="7"/>
  <c r="AQ370" i="3" s="1"/>
  <c r="AQ232" i="7"/>
  <c r="AQ232" i="3" s="1"/>
  <c r="AV93" i="3"/>
  <c r="AV369" i="7"/>
  <c r="AV369" i="3" s="1"/>
  <c r="AV231" i="7"/>
  <c r="AV231" i="3" s="1"/>
  <c r="AF93" i="3"/>
  <c r="AF369" i="7"/>
  <c r="AF369" i="3" s="1"/>
  <c r="AF231" i="7"/>
  <c r="AF231" i="3" s="1"/>
  <c r="AK92" i="3"/>
  <c r="AK368" i="7"/>
  <c r="AK368" i="3" s="1"/>
  <c r="AK230" i="7"/>
  <c r="AK230" i="3" s="1"/>
  <c r="AP91" i="3"/>
  <c r="AP367" i="7"/>
  <c r="AP367" i="3" s="1"/>
  <c r="AP229" i="7"/>
  <c r="AP229" i="3" s="1"/>
  <c r="AU90" i="3"/>
  <c r="AU366" i="7"/>
  <c r="AU366" i="3" s="1"/>
  <c r="AU228" i="7"/>
  <c r="AU228" i="3" s="1"/>
  <c r="AE90" i="3"/>
  <c r="AE366" i="7"/>
  <c r="AE366" i="3" s="1"/>
  <c r="AE228" i="7"/>
  <c r="AE228" i="3" s="1"/>
  <c r="AJ365" i="7"/>
  <c r="AJ227" i="7"/>
  <c r="AO88" i="3"/>
  <c r="AO364" i="7"/>
  <c r="AO364" i="3" s="1"/>
  <c r="AO226" i="7"/>
  <c r="AO226" i="3" s="1"/>
  <c r="AT87" i="3"/>
  <c r="AT363" i="7"/>
  <c r="AT363" i="3" s="1"/>
  <c r="AT225" i="7"/>
  <c r="AT225" i="3" s="1"/>
  <c r="AD87" i="3"/>
  <c r="AD363" i="7"/>
  <c r="AD363" i="3" s="1"/>
  <c r="AD225" i="7"/>
  <c r="AD225" i="3" s="1"/>
  <c r="AI86" i="3"/>
  <c r="AI362" i="7"/>
  <c r="AI362" i="3" s="1"/>
  <c r="AI224" i="7"/>
  <c r="AI224" i="3" s="1"/>
  <c r="AN85" i="3"/>
  <c r="AN361" i="7"/>
  <c r="AN361" i="3" s="1"/>
  <c r="AN223" i="7"/>
  <c r="AN223" i="3" s="1"/>
  <c r="AS84" i="3"/>
  <c r="AS360" i="7"/>
  <c r="AS360" i="3" s="1"/>
  <c r="AS222" i="7"/>
  <c r="AS222" i="3" s="1"/>
  <c r="AC84" i="3"/>
  <c r="AC360" i="7"/>
  <c r="AC360" i="3" s="1"/>
  <c r="AC222" i="7"/>
  <c r="AC222" i="3" s="1"/>
  <c r="AH83" i="3"/>
  <c r="AH359" i="7"/>
  <c r="AH359" i="3" s="1"/>
  <c r="AH221" i="7"/>
  <c r="AH221" i="3" s="1"/>
  <c r="AM82" i="3"/>
  <c r="AM358" i="7"/>
  <c r="AM358" i="3" s="1"/>
  <c r="AM220" i="7"/>
  <c r="AM220" i="3" s="1"/>
  <c r="AR81" i="3"/>
  <c r="AR357" i="7"/>
  <c r="AR357" i="3" s="1"/>
  <c r="AR219" i="7"/>
  <c r="AR219" i="3" s="1"/>
  <c r="AW80" i="3"/>
  <c r="AW356" i="7"/>
  <c r="AW356" i="3" s="1"/>
  <c r="AW218" i="7"/>
  <c r="AW218" i="3" s="1"/>
  <c r="AG80" i="3"/>
  <c r="AG356" i="7"/>
  <c r="AG356" i="3" s="1"/>
  <c r="AG218" i="7"/>
  <c r="AG218" i="3" s="1"/>
  <c r="AL79" i="3"/>
  <c r="AL355" i="7"/>
  <c r="AL355" i="3" s="1"/>
  <c r="AL217" i="7"/>
  <c r="AL217" i="3" s="1"/>
  <c r="AQ78" i="3"/>
  <c r="AQ354" i="7"/>
  <c r="AQ354" i="3" s="1"/>
  <c r="AQ216" i="7"/>
  <c r="AQ216" i="3" s="1"/>
  <c r="AV353" i="7"/>
  <c r="AV215" i="7"/>
  <c r="AF353" i="7"/>
  <c r="AF215" i="7"/>
  <c r="AK76" i="3"/>
  <c r="AK352" i="7"/>
  <c r="AK352" i="3" s="1"/>
  <c r="AK214" i="7"/>
  <c r="AK214" i="3" s="1"/>
  <c r="AP75" i="3"/>
  <c r="AP351" i="7"/>
  <c r="AP351" i="3" s="1"/>
  <c r="AP213" i="7"/>
  <c r="AP213" i="3" s="1"/>
  <c r="AU74" i="3"/>
  <c r="AU350" i="7"/>
  <c r="AU350" i="3" s="1"/>
  <c r="AU212" i="7"/>
  <c r="AU212" i="3" s="1"/>
  <c r="AE74" i="3"/>
  <c r="AE350" i="7"/>
  <c r="AE350" i="3" s="1"/>
  <c r="AE212" i="7"/>
  <c r="AE212" i="3" s="1"/>
  <c r="AJ73" i="3"/>
  <c r="AJ349" i="7"/>
  <c r="AJ349" i="3" s="1"/>
  <c r="AJ211" i="7"/>
  <c r="AJ211" i="3" s="1"/>
  <c r="AO72" i="3"/>
  <c r="AO348" i="7"/>
  <c r="AO348" i="3" s="1"/>
  <c r="AO210" i="7"/>
  <c r="AO210" i="3" s="1"/>
  <c r="AT71" i="3"/>
  <c r="AT347" i="7"/>
  <c r="AT347" i="3" s="1"/>
  <c r="AT209" i="7"/>
  <c r="AT209" i="3" s="1"/>
  <c r="AD71" i="3"/>
  <c r="AD347" i="7"/>
  <c r="AD347" i="3" s="1"/>
  <c r="AD209" i="7"/>
  <c r="AD209" i="3" s="1"/>
  <c r="AI70" i="3"/>
  <c r="AI346" i="7"/>
  <c r="AI346" i="3" s="1"/>
  <c r="AI208" i="7"/>
  <c r="AI208" i="3" s="1"/>
  <c r="AN69" i="3"/>
  <c r="AN345" i="7"/>
  <c r="AN345" i="3" s="1"/>
  <c r="AN207" i="7"/>
  <c r="AN207" i="3" s="1"/>
  <c r="AS68" i="3"/>
  <c r="AS344" i="7"/>
  <c r="AS344" i="3" s="1"/>
  <c r="AS206" i="7"/>
  <c r="AS206" i="3" s="1"/>
  <c r="AC68" i="3"/>
  <c r="AC344" i="7"/>
  <c r="AC344" i="3" s="1"/>
  <c r="AC206" i="7"/>
  <c r="AC206" i="3" s="1"/>
  <c r="AH67" i="3"/>
  <c r="AH343" i="7"/>
  <c r="AH343" i="3" s="1"/>
  <c r="AH205" i="7"/>
  <c r="AH205" i="3" s="1"/>
  <c r="AM66" i="3"/>
  <c r="AM342" i="7"/>
  <c r="AM342" i="3" s="1"/>
  <c r="AM204" i="7"/>
  <c r="AM204" i="3" s="1"/>
  <c r="AR65" i="3"/>
  <c r="AR341" i="7"/>
  <c r="AR341" i="3" s="1"/>
  <c r="AR203" i="7"/>
  <c r="AR203" i="3" s="1"/>
  <c r="AW64" i="3"/>
  <c r="AW340" i="7"/>
  <c r="AW340" i="3" s="1"/>
  <c r="AW202" i="7"/>
  <c r="AW202" i="3" s="1"/>
  <c r="AG64" i="3"/>
  <c r="AG340" i="7"/>
  <c r="AG340" i="3" s="1"/>
  <c r="AG202" i="7"/>
  <c r="AG202" i="3" s="1"/>
  <c r="AL63" i="3"/>
  <c r="AL339" i="7"/>
  <c r="AL339" i="3" s="1"/>
  <c r="AL201" i="7"/>
  <c r="AL201" i="3" s="1"/>
  <c r="AQ62" i="3"/>
  <c r="AQ338" i="7"/>
  <c r="AQ338" i="3" s="1"/>
  <c r="AQ200" i="7"/>
  <c r="AQ200" i="3" s="1"/>
  <c r="AV61" i="3"/>
  <c r="AV337" i="7"/>
  <c r="AV337" i="3" s="1"/>
  <c r="AV199" i="7"/>
  <c r="AV199" i="3" s="1"/>
  <c r="AF61" i="3"/>
  <c r="AF337" i="7"/>
  <c r="AF337" i="3" s="1"/>
  <c r="AF199" i="7"/>
  <c r="AF199" i="3" s="1"/>
  <c r="AK60" i="3"/>
  <c r="AK336" i="7"/>
  <c r="AK336" i="3" s="1"/>
  <c r="AK198" i="7"/>
  <c r="AK198" i="3" s="1"/>
  <c r="AP59" i="3"/>
  <c r="AP335" i="7"/>
  <c r="AP335" i="3" s="1"/>
  <c r="AP197" i="7"/>
  <c r="AP197" i="3" s="1"/>
  <c r="AU58" i="3"/>
  <c r="AU334" i="7"/>
  <c r="AU334" i="3" s="1"/>
  <c r="AU196" i="7"/>
  <c r="AU196" i="3" s="1"/>
  <c r="AE58" i="3"/>
  <c r="AE334" i="7"/>
  <c r="AE334" i="3" s="1"/>
  <c r="AE196" i="7"/>
  <c r="AE196" i="3" s="1"/>
  <c r="AJ57" i="3"/>
  <c r="AJ333" i="7"/>
  <c r="AJ333" i="3" s="1"/>
  <c r="AJ195" i="7"/>
  <c r="AJ195" i="3" s="1"/>
  <c r="AO56" i="3"/>
  <c r="AO332" i="7"/>
  <c r="AO332" i="3" s="1"/>
  <c r="AO194" i="7"/>
  <c r="AO194" i="3" s="1"/>
  <c r="AT55" i="3"/>
  <c r="AT331" i="7"/>
  <c r="AT331" i="3" s="1"/>
  <c r="AT193" i="7"/>
  <c r="AT193" i="3" s="1"/>
  <c r="AD55" i="3"/>
  <c r="AD331" i="7"/>
  <c r="AD331" i="3" s="1"/>
  <c r="AD193" i="7"/>
  <c r="AD193" i="3" s="1"/>
  <c r="AI54" i="3"/>
  <c r="AI330" i="7"/>
  <c r="AI330" i="3" s="1"/>
  <c r="AI192" i="7"/>
  <c r="AI192" i="3" s="1"/>
  <c r="AN53" i="3"/>
  <c r="AN329" i="7"/>
  <c r="AN329" i="3" s="1"/>
  <c r="AN191" i="7"/>
  <c r="AN191" i="3" s="1"/>
  <c r="AS52" i="3"/>
  <c r="AS328" i="7"/>
  <c r="AS328" i="3" s="1"/>
  <c r="AS190" i="7"/>
  <c r="AS190" i="3" s="1"/>
  <c r="AC52" i="3"/>
  <c r="AC328" i="7"/>
  <c r="AC328" i="3" s="1"/>
  <c r="AC190" i="7"/>
  <c r="AC190" i="3" s="1"/>
  <c r="AH51" i="3"/>
  <c r="AH327" i="7"/>
  <c r="AH327" i="3" s="1"/>
  <c r="AH189" i="7"/>
  <c r="AH189" i="3" s="1"/>
  <c r="AM50" i="3"/>
  <c r="AM326" i="7"/>
  <c r="AM326" i="3" s="1"/>
  <c r="AM188" i="7"/>
  <c r="AM188" i="3" s="1"/>
  <c r="AR49" i="3"/>
  <c r="AR325" i="7"/>
  <c r="AR325" i="3" s="1"/>
  <c r="AR187" i="7"/>
  <c r="AR187" i="3" s="1"/>
  <c r="AW48" i="3"/>
  <c r="AW324" i="7"/>
  <c r="AW324" i="3" s="1"/>
  <c r="AW186" i="7"/>
  <c r="AW186" i="3" s="1"/>
  <c r="AG48" i="3"/>
  <c r="AG324" i="7"/>
  <c r="AG324" i="3" s="1"/>
  <c r="AG186" i="7"/>
  <c r="AG186" i="3" s="1"/>
  <c r="AL47" i="3"/>
  <c r="AL323" i="7"/>
  <c r="AL323" i="3" s="1"/>
  <c r="AL185" i="7"/>
  <c r="AL185" i="3" s="1"/>
  <c r="AQ46" i="3"/>
  <c r="AQ322" i="7"/>
  <c r="AQ322" i="3" s="1"/>
  <c r="AQ184" i="7"/>
  <c r="AQ184" i="3" s="1"/>
  <c r="AV45" i="3"/>
  <c r="AV321" i="7"/>
  <c r="AV321" i="3" s="1"/>
  <c r="AV183" i="7"/>
  <c r="AV183" i="3" s="1"/>
  <c r="AF45" i="3"/>
  <c r="AF321" i="7"/>
  <c r="AF321" i="3" s="1"/>
  <c r="AF183" i="7"/>
  <c r="AF183" i="3" s="1"/>
  <c r="AK44" i="3"/>
  <c r="AK320" i="7"/>
  <c r="AK320" i="3" s="1"/>
  <c r="AK182" i="7"/>
  <c r="AK182" i="3" s="1"/>
  <c r="AP43" i="3"/>
  <c r="AP319" i="7"/>
  <c r="AP319" i="3" s="1"/>
  <c r="AP181" i="7"/>
  <c r="AP181" i="3" s="1"/>
  <c r="AU42" i="3"/>
  <c r="AU318" i="7"/>
  <c r="AU318" i="3" s="1"/>
  <c r="AU180" i="7"/>
  <c r="AU180" i="3" s="1"/>
  <c r="AE42" i="3"/>
  <c r="AE318" i="7"/>
  <c r="AE318" i="3" s="1"/>
  <c r="AE180" i="7"/>
  <c r="AE180" i="3" s="1"/>
  <c r="AJ41" i="3"/>
  <c r="AJ317" i="7"/>
  <c r="AJ317" i="3" s="1"/>
  <c r="AJ179" i="7"/>
  <c r="AJ179" i="3" s="1"/>
  <c r="AO40" i="3"/>
  <c r="AO316" i="7"/>
  <c r="AO316" i="3" s="1"/>
  <c r="AO178" i="7"/>
  <c r="AO178" i="3" s="1"/>
  <c r="AT39" i="3"/>
  <c r="AT315" i="7"/>
  <c r="AT315" i="3" s="1"/>
  <c r="AT177" i="7"/>
  <c r="AT177" i="3" s="1"/>
  <c r="AD39" i="3"/>
  <c r="AD315" i="7"/>
  <c r="AD315" i="3" s="1"/>
  <c r="AD177" i="7"/>
  <c r="AD177" i="3" s="1"/>
  <c r="AI38" i="3"/>
  <c r="AI314" i="7"/>
  <c r="AI314" i="3" s="1"/>
  <c r="AI176" i="7"/>
  <c r="AI176" i="3" s="1"/>
  <c r="AN37" i="3"/>
  <c r="AN313" i="7"/>
  <c r="AN313" i="3" s="1"/>
  <c r="AN175" i="7"/>
  <c r="AN175" i="3" s="1"/>
  <c r="AS36" i="3"/>
  <c r="AS312" i="7"/>
  <c r="AS312" i="3" s="1"/>
  <c r="AS174" i="7"/>
  <c r="AS174" i="3" s="1"/>
  <c r="AC36" i="3"/>
  <c r="AC312" i="7"/>
  <c r="AC312" i="3" s="1"/>
  <c r="AC174" i="7"/>
  <c r="AC174" i="3" s="1"/>
  <c r="AX122" i="3"/>
  <c r="AX398" i="7"/>
  <c r="AX398" i="3" s="1"/>
  <c r="AX260" i="7"/>
  <c r="AX260" i="3" s="1"/>
  <c r="AX106" i="3"/>
  <c r="AX382" i="7"/>
  <c r="AX382" i="3" s="1"/>
  <c r="AX244" i="7"/>
  <c r="AX244" i="3" s="1"/>
  <c r="AX90" i="3"/>
  <c r="AX366" i="7"/>
  <c r="AX366" i="3" s="1"/>
  <c r="AX228" i="7"/>
  <c r="AX228" i="3" s="1"/>
  <c r="AX74" i="3"/>
  <c r="AX350" i="7"/>
  <c r="AX350" i="3" s="1"/>
  <c r="AX212" i="7"/>
  <c r="AX212" i="3" s="1"/>
  <c r="AX58" i="3"/>
  <c r="AX334" i="7"/>
  <c r="AX334" i="3" s="1"/>
  <c r="AX196" i="7"/>
  <c r="AX196" i="3" s="1"/>
  <c r="AX42" i="3"/>
  <c r="AX318" i="7"/>
  <c r="AX318" i="3" s="1"/>
  <c r="AX180" i="7"/>
  <c r="AX180" i="3" s="1"/>
  <c r="AX26" i="3"/>
  <c r="AX302" i="7"/>
  <c r="AX302" i="3" s="1"/>
  <c r="AX164" i="7"/>
  <c r="AX164" i="3" s="1"/>
  <c r="AX10" i="3"/>
  <c r="AX286" i="7"/>
  <c r="AX286" i="3" s="1"/>
  <c r="AX148" i="7"/>
  <c r="AX148" i="3" s="1"/>
  <c r="AR268" i="7"/>
  <c r="AR268" i="3" s="1"/>
  <c r="AR264" i="7"/>
  <c r="AR264" i="3" s="1"/>
  <c r="AJ259" i="7"/>
  <c r="AJ259" i="3" s="1"/>
  <c r="AL256" i="7"/>
  <c r="AL256" i="3" s="1"/>
  <c r="AN253" i="7"/>
  <c r="AN253" i="3" s="1"/>
  <c r="AX238" i="7"/>
  <c r="AX238" i="3" s="1"/>
  <c r="AG216" i="7"/>
  <c r="AG216" i="3" s="1"/>
  <c r="AG180" i="7"/>
  <c r="AG180" i="3" s="1"/>
  <c r="AG131" i="3"/>
  <c r="AG407" i="7"/>
  <c r="AG407" i="3" s="1"/>
  <c r="AG269" i="7"/>
  <c r="AG269" i="3" s="1"/>
  <c r="AL130" i="3"/>
  <c r="AL406" i="7"/>
  <c r="AL406" i="3" s="1"/>
  <c r="AL268" i="7"/>
  <c r="AL268" i="3" s="1"/>
  <c r="AQ129" i="3"/>
  <c r="AQ405" i="7"/>
  <c r="AQ405" i="3" s="1"/>
  <c r="AQ267" i="7"/>
  <c r="AQ267" i="3" s="1"/>
  <c r="AK127" i="3"/>
  <c r="AK403" i="7"/>
  <c r="AK403" i="3" s="1"/>
  <c r="AP126" i="3"/>
  <c r="AP402" i="7"/>
  <c r="AP402" i="3" s="1"/>
  <c r="AP264" i="7"/>
  <c r="AP264" i="3" s="1"/>
  <c r="AU125" i="3"/>
  <c r="AU401" i="7"/>
  <c r="AU401" i="3" s="1"/>
  <c r="AU263" i="7"/>
  <c r="AU263" i="3" s="1"/>
  <c r="AE125" i="3"/>
  <c r="AE401" i="7"/>
  <c r="AE401" i="3" s="1"/>
  <c r="AE263" i="7"/>
  <c r="AE263" i="3" s="1"/>
  <c r="AJ124" i="3"/>
  <c r="AJ400" i="7"/>
  <c r="AJ400" i="3" s="1"/>
  <c r="AJ262" i="7"/>
  <c r="AJ262" i="3" s="1"/>
  <c r="AO123" i="3"/>
  <c r="AO399" i="7"/>
  <c r="AO399" i="3" s="1"/>
  <c r="AO261" i="7"/>
  <c r="AO261" i="3" s="1"/>
  <c r="AT122" i="3"/>
  <c r="AT398" i="7"/>
  <c r="AT398" i="3" s="1"/>
  <c r="AD122" i="3"/>
  <c r="AD398" i="7"/>
  <c r="AD398" i="3" s="1"/>
  <c r="AI121" i="3"/>
  <c r="AI397" i="7"/>
  <c r="AI397" i="3" s="1"/>
  <c r="AN120" i="3"/>
  <c r="AN396" i="7"/>
  <c r="AN396" i="3" s="1"/>
  <c r="AN258" i="7"/>
  <c r="AN258" i="3" s="1"/>
  <c r="AS119" i="3"/>
  <c r="AS395" i="7"/>
  <c r="AS395" i="3" s="1"/>
  <c r="AS257" i="7"/>
  <c r="AS257" i="3" s="1"/>
  <c r="AC119" i="3"/>
  <c r="AC395" i="7"/>
  <c r="AC395" i="3" s="1"/>
  <c r="AC257" i="7"/>
  <c r="AC257" i="3" s="1"/>
  <c r="AH118" i="3"/>
  <c r="AH394" i="7"/>
  <c r="AH394" i="3" s="1"/>
  <c r="AM117" i="3"/>
  <c r="AM393" i="7"/>
  <c r="AM393" i="3" s="1"/>
  <c r="AM255" i="7"/>
  <c r="AM255" i="3" s="1"/>
  <c r="AR116" i="3"/>
  <c r="AR392" i="7"/>
  <c r="AR392" i="3" s="1"/>
  <c r="AR254" i="7"/>
  <c r="AR254" i="3" s="1"/>
  <c r="AW115" i="3"/>
  <c r="AW391" i="7"/>
  <c r="AW391" i="3" s="1"/>
  <c r="AW253" i="7"/>
  <c r="AW253" i="3" s="1"/>
  <c r="AG115" i="3"/>
  <c r="AG391" i="7"/>
  <c r="AG391" i="3" s="1"/>
  <c r="AG253" i="7"/>
  <c r="AG253" i="3" s="1"/>
  <c r="AL114" i="3"/>
  <c r="AL390" i="7"/>
  <c r="AL390" i="3" s="1"/>
  <c r="AL252" i="7"/>
  <c r="AL252" i="3" s="1"/>
  <c r="AQ113" i="3"/>
  <c r="AQ389" i="7"/>
  <c r="AQ389" i="3" s="1"/>
  <c r="AQ251" i="7"/>
  <c r="AQ251" i="3" s="1"/>
  <c r="AV112" i="3"/>
  <c r="AV388" i="7"/>
  <c r="AV388" i="3" s="1"/>
  <c r="AV250" i="7"/>
  <c r="AV250" i="3" s="1"/>
  <c r="AF112" i="3"/>
  <c r="AF388" i="7"/>
  <c r="AF388" i="3" s="1"/>
  <c r="AF250" i="7"/>
  <c r="AF250" i="3" s="1"/>
  <c r="AK111" i="3"/>
  <c r="AK387" i="7"/>
  <c r="AK387" i="3" s="1"/>
  <c r="AP110" i="3"/>
  <c r="AP386" i="7"/>
  <c r="AP386" i="3" s="1"/>
  <c r="AP248" i="7"/>
  <c r="AP248" i="3" s="1"/>
  <c r="AU109" i="3"/>
  <c r="AU385" i="7"/>
  <c r="AU385" i="3" s="1"/>
  <c r="AU247" i="7"/>
  <c r="AU247" i="3" s="1"/>
  <c r="AE109" i="3"/>
  <c r="AE385" i="7"/>
  <c r="AE385" i="3" s="1"/>
  <c r="AE247" i="7"/>
  <c r="AE247" i="3" s="1"/>
  <c r="AJ108" i="3"/>
  <c r="AJ384" i="7"/>
  <c r="AJ384" i="3" s="1"/>
  <c r="AJ246" i="7"/>
  <c r="AJ246" i="3" s="1"/>
  <c r="AO107" i="3"/>
  <c r="AO383" i="7"/>
  <c r="AO383" i="3" s="1"/>
  <c r="AO245" i="7"/>
  <c r="AO245" i="3" s="1"/>
  <c r="AT106" i="3"/>
  <c r="AT382" i="7"/>
  <c r="AT382" i="3" s="1"/>
  <c r="AD106" i="3"/>
  <c r="AD382" i="7"/>
  <c r="AD382" i="3" s="1"/>
  <c r="AI105" i="3"/>
  <c r="AI381" i="7"/>
  <c r="AI381" i="3" s="1"/>
  <c r="AN104" i="3"/>
  <c r="AN380" i="7"/>
  <c r="AN380" i="3" s="1"/>
  <c r="AN242" i="7"/>
  <c r="AN242" i="3" s="1"/>
  <c r="AS103" i="3"/>
  <c r="AS379" i="7"/>
  <c r="AS379" i="3" s="1"/>
  <c r="AS241" i="7"/>
  <c r="AS241" i="3" s="1"/>
  <c r="AC103" i="3"/>
  <c r="AC379" i="7"/>
  <c r="AC379" i="3" s="1"/>
  <c r="AC241" i="7"/>
  <c r="AC241" i="3" s="1"/>
  <c r="AH102" i="3"/>
  <c r="AH378" i="7"/>
  <c r="AH378" i="3" s="1"/>
  <c r="AH240" i="7"/>
  <c r="AH240" i="3" s="1"/>
  <c r="AM101" i="3"/>
  <c r="AM377" i="7"/>
  <c r="AM377" i="3" s="1"/>
  <c r="AM239" i="7"/>
  <c r="AM239" i="3" s="1"/>
  <c r="AR100" i="3"/>
  <c r="AR376" i="7"/>
  <c r="AR376" i="3" s="1"/>
  <c r="AR238" i="7"/>
  <c r="AR238" i="3" s="1"/>
  <c r="AW99" i="3"/>
  <c r="AW375" i="7"/>
  <c r="AW375" i="3" s="1"/>
  <c r="AW237" i="7"/>
  <c r="AW237" i="3" s="1"/>
  <c r="AG99" i="3"/>
  <c r="AG375" i="7"/>
  <c r="AG375" i="3" s="1"/>
  <c r="AG237" i="7"/>
  <c r="AG237" i="3" s="1"/>
  <c r="AL98" i="3"/>
  <c r="AL374" i="7"/>
  <c r="AL374" i="3" s="1"/>
  <c r="AL236" i="7"/>
  <c r="AL236" i="3" s="1"/>
  <c r="AQ97" i="3"/>
  <c r="AQ373" i="7"/>
  <c r="AQ373" i="3" s="1"/>
  <c r="AQ235" i="7"/>
  <c r="AQ235" i="3" s="1"/>
  <c r="AV96" i="3"/>
  <c r="AV372" i="7"/>
  <c r="AV372" i="3" s="1"/>
  <c r="AV234" i="7"/>
  <c r="AV234" i="3" s="1"/>
  <c r="AF96" i="3"/>
  <c r="AF372" i="7"/>
  <c r="AF372" i="3" s="1"/>
  <c r="AK95" i="3"/>
  <c r="AK371" i="7"/>
  <c r="AK371" i="3" s="1"/>
  <c r="AK233" i="7"/>
  <c r="AK233" i="3" s="1"/>
  <c r="AP94" i="3"/>
  <c r="AP370" i="7"/>
  <c r="AP370" i="3" s="1"/>
  <c r="AP232" i="7"/>
  <c r="AP232" i="3" s="1"/>
  <c r="AU93" i="3"/>
  <c r="AU369" i="7"/>
  <c r="AU369" i="3" s="1"/>
  <c r="AU231" i="7"/>
  <c r="AU231" i="3" s="1"/>
  <c r="AE93" i="3"/>
  <c r="AE369" i="7"/>
  <c r="AE369" i="3" s="1"/>
  <c r="AE231" i="7"/>
  <c r="AE231" i="3" s="1"/>
  <c r="AJ92" i="3"/>
  <c r="AJ368" i="7"/>
  <c r="AJ368" i="3" s="1"/>
  <c r="AJ230" i="7"/>
  <c r="AJ230" i="3" s="1"/>
  <c r="AO91" i="3"/>
  <c r="AO367" i="7"/>
  <c r="AO367" i="3" s="1"/>
  <c r="AO229" i="7"/>
  <c r="AO229" i="3" s="1"/>
  <c r="AT90" i="3"/>
  <c r="AT366" i="7"/>
  <c r="AT366" i="3" s="1"/>
  <c r="AT228" i="7"/>
  <c r="AT228" i="3" s="1"/>
  <c r="AD90" i="3"/>
  <c r="AD366" i="7"/>
  <c r="AD366" i="3" s="1"/>
  <c r="AD228" i="7"/>
  <c r="AD228" i="3" s="1"/>
  <c r="AI365" i="7"/>
  <c r="AI227" i="7"/>
  <c r="AN88" i="3"/>
  <c r="AN364" i="7"/>
  <c r="AN364" i="3" s="1"/>
  <c r="AN226" i="7"/>
  <c r="AN226" i="3" s="1"/>
  <c r="AS87" i="3"/>
  <c r="AS363" i="7"/>
  <c r="AS363" i="3" s="1"/>
  <c r="AS225" i="7"/>
  <c r="AS225" i="3" s="1"/>
  <c r="AC87" i="3"/>
  <c r="AC363" i="7"/>
  <c r="AC363" i="3" s="1"/>
  <c r="AC225" i="7"/>
  <c r="AC225" i="3" s="1"/>
  <c r="AH86" i="3"/>
  <c r="AH362" i="7"/>
  <c r="AH362" i="3" s="1"/>
  <c r="AH224" i="7"/>
  <c r="AH224" i="3" s="1"/>
  <c r="AM85" i="3"/>
  <c r="AM361" i="7"/>
  <c r="AM361" i="3" s="1"/>
  <c r="AM223" i="7"/>
  <c r="AM223" i="3" s="1"/>
  <c r="AR84" i="3"/>
  <c r="AR360" i="7"/>
  <c r="AR360" i="3" s="1"/>
  <c r="AR222" i="7"/>
  <c r="AR222" i="3" s="1"/>
  <c r="AW83" i="3"/>
  <c r="AW359" i="7"/>
  <c r="AW359" i="3" s="1"/>
  <c r="AW221" i="7"/>
  <c r="AW221" i="3" s="1"/>
  <c r="AG83" i="3"/>
  <c r="AG359" i="7"/>
  <c r="AG359" i="3" s="1"/>
  <c r="AG221" i="7"/>
  <c r="AG221" i="3" s="1"/>
  <c r="AL82" i="3"/>
  <c r="AL358" i="7"/>
  <c r="AL358" i="3" s="1"/>
  <c r="AL220" i="7"/>
  <c r="AL220" i="3" s="1"/>
  <c r="AQ81" i="3"/>
  <c r="AQ357" i="7"/>
  <c r="AQ357" i="3" s="1"/>
  <c r="AQ219" i="7"/>
  <c r="AQ219" i="3" s="1"/>
  <c r="AV80" i="3"/>
  <c r="AV356" i="7"/>
  <c r="AV356" i="3" s="1"/>
  <c r="AV218" i="7"/>
  <c r="AV218" i="3" s="1"/>
  <c r="AF80" i="3"/>
  <c r="AF356" i="7"/>
  <c r="AF356" i="3" s="1"/>
  <c r="AF218" i="7"/>
  <c r="AF218" i="3" s="1"/>
  <c r="AK79" i="3"/>
  <c r="AK355" i="7"/>
  <c r="AK355" i="3" s="1"/>
  <c r="AK217" i="7"/>
  <c r="AK217" i="3" s="1"/>
  <c r="AP78" i="3"/>
  <c r="AP354" i="7"/>
  <c r="AP354" i="3" s="1"/>
  <c r="AP216" i="7"/>
  <c r="AP216" i="3" s="1"/>
  <c r="AU353" i="7"/>
  <c r="AU215" i="7"/>
  <c r="AE353" i="7"/>
  <c r="AE215" i="7"/>
  <c r="AJ76" i="3"/>
  <c r="AJ352" i="7"/>
  <c r="AJ352" i="3" s="1"/>
  <c r="AJ214" i="7"/>
  <c r="AJ214" i="3" s="1"/>
  <c r="AO75" i="3"/>
  <c r="AO351" i="7"/>
  <c r="AO351" i="3" s="1"/>
  <c r="AO213" i="7"/>
  <c r="AO213" i="3" s="1"/>
  <c r="AT74" i="3"/>
  <c r="AT350" i="7"/>
  <c r="AT350" i="3" s="1"/>
  <c r="AT212" i="7"/>
  <c r="AT212" i="3" s="1"/>
  <c r="AD74" i="3"/>
  <c r="AD350" i="7"/>
  <c r="AD350" i="3" s="1"/>
  <c r="AI73" i="3"/>
  <c r="AI349" i="7"/>
  <c r="AI349" i="3" s="1"/>
  <c r="AI211" i="7"/>
  <c r="AI211" i="3" s="1"/>
  <c r="AN72" i="3"/>
  <c r="AN348" i="7"/>
  <c r="AN348" i="3" s="1"/>
  <c r="AN210" i="7"/>
  <c r="AN210" i="3" s="1"/>
  <c r="AS71" i="3"/>
  <c r="AS347" i="7"/>
  <c r="AS347" i="3" s="1"/>
  <c r="AS209" i="7"/>
  <c r="AS209" i="3" s="1"/>
  <c r="AC71" i="3"/>
  <c r="AC347" i="7"/>
  <c r="AC347" i="3" s="1"/>
  <c r="AC209" i="7"/>
  <c r="AC209" i="3" s="1"/>
  <c r="AH70" i="3"/>
  <c r="AH346" i="7"/>
  <c r="AH346" i="3" s="1"/>
  <c r="AM69" i="3"/>
  <c r="AM345" i="7"/>
  <c r="AM345" i="3" s="1"/>
  <c r="AM207" i="7"/>
  <c r="AM207" i="3" s="1"/>
  <c r="AR68" i="3"/>
  <c r="AR344" i="7"/>
  <c r="AR344" i="3" s="1"/>
  <c r="AR206" i="7"/>
  <c r="AR206" i="3" s="1"/>
  <c r="AW67" i="3"/>
  <c r="AW343" i="7"/>
  <c r="AW343" i="3" s="1"/>
  <c r="AW205" i="7"/>
  <c r="AW205" i="3" s="1"/>
  <c r="AG67" i="3"/>
  <c r="AG343" i="7"/>
  <c r="AG343" i="3" s="1"/>
  <c r="AG205" i="7"/>
  <c r="AG205" i="3" s="1"/>
  <c r="AL66" i="3"/>
  <c r="AL342" i="7"/>
  <c r="AL342" i="3" s="1"/>
  <c r="AL204" i="7"/>
  <c r="AL204" i="3" s="1"/>
  <c r="AQ65" i="3"/>
  <c r="AQ341" i="7"/>
  <c r="AQ341" i="3" s="1"/>
  <c r="AQ203" i="7"/>
  <c r="AQ203" i="3" s="1"/>
  <c r="AV64" i="3"/>
  <c r="AV340" i="7"/>
  <c r="AV340" i="3" s="1"/>
  <c r="AV202" i="7"/>
  <c r="AV202" i="3" s="1"/>
  <c r="AF64" i="3"/>
  <c r="AF340" i="7"/>
  <c r="AF340" i="3" s="1"/>
  <c r="AF202" i="7"/>
  <c r="AF202" i="3" s="1"/>
  <c r="AK63" i="3"/>
  <c r="AK339" i="7"/>
  <c r="AK339" i="3" s="1"/>
  <c r="AK201" i="7"/>
  <c r="AK201" i="3" s="1"/>
  <c r="AP62" i="3"/>
  <c r="AP338" i="7"/>
  <c r="AP338" i="3" s="1"/>
  <c r="AP200" i="7"/>
  <c r="AP200" i="3" s="1"/>
  <c r="AU61" i="3"/>
  <c r="AU337" i="7"/>
  <c r="AU337" i="3" s="1"/>
  <c r="AU199" i="7"/>
  <c r="AU199" i="3" s="1"/>
  <c r="AE61" i="3"/>
  <c r="AE337" i="7"/>
  <c r="AE337" i="3" s="1"/>
  <c r="AE199" i="7"/>
  <c r="AE199" i="3" s="1"/>
  <c r="AJ60" i="3"/>
  <c r="AJ336" i="7"/>
  <c r="AJ336" i="3" s="1"/>
  <c r="AJ198" i="7"/>
  <c r="AJ198" i="3" s="1"/>
  <c r="AO59" i="3"/>
  <c r="AO335" i="7"/>
  <c r="AO335" i="3" s="1"/>
  <c r="AO197" i="7"/>
  <c r="AO197" i="3" s="1"/>
  <c r="AT58" i="3"/>
  <c r="AT334" i="7"/>
  <c r="AT334" i="3" s="1"/>
  <c r="AT196" i="7"/>
  <c r="AT196" i="3" s="1"/>
  <c r="AD58" i="3"/>
  <c r="AD334" i="7"/>
  <c r="AD334" i="3" s="1"/>
  <c r="AD196" i="7"/>
  <c r="AD196" i="3" s="1"/>
  <c r="AI57" i="3"/>
  <c r="AI333" i="7"/>
  <c r="AI333" i="3" s="1"/>
  <c r="AI195" i="7"/>
  <c r="AI195" i="3" s="1"/>
  <c r="AN56" i="3"/>
  <c r="AN332" i="7"/>
  <c r="AN332" i="3" s="1"/>
  <c r="AN194" i="7"/>
  <c r="AN194" i="3" s="1"/>
  <c r="AS55" i="3"/>
  <c r="AS331" i="7"/>
  <c r="AS331" i="3" s="1"/>
  <c r="AS193" i="7"/>
  <c r="AS193" i="3" s="1"/>
  <c r="AC55" i="3"/>
  <c r="AC331" i="7"/>
  <c r="AC331" i="3" s="1"/>
  <c r="AC193" i="7"/>
  <c r="AC193" i="3" s="1"/>
  <c r="AH54" i="3"/>
  <c r="AH330" i="7"/>
  <c r="AH330" i="3" s="1"/>
  <c r="AH192" i="7"/>
  <c r="AH192" i="3" s="1"/>
  <c r="AM53" i="3"/>
  <c r="AM329" i="7"/>
  <c r="AM329" i="3" s="1"/>
  <c r="AM191" i="7"/>
  <c r="AM191" i="3" s="1"/>
  <c r="AR52" i="3"/>
  <c r="AR328" i="7"/>
  <c r="AR328" i="3" s="1"/>
  <c r="AR190" i="7"/>
  <c r="AR190" i="3" s="1"/>
  <c r="AW51" i="3"/>
  <c r="AW327" i="7"/>
  <c r="AW327" i="3" s="1"/>
  <c r="AW189" i="7"/>
  <c r="AW189" i="3" s="1"/>
  <c r="AG51" i="3"/>
  <c r="AG327" i="7"/>
  <c r="AG327" i="3" s="1"/>
  <c r="AG189" i="7"/>
  <c r="AG189" i="3" s="1"/>
  <c r="AL50" i="3"/>
  <c r="AL326" i="7"/>
  <c r="AL326" i="3" s="1"/>
  <c r="AL188" i="7"/>
  <c r="AL188" i="3" s="1"/>
  <c r="AQ49" i="3"/>
  <c r="AQ325" i="7"/>
  <c r="AQ325" i="3" s="1"/>
  <c r="AQ187" i="7"/>
  <c r="AQ187" i="3" s="1"/>
  <c r="AV48" i="3"/>
  <c r="AV324" i="7"/>
  <c r="AV324" i="3" s="1"/>
  <c r="AV186" i="7"/>
  <c r="AV186" i="3" s="1"/>
  <c r="AF48" i="3"/>
  <c r="AF324" i="7"/>
  <c r="AF324" i="3" s="1"/>
  <c r="AF186" i="7"/>
  <c r="AF186" i="3" s="1"/>
  <c r="AK47" i="3"/>
  <c r="AK323" i="7"/>
  <c r="AK323" i="3" s="1"/>
  <c r="AK185" i="7"/>
  <c r="AK185" i="3" s="1"/>
  <c r="AP46" i="3"/>
  <c r="AP322" i="7"/>
  <c r="AP322" i="3" s="1"/>
  <c r="AP184" i="7"/>
  <c r="AP184" i="3" s="1"/>
  <c r="AU45" i="3"/>
  <c r="AU321" i="7"/>
  <c r="AU321" i="3" s="1"/>
  <c r="AU183" i="7"/>
  <c r="AU183" i="3" s="1"/>
  <c r="AE45" i="3"/>
  <c r="AE321" i="7"/>
  <c r="AE321" i="3" s="1"/>
  <c r="AE183" i="7"/>
  <c r="AE183" i="3" s="1"/>
  <c r="AJ44" i="3"/>
  <c r="AJ320" i="7"/>
  <c r="AJ320" i="3" s="1"/>
  <c r="AJ182" i="7"/>
  <c r="AJ182" i="3" s="1"/>
  <c r="AO43" i="3"/>
  <c r="AO319" i="7"/>
  <c r="AO319" i="3" s="1"/>
  <c r="AO181" i="7"/>
  <c r="AO181" i="3" s="1"/>
  <c r="AT42" i="3"/>
  <c r="AT318" i="7"/>
  <c r="AT318" i="3" s="1"/>
  <c r="AT180" i="7"/>
  <c r="AT180" i="3" s="1"/>
  <c r="AD42" i="3"/>
  <c r="AD318" i="7"/>
  <c r="AD318" i="3" s="1"/>
  <c r="AD180" i="7"/>
  <c r="AD180" i="3" s="1"/>
  <c r="AI41" i="3"/>
  <c r="AI317" i="7"/>
  <c r="AI317" i="3" s="1"/>
  <c r="AI179" i="7"/>
  <c r="AI179" i="3" s="1"/>
  <c r="AN40" i="3"/>
  <c r="AN316" i="7"/>
  <c r="AN316" i="3" s="1"/>
  <c r="AN178" i="7"/>
  <c r="AN178" i="3" s="1"/>
  <c r="AS39" i="3"/>
  <c r="AS315" i="7"/>
  <c r="AS315" i="3" s="1"/>
  <c r="AS177" i="7"/>
  <c r="AS177" i="3" s="1"/>
  <c r="AC39" i="3"/>
  <c r="AC315" i="7"/>
  <c r="AC315" i="3" s="1"/>
  <c r="AC177" i="7"/>
  <c r="AC177" i="3" s="1"/>
  <c r="AH38" i="3"/>
  <c r="AH314" i="7"/>
  <c r="AH314" i="3" s="1"/>
  <c r="AH176" i="7"/>
  <c r="AH176" i="3" s="1"/>
  <c r="AM37" i="3"/>
  <c r="AM313" i="7"/>
  <c r="AM313" i="3" s="1"/>
  <c r="AM175" i="7"/>
  <c r="AM175" i="3" s="1"/>
  <c r="AR36" i="3"/>
  <c r="AR312" i="7"/>
  <c r="AR312" i="3" s="1"/>
  <c r="AR174" i="7"/>
  <c r="AR174" i="3" s="1"/>
  <c r="AX137" i="3"/>
  <c r="AX413" i="7"/>
  <c r="AX413" i="3" s="1"/>
  <c r="AX121" i="3"/>
  <c r="AX397" i="7"/>
  <c r="AX397" i="3" s="1"/>
  <c r="AX259" i="7"/>
  <c r="AX259" i="3" s="1"/>
  <c r="AX105" i="3"/>
  <c r="AX381" i="7"/>
  <c r="AX381" i="3" s="1"/>
  <c r="AX243" i="7"/>
  <c r="AX243" i="3" s="1"/>
  <c r="AX365" i="7"/>
  <c r="AX227" i="7"/>
  <c r="AX73" i="3"/>
  <c r="AX349" i="7"/>
  <c r="AX349" i="3" s="1"/>
  <c r="AX211" i="7"/>
  <c r="AX211" i="3" s="1"/>
  <c r="AX57" i="3"/>
  <c r="AX333" i="7"/>
  <c r="AX333" i="3" s="1"/>
  <c r="AX195" i="7"/>
  <c r="AX195" i="3" s="1"/>
  <c r="AX41" i="3"/>
  <c r="AX317" i="7"/>
  <c r="AX317" i="3" s="1"/>
  <c r="AX179" i="7"/>
  <c r="AX179" i="3" s="1"/>
  <c r="AX25" i="3"/>
  <c r="AX301" i="7"/>
  <c r="AX301" i="3" s="1"/>
  <c r="AX163" i="7"/>
  <c r="AX163" i="3" s="1"/>
  <c r="AX9" i="3"/>
  <c r="AX285" i="7"/>
  <c r="AX285" i="3" s="1"/>
  <c r="AX147" i="7"/>
  <c r="AX147" i="3" s="1"/>
  <c r="AK272" i="7"/>
  <c r="AK272" i="3" s="1"/>
  <c r="AM270" i="7"/>
  <c r="AM270" i="3" s="1"/>
  <c r="AQ264" i="7"/>
  <c r="AQ264" i="3" s="1"/>
  <c r="AI259" i="7"/>
  <c r="AI259" i="3" s="1"/>
  <c r="AK256" i="7"/>
  <c r="AK256" i="3" s="1"/>
  <c r="AM253" i="7"/>
  <c r="AM253" i="3" s="1"/>
  <c r="AO250" i="7"/>
  <c r="AO250" i="3" s="1"/>
  <c r="AN247" i="7"/>
  <c r="AN247" i="3" s="1"/>
  <c r="AJ243" i="7"/>
  <c r="AJ243" i="3" s="1"/>
  <c r="AW238" i="7"/>
  <c r="AW238" i="3" s="1"/>
  <c r="AN231" i="7"/>
  <c r="AN231" i="3" s="1"/>
  <c r="AR215" i="7"/>
  <c r="AG134" i="3"/>
  <c r="AG410" i="7"/>
  <c r="AG410" i="3" s="1"/>
  <c r="AG272" i="7"/>
  <c r="AG272" i="3" s="1"/>
  <c r="AL133" i="3"/>
  <c r="AL409" i="7"/>
  <c r="AL409" i="3" s="1"/>
  <c r="AL271" i="7"/>
  <c r="AL271" i="3" s="1"/>
  <c r="AQ132" i="3"/>
  <c r="AQ408" i="7"/>
  <c r="AQ408" i="3" s="1"/>
  <c r="AQ270" i="7"/>
  <c r="AQ270" i="3" s="1"/>
  <c r="AV131" i="3"/>
  <c r="AV407" i="7"/>
  <c r="AV407" i="3" s="1"/>
  <c r="AV269" i="7"/>
  <c r="AV269" i="3" s="1"/>
  <c r="AF131" i="3"/>
  <c r="AF407" i="7"/>
  <c r="AF407" i="3" s="1"/>
  <c r="AF269" i="7"/>
  <c r="AF269" i="3" s="1"/>
  <c r="AK130" i="3"/>
  <c r="AK406" i="7"/>
  <c r="AK406" i="3" s="1"/>
  <c r="AK268" i="7"/>
  <c r="AK268" i="3" s="1"/>
  <c r="AP129" i="3"/>
  <c r="AP405" i="7"/>
  <c r="AP405" i="3" s="1"/>
  <c r="AJ127" i="3"/>
  <c r="AJ403" i="7"/>
  <c r="AJ403" i="3" s="1"/>
  <c r="AJ265" i="7"/>
  <c r="AJ265" i="3" s="1"/>
  <c r="AO126" i="3"/>
  <c r="AO402" i="7"/>
  <c r="AO402" i="3" s="1"/>
  <c r="AO264" i="7"/>
  <c r="AO264" i="3" s="1"/>
  <c r="AT125" i="3"/>
  <c r="AT401" i="7"/>
  <c r="AT401" i="3" s="1"/>
  <c r="AT263" i="7"/>
  <c r="AT263" i="3" s="1"/>
  <c r="AD125" i="3"/>
  <c r="AD401" i="7"/>
  <c r="AD401" i="3" s="1"/>
  <c r="AD263" i="7"/>
  <c r="AD263" i="3" s="1"/>
  <c r="AI124" i="3"/>
  <c r="AI400" i="7"/>
  <c r="AI400" i="3" s="1"/>
  <c r="AI262" i="7"/>
  <c r="AI262" i="3" s="1"/>
  <c r="AN123" i="3"/>
  <c r="AN399" i="7"/>
  <c r="AN399" i="3" s="1"/>
  <c r="AS122" i="3"/>
  <c r="AS398" i="7"/>
  <c r="AS398" i="3" s="1"/>
  <c r="AC122" i="3"/>
  <c r="AC398" i="7"/>
  <c r="AC398" i="3" s="1"/>
  <c r="AH121" i="3"/>
  <c r="AH397" i="7"/>
  <c r="AH397" i="3" s="1"/>
  <c r="AH259" i="7"/>
  <c r="AH259" i="3" s="1"/>
  <c r="AM120" i="3"/>
  <c r="AM396" i="7"/>
  <c r="AM396" i="3" s="1"/>
  <c r="AM258" i="7"/>
  <c r="AM258" i="3" s="1"/>
  <c r="AR119" i="3"/>
  <c r="AR395" i="7"/>
  <c r="AR395" i="3" s="1"/>
  <c r="AW118" i="3"/>
  <c r="AW394" i="7"/>
  <c r="AW394" i="3" s="1"/>
  <c r="AW256" i="7"/>
  <c r="AW256" i="3" s="1"/>
  <c r="AG118" i="3"/>
  <c r="AG394" i="7"/>
  <c r="AG394" i="3" s="1"/>
  <c r="AG256" i="7"/>
  <c r="AG256" i="3" s="1"/>
  <c r="AL117" i="3"/>
  <c r="AL393" i="7"/>
  <c r="AL393" i="3" s="1"/>
  <c r="AL255" i="7"/>
  <c r="AL255" i="3" s="1"/>
  <c r="AQ116" i="3"/>
  <c r="AQ392" i="7"/>
  <c r="AQ392" i="3" s="1"/>
  <c r="AQ254" i="7"/>
  <c r="AQ254" i="3" s="1"/>
  <c r="AV115" i="3"/>
  <c r="AV391" i="7"/>
  <c r="AV391" i="3" s="1"/>
  <c r="AV253" i="7"/>
  <c r="AV253" i="3" s="1"/>
  <c r="AF115" i="3"/>
  <c r="AF391" i="7"/>
  <c r="AF391" i="3" s="1"/>
  <c r="AF253" i="7"/>
  <c r="AF253" i="3" s="1"/>
  <c r="AK114" i="3"/>
  <c r="AK390" i="7"/>
  <c r="AK390" i="3" s="1"/>
  <c r="AK252" i="7"/>
  <c r="AK252" i="3" s="1"/>
  <c r="AP113" i="3"/>
  <c r="AP389" i="7"/>
  <c r="AP389" i="3" s="1"/>
  <c r="AP251" i="7"/>
  <c r="AP251" i="3" s="1"/>
  <c r="AU112" i="3"/>
  <c r="AU388" i="7"/>
  <c r="AU388" i="3" s="1"/>
  <c r="AE112" i="3"/>
  <c r="AE388" i="7"/>
  <c r="AE388" i="3" s="1"/>
  <c r="AJ111" i="3"/>
  <c r="AJ387" i="7"/>
  <c r="AJ387" i="3" s="1"/>
  <c r="AJ249" i="7"/>
  <c r="AJ249" i="3" s="1"/>
  <c r="AO110" i="3"/>
  <c r="AO386" i="7"/>
  <c r="AO386" i="3" s="1"/>
  <c r="AO248" i="7"/>
  <c r="AO248" i="3" s="1"/>
  <c r="AT109" i="3"/>
  <c r="AT385" i="7"/>
  <c r="AT385" i="3" s="1"/>
  <c r="AT247" i="7"/>
  <c r="AT247" i="3" s="1"/>
  <c r="AD109" i="3"/>
  <c r="AD385" i="7"/>
  <c r="AD385" i="3" s="1"/>
  <c r="AD247" i="7"/>
  <c r="AD247" i="3" s="1"/>
  <c r="AI108" i="3"/>
  <c r="AI384" i="7"/>
  <c r="AI384" i="3" s="1"/>
  <c r="AI246" i="7"/>
  <c r="AI246" i="3" s="1"/>
  <c r="AN107" i="3"/>
  <c r="AN383" i="7"/>
  <c r="AN383" i="3" s="1"/>
  <c r="AS106" i="3"/>
  <c r="AS382" i="7"/>
  <c r="AS382" i="3" s="1"/>
  <c r="AC106" i="3"/>
  <c r="AC382" i="7"/>
  <c r="AC382" i="3" s="1"/>
  <c r="AH105" i="3"/>
  <c r="AH381" i="7"/>
  <c r="AH381" i="3" s="1"/>
  <c r="AH243" i="7"/>
  <c r="AH243" i="3" s="1"/>
  <c r="AM104" i="3"/>
  <c r="AM380" i="7"/>
  <c r="AM380" i="3" s="1"/>
  <c r="AM242" i="7"/>
  <c r="AM242" i="3" s="1"/>
  <c r="AR103" i="3"/>
  <c r="AR379" i="7"/>
  <c r="AR379" i="3" s="1"/>
  <c r="AW102" i="3"/>
  <c r="AW378" i="7"/>
  <c r="AW378" i="3" s="1"/>
  <c r="AW240" i="7"/>
  <c r="AW240" i="3" s="1"/>
  <c r="AG102" i="3"/>
  <c r="AG378" i="7"/>
  <c r="AG378" i="3" s="1"/>
  <c r="AG240" i="7"/>
  <c r="AG240" i="3" s="1"/>
  <c r="AL101" i="3"/>
  <c r="AL377" i="7"/>
  <c r="AL377" i="3" s="1"/>
  <c r="AL239" i="7"/>
  <c r="AL239" i="3" s="1"/>
  <c r="AQ100" i="3"/>
  <c r="AQ376" i="7"/>
  <c r="AQ376" i="3" s="1"/>
  <c r="AQ238" i="7"/>
  <c r="AQ238" i="3" s="1"/>
  <c r="AV99" i="3"/>
  <c r="AV375" i="7"/>
  <c r="AV375" i="3" s="1"/>
  <c r="AV237" i="7"/>
  <c r="AV237" i="3" s="1"/>
  <c r="AF99" i="3"/>
  <c r="AF375" i="7"/>
  <c r="AF375" i="3" s="1"/>
  <c r="AF237" i="7"/>
  <c r="AF237" i="3" s="1"/>
  <c r="AK98" i="3"/>
  <c r="AK374" i="7"/>
  <c r="AK374" i="3" s="1"/>
  <c r="AK236" i="7"/>
  <c r="AK236" i="3" s="1"/>
  <c r="AP97" i="3"/>
  <c r="AP373" i="7"/>
  <c r="AP373" i="3" s="1"/>
  <c r="AP235" i="7"/>
  <c r="AP235" i="3" s="1"/>
  <c r="AU96" i="3"/>
  <c r="AU372" i="7"/>
  <c r="AU372" i="3" s="1"/>
  <c r="AU234" i="7"/>
  <c r="AU234" i="3" s="1"/>
  <c r="AE96" i="3"/>
  <c r="AE372" i="7"/>
  <c r="AE372" i="3" s="1"/>
  <c r="AE234" i="7"/>
  <c r="AE234" i="3" s="1"/>
  <c r="AJ95" i="3"/>
  <c r="AJ371" i="7"/>
  <c r="AJ371" i="3" s="1"/>
  <c r="AJ233" i="7"/>
  <c r="AJ233" i="3" s="1"/>
  <c r="AO94" i="3"/>
  <c r="AO370" i="7"/>
  <c r="AO370" i="3" s="1"/>
  <c r="AO232" i="7"/>
  <c r="AO232" i="3" s="1"/>
  <c r="AT93" i="3"/>
  <c r="AT369" i="7"/>
  <c r="AT369" i="3" s="1"/>
  <c r="AT231" i="7"/>
  <c r="AT231" i="3" s="1"/>
  <c r="AD93" i="3"/>
  <c r="AD369" i="7"/>
  <c r="AD369" i="3" s="1"/>
  <c r="AD231" i="7"/>
  <c r="AD231" i="3" s="1"/>
  <c r="AI92" i="3"/>
  <c r="AI368" i="7"/>
  <c r="AI368" i="3" s="1"/>
  <c r="AI230" i="7"/>
  <c r="AI230" i="3" s="1"/>
  <c r="AN91" i="3"/>
  <c r="AN367" i="7"/>
  <c r="AN367" i="3" s="1"/>
  <c r="AN229" i="7"/>
  <c r="AN229" i="3" s="1"/>
  <c r="AS90" i="3"/>
  <c r="AS366" i="7"/>
  <c r="AS366" i="3" s="1"/>
  <c r="AC90" i="3"/>
  <c r="AC366" i="7"/>
  <c r="AC366" i="3" s="1"/>
  <c r="AC228" i="7"/>
  <c r="AC228" i="3" s="1"/>
  <c r="AH365" i="7"/>
  <c r="AH227" i="7"/>
  <c r="AM88" i="3"/>
  <c r="AM364" i="7"/>
  <c r="AM364" i="3" s="1"/>
  <c r="AM226" i="7"/>
  <c r="AM226" i="3" s="1"/>
  <c r="AR87" i="3"/>
  <c r="AR363" i="7"/>
  <c r="AR363" i="3" s="1"/>
  <c r="AR225" i="7"/>
  <c r="AR225" i="3" s="1"/>
  <c r="AW86" i="3"/>
  <c r="AW362" i="7"/>
  <c r="AW362" i="3" s="1"/>
  <c r="AW224" i="7"/>
  <c r="AW224" i="3" s="1"/>
  <c r="AG86" i="3"/>
  <c r="AG362" i="7"/>
  <c r="AG362" i="3" s="1"/>
  <c r="AG224" i="7"/>
  <c r="AG224" i="3" s="1"/>
  <c r="AL85" i="3"/>
  <c r="AL361" i="7"/>
  <c r="AL361" i="3" s="1"/>
  <c r="AL223" i="7"/>
  <c r="AL223" i="3" s="1"/>
  <c r="AQ84" i="3"/>
  <c r="AQ360" i="7"/>
  <c r="AQ360" i="3" s="1"/>
  <c r="AQ222" i="7"/>
  <c r="AQ222" i="3" s="1"/>
  <c r="AV83" i="3"/>
  <c r="AV359" i="7"/>
  <c r="AV359" i="3" s="1"/>
  <c r="AV221" i="7"/>
  <c r="AV221" i="3" s="1"/>
  <c r="AF83" i="3"/>
  <c r="AF359" i="7"/>
  <c r="AF359" i="3" s="1"/>
  <c r="AF221" i="7"/>
  <c r="AF221" i="3" s="1"/>
  <c r="AK82" i="3"/>
  <c r="AK358" i="7"/>
  <c r="AK358" i="3" s="1"/>
  <c r="AK220" i="7"/>
  <c r="AK220" i="3" s="1"/>
  <c r="AP81" i="3"/>
  <c r="AP357" i="7"/>
  <c r="AP357" i="3" s="1"/>
  <c r="AP219" i="7"/>
  <c r="AP219" i="3" s="1"/>
  <c r="AU80" i="3"/>
  <c r="AU356" i="7"/>
  <c r="AU356" i="3" s="1"/>
  <c r="AU218" i="7"/>
  <c r="AU218" i="3" s="1"/>
  <c r="AE80" i="3"/>
  <c r="AE356" i="7"/>
  <c r="AE356" i="3" s="1"/>
  <c r="AE218" i="7"/>
  <c r="AE218" i="3" s="1"/>
  <c r="AJ79" i="3"/>
  <c r="AJ355" i="7"/>
  <c r="AJ355" i="3" s="1"/>
  <c r="AJ217" i="7"/>
  <c r="AJ217" i="3" s="1"/>
  <c r="AO78" i="3"/>
  <c r="AO354" i="7"/>
  <c r="AO354" i="3" s="1"/>
  <c r="AO216" i="7"/>
  <c r="AO216" i="3" s="1"/>
  <c r="AT353" i="7"/>
  <c r="AT215" i="7"/>
  <c r="AD353" i="7"/>
  <c r="AD215" i="7"/>
  <c r="AI76" i="3"/>
  <c r="AI352" i="7"/>
  <c r="AI352" i="3" s="1"/>
  <c r="AI214" i="7"/>
  <c r="AI214" i="3" s="1"/>
  <c r="AN75" i="3"/>
  <c r="AN351" i="7"/>
  <c r="AN351" i="3" s="1"/>
  <c r="AN213" i="7"/>
  <c r="AN213" i="3" s="1"/>
  <c r="AS74" i="3"/>
  <c r="AS350" i="7"/>
  <c r="AS350" i="3" s="1"/>
  <c r="AS212" i="7"/>
  <c r="AS212" i="3" s="1"/>
  <c r="AC74" i="3"/>
  <c r="AC350" i="7"/>
  <c r="AC350" i="3" s="1"/>
  <c r="AH73" i="3"/>
  <c r="AH349" i="7"/>
  <c r="AH349" i="3" s="1"/>
  <c r="AH211" i="7"/>
  <c r="AH211" i="3" s="1"/>
  <c r="AM72" i="3"/>
  <c r="AM348" i="7"/>
  <c r="AM348" i="3" s="1"/>
  <c r="AM210" i="7"/>
  <c r="AM210" i="3" s="1"/>
  <c r="AR71" i="3"/>
  <c r="AR347" i="7"/>
  <c r="AR347" i="3" s="1"/>
  <c r="AR209" i="7"/>
  <c r="AR209" i="3" s="1"/>
  <c r="AW70" i="3"/>
  <c r="AW346" i="7"/>
  <c r="AW346" i="3" s="1"/>
  <c r="AW208" i="7"/>
  <c r="AW208" i="3" s="1"/>
  <c r="AG70" i="3"/>
  <c r="AG346" i="7"/>
  <c r="AG346" i="3" s="1"/>
  <c r="AG208" i="7"/>
  <c r="AG208" i="3" s="1"/>
  <c r="AL69" i="3"/>
  <c r="AL345" i="7"/>
  <c r="AL345" i="3" s="1"/>
  <c r="AL207" i="7"/>
  <c r="AL207" i="3" s="1"/>
  <c r="AQ68" i="3"/>
  <c r="AQ344" i="7"/>
  <c r="AQ344" i="3" s="1"/>
  <c r="AQ206" i="7"/>
  <c r="AQ206" i="3" s="1"/>
  <c r="AV67" i="3"/>
  <c r="AV343" i="7"/>
  <c r="AV343" i="3" s="1"/>
  <c r="AV205" i="7"/>
  <c r="AV205" i="3" s="1"/>
  <c r="AF67" i="3"/>
  <c r="AF343" i="7"/>
  <c r="AF343" i="3" s="1"/>
  <c r="AF205" i="7"/>
  <c r="AF205" i="3" s="1"/>
  <c r="AK66" i="3"/>
  <c r="AK342" i="7"/>
  <c r="AK342" i="3" s="1"/>
  <c r="AK204" i="7"/>
  <c r="AK204" i="3" s="1"/>
  <c r="AP65" i="3"/>
  <c r="AP341" i="7"/>
  <c r="AP341" i="3" s="1"/>
  <c r="AP203" i="7"/>
  <c r="AP203" i="3" s="1"/>
  <c r="AU64" i="3"/>
  <c r="AU340" i="7"/>
  <c r="AU340" i="3" s="1"/>
  <c r="AU202" i="7"/>
  <c r="AU202" i="3" s="1"/>
  <c r="AE64" i="3"/>
  <c r="AE340" i="7"/>
  <c r="AE340" i="3" s="1"/>
  <c r="AE202" i="7"/>
  <c r="AE202" i="3" s="1"/>
  <c r="AJ63" i="3"/>
  <c r="AJ339" i="7"/>
  <c r="AJ339" i="3" s="1"/>
  <c r="AJ201" i="7"/>
  <c r="AJ201" i="3" s="1"/>
  <c r="AO62" i="3"/>
  <c r="AO338" i="7"/>
  <c r="AO338" i="3" s="1"/>
  <c r="AO200" i="7"/>
  <c r="AO200" i="3" s="1"/>
  <c r="AT61" i="3"/>
  <c r="AT337" i="7"/>
  <c r="AT337" i="3" s="1"/>
  <c r="AT199" i="7"/>
  <c r="AT199" i="3" s="1"/>
  <c r="AD61" i="3"/>
  <c r="AD337" i="7"/>
  <c r="AD337" i="3" s="1"/>
  <c r="AD199" i="7"/>
  <c r="AD199" i="3" s="1"/>
  <c r="AI60" i="3"/>
  <c r="AI336" i="7"/>
  <c r="AI336" i="3" s="1"/>
  <c r="AI198" i="7"/>
  <c r="AI198" i="3" s="1"/>
  <c r="AN59" i="3"/>
  <c r="AN335" i="7"/>
  <c r="AN335" i="3" s="1"/>
  <c r="AN197" i="7"/>
  <c r="AN197" i="3" s="1"/>
  <c r="AS58" i="3"/>
  <c r="AS334" i="7"/>
  <c r="AS334" i="3" s="1"/>
  <c r="AC58" i="3"/>
  <c r="AC334" i="7"/>
  <c r="AC334" i="3" s="1"/>
  <c r="AC196" i="7"/>
  <c r="AC196" i="3" s="1"/>
  <c r="AH57" i="3"/>
  <c r="AH333" i="7"/>
  <c r="AH333" i="3" s="1"/>
  <c r="AH195" i="7"/>
  <c r="AH195" i="3" s="1"/>
  <c r="AM56" i="3"/>
  <c r="AM332" i="7"/>
  <c r="AM332" i="3" s="1"/>
  <c r="AM194" i="7"/>
  <c r="AM194" i="3" s="1"/>
  <c r="AR55" i="3"/>
  <c r="AR331" i="7"/>
  <c r="AR331" i="3" s="1"/>
  <c r="AR193" i="7"/>
  <c r="AR193" i="3" s="1"/>
  <c r="AW54" i="3"/>
  <c r="AW330" i="7"/>
  <c r="AW330" i="3" s="1"/>
  <c r="AW192" i="7"/>
  <c r="AW192" i="3" s="1"/>
  <c r="AG54" i="3"/>
  <c r="AG330" i="7"/>
  <c r="AG330" i="3" s="1"/>
  <c r="AG192" i="7"/>
  <c r="AG192" i="3" s="1"/>
  <c r="AL53" i="3"/>
  <c r="AL329" i="7"/>
  <c r="AL329" i="3" s="1"/>
  <c r="AL191" i="7"/>
  <c r="AL191" i="3" s="1"/>
  <c r="AQ52" i="3"/>
  <c r="AQ328" i="7"/>
  <c r="AQ328" i="3" s="1"/>
  <c r="AQ190" i="7"/>
  <c r="AQ190" i="3" s="1"/>
  <c r="AV51" i="3"/>
  <c r="AV327" i="7"/>
  <c r="AV327" i="3" s="1"/>
  <c r="AV189" i="7"/>
  <c r="AV189" i="3" s="1"/>
  <c r="AF51" i="3"/>
  <c r="AF327" i="7"/>
  <c r="AF327" i="3" s="1"/>
  <c r="AF189" i="7"/>
  <c r="AF189" i="3" s="1"/>
  <c r="AK50" i="3"/>
  <c r="AK326" i="7"/>
  <c r="AK326" i="3" s="1"/>
  <c r="AK188" i="7"/>
  <c r="AK188" i="3" s="1"/>
  <c r="AP49" i="3"/>
  <c r="AP325" i="7"/>
  <c r="AP325" i="3" s="1"/>
  <c r="AP187" i="7"/>
  <c r="AP187" i="3" s="1"/>
  <c r="AU48" i="3"/>
  <c r="AU324" i="7"/>
  <c r="AU324" i="3" s="1"/>
  <c r="AU186" i="7"/>
  <c r="AU186" i="3" s="1"/>
  <c r="AE48" i="3"/>
  <c r="AE324" i="7"/>
  <c r="AE324" i="3" s="1"/>
  <c r="AE186" i="7"/>
  <c r="AE186" i="3" s="1"/>
  <c r="AJ47" i="3"/>
  <c r="AJ323" i="7"/>
  <c r="AJ323" i="3" s="1"/>
  <c r="AJ185" i="7"/>
  <c r="AJ185" i="3" s="1"/>
  <c r="AO46" i="3"/>
  <c r="AO322" i="7"/>
  <c r="AO322" i="3" s="1"/>
  <c r="AO184" i="7"/>
  <c r="AO184" i="3" s="1"/>
  <c r="AT45" i="3"/>
  <c r="AT321" i="7"/>
  <c r="AT321" i="3" s="1"/>
  <c r="AT183" i="7"/>
  <c r="AT183" i="3" s="1"/>
  <c r="AD45" i="3"/>
  <c r="AD321" i="7"/>
  <c r="AD321" i="3" s="1"/>
  <c r="AD183" i="7"/>
  <c r="AD183" i="3" s="1"/>
  <c r="AI44" i="3"/>
  <c r="AI320" i="7"/>
  <c r="AI320" i="3" s="1"/>
  <c r="AI182" i="7"/>
  <c r="AI182" i="3" s="1"/>
  <c r="AN43" i="3"/>
  <c r="AN319" i="7"/>
  <c r="AN319" i="3" s="1"/>
  <c r="AN181" i="7"/>
  <c r="AN181" i="3" s="1"/>
  <c r="AS42" i="3"/>
  <c r="AS318" i="7"/>
  <c r="AS318" i="3" s="1"/>
  <c r="AS180" i="7"/>
  <c r="AS180" i="3" s="1"/>
  <c r="AC42" i="3"/>
  <c r="AC318" i="7"/>
  <c r="AC318" i="3" s="1"/>
  <c r="AC180" i="7"/>
  <c r="AC180" i="3" s="1"/>
  <c r="AH41" i="3"/>
  <c r="AH317" i="7"/>
  <c r="AH317" i="3" s="1"/>
  <c r="AH179" i="7"/>
  <c r="AH179" i="3" s="1"/>
  <c r="AM40" i="3"/>
  <c r="AM316" i="7"/>
  <c r="AM316" i="3" s="1"/>
  <c r="AM178" i="7"/>
  <c r="AM178" i="3" s="1"/>
  <c r="AR39" i="3"/>
  <c r="AR315" i="7"/>
  <c r="AR315" i="3" s="1"/>
  <c r="AR177" i="7"/>
  <c r="AR177" i="3" s="1"/>
  <c r="AW38" i="3"/>
  <c r="AW314" i="7"/>
  <c r="AW314" i="3" s="1"/>
  <c r="AW176" i="7"/>
  <c r="AW176" i="3" s="1"/>
  <c r="AG38" i="3"/>
  <c r="AG314" i="7"/>
  <c r="AG314" i="3" s="1"/>
  <c r="AG176" i="7"/>
  <c r="AG176" i="3" s="1"/>
  <c r="AL37" i="3"/>
  <c r="AL313" i="7"/>
  <c r="AL313" i="3" s="1"/>
  <c r="AL175" i="7"/>
  <c r="AL175" i="3" s="1"/>
  <c r="AQ36" i="3"/>
  <c r="AQ312" i="7"/>
  <c r="AQ312" i="3" s="1"/>
  <c r="AQ174" i="7"/>
  <c r="AQ174" i="3" s="1"/>
  <c r="AX136" i="3"/>
  <c r="AX412" i="7"/>
  <c r="AX412" i="3" s="1"/>
  <c r="AX274" i="7"/>
  <c r="AX274" i="3" s="1"/>
  <c r="AX120" i="3"/>
  <c r="AX396" i="7"/>
  <c r="AX396" i="3" s="1"/>
  <c r="AX258" i="7"/>
  <c r="AX258" i="3" s="1"/>
  <c r="AX104" i="3"/>
  <c r="AX380" i="7"/>
  <c r="AX380" i="3" s="1"/>
  <c r="AX242" i="7"/>
  <c r="AX242" i="3" s="1"/>
  <c r="AX88" i="3"/>
  <c r="AX364" i="7"/>
  <c r="AX364" i="3" s="1"/>
  <c r="AX226" i="7"/>
  <c r="AX226" i="3" s="1"/>
  <c r="AX72" i="3"/>
  <c r="AX348" i="7"/>
  <c r="AX348" i="3" s="1"/>
  <c r="AX210" i="7"/>
  <c r="AX210" i="3" s="1"/>
  <c r="AX56" i="3"/>
  <c r="AX332" i="7"/>
  <c r="AX332" i="3" s="1"/>
  <c r="AX194" i="7"/>
  <c r="AX194" i="3" s="1"/>
  <c r="AX40" i="3"/>
  <c r="AX316" i="7"/>
  <c r="AX316" i="3" s="1"/>
  <c r="AX178" i="7"/>
  <c r="AX178" i="3" s="1"/>
  <c r="AX24" i="3"/>
  <c r="AX300" i="7"/>
  <c r="AX300" i="3" s="1"/>
  <c r="AX162" i="7"/>
  <c r="AX162" i="3" s="1"/>
  <c r="AX8" i="3"/>
  <c r="AX284" i="7"/>
  <c r="AX284" i="3" s="1"/>
  <c r="AX146" i="7"/>
  <c r="AX146" i="3" s="1"/>
  <c r="AJ272" i="7"/>
  <c r="AJ272" i="3" s="1"/>
  <c r="AH270" i="7"/>
  <c r="AH270" i="3" s="1"/>
  <c r="AN266" i="7"/>
  <c r="AH256" i="7"/>
  <c r="AH256" i="3" s="1"/>
  <c r="AJ253" i="7"/>
  <c r="AJ253" i="3" s="1"/>
  <c r="AL250" i="7"/>
  <c r="AL250" i="3" s="1"/>
  <c r="AX246" i="7"/>
  <c r="AX246" i="3" s="1"/>
  <c r="AI243" i="7"/>
  <c r="AI243" i="3" s="1"/>
  <c r="AH238" i="7"/>
  <c r="AH238" i="3" s="1"/>
  <c r="AD212" i="7"/>
  <c r="AD212" i="3" s="1"/>
  <c r="AV134" i="3"/>
  <c r="AV410" i="7"/>
  <c r="AV410" i="3" s="1"/>
  <c r="AV272" i="7"/>
  <c r="AV272" i="3" s="1"/>
  <c r="AF134" i="3"/>
  <c r="AF410" i="7"/>
  <c r="AF410" i="3" s="1"/>
  <c r="AF272" i="7"/>
  <c r="AF272" i="3" s="1"/>
  <c r="AK133" i="3"/>
  <c r="AK409" i="7"/>
  <c r="AK409" i="3" s="1"/>
  <c r="AK271" i="7"/>
  <c r="AK271" i="3" s="1"/>
  <c r="AP132" i="3"/>
  <c r="AP408" i="7"/>
  <c r="AP408" i="3" s="1"/>
  <c r="AP270" i="7"/>
  <c r="AP270" i="3" s="1"/>
  <c r="AU131" i="3"/>
  <c r="AU407" i="7"/>
  <c r="AU407" i="3" s="1"/>
  <c r="AU269" i="7"/>
  <c r="AU269" i="3" s="1"/>
  <c r="AE131" i="3"/>
  <c r="AE407" i="7"/>
  <c r="AE407" i="3" s="1"/>
  <c r="AE269" i="7"/>
  <c r="AE269" i="3" s="1"/>
  <c r="AJ130" i="3"/>
  <c r="AJ406" i="7"/>
  <c r="AJ406" i="3" s="1"/>
  <c r="AO129" i="3"/>
  <c r="AO405" i="7"/>
  <c r="AO405" i="3" s="1"/>
  <c r="AT404" i="7"/>
  <c r="AT266" i="7"/>
  <c r="AD404" i="7"/>
  <c r="AD266" i="7"/>
  <c r="AI127" i="3"/>
  <c r="AI403" i="7"/>
  <c r="AI403" i="3" s="1"/>
  <c r="AI265" i="7"/>
  <c r="AI265" i="3" s="1"/>
  <c r="AN126" i="3"/>
  <c r="AN402" i="7"/>
  <c r="AN402" i="3" s="1"/>
  <c r="AN264" i="7"/>
  <c r="AN264" i="3" s="1"/>
  <c r="AS125" i="3"/>
  <c r="AS401" i="7"/>
  <c r="AS401" i="3" s="1"/>
  <c r="AS263" i="7"/>
  <c r="AS263" i="3" s="1"/>
  <c r="AC125" i="3"/>
  <c r="AC401" i="7"/>
  <c r="AC401" i="3" s="1"/>
  <c r="AC263" i="7"/>
  <c r="AC263" i="3" s="1"/>
  <c r="AH124" i="3"/>
  <c r="AH400" i="7"/>
  <c r="AH400" i="3" s="1"/>
  <c r="AM123" i="3"/>
  <c r="AM399" i="7"/>
  <c r="AM399" i="3" s="1"/>
  <c r="AR122" i="3"/>
  <c r="AR398" i="7"/>
  <c r="AR398" i="3" s="1"/>
  <c r="AR260" i="7"/>
  <c r="AR260" i="3" s="1"/>
  <c r="AW121" i="3"/>
  <c r="AW397" i="7"/>
  <c r="AW397" i="3" s="1"/>
  <c r="AW259" i="7"/>
  <c r="AW259" i="3" s="1"/>
  <c r="AG121" i="3"/>
  <c r="AG397" i="7"/>
  <c r="AG397" i="3" s="1"/>
  <c r="AG259" i="7"/>
  <c r="AG259" i="3" s="1"/>
  <c r="AL120" i="3"/>
  <c r="AL396" i="7"/>
  <c r="AL396" i="3" s="1"/>
  <c r="AQ119" i="3"/>
  <c r="AQ395" i="7"/>
  <c r="AQ395" i="3" s="1"/>
  <c r="AQ257" i="7"/>
  <c r="AQ257" i="3" s="1"/>
  <c r="AV118" i="3"/>
  <c r="AV394" i="7"/>
  <c r="AV394" i="3" s="1"/>
  <c r="AV256" i="7"/>
  <c r="AV256" i="3" s="1"/>
  <c r="AF118" i="3"/>
  <c r="AF394" i="7"/>
  <c r="AF394" i="3" s="1"/>
  <c r="AF256" i="7"/>
  <c r="AF256" i="3" s="1"/>
  <c r="AK117" i="3"/>
  <c r="AK393" i="7"/>
  <c r="AK393" i="3" s="1"/>
  <c r="AK255" i="7"/>
  <c r="AK255" i="3" s="1"/>
  <c r="AP116" i="3"/>
  <c r="AP392" i="7"/>
  <c r="AP392" i="3" s="1"/>
  <c r="AP254" i="7"/>
  <c r="AP254" i="3" s="1"/>
  <c r="AU115" i="3"/>
  <c r="AU391" i="7"/>
  <c r="AU391" i="3" s="1"/>
  <c r="AU253" i="7"/>
  <c r="AU253" i="3" s="1"/>
  <c r="AE115" i="3"/>
  <c r="AE391" i="7"/>
  <c r="AE391" i="3" s="1"/>
  <c r="AE253" i="7"/>
  <c r="AE253" i="3" s="1"/>
  <c r="AJ114" i="3"/>
  <c r="AJ390" i="7"/>
  <c r="AJ390" i="3" s="1"/>
  <c r="AJ252" i="7"/>
  <c r="AJ252" i="3" s="1"/>
  <c r="AO113" i="3"/>
  <c r="AO389" i="7"/>
  <c r="AO389" i="3" s="1"/>
  <c r="AT112" i="3"/>
  <c r="AT388" i="7"/>
  <c r="AT388" i="3" s="1"/>
  <c r="AT250" i="7"/>
  <c r="AT250" i="3" s="1"/>
  <c r="AD112" i="3"/>
  <c r="AD388" i="7"/>
  <c r="AD388" i="3" s="1"/>
  <c r="AD250" i="7"/>
  <c r="AD250" i="3" s="1"/>
  <c r="AI111" i="3"/>
  <c r="AI387" i="7"/>
  <c r="AI387" i="3" s="1"/>
  <c r="AI249" i="7"/>
  <c r="AI249" i="3" s="1"/>
  <c r="AN110" i="3"/>
  <c r="AN386" i="7"/>
  <c r="AN386" i="3" s="1"/>
  <c r="AN248" i="7"/>
  <c r="AN248" i="3" s="1"/>
  <c r="AS109" i="3"/>
  <c r="AS385" i="7"/>
  <c r="AS385" i="3" s="1"/>
  <c r="AS247" i="7"/>
  <c r="AS247" i="3" s="1"/>
  <c r="AC109" i="3"/>
  <c r="AC385" i="7"/>
  <c r="AC385" i="3" s="1"/>
  <c r="AC247" i="7"/>
  <c r="AC247" i="3" s="1"/>
  <c r="AH108" i="3"/>
  <c r="AH384" i="7"/>
  <c r="AH384" i="3" s="1"/>
  <c r="AM107" i="3"/>
  <c r="AM383" i="7"/>
  <c r="AM383" i="3" s="1"/>
  <c r="AR106" i="3"/>
  <c r="AR382" i="7"/>
  <c r="AR382" i="3" s="1"/>
  <c r="AR244" i="7"/>
  <c r="AR244" i="3" s="1"/>
  <c r="AW105" i="3"/>
  <c r="AW381" i="7"/>
  <c r="AW381" i="3" s="1"/>
  <c r="AW243" i="7"/>
  <c r="AW243" i="3" s="1"/>
  <c r="AG105" i="3"/>
  <c r="AG381" i="7"/>
  <c r="AG381" i="3" s="1"/>
  <c r="AG243" i="7"/>
  <c r="AG243" i="3" s="1"/>
  <c r="AL104" i="3"/>
  <c r="AL380" i="7"/>
  <c r="AL380" i="3" s="1"/>
  <c r="AQ103" i="3"/>
  <c r="AQ379" i="7"/>
  <c r="AQ379" i="3" s="1"/>
  <c r="AQ241" i="7"/>
  <c r="AQ241" i="3" s="1"/>
  <c r="AV102" i="3"/>
  <c r="AV378" i="7"/>
  <c r="AV378" i="3" s="1"/>
  <c r="AV240" i="7"/>
  <c r="AV240" i="3" s="1"/>
  <c r="AF102" i="3"/>
  <c r="AF378" i="7"/>
  <c r="AF378" i="3" s="1"/>
  <c r="AF240" i="7"/>
  <c r="AF240" i="3" s="1"/>
  <c r="AK101" i="3"/>
  <c r="AK377" i="7"/>
  <c r="AK377" i="3" s="1"/>
  <c r="AK239" i="7"/>
  <c r="AK239" i="3" s="1"/>
  <c r="AP100" i="3"/>
  <c r="AP376" i="7"/>
  <c r="AP376" i="3" s="1"/>
  <c r="AP238" i="7"/>
  <c r="AP238" i="3" s="1"/>
  <c r="AU99" i="3"/>
  <c r="AU375" i="7"/>
  <c r="AU375" i="3" s="1"/>
  <c r="AU237" i="7"/>
  <c r="AU237" i="3" s="1"/>
  <c r="AE99" i="3"/>
  <c r="AE375" i="7"/>
  <c r="AE375" i="3" s="1"/>
  <c r="AE237" i="7"/>
  <c r="AE237" i="3" s="1"/>
  <c r="AJ98" i="3"/>
  <c r="AJ374" i="7"/>
  <c r="AJ374" i="3" s="1"/>
  <c r="AJ236" i="7"/>
  <c r="AJ236" i="3" s="1"/>
  <c r="AO97" i="3"/>
  <c r="AO373" i="7"/>
  <c r="AO373" i="3" s="1"/>
  <c r="AO235" i="7"/>
  <c r="AO235" i="3" s="1"/>
  <c r="AT96" i="3"/>
  <c r="AT372" i="7"/>
  <c r="AT372" i="3" s="1"/>
  <c r="AT234" i="7"/>
  <c r="AT234" i="3" s="1"/>
  <c r="AD96" i="3"/>
  <c r="AD372" i="7"/>
  <c r="AD372" i="3" s="1"/>
  <c r="AD234" i="7"/>
  <c r="AD234" i="3" s="1"/>
  <c r="AI95" i="3"/>
  <c r="AI371" i="7"/>
  <c r="AI371" i="3" s="1"/>
  <c r="AI233" i="7"/>
  <c r="AI233" i="3" s="1"/>
  <c r="AN94" i="3"/>
  <c r="AN370" i="7"/>
  <c r="AN370" i="3" s="1"/>
  <c r="AN232" i="7"/>
  <c r="AN232" i="3" s="1"/>
  <c r="AS93" i="3"/>
  <c r="AS369" i="7"/>
  <c r="AS369" i="3" s="1"/>
  <c r="AS231" i="7"/>
  <c r="AS231" i="3" s="1"/>
  <c r="AC93" i="3"/>
  <c r="AC369" i="7"/>
  <c r="AC369" i="3" s="1"/>
  <c r="AC231" i="7"/>
  <c r="AC231" i="3" s="1"/>
  <c r="AH92" i="3"/>
  <c r="AH368" i="7"/>
  <c r="AH368" i="3" s="1"/>
  <c r="AH230" i="7"/>
  <c r="AH230" i="3" s="1"/>
  <c r="AM91" i="3"/>
  <c r="AM367" i="7"/>
  <c r="AM367" i="3" s="1"/>
  <c r="AM229" i="7"/>
  <c r="AM229" i="3" s="1"/>
  <c r="AR90" i="3"/>
  <c r="AR366" i="7"/>
  <c r="AR366" i="3" s="1"/>
  <c r="AR228" i="7"/>
  <c r="AR228" i="3" s="1"/>
  <c r="AW365" i="7"/>
  <c r="AW227" i="7"/>
  <c r="AG365" i="7"/>
  <c r="AG227" i="7"/>
  <c r="AL88" i="3"/>
  <c r="AL364" i="7"/>
  <c r="AL364" i="3" s="1"/>
  <c r="AL226" i="7"/>
  <c r="AL226" i="3" s="1"/>
  <c r="AQ87" i="3"/>
  <c r="AQ363" i="7"/>
  <c r="AQ363" i="3" s="1"/>
  <c r="AQ225" i="7"/>
  <c r="AQ225" i="3" s="1"/>
  <c r="AV86" i="3"/>
  <c r="AV362" i="7"/>
  <c r="AV362" i="3" s="1"/>
  <c r="AV224" i="7"/>
  <c r="AV224" i="3" s="1"/>
  <c r="AF86" i="3"/>
  <c r="AF362" i="7"/>
  <c r="AF362" i="3" s="1"/>
  <c r="AF224" i="7"/>
  <c r="AF224" i="3" s="1"/>
  <c r="AK85" i="3"/>
  <c r="AK361" i="7"/>
  <c r="AK361" i="3" s="1"/>
  <c r="AK223" i="7"/>
  <c r="AK223" i="3" s="1"/>
  <c r="AP84" i="3"/>
  <c r="AP360" i="7"/>
  <c r="AP360" i="3" s="1"/>
  <c r="AP222" i="7"/>
  <c r="AP222" i="3" s="1"/>
  <c r="AU83" i="3"/>
  <c r="AU359" i="7"/>
  <c r="AU359" i="3" s="1"/>
  <c r="AU221" i="7"/>
  <c r="AU221" i="3" s="1"/>
  <c r="AE83" i="3"/>
  <c r="AE359" i="7"/>
  <c r="AE359" i="3" s="1"/>
  <c r="AE221" i="7"/>
  <c r="AE221" i="3" s="1"/>
  <c r="AJ82" i="3"/>
  <c r="AJ358" i="7"/>
  <c r="AJ358" i="3" s="1"/>
  <c r="AJ220" i="7"/>
  <c r="AJ220" i="3" s="1"/>
  <c r="AO81" i="3"/>
  <c r="AO357" i="7"/>
  <c r="AO357" i="3" s="1"/>
  <c r="AO219" i="7"/>
  <c r="AO219" i="3" s="1"/>
  <c r="AT80" i="3"/>
  <c r="AT356" i="7"/>
  <c r="AT356" i="3" s="1"/>
  <c r="AT218" i="7"/>
  <c r="AT218" i="3" s="1"/>
  <c r="AD80" i="3"/>
  <c r="AD356" i="7"/>
  <c r="AD356" i="3" s="1"/>
  <c r="AD218" i="7"/>
  <c r="AD218" i="3" s="1"/>
  <c r="AI79" i="3"/>
  <c r="AI355" i="7"/>
  <c r="AI355" i="3" s="1"/>
  <c r="AI217" i="7"/>
  <c r="AI217" i="3" s="1"/>
  <c r="AN78" i="3"/>
  <c r="AN354" i="7"/>
  <c r="AN354" i="3" s="1"/>
  <c r="AN216" i="7"/>
  <c r="AN216" i="3" s="1"/>
  <c r="AS353" i="7"/>
  <c r="AS215" i="7"/>
  <c r="AC353" i="7"/>
  <c r="AC215" i="7"/>
  <c r="AH76" i="3"/>
  <c r="AH352" i="7"/>
  <c r="AH352" i="3" s="1"/>
  <c r="AH214" i="7"/>
  <c r="AH214" i="3" s="1"/>
  <c r="AM75" i="3"/>
  <c r="AM351" i="7"/>
  <c r="AM351" i="3" s="1"/>
  <c r="AM213" i="7"/>
  <c r="AM213" i="3" s="1"/>
  <c r="AR74" i="3"/>
  <c r="AR350" i="7"/>
  <c r="AR350" i="3" s="1"/>
  <c r="AR212" i="7"/>
  <c r="AR212" i="3" s="1"/>
  <c r="AW73" i="3"/>
  <c r="AW349" i="7"/>
  <c r="AW349" i="3" s="1"/>
  <c r="AW211" i="7"/>
  <c r="AW211" i="3" s="1"/>
  <c r="AG73" i="3"/>
  <c r="AG349" i="7"/>
  <c r="AG349" i="3" s="1"/>
  <c r="AG211" i="7"/>
  <c r="AG211" i="3" s="1"/>
  <c r="AL72" i="3"/>
  <c r="AL348" i="7"/>
  <c r="AL348" i="3" s="1"/>
  <c r="AL210" i="7"/>
  <c r="AL210" i="3" s="1"/>
  <c r="AQ71" i="3"/>
  <c r="AQ347" i="7"/>
  <c r="AQ347" i="3" s="1"/>
  <c r="AQ209" i="7"/>
  <c r="AQ209" i="3" s="1"/>
  <c r="AV70" i="3"/>
  <c r="AV346" i="7"/>
  <c r="AV346" i="3" s="1"/>
  <c r="AV208" i="7"/>
  <c r="AV208" i="3" s="1"/>
  <c r="AF70" i="3"/>
  <c r="AF346" i="7"/>
  <c r="AF346" i="3" s="1"/>
  <c r="AF208" i="7"/>
  <c r="AF208" i="3" s="1"/>
  <c r="AK69" i="3"/>
  <c r="AK345" i="7"/>
  <c r="AK345" i="3" s="1"/>
  <c r="AK207" i="7"/>
  <c r="AK207" i="3" s="1"/>
  <c r="AP68" i="3"/>
  <c r="AP344" i="7"/>
  <c r="AP344" i="3" s="1"/>
  <c r="AP206" i="7"/>
  <c r="AP206" i="3" s="1"/>
  <c r="AU67" i="3"/>
  <c r="AU343" i="7"/>
  <c r="AU343" i="3" s="1"/>
  <c r="AU205" i="7"/>
  <c r="AU205" i="3" s="1"/>
  <c r="AE67" i="3"/>
  <c r="AE343" i="7"/>
  <c r="AE343" i="3" s="1"/>
  <c r="AE205" i="7"/>
  <c r="AE205" i="3" s="1"/>
  <c r="AJ66" i="3"/>
  <c r="AJ342" i="7"/>
  <c r="AJ342" i="3" s="1"/>
  <c r="AJ204" i="7"/>
  <c r="AJ204" i="3" s="1"/>
  <c r="AO65" i="3"/>
  <c r="AO341" i="7"/>
  <c r="AO341" i="3" s="1"/>
  <c r="AO203" i="7"/>
  <c r="AO203" i="3" s="1"/>
  <c r="AT64" i="3"/>
  <c r="AT340" i="7"/>
  <c r="AT340" i="3" s="1"/>
  <c r="AT202" i="7"/>
  <c r="AT202" i="3" s="1"/>
  <c r="AD64" i="3"/>
  <c r="AD340" i="7"/>
  <c r="AD340" i="3" s="1"/>
  <c r="AD202" i="7"/>
  <c r="AD202" i="3" s="1"/>
  <c r="AI63" i="3"/>
  <c r="AI339" i="7"/>
  <c r="AI339" i="3" s="1"/>
  <c r="AI201" i="7"/>
  <c r="AI201" i="3" s="1"/>
  <c r="AN62" i="3"/>
  <c r="AN338" i="7"/>
  <c r="AN338" i="3" s="1"/>
  <c r="AN200" i="7"/>
  <c r="AN200" i="3" s="1"/>
  <c r="AS61" i="3"/>
  <c r="AS337" i="7"/>
  <c r="AS337" i="3" s="1"/>
  <c r="AS199" i="7"/>
  <c r="AS199" i="3" s="1"/>
  <c r="AC61" i="3"/>
  <c r="AC337" i="7"/>
  <c r="AC337" i="3" s="1"/>
  <c r="AC199" i="7"/>
  <c r="AC199" i="3" s="1"/>
  <c r="AH60" i="3"/>
  <c r="AH336" i="7"/>
  <c r="AH336" i="3" s="1"/>
  <c r="AH198" i="7"/>
  <c r="AH198" i="3" s="1"/>
  <c r="AM59" i="3"/>
  <c r="AM335" i="7"/>
  <c r="AM335" i="3" s="1"/>
  <c r="AM197" i="7"/>
  <c r="AM197" i="3" s="1"/>
  <c r="AR58" i="3"/>
  <c r="AR334" i="7"/>
  <c r="AR334" i="3" s="1"/>
  <c r="AR196" i="7"/>
  <c r="AR196" i="3" s="1"/>
  <c r="AW57" i="3"/>
  <c r="AW333" i="7"/>
  <c r="AW333" i="3" s="1"/>
  <c r="AW195" i="7"/>
  <c r="AW195" i="3" s="1"/>
  <c r="AG57" i="3"/>
  <c r="AG333" i="7"/>
  <c r="AG333" i="3" s="1"/>
  <c r="AG195" i="7"/>
  <c r="AG195" i="3" s="1"/>
  <c r="AL56" i="3"/>
  <c r="AL332" i="7"/>
  <c r="AL332" i="3" s="1"/>
  <c r="AL194" i="7"/>
  <c r="AL194" i="3" s="1"/>
  <c r="AQ55" i="3"/>
  <c r="AQ331" i="7"/>
  <c r="AQ331" i="3" s="1"/>
  <c r="AQ193" i="7"/>
  <c r="AQ193" i="3" s="1"/>
  <c r="AV54" i="3"/>
  <c r="AV330" i="7"/>
  <c r="AV330" i="3" s="1"/>
  <c r="AV192" i="7"/>
  <c r="AV192" i="3" s="1"/>
  <c r="AF54" i="3"/>
  <c r="AF330" i="7"/>
  <c r="AF330" i="3" s="1"/>
  <c r="AF192" i="7"/>
  <c r="AF192" i="3" s="1"/>
  <c r="AK53" i="3"/>
  <c r="AK329" i="7"/>
  <c r="AK329" i="3" s="1"/>
  <c r="AK191" i="7"/>
  <c r="AK191" i="3" s="1"/>
  <c r="AP52" i="3"/>
  <c r="AP328" i="7"/>
  <c r="AP328" i="3" s="1"/>
  <c r="AP190" i="7"/>
  <c r="AP190" i="3" s="1"/>
  <c r="AU51" i="3"/>
  <c r="AU327" i="7"/>
  <c r="AU327" i="3" s="1"/>
  <c r="AU189" i="7"/>
  <c r="AU189" i="3" s="1"/>
  <c r="AE51" i="3"/>
  <c r="AE327" i="7"/>
  <c r="AE327" i="3" s="1"/>
  <c r="AE189" i="7"/>
  <c r="AE189" i="3" s="1"/>
  <c r="AJ50" i="3"/>
  <c r="AJ326" i="7"/>
  <c r="AJ326" i="3" s="1"/>
  <c r="AJ188" i="7"/>
  <c r="AJ188" i="3" s="1"/>
  <c r="AO49" i="3"/>
  <c r="AO325" i="7"/>
  <c r="AO325" i="3" s="1"/>
  <c r="AO187" i="7"/>
  <c r="AO187" i="3" s="1"/>
  <c r="AT48" i="3"/>
  <c r="AT324" i="7"/>
  <c r="AT324" i="3" s="1"/>
  <c r="AT186" i="7"/>
  <c r="AT186" i="3" s="1"/>
  <c r="AD48" i="3"/>
  <c r="AD324" i="7"/>
  <c r="AD324" i="3" s="1"/>
  <c r="AD186" i="7"/>
  <c r="AD186" i="3" s="1"/>
  <c r="AI47" i="3"/>
  <c r="AI323" i="7"/>
  <c r="AI323" i="3" s="1"/>
  <c r="AI185" i="7"/>
  <c r="AI185" i="3" s="1"/>
  <c r="AN46" i="3"/>
  <c r="AN322" i="7"/>
  <c r="AN322" i="3" s="1"/>
  <c r="AN184" i="7"/>
  <c r="AN184" i="3" s="1"/>
  <c r="AS45" i="3"/>
  <c r="AS321" i="7"/>
  <c r="AS321" i="3" s="1"/>
  <c r="AS183" i="7"/>
  <c r="AS183" i="3" s="1"/>
  <c r="AC45" i="3"/>
  <c r="AC321" i="7"/>
  <c r="AC321" i="3" s="1"/>
  <c r="AC183" i="7"/>
  <c r="AC183" i="3" s="1"/>
  <c r="AH44" i="3"/>
  <c r="AH320" i="7"/>
  <c r="AH320" i="3" s="1"/>
  <c r="AH182" i="7"/>
  <c r="AH182" i="3" s="1"/>
  <c r="AM43" i="3"/>
  <c r="AM319" i="7"/>
  <c r="AM319" i="3" s="1"/>
  <c r="AM181" i="7"/>
  <c r="AM181" i="3" s="1"/>
  <c r="AR42" i="3"/>
  <c r="AR318" i="7"/>
  <c r="AR318" i="3" s="1"/>
  <c r="AR180" i="7"/>
  <c r="AR180" i="3" s="1"/>
  <c r="AW41" i="3"/>
  <c r="AW317" i="7"/>
  <c r="AW317" i="3" s="1"/>
  <c r="AW179" i="7"/>
  <c r="AW179" i="3" s="1"/>
  <c r="AG41" i="3"/>
  <c r="AG317" i="7"/>
  <c r="AG317" i="3" s="1"/>
  <c r="AG179" i="7"/>
  <c r="AG179" i="3" s="1"/>
  <c r="AL40" i="3"/>
  <c r="AL316" i="7"/>
  <c r="AL316" i="3" s="1"/>
  <c r="AL178" i="7"/>
  <c r="AL178" i="3" s="1"/>
  <c r="AQ39" i="3"/>
  <c r="AQ315" i="7"/>
  <c r="AQ315" i="3" s="1"/>
  <c r="AQ177" i="7"/>
  <c r="AQ177" i="3" s="1"/>
  <c r="AV38" i="3"/>
  <c r="AV314" i="7"/>
  <c r="AV314" i="3" s="1"/>
  <c r="AV176" i="7"/>
  <c r="AV176" i="3" s="1"/>
  <c r="AF38" i="3"/>
  <c r="AF314" i="7"/>
  <c r="AF314" i="3" s="1"/>
  <c r="AF176" i="7"/>
  <c r="AF176" i="3" s="1"/>
  <c r="AK37" i="3"/>
  <c r="AK313" i="7"/>
  <c r="AK313" i="3" s="1"/>
  <c r="AK175" i="7"/>
  <c r="AK175" i="3" s="1"/>
  <c r="AP36" i="3"/>
  <c r="AP312" i="7"/>
  <c r="AP312" i="3" s="1"/>
  <c r="AP174" i="7"/>
  <c r="AP174" i="3" s="1"/>
  <c r="AX135" i="3"/>
  <c r="AX411" i="7"/>
  <c r="AX411" i="3" s="1"/>
  <c r="AX273" i="7"/>
  <c r="AX273" i="3" s="1"/>
  <c r="AX119" i="3"/>
  <c r="AX395" i="7"/>
  <c r="AX395" i="3" s="1"/>
  <c r="AX257" i="7"/>
  <c r="AX257" i="3" s="1"/>
  <c r="AX103" i="3"/>
  <c r="AX379" i="7"/>
  <c r="AX379" i="3" s="1"/>
  <c r="AX241" i="7"/>
  <c r="AX241" i="3" s="1"/>
  <c r="AX87" i="3"/>
  <c r="AX363" i="7"/>
  <c r="AX363" i="3" s="1"/>
  <c r="AX225" i="7"/>
  <c r="AX225" i="3" s="1"/>
  <c r="AX71" i="3"/>
  <c r="AX347" i="7"/>
  <c r="AX347" i="3" s="1"/>
  <c r="AX209" i="7"/>
  <c r="AX209" i="3" s="1"/>
  <c r="AX55" i="3"/>
  <c r="AX331" i="7"/>
  <c r="AX331" i="3" s="1"/>
  <c r="AX193" i="7"/>
  <c r="AX193" i="3" s="1"/>
  <c r="AX39" i="3"/>
  <c r="AX315" i="7"/>
  <c r="AX315" i="3" s="1"/>
  <c r="AX177" i="7"/>
  <c r="AX177" i="3" s="1"/>
  <c r="AX23" i="3"/>
  <c r="AX299" i="7"/>
  <c r="AX299" i="3" s="1"/>
  <c r="AX161" i="7"/>
  <c r="AX161" i="3" s="1"/>
  <c r="AX7" i="3"/>
  <c r="AX283" i="7"/>
  <c r="AX283" i="3" s="1"/>
  <c r="AX145" i="7"/>
  <c r="AX145" i="3" s="1"/>
  <c r="AX140" i="7"/>
  <c r="AX140" i="3" s="1"/>
  <c r="AE274" i="7"/>
  <c r="AE274" i="3" s="1"/>
  <c r="AG270" i="7"/>
  <c r="AG270" i="3" s="1"/>
  <c r="AL266" i="7"/>
  <c r="AK264" i="7"/>
  <c r="AK264" i="3" s="1"/>
  <c r="AU258" i="7"/>
  <c r="AU258" i="3" s="1"/>
  <c r="AE250" i="7"/>
  <c r="AE250" i="3" s="1"/>
  <c r="AG238" i="7"/>
  <c r="AG238" i="3" s="1"/>
  <c r="AC212" i="7"/>
  <c r="AC212" i="3" s="1"/>
  <c r="AJ133" i="3"/>
  <c r="AJ409" i="7"/>
  <c r="AJ409" i="3" s="1"/>
  <c r="AJ271" i="7"/>
  <c r="AJ271" i="3" s="1"/>
  <c r="AO132" i="3"/>
  <c r="AO408" i="7"/>
  <c r="AO408" i="3" s="1"/>
  <c r="AO270" i="7"/>
  <c r="AO270" i="3" s="1"/>
  <c r="AT131" i="3"/>
  <c r="AT407" i="7"/>
  <c r="AT407" i="3" s="1"/>
  <c r="AD131" i="3"/>
  <c r="AD407" i="7"/>
  <c r="AD407" i="3" s="1"/>
  <c r="AI130" i="3"/>
  <c r="AI406" i="7"/>
  <c r="AI406" i="3" s="1"/>
  <c r="AN129" i="3"/>
  <c r="AN405" i="7"/>
  <c r="AN405" i="3" s="1"/>
  <c r="AN267" i="7"/>
  <c r="AN267" i="3" s="1"/>
  <c r="AS404" i="7"/>
  <c r="AS266" i="7"/>
  <c r="AC404" i="7"/>
  <c r="AC266" i="7"/>
  <c r="AH127" i="3"/>
  <c r="AH403" i="7"/>
  <c r="AH403" i="3" s="1"/>
  <c r="AH265" i="7"/>
  <c r="AH265" i="3" s="1"/>
  <c r="AM126" i="3"/>
  <c r="AM402" i="7"/>
  <c r="AM402" i="3" s="1"/>
  <c r="AM264" i="7"/>
  <c r="AM264" i="3" s="1"/>
  <c r="AR125" i="3"/>
  <c r="AR401" i="7"/>
  <c r="AR401" i="3" s="1"/>
  <c r="AW124" i="3"/>
  <c r="AW400" i="7"/>
  <c r="AW400" i="3" s="1"/>
  <c r="AG124" i="3"/>
  <c r="AG400" i="7"/>
  <c r="AG400" i="3" s="1"/>
  <c r="AL123" i="3"/>
  <c r="AL399" i="7"/>
  <c r="AL399" i="3" s="1"/>
  <c r="AL261" i="7"/>
  <c r="AL261" i="3" s="1"/>
  <c r="AQ122" i="3"/>
  <c r="AQ398" i="7"/>
  <c r="AQ398" i="3" s="1"/>
  <c r="AQ260" i="7"/>
  <c r="AQ260" i="3" s="1"/>
  <c r="AV121" i="3"/>
  <c r="AV397" i="7"/>
  <c r="AV397" i="3" s="1"/>
  <c r="AF121" i="3"/>
  <c r="AF397" i="7"/>
  <c r="AF397" i="3" s="1"/>
  <c r="AK120" i="3"/>
  <c r="AK396" i="7"/>
  <c r="AK396" i="3" s="1"/>
  <c r="AK258" i="7"/>
  <c r="AK258" i="3" s="1"/>
  <c r="AP119" i="3"/>
  <c r="AP395" i="7"/>
  <c r="AP395" i="3" s="1"/>
  <c r="AP257" i="7"/>
  <c r="AP257" i="3" s="1"/>
  <c r="AU118" i="3"/>
  <c r="AU394" i="7"/>
  <c r="AU394" i="3" s="1"/>
  <c r="AU256" i="7"/>
  <c r="AU256" i="3" s="1"/>
  <c r="AE118" i="3"/>
  <c r="AE394" i="7"/>
  <c r="AE394" i="3" s="1"/>
  <c r="AE256" i="7"/>
  <c r="AE256" i="3" s="1"/>
  <c r="AJ117" i="3"/>
  <c r="AJ393" i="7"/>
  <c r="AJ393" i="3" s="1"/>
  <c r="AJ255" i="7"/>
  <c r="AJ255" i="3" s="1"/>
  <c r="AO116" i="3"/>
  <c r="AO392" i="7"/>
  <c r="AO392" i="3" s="1"/>
  <c r="AO254" i="7"/>
  <c r="AO254" i="3" s="1"/>
  <c r="AT115" i="3"/>
  <c r="AT391" i="7"/>
  <c r="AT391" i="3" s="1"/>
  <c r="AT253" i="7"/>
  <c r="AT253" i="3" s="1"/>
  <c r="AD115" i="3"/>
  <c r="AD391" i="7"/>
  <c r="AD391" i="3" s="1"/>
  <c r="AD253" i="7"/>
  <c r="AD253" i="3" s="1"/>
  <c r="AI114" i="3"/>
  <c r="AI390" i="7"/>
  <c r="AI390" i="3" s="1"/>
  <c r="AN113" i="3"/>
  <c r="AN389" i="7"/>
  <c r="AN389" i="3" s="1"/>
  <c r="AN251" i="7"/>
  <c r="AN251" i="3" s="1"/>
  <c r="AS112" i="3"/>
  <c r="AS388" i="7"/>
  <c r="AS388" i="3" s="1"/>
  <c r="AS250" i="7"/>
  <c r="AS250" i="3" s="1"/>
  <c r="AC112" i="3"/>
  <c r="AC388" i="7"/>
  <c r="AC388" i="3" s="1"/>
  <c r="AC250" i="7"/>
  <c r="AC250" i="3" s="1"/>
  <c r="AH111" i="3"/>
  <c r="AH387" i="7"/>
  <c r="AH387" i="3" s="1"/>
  <c r="AH249" i="7"/>
  <c r="AH249" i="3" s="1"/>
  <c r="AM110" i="3"/>
  <c r="AM386" i="7"/>
  <c r="AM386" i="3" s="1"/>
  <c r="AM248" i="7"/>
  <c r="AM248" i="3" s="1"/>
  <c r="AR109" i="3"/>
  <c r="AR385" i="7"/>
  <c r="AR385" i="3" s="1"/>
  <c r="AW108" i="3"/>
  <c r="AW384" i="7"/>
  <c r="AW384" i="3" s="1"/>
  <c r="AG108" i="3"/>
  <c r="AG384" i="7"/>
  <c r="AG384" i="3" s="1"/>
  <c r="AL107" i="3"/>
  <c r="AL383" i="7"/>
  <c r="AL383" i="3" s="1"/>
  <c r="AL245" i="7"/>
  <c r="AL245" i="3" s="1"/>
  <c r="AQ106" i="3"/>
  <c r="AQ382" i="7"/>
  <c r="AQ382" i="3" s="1"/>
  <c r="AQ244" i="7"/>
  <c r="AQ244" i="3" s="1"/>
  <c r="AV105" i="3"/>
  <c r="AV381" i="7"/>
  <c r="AV381" i="3" s="1"/>
  <c r="AF105" i="3"/>
  <c r="AF381" i="7"/>
  <c r="AF381" i="3" s="1"/>
  <c r="AK104" i="3"/>
  <c r="AK380" i="7"/>
  <c r="AK380" i="3" s="1"/>
  <c r="AK242" i="7"/>
  <c r="AK242" i="3" s="1"/>
  <c r="AP103" i="3"/>
  <c r="AP379" i="7"/>
  <c r="AP379" i="3" s="1"/>
  <c r="AP241" i="7"/>
  <c r="AP241" i="3" s="1"/>
  <c r="AU102" i="3"/>
  <c r="AU378" i="7"/>
  <c r="AU378" i="3" s="1"/>
  <c r="AU240" i="7"/>
  <c r="AU240" i="3" s="1"/>
  <c r="AE102" i="3"/>
  <c r="AE378" i="7"/>
  <c r="AE378" i="3" s="1"/>
  <c r="AE240" i="7"/>
  <c r="AE240" i="3" s="1"/>
  <c r="AJ101" i="3"/>
  <c r="AJ377" i="7"/>
  <c r="AJ377" i="3" s="1"/>
  <c r="AJ239" i="7"/>
  <c r="AJ239" i="3" s="1"/>
  <c r="AO100" i="3"/>
  <c r="AO376" i="7"/>
  <c r="AO376" i="3" s="1"/>
  <c r="AO238" i="7"/>
  <c r="AO238" i="3" s="1"/>
  <c r="AT99" i="3"/>
  <c r="AT375" i="7"/>
  <c r="AT375" i="3" s="1"/>
  <c r="AT237" i="7"/>
  <c r="AT237" i="3" s="1"/>
  <c r="AD99" i="3"/>
  <c r="AD375" i="7"/>
  <c r="AD375" i="3" s="1"/>
  <c r="AD237" i="7"/>
  <c r="AD237" i="3" s="1"/>
  <c r="AI98" i="3"/>
  <c r="AI374" i="7"/>
  <c r="AI374" i="3" s="1"/>
  <c r="AI236" i="7"/>
  <c r="AI236" i="3" s="1"/>
  <c r="AN97" i="3"/>
  <c r="AN373" i="7"/>
  <c r="AN373" i="3" s="1"/>
  <c r="AN235" i="7"/>
  <c r="AN235" i="3" s="1"/>
  <c r="AS96" i="3"/>
  <c r="AS372" i="7"/>
  <c r="AS372" i="3" s="1"/>
  <c r="AS234" i="7"/>
  <c r="AS234" i="3" s="1"/>
  <c r="AC96" i="3"/>
  <c r="AC372" i="7"/>
  <c r="AC372" i="3" s="1"/>
  <c r="AC234" i="7"/>
  <c r="AC234" i="3" s="1"/>
  <c r="AH95" i="3"/>
  <c r="AH371" i="7"/>
  <c r="AH371" i="3" s="1"/>
  <c r="AH233" i="7"/>
  <c r="AH233" i="3" s="1"/>
  <c r="AM94" i="3"/>
  <c r="AM370" i="7"/>
  <c r="AM370" i="3" s="1"/>
  <c r="AM232" i="7"/>
  <c r="AM232" i="3" s="1"/>
  <c r="AR93" i="3"/>
  <c r="AR369" i="7"/>
  <c r="AR369" i="3" s="1"/>
  <c r="AR231" i="7"/>
  <c r="AR231" i="3" s="1"/>
  <c r="AW92" i="3"/>
  <c r="AW368" i="7"/>
  <c r="AW368" i="3" s="1"/>
  <c r="AW230" i="7"/>
  <c r="AW230" i="3" s="1"/>
  <c r="AG92" i="3"/>
  <c r="AG368" i="7"/>
  <c r="AG368" i="3" s="1"/>
  <c r="AL91" i="3"/>
  <c r="AL367" i="7"/>
  <c r="AL367" i="3" s="1"/>
  <c r="AL229" i="7"/>
  <c r="AL229" i="3" s="1"/>
  <c r="AQ90" i="3"/>
  <c r="AQ366" i="7"/>
  <c r="AQ366" i="3" s="1"/>
  <c r="AQ228" i="7"/>
  <c r="AQ228" i="3" s="1"/>
  <c r="AV365" i="7"/>
  <c r="AV227" i="7"/>
  <c r="AK88" i="3"/>
  <c r="AK364" i="7"/>
  <c r="AK364" i="3" s="1"/>
  <c r="AK226" i="7"/>
  <c r="AK226" i="3" s="1"/>
  <c r="AP87" i="3"/>
  <c r="AP363" i="7"/>
  <c r="AP363" i="3" s="1"/>
  <c r="AP225" i="7"/>
  <c r="AP225" i="3" s="1"/>
  <c r="AU86" i="3"/>
  <c r="AU362" i="7"/>
  <c r="AU362" i="3" s="1"/>
  <c r="AU224" i="7"/>
  <c r="AU224" i="3" s="1"/>
  <c r="AE86" i="3"/>
  <c r="AE362" i="7"/>
  <c r="AE362" i="3" s="1"/>
  <c r="AE224" i="7"/>
  <c r="AE224" i="3" s="1"/>
  <c r="AJ85" i="3"/>
  <c r="AJ361" i="7"/>
  <c r="AJ361" i="3" s="1"/>
  <c r="AJ223" i="7"/>
  <c r="AJ223" i="3" s="1"/>
  <c r="AO84" i="3"/>
  <c r="AO360" i="7"/>
  <c r="AO360" i="3" s="1"/>
  <c r="AO222" i="7"/>
  <c r="AO222" i="3" s="1"/>
  <c r="AT83" i="3"/>
  <c r="AT359" i="7"/>
  <c r="AT359" i="3" s="1"/>
  <c r="AT221" i="7"/>
  <c r="AT221" i="3" s="1"/>
  <c r="AD83" i="3"/>
  <c r="AD359" i="7"/>
  <c r="AD359" i="3" s="1"/>
  <c r="AD221" i="7"/>
  <c r="AD221" i="3" s="1"/>
  <c r="AI82" i="3"/>
  <c r="AI358" i="7"/>
  <c r="AI358" i="3" s="1"/>
  <c r="AI220" i="7"/>
  <c r="AI220" i="3" s="1"/>
  <c r="AN81" i="3"/>
  <c r="AN357" i="7"/>
  <c r="AN357" i="3" s="1"/>
  <c r="AN219" i="7"/>
  <c r="AN219" i="3" s="1"/>
  <c r="AS80" i="3"/>
  <c r="AS356" i="7"/>
  <c r="AS356" i="3" s="1"/>
  <c r="AS218" i="7"/>
  <c r="AS218" i="3" s="1"/>
  <c r="AC80" i="3"/>
  <c r="AC356" i="7"/>
  <c r="AC356" i="3" s="1"/>
  <c r="AC218" i="7"/>
  <c r="AC218" i="3" s="1"/>
  <c r="AH79" i="3"/>
  <c r="AH355" i="7"/>
  <c r="AH355" i="3" s="1"/>
  <c r="AH217" i="7"/>
  <c r="AH217" i="3" s="1"/>
  <c r="AM78" i="3"/>
  <c r="AM354" i="7"/>
  <c r="AM354" i="3" s="1"/>
  <c r="AM216" i="7"/>
  <c r="AM216" i="3" s="1"/>
  <c r="AW76" i="3"/>
  <c r="AW352" i="7"/>
  <c r="AW352" i="3" s="1"/>
  <c r="AW214" i="7"/>
  <c r="AW214" i="3" s="1"/>
  <c r="AG76" i="3"/>
  <c r="AG352" i="7"/>
  <c r="AG352" i="3" s="1"/>
  <c r="AG214" i="7"/>
  <c r="AG214" i="3" s="1"/>
  <c r="AL75" i="3"/>
  <c r="AL351" i="7"/>
  <c r="AL351" i="3" s="1"/>
  <c r="AL213" i="7"/>
  <c r="AL213" i="3" s="1"/>
  <c r="AQ74" i="3"/>
  <c r="AQ350" i="7"/>
  <c r="AQ350" i="3" s="1"/>
  <c r="AQ212" i="7"/>
  <c r="AQ212" i="3" s="1"/>
  <c r="AV73" i="3"/>
  <c r="AV349" i="7"/>
  <c r="AV349" i="3" s="1"/>
  <c r="AV211" i="7"/>
  <c r="AV211" i="3" s="1"/>
  <c r="AF73" i="3"/>
  <c r="AF349" i="7"/>
  <c r="AF349" i="3" s="1"/>
  <c r="AF211" i="7"/>
  <c r="AF211" i="3" s="1"/>
  <c r="AK72" i="3"/>
  <c r="AK348" i="7"/>
  <c r="AK348" i="3" s="1"/>
  <c r="AK210" i="7"/>
  <c r="AK210" i="3" s="1"/>
  <c r="AP71" i="3"/>
  <c r="AP347" i="7"/>
  <c r="AP347" i="3" s="1"/>
  <c r="AP209" i="7"/>
  <c r="AP209" i="3" s="1"/>
  <c r="AU70" i="3"/>
  <c r="AU346" i="7"/>
  <c r="AU346" i="3" s="1"/>
  <c r="AU208" i="7"/>
  <c r="AU208" i="3" s="1"/>
  <c r="AE70" i="3"/>
  <c r="AE346" i="7"/>
  <c r="AE346" i="3" s="1"/>
  <c r="AE208" i="7"/>
  <c r="AE208" i="3" s="1"/>
  <c r="AJ69" i="3"/>
  <c r="AJ345" i="7"/>
  <c r="AJ345" i="3" s="1"/>
  <c r="AJ207" i="7"/>
  <c r="AJ207" i="3" s="1"/>
  <c r="AO68" i="3"/>
  <c r="AO344" i="7"/>
  <c r="AO344" i="3" s="1"/>
  <c r="AO206" i="7"/>
  <c r="AO206" i="3" s="1"/>
  <c r="AT67" i="3"/>
  <c r="AT343" i="7"/>
  <c r="AT343" i="3" s="1"/>
  <c r="AT205" i="7"/>
  <c r="AT205" i="3" s="1"/>
  <c r="AD67" i="3"/>
  <c r="AD343" i="7"/>
  <c r="AD343" i="3" s="1"/>
  <c r="AD205" i="7"/>
  <c r="AD205" i="3" s="1"/>
  <c r="AI66" i="3"/>
  <c r="AI342" i="7"/>
  <c r="AI342" i="3" s="1"/>
  <c r="AI204" i="7"/>
  <c r="AI204" i="3" s="1"/>
  <c r="AN65" i="3"/>
  <c r="AN341" i="7"/>
  <c r="AN341" i="3" s="1"/>
  <c r="AN203" i="7"/>
  <c r="AN203" i="3" s="1"/>
  <c r="AS64" i="3"/>
  <c r="AS340" i="7"/>
  <c r="AS340" i="3" s="1"/>
  <c r="AS202" i="7"/>
  <c r="AS202" i="3" s="1"/>
  <c r="AC64" i="3"/>
  <c r="AC340" i="7"/>
  <c r="AC340" i="3" s="1"/>
  <c r="AC202" i="7"/>
  <c r="AC202" i="3" s="1"/>
  <c r="AH63" i="3"/>
  <c r="AH339" i="7"/>
  <c r="AH339" i="3" s="1"/>
  <c r="AH201" i="7"/>
  <c r="AH201" i="3" s="1"/>
  <c r="AM62" i="3"/>
  <c r="AM338" i="7"/>
  <c r="AM338" i="3" s="1"/>
  <c r="AM200" i="7"/>
  <c r="AM200" i="3" s="1"/>
  <c r="AR61" i="3"/>
  <c r="AR337" i="7"/>
  <c r="AR337" i="3" s="1"/>
  <c r="AR199" i="7"/>
  <c r="AR199" i="3" s="1"/>
  <c r="AW60" i="3"/>
  <c r="AW336" i="7"/>
  <c r="AW336" i="3" s="1"/>
  <c r="AW198" i="7"/>
  <c r="AW198" i="3" s="1"/>
  <c r="AG60" i="3"/>
  <c r="AG336" i="7"/>
  <c r="AG336" i="3" s="1"/>
  <c r="AG198" i="7"/>
  <c r="AG198" i="3" s="1"/>
  <c r="AL59" i="3"/>
  <c r="AL335" i="7"/>
  <c r="AL335" i="3" s="1"/>
  <c r="AL197" i="7"/>
  <c r="AL197" i="3" s="1"/>
  <c r="AQ58" i="3"/>
  <c r="AQ334" i="7"/>
  <c r="AQ334" i="3" s="1"/>
  <c r="AQ196" i="7"/>
  <c r="AQ196" i="3" s="1"/>
  <c r="AV57" i="3"/>
  <c r="AV333" i="7"/>
  <c r="AV333" i="3" s="1"/>
  <c r="AV195" i="7"/>
  <c r="AV195" i="3" s="1"/>
  <c r="AF57" i="3"/>
  <c r="AF333" i="7"/>
  <c r="AF333" i="3" s="1"/>
  <c r="AF195" i="7"/>
  <c r="AF195" i="3" s="1"/>
  <c r="AK56" i="3"/>
  <c r="AK332" i="7"/>
  <c r="AK332" i="3" s="1"/>
  <c r="AK194" i="7"/>
  <c r="AK194" i="3" s="1"/>
  <c r="AP55" i="3"/>
  <c r="AP331" i="7"/>
  <c r="AP331" i="3" s="1"/>
  <c r="AP193" i="7"/>
  <c r="AP193" i="3" s="1"/>
  <c r="AU54" i="3"/>
  <c r="AU330" i="7"/>
  <c r="AU330" i="3" s="1"/>
  <c r="AU192" i="7"/>
  <c r="AU192" i="3" s="1"/>
  <c r="AE54" i="3"/>
  <c r="AE330" i="7"/>
  <c r="AE330" i="3" s="1"/>
  <c r="AE192" i="7"/>
  <c r="AE192" i="3" s="1"/>
  <c r="AJ53" i="3"/>
  <c r="AJ329" i="7"/>
  <c r="AJ329" i="3" s="1"/>
  <c r="AJ191" i="7"/>
  <c r="AJ191" i="3" s="1"/>
  <c r="AO52" i="3"/>
  <c r="AO328" i="7"/>
  <c r="AO328" i="3" s="1"/>
  <c r="AO190" i="7"/>
  <c r="AO190" i="3" s="1"/>
  <c r="AT51" i="3"/>
  <c r="AT327" i="7"/>
  <c r="AT327" i="3" s="1"/>
  <c r="AT189" i="7"/>
  <c r="AT189" i="3" s="1"/>
  <c r="AD51" i="3"/>
  <c r="AD327" i="7"/>
  <c r="AD327" i="3" s="1"/>
  <c r="AD189" i="7"/>
  <c r="AD189" i="3" s="1"/>
  <c r="AI50" i="3"/>
  <c r="AI326" i="7"/>
  <c r="AI326" i="3" s="1"/>
  <c r="AI188" i="7"/>
  <c r="AI188" i="3" s="1"/>
  <c r="AN49" i="3"/>
  <c r="AN325" i="7"/>
  <c r="AN325" i="3" s="1"/>
  <c r="AN187" i="7"/>
  <c r="AN187" i="3" s="1"/>
  <c r="AS48" i="3"/>
  <c r="AS324" i="7"/>
  <c r="AS324" i="3" s="1"/>
  <c r="AS186" i="7"/>
  <c r="AS186" i="3" s="1"/>
  <c r="AC48" i="3"/>
  <c r="AC324" i="7"/>
  <c r="AC324" i="3" s="1"/>
  <c r="AC186" i="7"/>
  <c r="AC186" i="3" s="1"/>
  <c r="AH47" i="3"/>
  <c r="AH323" i="7"/>
  <c r="AH323" i="3" s="1"/>
  <c r="AH185" i="7"/>
  <c r="AH185" i="3" s="1"/>
  <c r="AM46" i="3"/>
  <c r="AM322" i="7"/>
  <c r="AM322" i="3" s="1"/>
  <c r="AM184" i="7"/>
  <c r="AM184" i="3" s="1"/>
  <c r="AR45" i="3"/>
  <c r="AR321" i="7"/>
  <c r="AR321" i="3" s="1"/>
  <c r="AR183" i="7"/>
  <c r="AR183" i="3" s="1"/>
  <c r="AW44" i="3"/>
  <c r="AW320" i="7"/>
  <c r="AW320" i="3" s="1"/>
  <c r="AW182" i="7"/>
  <c r="AW182" i="3" s="1"/>
  <c r="AG44" i="3"/>
  <c r="AG320" i="7"/>
  <c r="AG320" i="3" s="1"/>
  <c r="AG182" i="7"/>
  <c r="AG182" i="3" s="1"/>
  <c r="AL43" i="3"/>
  <c r="AL319" i="7"/>
  <c r="AL319" i="3" s="1"/>
  <c r="AL181" i="7"/>
  <c r="AL181" i="3" s="1"/>
  <c r="AQ42" i="3"/>
  <c r="AQ318" i="7"/>
  <c r="AQ318" i="3" s="1"/>
  <c r="AQ180" i="7"/>
  <c r="AQ180" i="3" s="1"/>
  <c r="AV41" i="3"/>
  <c r="AV317" i="7"/>
  <c r="AV317" i="3" s="1"/>
  <c r="AV179" i="7"/>
  <c r="AV179" i="3" s="1"/>
  <c r="AF41" i="3"/>
  <c r="AF317" i="7"/>
  <c r="AF317" i="3" s="1"/>
  <c r="AF179" i="7"/>
  <c r="AF179" i="3" s="1"/>
  <c r="AK40" i="3"/>
  <c r="AK316" i="7"/>
  <c r="AK316" i="3" s="1"/>
  <c r="AK178" i="7"/>
  <c r="AK178" i="3" s="1"/>
  <c r="AP39" i="3"/>
  <c r="AP315" i="7"/>
  <c r="AP315" i="3" s="1"/>
  <c r="AP177" i="7"/>
  <c r="AP177" i="3" s="1"/>
  <c r="AU38" i="3"/>
  <c r="AU314" i="7"/>
  <c r="AU314" i="3" s="1"/>
  <c r="AU176" i="7"/>
  <c r="AU176" i="3" s="1"/>
  <c r="AE38" i="3"/>
  <c r="AE314" i="7"/>
  <c r="AE314" i="3" s="1"/>
  <c r="AE176" i="7"/>
  <c r="AE176" i="3" s="1"/>
  <c r="AJ37" i="3"/>
  <c r="AJ313" i="7"/>
  <c r="AJ313" i="3" s="1"/>
  <c r="AJ175" i="7"/>
  <c r="AJ175" i="3" s="1"/>
  <c r="AO36" i="3"/>
  <c r="AO312" i="7"/>
  <c r="AO312" i="3" s="1"/>
  <c r="AO174" i="7"/>
  <c r="AO174" i="3" s="1"/>
  <c r="AX134" i="3"/>
  <c r="AX410" i="7"/>
  <c r="AX410" i="3" s="1"/>
  <c r="AX118" i="3"/>
  <c r="AX394" i="7"/>
  <c r="AX394" i="3" s="1"/>
  <c r="AX102" i="3"/>
  <c r="AX378" i="7"/>
  <c r="AX378" i="3" s="1"/>
  <c r="AX240" i="7"/>
  <c r="AX240" i="3" s="1"/>
  <c r="AX86" i="3"/>
  <c r="AX362" i="7"/>
  <c r="AX362" i="3" s="1"/>
  <c r="AX224" i="7"/>
  <c r="AX224" i="3" s="1"/>
  <c r="AX70" i="3"/>
  <c r="AX346" i="7"/>
  <c r="AX346" i="3" s="1"/>
  <c r="AX208" i="7"/>
  <c r="AX208" i="3" s="1"/>
  <c r="AX54" i="3"/>
  <c r="AX330" i="7"/>
  <c r="AX330" i="3" s="1"/>
  <c r="AX38" i="3"/>
  <c r="AX314" i="7"/>
  <c r="AX314" i="3" s="1"/>
  <c r="AX176" i="7"/>
  <c r="AX176" i="3" s="1"/>
  <c r="AX22" i="3"/>
  <c r="AX298" i="7"/>
  <c r="AX298" i="3" s="1"/>
  <c r="AX160" i="7"/>
  <c r="AX160" i="3" s="1"/>
  <c r="AX6" i="3"/>
  <c r="AX282" i="7"/>
  <c r="AX282" i="3" s="1"/>
  <c r="AX144" i="7"/>
  <c r="AX144" i="3" s="1"/>
  <c r="AX275" i="7"/>
  <c r="AX275" i="3" s="1"/>
  <c r="AF266" i="7"/>
  <c r="AN261" i="7"/>
  <c r="AN261" i="3" s="1"/>
  <c r="AP258" i="7"/>
  <c r="AP258" i="3" s="1"/>
  <c r="AR255" i="7"/>
  <c r="AR255" i="3" s="1"/>
  <c r="AT252" i="7"/>
  <c r="AT252" i="3" s="1"/>
  <c r="AV249" i="7"/>
  <c r="AV249" i="3" s="1"/>
  <c r="AP242" i="7"/>
  <c r="AP242" i="3" s="1"/>
  <c r="AN237" i="7"/>
  <c r="AN237" i="3" s="1"/>
  <c r="AS228" i="7"/>
  <c r="AS228" i="3" s="1"/>
  <c r="AK208" i="7"/>
  <c r="AK208" i="3" s="1"/>
  <c r="AW111" i="3"/>
  <c r="AW387" i="7"/>
  <c r="AW387" i="3" s="1"/>
  <c r="AW249" i="7"/>
  <c r="AW249" i="3" s="1"/>
  <c r="AG111" i="3"/>
  <c r="AG387" i="7"/>
  <c r="AG387" i="3" s="1"/>
  <c r="AG249" i="7"/>
  <c r="AG249" i="3" s="1"/>
  <c r="AL110" i="3"/>
  <c r="AL386" i="7"/>
  <c r="AL386" i="3" s="1"/>
  <c r="AQ109" i="3"/>
  <c r="AQ385" i="7"/>
  <c r="AQ385" i="3" s="1"/>
  <c r="AV108" i="3"/>
  <c r="AV384" i="7"/>
  <c r="AV384" i="3" s="1"/>
  <c r="AV246" i="7"/>
  <c r="AV246" i="3" s="1"/>
  <c r="AF108" i="3"/>
  <c r="AF384" i="7"/>
  <c r="AF384" i="3" s="1"/>
  <c r="AF246" i="7"/>
  <c r="AF246" i="3" s="1"/>
  <c r="AK107" i="3"/>
  <c r="AK383" i="7"/>
  <c r="AK383" i="3" s="1"/>
  <c r="AK245" i="7"/>
  <c r="AK245" i="3" s="1"/>
  <c r="AP106" i="3"/>
  <c r="AP382" i="7"/>
  <c r="AP382" i="3" s="1"/>
  <c r="AU105" i="3"/>
  <c r="AU381" i="7"/>
  <c r="AU381" i="3" s="1"/>
  <c r="AU243" i="7"/>
  <c r="AU243" i="3" s="1"/>
  <c r="AE105" i="3"/>
  <c r="AE381" i="7"/>
  <c r="AE381" i="3" s="1"/>
  <c r="AE243" i="7"/>
  <c r="AE243" i="3" s="1"/>
  <c r="AJ104" i="3"/>
  <c r="AJ380" i="7"/>
  <c r="AJ380" i="3" s="1"/>
  <c r="AJ242" i="7"/>
  <c r="AJ242" i="3" s="1"/>
  <c r="AO103" i="3"/>
  <c r="AO379" i="7"/>
  <c r="AO379" i="3" s="1"/>
  <c r="AO241" i="7"/>
  <c r="AO241" i="3" s="1"/>
  <c r="AT102" i="3"/>
  <c r="AT378" i="7"/>
  <c r="AT378" i="3" s="1"/>
  <c r="AT240" i="7"/>
  <c r="AT240" i="3" s="1"/>
  <c r="AD102" i="3"/>
  <c r="AD378" i="7"/>
  <c r="AD378" i="3" s="1"/>
  <c r="AD240" i="7"/>
  <c r="AD240" i="3" s="1"/>
  <c r="AI101" i="3"/>
  <c r="AI377" i="7"/>
  <c r="AI377" i="3" s="1"/>
  <c r="AI239" i="7"/>
  <c r="AI239" i="3" s="1"/>
  <c r="AN100" i="3"/>
  <c r="AN376" i="7"/>
  <c r="AN376" i="3" s="1"/>
  <c r="AN238" i="7"/>
  <c r="AN238" i="3" s="1"/>
  <c r="AS99" i="3"/>
  <c r="AS375" i="7"/>
  <c r="AS375" i="3" s="1"/>
  <c r="AS237" i="7"/>
  <c r="AS237" i="3" s="1"/>
  <c r="AC99" i="3"/>
  <c r="AC375" i="7"/>
  <c r="AC375" i="3" s="1"/>
  <c r="AC237" i="7"/>
  <c r="AC237" i="3" s="1"/>
  <c r="AH98" i="3"/>
  <c r="AH374" i="7"/>
  <c r="AH374" i="3" s="1"/>
  <c r="AH236" i="7"/>
  <c r="AH236" i="3" s="1"/>
  <c r="AM97" i="3"/>
  <c r="AM373" i="7"/>
  <c r="AM373" i="3" s="1"/>
  <c r="AM235" i="7"/>
  <c r="AM235" i="3" s="1"/>
  <c r="AR96" i="3"/>
  <c r="AR372" i="7"/>
  <c r="AR372" i="3" s="1"/>
  <c r="AR234" i="7"/>
  <c r="AR234" i="3" s="1"/>
  <c r="AW95" i="3"/>
  <c r="AW371" i="7"/>
  <c r="AW371" i="3" s="1"/>
  <c r="AW233" i="7"/>
  <c r="AW233" i="3" s="1"/>
  <c r="AG95" i="3"/>
  <c r="AG371" i="7"/>
  <c r="AG371" i="3" s="1"/>
  <c r="AG233" i="7"/>
  <c r="AG233" i="3" s="1"/>
  <c r="AL94" i="3"/>
  <c r="AL370" i="7"/>
  <c r="AL370" i="3" s="1"/>
  <c r="AL232" i="7"/>
  <c r="AL232" i="3" s="1"/>
  <c r="AQ93" i="3"/>
  <c r="AQ369" i="7"/>
  <c r="AQ369" i="3" s="1"/>
  <c r="AV92" i="3"/>
  <c r="AV368" i="7"/>
  <c r="AV368" i="3" s="1"/>
  <c r="AV230" i="7"/>
  <c r="AV230" i="3" s="1"/>
  <c r="AF92" i="3"/>
  <c r="AF368" i="7"/>
  <c r="AF368" i="3" s="1"/>
  <c r="AF230" i="7"/>
  <c r="AF230" i="3" s="1"/>
  <c r="AK91" i="3"/>
  <c r="AK367" i="7"/>
  <c r="AK367" i="3" s="1"/>
  <c r="AK229" i="7"/>
  <c r="AK229" i="3" s="1"/>
  <c r="AP90" i="3"/>
  <c r="AP366" i="7"/>
  <c r="AP366" i="3" s="1"/>
  <c r="AU365" i="7"/>
  <c r="AU227" i="7"/>
  <c r="AJ88" i="3"/>
  <c r="AJ364" i="7"/>
  <c r="AJ364" i="3" s="1"/>
  <c r="AJ226" i="7"/>
  <c r="AJ226" i="3" s="1"/>
  <c r="AO87" i="3"/>
  <c r="AO363" i="7"/>
  <c r="AO363" i="3" s="1"/>
  <c r="AO225" i="7"/>
  <c r="AO225" i="3" s="1"/>
  <c r="AT86" i="3"/>
  <c r="AT362" i="7"/>
  <c r="AT362" i="3" s="1"/>
  <c r="AT224" i="7"/>
  <c r="AT224" i="3" s="1"/>
  <c r="AD86" i="3"/>
  <c r="AD362" i="7"/>
  <c r="AD362" i="3" s="1"/>
  <c r="AD224" i="7"/>
  <c r="AD224" i="3" s="1"/>
  <c r="AI85" i="3"/>
  <c r="AI361" i="7"/>
  <c r="AI361" i="3" s="1"/>
  <c r="AI223" i="7"/>
  <c r="AI223" i="3" s="1"/>
  <c r="AN84" i="3"/>
  <c r="AN360" i="7"/>
  <c r="AN360" i="3" s="1"/>
  <c r="AN222" i="7"/>
  <c r="AN222" i="3" s="1"/>
  <c r="AS83" i="3"/>
  <c r="AS359" i="7"/>
  <c r="AS359" i="3" s="1"/>
  <c r="AS221" i="7"/>
  <c r="AS221" i="3" s="1"/>
  <c r="AC83" i="3"/>
  <c r="AC359" i="7"/>
  <c r="AC359" i="3" s="1"/>
  <c r="AC221" i="7"/>
  <c r="AC221" i="3" s="1"/>
  <c r="AH82" i="3"/>
  <c r="AH358" i="7"/>
  <c r="AH358" i="3" s="1"/>
  <c r="AH220" i="7"/>
  <c r="AH220" i="3" s="1"/>
  <c r="AM81" i="3"/>
  <c r="AM357" i="7"/>
  <c r="AM357" i="3" s="1"/>
  <c r="AM219" i="7"/>
  <c r="AM219" i="3" s="1"/>
  <c r="AR80" i="3"/>
  <c r="AR356" i="7"/>
  <c r="AR356" i="3" s="1"/>
  <c r="AR218" i="7"/>
  <c r="AR218" i="3" s="1"/>
  <c r="AW79" i="3"/>
  <c r="AW355" i="7"/>
  <c r="AW355" i="3" s="1"/>
  <c r="AW217" i="7"/>
  <c r="AW217" i="3" s="1"/>
  <c r="AG79" i="3"/>
  <c r="AG355" i="7"/>
  <c r="AG355" i="3" s="1"/>
  <c r="AG217" i="7"/>
  <c r="AG217" i="3" s="1"/>
  <c r="AL78" i="3"/>
  <c r="AL354" i="7"/>
  <c r="AL354" i="3" s="1"/>
  <c r="AL216" i="7"/>
  <c r="AL216" i="3" s="1"/>
  <c r="AQ353" i="7"/>
  <c r="AQ215" i="7"/>
  <c r="AV76" i="3"/>
  <c r="AV352" i="7"/>
  <c r="AV352" i="3" s="1"/>
  <c r="AV214" i="7"/>
  <c r="AV214" i="3" s="1"/>
  <c r="AF76" i="3"/>
  <c r="AF352" i="7"/>
  <c r="AF352" i="3" s="1"/>
  <c r="AF214" i="7"/>
  <c r="AF214" i="3" s="1"/>
  <c r="AK75" i="3"/>
  <c r="AK351" i="7"/>
  <c r="AK351" i="3" s="1"/>
  <c r="AK213" i="7"/>
  <c r="AK213" i="3" s="1"/>
  <c r="AP74" i="3"/>
  <c r="AP350" i="7"/>
  <c r="AP350" i="3" s="1"/>
  <c r="AP212" i="7"/>
  <c r="AP212" i="3" s="1"/>
  <c r="AU73" i="3"/>
  <c r="AU349" i="7"/>
  <c r="AU349" i="3" s="1"/>
  <c r="AU211" i="7"/>
  <c r="AU211" i="3" s="1"/>
  <c r="AE73" i="3"/>
  <c r="AE349" i="7"/>
  <c r="AE349" i="3" s="1"/>
  <c r="AE211" i="7"/>
  <c r="AE211" i="3" s="1"/>
  <c r="AJ72" i="3"/>
  <c r="AJ348" i="7"/>
  <c r="AJ348" i="3" s="1"/>
  <c r="AJ210" i="7"/>
  <c r="AJ210" i="3" s="1"/>
  <c r="AO71" i="3"/>
  <c r="AO347" i="7"/>
  <c r="AO347" i="3" s="1"/>
  <c r="AO209" i="7"/>
  <c r="AO209" i="3" s="1"/>
  <c r="AT70" i="3"/>
  <c r="AT346" i="7"/>
  <c r="AT346" i="3" s="1"/>
  <c r="AT208" i="7"/>
  <c r="AT208" i="3" s="1"/>
  <c r="AD70" i="3"/>
  <c r="AD346" i="7"/>
  <c r="AD346" i="3" s="1"/>
  <c r="AD208" i="7"/>
  <c r="AD208" i="3" s="1"/>
  <c r="AI69" i="3"/>
  <c r="AI345" i="7"/>
  <c r="AI345" i="3" s="1"/>
  <c r="AI207" i="7"/>
  <c r="AI207" i="3" s="1"/>
  <c r="AN68" i="3"/>
  <c r="AN344" i="7"/>
  <c r="AN344" i="3" s="1"/>
  <c r="AN206" i="7"/>
  <c r="AN206" i="3" s="1"/>
  <c r="AS67" i="3"/>
  <c r="AS343" i="7"/>
  <c r="AS343" i="3" s="1"/>
  <c r="AS205" i="7"/>
  <c r="AS205" i="3" s="1"/>
  <c r="AC67" i="3"/>
  <c r="AC343" i="7"/>
  <c r="AC343" i="3" s="1"/>
  <c r="AC205" i="7"/>
  <c r="AC205" i="3" s="1"/>
  <c r="AH66" i="3"/>
  <c r="AH342" i="7"/>
  <c r="AH342" i="3" s="1"/>
  <c r="AH204" i="7"/>
  <c r="AH204" i="3" s="1"/>
  <c r="AM65" i="3"/>
  <c r="AM341" i="7"/>
  <c r="AM341" i="3" s="1"/>
  <c r="AM203" i="7"/>
  <c r="AM203" i="3" s="1"/>
  <c r="AR64" i="3"/>
  <c r="AR340" i="7"/>
  <c r="AR340" i="3" s="1"/>
  <c r="AR202" i="7"/>
  <c r="AR202" i="3" s="1"/>
  <c r="AW63" i="3"/>
  <c r="AW339" i="7"/>
  <c r="AW339" i="3" s="1"/>
  <c r="AW201" i="7"/>
  <c r="AW201" i="3" s="1"/>
  <c r="AG63" i="3"/>
  <c r="AG339" i="7"/>
  <c r="AG339" i="3" s="1"/>
  <c r="AG201" i="7"/>
  <c r="AG201" i="3" s="1"/>
  <c r="AL62" i="3"/>
  <c r="AL338" i="7"/>
  <c r="AL338" i="3" s="1"/>
  <c r="AQ61" i="3"/>
  <c r="AQ337" i="7"/>
  <c r="AQ337" i="3" s="1"/>
  <c r="AQ199" i="7"/>
  <c r="AQ199" i="3" s="1"/>
  <c r="AV60" i="3"/>
  <c r="AV336" i="7"/>
  <c r="AV336" i="3" s="1"/>
  <c r="AV198" i="7"/>
  <c r="AV198" i="3" s="1"/>
  <c r="AF60" i="3"/>
  <c r="AF336" i="7"/>
  <c r="AF336" i="3" s="1"/>
  <c r="AF198" i="7"/>
  <c r="AF198" i="3" s="1"/>
  <c r="AK59" i="3"/>
  <c r="AK335" i="7"/>
  <c r="AK335" i="3" s="1"/>
  <c r="AK197" i="7"/>
  <c r="AK197" i="3" s="1"/>
  <c r="AP58" i="3"/>
  <c r="AP334" i="7"/>
  <c r="AP334" i="3" s="1"/>
  <c r="AU57" i="3"/>
  <c r="AU333" i="7"/>
  <c r="AU333" i="3" s="1"/>
  <c r="AU195" i="7"/>
  <c r="AU195" i="3" s="1"/>
  <c r="AE57" i="3"/>
  <c r="AE333" i="7"/>
  <c r="AE333" i="3" s="1"/>
  <c r="AE195" i="7"/>
  <c r="AE195" i="3" s="1"/>
  <c r="AJ56" i="3"/>
  <c r="AJ332" i="7"/>
  <c r="AJ332" i="3" s="1"/>
  <c r="AJ194" i="7"/>
  <c r="AJ194" i="3" s="1"/>
  <c r="AO55" i="3"/>
  <c r="AO331" i="7"/>
  <c r="AO331" i="3" s="1"/>
  <c r="AO193" i="7"/>
  <c r="AO193" i="3" s="1"/>
  <c r="AT54" i="3"/>
  <c r="AT330" i="7"/>
  <c r="AT330" i="3" s="1"/>
  <c r="AT192" i="7"/>
  <c r="AT192" i="3" s="1"/>
  <c r="AD54" i="3"/>
  <c r="AD330" i="7"/>
  <c r="AD330" i="3" s="1"/>
  <c r="AD192" i="7"/>
  <c r="AD192" i="3" s="1"/>
  <c r="AI53" i="3"/>
  <c r="AI329" i="7"/>
  <c r="AI329" i="3" s="1"/>
  <c r="AI191" i="7"/>
  <c r="AI191" i="3" s="1"/>
  <c r="AN52" i="3"/>
  <c r="AN328" i="7"/>
  <c r="AN328" i="3" s="1"/>
  <c r="AN190" i="7"/>
  <c r="AN190" i="3" s="1"/>
  <c r="AS51" i="3"/>
  <c r="AS327" i="7"/>
  <c r="AS327" i="3" s="1"/>
  <c r="AS189" i="7"/>
  <c r="AS189" i="3" s="1"/>
  <c r="AC51" i="3"/>
  <c r="AC327" i="7"/>
  <c r="AC327" i="3" s="1"/>
  <c r="AC189" i="7"/>
  <c r="AC189" i="3" s="1"/>
  <c r="AH50" i="3"/>
  <c r="AH326" i="7"/>
  <c r="AH326" i="3" s="1"/>
  <c r="AH188" i="7"/>
  <c r="AH188" i="3" s="1"/>
  <c r="AM49" i="3"/>
  <c r="AM325" i="7"/>
  <c r="AM325" i="3" s="1"/>
  <c r="AR48" i="3"/>
  <c r="AR324" i="7"/>
  <c r="AR324" i="3" s="1"/>
  <c r="AR186" i="7"/>
  <c r="AR186" i="3" s="1"/>
  <c r="AW47" i="3"/>
  <c r="AW323" i="7"/>
  <c r="AW323" i="3" s="1"/>
  <c r="AW185" i="7"/>
  <c r="AW185" i="3" s="1"/>
  <c r="AG47" i="3"/>
  <c r="AG323" i="7"/>
  <c r="AG323" i="3" s="1"/>
  <c r="AG185" i="7"/>
  <c r="AG185" i="3" s="1"/>
  <c r="AL46" i="3"/>
  <c r="AL322" i="7"/>
  <c r="AL322" i="3" s="1"/>
  <c r="AL184" i="7"/>
  <c r="AL184" i="3" s="1"/>
  <c r="AQ45" i="3"/>
  <c r="AQ321" i="7"/>
  <c r="AQ321" i="3" s="1"/>
  <c r="AQ183" i="7"/>
  <c r="AQ183" i="3" s="1"/>
  <c r="AV44" i="3"/>
  <c r="AV320" i="7"/>
  <c r="AV320" i="3" s="1"/>
  <c r="AV182" i="7"/>
  <c r="AV182" i="3" s="1"/>
  <c r="AF44" i="3"/>
  <c r="AF320" i="7"/>
  <c r="AF320" i="3" s="1"/>
  <c r="AF182" i="7"/>
  <c r="AF182" i="3" s="1"/>
  <c r="AK43" i="3"/>
  <c r="AK319" i="7"/>
  <c r="AK319" i="3" s="1"/>
  <c r="AK181" i="7"/>
  <c r="AK181" i="3" s="1"/>
  <c r="AP42" i="3"/>
  <c r="AP318" i="7"/>
  <c r="AP318" i="3" s="1"/>
  <c r="AP180" i="7"/>
  <c r="AP180" i="3" s="1"/>
  <c r="AU41" i="3"/>
  <c r="AU317" i="7"/>
  <c r="AU317" i="3" s="1"/>
  <c r="AE41" i="3"/>
  <c r="AE317" i="7"/>
  <c r="AE317" i="3" s="1"/>
  <c r="AE179" i="7"/>
  <c r="AE179" i="3" s="1"/>
  <c r="AJ40" i="3"/>
  <c r="AJ316" i="7"/>
  <c r="AJ316" i="3" s="1"/>
  <c r="AJ178" i="7"/>
  <c r="AJ178" i="3" s="1"/>
  <c r="AO39" i="3"/>
  <c r="AO315" i="7"/>
  <c r="AO315" i="3" s="1"/>
  <c r="AO177" i="7"/>
  <c r="AO177" i="3" s="1"/>
  <c r="AT38" i="3"/>
  <c r="AT314" i="7"/>
  <c r="AT314" i="3" s="1"/>
  <c r="AT176" i="7"/>
  <c r="AT176" i="3" s="1"/>
  <c r="AD38" i="3"/>
  <c r="AD314" i="7"/>
  <c r="AD314" i="3" s="1"/>
  <c r="AD176" i="7"/>
  <c r="AD176" i="3" s="1"/>
  <c r="AI37" i="3"/>
  <c r="AI313" i="7"/>
  <c r="AI313" i="3" s="1"/>
  <c r="AI175" i="7"/>
  <c r="AI175" i="3" s="1"/>
  <c r="AN36" i="3"/>
  <c r="AN312" i="7"/>
  <c r="AN312" i="3" s="1"/>
  <c r="AN174" i="7"/>
  <c r="AN174" i="3" s="1"/>
  <c r="AX133" i="3"/>
  <c r="AX409" i="7"/>
  <c r="AX409" i="3" s="1"/>
  <c r="AX117" i="3"/>
  <c r="AX393" i="7"/>
  <c r="AX393" i="3" s="1"/>
  <c r="AX255" i="7"/>
  <c r="AX255" i="3" s="1"/>
  <c r="AX101" i="3"/>
  <c r="AX377" i="7"/>
  <c r="AX377" i="3" s="1"/>
  <c r="AX239" i="7"/>
  <c r="AX239" i="3" s="1"/>
  <c r="AX85" i="3"/>
  <c r="AX361" i="7"/>
  <c r="AX361" i="3" s="1"/>
  <c r="AX223" i="7"/>
  <c r="AX223" i="3" s="1"/>
  <c r="AX69" i="3"/>
  <c r="AX345" i="7"/>
  <c r="AX345" i="3" s="1"/>
  <c r="AX207" i="7"/>
  <c r="AX207" i="3" s="1"/>
  <c r="AX53" i="3"/>
  <c r="AX329" i="7"/>
  <c r="AX329" i="3" s="1"/>
  <c r="AX191" i="7"/>
  <c r="AX191" i="3" s="1"/>
  <c r="AX37" i="3"/>
  <c r="AX313" i="7"/>
  <c r="AX313" i="3" s="1"/>
  <c r="AX175" i="7"/>
  <c r="AX175" i="3" s="1"/>
  <c r="AX21" i="3"/>
  <c r="AX297" i="7"/>
  <c r="AX297" i="3" s="1"/>
  <c r="AX159" i="7"/>
  <c r="AX159" i="3" s="1"/>
  <c r="AX5" i="3"/>
  <c r="AX281" i="7"/>
  <c r="AX281" i="3" s="1"/>
  <c r="AX143" i="7"/>
  <c r="AX143" i="3" s="1"/>
  <c r="AD270" i="7"/>
  <c r="AD270" i="3" s="1"/>
  <c r="AC268" i="7"/>
  <c r="AC268" i="3" s="1"/>
  <c r="AE266" i="7"/>
  <c r="AH264" i="7"/>
  <c r="AH264" i="3" s="1"/>
  <c r="AM261" i="7"/>
  <c r="AM261" i="3" s="1"/>
  <c r="AO258" i="7"/>
  <c r="AO258" i="3" s="1"/>
  <c r="AQ255" i="7"/>
  <c r="AQ255" i="3" s="1"/>
  <c r="AS252" i="7"/>
  <c r="AS252" i="3" s="1"/>
  <c r="AH246" i="7"/>
  <c r="AH246" i="3" s="1"/>
  <c r="AO242" i="7"/>
  <c r="AO242" i="3" s="1"/>
  <c r="AM237" i="7"/>
  <c r="AM237" i="3" s="1"/>
  <c r="AP228" i="7"/>
  <c r="AP228" i="3" s="1"/>
  <c r="AH208" i="7"/>
  <c r="AH208" i="3" s="1"/>
  <c r="Y2" i="10"/>
  <c r="R170" i="8"/>
  <c r="W151" i="7" s="1"/>
  <c r="W151" i="3" s="1"/>
  <c r="T170" i="8"/>
  <c r="Y151" i="7" s="1"/>
  <c r="Y151" i="3" s="1"/>
  <c r="U170" i="8"/>
  <c r="Z151" i="7" s="1"/>
  <c r="Z151" i="3" s="1"/>
  <c r="W170" i="8"/>
  <c r="AB151" i="7" s="1"/>
  <c r="AB151" i="3" s="1"/>
  <c r="AK170" i="8"/>
  <c r="W289" i="7" s="1"/>
  <c r="W289" i="3" s="1"/>
  <c r="AM170" i="8"/>
  <c r="Y289" i="7" s="1"/>
  <c r="Y289" i="3" s="1"/>
  <c r="AN170" i="8"/>
  <c r="Z289" i="7" s="1"/>
  <c r="Z289" i="3" s="1"/>
  <c r="AP170" i="8"/>
  <c r="AB289" i="7" s="1"/>
  <c r="AB289" i="3" s="1"/>
  <c r="R247" i="8"/>
  <c r="W228" i="7" s="1"/>
  <c r="W228" i="3" s="1"/>
  <c r="T247" i="8"/>
  <c r="Y228" i="7" s="1"/>
  <c r="Y228" i="3" s="1"/>
  <c r="U247" i="8"/>
  <c r="Z228" i="7" s="1"/>
  <c r="Z228" i="3" s="1"/>
  <c r="W247" i="8"/>
  <c r="AB228" i="7" s="1"/>
  <c r="AB228" i="3" s="1"/>
  <c r="AK247" i="8"/>
  <c r="W366" i="7" s="1"/>
  <c r="W366" i="3" s="1"/>
  <c r="AM247" i="8"/>
  <c r="Y366" i="7" s="1"/>
  <c r="Y366" i="3" s="1"/>
  <c r="AN247" i="8"/>
  <c r="Z366" i="7" s="1"/>
  <c r="Z366" i="3" s="1"/>
  <c r="AP247" i="8"/>
  <c r="AB366" i="7" s="1"/>
  <c r="AB366" i="3" s="1"/>
  <c r="R166" i="8"/>
  <c r="W147" i="7" s="1"/>
  <c r="W147" i="3" s="1"/>
  <c r="T166" i="8"/>
  <c r="Y147" i="7" s="1"/>
  <c r="Y147" i="3" s="1"/>
  <c r="U166" i="8"/>
  <c r="Z147" i="7" s="1"/>
  <c r="Z147" i="3" s="1"/>
  <c r="W166" i="8"/>
  <c r="AB147" i="7" s="1"/>
  <c r="AB147" i="3" s="1"/>
  <c r="AK166" i="8"/>
  <c r="W285" i="7" s="1"/>
  <c r="W285" i="3" s="1"/>
  <c r="AM166" i="8"/>
  <c r="Y285" i="7" s="1"/>
  <c r="Y285" i="3" s="1"/>
  <c r="AN166" i="8"/>
  <c r="Z285" i="7" s="1"/>
  <c r="Z285" i="3" s="1"/>
  <c r="AP166" i="8"/>
  <c r="AB285" i="7" s="1"/>
  <c r="AB285" i="3" s="1"/>
  <c r="R213" i="8"/>
  <c r="W194" i="7" s="1"/>
  <c r="W194" i="3" s="1"/>
  <c r="T213" i="8"/>
  <c r="Y194" i="7" s="1"/>
  <c r="Y194" i="3" s="1"/>
  <c r="U213" i="8"/>
  <c r="Z194" i="7" s="1"/>
  <c r="Z194" i="3" s="1"/>
  <c r="W213" i="8"/>
  <c r="AB194" i="7" s="1"/>
  <c r="AB194" i="3" s="1"/>
  <c r="AK213" i="8"/>
  <c r="W332" i="7" s="1"/>
  <c r="W332" i="3" s="1"/>
  <c r="AM213" i="8"/>
  <c r="Y332" i="7" s="1"/>
  <c r="Y332" i="3" s="1"/>
  <c r="AN213" i="8"/>
  <c r="Z332" i="7" s="1"/>
  <c r="Z332" i="3" s="1"/>
  <c r="AP213" i="8"/>
  <c r="AB332" i="7" s="1"/>
  <c r="AB332" i="3" s="1"/>
  <c r="R252" i="8"/>
  <c r="W233" i="7" s="1"/>
  <c r="W233" i="3" s="1"/>
  <c r="T252" i="8"/>
  <c r="Y233" i="7" s="1"/>
  <c r="Y233" i="3" s="1"/>
  <c r="U252" i="8"/>
  <c r="Z233" i="7" s="1"/>
  <c r="Z233" i="3" s="1"/>
  <c r="AK252" i="8"/>
  <c r="W371" i="7" s="1"/>
  <c r="W371" i="3" s="1"/>
  <c r="AM252" i="8"/>
  <c r="Y371" i="7" s="1"/>
  <c r="Y371" i="3" s="1"/>
  <c r="AN252" i="8"/>
  <c r="Z371" i="7" s="1"/>
  <c r="Z371" i="3" s="1"/>
  <c r="R271" i="7"/>
  <c r="R271" i="3" s="1"/>
  <c r="Q127" i="3"/>
  <c r="Q403" i="7"/>
  <c r="Q403" i="3" s="1"/>
  <c r="Q119" i="3"/>
  <c r="Q395" i="7"/>
  <c r="Q395" i="3" s="1"/>
  <c r="Q111" i="3"/>
  <c r="Q387" i="7"/>
  <c r="Q387" i="3" s="1"/>
  <c r="Q103" i="3"/>
  <c r="Q379" i="7"/>
  <c r="Q379" i="3" s="1"/>
  <c r="Q95" i="3"/>
  <c r="Q371" i="7"/>
  <c r="Q371" i="3" s="1"/>
  <c r="Q87" i="3"/>
  <c r="Q363" i="7"/>
  <c r="Q363" i="3" s="1"/>
  <c r="Q71" i="3"/>
  <c r="Q347" i="7"/>
  <c r="Q347" i="3" s="1"/>
  <c r="Q63" i="3"/>
  <c r="Q339" i="7"/>
  <c r="Q339" i="3" s="1"/>
  <c r="Q55" i="3"/>
  <c r="Q331" i="7"/>
  <c r="Q331" i="3" s="1"/>
  <c r="Q47" i="3"/>
  <c r="Q323" i="7"/>
  <c r="Q323" i="3" s="1"/>
  <c r="Q31" i="3"/>
  <c r="Q307" i="7"/>
  <c r="Q307" i="3" s="1"/>
  <c r="Q23" i="3"/>
  <c r="Q299" i="7"/>
  <c r="Q299" i="3" s="1"/>
  <c r="Q15" i="3"/>
  <c r="Q291" i="7"/>
  <c r="Q291" i="3" s="1"/>
  <c r="Q7" i="3"/>
  <c r="Q283" i="7"/>
  <c r="Q283" i="3" s="1"/>
  <c r="R135" i="3"/>
  <c r="R411" i="7"/>
  <c r="R411" i="3" s="1"/>
  <c r="R119" i="3"/>
  <c r="R395" i="7"/>
  <c r="R395" i="3" s="1"/>
  <c r="R111" i="3"/>
  <c r="R387" i="7"/>
  <c r="R387" i="3" s="1"/>
  <c r="R103" i="3"/>
  <c r="R379" i="7"/>
  <c r="R379" i="3" s="1"/>
  <c r="R95" i="3"/>
  <c r="R371" i="7"/>
  <c r="R371" i="3" s="1"/>
  <c r="R233" i="7"/>
  <c r="R233" i="3" s="1"/>
  <c r="R87" i="3"/>
  <c r="R225" i="7"/>
  <c r="R225" i="3" s="1"/>
  <c r="R363" i="7"/>
  <c r="R363" i="3" s="1"/>
  <c r="R79" i="3"/>
  <c r="R217" i="7"/>
  <c r="R217" i="3" s="1"/>
  <c r="R355" i="7"/>
  <c r="R355" i="3" s="1"/>
  <c r="R71" i="3"/>
  <c r="R209" i="7"/>
  <c r="R209" i="3" s="1"/>
  <c r="R347" i="7"/>
  <c r="R347" i="3" s="1"/>
  <c r="R63" i="3"/>
  <c r="R201" i="7"/>
  <c r="R201" i="3" s="1"/>
  <c r="R339" i="7"/>
  <c r="R339" i="3" s="1"/>
  <c r="R55" i="3"/>
  <c r="R331" i="7"/>
  <c r="R331" i="3" s="1"/>
  <c r="R193" i="7"/>
  <c r="R193" i="3" s="1"/>
  <c r="R47" i="3"/>
  <c r="R185" i="7"/>
  <c r="R185" i="3" s="1"/>
  <c r="R323" i="7"/>
  <c r="R323" i="3" s="1"/>
  <c r="R39" i="3"/>
  <c r="R177" i="7"/>
  <c r="R177" i="3" s="1"/>
  <c r="R315" i="7"/>
  <c r="R315" i="3" s="1"/>
  <c r="R31" i="3"/>
  <c r="R307" i="7"/>
  <c r="R307" i="3" s="1"/>
  <c r="R169" i="7"/>
  <c r="R169" i="3" s="1"/>
  <c r="R23" i="3"/>
  <c r="R299" i="7"/>
  <c r="R299" i="3" s="1"/>
  <c r="R161" i="7"/>
  <c r="R161" i="3" s="1"/>
  <c r="R15" i="3"/>
  <c r="R153" i="7"/>
  <c r="R153" i="3" s="1"/>
  <c r="R291" i="7"/>
  <c r="R291" i="3" s="1"/>
  <c r="R7" i="3"/>
  <c r="R145" i="7"/>
  <c r="R145" i="3" s="1"/>
  <c r="U2" i="3"/>
  <c r="U278" i="7"/>
  <c r="U278" i="3" s="1"/>
  <c r="T135" i="3"/>
  <c r="T411" i="7"/>
  <c r="T411" i="3" s="1"/>
  <c r="U132" i="3"/>
  <c r="U408" i="7"/>
  <c r="U408" i="3" s="1"/>
  <c r="T127" i="3"/>
  <c r="T403" i="7"/>
  <c r="T403" i="3" s="1"/>
  <c r="U124" i="3"/>
  <c r="U400" i="7"/>
  <c r="U400" i="3" s="1"/>
  <c r="T119" i="3"/>
  <c r="T395" i="7"/>
  <c r="T395" i="3" s="1"/>
  <c r="U116" i="3"/>
  <c r="U392" i="7"/>
  <c r="U392" i="3" s="1"/>
  <c r="S114" i="3"/>
  <c r="S390" i="7"/>
  <c r="S390" i="3" s="1"/>
  <c r="T111" i="3"/>
  <c r="T387" i="7"/>
  <c r="T387" i="3" s="1"/>
  <c r="U108" i="3"/>
  <c r="U384" i="7"/>
  <c r="U384" i="3" s="1"/>
  <c r="S106" i="3"/>
  <c r="S382" i="7"/>
  <c r="S382" i="3" s="1"/>
  <c r="S244" i="7"/>
  <c r="S244" i="3" s="1"/>
  <c r="T103" i="3"/>
  <c r="T379" i="7"/>
  <c r="T379" i="3" s="1"/>
  <c r="U100" i="3"/>
  <c r="U376" i="7"/>
  <c r="U376" i="3" s="1"/>
  <c r="T95" i="3"/>
  <c r="T371" i="7"/>
  <c r="T371" i="3" s="1"/>
  <c r="T233" i="7"/>
  <c r="T233" i="3" s="1"/>
  <c r="U92" i="3"/>
  <c r="U230" i="7"/>
  <c r="U230" i="3" s="1"/>
  <c r="U368" i="7"/>
  <c r="U368" i="3" s="1"/>
  <c r="S90" i="3"/>
  <c r="S228" i="7"/>
  <c r="S228" i="3" s="1"/>
  <c r="S366" i="7"/>
  <c r="S366" i="3" s="1"/>
  <c r="T87" i="3"/>
  <c r="T363" i="7"/>
  <c r="T363" i="3" s="1"/>
  <c r="T225" i="7"/>
  <c r="T225" i="3" s="1"/>
  <c r="S82" i="3"/>
  <c r="S358" i="7"/>
  <c r="S358" i="3" s="1"/>
  <c r="S220" i="7"/>
  <c r="S220" i="3" s="1"/>
  <c r="T79" i="3"/>
  <c r="T355" i="7"/>
  <c r="T355" i="3" s="1"/>
  <c r="T217" i="7"/>
  <c r="T217" i="3" s="1"/>
  <c r="U76" i="3"/>
  <c r="U352" i="7"/>
  <c r="U352" i="3" s="1"/>
  <c r="U214" i="7"/>
  <c r="U214" i="3" s="1"/>
  <c r="S74" i="3"/>
  <c r="S212" i="7"/>
  <c r="S212" i="3" s="1"/>
  <c r="S350" i="7"/>
  <c r="S350" i="3" s="1"/>
  <c r="T71" i="3"/>
  <c r="T347" i="7"/>
  <c r="T347" i="3" s="1"/>
  <c r="T209" i="7"/>
  <c r="T209" i="3" s="1"/>
  <c r="U68" i="3"/>
  <c r="U344" i="7"/>
  <c r="U344" i="3" s="1"/>
  <c r="S66" i="3"/>
  <c r="S342" i="7"/>
  <c r="S342" i="3" s="1"/>
  <c r="T63" i="3"/>
  <c r="T339" i="7"/>
  <c r="T339" i="3" s="1"/>
  <c r="T201" i="7"/>
  <c r="T201" i="3" s="1"/>
  <c r="U60" i="3"/>
  <c r="U336" i="7"/>
  <c r="U336" i="3" s="1"/>
  <c r="T55" i="3"/>
  <c r="T331" i="7"/>
  <c r="T331" i="3" s="1"/>
  <c r="T193" i="7"/>
  <c r="T193" i="3" s="1"/>
  <c r="U52" i="3"/>
  <c r="U328" i="7"/>
  <c r="U328" i="3" s="1"/>
  <c r="T47" i="3"/>
  <c r="T323" i="7"/>
  <c r="T323" i="3" s="1"/>
  <c r="T185" i="7"/>
  <c r="T185" i="3" s="1"/>
  <c r="U44" i="3"/>
  <c r="U320" i="7"/>
  <c r="U320" i="3" s="1"/>
  <c r="S42" i="3"/>
  <c r="S318" i="7"/>
  <c r="S318" i="3" s="1"/>
  <c r="T39" i="3"/>
  <c r="T315" i="7"/>
  <c r="T315" i="3" s="1"/>
  <c r="T177" i="7"/>
  <c r="T177" i="3" s="1"/>
  <c r="U36" i="3"/>
  <c r="U312" i="7"/>
  <c r="U312" i="3" s="1"/>
  <c r="S34" i="3"/>
  <c r="S310" i="7"/>
  <c r="S310" i="3" s="1"/>
  <c r="T31" i="3"/>
  <c r="T307" i="7"/>
  <c r="T307" i="3" s="1"/>
  <c r="T169" i="7"/>
  <c r="T169" i="3" s="1"/>
  <c r="U28" i="3"/>
  <c r="U304" i="7"/>
  <c r="U304" i="3" s="1"/>
  <c r="S26" i="3"/>
  <c r="S302" i="7"/>
  <c r="S302" i="3" s="1"/>
  <c r="T23" i="3"/>
  <c r="T299" i="7"/>
  <c r="T299" i="3" s="1"/>
  <c r="T161" i="7"/>
  <c r="T161" i="3" s="1"/>
  <c r="U20" i="3"/>
  <c r="U296" i="7"/>
  <c r="U296" i="3" s="1"/>
  <c r="S18" i="3"/>
  <c r="S294" i="7"/>
  <c r="S294" i="3" s="1"/>
  <c r="S156" i="7"/>
  <c r="S156" i="3" s="1"/>
  <c r="T15" i="3"/>
  <c r="T153" i="7"/>
  <c r="T153" i="3" s="1"/>
  <c r="T291" i="7"/>
  <c r="T291" i="3" s="1"/>
  <c r="U12" i="3"/>
  <c r="U288" i="7"/>
  <c r="U288" i="3" s="1"/>
  <c r="U150" i="7"/>
  <c r="U150" i="3" s="1"/>
  <c r="S10" i="3"/>
  <c r="S286" i="7"/>
  <c r="S286" i="3" s="1"/>
  <c r="S148" i="7"/>
  <c r="S148" i="3" s="1"/>
  <c r="T7" i="3"/>
  <c r="T283" i="7"/>
  <c r="T283" i="3" s="1"/>
  <c r="T145" i="7"/>
  <c r="T145" i="3" s="1"/>
  <c r="U4" i="3"/>
  <c r="U280" i="7"/>
  <c r="U280" i="3" s="1"/>
  <c r="U142" i="7"/>
  <c r="U142" i="3" s="1"/>
  <c r="Q273" i="7"/>
  <c r="Q273" i="3" s="1"/>
  <c r="Q265" i="7"/>
  <c r="Q265" i="3" s="1"/>
  <c r="Q257" i="7"/>
  <c r="Q257" i="3" s="1"/>
  <c r="Q249" i="7"/>
  <c r="Q249" i="3" s="1"/>
  <c r="Q241" i="7"/>
  <c r="Q241" i="3" s="1"/>
  <c r="Q233" i="7"/>
  <c r="Q233" i="3" s="1"/>
  <c r="Q225" i="7"/>
  <c r="Q225" i="3" s="1"/>
  <c r="Q217" i="7"/>
  <c r="Q209" i="7"/>
  <c r="Q209" i="3" s="1"/>
  <c r="Q201" i="7"/>
  <c r="Q201" i="3" s="1"/>
  <c r="Q193" i="7"/>
  <c r="Q193" i="3" s="1"/>
  <c r="Q185" i="7"/>
  <c r="Q185" i="3" s="1"/>
  <c r="Q177" i="7"/>
  <c r="Q169" i="7"/>
  <c r="Q169" i="3" s="1"/>
  <c r="Q161" i="7"/>
  <c r="Q161" i="3" s="1"/>
  <c r="Q153" i="7"/>
  <c r="Q153" i="3" s="1"/>
  <c r="Q145" i="7"/>
  <c r="Q145" i="3" s="1"/>
  <c r="S268" i="7"/>
  <c r="S268" i="3" s="1"/>
  <c r="S260" i="7"/>
  <c r="S260" i="3" s="1"/>
  <c r="S252" i="7"/>
  <c r="S252" i="3" s="1"/>
  <c r="R245" i="7"/>
  <c r="R245" i="3" s="1"/>
  <c r="U190" i="7"/>
  <c r="U190" i="3" s="1"/>
  <c r="S180" i="7"/>
  <c r="S180" i="3" s="1"/>
  <c r="U158" i="7"/>
  <c r="U158" i="3" s="1"/>
  <c r="R409" i="7"/>
  <c r="R409" i="3" s="1"/>
  <c r="S398" i="7"/>
  <c r="S398" i="3" s="1"/>
  <c r="U386" i="7"/>
  <c r="U386" i="3" s="1"/>
  <c r="S375" i="7"/>
  <c r="S375" i="3" s="1"/>
  <c r="S363" i="7"/>
  <c r="S363" i="3" s="1"/>
  <c r="Q352" i="7"/>
  <c r="Q352" i="3" s="1"/>
  <c r="Q338" i="7"/>
  <c r="Q338" i="3" s="1"/>
  <c r="Q294" i="7"/>
  <c r="Q294" i="3" s="1"/>
  <c r="Q410" i="7"/>
  <c r="Q410" i="3" s="1"/>
  <c r="Q134" i="3"/>
  <c r="Q126" i="3"/>
  <c r="Q402" i="7"/>
  <c r="Q402" i="3" s="1"/>
  <c r="Q118" i="3"/>
  <c r="Q394" i="7"/>
  <c r="Q394" i="3" s="1"/>
  <c r="Q110" i="3"/>
  <c r="Q386" i="7"/>
  <c r="Q386" i="3" s="1"/>
  <c r="Q94" i="3"/>
  <c r="Q370" i="7"/>
  <c r="Q370" i="3" s="1"/>
  <c r="Q86" i="3"/>
  <c r="Q362" i="7"/>
  <c r="Q362" i="3" s="1"/>
  <c r="Q70" i="3"/>
  <c r="Q346" i="7"/>
  <c r="Q346" i="3" s="1"/>
  <c r="Q46" i="3"/>
  <c r="Q322" i="7"/>
  <c r="Q322" i="3" s="1"/>
  <c r="Q30" i="3"/>
  <c r="Q306" i="7"/>
  <c r="Q306" i="3" s="1"/>
  <c r="Q22" i="3"/>
  <c r="Q298" i="7"/>
  <c r="Q298" i="3" s="1"/>
  <c r="Q14" i="3"/>
  <c r="Q290" i="7"/>
  <c r="Q290" i="3" s="1"/>
  <c r="Q6" i="3"/>
  <c r="Q282" i="7"/>
  <c r="Q282" i="3" s="1"/>
  <c r="R134" i="3"/>
  <c r="R410" i="7"/>
  <c r="R410" i="3" s="1"/>
  <c r="R126" i="3"/>
  <c r="R402" i="7"/>
  <c r="R402" i="3" s="1"/>
  <c r="R118" i="3"/>
  <c r="R394" i="7"/>
  <c r="R394" i="3" s="1"/>
  <c r="R110" i="3"/>
  <c r="R386" i="7"/>
  <c r="R386" i="3" s="1"/>
  <c r="R102" i="3"/>
  <c r="R378" i="7"/>
  <c r="R378" i="3" s="1"/>
  <c r="R240" i="7"/>
  <c r="R240" i="3" s="1"/>
  <c r="R94" i="3"/>
  <c r="R370" i="7"/>
  <c r="R370" i="3" s="1"/>
  <c r="R86" i="3"/>
  <c r="R362" i="7"/>
  <c r="R362" i="3" s="1"/>
  <c r="R224" i="7"/>
  <c r="R224" i="3" s="1"/>
  <c r="R78" i="3"/>
  <c r="R354" i="7"/>
  <c r="R354" i="3" s="1"/>
  <c r="R70" i="3"/>
  <c r="R346" i="7"/>
  <c r="R346" i="3" s="1"/>
  <c r="R208" i="7"/>
  <c r="R208" i="3" s="1"/>
  <c r="R62" i="3"/>
  <c r="R338" i="7"/>
  <c r="R338" i="3" s="1"/>
  <c r="R200" i="7"/>
  <c r="R200" i="3" s="1"/>
  <c r="R54" i="3"/>
  <c r="R330" i="7"/>
  <c r="R330" i="3" s="1"/>
  <c r="R192" i="7"/>
  <c r="R192" i="3" s="1"/>
  <c r="R46" i="3"/>
  <c r="R322" i="7"/>
  <c r="R322" i="3" s="1"/>
  <c r="R184" i="7"/>
  <c r="R184" i="3" s="1"/>
  <c r="R38" i="3"/>
  <c r="R176" i="7"/>
  <c r="R176" i="3" s="1"/>
  <c r="R314" i="7"/>
  <c r="R314" i="3" s="1"/>
  <c r="R30" i="3"/>
  <c r="R306" i="7"/>
  <c r="R306" i="3" s="1"/>
  <c r="R168" i="7"/>
  <c r="R168" i="3" s="1"/>
  <c r="R22" i="3"/>
  <c r="R298" i="7"/>
  <c r="R298" i="3" s="1"/>
  <c r="R160" i="7"/>
  <c r="R160" i="3" s="1"/>
  <c r="R14" i="3"/>
  <c r="R290" i="7"/>
  <c r="R290" i="3" s="1"/>
  <c r="R6" i="3"/>
  <c r="R144" i="7"/>
  <c r="R144" i="3" s="1"/>
  <c r="R282" i="7"/>
  <c r="R282" i="3" s="1"/>
  <c r="T132" i="3"/>
  <c r="T408" i="7"/>
  <c r="T408" i="3" s="1"/>
  <c r="U129" i="3"/>
  <c r="U405" i="7"/>
  <c r="U405" i="3" s="1"/>
  <c r="S127" i="3"/>
  <c r="S403" i="7"/>
  <c r="S403" i="3" s="1"/>
  <c r="T124" i="3"/>
  <c r="T400" i="7"/>
  <c r="T400" i="3" s="1"/>
  <c r="S119" i="3"/>
  <c r="S395" i="7"/>
  <c r="S395" i="3" s="1"/>
  <c r="U113" i="3"/>
  <c r="U389" i="7"/>
  <c r="U389" i="3" s="1"/>
  <c r="S111" i="3"/>
  <c r="S387" i="7"/>
  <c r="S387" i="3" s="1"/>
  <c r="T108" i="3"/>
  <c r="T384" i="7"/>
  <c r="T384" i="3" s="1"/>
  <c r="U105" i="3"/>
  <c r="U381" i="7"/>
  <c r="U381" i="3" s="1"/>
  <c r="S103" i="3"/>
  <c r="S379" i="7"/>
  <c r="S379" i="3" s="1"/>
  <c r="S241" i="7"/>
  <c r="S241" i="3" s="1"/>
  <c r="T100" i="3"/>
  <c r="T376" i="7"/>
  <c r="T376" i="3" s="1"/>
  <c r="U97" i="3"/>
  <c r="U235" i="7"/>
  <c r="U235" i="3" s="1"/>
  <c r="U373" i="7"/>
  <c r="U373" i="3" s="1"/>
  <c r="S95" i="3"/>
  <c r="S371" i="7"/>
  <c r="S371" i="3" s="1"/>
  <c r="S233" i="7"/>
  <c r="S233" i="3" s="1"/>
  <c r="T92" i="3"/>
  <c r="T230" i="7"/>
  <c r="T230" i="3" s="1"/>
  <c r="U89" i="3"/>
  <c r="U365" i="7"/>
  <c r="U365" i="3" s="1"/>
  <c r="U227" i="7"/>
  <c r="U227" i="3" s="1"/>
  <c r="T84" i="3"/>
  <c r="T360" i="7"/>
  <c r="T360" i="3" s="1"/>
  <c r="T222" i="7"/>
  <c r="T222" i="3" s="1"/>
  <c r="U81" i="3"/>
  <c r="U357" i="7"/>
  <c r="U357" i="3" s="1"/>
  <c r="U219" i="7"/>
  <c r="U219" i="3" s="1"/>
  <c r="S79" i="3"/>
  <c r="S355" i="7"/>
  <c r="S355" i="3" s="1"/>
  <c r="S217" i="7"/>
  <c r="S217" i="3" s="1"/>
  <c r="T76" i="3"/>
  <c r="T214" i="7"/>
  <c r="T214" i="3" s="1"/>
  <c r="T352" i="7"/>
  <c r="T352" i="3" s="1"/>
  <c r="U73" i="3"/>
  <c r="U349" i="7"/>
  <c r="U349" i="3" s="1"/>
  <c r="U211" i="7"/>
  <c r="U211" i="3" s="1"/>
  <c r="S71" i="3"/>
  <c r="S347" i="7"/>
  <c r="S347" i="3" s="1"/>
  <c r="S209" i="7"/>
  <c r="S209" i="3" s="1"/>
  <c r="T68" i="3"/>
  <c r="T206" i="7"/>
  <c r="T206" i="3" s="1"/>
  <c r="U65" i="3"/>
  <c r="U341" i="7"/>
  <c r="U341" i="3" s="1"/>
  <c r="S63" i="3"/>
  <c r="S339" i="7"/>
  <c r="S339" i="3" s="1"/>
  <c r="S201" i="7"/>
  <c r="S201" i="3" s="1"/>
  <c r="T60" i="3"/>
  <c r="T336" i="7"/>
  <c r="T336" i="3" s="1"/>
  <c r="T198" i="7"/>
  <c r="T198" i="3" s="1"/>
  <c r="U57" i="3"/>
  <c r="U333" i="7"/>
  <c r="U333" i="3" s="1"/>
  <c r="S55" i="3"/>
  <c r="S331" i="7"/>
  <c r="S331" i="3" s="1"/>
  <c r="S193" i="7"/>
  <c r="S193" i="3" s="1"/>
  <c r="T52" i="3"/>
  <c r="T328" i="7"/>
  <c r="T328" i="3" s="1"/>
  <c r="T190" i="7"/>
  <c r="T190" i="3" s="1"/>
  <c r="U49" i="3"/>
  <c r="U325" i="7"/>
  <c r="U325" i="3" s="1"/>
  <c r="S47" i="3"/>
  <c r="S185" i="7"/>
  <c r="S185" i="3" s="1"/>
  <c r="T44" i="3"/>
  <c r="T320" i="7"/>
  <c r="T320" i="3" s="1"/>
  <c r="T182" i="7"/>
  <c r="T182" i="3" s="1"/>
  <c r="U41" i="3"/>
  <c r="U317" i="7"/>
  <c r="U317" i="3" s="1"/>
  <c r="S39" i="3"/>
  <c r="S177" i="7"/>
  <c r="S177" i="3" s="1"/>
  <c r="T36" i="3"/>
  <c r="T312" i="7"/>
  <c r="T312" i="3" s="1"/>
  <c r="T174" i="7"/>
  <c r="T174" i="3" s="1"/>
  <c r="U33" i="3"/>
  <c r="U309" i="7"/>
  <c r="U309" i="3" s="1"/>
  <c r="S31" i="3"/>
  <c r="S307" i="7"/>
  <c r="S307" i="3" s="1"/>
  <c r="S169" i="7"/>
  <c r="S169" i="3" s="1"/>
  <c r="T28" i="3"/>
  <c r="T304" i="7"/>
  <c r="T304" i="3" s="1"/>
  <c r="T166" i="7"/>
  <c r="T166" i="3" s="1"/>
  <c r="U25" i="3"/>
  <c r="U301" i="7"/>
  <c r="U301" i="3" s="1"/>
  <c r="S23" i="3"/>
  <c r="S161" i="7"/>
  <c r="S161" i="3" s="1"/>
  <c r="S299" i="7"/>
  <c r="S299" i="3" s="1"/>
  <c r="T20" i="3"/>
  <c r="T296" i="7"/>
  <c r="T296" i="3" s="1"/>
  <c r="T158" i="7"/>
  <c r="T158" i="3" s="1"/>
  <c r="U17" i="3"/>
  <c r="U293" i="7"/>
  <c r="U293" i="3" s="1"/>
  <c r="U155" i="7"/>
  <c r="U155" i="3" s="1"/>
  <c r="S15" i="3"/>
  <c r="S153" i="7"/>
  <c r="S153" i="3" s="1"/>
  <c r="S291" i="7"/>
  <c r="S291" i="3" s="1"/>
  <c r="T12" i="3"/>
  <c r="T150" i="7"/>
  <c r="T150" i="3" s="1"/>
  <c r="T288" i="7"/>
  <c r="T288" i="3" s="1"/>
  <c r="U9" i="3"/>
  <c r="U147" i="7"/>
  <c r="U147" i="3" s="1"/>
  <c r="U285" i="7"/>
  <c r="U285" i="3" s="1"/>
  <c r="S7" i="3"/>
  <c r="S283" i="7"/>
  <c r="S283" i="3" s="1"/>
  <c r="S145" i="7"/>
  <c r="S145" i="3" s="1"/>
  <c r="T4" i="3"/>
  <c r="T280" i="7"/>
  <c r="T280" i="3" s="1"/>
  <c r="T142" i="7"/>
  <c r="T142" i="3" s="1"/>
  <c r="Q272" i="7"/>
  <c r="Q272" i="3" s="1"/>
  <c r="Q264" i="7"/>
  <c r="Q264" i="3" s="1"/>
  <c r="Q256" i="7"/>
  <c r="Q256" i="3" s="1"/>
  <c r="Q248" i="7"/>
  <c r="Q248" i="3" s="1"/>
  <c r="Q240" i="7"/>
  <c r="Q240" i="3" s="1"/>
  <c r="Q232" i="7"/>
  <c r="Q232" i="3" s="1"/>
  <c r="Q224" i="7"/>
  <c r="Q224" i="3" s="1"/>
  <c r="Q216" i="7"/>
  <c r="Q216" i="3" s="1"/>
  <c r="Q208" i="7"/>
  <c r="Q208" i="3" s="1"/>
  <c r="Q200" i="7"/>
  <c r="Q200" i="3" s="1"/>
  <c r="Q192" i="7"/>
  <c r="Q192" i="3" s="1"/>
  <c r="Q184" i="7"/>
  <c r="Q184" i="3" s="1"/>
  <c r="Q176" i="7"/>
  <c r="Q168" i="7"/>
  <c r="Q168" i="3" s="1"/>
  <c r="Q160" i="7"/>
  <c r="Q160" i="3" s="1"/>
  <c r="Q152" i="7"/>
  <c r="Q152" i="3" s="1"/>
  <c r="Q144" i="7"/>
  <c r="Q144" i="3" s="1"/>
  <c r="U140" i="7"/>
  <c r="U140" i="3" s="1"/>
  <c r="R272" i="7"/>
  <c r="R272" i="3" s="1"/>
  <c r="R270" i="7"/>
  <c r="R270" i="3" s="1"/>
  <c r="R266" i="7"/>
  <c r="R266" i="3" s="1"/>
  <c r="R264" i="7"/>
  <c r="R264" i="3" s="1"/>
  <c r="R256" i="7"/>
  <c r="R256" i="3" s="1"/>
  <c r="R254" i="7"/>
  <c r="R254" i="3" s="1"/>
  <c r="T241" i="7"/>
  <c r="T241" i="3" s="1"/>
  <c r="S237" i="7"/>
  <c r="S237" i="3" s="1"/>
  <c r="U179" i="7"/>
  <c r="U179" i="3" s="1"/>
  <c r="R408" i="7"/>
  <c r="R408" i="3" s="1"/>
  <c r="U397" i="7"/>
  <c r="U397" i="3" s="1"/>
  <c r="S374" i="7"/>
  <c r="S374" i="3" s="1"/>
  <c r="Q308" i="7"/>
  <c r="Q308" i="3" s="1"/>
  <c r="Q133" i="3"/>
  <c r="Q409" i="7"/>
  <c r="Q409" i="3" s="1"/>
  <c r="Q117" i="3"/>
  <c r="Q393" i="7"/>
  <c r="Q393" i="3" s="1"/>
  <c r="Q109" i="3"/>
  <c r="Q385" i="7"/>
  <c r="Q385" i="3" s="1"/>
  <c r="Q101" i="3"/>
  <c r="Q377" i="7"/>
  <c r="Q377" i="3" s="1"/>
  <c r="Q85" i="3"/>
  <c r="Q361" i="7"/>
  <c r="Q361" i="3" s="1"/>
  <c r="Q77" i="3"/>
  <c r="Q353" i="7"/>
  <c r="Q353" i="3" s="1"/>
  <c r="Q69" i="3"/>
  <c r="Q345" i="7"/>
  <c r="Q345" i="3" s="1"/>
  <c r="Q53" i="3"/>
  <c r="Q329" i="7"/>
  <c r="Q329" i="3" s="1"/>
  <c r="Q45" i="3"/>
  <c r="Q321" i="7"/>
  <c r="Q321" i="3" s="1"/>
  <c r="Q13" i="3"/>
  <c r="Q289" i="7"/>
  <c r="Q289" i="3" s="1"/>
  <c r="Q5" i="3"/>
  <c r="Q281" i="7"/>
  <c r="Q281" i="3" s="1"/>
  <c r="R125" i="3"/>
  <c r="R401" i="7"/>
  <c r="R401" i="3" s="1"/>
  <c r="R117" i="3"/>
  <c r="R393" i="7"/>
  <c r="R393" i="3" s="1"/>
  <c r="R109" i="3"/>
  <c r="R385" i="7"/>
  <c r="R385" i="3" s="1"/>
  <c r="R101" i="3"/>
  <c r="R239" i="7"/>
  <c r="R239" i="3" s="1"/>
  <c r="R377" i="7"/>
  <c r="R377" i="3" s="1"/>
  <c r="R93" i="3"/>
  <c r="R369" i="7"/>
  <c r="R369" i="3" s="1"/>
  <c r="R231" i="7"/>
  <c r="R231" i="3" s="1"/>
  <c r="R85" i="3"/>
  <c r="R223" i="7"/>
  <c r="R223" i="3" s="1"/>
  <c r="R361" i="7"/>
  <c r="R361" i="3" s="1"/>
  <c r="R77" i="3"/>
  <c r="R215" i="7"/>
  <c r="R215" i="3" s="1"/>
  <c r="R353" i="7"/>
  <c r="R353" i="3" s="1"/>
  <c r="R69" i="3"/>
  <c r="R207" i="7"/>
  <c r="R207" i="3" s="1"/>
  <c r="R61" i="3"/>
  <c r="R199" i="7"/>
  <c r="R199" i="3" s="1"/>
  <c r="R53" i="3"/>
  <c r="R329" i="7"/>
  <c r="R329" i="3" s="1"/>
  <c r="R191" i="7"/>
  <c r="R191" i="3" s="1"/>
  <c r="R45" i="3"/>
  <c r="R183" i="7"/>
  <c r="R183" i="3" s="1"/>
  <c r="R321" i="7"/>
  <c r="R321" i="3" s="1"/>
  <c r="R37" i="3"/>
  <c r="R175" i="7"/>
  <c r="R175" i="3" s="1"/>
  <c r="R313" i="7"/>
  <c r="R313" i="3" s="1"/>
  <c r="R29" i="3"/>
  <c r="R305" i="7"/>
  <c r="R305" i="3" s="1"/>
  <c r="R167" i="7"/>
  <c r="R167" i="3" s="1"/>
  <c r="R21" i="3"/>
  <c r="R297" i="7"/>
  <c r="R297" i="3" s="1"/>
  <c r="R159" i="7"/>
  <c r="R159" i="3" s="1"/>
  <c r="R13" i="3"/>
  <c r="R151" i="7"/>
  <c r="R151" i="3" s="1"/>
  <c r="R289" i="7"/>
  <c r="R289" i="3" s="1"/>
  <c r="R5" i="3"/>
  <c r="R143" i="7"/>
  <c r="R143" i="3" s="1"/>
  <c r="R281" i="7"/>
  <c r="R281" i="3" s="1"/>
  <c r="T137" i="3"/>
  <c r="T413" i="7"/>
  <c r="T413" i="3" s="1"/>
  <c r="U134" i="3"/>
  <c r="U410" i="7"/>
  <c r="U410" i="3" s="1"/>
  <c r="S132" i="3"/>
  <c r="S408" i="7"/>
  <c r="S408" i="3" s="1"/>
  <c r="T129" i="3"/>
  <c r="T405" i="7"/>
  <c r="T405" i="3" s="1"/>
  <c r="U126" i="3"/>
  <c r="U402" i="7"/>
  <c r="U402" i="3" s="1"/>
  <c r="S124" i="3"/>
  <c r="S400" i="7"/>
  <c r="S400" i="3" s="1"/>
  <c r="T121" i="3"/>
  <c r="T397" i="7"/>
  <c r="T397" i="3" s="1"/>
  <c r="U118" i="3"/>
  <c r="U394" i="7"/>
  <c r="U394" i="3" s="1"/>
  <c r="S116" i="3"/>
  <c r="S392" i="7"/>
  <c r="S392" i="3" s="1"/>
  <c r="T113" i="3"/>
  <c r="T389" i="7"/>
  <c r="T389" i="3" s="1"/>
  <c r="S108" i="3"/>
  <c r="S384" i="7"/>
  <c r="S384" i="3" s="1"/>
  <c r="S246" i="7"/>
  <c r="S246" i="3" s="1"/>
  <c r="T105" i="3"/>
  <c r="T381" i="7"/>
  <c r="T381" i="3" s="1"/>
  <c r="U102" i="3"/>
  <c r="U378" i="7"/>
  <c r="U378" i="3" s="1"/>
  <c r="S100" i="3"/>
  <c r="S376" i="7"/>
  <c r="S376" i="3" s="1"/>
  <c r="S238" i="7"/>
  <c r="S238" i="3" s="1"/>
  <c r="T97" i="3"/>
  <c r="T235" i="7"/>
  <c r="T235" i="3" s="1"/>
  <c r="T373" i="7"/>
  <c r="T373" i="3" s="1"/>
  <c r="U94" i="3"/>
  <c r="U232" i="7"/>
  <c r="U232" i="3" s="1"/>
  <c r="U370" i="7"/>
  <c r="U370" i="3" s="1"/>
  <c r="S92" i="3"/>
  <c r="S368" i="7"/>
  <c r="S368" i="3" s="1"/>
  <c r="T89" i="3"/>
  <c r="T365" i="7"/>
  <c r="T365" i="3" s="1"/>
  <c r="U86" i="3"/>
  <c r="U224" i="7"/>
  <c r="U224" i="3" s="1"/>
  <c r="S84" i="3"/>
  <c r="S360" i="7"/>
  <c r="S360" i="3" s="1"/>
  <c r="S222" i="7"/>
  <c r="S222" i="3" s="1"/>
  <c r="T81" i="3"/>
  <c r="T219" i="7"/>
  <c r="T219" i="3" s="1"/>
  <c r="U78" i="3"/>
  <c r="U354" i="7"/>
  <c r="U354" i="3" s="1"/>
  <c r="U216" i="7"/>
  <c r="U216" i="3" s="1"/>
  <c r="S76" i="3"/>
  <c r="S352" i="7"/>
  <c r="S352" i="3" s="1"/>
  <c r="T73" i="3"/>
  <c r="T349" i="7"/>
  <c r="T349" i="3" s="1"/>
  <c r="U70" i="3"/>
  <c r="U346" i="7"/>
  <c r="U346" i="3" s="1"/>
  <c r="S68" i="3"/>
  <c r="S344" i="7"/>
  <c r="S344" i="3" s="1"/>
  <c r="T65" i="3"/>
  <c r="T203" i="7"/>
  <c r="T203" i="3" s="1"/>
  <c r="U62" i="3"/>
  <c r="U338" i="7"/>
  <c r="U338" i="3" s="1"/>
  <c r="S60" i="3"/>
  <c r="S336" i="7"/>
  <c r="S336" i="3" s="1"/>
  <c r="T57" i="3"/>
  <c r="T195" i="7"/>
  <c r="T195" i="3" s="1"/>
  <c r="U54" i="3"/>
  <c r="U330" i="7"/>
  <c r="U330" i="3" s="1"/>
  <c r="S52" i="3"/>
  <c r="S328" i="7"/>
  <c r="S328" i="3" s="1"/>
  <c r="T49" i="3"/>
  <c r="T325" i="7"/>
  <c r="T325" i="3" s="1"/>
  <c r="T187" i="7"/>
  <c r="T187" i="3" s="1"/>
  <c r="U46" i="3"/>
  <c r="U322" i="7"/>
  <c r="U322" i="3" s="1"/>
  <c r="S44" i="3"/>
  <c r="S320" i="7"/>
  <c r="S320" i="3" s="1"/>
  <c r="T41" i="3"/>
  <c r="T317" i="7"/>
  <c r="T317" i="3" s="1"/>
  <c r="T179" i="7"/>
  <c r="T179" i="3" s="1"/>
  <c r="U38" i="3"/>
  <c r="U314" i="7"/>
  <c r="U314" i="3" s="1"/>
  <c r="T33" i="3"/>
  <c r="T309" i="7"/>
  <c r="T309" i="3" s="1"/>
  <c r="T171" i="7"/>
  <c r="T171" i="3" s="1"/>
  <c r="U30" i="3"/>
  <c r="U306" i="7"/>
  <c r="U306" i="3" s="1"/>
  <c r="T25" i="3"/>
  <c r="T301" i="7"/>
  <c r="T301" i="3" s="1"/>
  <c r="T163" i="7"/>
  <c r="T163" i="3" s="1"/>
  <c r="U22" i="3"/>
  <c r="U298" i="7"/>
  <c r="U298" i="3" s="1"/>
  <c r="S20" i="3"/>
  <c r="S296" i="7"/>
  <c r="S296" i="3" s="1"/>
  <c r="T17" i="3"/>
  <c r="T293" i="7"/>
  <c r="T293" i="3" s="1"/>
  <c r="U14" i="3"/>
  <c r="U152" i="7"/>
  <c r="U152" i="3" s="1"/>
  <c r="U290" i="7"/>
  <c r="U290" i="3" s="1"/>
  <c r="S12" i="3"/>
  <c r="S150" i="7"/>
  <c r="S150" i="3" s="1"/>
  <c r="S288" i="7"/>
  <c r="S288" i="3" s="1"/>
  <c r="T9" i="3"/>
  <c r="T285" i="7"/>
  <c r="T285" i="3" s="1"/>
  <c r="T147" i="7"/>
  <c r="T147" i="3" s="1"/>
  <c r="U6" i="3"/>
  <c r="U144" i="7"/>
  <c r="U144" i="3" s="1"/>
  <c r="U282" i="7"/>
  <c r="U282" i="3" s="1"/>
  <c r="S4" i="3"/>
  <c r="S280" i="7"/>
  <c r="S280" i="3" s="1"/>
  <c r="Q271" i="7"/>
  <c r="Q271" i="3" s="1"/>
  <c r="Q263" i="7"/>
  <c r="Q263" i="3" s="1"/>
  <c r="Q255" i="7"/>
  <c r="Q255" i="3" s="1"/>
  <c r="Q247" i="7"/>
  <c r="Q247" i="3" s="1"/>
  <c r="Q239" i="7"/>
  <c r="Q239" i="3" s="1"/>
  <c r="Q231" i="7"/>
  <c r="Q231" i="3" s="1"/>
  <c r="Q223" i="7"/>
  <c r="Q223" i="3" s="1"/>
  <c r="Q215" i="7"/>
  <c r="Q215" i="3" s="1"/>
  <c r="Q207" i="7"/>
  <c r="Q207" i="3" s="1"/>
  <c r="Q199" i="7"/>
  <c r="Q191" i="7"/>
  <c r="Q191" i="3" s="1"/>
  <c r="Q183" i="7"/>
  <c r="Q183" i="3" s="1"/>
  <c r="Q175" i="7"/>
  <c r="Q167" i="7"/>
  <c r="Q159" i="7"/>
  <c r="Q159" i="3" s="1"/>
  <c r="Q151" i="7"/>
  <c r="Q151" i="3" s="1"/>
  <c r="Q143" i="7"/>
  <c r="Q143" i="3" s="1"/>
  <c r="U275" i="7"/>
  <c r="U275" i="3" s="1"/>
  <c r="U267" i="7"/>
  <c r="U267" i="3" s="1"/>
  <c r="U259" i="7"/>
  <c r="U259" i="3" s="1"/>
  <c r="U257" i="7"/>
  <c r="U257" i="3" s="1"/>
  <c r="U251" i="7"/>
  <c r="U251" i="3" s="1"/>
  <c r="R241" i="7"/>
  <c r="R241" i="3" s="1"/>
  <c r="U198" i="7"/>
  <c r="U198" i="3" s="1"/>
  <c r="S188" i="7"/>
  <c r="S188" i="3" s="1"/>
  <c r="U166" i="7"/>
  <c r="U166" i="3" s="1"/>
  <c r="S406" i="7"/>
  <c r="S406" i="3" s="1"/>
  <c r="U395" i="7"/>
  <c r="U395" i="3" s="1"/>
  <c r="T383" i="7"/>
  <c r="T383" i="3" s="1"/>
  <c r="U360" i="7"/>
  <c r="U360" i="3" s="1"/>
  <c r="S334" i="7"/>
  <c r="S334" i="3" s="1"/>
  <c r="Q132" i="3"/>
  <c r="Q408" i="7"/>
  <c r="Q408" i="3" s="1"/>
  <c r="Q124" i="3"/>
  <c r="Q400" i="7"/>
  <c r="Q400" i="3" s="1"/>
  <c r="Q116" i="3"/>
  <c r="Q392" i="7"/>
  <c r="Q392" i="3" s="1"/>
  <c r="Q108" i="3"/>
  <c r="Q384" i="7"/>
  <c r="Q384" i="3" s="1"/>
  <c r="Q100" i="3"/>
  <c r="Q376" i="7"/>
  <c r="Q376" i="3" s="1"/>
  <c r="Q92" i="3"/>
  <c r="Q368" i="7"/>
  <c r="Q368" i="3" s="1"/>
  <c r="Q68" i="3"/>
  <c r="Q344" i="7"/>
  <c r="Q344" i="3" s="1"/>
  <c r="Q60" i="3"/>
  <c r="Q336" i="7"/>
  <c r="Q336" i="3" s="1"/>
  <c r="Q44" i="3"/>
  <c r="Q320" i="7"/>
  <c r="Q320" i="3" s="1"/>
  <c r="Q36" i="3"/>
  <c r="Q312" i="7"/>
  <c r="Q312" i="3" s="1"/>
  <c r="Q28" i="3"/>
  <c r="Q304" i="7"/>
  <c r="Q304" i="3" s="1"/>
  <c r="Q20" i="3"/>
  <c r="Q296" i="7"/>
  <c r="Q296" i="3" s="1"/>
  <c r="Q12" i="3"/>
  <c r="Q288" i="7"/>
  <c r="Q288" i="3" s="1"/>
  <c r="Q4" i="3"/>
  <c r="Q280" i="7"/>
  <c r="Q280" i="3" s="1"/>
  <c r="R124" i="3"/>
  <c r="R400" i="7"/>
  <c r="R400" i="3" s="1"/>
  <c r="R108" i="3"/>
  <c r="R384" i="7"/>
  <c r="R384" i="3" s="1"/>
  <c r="R246" i="7"/>
  <c r="R246" i="3" s="1"/>
  <c r="R100" i="3"/>
  <c r="R376" i="7"/>
  <c r="R376" i="3" s="1"/>
  <c r="R238" i="7"/>
  <c r="R238" i="3" s="1"/>
  <c r="R92" i="3"/>
  <c r="R368" i="7"/>
  <c r="R368" i="3" s="1"/>
  <c r="R230" i="7"/>
  <c r="R230" i="3" s="1"/>
  <c r="R84" i="3"/>
  <c r="R360" i="7"/>
  <c r="R360" i="3" s="1"/>
  <c r="R222" i="7"/>
  <c r="R222" i="3" s="1"/>
  <c r="R76" i="3"/>
  <c r="R352" i="7"/>
  <c r="R352" i="3" s="1"/>
  <c r="R214" i="7"/>
  <c r="R214" i="3" s="1"/>
  <c r="R68" i="3"/>
  <c r="R344" i="7"/>
  <c r="R344" i="3" s="1"/>
  <c r="R206" i="7"/>
  <c r="R206" i="3" s="1"/>
  <c r="R60" i="3"/>
  <c r="R336" i="7"/>
  <c r="R336" i="3" s="1"/>
  <c r="R198" i="7"/>
  <c r="R198" i="3" s="1"/>
  <c r="R52" i="3"/>
  <c r="R328" i="7"/>
  <c r="R328" i="3" s="1"/>
  <c r="R190" i="7"/>
  <c r="R190" i="3" s="1"/>
  <c r="R44" i="3"/>
  <c r="R320" i="7"/>
  <c r="R320" i="3" s="1"/>
  <c r="R182" i="7"/>
  <c r="R182" i="3" s="1"/>
  <c r="R36" i="3"/>
  <c r="R174" i="7"/>
  <c r="R174" i="3" s="1"/>
  <c r="R312" i="7"/>
  <c r="R312" i="3" s="1"/>
  <c r="R28" i="3"/>
  <c r="R304" i="7"/>
  <c r="R304" i="3" s="1"/>
  <c r="R166" i="7"/>
  <c r="R166" i="3" s="1"/>
  <c r="R20" i="3"/>
  <c r="R296" i="7"/>
  <c r="R296" i="3" s="1"/>
  <c r="R158" i="7"/>
  <c r="R158" i="3" s="1"/>
  <c r="R12" i="3"/>
  <c r="R288" i="7"/>
  <c r="R288" i="3" s="1"/>
  <c r="R150" i="7"/>
  <c r="R150" i="3" s="1"/>
  <c r="R4" i="3"/>
  <c r="R280" i="7"/>
  <c r="R280" i="3" s="1"/>
  <c r="R142" i="7"/>
  <c r="R142" i="3" s="1"/>
  <c r="S137" i="3"/>
  <c r="S413" i="7"/>
  <c r="S413" i="3" s="1"/>
  <c r="T134" i="3"/>
  <c r="T410" i="7"/>
  <c r="T410" i="3" s="1"/>
  <c r="U131" i="3"/>
  <c r="U407" i="7"/>
  <c r="U407" i="3" s="1"/>
  <c r="S129" i="3"/>
  <c r="S405" i="7"/>
  <c r="S405" i="3" s="1"/>
  <c r="T126" i="3"/>
  <c r="T402" i="7"/>
  <c r="T402" i="3" s="1"/>
  <c r="U123" i="3"/>
  <c r="U399" i="7"/>
  <c r="U399" i="3" s="1"/>
  <c r="S121" i="3"/>
  <c r="S397" i="7"/>
  <c r="S397" i="3" s="1"/>
  <c r="U115" i="3"/>
  <c r="U391" i="7"/>
  <c r="U391" i="3" s="1"/>
  <c r="S113" i="3"/>
  <c r="S389" i="7"/>
  <c r="S389" i="3" s="1"/>
  <c r="T110" i="3"/>
  <c r="T386" i="7"/>
  <c r="T386" i="3" s="1"/>
  <c r="U107" i="3"/>
  <c r="U383" i="7"/>
  <c r="U383" i="3" s="1"/>
  <c r="S105" i="3"/>
  <c r="S381" i="7"/>
  <c r="S381" i="3" s="1"/>
  <c r="S243" i="7"/>
  <c r="S243" i="3" s="1"/>
  <c r="T102" i="3"/>
  <c r="T378" i="7"/>
  <c r="T378" i="3" s="1"/>
  <c r="T240" i="7"/>
  <c r="T240" i="3" s="1"/>
  <c r="U99" i="3"/>
  <c r="U375" i="7"/>
  <c r="U375" i="3" s="1"/>
  <c r="U237" i="7"/>
  <c r="U237" i="3" s="1"/>
  <c r="S97" i="3"/>
  <c r="S373" i="7"/>
  <c r="S373" i="3" s="1"/>
  <c r="S235" i="7"/>
  <c r="S235" i="3" s="1"/>
  <c r="T94" i="3"/>
  <c r="T370" i="7"/>
  <c r="T370" i="3" s="1"/>
  <c r="U91" i="3"/>
  <c r="U367" i="7"/>
  <c r="U367" i="3" s="1"/>
  <c r="S89" i="3"/>
  <c r="S227" i="7"/>
  <c r="S227" i="3" s="1"/>
  <c r="T86" i="3"/>
  <c r="T224" i="7"/>
  <c r="T224" i="3" s="1"/>
  <c r="T362" i="7"/>
  <c r="T362" i="3" s="1"/>
  <c r="U83" i="3"/>
  <c r="U359" i="7"/>
  <c r="U359" i="3" s="1"/>
  <c r="U221" i="7"/>
  <c r="U221" i="3" s="1"/>
  <c r="S81" i="3"/>
  <c r="S219" i="7"/>
  <c r="S219" i="3" s="1"/>
  <c r="S357" i="7"/>
  <c r="S357" i="3" s="1"/>
  <c r="T78" i="3"/>
  <c r="T354" i="7"/>
  <c r="T354" i="3" s="1"/>
  <c r="U75" i="3"/>
  <c r="U351" i="7"/>
  <c r="U351" i="3" s="1"/>
  <c r="S73" i="3"/>
  <c r="S349" i="7"/>
  <c r="S349" i="3" s="1"/>
  <c r="S211" i="7"/>
  <c r="S211" i="3" s="1"/>
  <c r="T70" i="3"/>
  <c r="T346" i="7"/>
  <c r="T346" i="3" s="1"/>
  <c r="T208" i="7"/>
  <c r="T208" i="3" s="1"/>
  <c r="U67" i="3"/>
  <c r="U343" i="7"/>
  <c r="U343" i="3" s="1"/>
  <c r="U205" i="7"/>
  <c r="U205" i="3" s="1"/>
  <c r="S65" i="3"/>
  <c r="S203" i="7"/>
  <c r="S203" i="3" s="1"/>
  <c r="S341" i="7"/>
  <c r="S341" i="3" s="1"/>
  <c r="T62" i="3"/>
  <c r="T338" i="7"/>
  <c r="T338" i="3" s="1"/>
  <c r="T200" i="7"/>
  <c r="T200" i="3" s="1"/>
  <c r="U59" i="3"/>
  <c r="U335" i="7"/>
  <c r="U335" i="3" s="1"/>
  <c r="U197" i="7"/>
  <c r="U197" i="3" s="1"/>
  <c r="S57" i="3"/>
  <c r="S195" i="7"/>
  <c r="S195" i="3" s="1"/>
  <c r="S333" i="7"/>
  <c r="S333" i="3" s="1"/>
  <c r="T54" i="3"/>
  <c r="T192" i="7"/>
  <c r="T192" i="3" s="1"/>
  <c r="U51" i="3"/>
  <c r="U327" i="7"/>
  <c r="U327" i="3" s="1"/>
  <c r="U189" i="7"/>
  <c r="U189" i="3" s="1"/>
  <c r="S49" i="3"/>
  <c r="S325" i="7"/>
  <c r="S325" i="3" s="1"/>
  <c r="S187" i="7"/>
  <c r="S187" i="3" s="1"/>
  <c r="T46" i="3"/>
  <c r="T184" i="7"/>
  <c r="T184" i="3" s="1"/>
  <c r="U43" i="3"/>
  <c r="U319" i="7"/>
  <c r="U319" i="3" s="1"/>
  <c r="U181" i="7"/>
  <c r="U181" i="3" s="1"/>
  <c r="S41" i="3"/>
  <c r="S317" i="7"/>
  <c r="S317" i="3" s="1"/>
  <c r="S179" i="7"/>
  <c r="S179" i="3" s="1"/>
  <c r="T38" i="3"/>
  <c r="T314" i="7"/>
  <c r="T314" i="3" s="1"/>
  <c r="T176" i="7"/>
  <c r="T176" i="3" s="1"/>
  <c r="U35" i="3"/>
  <c r="U311" i="7"/>
  <c r="U311" i="3" s="1"/>
  <c r="U173" i="7"/>
  <c r="U173" i="3" s="1"/>
  <c r="S33" i="3"/>
  <c r="S309" i="7"/>
  <c r="S309" i="3" s="1"/>
  <c r="S171" i="7"/>
  <c r="S171" i="3" s="1"/>
  <c r="T30" i="3"/>
  <c r="T306" i="7"/>
  <c r="T306" i="3" s="1"/>
  <c r="T168" i="7"/>
  <c r="T168" i="3" s="1"/>
  <c r="U27" i="3"/>
  <c r="U303" i="7"/>
  <c r="U303" i="3" s="1"/>
  <c r="U165" i="7"/>
  <c r="U165" i="3" s="1"/>
  <c r="S25" i="3"/>
  <c r="S163" i="7"/>
  <c r="S163" i="3" s="1"/>
  <c r="T22" i="3"/>
  <c r="T298" i="7"/>
  <c r="T298" i="3" s="1"/>
  <c r="T160" i="7"/>
  <c r="T160" i="3" s="1"/>
  <c r="U19" i="3"/>
  <c r="U295" i="7"/>
  <c r="U295" i="3" s="1"/>
  <c r="U157" i="7"/>
  <c r="U157" i="3" s="1"/>
  <c r="S17" i="3"/>
  <c r="S155" i="7"/>
  <c r="S155" i="3" s="1"/>
  <c r="T14" i="3"/>
  <c r="T290" i="7"/>
  <c r="T290" i="3" s="1"/>
  <c r="U11" i="3"/>
  <c r="U287" i="7"/>
  <c r="U287" i="3" s="1"/>
  <c r="S9" i="3"/>
  <c r="S285" i="7"/>
  <c r="S285" i="3" s="1"/>
  <c r="S147" i="7"/>
  <c r="S147" i="3" s="1"/>
  <c r="T6" i="3"/>
  <c r="T282" i="7"/>
  <c r="T282" i="3" s="1"/>
  <c r="T144" i="7"/>
  <c r="T144" i="3" s="1"/>
  <c r="U3" i="3"/>
  <c r="U279" i="7"/>
  <c r="U279" i="3" s="1"/>
  <c r="U141" i="7"/>
  <c r="U141" i="3" s="1"/>
  <c r="Q270" i="7"/>
  <c r="Q270" i="3" s="1"/>
  <c r="Q262" i="7"/>
  <c r="Q262" i="3" s="1"/>
  <c r="Q254" i="7"/>
  <c r="Q254" i="3" s="1"/>
  <c r="Q246" i="7"/>
  <c r="Q246" i="3" s="1"/>
  <c r="Q238" i="7"/>
  <c r="Q238" i="3" s="1"/>
  <c r="Q230" i="7"/>
  <c r="Q230" i="3" s="1"/>
  <c r="Q222" i="7"/>
  <c r="Q214" i="7"/>
  <c r="Q214" i="3" s="1"/>
  <c r="Q206" i="7"/>
  <c r="Q206" i="3" s="1"/>
  <c r="Q198" i="7"/>
  <c r="Q198" i="3" s="1"/>
  <c r="Q190" i="7"/>
  <c r="Q182" i="7"/>
  <c r="Q182" i="3" s="1"/>
  <c r="Q174" i="7"/>
  <c r="Q174" i="3" s="1"/>
  <c r="Q166" i="7"/>
  <c r="Q166" i="3" s="1"/>
  <c r="Q158" i="7"/>
  <c r="Q158" i="3" s="1"/>
  <c r="Q150" i="7"/>
  <c r="Q150" i="3" s="1"/>
  <c r="Q142" i="7"/>
  <c r="Q142" i="3" s="1"/>
  <c r="T275" i="7"/>
  <c r="T275" i="3" s="1"/>
  <c r="T273" i="7"/>
  <c r="T273" i="3" s="1"/>
  <c r="T267" i="7"/>
  <c r="T267" i="3" s="1"/>
  <c r="T265" i="7"/>
  <c r="T265" i="3" s="1"/>
  <c r="T259" i="7"/>
  <c r="T259" i="3" s="1"/>
  <c r="T257" i="7"/>
  <c r="T257" i="3" s="1"/>
  <c r="T251" i="7"/>
  <c r="T251" i="3" s="1"/>
  <c r="T249" i="7"/>
  <c r="T249" i="3" s="1"/>
  <c r="R247" i="7"/>
  <c r="R247" i="3" s="1"/>
  <c r="U243" i="7"/>
  <c r="U243" i="3" s="1"/>
  <c r="U240" i="7"/>
  <c r="U240" i="3" s="1"/>
  <c r="S236" i="7"/>
  <c r="S236" i="3" s="1"/>
  <c r="T227" i="7"/>
  <c r="T227" i="3" s="1"/>
  <c r="U208" i="7"/>
  <c r="U208" i="3" s="1"/>
  <c r="S198" i="7"/>
  <c r="S198" i="3" s="1"/>
  <c r="U187" i="7"/>
  <c r="U187" i="3" s="1"/>
  <c r="U176" i="7"/>
  <c r="U176" i="3" s="1"/>
  <c r="S166" i="7"/>
  <c r="S166" i="3" s="1"/>
  <c r="T155" i="7"/>
  <c r="T155" i="3" s="1"/>
  <c r="S142" i="7"/>
  <c r="S142" i="3" s="1"/>
  <c r="Q406" i="7"/>
  <c r="Q406" i="3" s="1"/>
  <c r="T394" i="7"/>
  <c r="T394" i="3" s="1"/>
  <c r="R383" i="7"/>
  <c r="R383" i="3" s="1"/>
  <c r="T333" i="7"/>
  <c r="T333" i="3" s="1"/>
  <c r="Q319" i="7"/>
  <c r="Q319" i="3" s="1"/>
  <c r="S304" i="7"/>
  <c r="S304" i="3" s="1"/>
  <c r="Q131" i="3"/>
  <c r="Q407" i="7"/>
  <c r="Q407" i="3" s="1"/>
  <c r="Q123" i="3"/>
  <c r="Q399" i="7"/>
  <c r="Q399" i="3" s="1"/>
  <c r="Q115" i="3"/>
  <c r="Q391" i="7"/>
  <c r="Q391" i="3" s="1"/>
  <c r="Q107" i="3"/>
  <c r="Q383" i="7"/>
  <c r="Q383" i="3" s="1"/>
  <c r="Q99" i="3"/>
  <c r="Q375" i="7"/>
  <c r="Q375" i="3" s="1"/>
  <c r="Q83" i="3"/>
  <c r="Q359" i="7"/>
  <c r="Q359" i="3" s="1"/>
  <c r="Q59" i="3"/>
  <c r="Q335" i="7"/>
  <c r="Q335" i="3" s="1"/>
  <c r="Q27" i="3"/>
  <c r="Q303" i="7"/>
  <c r="Q303" i="3" s="1"/>
  <c r="Q11" i="3"/>
  <c r="Q287" i="7"/>
  <c r="Q287" i="3" s="1"/>
  <c r="Q3" i="3"/>
  <c r="Q279" i="7"/>
  <c r="Q279" i="3" s="1"/>
  <c r="R131" i="3"/>
  <c r="R407" i="7"/>
  <c r="R407" i="3" s="1"/>
  <c r="R123" i="3"/>
  <c r="R399" i="7"/>
  <c r="R399" i="3" s="1"/>
  <c r="R391" i="7"/>
  <c r="R391" i="3" s="1"/>
  <c r="R115" i="3"/>
  <c r="R99" i="3"/>
  <c r="R237" i="7"/>
  <c r="R237" i="3" s="1"/>
  <c r="R375" i="7"/>
  <c r="R375" i="3" s="1"/>
  <c r="R91" i="3"/>
  <c r="R229" i="7"/>
  <c r="R229" i="3" s="1"/>
  <c r="R367" i="7"/>
  <c r="R367" i="3" s="1"/>
  <c r="R83" i="3"/>
  <c r="R221" i="7"/>
  <c r="R221" i="3" s="1"/>
  <c r="R359" i="7"/>
  <c r="R359" i="3" s="1"/>
  <c r="R75" i="3"/>
  <c r="R351" i="7"/>
  <c r="R351" i="3" s="1"/>
  <c r="R213" i="7"/>
  <c r="R213" i="3" s="1"/>
  <c r="R67" i="3"/>
  <c r="R205" i="7"/>
  <c r="R205" i="3" s="1"/>
  <c r="R343" i="7"/>
  <c r="R343" i="3" s="1"/>
  <c r="R59" i="3"/>
  <c r="R197" i="7"/>
  <c r="R197" i="3" s="1"/>
  <c r="R335" i="7"/>
  <c r="R335" i="3" s="1"/>
  <c r="R51" i="3"/>
  <c r="R327" i="7"/>
  <c r="R327" i="3" s="1"/>
  <c r="R189" i="7"/>
  <c r="R189" i="3" s="1"/>
  <c r="R43" i="3"/>
  <c r="R319" i="7"/>
  <c r="R319" i="3" s="1"/>
  <c r="R181" i="7"/>
  <c r="R181" i="3" s="1"/>
  <c r="R35" i="3"/>
  <c r="R173" i="7"/>
  <c r="R173" i="3" s="1"/>
  <c r="R311" i="7"/>
  <c r="R311" i="3" s="1"/>
  <c r="R27" i="3"/>
  <c r="R165" i="7"/>
  <c r="R165" i="3" s="1"/>
  <c r="R303" i="7"/>
  <c r="R303" i="3" s="1"/>
  <c r="R19" i="3"/>
  <c r="R157" i="7"/>
  <c r="R157" i="3" s="1"/>
  <c r="R295" i="7"/>
  <c r="R295" i="3" s="1"/>
  <c r="R11" i="3"/>
  <c r="R287" i="7"/>
  <c r="R287" i="3" s="1"/>
  <c r="R149" i="7"/>
  <c r="R149" i="3" s="1"/>
  <c r="R3" i="3"/>
  <c r="R141" i="7"/>
  <c r="R141" i="3" s="1"/>
  <c r="R279" i="7"/>
  <c r="R279" i="3" s="1"/>
  <c r="U136" i="3"/>
  <c r="U412" i="7"/>
  <c r="U412" i="3" s="1"/>
  <c r="S134" i="3"/>
  <c r="S410" i="7"/>
  <c r="S410" i="3" s="1"/>
  <c r="T131" i="3"/>
  <c r="T407" i="7"/>
  <c r="T407" i="3" s="1"/>
  <c r="U128" i="3"/>
  <c r="U404" i="7"/>
  <c r="U404" i="3" s="1"/>
  <c r="S126" i="3"/>
  <c r="S402" i="7"/>
  <c r="S402" i="3" s="1"/>
  <c r="T123" i="3"/>
  <c r="T399" i="7"/>
  <c r="T399" i="3" s="1"/>
  <c r="U120" i="3"/>
  <c r="U396" i="7"/>
  <c r="U396" i="3" s="1"/>
  <c r="S118" i="3"/>
  <c r="S394" i="7"/>
  <c r="S394" i="3" s="1"/>
  <c r="T115" i="3"/>
  <c r="T391" i="7"/>
  <c r="T391" i="3" s="1"/>
  <c r="U112" i="3"/>
  <c r="U388" i="7"/>
  <c r="U388" i="3" s="1"/>
  <c r="S110" i="3"/>
  <c r="S248" i="7"/>
  <c r="S248" i="3" s="1"/>
  <c r="U104" i="3"/>
  <c r="U380" i="7"/>
  <c r="U380" i="3" s="1"/>
  <c r="S102" i="3"/>
  <c r="S378" i="7"/>
  <c r="S378" i="3" s="1"/>
  <c r="S240" i="7"/>
  <c r="S240" i="3" s="1"/>
  <c r="T99" i="3"/>
  <c r="T375" i="7"/>
  <c r="T375" i="3" s="1"/>
  <c r="U96" i="3"/>
  <c r="U372" i="7"/>
  <c r="U372" i="3" s="1"/>
  <c r="S94" i="3"/>
  <c r="S370" i="7"/>
  <c r="S370" i="3" s="1"/>
  <c r="S232" i="7"/>
  <c r="S232" i="3" s="1"/>
  <c r="T91" i="3"/>
  <c r="T367" i="7"/>
  <c r="T367" i="3" s="1"/>
  <c r="T229" i="7"/>
  <c r="T229" i="3" s="1"/>
  <c r="U88" i="3"/>
  <c r="U364" i="7"/>
  <c r="U364" i="3" s="1"/>
  <c r="U226" i="7"/>
  <c r="U226" i="3" s="1"/>
  <c r="S86" i="3"/>
  <c r="S362" i="7"/>
  <c r="S362" i="3" s="1"/>
  <c r="S224" i="7"/>
  <c r="S224" i="3" s="1"/>
  <c r="T83" i="3"/>
  <c r="T221" i="7"/>
  <c r="T221" i="3" s="1"/>
  <c r="U80" i="3"/>
  <c r="U356" i="7"/>
  <c r="U356" i="3" s="1"/>
  <c r="S78" i="3"/>
  <c r="S216" i="7"/>
  <c r="S216" i="3" s="1"/>
  <c r="T75" i="3"/>
  <c r="T213" i="7"/>
  <c r="T213" i="3" s="1"/>
  <c r="T351" i="7"/>
  <c r="T351" i="3" s="1"/>
  <c r="U72" i="3"/>
  <c r="U210" i="7"/>
  <c r="U210" i="3" s="1"/>
  <c r="S70" i="3"/>
  <c r="S346" i="7"/>
  <c r="S346" i="3" s="1"/>
  <c r="S208" i="7"/>
  <c r="S208" i="3" s="1"/>
  <c r="T67" i="3"/>
  <c r="T343" i="7"/>
  <c r="T343" i="3" s="1"/>
  <c r="T205" i="7"/>
  <c r="T205" i="3" s="1"/>
  <c r="U64" i="3"/>
  <c r="U202" i="7"/>
  <c r="U202" i="3" s="1"/>
  <c r="U340" i="7"/>
  <c r="U340" i="3" s="1"/>
  <c r="S62" i="3"/>
  <c r="S338" i="7"/>
  <c r="S338" i="3" s="1"/>
  <c r="S200" i="7"/>
  <c r="S200" i="3" s="1"/>
  <c r="T59" i="3"/>
  <c r="T335" i="7"/>
  <c r="T335" i="3" s="1"/>
  <c r="T197" i="7"/>
  <c r="T197" i="3" s="1"/>
  <c r="U56" i="3"/>
  <c r="U332" i="7"/>
  <c r="U332" i="3" s="1"/>
  <c r="U194" i="7"/>
  <c r="U194" i="3" s="1"/>
  <c r="S54" i="3"/>
  <c r="S192" i="7"/>
  <c r="S192" i="3" s="1"/>
  <c r="S330" i="7"/>
  <c r="S330" i="3" s="1"/>
  <c r="T51" i="3"/>
  <c r="T327" i="7"/>
  <c r="T327" i="3" s="1"/>
  <c r="T189" i="7"/>
  <c r="T189" i="3" s="1"/>
  <c r="U48" i="3"/>
  <c r="U324" i="7"/>
  <c r="U324" i="3" s="1"/>
  <c r="U186" i="7"/>
  <c r="U186" i="3" s="1"/>
  <c r="S46" i="3"/>
  <c r="S184" i="7"/>
  <c r="S184" i="3" s="1"/>
  <c r="S322" i="7"/>
  <c r="S322" i="3" s="1"/>
  <c r="T43" i="3"/>
  <c r="T181" i="7"/>
  <c r="T181" i="3" s="1"/>
  <c r="U40" i="3"/>
  <c r="U316" i="7"/>
  <c r="U316" i="3" s="1"/>
  <c r="U178" i="7"/>
  <c r="U178" i="3" s="1"/>
  <c r="S38" i="3"/>
  <c r="S314" i="7"/>
  <c r="S314" i="3" s="1"/>
  <c r="S176" i="7"/>
  <c r="S176" i="3" s="1"/>
  <c r="T35" i="3"/>
  <c r="T173" i="7"/>
  <c r="T173" i="3" s="1"/>
  <c r="U32" i="3"/>
  <c r="U170" i="7"/>
  <c r="U170" i="3" s="1"/>
  <c r="S30" i="3"/>
  <c r="S306" i="7"/>
  <c r="S306" i="3" s="1"/>
  <c r="S168" i="7"/>
  <c r="S168" i="3" s="1"/>
  <c r="T27" i="3"/>
  <c r="T303" i="7"/>
  <c r="T303" i="3" s="1"/>
  <c r="T165" i="7"/>
  <c r="T165" i="3" s="1"/>
  <c r="U24" i="3"/>
  <c r="U162" i="7"/>
  <c r="U162" i="3" s="1"/>
  <c r="S22" i="3"/>
  <c r="S298" i="7"/>
  <c r="S298" i="3" s="1"/>
  <c r="S160" i="7"/>
  <c r="S160" i="3" s="1"/>
  <c r="T19" i="3"/>
  <c r="T295" i="7"/>
  <c r="T295" i="3" s="1"/>
  <c r="T157" i="7"/>
  <c r="T157" i="3" s="1"/>
  <c r="U16" i="3"/>
  <c r="U154" i="7"/>
  <c r="U154" i="3" s="1"/>
  <c r="U292" i="7"/>
  <c r="U292" i="3" s="1"/>
  <c r="S14" i="3"/>
  <c r="S152" i="7"/>
  <c r="S152" i="3" s="1"/>
  <c r="T11" i="3"/>
  <c r="T287" i="7"/>
  <c r="T287" i="3" s="1"/>
  <c r="T149" i="7"/>
  <c r="T149" i="3" s="1"/>
  <c r="U8" i="3"/>
  <c r="U146" i="7"/>
  <c r="U146" i="3" s="1"/>
  <c r="U284" i="7"/>
  <c r="U284" i="3" s="1"/>
  <c r="S6" i="3"/>
  <c r="S144" i="7"/>
  <c r="S144" i="3" s="1"/>
  <c r="T3" i="3"/>
  <c r="T279" i="7"/>
  <c r="T279" i="3" s="1"/>
  <c r="T141" i="7"/>
  <c r="T141" i="3" s="1"/>
  <c r="Q269" i="7"/>
  <c r="Q269" i="3" s="1"/>
  <c r="Q261" i="7"/>
  <c r="Q261" i="3" s="1"/>
  <c r="Q253" i="7"/>
  <c r="Q253" i="3" s="1"/>
  <c r="Q245" i="7"/>
  <c r="Q245" i="3" s="1"/>
  <c r="Q237" i="7"/>
  <c r="Q237" i="3" s="1"/>
  <c r="Q229" i="7"/>
  <c r="Q221" i="7"/>
  <c r="Q221" i="3" s="1"/>
  <c r="Q213" i="7"/>
  <c r="Q205" i="7"/>
  <c r="Q197" i="7"/>
  <c r="Q197" i="3" s="1"/>
  <c r="Q189" i="7"/>
  <c r="Q189" i="3" s="1"/>
  <c r="Q181" i="7"/>
  <c r="Q181" i="3" s="1"/>
  <c r="Q173" i="7"/>
  <c r="Q165" i="7"/>
  <c r="Q165" i="3" s="1"/>
  <c r="Q157" i="7"/>
  <c r="Q149" i="7"/>
  <c r="Q149" i="3" s="1"/>
  <c r="Q141" i="7"/>
  <c r="Q141" i="3" s="1"/>
  <c r="S275" i="7"/>
  <c r="S275" i="3" s="1"/>
  <c r="S273" i="7"/>
  <c r="S273" i="3" s="1"/>
  <c r="S267" i="7"/>
  <c r="S267" i="3" s="1"/>
  <c r="S265" i="7"/>
  <c r="S265" i="3" s="1"/>
  <c r="S263" i="7"/>
  <c r="S263" i="3" s="1"/>
  <c r="S259" i="7"/>
  <c r="S259" i="3" s="1"/>
  <c r="S257" i="7"/>
  <c r="S257" i="3" s="1"/>
  <c r="S251" i="7"/>
  <c r="S251" i="3" s="1"/>
  <c r="S249" i="7"/>
  <c r="S249" i="3" s="1"/>
  <c r="U246" i="7"/>
  <c r="U246" i="3" s="1"/>
  <c r="T243" i="7"/>
  <c r="T243" i="3" s="1"/>
  <c r="U234" i="7"/>
  <c r="U234" i="3" s="1"/>
  <c r="T216" i="7"/>
  <c r="T216" i="3" s="1"/>
  <c r="U206" i="7"/>
  <c r="U206" i="3" s="1"/>
  <c r="S196" i="7"/>
  <c r="S196" i="3" s="1"/>
  <c r="U174" i="7"/>
  <c r="U174" i="3" s="1"/>
  <c r="S164" i="7"/>
  <c r="S164" i="3" s="1"/>
  <c r="T152" i="7"/>
  <c r="T152" i="3" s="1"/>
  <c r="R278" i="7"/>
  <c r="R404" i="7"/>
  <c r="R404" i="3" s="1"/>
  <c r="T392" i="7"/>
  <c r="T392" i="3" s="1"/>
  <c r="R381" i="7"/>
  <c r="R381" i="3" s="1"/>
  <c r="Q369" i="7"/>
  <c r="Q369" i="3" s="1"/>
  <c r="T357" i="7"/>
  <c r="T357" i="3" s="1"/>
  <c r="R345" i="7"/>
  <c r="R345" i="3" s="1"/>
  <c r="T330" i="7"/>
  <c r="T330" i="3" s="1"/>
  <c r="Q316" i="7"/>
  <c r="S301" i="7"/>
  <c r="S301" i="3" s="1"/>
  <c r="Q106" i="3"/>
  <c r="Q382" i="7"/>
  <c r="Q382" i="3" s="1"/>
  <c r="Q98" i="3"/>
  <c r="Q374" i="7"/>
  <c r="Q374" i="3" s="1"/>
  <c r="Q90" i="3"/>
  <c r="Q366" i="7"/>
  <c r="Q366" i="3" s="1"/>
  <c r="Q74" i="3"/>
  <c r="Q350" i="7"/>
  <c r="Q350" i="3" s="1"/>
  <c r="Q66" i="3"/>
  <c r="Q342" i="7"/>
  <c r="Q342" i="3" s="1"/>
  <c r="Q58" i="3"/>
  <c r="Q334" i="7"/>
  <c r="Q334" i="3" s="1"/>
  <c r="Q50" i="3"/>
  <c r="Q326" i="7"/>
  <c r="Q326" i="3" s="1"/>
  <c r="Q42" i="3"/>
  <c r="Q318" i="7"/>
  <c r="Q318" i="3" s="1"/>
  <c r="Q34" i="3"/>
  <c r="Q310" i="7"/>
  <c r="Q310" i="3" s="1"/>
  <c r="Q26" i="3"/>
  <c r="Q302" i="7"/>
  <c r="Q302" i="3" s="1"/>
  <c r="Q2" i="3"/>
  <c r="Q278" i="7"/>
  <c r="Q278" i="3" s="1"/>
  <c r="R130" i="3"/>
  <c r="R406" i="7"/>
  <c r="R406" i="3" s="1"/>
  <c r="R122" i="3"/>
  <c r="R398" i="7"/>
  <c r="R398" i="3" s="1"/>
  <c r="R114" i="3"/>
  <c r="R390" i="7"/>
  <c r="R390" i="3" s="1"/>
  <c r="R106" i="3"/>
  <c r="R382" i="7"/>
  <c r="R382" i="3" s="1"/>
  <c r="R244" i="7"/>
  <c r="R244" i="3" s="1"/>
  <c r="R374" i="7"/>
  <c r="R374" i="3" s="1"/>
  <c r="R98" i="3"/>
  <c r="R236" i="7"/>
  <c r="R236" i="3" s="1"/>
  <c r="R90" i="3"/>
  <c r="R366" i="7"/>
  <c r="R366" i="3" s="1"/>
  <c r="R82" i="3"/>
  <c r="R358" i="7"/>
  <c r="R358" i="3" s="1"/>
  <c r="R220" i="7"/>
  <c r="R220" i="3" s="1"/>
  <c r="R74" i="3"/>
  <c r="R350" i="7"/>
  <c r="R350" i="3" s="1"/>
  <c r="R66" i="3"/>
  <c r="R342" i="7"/>
  <c r="R342" i="3" s="1"/>
  <c r="R204" i="7"/>
  <c r="R204" i="3" s="1"/>
  <c r="R58" i="3"/>
  <c r="R334" i="7"/>
  <c r="R334" i="3" s="1"/>
  <c r="R196" i="7"/>
  <c r="R196" i="3" s="1"/>
  <c r="R50" i="3"/>
  <c r="R326" i="7"/>
  <c r="R326" i="3" s="1"/>
  <c r="R188" i="7"/>
  <c r="R188" i="3" s="1"/>
  <c r="R42" i="3"/>
  <c r="R318" i="7"/>
  <c r="R318" i="3" s="1"/>
  <c r="R180" i="7"/>
  <c r="R180" i="3" s="1"/>
  <c r="R34" i="3"/>
  <c r="R310" i="7"/>
  <c r="R310" i="3" s="1"/>
  <c r="R172" i="7"/>
  <c r="R172" i="3" s="1"/>
  <c r="R26" i="3"/>
  <c r="R302" i="7"/>
  <c r="R302" i="3" s="1"/>
  <c r="R164" i="7"/>
  <c r="R164" i="3" s="1"/>
  <c r="R18" i="3"/>
  <c r="R294" i="7"/>
  <c r="R294" i="3" s="1"/>
  <c r="R10" i="3"/>
  <c r="R286" i="7"/>
  <c r="R286" i="3" s="1"/>
  <c r="R148" i="7"/>
  <c r="R148" i="3" s="1"/>
  <c r="T136" i="3"/>
  <c r="T412" i="7"/>
  <c r="T412" i="3" s="1"/>
  <c r="U133" i="3"/>
  <c r="U409" i="7"/>
  <c r="U409" i="3" s="1"/>
  <c r="S131" i="3"/>
  <c r="S407" i="7"/>
  <c r="S407" i="3" s="1"/>
  <c r="T128" i="3"/>
  <c r="T404" i="7"/>
  <c r="T404" i="3" s="1"/>
  <c r="U125" i="3"/>
  <c r="U401" i="7"/>
  <c r="U401" i="3" s="1"/>
  <c r="S123" i="3"/>
  <c r="S399" i="7"/>
  <c r="S399" i="3" s="1"/>
  <c r="T120" i="3"/>
  <c r="T396" i="7"/>
  <c r="T396" i="3" s="1"/>
  <c r="U117" i="3"/>
  <c r="U393" i="7"/>
  <c r="U393" i="3" s="1"/>
  <c r="S115" i="3"/>
  <c r="S391" i="7"/>
  <c r="S391" i="3" s="1"/>
  <c r="T112" i="3"/>
  <c r="T388" i="7"/>
  <c r="T388" i="3" s="1"/>
  <c r="U109" i="3"/>
  <c r="U385" i="7"/>
  <c r="U385" i="3" s="1"/>
  <c r="S107" i="3"/>
  <c r="S383" i="7"/>
  <c r="S383" i="3" s="1"/>
  <c r="S245" i="7"/>
  <c r="S245" i="3" s="1"/>
  <c r="T104" i="3"/>
  <c r="T380" i="7"/>
  <c r="T380" i="3" s="1"/>
  <c r="U101" i="3"/>
  <c r="U377" i="7"/>
  <c r="U377" i="3" s="1"/>
  <c r="T96" i="3"/>
  <c r="T372" i="7"/>
  <c r="T372" i="3" s="1"/>
  <c r="T234" i="7"/>
  <c r="T234" i="3" s="1"/>
  <c r="U93" i="3"/>
  <c r="U369" i="7"/>
  <c r="U369" i="3" s="1"/>
  <c r="U231" i="7"/>
  <c r="U231" i="3" s="1"/>
  <c r="S91" i="3"/>
  <c r="S367" i="7"/>
  <c r="S367" i="3" s="1"/>
  <c r="S229" i="7"/>
  <c r="S229" i="3" s="1"/>
  <c r="T88" i="3"/>
  <c r="T364" i="7"/>
  <c r="T364" i="3" s="1"/>
  <c r="T226" i="7"/>
  <c r="T226" i="3" s="1"/>
  <c r="U85" i="3"/>
  <c r="U223" i="7"/>
  <c r="U223" i="3" s="1"/>
  <c r="U361" i="7"/>
  <c r="U361" i="3" s="1"/>
  <c r="S83" i="3"/>
  <c r="S359" i="7"/>
  <c r="S359" i="3" s="1"/>
  <c r="T80" i="3"/>
  <c r="T356" i="7"/>
  <c r="T356" i="3" s="1"/>
  <c r="T218" i="7"/>
  <c r="T218" i="3" s="1"/>
  <c r="U77" i="3"/>
  <c r="U353" i="7"/>
  <c r="U353" i="3" s="1"/>
  <c r="U215" i="7"/>
  <c r="U215" i="3" s="1"/>
  <c r="S75" i="3"/>
  <c r="S351" i="7"/>
  <c r="S351" i="3" s="1"/>
  <c r="S213" i="7"/>
  <c r="S213" i="3" s="1"/>
  <c r="T72" i="3"/>
  <c r="T348" i="7"/>
  <c r="T348" i="3" s="1"/>
  <c r="T210" i="7"/>
  <c r="T210" i="3" s="1"/>
  <c r="U69" i="3"/>
  <c r="U345" i="7"/>
  <c r="U345" i="3" s="1"/>
  <c r="U207" i="7"/>
  <c r="U207" i="3" s="1"/>
  <c r="S67" i="3"/>
  <c r="S205" i="7"/>
  <c r="S205" i="3" s="1"/>
  <c r="S343" i="7"/>
  <c r="S343" i="3" s="1"/>
  <c r="T64" i="3"/>
  <c r="T340" i="7"/>
  <c r="T340" i="3" s="1"/>
  <c r="T202" i="7"/>
  <c r="T202" i="3" s="1"/>
  <c r="U61" i="3"/>
  <c r="U199" i="7"/>
  <c r="U199" i="3" s="1"/>
  <c r="U337" i="7"/>
  <c r="U337" i="3" s="1"/>
  <c r="S59" i="3"/>
  <c r="S197" i="7"/>
  <c r="S197" i="3" s="1"/>
  <c r="S335" i="7"/>
  <c r="S335" i="3" s="1"/>
  <c r="T56" i="3"/>
  <c r="T332" i="7"/>
  <c r="T332" i="3" s="1"/>
  <c r="T194" i="7"/>
  <c r="T194" i="3" s="1"/>
  <c r="U53" i="3"/>
  <c r="U191" i="7"/>
  <c r="U191" i="3" s="1"/>
  <c r="U329" i="7"/>
  <c r="U329" i="3" s="1"/>
  <c r="S51" i="3"/>
  <c r="S327" i="7"/>
  <c r="S327" i="3" s="1"/>
  <c r="S189" i="7"/>
  <c r="S189" i="3" s="1"/>
  <c r="T48" i="3"/>
  <c r="T324" i="7"/>
  <c r="T324" i="3" s="1"/>
  <c r="T186" i="7"/>
  <c r="T186" i="3" s="1"/>
  <c r="U45" i="3"/>
  <c r="U321" i="7"/>
  <c r="U321" i="3" s="1"/>
  <c r="U183" i="7"/>
  <c r="U183" i="3" s="1"/>
  <c r="S43" i="3"/>
  <c r="S181" i="7"/>
  <c r="S181" i="3" s="1"/>
  <c r="S319" i="7"/>
  <c r="S319" i="3" s="1"/>
  <c r="T40" i="3"/>
  <c r="T316" i="7"/>
  <c r="T316" i="3" s="1"/>
  <c r="T178" i="7"/>
  <c r="T178" i="3" s="1"/>
  <c r="U37" i="3"/>
  <c r="U313" i="7"/>
  <c r="U313" i="3" s="1"/>
  <c r="U175" i="7"/>
  <c r="U175" i="3" s="1"/>
  <c r="S35" i="3"/>
  <c r="S173" i="7"/>
  <c r="S173" i="3" s="1"/>
  <c r="S311" i="7"/>
  <c r="S311" i="3" s="1"/>
  <c r="T32" i="3"/>
  <c r="T308" i="7"/>
  <c r="T308" i="3" s="1"/>
  <c r="T170" i="7"/>
  <c r="T170" i="3" s="1"/>
  <c r="U29" i="3"/>
  <c r="U305" i="7"/>
  <c r="U305" i="3" s="1"/>
  <c r="U167" i="7"/>
  <c r="U167" i="3" s="1"/>
  <c r="S27" i="3"/>
  <c r="S303" i="7"/>
  <c r="S303" i="3" s="1"/>
  <c r="S165" i="7"/>
  <c r="S165" i="3" s="1"/>
  <c r="T24" i="3"/>
  <c r="T300" i="7"/>
  <c r="T300" i="3" s="1"/>
  <c r="T162" i="7"/>
  <c r="T162" i="3" s="1"/>
  <c r="U21" i="3"/>
  <c r="U159" i="7"/>
  <c r="U159" i="3" s="1"/>
  <c r="S19" i="3"/>
  <c r="S295" i="7"/>
  <c r="S295" i="3" s="1"/>
  <c r="S157" i="7"/>
  <c r="S157" i="3" s="1"/>
  <c r="T16" i="3"/>
  <c r="T292" i="7"/>
  <c r="T292" i="3" s="1"/>
  <c r="T154" i="7"/>
  <c r="T154" i="3" s="1"/>
  <c r="U13" i="3"/>
  <c r="U151" i="7"/>
  <c r="U151" i="3" s="1"/>
  <c r="S11" i="3"/>
  <c r="S287" i="7"/>
  <c r="S287" i="3" s="1"/>
  <c r="S149" i="7"/>
  <c r="S149" i="3" s="1"/>
  <c r="T8" i="3"/>
  <c r="T284" i="7"/>
  <c r="T284" i="3" s="1"/>
  <c r="T146" i="7"/>
  <c r="T146" i="3" s="1"/>
  <c r="U5" i="3"/>
  <c r="U281" i="7"/>
  <c r="U281" i="3" s="1"/>
  <c r="U143" i="7"/>
  <c r="U143" i="3" s="1"/>
  <c r="S3" i="3"/>
  <c r="S141" i="7"/>
  <c r="S141" i="3" s="1"/>
  <c r="Q268" i="7"/>
  <c r="Q268" i="3" s="1"/>
  <c r="Q260" i="7"/>
  <c r="Q252" i="7"/>
  <c r="Q244" i="7"/>
  <c r="Q244" i="3" s="1"/>
  <c r="Q236" i="7"/>
  <c r="Q236" i="3" s="1"/>
  <c r="Q228" i="7"/>
  <c r="Q228" i="3" s="1"/>
  <c r="Q220" i="7"/>
  <c r="Q212" i="7"/>
  <c r="Q212" i="3" s="1"/>
  <c r="Q204" i="7"/>
  <c r="Q204" i="3" s="1"/>
  <c r="Q196" i="7"/>
  <c r="Q196" i="3" s="1"/>
  <c r="Q188" i="7"/>
  <c r="Q188" i="3" s="1"/>
  <c r="Q180" i="7"/>
  <c r="Q180" i="3" s="1"/>
  <c r="Q172" i="7"/>
  <c r="Q172" i="3" s="1"/>
  <c r="Q164" i="7"/>
  <c r="Q164" i="3" s="1"/>
  <c r="Q156" i="7"/>
  <c r="Q156" i="3" s="1"/>
  <c r="Q148" i="7"/>
  <c r="Q148" i="3" s="1"/>
  <c r="Q140" i="7"/>
  <c r="Q140" i="3" s="1"/>
  <c r="R273" i="7"/>
  <c r="R273" i="3" s="1"/>
  <c r="R265" i="7"/>
  <c r="R265" i="3" s="1"/>
  <c r="R263" i="7"/>
  <c r="R263" i="3" s="1"/>
  <c r="R261" i="7"/>
  <c r="R261" i="3" s="1"/>
  <c r="R257" i="7"/>
  <c r="R257" i="3" s="1"/>
  <c r="R255" i="7"/>
  <c r="R255" i="3" s="1"/>
  <c r="R253" i="7"/>
  <c r="R253" i="3" s="1"/>
  <c r="R249" i="7"/>
  <c r="R249" i="3" s="1"/>
  <c r="T246" i="7"/>
  <c r="T246" i="3" s="1"/>
  <c r="R243" i="7"/>
  <c r="R243" i="3" s="1"/>
  <c r="T239" i="7"/>
  <c r="T239" i="3" s="1"/>
  <c r="S225" i="7"/>
  <c r="S225" i="3" s="1"/>
  <c r="R216" i="7"/>
  <c r="R216" i="3" s="1"/>
  <c r="S206" i="7"/>
  <c r="S206" i="3" s="1"/>
  <c r="U195" i="7"/>
  <c r="U195" i="3" s="1"/>
  <c r="U184" i="7"/>
  <c r="U184" i="3" s="1"/>
  <c r="S174" i="7"/>
  <c r="S174" i="3" s="1"/>
  <c r="U163" i="7"/>
  <c r="U163" i="3" s="1"/>
  <c r="R152" i="7"/>
  <c r="R152" i="3" s="1"/>
  <c r="U413" i="7"/>
  <c r="U413" i="3" s="1"/>
  <c r="R403" i="7"/>
  <c r="R403" i="3" s="1"/>
  <c r="R392" i="7"/>
  <c r="R392" i="3" s="1"/>
  <c r="Q380" i="7"/>
  <c r="Q380" i="3" s="1"/>
  <c r="T368" i="7"/>
  <c r="T368" i="3" s="1"/>
  <c r="T344" i="7"/>
  <c r="T344" i="3" s="1"/>
  <c r="Q330" i="7"/>
  <c r="Q330" i="3" s="1"/>
  <c r="S315" i="7"/>
  <c r="S315" i="3" s="1"/>
  <c r="U300" i="7"/>
  <c r="U300" i="3" s="1"/>
  <c r="Q286" i="7"/>
  <c r="Q286" i="3" s="1"/>
  <c r="Q129" i="3"/>
  <c r="Q405" i="7"/>
  <c r="Q405" i="3" s="1"/>
  <c r="Q121" i="3"/>
  <c r="Q397" i="7"/>
  <c r="Q397" i="3" s="1"/>
  <c r="Q105" i="3"/>
  <c r="Q381" i="7"/>
  <c r="Q381" i="3" s="1"/>
  <c r="Q97" i="3"/>
  <c r="Q373" i="7"/>
  <c r="Q373" i="3" s="1"/>
  <c r="Q89" i="3"/>
  <c r="Q365" i="7"/>
  <c r="Q365" i="3" s="1"/>
  <c r="Q81" i="3"/>
  <c r="Q357" i="7"/>
  <c r="Q357" i="3" s="1"/>
  <c r="Q73" i="3"/>
  <c r="Q349" i="7"/>
  <c r="Q349" i="3" s="1"/>
  <c r="Q57" i="3"/>
  <c r="Q333" i="7"/>
  <c r="Q333" i="3" s="1"/>
  <c r="Q49" i="3"/>
  <c r="Q325" i="7"/>
  <c r="Q325" i="3" s="1"/>
  <c r="Q41" i="3"/>
  <c r="Q317" i="7"/>
  <c r="Q317" i="3" s="1"/>
  <c r="Q33" i="3"/>
  <c r="Q309" i="7"/>
  <c r="Q309" i="3" s="1"/>
  <c r="Q25" i="3"/>
  <c r="Q301" i="7"/>
  <c r="Q301" i="3" s="1"/>
  <c r="Q17" i="3"/>
  <c r="Q293" i="7"/>
  <c r="Q293" i="3" s="1"/>
  <c r="R137" i="3"/>
  <c r="R413" i="7"/>
  <c r="R413" i="3" s="1"/>
  <c r="R129" i="3"/>
  <c r="R405" i="7"/>
  <c r="R405" i="3" s="1"/>
  <c r="R121" i="3"/>
  <c r="R397" i="7"/>
  <c r="R397" i="3" s="1"/>
  <c r="R113" i="3"/>
  <c r="R389" i="7"/>
  <c r="R389" i="3" s="1"/>
  <c r="R97" i="3"/>
  <c r="R373" i="7"/>
  <c r="R373" i="3" s="1"/>
  <c r="R235" i="7"/>
  <c r="R235" i="3" s="1"/>
  <c r="R89" i="3"/>
  <c r="R227" i="7"/>
  <c r="R227" i="3" s="1"/>
  <c r="R365" i="7"/>
  <c r="R365" i="3" s="1"/>
  <c r="R81" i="3"/>
  <c r="R219" i="7"/>
  <c r="R219" i="3" s="1"/>
  <c r="R73" i="3"/>
  <c r="R349" i="7"/>
  <c r="R349" i="3" s="1"/>
  <c r="R211" i="7"/>
  <c r="R211" i="3" s="1"/>
  <c r="R65" i="3"/>
  <c r="R341" i="7"/>
  <c r="R341" i="3" s="1"/>
  <c r="R203" i="7"/>
  <c r="R203" i="3" s="1"/>
  <c r="R57" i="3"/>
  <c r="R195" i="7"/>
  <c r="R195" i="3" s="1"/>
  <c r="R333" i="7"/>
  <c r="R333" i="3" s="1"/>
  <c r="R49" i="3"/>
  <c r="R187" i="7"/>
  <c r="R187" i="3" s="1"/>
  <c r="R325" i="7"/>
  <c r="R325" i="3" s="1"/>
  <c r="R41" i="3"/>
  <c r="R179" i="7"/>
  <c r="R179" i="3" s="1"/>
  <c r="R317" i="7"/>
  <c r="R317" i="3" s="1"/>
  <c r="R33" i="3"/>
  <c r="R309" i="7"/>
  <c r="R309" i="3" s="1"/>
  <c r="R171" i="7"/>
  <c r="R171" i="3" s="1"/>
  <c r="R25" i="3"/>
  <c r="R163" i="7"/>
  <c r="R163" i="3" s="1"/>
  <c r="R301" i="7"/>
  <c r="R301" i="3" s="1"/>
  <c r="R17" i="3"/>
  <c r="R155" i="7"/>
  <c r="R155" i="3" s="1"/>
  <c r="R293" i="7"/>
  <c r="R293" i="3" s="1"/>
  <c r="R9" i="3"/>
  <c r="R285" i="7"/>
  <c r="R285" i="3" s="1"/>
  <c r="R147" i="7"/>
  <c r="R147" i="3" s="1"/>
  <c r="S2" i="3"/>
  <c r="S278" i="7"/>
  <c r="S278" i="3" s="1"/>
  <c r="S136" i="3"/>
  <c r="S412" i="7"/>
  <c r="S412" i="3" s="1"/>
  <c r="T133" i="3"/>
  <c r="T409" i="7"/>
  <c r="T409" i="3" s="1"/>
  <c r="U130" i="3"/>
  <c r="U406" i="7"/>
  <c r="U406" i="3" s="1"/>
  <c r="S128" i="3"/>
  <c r="S404" i="7"/>
  <c r="S404" i="3" s="1"/>
  <c r="T125" i="3"/>
  <c r="T401" i="7"/>
  <c r="T401" i="3" s="1"/>
  <c r="U122" i="3"/>
  <c r="U398" i="7"/>
  <c r="U398" i="3" s="1"/>
  <c r="S120" i="3"/>
  <c r="S396" i="7"/>
  <c r="S396" i="3" s="1"/>
  <c r="T117" i="3"/>
  <c r="T393" i="7"/>
  <c r="T393" i="3" s="1"/>
  <c r="U114" i="3"/>
  <c r="U390" i="7"/>
  <c r="U390" i="3" s="1"/>
  <c r="S112" i="3"/>
  <c r="S388" i="7"/>
  <c r="S388" i="3" s="1"/>
  <c r="T109" i="3"/>
  <c r="T385" i="7"/>
  <c r="T385" i="3" s="1"/>
  <c r="U106" i="3"/>
  <c r="U382" i="7"/>
  <c r="U382" i="3" s="1"/>
  <c r="S104" i="3"/>
  <c r="S380" i="7"/>
  <c r="S380" i="3" s="1"/>
  <c r="S242" i="7"/>
  <c r="S242" i="3" s="1"/>
  <c r="U98" i="3"/>
  <c r="U374" i="7"/>
  <c r="U374" i="3" s="1"/>
  <c r="U236" i="7"/>
  <c r="U236" i="3" s="1"/>
  <c r="S96" i="3"/>
  <c r="S372" i="7"/>
  <c r="S372" i="3" s="1"/>
  <c r="T93" i="3"/>
  <c r="T369" i="7"/>
  <c r="T369" i="3" s="1"/>
  <c r="T231" i="7"/>
  <c r="T231" i="3" s="1"/>
  <c r="U90" i="3"/>
  <c r="U366" i="7"/>
  <c r="U366" i="3" s="1"/>
  <c r="U228" i="7"/>
  <c r="U228" i="3" s="1"/>
  <c r="S88" i="3"/>
  <c r="S364" i="7"/>
  <c r="S364" i="3" s="1"/>
  <c r="S226" i="7"/>
  <c r="S226" i="3" s="1"/>
  <c r="T85" i="3"/>
  <c r="T361" i="7"/>
  <c r="T361" i="3" s="1"/>
  <c r="U82" i="3"/>
  <c r="U358" i="7"/>
  <c r="U358" i="3" s="1"/>
  <c r="U220" i="7"/>
  <c r="U220" i="3" s="1"/>
  <c r="S80" i="3"/>
  <c r="S356" i="7"/>
  <c r="S356" i="3" s="1"/>
  <c r="T77" i="3"/>
  <c r="T353" i="7"/>
  <c r="T353" i="3" s="1"/>
  <c r="T215" i="7"/>
  <c r="T215" i="3" s="1"/>
  <c r="U74" i="3"/>
  <c r="U212" i="7"/>
  <c r="U212" i="3" s="1"/>
  <c r="S72" i="3"/>
  <c r="S210" i="7"/>
  <c r="S210" i="3" s="1"/>
  <c r="S348" i="7"/>
  <c r="S348" i="3" s="1"/>
  <c r="T69" i="3"/>
  <c r="T345" i="7"/>
  <c r="T345" i="3" s="1"/>
  <c r="T207" i="7"/>
  <c r="T207" i="3" s="1"/>
  <c r="U66" i="3"/>
  <c r="U342" i="7"/>
  <c r="U342" i="3" s="1"/>
  <c r="U204" i="7"/>
  <c r="U204" i="3" s="1"/>
  <c r="S64" i="3"/>
  <c r="S340" i="7"/>
  <c r="S340" i="3" s="1"/>
  <c r="S202" i="7"/>
  <c r="S202" i="3" s="1"/>
  <c r="T61" i="3"/>
  <c r="T337" i="7"/>
  <c r="T337" i="3" s="1"/>
  <c r="T199" i="7"/>
  <c r="T199" i="3" s="1"/>
  <c r="U58" i="3"/>
  <c r="U334" i="7"/>
  <c r="U334" i="3" s="1"/>
  <c r="U196" i="7"/>
  <c r="U196" i="3" s="1"/>
  <c r="S56" i="3"/>
  <c r="S194" i="7"/>
  <c r="S194" i="3" s="1"/>
  <c r="S332" i="7"/>
  <c r="S332" i="3" s="1"/>
  <c r="T53" i="3"/>
  <c r="T329" i="7"/>
  <c r="T329" i="3" s="1"/>
  <c r="T191" i="7"/>
  <c r="T191" i="3" s="1"/>
  <c r="U50" i="3"/>
  <c r="U188" i="7"/>
  <c r="U188" i="3" s="1"/>
  <c r="U326" i="7"/>
  <c r="U326" i="3" s="1"/>
  <c r="S48" i="3"/>
  <c r="S324" i="7"/>
  <c r="S324" i="3" s="1"/>
  <c r="S186" i="7"/>
  <c r="S186" i="3" s="1"/>
  <c r="T45" i="3"/>
  <c r="T183" i="7"/>
  <c r="T183" i="3" s="1"/>
  <c r="T321" i="7"/>
  <c r="T321" i="3" s="1"/>
  <c r="U42" i="3"/>
  <c r="U180" i="7"/>
  <c r="U180" i="3" s="1"/>
  <c r="U318" i="7"/>
  <c r="U318" i="3" s="1"/>
  <c r="S40" i="3"/>
  <c r="S316" i="7"/>
  <c r="S316" i="3" s="1"/>
  <c r="S178" i="7"/>
  <c r="S178" i="3" s="1"/>
  <c r="T37" i="3"/>
  <c r="T175" i="7"/>
  <c r="T175" i="3" s="1"/>
  <c r="T313" i="7"/>
  <c r="T313" i="3" s="1"/>
  <c r="U34" i="3"/>
  <c r="U310" i="7"/>
  <c r="U310" i="3" s="1"/>
  <c r="U172" i="7"/>
  <c r="U172" i="3" s="1"/>
  <c r="S32" i="3"/>
  <c r="S170" i="7"/>
  <c r="S170" i="3" s="1"/>
  <c r="S308" i="7"/>
  <c r="S308" i="3" s="1"/>
  <c r="T29" i="3"/>
  <c r="T305" i="7"/>
  <c r="T305" i="3" s="1"/>
  <c r="T167" i="7"/>
  <c r="T167" i="3" s="1"/>
  <c r="U26" i="3"/>
  <c r="U302" i="7"/>
  <c r="U302" i="3" s="1"/>
  <c r="U164" i="7"/>
  <c r="U164" i="3" s="1"/>
  <c r="S24" i="3"/>
  <c r="S162" i="7"/>
  <c r="S162" i="3" s="1"/>
  <c r="S300" i="7"/>
  <c r="S300" i="3" s="1"/>
  <c r="T21" i="3"/>
  <c r="T159" i="7"/>
  <c r="T159" i="3" s="1"/>
  <c r="T297" i="7"/>
  <c r="T297" i="3" s="1"/>
  <c r="U18" i="3"/>
  <c r="U156" i="7"/>
  <c r="U156" i="3" s="1"/>
  <c r="U294" i="7"/>
  <c r="U294" i="3" s="1"/>
  <c r="S16" i="3"/>
  <c r="S292" i="7"/>
  <c r="S292" i="3" s="1"/>
  <c r="S154" i="7"/>
  <c r="S154" i="3" s="1"/>
  <c r="T13" i="3"/>
  <c r="T151" i="7"/>
  <c r="T151" i="3" s="1"/>
  <c r="T289" i="7"/>
  <c r="T289" i="3" s="1"/>
  <c r="U10" i="3"/>
  <c r="U148" i="7"/>
  <c r="U148" i="3" s="1"/>
  <c r="S8" i="3"/>
  <c r="S284" i="7"/>
  <c r="S284" i="3" s="1"/>
  <c r="T5" i="3"/>
  <c r="T281" i="7"/>
  <c r="T281" i="3" s="1"/>
  <c r="Q275" i="7"/>
  <c r="Q267" i="7"/>
  <c r="Q267" i="3" s="1"/>
  <c r="Q259" i="7"/>
  <c r="Q259" i="3" s="1"/>
  <c r="Q251" i="7"/>
  <c r="Q251" i="3" s="1"/>
  <c r="Q243" i="7"/>
  <c r="Q243" i="3" s="1"/>
  <c r="Q235" i="7"/>
  <c r="Q235" i="3" s="1"/>
  <c r="Q227" i="7"/>
  <c r="Q227" i="3" s="1"/>
  <c r="Q219" i="7"/>
  <c r="Q219" i="3" s="1"/>
  <c r="Q211" i="7"/>
  <c r="Q211" i="3" s="1"/>
  <c r="Q203" i="7"/>
  <c r="Q195" i="7"/>
  <c r="Q195" i="3" s="1"/>
  <c r="Q187" i="7"/>
  <c r="Q187" i="3" s="1"/>
  <c r="Q179" i="7"/>
  <c r="Q179" i="3" s="1"/>
  <c r="Q171" i="7"/>
  <c r="Q171" i="3" s="1"/>
  <c r="Q163" i="7"/>
  <c r="Q163" i="3" s="1"/>
  <c r="Q155" i="7"/>
  <c r="Q155" i="3" s="1"/>
  <c r="Q147" i="7"/>
  <c r="R140" i="7"/>
  <c r="R140" i="3" s="1"/>
  <c r="U274" i="7"/>
  <c r="U274" i="3" s="1"/>
  <c r="U272" i="7"/>
  <c r="U272" i="3" s="1"/>
  <c r="U270" i="7"/>
  <c r="U270" i="3" s="1"/>
  <c r="U268" i="7"/>
  <c r="U268" i="3" s="1"/>
  <c r="U266" i="7"/>
  <c r="U266" i="3" s="1"/>
  <c r="U264" i="7"/>
  <c r="U264" i="3" s="1"/>
  <c r="U262" i="7"/>
  <c r="U262" i="3" s="1"/>
  <c r="U260" i="7"/>
  <c r="U260" i="3" s="1"/>
  <c r="U258" i="7"/>
  <c r="U258" i="3" s="1"/>
  <c r="U256" i="7"/>
  <c r="U256" i="3" s="1"/>
  <c r="U254" i="7"/>
  <c r="U254" i="3" s="1"/>
  <c r="U252" i="7"/>
  <c r="U252" i="3" s="1"/>
  <c r="U250" i="7"/>
  <c r="U250" i="3" s="1"/>
  <c r="U248" i="7"/>
  <c r="U248" i="3" s="1"/>
  <c r="U245" i="7"/>
  <c r="U245" i="3" s="1"/>
  <c r="U242" i="7"/>
  <c r="U242" i="3" s="1"/>
  <c r="U238" i="7"/>
  <c r="U238" i="3" s="1"/>
  <c r="T232" i="7"/>
  <c r="T232" i="3" s="1"/>
  <c r="T223" i="7"/>
  <c r="T223" i="3" s="1"/>
  <c r="S214" i="7"/>
  <c r="S214" i="3" s="1"/>
  <c r="S204" i="7"/>
  <c r="S204" i="3" s="1"/>
  <c r="U182" i="7"/>
  <c r="U182" i="3" s="1"/>
  <c r="S172" i="7"/>
  <c r="S172" i="3" s="1"/>
  <c r="U149" i="7"/>
  <c r="U149" i="3" s="1"/>
  <c r="S411" i="7"/>
  <c r="S411" i="3" s="1"/>
  <c r="S401" i="7"/>
  <c r="S401" i="3" s="1"/>
  <c r="Q378" i="7"/>
  <c r="Q378" i="3" s="1"/>
  <c r="S354" i="7"/>
  <c r="S354" i="3" s="1"/>
  <c r="T341" i="7"/>
  <c r="T341" i="3" s="1"/>
  <c r="Q327" i="7"/>
  <c r="Q327" i="3" s="1"/>
  <c r="S312" i="7"/>
  <c r="S312" i="3" s="1"/>
  <c r="U297" i="7"/>
  <c r="U297" i="3" s="1"/>
  <c r="R283" i="7"/>
  <c r="R283" i="3" s="1"/>
  <c r="Q136" i="3"/>
  <c r="Q412" i="7"/>
  <c r="Q412" i="3" s="1"/>
  <c r="Q128" i="3"/>
  <c r="Q404" i="7"/>
  <c r="Q404" i="3" s="1"/>
  <c r="Q120" i="3"/>
  <c r="Q396" i="7"/>
  <c r="Q396" i="3" s="1"/>
  <c r="Q88" i="3"/>
  <c r="Q364" i="7"/>
  <c r="Q364" i="3" s="1"/>
  <c r="Q80" i="3"/>
  <c r="Q356" i="7"/>
  <c r="Q356" i="3" s="1"/>
  <c r="Q72" i="3"/>
  <c r="Q348" i="7"/>
  <c r="Q348" i="3" s="1"/>
  <c r="Q64" i="3"/>
  <c r="Q340" i="7"/>
  <c r="Q340" i="3" s="1"/>
  <c r="Q56" i="3"/>
  <c r="Q332" i="7"/>
  <c r="Q332" i="3" s="1"/>
  <c r="Q48" i="3"/>
  <c r="Q324" i="7"/>
  <c r="Q324" i="3" s="1"/>
  <c r="Q24" i="3"/>
  <c r="Q300" i="7"/>
  <c r="Q300" i="3" s="1"/>
  <c r="Q16" i="3"/>
  <c r="Q292" i="7"/>
  <c r="Q292" i="3" s="1"/>
  <c r="R136" i="3"/>
  <c r="R412" i="7"/>
  <c r="R412" i="3" s="1"/>
  <c r="R120" i="3"/>
  <c r="R396" i="7"/>
  <c r="R396" i="3" s="1"/>
  <c r="R112" i="3"/>
  <c r="R388" i="7"/>
  <c r="R388" i="3" s="1"/>
  <c r="R104" i="3"/>
  <c r="R380" i="7"/>
  <c r="R380" i="3" s="1"/>
  <c r="R242" i="7"/>
  <c r="R242" i="3" s="1"/>
  <c r="R96" i="3"/>
  <c r="R234" i="7"/>
  <c r="R234" i="3" s="1"/>
  <c r="R88" i="3"/>
  <c r="R364" i="7"/>
  <c r="R364" i="3" s="1"/>
  <c r="R226" i="7"/>
  <c r="R226" i="3" s="1"/>
  <c r="R80" i="3"/>
  <c r="R356" i="7"/>
  <c r="R356" i="3" s="1"/>
  <c r="R218" i="7"/>
  <c r="R218" i="3" s="1"/>
  <c r="R72" i="3"/>
  <c r="R210" i="7"/>
  <c r="R210" i="3" s="1"/>
  <c r="R64" i="3"/>
  <c r="R340" i="7"/>
  <c r="R340" i="3" s="1"/>
  <c r="R202" i="7"/>
  <c r="R202" i="3" s="1"/>
  <c r="R56" i="3"/>
  <c r="R194" i="7"/>
  <c r="R194" i="3" s="1"/>
  <c r="R332" i="7"/>
  <c r="R332" i="3" s="1"/>
  <c r="R48" i="3"/>
  <c r="R324" i="7"/>
  <c r="R324" i="3" s="1"/>
  <c r="R186" i="7"/>
  <c r="R186" i="3" s="1"/>
  <c r="R40" i="3"/>
  <c r="R316" i="7"/>
  <c r="R316" i="3" s="1"/>
  <c r="R178" i="7"/>
  <c r="R178" i="3" s="1"/>
  <c r="R32" i="3"/>
  <c r="R308" i="7"/>
  <c r="R308" i="3" s="1"/>
  <c r="R170" i="7"/>
  <c r="R170" i="3" s="1"/>
  <c r="R24" i="3"/>
  <c r="R300" i="7"/>
  <c r="R300" i="3" s="1"/>
  <c r="R162" i="7"/>
  <c r="R162" i="3" s="1"/>
  <c r="R16" i="3"/>
  <c r="R154" i="7"/>
  <c r="R154" i="3" s="1"/>
  <c r="R292" i="7"/>
  <c r="R292" i="3" s="1"/>
  <c r="R8" i="3"/>
  <c r="R284" i="7"/>
  <c r="R284" i="3" s="1"/>
  <c r="R146" i="7"/>
  <c r="R146" i="3" s="1"/>
  <c r="T2" i="3"/>
  <c r="T278" i="7"/>
  <c r="U135" i="3"/>
  <c r="U411" i="7"/>
  <c r="U411" i="3" s="1"/>
  <c r="S133" i="3"/>
  <c r="S409" i="7"/>
  <c r="S409" i="3" s="1"/>
  <c r="T130" i="3"/>
  <c r="T406" i="7"/>
  <c r="T406" i="3" s="1"/>
  <c r="U127" i="3"/>
  <c r="U403" i="7"/>
  <c r="U403" i="3" s="1"/>
  <c r="T122" i="3"/>
  <c r="T398" i="7"/>
  <c r="T398" i="3" s="1"/>
  <c r="S117" i="3"/>
  <c r="S393" i="7"/>
  <c r="S393" i="3" s="1"/>
  <c r="T114" i="3"/>
  <c r="T390" i="7"/>
  <c r="T390" i="3" s="1"/>
  <c r="U111" i="3"/>
  <c r="U387" i="7"/>
  <c r="U387" i="3" s="1"/>
  <c r="S109" i="3"/>
  <c r="S385" i="7"/>
  <c r="S385" i="3" s="1"/>
  <c r="S247" i="7"/>
  <c r="S247" i="3" s="1"/>
  <c r="T106" i="3"/>
  <c r="T382" i="7"/>
  <c r="T382" i="3" s="1"/>
  <c r="U103" i="3"/>
  <c r="U379" i="7"/>
  <c r="U379" i="3" s="1"/>
  <c r="S101" i="3"/>
  <c r="S377" i="7"/>
  <c r="S377" i="3" s="1"/>
  <c r="S239" i="7"/>
  <c r="S239" i="3" s="1"/>
  <c r="T98" i="3"/>
  <c r="T374" i="7"/>
  <c r="T374" i="3" s="1"/>
  <c r="U95" i="3"/>
  <c r="U233" i="7"/>
  <c r="U233" i="3" s="1"/>
  <c r="S93" i="3"/>
  <c r="S369" i="7"/>
  <c r="S369" i="3" s="1"/>
  <c r="S231" i="7"/>
  <c r="S231" i="3" s="1"/>
  <c r="T90" i="3"/>
  <c r="T228" i="7"/>
  <c r="T228" i="3" s="1"/>
  <c r="U87" i="3"/>
  <c r="U363" i="7"/>
  <c r="U363" i="3" s="1"/>
  <c r="S85" i="3"/>
  <c r="S361" i="7"/>
  <c r="S361" i="3" s="1"/>
  <c r="S223" i="7"/>
  <c r="S223" i="3" s="1"/>
  <c r="T82" i="3"/>
  <c r="T358" i="7"/>
  <c r="T358" i="3" s="1"/>
  <c r="U79" i="3"/>
  <c r="U355" i="7"/>
  <c r="U355" i="3" s="1"/>
  <c r="U217" i="7"/>
  <c r="U217" i="3" s="1"/>
  <c r="S77" i="3"/>
  <c r="S353" i="7"/>
  <c r="S353" i="3" s="1"/>
  <c r="S215" i="7"/>
  <c r="S215" i="3" s="1"/>
  <c r="T74" i="3"/>
  <c r="T212" i="7"/>
  <c r="T212" i="3" s="1"/>
  <c r="T350" i="7"/>
  <c r="T350" i="3" s="1"/>
  <c r="U71" i="3"/>
  <c r="U347" i="7"/>
  <c r="U347" i="3" s="1"/>
  <c r="S69" i="3"/>
  <c r="S345" i="7"/>
  <c r="S345" i="3" s="1"/>
  <c r="S207" i="7"/>
  <c r="S207" i="3" s="1"/>
  <c r="T66" i="3"/>
  <c r="T342" i="7"/>
  <c r="T342" i="3" s="1"/>
  <c r="T204" i="7"/>
  <c r="T204" i="3" s="1"/>
  <c r="U63" i="3"/>
  <c r="U339" i="7"/>
  <c r="U339" i="3" s="1"/>
  <c r="S61" i="3"/>
  <c r="S337" i="7"/>
  <c r="S337" i="3" s="1"/>
  <c r="S199" i="7"/>
  <c r="S199" i="3" s="1"/>
  <c r="T58" i="3"/>
  <c r="T334" i="7"/>
  <c r="T334" i="3" s="1"/>
  <c r="T196" i="7"/>
  <c r="T196" i="3" s="1"/>
  <c r="U55" i="3"/>
  <c r="U331" i="7"/>
  <c r="U331" i="3" s="1"/>
  <c r="S53" i="3"/>
  <c r="S329" i="7"/>
  <c r="S329" i="3" s="1"/>
  <c r="S191" i="7"/>
  <c r="S191" i="3" s="1"/>
  <c r="T50" i="3"/>
  <c r="T326" i="7"/>
  <c r="T326" i="3" s="1"/>
  <c r="T188" i="7"/>
  <c r="T188" i="3" s="1"/>
  <c r="U47" i="3"/>
  <c r="U323" i="7"/>
  <c r="U323" i="3" s="1"/>
  <c r="S45" i="3"/>
  <c r="S321" i="7"/>
  <c r="S321" i="3" s="1"/>
  <c r="S183" i="7"/>
  <c r="S183" i="3" s="1"/>
  <c r="T42" i="3"/>
  <c r="T318" i="7"/>
  <c r="T318" i="3" s="1"/>
  <c r="T180" i="7"/>
  <c r="T180" i="3" s="1"/>
  <c r="U39" i="3"/>
  <c r="U315" i="7"/>
  <c r="U315" i="3" s="1"/>
  <c r="S37" i="3"/>
  <c r="S313" i="7"/>
  <c r="S313" i="3" s="1"/>
  <c r="S175" i="7"/>
  <c r="S175" i="3" s="1"/>
  <c r="T34" i="3"/>
  <c r="T172" i="7"/>
  <c r="T172" i="3" s="1"/>
  <c r="T310" i="7"/>
  <c r="T310" i="3" s="1"/>
  <c r="U31" i="3"/>
  <c r="U307" i="7"/>
  <c r="U307" i="3" s="1"/>
  <c r="S29" i="3"/>
  <c r="S305" i="7"/>
  <c r="S305" i="3" s="1"/>
  <c r="S167" i="7"/>
  <c r="S167" i="3" s="1"/>
  <c r="T26" i="3"/>
  <c r="T164" i="7"/>
  <c r="T164" i="3" s="1"/>
  <c r="T302" i="7"/>
  <c r="T302" i="3" s="1"/>
  <c r="U23" i="3"/>
  <c r="U299" i="7"/>
  <c r="U299" i="3" s="1"/>
  <c r="S21" i="3"/>
  <c r="S297" i="7"/>
  <c r="S297" i="3" s="1"/>
  <c r="S159" i="7"/>
  <c r="S159" i="3" s="1"/>
  <c r="T18" i="3"/>
  <c r="T294" i="7"/>
  <c r="T294" i="3" s="1"/>
  <c r="T156" i="7"/>
  <c r="T156" i="3" s="1"/>
  <c r="U15" i="3"/>
  <c r="U291" i="7"/>
  <c r="U291" i="3" s="1"/>
  <c r="U153" i="7"/>
  <c r="U153" i="3" s="1"/>
  <c r="S13" i="3"/>
  <c r="S289" i="7"/>
  <c r="S289" i="3" s="1"/>
  <c r="S151" i="7"/>
  <c r="S151" i="3" s="1"/>
  <c r="T10" i="3"/>
  <c r="T286" i="7"/>
  <c r="T286" i="3" s="1"/>
  <c r="U7" i="3"/>
  <c r="U283" i="7"/>
  <c r="U283" i="3" s="1"/>
  <c r="S5" i="3"/>
  <c r="S281" i="7"/>
  <c r="S281" i="3" s="1"/>
  <c r="S143" i="7"/>
  <c r="S143" i="3" s="1"/>
  <c r="Q274" i="7"/>
  <c r="Q274" i="3" s="1"/>
  <c r="Q266" i="7"/>
  <c r="Q266" i="3" s="1"/>
  <c r="Q258" i="7"/>
  <c r="Q258" i="3" s="1"/>
  <c r="Q250" i="7"/>
  <c r="Q242" i="7"/>
  <c r="Q242" i="3" s="1"/>
  <c r="Q234" i="7"/>
  <c r="Q226" i="7"/>
  <c r="Q226" i="3" s="1"/>
  <c r="Q218" i="7"/>
  <c r="Q218" i="3" s="1"/>
  <c r="Q210" i="7"/>
  <c r="Q210" i="3" s="1"/>
  <c r="Q202" i="7"/>
  <c r="Q202" i="3" s="1"/>
  <c r="Q194" i="7"/>
  <c r="Q194" i="3" s="1"/>
  <c r="Q186" i="7"/>
  <c r="Q186" i="3" s="1"/>
  <c r="Q170" i="7"/>
  <c r="Q170" i="3" s="1"/>
  <c r="Q162" i="7"/>
  <c r="Q162" i="3" s="1"/>
  <c r="Q154" i="7"/>
  <c r="Q154" i="3" s="1"/>
  <c r="Q146" i="7"/>
  <c r="S140" i="7"/>
  <c r="S140" i="3" s="1"/>
  <c r="T274" i="7"/>
  <c r="T274" i="3" s="1"/>
  <c r="T272" i="7"/>
  <c r="T272" i="3" s="1"/>
  <c r="T270" i="7"/>
  <c r="T270" i="3" s="1"/>
  <c r="T268" i="7"/>
  <c r="T268" i="3" s="1"/>
  <c r="T266" i="7"/>
  <c r="T266" i="3" s="1"/>
  <c r="T264" i="7"/>
  <c r="T264" i="3" s="1"/>
  <c r="T262" i="7"/>
  <c r="T262" i="3" s="1"/>
  <c r="T260" i="7"/>
  <c r="T260" i="3" s="1"/>
  <c r="T258" i="7"/>
  <c r="T258" i="3" s="1"/>
  <c r="T256" i="7"/>
  <c r="T256" i="3" s="1"/>
  <c r="T254" i="7"/>
  <c r="T254" i="3" s="1"/>
  <c r="T252" i="7"/>
  <c r="T252" i="3" s="1"/>
  <c r="T250" i="7"/>
  <c r="T250" i="3" s="1"/>
  <c r="T248" i="7"/>
  <c r="T248" i="3" s="1"/>
  <c r="T245" i="7"/>
  <c r="T245" i="3" s="1"/>
  <c r="T242" i="7"/>
  <c r="T242" i="3" s="1"/>
  <c r="T238" i="7"/>
  <c r="T238" i="3" s="1"/>
  <c r="R232" i="7"/>
  <c r="R232" i="3" s="1"/>
  <c r="U222" i="7"/>
  <c r="U222" i="3" s="1"/>
  <c r="U213" i="7"/>
  <c r="U213" i="3" s="1"/>
  <c r="U203" i="7"/>
  <c r="U203" i="3" s="1"/>
  <c r="U192" i="7"/>
  <c r="U192" i="3" s="1"/>
  <c r="S182" i="7"/>
  <c r="S182" i="3" s="1"/>
  <c r="U171" i="7"/>
  <c r="U171" i="3" s="1"/>
  <c r="U160" i="7"/>
  <c r="U160" i="3" s="1"/>
  <c r="T148" i="7"/>
  <c r="T148" i="3" s="1"/>
  <c r="Q411" i="7"/>
  <c r="Q411" i="3" s="1"/>
  <c r="Q401" i="7"/>
  <c r="Q401" i="3" s="1"/>
  <c r="Q389" i="7"/>
  <c r="Q389" i="3" s="1"/>
  <c r="T377" i="7"/>
  <c r="T377" i="3" s="1"/>
  <c r="S365" i="7"/>
  <c r="S365" i="3" s="1"/>
  <c r="Q354" i="7"/>
  <c r="Q354" i="3" s="1"/>
  <c r="S326" i="7"/>
  <c r="S326" i="3" s="1"/>
  <c r="T311" i="7"/>
  <c r="T311" i="3" s="1"/>
  <c r="Q297" i="7"/>
  <c r="Q297" i="3" s="1"/>
  <c r="S282" i="7"/>
  <c r="S282" i="3" s="1"/>
  <c r="AQ8" i="4"/>
  <c r="I44" i="3"/>
  <c r="I320" i="7"/>
  <c r="I90" i="3"/>
  <c r="I366" i="7"/>
  <c r="I66" i="3"/>
  <c r="I342" i="7"/>
  <c r="I96" i="3"/>
  <c r="I372" i="7"/>
  <c r="AD278" i="3"/>
  <c r="AL278" i="3"/>
  <c r="AT278" i="3"/>
  <c r="J2" i="4"/>
  <c r="K7" i="4"/>
  <c r="L2" i="4"/>
  <c r="L8" i="4"/>
  <c r="R2" i="4"/>
  <c r="S7" i="4"/>
  <c r="T5" i="4"/>
  <c r="U5" i="4"/>
  <c r="V4" i="4"/>
  <c r="V96" i="3" s="1"/>
  <c r="W3" i="4"/>
  <c r="X8" i="4"/>
  <c r="Z2" i="4"/>
  <c r="Z114" i="3" s="1"/>
  <c r="AA7" i="4"/>
  <c r="AB6" i="4"/>
  <c r="AB65" i="3" s="1"/>
  <c r="AC5" i="4"/>
  <c r="AI2" i="4"/>
  <c r="AJ7" i="4"/>
  <c r="AJ89" i="3" s="1"/>
  <c r="AL6" i="4"/>
  <c r="AD6" i="4"/>
  <c r="AF5" i="4"/>
  <c r="AH4" i="4"/>
  <c r="AJ3" i="4"/>
  <c r="AJ35" i="3" s="1"/>
  <c r="AN7" i="4"/>
  <c r="AN77" i="3" s="1"/>
  <c r="AO5" i="4"/>
  <c r="AP3" i="4"/>
  <c r="AP35" i="3" s="1"/>
  <c r="AR7" i="4"/>
  <c r="AR89" i="3" s="1"/>
  <c r="AS5" i="4"/>
  <c r="AT3" i="4"/>
  <c r="AT35" i="3" s="1"/>
  <c r="AV7" i="4"/>
  <c r="AV77" i="3" s="1"/>
  <c r="AW5" i="4"/>
  <c r="AX3" i="4"/>
  <c r="AX35" i="3" s="1"/>
  <c r="AJ8" i="4"/>
  <c r="AR8" i="4"/>
  <c r="I140" i="7"/>
  <c r="I163" i="7"/>
  <c r="I149" i="7"/>
  <c r="O23" i="4"/>
  <c r="I405" i="7"/>
  <c r="I391" i="7"/>
  <c r="I382" i="7"/>
  <c r="I373" i="7"/>
  <c r="I363" i="7"/>
  <c r="I347" i="7"/>
  <c r="I331" i="7"/>
  <c r="I315" i="7"/>
  <c r="I299" i="7"/>
  <c r="I283" i="7"/>
  <c r="I2" i="3"/>
  <c r="I137" i="3"/>
  <c r="I108" i="3"/>
  <c r="I384" i="7"/>
  <c r="I344" i="7"/>
  <c r="I68" i="3"/>
  <c r="I328" i="7"/>
  <c r="I52" i="3"/>
  <c r="I136" i="3"/>
  <c r="I412" i="7"/>
  <c r="I112" i="3"/>
  <c r="I388" i="7"/>
  <c r="I64" i="3"/>
  <c r="I340" i="7"/>
  <c r="I324" i="7"/>
  <c r="I48" i="3"/>
  <c r="I40" i="3"/>
  <c r="I316" i="7"/>
  <c r="I14" i="3"/>
  <c r="I290" i="7"/>
  <c r="AE278" i="3"/>
  <c r="AM278" i="3"/>
  <c r="AU278" i="3"/>
  <c r="I2" i="4"/>
  <c r="J7" i="4"/>
  <c r="K6" i="4"/>
  <c r="K9" i="3" s="1"/>
  <c r="L7" i="4"/>
  <c r="Q2" i="4"/>
  <c r="R7" i="4"/>
  <c r="S6" i="4"/>
  <c r="T4" i="4"/>
  <c r="U4" i="4"/>
  <c r="V3" i="4"/>
  <c r="W8" i="4"/>
  <c r="Y2" i="4"/>
  <c r="Z7" i="4"/>
  <c r="AA6" i="4"/>
  <c r="AA65" i="3" s="1"/>
  <c r="AB5" i="4"/>
  <c r="AC4" i="4"/>
  <c r="AJ2" i="4"/>
  <c r="AI7" i="4"/>
  <c r="AI77" i="3" s="1"/>
  <c r="AK6" i="4"/>
  <c r="AM5" i="4"/>
  <c r="AE5" i="4"/>
  <c r="AG4" i="4"/>
  <c r="AI3" i="4"/>
  <c r="AI35" i="3" s="1"/>
  <c r="AN6" i="4"/>
  <c r="AO4" i="4"/>
  <c r="AQ2" i="4"/>
  <c r="AR6" i="4"/>
  <c r="AS4" i="4"/>
  <c r="AU2" i="4"/>
  <c r="AV6" i="4"/>
  <c r="AW4" i="4"/>
  <c r="AC8" i="4"/>
  <c r="AK8" i="4"/>
  <c r="AS8" i="4"/>
  <c r="I275" i="7"/>
  <c r="I271" i="7"/>
  <c r="I267" i="7"/>
  <c r="I263" i="7"/>
  <c r="I259" i="7"/>
  <c r="I255" i="7"/>
  <c r="I251" i="7"/>
  <c r="I247" i="7"/>
  <c r="I243" i="7"/>
  <c r="I239" i="7"/>
  <c r="I235" i="7"/>
  <c r="I231" i="7"/>
  <c r="I227" i="7"/>
  <c r="I223" i="7"/>
  <c r="I219" i="7"/>
  <c r="I215" i="7"/>
  <c r="I211" i="7"/>
  <c r="I207" i="7"/>
  <c r="I203" i="7"/>
  <c r="I199" i="7"/>
  <c r="I195" i="7"/>
  <c r="I191" i="7"/>
  <c r="I187" i="7"/>
  <c r="I183" i="7"/>
  <c r="I179" i="7"/>
  <c r="I175" i="7"/>
  <c r="I171" i="7"/>
  <c r="I167" i="7"/>
  <c r="I153" i="7"/>
  <c r="I278" i="7"/>
  <c r="I409" i="7"/>
  <c r="I395" i="7"/>
  <c r="I386" i="7"/>
  <c r="I377" i="7"/>
  <c r="I357" i="7"/>
  <c r="I341" i="7"/>
  <c r="I325" i="7"/>
  <c r="I309" i="7"/>
  <c r="I293" i="7"/>
  <c r="I376" i="7"/>
  <c r="I100" i="3"/>
  <c r="I350" i="7"/>
  <c r="I74" i="3"/>
  <c r="I334" i="7"/>
  <c r="I58" i="3"/>
  <c r="I380" i="7"/>
  <c r="I104" i="3"/>
  <c r="I88" i="3"/>
  <c r="I364" i="7"/>
  <c r="I332" i="7"/>
  <c r="I56" i="3"/>
  <c r="I306" i="7"/>
  <c r="I30" i="3"/>
  <c r="I298" i="7"/>
  <c r="I22" i="3"/>
  <c r="I282" i="7"/>
  <c r="I6" i="3"/>
  <c r="I362" i="7"/>
  <c r="I86" i="3"/>
  <c r="I354" i="7"/>
  <c r="I78" i="3"/>
  <c r="I346" i="7"/>
  <c r="I70" i="3"/>
  <c r="I338" i="7"/>
  <c r="I62" i="3"/>
  <c r="I330" i="7"/>
  <c r="I54" i="3"/>
  <c r="I46" i="3"/>
  <c r="I322" i="7"/>
  <c r="I38" i="3"/>
  <c r="I314" i="7"/>
  <c r="AF278" i="3"/>
  <c r="AN278" i="3"/>
  <c r="AV278" i="3"/>
  <c r="I7" i="4"/>
  <c r="I89" i="3" s="1"/>
  <c r="J6" i="4"/>
  <c r="K5" i="4"/>
  <c r="K15" i="3" s="1"/>
  <c r="L6" i="4"/>
  <c r="Q7" i="4"/>
  <c r="Q67" i="3" s="1"/>
  <c r="R6" i="4"/>
  <c r="S5" i="4"/>
  <c r="T3" i="4"/>
  <c r="U3" i="4"/>
  <c r="V8" i="4"/>
  <c r="X2" i="4"/>
  <c r="X114" i="3" s="1"/>
  <c r="Y7" i="4"/>
  <c r="Z6" i="4"/>
  <c r="Z65" i="3" s="1"/>
  <c r="AA5" i="4"/>
  <c r="AB4" i="4"/>
  <c r="AB96" i="3" s="1"/>
  <c r="AC3" i="4"/>
  <c r="AC35" i="3" s="1"/>
  <c r="AK2" i="4"/>
  <c r="AH7" i="4"/>
  <c r="AH89" i="3" s="1"/>
  <c r="AJ6" i="4"/>
  <c r="AL5" i="4"/>
  <c r="AD5" i="4"/>
  <c r="AF4" i="4"/>
  <c r="AH3" i="4"/>
  <c r="AH35" i="3" s="1"/>
  <c r="AN5" i="4"/>
  <c r="AO3" i="4"/>
  <c r="AO35" i="3" s="1"/>
  <c r="AQ7" i="4"/>
  <c r="AQ77" i="3" s="1"/>
  <c r="AR5" i="4"/>
  <c r="AS3" i="4"/>
  <c r="AS35" i="3" s="1"/>
  <c r="AU7" i="4"/>
  <c r="AU128" i="3" s="1"/>
  <c r="AV5" i="4"/>
  <c r="AW3" i="4"/>
  <c r="AW35" i="3" s="1"/>
  <c r="AD8" i="4"/>
  <c r="AL8" i="4"/>
  <c r="AT8" i="4"/>
  <c r="I157" i="7"/>
  <c r="I399" i="7"/>
  <c r="I390" i="7"/>
  <c r="I381" i="7"/>
  <c r="I367" i="7"/>
  <c r="I351" i="7"/>
  <c r="I335" i="7"/>
  <c r="I319" i="7"/>
  <c r="I303" i="7"/>
  <c r="I287" i="7"/>
  <c r="I352" i="7"/>
  <c r="I76" i="3"/>
  <c r="I396" i="7"/>
  <c r="I120" i="3"/>
  <c r="I356" i="7"/>
  <c r="I80" i="3"/>
  <c r="I348" i="7"/>
  <c r="I72" i="3"/>
  <c r="I28" i="3"/>
  <c r="I304" i="7"/>
  <c r="I166" i="7"/>
  <c r="I296" i="7"/>
  <c r="I158" i="7"/>
  <c r="I20" i="3"/>
  <c r="I12" i="3"/>
  <c r="I288" i="7"/>
  <c r="I150" i="7"/>
  <c r="I280" i="7"/>
  <c r="I142" i="7"/>
  <c r="I4" i="3"/>
  <c r="AG278" i="3"/>
  <c r="AO278" i="3"/>
  <c r="AW278" i="3"/>
  <c r="T278" i="3"/>
  <c r="I6" i="4"/>
  <c r="J5" i="4"/>
  <c r="K4" i="4"/>
  <c r="K61" i="3" s="1"/>
  <c r="L5" i="4"/>
  <c r="Q6" i="4"/>
  <c r="Q122" i="3" s="1"/>
  <c r="R5" i="4"/>
  <c r="S4" i="4"/>
  <c r="T2" i="4"/>
  <c r="U8" i="4"/>
  <c r="W2" i="4"/>
  <c r="X7" i="4"/>
  <c r="Y6" i="4"/>
  <c r="Y65" i="3" s="1"/>
  <c r="Z5" i="4"/>
  <c r="AA4" i="4"/>
  <c r="AA96" i="3" s="1"/>
  <c r="AB3" i="4"/>
  <c r="AD2" i="4"/>
  <c r="AL2" i="4"/>
  <c r="AG7" i="4"/>
  <c r="AG89" i="3" s="1"/>
  <c r="AI6" i="4"/>
  <c r="AK5" i="4"/>
  <c r="AM4" i="4"/>
  <c r="AE4" i="4"/>
  <c r="AG3" i="4"/>
  <c r="AG35" i="3" s="1"/>
  <c r="AN4" i="4"/>
  <c r="AP2" i="4"/>
  <c r="AQ6" i="4"/>
  <c r="AR4" i="4"/>
  <c r="AT2" i="4"/>
  <c r="AU6" i="4"/>
  <c r="AV4" i="4"/>
  <c r="AX2" i="4"/>
  <c r="AE8" i="4"/>
  <c r="AM8" i="4"/>
  <c r="AU8" i="4"/>
  <c r="M12" i="4"/>
  <c r="I274" i="7"/>
  <c r="I266" i="7"/>
  <c r="I258" i="7"/>
  <c r="I250" i="7"/>
  <c r="I246" i="7"/>
  <c r="I242" i="7"/>
  <c r="I238" i="7"/>
  <c r="I234" i="7"/>
  <c r="I226" i="7"/>
  <c r="I218" i="7"/>
  <c r="I214" i="7"/>
  <c r="I210" i="7"/>
  <c r="I206" i="7"/>
  <c r="I202" i="7"/>
  <c r="I194" i="7"/>
  <c r="I190" i="7"/>
  <c r="I186" i="7"/>
  <c r="I182" i="7"/>
  <c r="I178" i="7"/>
  <c r="I161" i="7"/>
  <c r="I152" i="7"/>
  <c r="I143" i="7"/>
  <c r="I403" i="7"/>
  <c r="I394" i="7"/>
  <c r="I385" i="7"/>
  <c r="I371" i="7"/>
  <c r="I361" i="7"/>
  <c r="I345" i="7"/>
  <c r="I329" i="7"/>
  <c r="I313" i="7"/>
  <c r="I297" i="7"/>
  <c r="I281" i="7"/>
  <c r="I408" i="7"/>
  <c r="I132" i="3"/>
  <c r="I92" i="3"/>
  <c r="I368" i="7"/>
  <c r="AH278" i="3"/>
  <c r="AP278" i="3"/>
  <c r="AX278" i="3"/>
  <c r="I5" i="4"/>
  <c r="J4" i="4"/>
  <c r="K3" i="4"/>
  <c r="K98" i="3" s="1"/>
  <c r="L4" i="4"/>
  <c r="Q5" i="4"/>
  <c r="Q84" i="3" s="1"/>
  <c r="R4" i="4"/>
  <c r="S3" i="4"/>
  <c r="T8" i="4"/>
  <c r="V2" i="4"/>
  <c r="W7" i="4"/>
  <c r="X6" i="4"/>
  <c r="X65" i="3" s="1"/>
  <c r="Y5" i="4"/>
  <c r="Z4" i="4"/>
  <c r="Z96" i="3" s="1"/>
  <c r="AA3" i="4"/>
  <c r="AB8" i="4"/>
  <c r="AE2" i="4"/>
  <c r="AM2" i="4"/>
  <c r="AF7" i="4"/>
  <c r="AF77" i="3" s="1"/>
  <c r="AH6" i="4"/>
  <c r="AJ5" i="4"/>
  <c r="AL4" i="4"/>
  <c r="AD4" i="4"/>
  <c r="AF3" i="4"/>
  <c r="AF35" i="3" s="1"/>
  <c r="AN3" i="4"/>
  <c r="AN35" i="3" s="1"/>
  <c r="AP7" i="4"/>
  <c r="AP89" i="3" s="1"/>
  <c r="AQ5" i="4"/>
  <c r="AR3" i="4"/>
  <c r="AR35" i="3" s="1"/>
  <c r="AT7" i="4"/>
  <c r="AT77" i="3" s="1"/>
  <c r="AU5" i="4"/>
  <c r="AV3" i="4"/>
  <c r="AV35" i="3" s="1"/>
  <c r="AX7" i="4"/>
  <c r="AX89" i="3" s="1"/>
  <c r="AF8" i="4"/>
  <c r="AN8" i="4"/>
  <c r="AV8" i="4"/>
  <c r="M16" i="4"/>
  <c r="I165" i="7"/>
  <c r="I147" i="7"/>
  <c r="I407" i="7"/>
  <c r="I398" i="7"/>
  <c r="I389" i="7"/>
  <c r="I375" i="7"/>
  <c r="I355" i="7"/>
  <c r="I339" i="7"/>
  <c r="I323" i="7"/>
  <c r="I307" i="7"/>
  <c r="I291" i="7"/>
  <c r="I131" i="3"/>
  <c r="I400" i="7"/>
  <c r="I124" i="3"/>
  <c r="I60" i="3"/>
  <c r="I336" i="7"/>
  <c r="I310" i="7"/>
  <c r="I34" i="3"/>
  <c r="I302" i="7"/>
  <c r="I26" i="3"/>
  <c r="I294" i="7"/>
  <c r="I18" i="3"/>
  <c r="I286" i="7"/>
  <c r="I10" i="3"/>
  <c r="AI278" i="3"/>
  <c r="AQ278" i="3"/>
  <c r="R278" i="3"/>
  <c r="I4" i="4"/>
  <c r="J3" i="4"/>
  <c r="J35" i="3" s="1"/>
  <c r="K8" i="4"/>
  <c r="L3" i="4"/>
  <c r="Q4" i="4"/>
  <c r="Q38" i="3" s="1"/>
  <c r="R3" i="4"/>
  <c r="S8" i="4"/>
  <c r="U2" i="4"/>
  <c r="V7" i="4"/>
  <c r="W6" i="4"/>
  <c r="W65" i="3" s="1"/>
  <c r="X5" i="4"/>
  <c r="Y4" i="4"/>
  <c r="Y96" i="3" s="1"/>
  <c r="Z3" i="4"/>
  <c r="AA8" i="4"/>
  <c r="AC2" i="4"/>
  <c r="AF2" i="4"/>
  <c r="AM7" i="4"/>
  <c r="AM128" i="3" s="1"/>
  <c r="AE7" i="4"/>
  <c r="AE128" i="3" s="1"/>
  <c r="AG6" i="4"/>
  <c r="AI5" i="4"/>
  <c r="AK4" i="4"/>
  <c r="AM3" i="4"/>
  <c r="AM35" i="3" s="1"/>
  <c r="AE3" i="4"/>
  <c r="AE35" i="3" s="1"/>
  <c r="AO2" i="4"/>
  <c r="AP6" i="4"/>
  <c r="AQ4" i="4"/>
  <c r="AS2" i="4"/>
  <c r="AT6" i="4"/>
  <c r="AU4" i="4"/>
  <c r="AW2" i="4"/>
  <c r="AX6" i="4"/>
  <c r="AG8" i="4"/>
  <c r="AO8" i="4"/>
  <c r="AW8" i="4"/>
  <c r="N13" i="4"/>
  <c r="N234" i="3" s="1"/>
  <c r="I273" i="7"/>
  <c r="I265" i="7"/>
  <c r="I261" i="7"/>
  <c r="I257" i="7"/>
  <c r="I253" i="7"/>
  <c r="I249" i="7"/>
  <c r="I245" i="7"/>
  <c r="I241" i="7"/>
  <c r="I237" i="7"/>
  <c r="I233" i="7"/>
  <c r="I229" i="7"/>
  <c r="I225" i="7"/>
  <c r="I221" i="7"/>
  <c r="I217" i="7"/>
  <c r="I213" i="7"/>
  <c r="I209" i="7"/>
  <c r="I205" i="7"/>
  <c r="I201" i="7"/>
  <c r="I197" i="7"/>
  <c r="I193" i="7"/>
  <c r="I189" i="7"/>
  <c r="I185" i="7"/>
  <c r="I181" i="7"/>
  <c r="I177" i="7"/>
  <c r="I173" i="7"/>
  <c r="I169" i="7"/>
  <c r="I160" i="7"/>
  <c r="I151" i="7"/>
  <c r="I411" i="7"/>
  <c r="I402" i="7"/>
  <c r="I393" i="7"/>
  <c r="I379" i="7"/>
  <c r="I370" i="7"/>
  <c r="I349" i="7"/>
  <c r="I333" i="7"/>
  <c r="I317" i="7"/>
  <c r="I301" i="7"/>
  <c r="I285" i="7"/>
  <c r="I84" i="3"/>
  <c r="I360" i="7"/>
  <c r="AJ278" i="3"/>
  <c r="AR278" i="3"/>
  <c r="L278" i="3"/>
  <c r="I3" i="4"/>
  <c r="I35" i="3" s="1"/>
  <c r="J8" i="4"/>
  <c r="Q3" i="4"/>
  <c r="Q37" i="3" s="1"/>
  <c r="R8" i="4"/>
  <c r="T7" i="4"/>
  <c r="U7" i="4"/>
  <c r="V6" i="4"/>
  <c r="V65" i="3" s="1"/>
  <c r="W5" i="4"/>
  <c r="X4" i="4"/>
  <c r="X96" i="3" s="1"/>
  <c r="Y3" i="4"/>
  <c r="Z8" i="4"/>
  <c r="AB2" i="4"/>
  <c r="AB114" i="3" s="1"/>
  <c r="AC7" i="4"/>
  <c r="AC77" i="3" s="1"/>
  <c r="AG2" i="4"/>
  <c r="AL7" i="4"/>
  <c r="AL77" i="3" s="1"/>
  <c r="AD7" i="4"/>
  <c r="AD77" i="3" s="1"/>
  <c r="AF6" i="4"/>
  <c r="AH5" i="4"/>
  <c r="AJ4" i="4"/>
  <c r="AL3" i="4"/>
  <c r="AL35" i="3" s="1"/>
  <c r="AD3" i="4"/>
  <c r="AD35" i="3" s="1"/>
  <c r="AO7" i="4"/>
  <c r="AO89" i="3" s="1"/>
  <c r="AP5" i="4"/>
  <c r="AQ3" i="4"/>
  <c r="AQ35" i="3" s="1"/>
  <c r="AS7" i="4"/>
  <c r="AS77" i="3" s="1"/>
  <c r="AT5" i="4"/>
  <c r="AU3" i="4"/>
  <c r="AU35" i="3" s="1"/>
  <c r="AW7" i="4"/>
  <c r="AW89" i="3" s="1"/>
  <c r="AX5" i="4"/>
  <c r="AH8" i="4"/>
  <c r="AP8" i="4"/>
  <c r="AX8" i="4"/>
  <c r="P15" i="4"/>
  <c r="I164" i="7"/>
  <c r="I155" i="7"/>
  <c r="I141" i="7"/>
  <c r="I406" i="7"/>
  <c r="I397" i="7"/>
  <c r="I383" i="7"/>
  <c r="I374" i="7"/>
  <c r="I359" i="7"/>
  <c r="I343" i="7"/>
  <c r="I327" i="7"/>
  <c r="I295" i="7"/>
  <c r="I279" i="7"/>
  <c r="I116" i="3"/>
  <c r="I392" i="7"/>
  <c r="I36" i="3"/>
  <c r="I312" i="7"/>
  <c r="I358" i="7"/>
  <c r="I82" i="3"/>
  <c r="I326" i="7"/>
  <c r="I50" i="3"/>
  <c r="I318" i="7"/>
  <c r="I42" i="3"/>
  <c r="I32" i="3"/>
  <c r="I308" i="7"/>
  <c r="I300" i="7"/>
  <c r="I162" i="7"/>
  <c r="I24" i="3"/>
  <c r="I16" i="3"/>
  <c r="I292" i="7"/>
  <c r="I154" i="7"/>
  <c r="I8" i="3"/>
  <c r="I284" i="7"/>
  <c r="I146" i="7"/>
  <c r="J278" i="3"/>
  <c r="K278" i="3"/>
  <c r="AC278" i="3"/>
  <c r="AK278" i="3"/>
  <c r="AS278" i="3"/>
  <c r="I8" i="4"/>
  <c r="K2" i="4"/>
  <c r="K23" i="3" s="1"/>
  <c r="Q8" i="4"/>
  <c r="S2" i="4"/>
  <c r="T6" i="4"/>
  <c r="U6" i="4"/>
  <c r="V5" i="4"/>
  <c r="W4" i="4"/>
  <c r="W96" i="3" s="1"/>
  <c r="X3" i="4"/>
  <c r="Y8" i="4"/>
  <c r="AA2" i="4"/>
  <c r="AA114" i="3" s="1"/>
  <c r="AB7" i="4"/>
  <c r="AC6" i="4"/>
  <c r="AH2" i="4"/>
  <c r="AK7" i="4"/>
  <c r="AK77" i="3" s="1"/>
  <c r="AM6" i="4"/>
  <c r="AE6" i="4"/>
  <c r="AG5" i="4"/>
  <c r="AI4" i="4"/>
  <c r="AK3" i="4"/>
  <c r="AK35" i="3" s="1"/>
  <c r="AN2" i="4"/>
  <c r="AO6" i="4"/>
  <c r="AP4" i="4"/>
  <c r="AR2" i="4"/>
  <c r="AS6" i="4"/>
  <c r="AT4" i="4"/>
  <c r="AV2" i="4"/>
  <c r="AW6" i="4"/>
  <c r="AX4" i="4"/>
  <c r="AI8" i="4"/>
  <c r="I272" i="7"/>
  <c r="I268" i="7"/>
  <c r="I264" i="7"/>
  <c r="I260" i="7"/>
  <c r="I256" i="7"/>
  <c r="I252" i="7"/>
  <c r="I248" i="7"/>
  <c r="I244" i="7"/>
  <c r="I240" i="7"/>
  <c r="I236" i="7"/>
  <c r="I232" i="7"/>
  <c r="I228" i="7"/>
  <c r="I224" i="7"/>
  <c r="I220" i="7"/>
  <c r="I216" i="7"/>
  <c r="I212" i="7"/>
  <c r="I208" i="7"/>
  <c r="I204" i="7"/>
  <c r="I200" i="7"/>
  <c r="I196" i="7"/>
  <c r="I192" i="7"/>
  <c r="I188" i="7"/>
  <c r="I184" i="7"/>
  <c r="I180" i="7"/>
  <c r="I176" i="7"/>
  <c r="I172" i="7"/>
  <c r="I168" i="7"/>
  <c r="I159" i="7"/>
  <c r="I145" i="7"/>
  <c r="I410" i="7"/>
  <c r="I401" i="7"/>
  <c r="I387" i="7"/>
  <c r="I378" i="7"/>
  <c r="I369" i="7"/>
  <c r="I337" i="7"/>
  <c r="I321" i="7"/>
  <c r="I305" i="7"/>
  <c r="I289" i="7"/>
  <c r="AV128" i="3"/>
  <c r="E4" i="12"/>
  <c r="B9" i="12"/>
  <c r="F15" i="12"/>
  <c r="AN128" i="3"/>
  <c r="B11" i="12"/>
  <c r="C9" i="12"/>
  <c r="Y114" i="3"/>
  <c r="AJ77" i="3"/>
  <c r="H11" i="12"/>
  <c r="G11" i="12"/>
  <c r="E15" i="12"/>
  <c r="V114" i="3"/>
  <c r="AF89" i="3"/>
  <c r="C4" i="12"/>
  <c r="F11" i="12"/>
  <c r="N128" i="3"/>
  <c r="N89" i="3"/>
  <c r="E11" i="12"/>
  <c r="C15" i="12"/>
  <c r="AV89" i="3"/>
  <c r="E9" i="12"/>
  <c r="D11" i="12"/>
  <c r="AJ128" i="3"/>
  <c r="K115" i="3"/>
  <c r="N107" i="3"/>
  <c r="C11" i="12"/>
  <c r="I77" i="3"/>
  <c r="H15" i="12"/>
  <c r="AN89" i="3"/>
  <c r="I128" i="3"/>
  <c r="K90" i="3"/>
  <c r="H2" i="12"/>
  <c r="K3" i="1"/>
  <c r="L3" i="1"/>
  <c r="J3" i="1"/>
  <c r="D4" i="12" l="1"/>
  <c r="D13" i="12"/>
  <c r="B13" i="12"/>
  <c r="G4" i="12"/>
  <c r="E13" i="12"/>
  <c r="G13" i="12"/>
  <c r="H13" i="12"/>
  <c r="F4" i="12"/>
  <c r="G9" i="12"/>
  <c r="C13" i="12"/>
  <c r="F13" i="12"/>
  <c r="B4" i="12"/>
  <c r="K239" i="3"/>
  <c r="AY239" i="3"/>
  <c r="P23" i="4"/>
  <c r="O16" i="4"/>
  <c r="O15" i="4"/>
  <c r="P14" i="4"/>
  <c r="P22" i="4"/>
  <c r="Z6" i="10"/>
  <c r="K159" i="3"/>
  <c r="AY159" i="3"/>
  <c r="K409" i="3"/>
  <c r="AY409" i="3"/>
  <c r="W8" i="10"/>
  <c r="K160" i="3"/>
  <c r="AY160" i="3"/>
  <c r="K397" i="3"/>
  <c r="AY397" i="3"/>
  <c r="K148" i="3"/>
  <c r="AY148" i="3"/>
  <c r="K398" i="3"/>
  <c r="AY398" i="3"/>
  <c r="K287" i="3"/>
  <c r="AY287" i="3"/>
  <c r="K401" i="3"/>
  <c r="AY401" i="3"/>
  <c r="K338" i="3"/>
  <c r="AY338" i="3"/>
  <c r="K357" i="3"/>
  <c r="AY357" i="3"/>
  <c r="K220" i="3"/>
  <c r="AY220" i="3"/>
  <c r="K170" i="3"/>
  <c r="AY170" i="3"/>
  <c r="K187" i="3"/>
  <c r="AY187" i="3"/>
  <c r="K358" i="3"/>
  <c r="AY358" i="3"/>
  <c r="K269" i="3"/>
  <c r="AY269" i="3"/>
  <c r="K206" i="3"/>
  <c r="AY206" i="3"/>
  <c r="K297" i="3"/>
  <c r="AY297" i="3"/>
  <c r="K377" i="3"/>
  <c r="AY377" i="3"/>
  <c r="K365" i="3"/>
  <c r="AY365" i="3"/>
  <c r="K151" i="3"/>
  <c r="AY151" i="3"/>
  <c r="K308" i="3"/>
  <c r="AY308" i="3"/>
  <c r="K325" i="3"/>
  <c r="AY325" i="3"/>
  <c r="K188" i="3"/>
  <c r="AY188" i="3"/>
  <c r="K407" i="3"/>
  <c r="AY407" i="3"/>
  <c r="K344" i="3"/>
  <c r="AY344" i="3"/>
  <c r="Z5" i="10"/>
  <c r="P12" i="4"/>
  <c r="P11" i="4"/>
  <c r="M13" i="4"/>
  <c r="M234" i="3" s="1"/>
  <c r="O21" i="4"/>
  <c r="O24" i="4"/>
  <c r="M25" i="4"/>
  <c r="X7" i="10"/>
  <c r="X67" i="9" s="1"/>
  <c r="K197" i="3"/>
  <c r="AY197" i="3"/>
  <c r="K289" i="3"/>
  <c r="AY289" i="3"/>
  <c r="K155" i="3"/>
  <c r="AY155" i="3"/>
  <c r="K326" i="3"/>
  <c r="AY326" i="3"/>
  <c r="K268" i="3"/>
  <c r="AY268" i="3"/>
  <c r="N12" i="4"/>
  <c r="N173" i="3" s="1"/>
  <c r="O20" i="4"/>
  <c r="N25" i="4"/>
  <c r="M26" i="4"/>
  <c r="X5" i="10"/>
  <c r="K177" i="3"/>
  <c r="AY177" i="3"/>
  <c r="K195" i="3"/>
  <c r="AY195" i="3"/>
  <c r="K196" i="3"/>
  <c r="AY196" i="3"/>
  <c r="K335" i="3"/>
  <c r="AY335" i="3"/>
  <c r="K185" i="3"/>
  <c r="AY185" i="3"/>
  <c r="K293" i="3"/>
  <c r="AY293" i="3"/>
  <c r="K156" i="3"/>
  <c r="AY156" i="3"/>
  <c r="K406" i="3"/>
  <c r="AY406" i="3"/>
  <c r="K237" i="3"/>
  <c r="AY237" i="3"/>
  <c r="K174" i="3"/>
  <c r="AY174" i="3"/>
  <c r="K298" i="3"/>
  <c r="AY298" i="3"/>
  <c r="O13" i="4"/>
  <c r="F9" i="12"/>
  <c r="H9" i="12"/>
  <c r="O11" i="4"/>
  <c r="N26" i="4"/>
  <c r="M22" i="4"/>
  <c r="M372" i="3" s="1"/>
  <c r="X3" i="10"/>
  <c r="K315" i="3"/>
  <c r="AY315" i="3"/>
  <c r="K257" i="3"/>
  <c r="AY257" i="3"/>
  <c r="K333" i="3"/>
  <c r="AY333" i="3"/>
  <c r="K334" i="3"/>
  <c r="AY334" i="3"/>
  <c r="K323" i="3"/>
  <c r="AY323" i="3"/>
  <c r="K294" i="3"/>
  <c r="AY294" i="3"/>
  <c r="K375" i="3"/>
  <c r="AY375" i="3"/>
  <c r="K312" i="3"/>
  <c r="AY312" i="3"/>
  <c r="B15" i="12"/>
  <c r="P26" i="4"/>
  <c r="P24" i="4"/>
  <c r="Z7" i="10"/>
  <c r="Z67" i="9" s="1"/>
  <c r="K395" i="3"/>
  <c r="AY395" i="3"/>
  <c r="K226" i="3"/>
  <c r="AY226" i="3"/>
  <c r="K140" i="3"/>
  <c r="AY140" i="3"/>
  <c r="K165" i="3"/>
  <c r="AY165" i="3"/>
  <c r="K232" i="3"/>
  <c r="AY232" i="3"/>
  <c r="K266" i="3"/>
  <c r="AY266" i="3"/>
  <c r="K235" i="3"/>
  <c r="AY235" i="3"/>
  <c r="K205" i="3"/>
  <c r="AY205" i="3"/>
  <c r="N21" i="4"/>
  <c r="N311" i="3" s="1"/>
  <c r="O25" i="4"/>
  <c r="W7" i="10"/>
  <c r="W67" i="9" s="1"/>
  <c r="K175" i="3"/>
  <c r="AY175" i="3"/>
  <c r="K176" i="3"/>
  <c r="AY176" i="3"/>
  <c r="K145" i="3"/>
  <c r="AY145" i="3"/>
  <c r="K284" i="3"/>
  <c r="AY284" i="3"/>
  <c r="K364" i="3"/>
  <c r="AY364" i="3"/>
  <c r="K164" i="3"/>
  <c r="AY164" i="3"/>
  <c r="K303" i="3"/>
  <c r="AY303" i="3"/>
  <c r="K245" i="3"/>
  <c r="AY245" i="3"/>
  <c r="K262" i="3"/>
  <c r="AY262" i="3"/>
  <c r="K370" i="3"/>
  <c r="AY370" i="3"/>
  <c r="K404" i="3"/>
  <c r="AY404" i="3"/>
  <c r="K373" i="3"/>
  <c r="AY373" i="3"/>
  <c r="K343" i="3"/>
  <c r="AY343" i="3"/>
  <c r="K142" i="3"/>
  <c r="AY142" i="3"/>
  <c r="K286" i="3"/>
  <c r="AY286" i="3"/>
  <c r="N11" i="4"/>
  <c r="N245" i="3" s="1"/>
  <c r="O26" i="4"/>
  <c r="M14" i="4"/>
  <c r="Z4" i="10"/>
  <c r="W5" i="10"/>
  <c r="W8" i="9" s="1"/>
  <c r="K313" i="3"/>
  <c r="AY313" i="3"/>
  <c r="K255" i="3"/>
  <c r="AY255" i="3"/>
  <c r="K314" i="3"/>
  <c r="AY314" i="3"/>
  <c r="K283" i="3"/>
  <c r="AY283" i="3"/>
  <c r="K225" i="3"/>
  <c r="AY225" i="3"/>
  <c r="K243" i="3"/>
  <c r="AY243" i="3"/>
  <c r="K302" i="3"/>
  <c r="AY302" i="3"/>
  <c r="K244" i="3"/>
  <c r="AY244" i="3"/>
  <c r="K383" i="3"/>
  <c r="AY383" i="3"/>
  <c r="K400" i="3"/>
  <c r="AY400" i="3"/>
  <c r="K247" i="3"/>
  <c r="AY247" i="3"/>
  <c r="K203" i="3"/>
  <c r="AY203" i="3"/>
  <c r="K280" i="3"/>
  <c r="AY280" i="3"/>
  <c r="K246" i="3"/>
  <c r="AY246" i="3"/>
  <c r="D9" i="12"/>
  <c r="D15" i="12"/>
  <c r="H4" i="12"/>
  <c r="P17" i="4"/>
  <c r="O14" i="4"/>
  <c r="M20" i="4"/>
  <c r="Y4" i="10"/>
  <c r="W3" i="10"/>
  <c r="W35" i="9" s="1"/>
  <c r="K393" i="3"/>
  <c r="AY393" i="3"/>
  <c r="K144" i="3"/>
  <c r="AY144" i="3"/>
  <c r="K363" i="3"/>
  <c r="AY363" i="3"/>
  <c r="K194" i="3"/>
  <c r="AY194" i="3"/>
  <c r="K381" i="3"/>
  <c r="AY381" i="3"/>
  <c r="K382" i="3"/>
  <c r="AY382" i="3"/>
  <c r="K385" i="3"/>
  <c r="AY385" i="3"/>
  <c r="K341" i="3"/>
  <c r="AY341" i="3"/>
  <c r="K204" i="3"/>
  <c r="AY204" i="3"/>
  <c r="K173" i="3"/>
  <c r="AY173" i="3"/>
  <c r="K384" i="3"/>
  <c r="AY384" i="3"/>
  <c r="K146" i="3"/>
  <c r="AY146" i="3"/>
  <c r="N20" i="4"/>
  <c r="N383" i="3" s="1"/>
  <c r="Z3" i="10"/>
  <c r="K223" i="3"/>
  <c r="AY223" i="3"/>
  <c r="K282" i="3"/>
  <c r="AY282" i="3"/>
  <c r="K332" i="3"/>
  <c r="AY332" i="3"/>
  <c r="K274" i="3"/>
  <c r="AY274" i="3"/>
  <c r="K213" i="3"/>
  <c r="AY213" i="3"/>
  <c r="K265" i="3"/>
  <c r="AY265" i="3"/>
  <c r="K171" i="3"/>
  <c r="AY171" i="3"/>
  <c r="K342" i="3"/>
  <c r="AY342" i="3"/>
  <c r="K311" i="3"/>
  <c r="AY311" i="3"/>
  <c r="Y52" i="9"/>
  <c r="Y79" i="9"/>
  <c r="Y114" i="9"/>
  <c r="Y29" i="9"/>
  <c r="Y40" i="9"/>
  <c r="Y137" i="9"/>
  <c r="Y19" i="9"/>
  <c r="N24" i="4"/>
  <c r="P16" i="4"/>
  <c r="M11" i="4"/>
  <c r="N17" i="4"/>
  <c r="P13" i="4"/>
  <c r="M21" i="4"/>
  <c r="C10" i="12" s="1"/>
  <c r="X2" i="10"/>
  <c r="Y6" i="10"/>
  <c r="K361" i="3"/>
  <c r="AY361" i="3"/>
  <c r="K272" i="3"/>
  <c r="AY272" i="3"/>
  <c r="K193" i="3"/>
  <c r="AY193" i="3"/>
  <c r="K412" i="3"/>
  <c r="AY412" i="3"/>
  <c r="K212" i="3"/>
  <c r="AY212" i="3"/>
  <c r="K351" i="3"/>
  <c r="AY351" i="3"/>
  <c r="K215" i="3"/>
  <c r="AY215" i="3"/>
  <c r="K403" i="3"/>
  <c r="AY403" i="3"/>
  <c r="K234" i="3"/>
  <c r="AY234" i="3"/>
  <c r="K309" i="3"/>
  <c r="AY309" i="3"/>
  <c r="K172" i="3"/>
  <c r="AY172" i="3"/>
  <c r="K270" i="3"/>
  <c r="AY270" i="3"/>
  <c r="N15" i="4"/>
  <c r="O17" i="4"/>
  <c r="M17" i="4"/>
  <c r="N14" i="4"/>
  <c r="P21" i="4"/>
  <c r="X4" i="10"/>
  <c r="X6" i="10"/>
  <c r="K410" i="3"/>
  <c r="AY410" i="3"/>
  <c r="K331" i="3"/>
  <c r="AY331" i="3"/>
  <c r="K350" i="3"/>
  <c r="AY350" i="3"/>
  <c r="K353" i="3"/>
  <c r="AY353" i="3"/>
  <c r="K249" i="3"/>
  <c r="AY249" i="3"/>
  <c r="K372" i="3"/>
  <c r="AY372" i="3"/>
  <c r="K310" i="3"/>
  <c r="AY310" i="3"/>
  <c r="K141" i="3"/>
  <c r="AY141" i="3"/>
  <c r="K408" i="3"/>
  <c r="AY408" i="3"/>
  <c r="O12" i="4"/>
  <c r="M23" i="4"/>
  <c r="O22" i="4"/>
  <c r="Y7" i="10"/>
  <c r="Y67" i="9" s="1"/>
  <c r="Z2" i="10"/>
  <c r="K242" i="3"/>
  <c r="AY242" i="3"/>
  <c r="K182" i="3"/>
  <c r="AY182" i="3"/>
  <c r="K264" i="3"/>
  <c r="AY264" i="3"/>
  <c r="K169" i="3"/>
  <c r="AY169" i="3"/>
  <c r="K387" i="3"/>
  <c r="AY387" i="3"/>
  <c r="K279" i="3"/>
  <c r="AY279" i="3"/>
  <c r="K221" i="3"/>
  <c r="AY221" i="3"/>
  <c r="P25" i="4"/>
  <c r="P20" i="4"/>
  <c r="N23" i="4"/>
  <c r="Y5" i="10"/>
  <c r="W6" i="10"/>
  <c r="W122" i="9" s="1"/>
  <c r="Z8" i="10"/>
  <c r="K380" i="3"/>
  <c r="AY380" i="3"/>
  <c r="K320" i="3"/>
  <c r="AY320" i="3"/>
  <c r="K402" i="3"/>
  <c r="AY402" i="3"/>
  <c r="K307" i="3"/>
  <c r="AY307" i="3"/>
  <c r="K202" i="3"/>
  <c r="AY202" i="3"/>
  <c r="K359" i="3"/>
  <c r="AY359" i="3"/>
  <c r="K238" i="3"/>
  <c r="AY238" i="3"/>
  <c r="K227" i="3"/>
  <c r="AY227" i="3"/>
  <c r="N16" i="4"/>
  <c r="N266" i="3" s="1"/>
  <c r="Y3" i="10"/>
  <c r="K271" i="3"/>
  <c r="AY271" i="3"/>
  <c r="K259" i="3"/>
  <c r="AY259" i="3"/>
  <c r="K260" i="3"/>
  <c r="AY260" i="3"/>
  <c r="K149" i="3"/>
  <c r="AY149" i="3"/>
  <c r="K263" i="3"/>
  <c r="AY263" i="3"/>
  <c r="K200" i="3"/>
  <c r="AY200" i="3"/>
  <c r="K340" i="3"/>
  <c r="AY340" i="3"/>
  <c r="K219" i="3"/>
  <c r="AY219" i="3"/>
  <c r="K376" i="3"/>
  <c r="AY376" i="3"/>
  <c r="K40" i="3"/>
  <c r="W82" i="9"/>
  <c r="W84" i="9"/>
  <c r="W91" i="9"/>
  <c r="W37" i="9"/>
  <c r="W39" i="9"/>
  <c r="W114" i="9"/>
  <c r="W19" i="9"/>
  <c r="W52" i="9"/>
  <c r="W29" i="9"/>
  <c r="W79" i="9"/>
  <c r="W40" i="9"/>
  <c r="W9" i="9"/>
  <c r="W75" i="9"/>
  <c r="W61" i="9"/>
  <c r="W38" i="9"/>
  <c r="W112" i="9"/>
  <c r="AP77" i="3"/>
  <c r="Q40" i="3"/>
  <c r="G32" i="12"/>
  <c r="H32" i="12"/>
  <c r="B32" i="12"/>
  <c r="C32" i="12"/>
  <c r="D32" i="12"/>
  <c r="E32" i="12"/>
  <c r="F32" i="12"/>
  <c r="E34" i="12"/>
  <c r="F34" i="12"/>
  <c r="G34" i="12"/>
  <c r="B34" i="12"/>
  <c r="H34" i="12"/>
  <c r="C34" i="12"/>
  <c r="D34" i="12"/>
  <c r="G35" i="12"/>
  <c r="H35" i="12"/>
  <c r="B35" i="12"/>
  <c r="C35" i="12"/>
  <c r="D35" i="12"/>
  <c r="E35" i="12"/>
  <c r="F35" i="12"/>
  <c r="C33" i="12"/>
  <c r="D33" i="12"/>
  <c r="E33" i="12"/>
  <c r="F33" i="12"/>
  <c r="B33" i="12"/>
  <c r="G33" i="12"/>
  <c r="H33" i="12"/>
  <c r="B36" i="12"/>
  <c r="C36" i="12"/>
  <c r="D36" i="12"/>
  <c r="E36" i="12"/>
  <c r="F36" i="12"/>
  <c r="G36" i="12"/>
  <c r="H36" i="12"/>
  <c r="AI128" i="3"/>
  <c r="AI89" i="3"/>
  <c r="W114" i="3"/>
  <c r="V3" i="10"/>
  <c r="V4" i="10"/>
  <c r="V5" i="10"/>
  <c r="V6" i="10"/>
  <c r="V7" i="10"/>
  <c r="V8" i="10"/>
  <c r="V2" i="10"/>
  <c r="K19" i="3"/>
  <c r="AP128" i="3"/>
  <c r="K29" i="3"/>
  <c r="K76" i="3"/>
  <c r="K72" i="3"/>
  <c r="K73" i="3"/>
  <c r="K129" i="3"/>
  <c r="K24" i="3"/>
  <c r="K52" i="3"/>
  <c r="K123" i="3"/>
  <c r="K110" i="3"/>
  <c r="K137" i="3"/>
  <c r="K48" i="3"/>
  <c r="K30" i="3"/>
  <c r="AR77" i="3"/>
  <c r="AR128" i="3"/>
  <c r="K41" i="3"/>
  <c r="K16" i="3"/>
  <c r="K63" i="3"/>
  <c r="AW128" i="3"/>
  <c r="K25" i="3"/>
  <c r="K45" i="3"/>
  <c r="AW77" i="3"/>
  <c r="K86" i="3"/>
  <c r="K5" i="3"/>
  <c r="K92" i="3"/>
  <c r="K78" i="3"/>
  <c r="Q91" i="3"/>
  <c r="Q29" i="3"/>
  <c r="AQ89" i="3"/>
  <c r="AG77" i="3"/>
  <c r="K112" i="3"/>
  <c r="K28" i="3"/>
  <c r="K43" i="3"/>
  <c r="K84" i="3"/>
  <c r="Q79" i="3"/>
  <c r="K116" i="3"/>
  <c r="Q114" i="3"/>
  <c r="K102" i="3"/>
  <c r="Q137" i="3"/>
  <c r="K118" i="3"/>
  <c r="Q52" i="3"/>
  <c r="AH128" i="3"/>
  <c r="AQ128" i="3"/>
  <c r="Q19" i="3"/>
  <c r="K95" i="3"/>
  <c r="AH77" i="3"/>
  <c r="K120" i="3"/>
  <c r="K20" i="3"/>
  <c r="K51" i="3"/>
  <c r="K42" i="3"/>
  <c r="Q8" i="3"/>
  <c r="B19" i="12"/>
  <c r="AG128" i="3"/>
  <c r="G19" i="12"/>
  <c r="H19" i="12"/>
  <c r="K71" i="3"/>
  <c r="AE77" i="3"/>
  <c r="J49" i="3"/>
  <c r="K135" i="3"/>
  <c r="Q82" i="3"/>
  <c r="C5" i="12"/>
  <c r="AO77" i="3"/>
  <c r="H27" i="12"/>
  <c r="K14" i="3"/>
  <c r="K114" i="3"/>
  <c r="K12" i="3"/>
  <c r="K70" i="3"/>
  <c r="K93" i="3"/>
  <c r="K60" i="3"/>
  <c r="K79" i="3"/>
  <c r="K113" i="3"/>
  <c r="K46" i="3"/>
  <c r="K69" i="3"/>
  <c r="K103" i="3"/>
  <c r="AC89" i="3"/>
  <c r="F19" i="12"/>
  <c r="AO128" i="3"/>
  <c r="K54" i="3"/>
  <c r="K91" i="3"/>
  <c r="B18" i="12"/>
  <c r="K80" i="3"/>
  <c r="K53" i="3"/>
  <c r="Q75" i="3"/>
  <c r="AC128" i="3"/>
  <c r="AF128" i="3"/>
  <c r="G25" i="12"/>
  <c r="E5" i="12"/>
  <c r="AU77" i="3"/>
  <c r="Q35" i="3"/>
  <c r="G29" i="12"/>
  <c r="E25" i="12"/>
  <c r="AU89" i="3"/>
  <c r="Y14" i="4"/>
  <c r="H23" i="14" s="1"/>
  <c r="E19" i="12"/>
  <c r="F5" i="12"/>
  <c r="Q65" i="3"/>
  <c r="Q9" i="3"/>
  <c r="Q39" i="3"/>
  <c r="AE20" i="4"/>
  <c r="AM17" i="4"/>
  <c r="H25" i="12"/>
  <c r="C18" i="12"/>
  <c r="AK14" i="4"/>
  <c r="H29" i="12"/>
  <c r="H5" i="12"/>
  <c r="AX128" i="3"/>
  <c r="AX77" i="3"/>
  <c r="L15" i="4"/>
  <c r="D27" i="12"/>
  <c r="F7" i="12"/>
  <c r="AR26" i="4"/>
  <c r="J20" i="4"/>
  <c r="G18" i="12"/>
  <c r="H18" i="12"/>
  <c r="C21" i="12"/>
  <c r="AD89" i="3"/>
  <c r="AE89" i="3"/>
  <c r="AM77" i="3"/>
  <c r="G5" i="12"/>
  <c r="D5" i="12"/>
  <c r="AK128" i="3"/>
  <c r="B5" i="12"/>
  <c r="D18" i="12"/>
  <c r="AM89" i="3"/>
  <c r="AS128" i="3"/>
  <c r="AD128" i="3"/>
  <c r="D19" i="12"/>
  <c r="C19" i="12"/>
  <c r="F18" i="12"/>
  <c r="J105" i="3"/>
  <c r="C25" i="12"/>
  <c r="D25" i="12"/>
  <c r="AT89" i="3"/>
  <c r="F25" i="12"/>
  <c r="B25" i="12"/>
  <c r="AT128" i="3"/>
  <c r="E18" i="12"/>
  <c r="AH16" i="4"/>
  <c r="AL16" i="4"/>
  <c r="AL266" i="3" s="1"/>
  <c r="C27" i="12"/>
  <c r="E7" i="12"/>
  <c r="AS17" i="4"/>
  <c r="V16" i="4"/>
  <c r="H32" i="14" s="1"/>
  <c r="J32" i="14" s="1"/>
  <c r="L16" i="4"/>
  <c r="R16" i="4"/>
  <c r="B29" i="12"/>
  <c r="D7" i="12"/>
  <c r="D29" i="12"/>
  <c r="E29" i="12"/>
  <c r="Q61" i="3"/>
  <c r="G27" i="12"/>
  <c r="AV12" i="4"/>
  <c r="AV173" i="3" s="1"/>
  <c r="AF21" i="4"/>
  <c r="AF311" i="3" s="1"/>
  <c r="F23" i="12"/>
  <c r="AD14" i="4"/>
  <c r="AX17" i="4"/>
  <c r="C23" i="12"/>
  <c r="F29" i="12"/>
  <c r="C7" i="12"/>
  <c r="AQ26" i="4"/>
  <c r="AR17" i="4"/>
  <c r="AN14" i="4"/>
  <c r="AL14" i="4"/>
  <c r="AJ14" i="4"/>
  <c r="E6" i="12"/>
  <c r="E23" i="12"/>
  <c r="E27" i="12"/>
  <c r="G7" i="12"/>
  <c r="F27" i="12"/>
  <c r="H7" i="12"/>
  <c r="B7" i="12"/>
  <c r="F6" i="12"/>
  <c r="K21" i="4"/>
  <c r="K356" i="3" s="1"/>
  <c r="AK11" i="4"/>
  <c r="AB16" i="4"/>
  <c r="AM16" i="4"/>
  <c r="X14" i="4"/>
  <c r="H22" i="14" s="1"/>
  <c r="J22" i="14" s="1"/>
  <c r="V14" i="4"/>
  <c r="H20" i="14" s="1"/>
  <c r="J20" i="14" s="1"/>
  <c r="T17" i="4"/>
  <c r="D23" i="12"/>
  <c r="AS89" i="3"/>
  <c r="H6" i="12"/>
  <c r="B6" i="12"/>
  <c r="B23" i="12"/>
  <c r="AE16" i="4"/>
  <c r="AE266" i="3" s="1"/>
  <c r="AK16" i="4"/>
  <c r="AI16" i="4"/>
  <c r="AI266" i="3" s="1"/>
  <c r="AH15" i="4"/>
  <c r="E21" i="12"/>
  <c r="Q96" i="3"/>
  <c r="C29" i="12"/>
  <c r="Q112" i="3"/>
  <c r="G23" i="12"/>
  <c r="H23" i="12"/>
  <c r="B27" i="12"/>
  <c r="AF13" i="4"/>
  <c r="W16" i="4"/>
  <c r="H33" i="14" s="1"/>
  <c r="U16" i="4"/>
  <c r="S16" i="4"/>
  <c r="K14" i="4"/>
  <c r="K153" i="3" s="1"/>
  <c r="C6" i="12"/>
  <c r="J11" i="4"/>
  <c r="AO14" i="4"/>
  <c r="AM14" i="4"/>
  <c r="G6" i="12"/>
  <c r="AQ25" i="4"/>
  <c r="AQ365" i="3" s="1"/>
  <c r="AK13" i="4"/>
  <c r="AO12" i="4"/>
  <c r="AO173" i="3" s="1"/>
  <c r="AK26" i="4"/>
  <c r="AI17" i="4"/>
  <c r="Q23" i="4"/>
  <c r="L22" i="4"/>
  <c r="AJ22" i="4"/>
  <c r="AU20" i="4"/>
  <c r="AE12" i="4"/>
  <c r="AE173" i="3" s="1"/>
  <c r="R21" i="4"/>
  <c r="AQ20" i="4"/>
  <c r="AR20" i="4"/>
  <c r="AV13" i="4"/>
  <c r="S22" i="4"/>
  <c r="AX26" i="4"/>
  <c r="AP26" i="4"/>
  <c r="AH26" i="4"/>
  <c r="AR24" i="4"/>
  <c r="AC12" i="4"/>
  <c r="AC173" i="3" s="1"/>
  <c r="AW25" i="4"/>
  <c r="AO25" i="4"/>
  <c r="AG25" i="4"/>
  <c r="S13" i="4"/>
  <c r="AC11" i="4"/>
  <c r="U21" i="4"/>
  <c r="AV26" i="4"/>
  <c r="AN21" i="4"/>
  <c r="AN311" i="3" s="1"/>
  <c r="AF22" i="4"/>
  <c r="AJ20" i="4"/>
  <c r="J13" i="4"/>
  <c r="L11" i="4"/>
  <c r="AE25" i="4"/>
  <c r="L20" i="4"/>
  <c r="X13" i="4"/>
  <c r="Y12" i="4"/>
  <c r="H11" i="14" s="1"/>
  <c r="Z11" i="4"/>
  <c r="Z14" i="4"/>
  <c r="H24" i="14" s="1"/>
  <c r="W13" i="4"/>
  <c r="X12" i="4"/>
  <c r="H10" i="14" s="1"/>
  <c r="J10" i="14" s="1"/>
  <c r="Y11" i="4"/>
  <c r="AA17" i="4"/>
  <c r="V13" i="4"/>
  <c r="W12" i="4"/>
  <c r="H9" i="14" s="1"/>
  <c r="X11" i="4"/>
  <c r="V12" i="4"/>
  <c r="H8" i="14" s="1"/>
  <c r="J8" i="14" s="1"/>
  <c r="W11" i="4"/>
  <c r="AB13" i="4"/>
  <c r="AB234" i="3" s="1"/>
  <c r="V11" i="4"/>
  <c r="AA13" i="4"/>
  <c r="AA234" i="3" s="1"/>
  <c r="AB12" i="4"/>
  <c r="Z13" i="4"/>
  <c r="AA12" i="4"/>
  <c r="AB11" i="4"/>
  <c r="AB252" i="3" s="1"/>
  <c r="X16" i="4"/>
  <c r="H34" i="14" s="1"/>
  <c r="J34" i="14" s="1"/>
  <c r="Y15" i="4"/>
  <c r="Y13" i="4"/>
  <c r="Z12" i="4"/>
  <c r="H12" i="14" s="1"/>
  <c r="AA11" i="4"/>
  <c r="AA252" i="3" s="1"/>
  <c r="AH12" i="4"/>
  <c r="AH173" i="3" s="1"/>
  <c r="AT20" i="4"/>
  <c r="AL24" i="4"/>
  <c r="AD26" i="4"/>
  <c r="AR25" i="4"/>
  <c r="AS24" i="4"/>
  <c r="AV15" i="4"/>
  <c r="AU15" i="4"/>
  <c r="AN17" i="4"/>
  <c r="AT15" i="4"/>
  <c r="AE17" i="4"/>
  <c r="AS15" i="4"/>
  <c r="AL17" i="4"/>
  <c r="K16" i="4"/>
  <c r="AK17" i="4"/>
  <c r="J16" i="4"/>
  <c r="AB14" i="4"/>
  <c r="AW16" i="4"/>
  <c r="Z15" i="4"/>
  <c r="D21" i="12"/>
  <c r="K26" i="4"/>
  <c r="Q15" i="4"/>
  <c r="AG12" i="4"/>
  <c r="AG173" i="3" s="1"/>
  <c r="AS25" i="4"/>
  <c r="K22" i="4"/>
  <c r="AJ23" i="4"/>
  <c r="AF12" i="4"/>
  <c r="AF173" i="3" s="1"/>
  <c r="Q24" i="4"/>
  <c r="L25" i="4"/>
  <c r="U14" i="4"/>
  <c r="R22" i="4"/>
  <c r="AQ22" i="4"/>
  <c r="AL13" i="4"/>
  <c r="AU11" i="4"/>
  <c r="S23" i="4"/>
  <c r="AX20" i="4"/>
  <c r="AP20" i="4"/>
  <c r="AH20" i="4"/>
  <c r="U23" i="4"/>
  <c r="U12" i="4"/>
  <c r="AW26" i="4"/>
  <c r="AO26" i="4"/>
  <c r="AG26" i="4"/>
  <c r="AI25" i="4"/>
  <c r="K13" i="4"/>
  <c r="U11" i="4"/>
  <c r="U24" i="4"/>
  <c r="AV21" i="4"/>
  <c r="AV311" i="3" s="1"/>
  <c r="AN22" i="4"/>
  <c r="AF16" i="4"/>
  <c r="AQ12" i="4"/>
  <c r="AQ173" i="3" s="1"/>
  <c r="AM24" i="4"/>
  <c r="AE26" i="4"/>
  <c r="AH14" i="4"/>
  <c r="R12" i="4"/>
  <c r="AT23" i="4"/>
  <c r="AL25" i="4"/>
  <c r="AJ26" i="4"/>
  <c r="K20" i="4"/>
  <c r="AN15" i="4"/>
  <c r="AG17" i="4"/>
  <c r="AM15" i="4"/>
  <c r="AF17" i="4"/>
  <c r="AL15" i="4"/>
  <c r="W17" i="4"/>
  <c r="H39" i="14" s="1"/>
  <c r="AK15" i="4"/>
  <c r="AD17" i="4"/>
  <c r="AR15" i="4"/>
  <c r="AC17" i="4"/>
  <c r="AQ15" i="4"/>
  <c r="T14" i="4"/>
  <c r="AO16" i="4"/>
  <c r="R15" i="4"/>
  <c r="T25" i="4"/>
  <c r="AC14" i="4"/>
  <c r="Q12" i="4"/>
  <c r="AS26" i="4"/>
  <c r="AC20" i="4"/>
  <c r="K23" i="4"/>
  <c r="AD21" i="4"/>
  <c r="AD311" i="3" s="1"/>
  <c r="Q25" i="4"/>
  <c r="Q343" i="3" s="1"/>
  <c r="L26" i="4"/>
  <c r="AW13" i="4"/>
  <c r="AV11" i="4"/>
  <c r="R23" i="4"/>
  <c r="AQ23" i="4"/>
  <c r="AC13" i="4"/>
  <c r="AM11" i="4"/>
  <c r="AD22" i="4"/>
  <c r="AU13" i="4"/>
  <c r="D6" i="12"/>
  <c r="T21" i="4"/>
  <c r="AW20" i="4"/>
  <c r="AO20" i="4"/>
  <c r="AG20" i="4"/>
  <c r="AQ24" i="4"/>
  <c r="AN16" i="4"/>
  <c r="AR12" i="4"/>
  <c r="AR173" i="3" s="1"/>
  <c r="U25" i="4"/>
  <c r="AV22" i="4"/>
  <c r="T26" i="4"/>
  <c r="AG15" i="4"/>
  <c r="AI12" i="4"/>
  <c r="AI173" i="3" s="1"/>
  <c r="AM25" i="4"/>
  <c r="AE22" i="4"/>
  <c r="S26" i="4"/>
  <c r="J12" i="4"/>
  <c r="AT24" i="4"/>
  <c r="AL26" i="4"/>
  <c r="AP17" i="4"/>
  <c r="S25" i="4"/>
  <c r="AN12" i="4"/>
  <c r="AN173" i="3" s="1"/>
  <c r="AQ17" i="4"/>
  <c r="AO17" i="4"/>
  <c r="AH17" i="4"/>
  <c r="AV17" i="4"/>
  <c r="Z17" i="4"/>
  <c r="H42" i="14" s="1"/>
  <c r="AF15" i="4"/>
  <c r="Y17" i="4"/>
  <c r="H41" i="14" s="1"/>
  <c r="AE15" i="4"/>
  <c r="X17" i="4"/>
  <c r="H40" i="14" s="1"/>
  <c r="J40" i="14" s="1"/>
  <c r="AD15" i="4"/>
  <c r="K17" i="4"/>
  <c r="AC15" i="4"/>
  <c r="V17" i="4"/>
  <c r="H38" i="14" s="1"/>
  <c r="J38" i="14" s="1"/>
  <c r="AJ15" i="4"/>
  <c r="U17" i="4"/>
  <c r="AI15" i="4"/>
  <c r="L14" i="4"/>
  <c r="AG16" i="4"/>
  <c r="AG266" i="3" s="1"/>
  <c r="J15" i="4"/>
  <c r="AL89" i="3"/>
  <c r="AK89" i="3"/>
  <c r="AK23" i="4"/>
  <c r="Q14" i="4"/>
  <c r="J14" i="4"/>
  <c r="AX11" i="4"/>
  <c r="AC21" i="4"/>
  <c r="AC311" i="3" s="1"/>
  <c r="AV20" i="4"/>
  <c r="AX13" i="4"/>
  <c r="AW11" i="4"/>
  <c r="Q26" i="4"/>
  <c r="AM13" i="4"/>
  <c r="AN11" i="4"/>
  <c r="R24" i="4"/>
  <c r="U13" i="4"/>
  <c r="AE11" i="4"/>
  <c r="AX21" i="4"/>
  <c r="AX311" i="3" s="1"/>
  <c r="AP21" i="4"/>
  <c r="AP311" i="3" s="1"/>
  <c r="AH21" i="4"/>
  <c r="AH311" i="3" s="1"/>
  <c r="AQ21" i="4"/>
  <c r="AQ311" i="3" s="1"/>
  <c r="AJ13" i="4"/>
  <c r="AT11" i="4"/>
  <c r="T22" i="4"/>
  <c r="AW21" i="4"/>
  <c r="AW311" i="3" s="1"/>
  <c r="AO21" i="4"/>
  <c r="AO311" i="3" s="1"/>
  <c r="AG21" i="4"/>
  <c r="AG311" i="3" s="1"/>
  <c r="K24" i="4"/>
  <c r="AO15" i="4"/>
  <c r="AJ12" i="4"/>
  <c r="AJ173" i="3" s="1"/>
  <c r="U26" i="4"/>
  <c r="AF23" i="4"/>
  <c r="AJ24" i="4"/>
  <c r="V26" i="4"/>
  <c r="I38" i="14" s="1"/>
  <c r="K38" i="14" s="1"/>
  <c r="V25" i="4"/>
  <c r="I32" i="14" s="1"/>
  <c r="K32" i="14" s="1"/>
  <c r="V24" i="4"/>
  <c r="W23" i="4"/>
  <c r="I21" i="14" s="1"/>
  <c r="X22" i="4"/>
  <c r="Y21" i="4"/>
  <c r="I11" i="14" s="1"/>
  <c r="Z20" i="4"/>
  <c r="V23" i="4"/>
  <c r="I20" i="14" s="1"/>
  <c r="K20" i="14" s="1"/>
  <c r="W22" i="4"/>
  <c r="X21" i="4"/>
  <c r="I10" i="14" s="1"/>
  <c r="K10" i="14" s="1"/>
  <c r="Y20" i="4"/>
  <c r="Z26" i="4"/>
  <c r="I42" i="14" s="1"/>
  <c r="Z25" i="4"/>
  <c r="I36" i="14" s="1"/>
  <c r="Z24" i="4"/>
  <c r="AA23" i="4"/>
  <c r="AB22" i="4"/>
  <c r="AB372" i="3" s="1"/>
  <c r="V20" i="4"/>
  <c r="Y26" i="4"/>
  <c r="I41" i="14" s="1"/>
  <c r="Y25" i="4"/>
  <c r="I35" i="14" s="1"/>
  <c r="Y24" i="4"/>
  <c r="Z23" i="4"/>
  <c r="I24" i="14" s="1"/>
  <c r="AA22" i="4"/>
  <c r="AA372" i="3" s="1"/>
  <c r="AB21" i="4"/>
  <c r="X26" i="4"/>
  <c r="I40" i="14" s="1"/>
  <c r="K40" i="14" s="1"/>
  <c r="X25" i="4"/>
  <c r="I34" i="14" s="1"/>
  <c r="K34" i="14" s="1"/>
  <c r="X24" i="4"/>
  <c r="Y23" i="4"/>
  <c r="I23" i="14" s="1"/>
  <c r="Z22" i="4"/>
  <c r="W26" i="4"/>
  <c r="I39" i="14" s="1"/>
  <c r="W25" i="4"/>
  <c r="I33" i="14" s="1"/>
  <c r="W24" i="4"/>
  <c r="X23" i="4"/>
  <c r="I22" i="14" s="1"/>
  <c r="K22" i="14" s="1"/>
  <c r="Y22" i="4"/>
  <c r="Z21" i="4"/>
  <c r="I12" i="14" s="1"/>
  <c r="AA20" i="4"/>
  <c r="AA390" i="3" s="1"/>
  <c r="AB24" i="4"/>
  <c r="AB341" i="3" s="1"/>
  <c r="AA24" i="4"/>
  <c r="AA341" i="3" s="1"/>
  <c r="AB20" i="4"/>
  <c r="AB390" i="3" s="1"/>
  <c r="AA21" i="4"/>
  <c r="X20" i="4"/>
  <c r="AB23" i="4"/>
  <c r="W21" i="4"/>
  <c r="I9" i="14" s="1"/>
  <c r="W20" i="4"/>
  <c r="AB26" i="4"/>
  <c r="V21" i="4"/>
  <c r="I8" i="14" s="1"/>
  <c r="K8" i="14" s="1"/>
  <c r="AA26" i="4"/>
  <c r="AB25" i="4"/>
  <c r="V22" i="4"/>
  <c r="AA25" i="4"/>
  <c r="AP14" i="4"/>
  <c r="S12" i="4"/>
  <c r="AU24" i="4"/>
  <c r="AM26" i="4"/>
  <c r="AE23" i="4"/>
  <c r="AI24" i="4"/>
  <c r="AP13" i="4"/>
  <c r="AQ11" i="4"/>
  <c r="AT25" i="4"/>
  <c r="AK22" i="4"/>
  <c r="AI26" i="4"/>
  <c r="AU17" i="4"/>
  <c r="R17" i="4"/>
  <c r="X15" i="4"/>
  <c r="Q17" i="4"/>
  <c r="W15" i="4"/>
  <c r="L17" i="4"/>
  <c r="V15" i="4"/>
  <c r="AR16" i="4"/>
  <c r="AR227" i="3" s="1"/>
  <c r="U15" i="4"/>
  <c r="J17" i="4"/>
  <c r="AB15" i="4"/>
  <c r="AB203" i="3" s="1"/>
  <c r="AX16" i="4"/>
  <c r="AX227" i="3" s="1"/>
  <c r="AA15" i="4"/>
  <c r="AA203" i="3" s="1"/>
  <c r="AS13" i="4"/>
  <c r="Y16" i="4"/>
  <c r="H35" i="14" s="1"/>
  <c r="AQ14" i="4"/>
  <c r="F21" i="12"/>
  <c r="AT22" i="4"/>
  <c r="AO13" i="4"/>
  <c r="AP11" i="4"/>
  <c r="AK20" i="4"/>
  <c r="AC24" i="4"/>
  <c r="J21" i="4"/>
  <c r="AN13" i="4"/>
  <c r="AO11" i="4"/>
  <c r="Q20" i="4"/>
  <c r="AR21" i="4"/>
  <c r="AR311" i="3" s="1"/>
  <c r="K25" i="4"/>
  <c r="AD13" i="4"/>
  <c r="AF11" i="4"/>
  <c r="R25" i="4"/>
  <c r="AI20" i="4"/>
  <c r="S17" i="4"/>
  <c r="AX22" i="4"/>
  <c r="AP22" i="4"/>
  <c r="AH22" i="4"/>
  <c r="AN20" i="4"/>
  <c r="T13" i="4"/>
  <c r="AL11" i="4"/>
  <c r="AC22" i="4"/>
  <c r="AX14" i="4"/>
  <c r="T12" i="4"/>
  <c r="AN23" i="4"/>
  <c r="AF24" i="4"/>
  <c r="AS23" i="4"/>
  <c r="K12" i="4"/>
  <c r="AU25" i="4"/>
  <c r="AM22" i="4"/>
  <c r="AR23" i="4"/>
  <c r="AG13" i="4"/>
  <c r="AI11" i="4"/>
  <c r="AT26" i="4"/>
  <c r="AD20" i="4"/>
  <c r="AS22" i="4"/>
  <c r="S21" i="4"/>
  <c r="AT17" i="4"/>
  <c r="AU16" i="4"/>
  <c r="AU266" i="3" s="1"/>
  <c r="AW14" i="4"/>
  <c r="AT16" i="4"/>
  <c r="AT227" i="3" s="1"/>
  <c r="AV14" i="4"/>
  <c r="AS16" i="4"/>
  <c r="AS266" i="3" s="1"/>
  <c r="AU14" i="4"/>
  <c r="AJ16" i="4"/>
  <c r="AJ266" i="3" s="1"/>
  <c r="AT14" i="4"/>
  <c r="AQ16" i="4"/>
  <c r="AQ227" i="3" s="1"/>
  <c r="T15" i="4"/>
  <c r="AP16" i="4"/>
  <c r="AP266" i="3" s="1"/>
  <c r="S15" i="4"/>
  <c r="AW17" i="4"/>
  <c r="Q16" i="4"/>
  <c r="Q205" i="3" s="1"/>
  <c r="AI14" i="4"/>
  <c r="G21" i="12"/>
  <c r="H21" i="12"/>
  <c r="AH11" i="4"/>
  <c r="AK21" i="4"/>
  <c r="AK311" i="3" s="1"/>
  <c r="AC25" i="4"/>
  <c r="J22" i="4"/>
  <c r="AE13" i="4"/>
  <c r="AG11" i="4"/>
  <c r="Q21" i="4"/>
  <c r="AR22" i="4"/>
  <c r="T24" i="4"/>
  <c r="R26" i="4"/>
  <c r="AI22" i="4"/>
  <c r="J25" i="4"/>
  <c r="AT12" i="4"/>
  <c r="AT173" i="3" s="1"/>
  <c r="AX23" i="4"/>
  <c r="AP23" i="4"/>
  <c r="AH23" i="4"/>
  <c r="T20" i="4"/>
  <c r="L13" i="4"/>
  <c r="AD11" i="4"/>
  <c r="AW22" i="4"/>
  <c r="AO22" i="4"/>
  <c r="AG22" i="4"/>
  <c r="AM21" i="4"/>
  <c r="AM311" i="3" s="1"/>
  <c r="L12" i="4"/>
  <c r="AV23" i="4"/>
  <c r="AN24" i="4"/>
  <c r="AF25" i="4"/>
  <c r="AQ13" i="4"/>
  <c r="AR11" i="4"/>
  <c r="AU26" i="4"/>
  <c r="AM23" i="4"/>
  <c r="L23" i="4"/>
  <c r="Q13" i="4"/>
  <c r="S11" i="4"/>
  <c r="AD23" i="4"/>
  <c r="AC23" i="4"/>
  <c r="AF20" i="4"/>
  <c r="K15" i="4"/>
  <c r="K253" i="3" s="1"/>
  <c r="AJ17" i="4"/>
  <c r="AX15" i="4"/>
  <c r="AA14" i="4"/>
  <c r="AE21" i="4"/>
  <c r="AE311" i="3" s="1"/>
  <c r="AR13" i="4"/>
  <c r="R11" i="4"/>
  <c r="AS20" i="4"/>
  <c r="AK24" i="4"/>
  <c r="AC26" i="4"/>
  <c r="J23" i="4"/>
  <c r="Q11" i="4"/>
  <c r="AL22" i="4"/>
  <c r="AU12" i="4"/>
  <c r="AU173" i="3" s="1"/>
  <c r="R20" i="4"/>
  <c r="AI23" i="4"/>
  <c r="S24" i="4"/>
  <c r="AL12" i="4"/>
  <c r="AL173" i="3" s="1"/>
  <c r="AX24" i="4"/>
  <c r="AP24" i="4"/>
  <c r="AH24" i="4"/>
  <c r="AV16" i="4"/>
  <c r="AS12" i="4"/>
  <c r="AS173" i="3" s="1"/>
  <c r="AW23" i="4"/>
  <c r="AO23" i="4"/>
  <c r="AG23" i="4"/>
  <c r="AM20" i="4"/>
  <c r="AT13" i="4"/>
  <c r="AS11" i="4"/>
  <c r="AV24" i="4"/>
  <c r="AN25" i="4"/>
  <c r="AF26" i="4"/>
  <c r="AL21" i="4"/>
  <c r="AL311" i="3" s="1"/>
  <c r="AH13" i="4"/>
  <c r="AJ11" i="4"/>
  <c r="AU22" i="4"/>
  <c r="AI21" i="4"/>
  <c r="AI311" i="3" s="1"/>
  <c r="AX12" i="4"/>
  <c r="AX173" i="3" s="1"/>
  <c r="K11" i="4"/>
  <c r="AL20" i="4"/>
  <c r="AD24" i="4"/>
  <c r="J26" i="4"/>
  <c r="T23" i="4"/>
  <c r="AG14" i="4"/>
  <c r="AD16" i="4"/>
  <c r="AD266" i="3" s="1"/>
  <c r="AF14" i="4"/>
  <c r="AC16" i="4"/>
  <c r="AC215" i="3" s="1"/>
  <c r="AE14" i="4"/>
  <c r="T16" i="4"/>
  <c r="AA16" i="4"/>
  <c r="AS14" i="4"/>
  <c r="Z16" i="4"/>
  <c r="H36" i="14" s="1"/>
  <c r="AR14" i="4"/>
  <c r="AB17" i="4"/>
  <c r="AP15" i="4"/>
  <c r="S14" i="4"/>
  <c r="AL128" i="3"/>
  <c r="B21" i="12"/>
  <c r="W14" i="4"/>
  <c r="H21" i="14" s="1"/>
  <c r="AW12" i="4"/>
  <c r="AW173" i="3" s="1"/>
  <c r="AS21" i="4"/>
  <c r="AS311" i="3" s="1"/>
  <c r="AK25" i="4"/>
  <c r="J24" i="4"/>
  <c r="Q22" i="4"/>
  <c r="L21" i="4"/>
  <c r="AJ21" i="4"/>
  <c r="AJ311" i="3" s="1"/>
  <c r="AU21" i="4"/>
  <c r="AU311" i="3" s="1"/>
  <c r="AM12" i="4"/>
  <c r="AM173" i="3" s="1"/>
  <c r="AT21" i="4"/>
  <c r="AT311" i="3" s="1"/>
  <c r="R14" i="4"/>
  <c r="AD12" i="4"/>
  <c r="AD173" i="3" s="1"/>
  <c r="S20" i="4"/>
  <c r="AX25" i="4"/>
  <c r="AP25" i="4"/>
  <c r="AH25" i="4"/>
  <c r="AJ25" i="4"/>
  <c r="AW15" i="4"/>
  <c r="AK12" i="4"/>
  <c r="AK173" i="3" s="1"/>
  <c r="AW24" i="4"/>
  <c r="AO24" i="4"/>
  <c r="AG24" i="4"/>
  <c r="AI13" i="4"/>
  <c r="U20" i="4"/>
  <c r="AV25" i="4"/>
  <c r="AN26" i="4"/>
  <c r="R13" i="4"/>
  <c r="T11" i="4"/>
  <c r="AU23" i="4"/>
  <c r="AE24" i="4"/>
  <c r="AP12" i="4"/>
  <c r="AP173" i="3" s="1"/>
  <c r="AL23" i="4"/>
  <c r="AD25" i="4"/>
  <c r="L24" i="4"/>
  <c r="U22" i="4"/>
  <c r="AW215" i="3"/>
  <c r="AW266" i="3"/>
  <c r="AW227" i="3"/>
  <c r="G12" i="12"/>
  <c r="AO215" i="3"/>
  <c r="AO266" i="3"/>
  <c r="AO227" i="3"/>
  <c r="AS215" i="3"/>
  <c r="AM266" i="3"/>
  <c r="AM227" i="3"/>
  <c r="AM215" i="3"/>
  <c r="AL215" i="3"/>
  <c r="AK266" i="3"/>
  <c r="AK227" i="3"/>
  <c r="AK215" i="3"/>
  <c r="AH215" i="3"/>
  <c r="AH266" i="3"/>
  <c r="AH227" i="3"/>
  <c r="B10" i="12" l="1"/>
  <c r="D14" i="12"/>
  <c r="F16" i="12"/>
  <c r="C16" i="12"/>
  <c r="W203" i="3"/>
  <c r="H27" i="14"/>
  <c r="Y372" i="3"/>
  <c r="I17" i="14"/>
  <c r="V390" i="3"/>
  <c r="I2" i="14"/>
  <c r="K2" i="14" s="1"/>
  <c r="V372" i="3"/>
  <c r="I14" i="14"/>
  <c r="K14" i="14" s="1"/>
  <c r="W252" i="3"/>
  <c r="H3" i="14"/>
  <c r="X203" i="3"/>
  <c r="H28" i="14"/>
  <c r="J28" i="14" s="1"/>
  <c r="W341" i="3"/>
  <c r="I27" i="14"/>
  <c r="Z203" i="3"/>
  <c r="H30" i="14"/>
  <c r="V252" i="3"/>
  <c r="H2" i="14"/>
  <c r="J2" i="14" s="1"/>
  <c r="B16" i="12"/>
  <c r="Z341" i="3"/>
  <c r="I30" i="14"/>
  <c r="X252" i="3"/>
  <c r="H4" i="14"/>
  <c r="J4" i="14" s="1"/>
  <c r="D16" i="12"/>
  <c r="F10" i="12"/>
  <c r="C14" i="12"/>
  <c r="E16" i="12"/>
  <c r="H16" i="12"/>
  <c r="D10" i="12"/>
  <c r="B14" i="12"/>
  <c r="Z372" i="3"/>
  <c r="I18" i="14"/>
  <c r="V234" i="3"/>
  <c r="H14" i="14"/>
  <c r="J14" i="14" s="1"/>
  <c r="H14" i="12"/>
  <c r="W390" i="3"/>
  <c r="I3" i="14"/>
  <c r="Y390" i="3"/>
  <c r="I5" i="14"/>
  <c r="H12" i="12"/>
  <c r="X341" i="3"/>
  <c r="I28" i="14"/>
  <c r="K28" i="14" s="1"/>
  <c r="Y234" i="3"/>
  <c r="H17" i="14"/>
  <c r="Y252" i="3"/>
  <c r="H5" i="14"/>
  <c r="G14" i="12"/>
  <c r="F14" i="12"/>
  <c r="E12" i="12"/>
  <c r="B12" i="12"/>
  <c r="C12" i="12"/>
  <c r="G10" i="12"/>
  <c r="W372" i="3"/>
  <c r="I15" i="14"/>
  <c r="Y203" i="3"/>
  <c r="H29" i="14"/>
  <c r="G16" i="12"/>
  <c r="E14" i="12"/>
  <c r="X390" i="3"/>
  <c r="I4" i="14"/>
  <c r="K4" i="14" s="1"/>
  <c r="W234" i="3"/>
  <c r="H15" i="14"/>
  <c r="Z390" i="3"/>
  <c r="I6" i="14"/>
  <c r="D12" i="12"/>
  <c r="Z252" i="3"/>
  <c r="H6" i="14"/>
  <c r="X372" i="3"/>
  <c r="I16" i="14"/>
  <c r="K16" i="14" s="1"/>
  <c r="Z234" i="3"/>
  <c r="H18" i="14"/>
  <c r="E10" i="12"/>
  <c r="H10" i="12"/>
  <c r="Y341" i="3"/>
  <c r="I29" i="14"/>
  <c r="X234" i="3"/>
  <c r="H16" i="14"/>
  <c r="J16" i="14" s="1"/>
  <c r="V203" i="3"/>
  <c r="H26" i="14"/>
  <c r="J26" i="14" s="1"/>
  <c r="V341" i="3"/>
  <c r="I26" i="14"/>
  <c r="K26" i="14" s="1"/>
  <c r="Y84" i="9"/>
  <c r="Y82" i="9"/>
  <c r="Y8" i="9"/>
  <c r="N404" i="3"/>
  <c r="N365" i="3"/>
  <c r="N353" i="3"/>
  <c r="X37" i="9"/>
  <c r="X91" i="9"/>
  <c r="X39" i="9"/>
  <c r="X35" i="9"/>
  <c r="Z52" i="9"/>
  <c r="Z79" i="9"/>
  <c r="Z114" i="9"/>
  <c r="Z29" i="9"/>
  <c r="Z40" i="9"/>
  <c r="Z137" i="9"/>
  <c r="Z19" i="9"/>
  <c r="Y112" i="9"/>
  <c r="Y38" i="9"/>
  <c r="Y96" i="9"/>
  <c r="Y61" i="9"/>
  <c r="Z84" i="9"/>
  <c r="Z82" i="9"/>
  <c r="Z8" i="9"/>
  <c r="AR266" i="3"/>
  <c r="AR215" i="3"/>
  <c r="F12" i="12"/>
  <c r="F6" i="14"/>
  <c r="G6" i="14" s="1"/>
  <c r="J6" i="14" s="1"/>
  <c r="F5" i="14"/>
  <c r="G5" i="14" s="1"/>
  <c r="J5" i="14" s="1"/>
  <c r="F3" i="14"/>
  <c r="G3" i="14" s="1"/>
  <c r="J3" i="14" s="1"/>
  <c r="F42" i="14"/>
  <c r="G42" i="14" s="1"/>
  <c r="J42" i="14" s="1"/>
  <c r="F41" i="14"/>
  <c r="G41" i="14" s="1"/>
  <c r="J41" i="14" s="1"/>
  <c r="F39" i="14"/>
  <c r="G39" i="14" s="1"/>
  <c r="J39" i="14" s="1"/>
  <c r="F33" i="14"/>
  <c r="G33" i="14" s="1"/>
  <c r="K33" i="14" s="1"/>
  <c r="F35" i="14"/>
  <c r="G35" i="14" s="1"/>
  <c r="J35" i="14" s="1"/>
  <c r="F36" i="14"/>
  <c r="G36" i="14" s="1"/>
  <c r="J36" i="14" s="1"/>
  <c r="W65" i="9"/>
  <c r="Y75" i="9"/>
  <c r="Y65" i="9"/>
  <c r="Y9" i="9"/>
  <c r="Y122" i="9"/>
  <c r="Z112" i="9"/>
  <c r="Z38" i="9"/>
  <c r="Z96" i="9"/>
  <c r="Z61" i="9"/>
  <c r="Z9" i="9"/>
  <c r="Z122" i="9"/>
  <c r="Z75" i="9"/>
  <c r="Z65" i="9"/>
  <c r="F29" i="14"/>
  <c r="G29" i="14" s="1"/>
  <c r="J29" i="14" s="1"/>
  <c r="F27" i="14"/>
  <c r="G27" i="14" s="1"/>
  <c r="J27" i="14" s="1"/>
  <c r="F30" i="14"/>
  <c r="G30" i="14" s="1"/>
  <c r="X75" i="9"/>
  <c r="X65" i="9"/>
  <c r="X9" i="9"/>
  <c r="X122" i="9"/>
  <c r="X79" i="9"/>
  <c r="X114" i="9"/>
  <c r="X29" i="9"/>
  <c r="X40" i="9"/>
  <c r="X137" i="9"/>
  <c r="X19" i="9"/>
  <c r="X52" i="9"/>
  <c r="Z37" i="9"/>
  <c r="Z91" i="9"/>
  <c r="Z39" i="9"/>
  <c r="Z35" i="9"/>
  <c r="F21" i="14"/>
  <c r="G21" i="14" s="1"/>
  <c r="J21" i="14" s="1"/>
  <c r="F24" i="14"/>
  <c r="G24" i="14" s="1"/>
  <c r="J24" i="14" s="1"/>
  <c r="F23" i="14"/>
  <c r="G23" i="14" s="1"/>
  <c r="J23" i="14" s="1"/>
  <c r="X112" i="9"/>
  <c r="X38" i="9"/>
  <c r="X96" i="9"/>
  <c r="X61" i="9"/>
  <c r="F15" i="14"/>
  <c r="G15" i="14" s="1"/>
  <c r="J15" i="14" s="1"/>
  <c r="F18" i="14"/>
  <c r="G18" i="14" s="1"/>
  <c r="J18" i="14" s="1"/>
  <c r="F17" i="14"/>
  <c r="G17" i="14" s="1"/>
  <c r="J17" i="14" s="1"/>
  <c r="N215" i="3"/>
  <c r="F9" i="14"/>
  <c r="G9" i="14" s="1"/>
  <c r="J9" i="14" s="1"/>
  <c r="F12" i="14"/>
  <c r="G12" i="14" s="1"/>
  <c r="J12" i="14" s="1"/>
  <c r="F11" i="14"/>
  <c r="G11" i="14" s="1"/>
  <c r="J11" i="14" s="1"/>
  <c r="Y37" i="9"/>
  <c r="Y91" i="9"/>
  <c r="Y39" i="9"/>
  <c r="Y35" i="9"/>
  <c r="N227" i="3"/>
  <c r="X82" i="9"/>
  <c r="X8" i="9"/>
  <c r="X84" i="9"/>
  <c r="AE215" i="3"/>
  <c r="AE227" i="3"/>
  <c r="AQ266" i="3"/>
  <c r="AS227" i="3"/>
  <c r="AC266" i="3"/>
  <c r="AL227" i="3"/>
  <c r="AI227" i="3"/>
  <c r="AI215" i="3"/>
  <c r="AU215" i="3"/>
  <c r="AQ215" i="3"/>
  <c r="AU227" i="3"/>
  <c r="AC227" i="3"/>
  <c r="K290" i="3"/>
  <c r="K329" i="3"/>
  <c r="K336" i="3"/>
  <c r="K367" i="3"/>
  <c r="K330" i="3"/>
  <c r="K374" i="3"/>
  <c r="E28" i="12"/>
  <c r="AD215" i="3"/>
  <c r="AP227" i="3"/>
  <c r="AD227" i="3"/>
  <c r="F28" i="12"/>
  <c r="AG227" i="3"/>
  <c r="AP215" i="3"/>
  <c r="AG215" i="3"/>
  <c r="AT266" i="3"/>
  <c r="AT215" i="3"/>
  <c r="E26" i="12"/>
  <c r="AX266" i="3"/>
  <c r="H26" i="12"/>
  <c r="AX215" i="3"/>
  <c r="H22" i="12"/>
  <c r="C24" i="12"/>
  <c r="B30" i="12"/>
  <c r="AQ353" i="3"/>
  <c r="F26" i="12"/>
  <c r="C30" i="12"/>
  <c r="G28" i="12"/>
  <c r="D28" i="12"/>
  <c r="C28" i="12"/>
  <c r="H24" i="12"/>
  <c r="H30" i="12"/>
  <c r="D22" i="12"/>
  <c r="E24" i="12"/>
  <c r="F24" i="12"/>
  <c r="K147" i="3"/>
  <c r="AJ227" i="3"/>
  <c r="K222" i="3"/>
  <c r="K228" i="3"/>
  <c r="E30" i="12"/>
  <c r="G24" i="12"/>
  <c r="B26" i="12"/>
  <c r="C26" i="12"/>
  <c r="G26" i="12"/>
  <c r="G22" i="12"/>
  <c r="AJ215" i="3"/>
  <c r="C22" i="12"/>
  <c r="B22" i="12"/>
  <c r="B28" i="12"/>
  <c r="K240" i="3"/>
  <c r="B24" i="12"/>
  <c r="E22" i="12"/>
  <c r="H28" i="12"/>
  <c r="F30" i="12"/>
  <c r="D30" i="12"/>
  <c r="G30" i="12"/>
  <c r="D24" i="12"/>
  <c r="F22" i="12"/>
  <c r="AQ404" i="3"/>
  <c r="AD404" i="3"/>
  <c r="AD365" i="3"/>
  <c r="AD353" i="3"/>
  <c r="AV404" i="3"/>
  <c r="AV365" i="3"/>
  <c r="AV353" i="3"/>
  <c r="AJ404" i="3"/>
  <c r="AJ365" i="3"/>
  <c r="AJ353" i="3"/>
  <c r="Q190" i="3"/>
  <c r="Q157" i="3"/>
  <c r="Q167" i="3"/>
  <c r="Q217" i="3"/>
  <c r="Q178" i="3"/>
  <c r="Q275" i="3"/>
  <c r="Q252" i="3"/>
  <c r="Q199" i="3"/>
  <c r="Q176" i="3"/>
  <c r="Q234" i="3"/>
  <c r="Q250" i="3"/>
  <c r="Q295" i="3"/>
  <c r="Q328" i="3"/>
  <c r="Q305" i="3"/>
  <c r="Q355" i="3"/>
  <c r="Q316" i="3"/>
  <c r="Q413" i="3"/>
  <c r="Q390" i="3"/>
  <c r="AN215" i="3"/>
  <c r="AN266" i="3"/>
  <c r="AN227" i="3"/>
  <c r="D26" i="12"/>
  <c r="AG353" i="3"/>
  <c r="AG404" i="3"/>
  <c r="AG365" i="3"/>
  <c r="AH353" i="3"/>
  <c r="AH404" i="3"/>
  <c r="AH365" i="3"/>
  <c r="AM353" i="3"/>
  <c r="AM404" i="3"/>
  <c r="AM365" i="3"/>
  <c r="AF215" i="3"/>
  <c r="AF266" i="3"/>
  <c r="AF227" i="3"/>
  <c r="AO353" i="3"/>
  <c r="AO404" i="3"/>
  <c r="AO365" i="3"/>
  <c r="Q358" i="3"/>
  <c r="Q284" i="3"/>
  <c r="Q360" i="3"/>
  <c r="AP353" i="3"/>
  <c r="AP404" i="3"/>
  <c r="AP365" i="3"/>
  <c r="Q313" i="3"/>
  <c r="Q315" i="3"/>
  <c r="Q311" i="3"/>
  <c r="Q367" i="3"/>
  <c r="Q220" i="3"/>
  <c r="Q146" i="3"/>
  <c r="Q222" i="3"/>
  <c r="K291" i="3"/>
  <c r="K378" i="3"/>
  <c r="K360" i="3"/>
  <c r="AL353" i="3"/>
  <c r="AL365" i="3"/>
  <c r="AL404" i="3"/>
  <c r="K394" i="3"/>
  <c r="K347" i="3"/>
  <c r="K371" i="3"/>
  <c r="K411" i="3"/>
  <c r="K388" i="3"/>
  <c r="K337" i="3"/>
  <c r="K392" i="3"/>
  <c r="AW365" i="3"/>
  <c r="AW353" i="3"/>
  <c r="AW404" i="3"/>
  <c r="AX404" i="3"/>
  <c r="AX365" i="3"/>
  <c r="AX353" i="3"/>
  <c r="AU353" i="3"/>
  <c r="AU365" i="3"/>
  <c r="AU404" i="3"/>
  <c r="J311" i="3"/>
  <c r="J325" i="3"/>
  <c r="J381" i="3"/>
  <c r="K285" i="3"/>
  <c r="K366" i="3"/>
  <c r="K391" i="3"/>
  <c r="AS404" i="3"/>
  <c r="AS365" i="3"/>
  <c r="AS353" i="3"/>
  <c r="Q337" i="3"/>
  <c r="Q314" i="3"/>
  <c r="Q372" i="3"/>
  <c r="Q388" i="3"/>
  <c r="K191" i="3"/>
  <c r="K152" i="3"/>
  <c r="K192" i="3"/>
  <c r="K198" i="3"/>
  <c r="K218" i="3"/>
  <c r="K236" i="3"/>
  <c r="K229" i="3"/>
  <c r="AT404" i="3"/>
  <c r="AT365" i="3"/>
  <c r="AT353" i="3"/>
  <c r="K179" i="3"/>
  <c r="K252" i="3"/>
  <c r="K190" i="3"/>
  <c r="K168" i="3"/>
  <c r="K217" i="3"/>
  <c r="K251" i="3"/>
  <c r="K157" i="3"/>
  <c r="K214" i="3"/>
  <c r="K184" i="3"/>
  <c r="K241" i="3"/>
  <c r="K181" i="3"/>
  <c r="K230" i="3"/>
  <c r="K208" i="3"/>
  <c r="K154" i="3"/>
  <c r="K211" i="3"/>
  <c r="K180" i="3"/>
  <c r="K166" i="3"/>
  <c r="K201" i="3"/>
  <c r="K189" i="3"/>
  <c r="K143" i="3"/>
  <c r="K216" i="3"/>
  <c r="K162" i="3"/>
  <c r="K163" i="3"/>
  <c r="K261" i="3"/>
  <c r="K167" i="3"/>
  <c r="K224" i="3"/>
  <c r="K178" i="3"/>
  <c r="K231" i="3"/>
  <c r="K258" i="3"/>
  <c r="K150" i="3"/>
  <c r="K183" i="3"/>
  <c r="K248" i="3"/>
  <c r="K186" i="3"/>
  <c r="K158" i="3"/>
  <c r="K207" i="3"/>
  <c r="K161" i="3"/>
  <c r="K210" i="3"/>
  <c r="K267" i="3"/>
  <c r="K275" i="3"/>
  <c r="AN353" i="3"/>
  <c r="AN404" i="3"/>
  <c r="AN365" i="3"/>
  <c r="Q229" i="3"/>
  <c r="Q175" i="3"/>
  <c r="Q173" i="3"/>
  <c r="Q177" i="3"/>
  <c r="Q213" i="3"/>
  <c r="Q147" i="3"/>
  <c r="Q203" i="3"/>
  <c r="Q260" i="3"/>
  <c r="AK404" i="3"/>
  <c r="AK365" i="3"/>
  <c r="AK353" i="3"/>
  <c r="AV215" i="3"/>
  <c r="AV266" i="3"/>
  <c r="AV227" i="3"/>
  <c r="AF353" i="3"/>
  <c r="AF404" i="3"/>
  <c r="AF365" i="3"/>
  <c r="AC404" i="3"/>
  <c r="AC365" i="3"/>
  <c r="AC353" i="3"/>
  <c r="J173" i="3"/>
  <c r="J187" i="3"/>
  <c r="J243" i="3"/>
  <c r="K233" i="3"/>
  <c r="K273" i="3"/>
  <c r="K250" i="3"/>
  <c r="K254" i="3"/>
  <c r="K199" i="3"/>
  <c r="K256" i="3"/>
  <c r="K209" i="3"/>
  <c r="AE404" i="3"/>
  <c r="AE365" i="3"/>
  <c r="AE353" i="3"/>
  <c r="K317" i="3"/>
  <c r="K390" i="3"/>
  <c r="K328" i="3"/>
  <c r="K306" i="3"/>
  <c r="K355" i="3"/>
  <c r="K295" i="3"/>
  <c r="K352" i="3"/>
  <c r="K322" i="3"/>
  <c r="K379" i="3"/>
  <c r="K413" i="3"/>
  <c r="K319" i="3"/>
  <c r="K368" i="3"/>
  <c r="K346" i="3"/>
  <c r="K292" i="3"/>
  <c r="K318" i="3"/>
  <c r="K304" i="3"/>
  <c r="K339" i="3"/>
  <c r="K327" i="3"/>
  <c r="K281" i="3"/>
  <c r="K354" i="3"/>
  <c r="K300" i="3"/>
  <c r="K399" i="3"/>
  <c r="K305" i="3"/>
  <c r="K362" i="3"/>
  <c r="K316" i="3"/>
  <c r="K389" i="3"/>
  <c r="K369" i="3"/>
  <c r="K396" i="3"/>
  <c r="K288" i="3"/>
  <c r="K321" i="3"/>
  <c r="K386" i="3"/>
  <c r="K324" i="3"/>
  <c r="K349" i="3"/>
  <c r="K296" i="3"/>
  <c r="K345" i="3"/>
  <c r="K299" i="3"/>
  <c r="K348" i="3"/>
  <c r="K301" i="3"/>
  <c r="K405" i="3"/>
  <c r="AI365" i="3"/>
  <c r="AI353" i="3"/>
  <c r="AI404" i="3"/>
  <c r="Q351" i="3"/>
  <c r="Q398" i="3"/>
  <c r="Q285" i="3"/>
  <c r="Q341" i="3"/>
  <c r="AR404" i="3"/>
  <c r="AR365" i="3"/>
  <c r="AR353" i="3"/>
  <c r="K9" i="14" l="1"/>
  <c r="K24" i="14"/>
  <c r="K27" i="14"/>
  <c r="K15" i="14"/>
  <c r="K5" i="14"/>
  <c r="K36" i="14"/>
  <c r="J33" i="14"/>
  <c r="K35" i="14"/>
  <c r="K39" i="14"/>
  <c r="K11" i="14"/>
  <c r="K23" i="14"/>
  <c r="K3" i="14"/>
  <c r="K41" i="14"/>
  <c r="K6" i="14"/>
  <c r="K12" i="14"/>
  <c r="K21" i="14"/>
  <c r="K29" i="14"/>
  <c r="K30" i="14"/>
  <c r="K42" i="14"/>
  <c r="K17" i="14"/>
  <c r="K18" i="14"/>
  <c r="J3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Births
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L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HBV3 Coverage</t>
        </r>
      </text>
    </comment>
    <comment ref="I1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Births
</t>
        </r>
      </text>
    </comment>
    <comment ref="K1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L1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HBV3 Coverage</t>
        </r>
      </text>
    </comment>
    <comment ref="I1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Births
</t>
        </r>
      </text>
    </comment>
    <comment ref="K19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L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HBV3 Coverage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A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 minute upperbound for sensitivity analysis
</t>
        </r>
      </text>
    </comment>
    <comment ref="A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Population weighted average global cost among all other regions, including 0 BD countries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AD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Taken from Polaris 2016 Modelling Study, which was used to inform the Global Hepatitis Report (from memory)
Note: Many 1% countries are less than 1%. But value provided in text was to a % to no SF.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H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I1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Sensitivity analysis will be proportional, and limited to MAPs (i.e. we can assume PE as upper bound relative to other vaccine modalities)</t>
        </r>
      </text>
    </comment>
    <comment ref="R1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Two minutes; potentially costing the whole time a MAP needs to be adhered to the arm</t>
        </r>
      </text>
    </comment>
    <comment ref="U1" authorId="0" shapeId="0" xr:uid="{00000000-0006-0000-0800-000004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2 minutes, see comment on LHW maps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H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I1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Sensitivity analysis will be proportional, and limited to MAPs (i.e. we can assume PE as upper bound relative to other vaccine modalities)</t>
        </r>
      </text>
    </comment>
    <comment ref="R1" authorId="0" shapeId="0" xr:uid="{00000000-0006-0000-0900-000003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Two minutes; potentially costing the whole time a MAP needs to be adhered to the arm</t>
        </r>
      </text>
    </comment>
    <comment ref="U1" authorId="0" shapeId="0" xr:uid="{00000000-0006-0000-0900-000004000000}">
      <text>
        <r>
          <rPr>
            <b/>
            <sz val="9"/>
            <color indexed="81"/>
            <rFont val="Tahoma"/>
            <charset val="1"/>
          </rPr>
          <t>Chris Seaman:</t>
        </r>
        <r>
          <rPr>
            <sz val="9"/>
            <color indexed="81"/>
            <rFont val="Tahoma"/>
            <charset val="1"/>
          </rPr>
          <t xml:space="preserve">
2 minutes, see comment on LHW maps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Seaman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Births
</t>
        </r>
      </text>
    </comment>
    <comment ref="K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Birth Dose Coverage
</t>
        </r>
      </text>
    </comment>
    <comment ref="L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 Seaman:</t>
        </r>
        <r>
          <rPr>
            <sz val="9"/>
            <color indexed="81"/>
            <rFont val="Tahoma"/>
            <family val="2"/>
          </rPr>
          <t xml:space="preserve">
2019 HBV3 Coverage</t>
        </r>
      </text>
    </comment>
  </commentList>
</comments>
</file>

<file path=xl/sharedStrings.xml><?xml version="1.0" encoding="utf-8"?>
<sst xmlns="http://schemas.openxmlformats.org/spreadsheetml/2006/main" count="10962" uniqueCount="851">
  <si>
    <t>Model Runs</t>
  </si>
  <si>
    <t>Level of Analysis</t>
  </si>
  <si>
    <t>Model Instructions</t>
  </si>
  <si>
    <t>Vaccine Effectiveness Assumptions</t>
  </si>
  <si>
    <t>VE of CTC (relative to cold chain)</t>
  </si>
  <si>
    <t>VE of MAPs (relative to cold chain)</t>
  </si>
  <si>
    <t>Timing and Coverage Assumptions</t>
  </si>
  <si>
    <t>Baseline: Cold Chain in Facilities</t>
  </si>
  <si>
    <t>Baseline: Cold Chain in Communities</t>
  </si>
  <si>
    <t>Day 1</t>
  </si>
  <si>
    <t>Day 2</t>
  </si>
  <si>
    <t>Days 3-7</t>
  </si>
  <si>
    <t>Days 8-41</t>
  </si>
  <si>
    <t>No Vax</t>
  </si>
  <si>
    <t>CTC: Additional Facility Coverage</t>
  </si>
  <si>
    <t>CTC: Timing of additional coverage</t>
  </si>
  <si>
    <t>CTC: Replacement Facility Coverage</t>
  </si>
  <si>
    <t>From: Day 1</t>
  </si>
  <si>
    <t>To: Day 1</t>
  </si>
  <si>
    <t>From: Day 2</t>
  </si>
  <si>
    <t>From: Days 3-7</t>
  </si>
  <si>
    <t>From: Days 8-41</t>
  </si>
  <si>
    <t>To: Day 2</t>
  </si>
  <si>
    <t>To: Days 3-7</t>
  </si>
  <si>
    <t>To: Days 8-41</t>
  </si>
  <si>
    <t>CTC: Additional Community Coverage</t>
  </si>
  <si>
    <t>CTC: Replacement Community Coverage</t>
  </si>
  <si>
    <t>MAPs: Additional Facility Coverage</t>
  </si>
  <si>
    <t>MAP: Timing of additional coverage</t>
  </si>
  <si>
    <t>MAP: Replacement Community Coverage</t>
  </si>
  <si>
    <t>MAPs: Additional Community Coverage</t>
  </si>
  <si>
    <t>MAP: Replacement Facility Coverage</t>
  </si>
  <si>
    <t>Increments: Additional Coverage</t>
  </si>
  <si>
    <t>Increments: Replacement Coverage</t>
  </si>
  <si>
    <t>0.01,0.05,0.1</t>
  </si>
  <si>
    <t>Regional Weighted Values</t>
  </si>
  <si>
    <t>Uniform uncertainity</t>
  </si>
  <si>
    <t>1 = Only include LMICs with a birth dose value
0 = Include all LMICs</t>
  </si>
  <si>
    <t>± percentage, model default is 5%</t>
  </si>
  <si>
    <t>LMICs</t>
  </si>
  <si>
    <t>Regions</t>
  </si>
  <si>
    <t>*NOTE: Can be infinitely long, but values need to be expressed as decimal (&lt;1) and seperated by commas</t>
  </si>
  <si>
    <t>symbol</t>
  </si>
  <si>
    <t>value</t>
  </si>
  <si>
    <t>lb</t>
  </si>
  <si>
    <t>ub</t>
  </si>
  <si>
    <t>P</t>
  </si>
  <si>
    <t>t_horizon</t>
  </si>
  <si>
    <t>weight</t>
  </si>
  <si>
    <t>discount</t>
  </si>
  <si>
    <t>r_LA</t>
  </si>
  <si>
    <t>r_AC</t>
  </si>
  <si>
    <t>p_AC</t>
  </si>
  <si>
    <t>r_AZ</t>
  </si>
  <si>
    <t>r_CZ</t>
  </si>
  <si>
    <t>r_CCC</t>
  </si>
  <si>
    <t>r_CHCC</t>
  </si>
  <si>
    <t>r_CCDC</t>
  </si>
  <si>
    <t>r_CCHCC</t>
  </si>
  <si>
    <t>r_DCHCC</t>
  </si>
  <si>
    <t>m_A</t>
  </si>
  <si>
    <t>m_C</t>
  </si>
  <si>
    <t>m_CC</t>
  </si>
  <si>
    <t>m_DC</t>
  </si>
  <si>
    <t>m_HCC</t>
  </si>
  <si>
    <t>DALY_A</t>
  </si>
  <si>
    <t>DALY_C</t>
  </si>
  <si>
    <t>DALY_CC</t>
  </si>
  <si>
    <t>DALY_DC</t>
  </si>
  <si>
    <t>DALY_HCC</t>
  </si>
  <si>
    <t>ve_1</t>
  </si>
  <si>
    <t>ve_2</t>
  </si>
  <si>
    <t>ve_3</t>
  </si>
  <si>
    <t>ve_4</t>
  </si>
  <si>
    <t>ve_5</t>
  </si>
  <si>
    <t>Region, subregion, country or area *</t>
  </si>
  <si>
    <t>Country code</t>
  </si>
  <si>
    <t>pop_19</t>
  </si>
  <si>
    <t>pop_20</t>
  </si>
  <si>
    <t>WORLD</t>
  </si>
  <si>
    <t>More developed regions</t>
  </si>
  <si>
    <t>Less developed regions</t>
  </si>
  <si>
    <t>Least developed countries</t>
  </si>
  <si>
    <t>Less developed regions, excluding least developed countries</t>
  </si>
  <si>
    <t>Less developed regions, excluding China</t>
  </si>
  <si>
    <t>Land-locked Developing Countries (LLDC)</t>
  </si>
  <si>
    <t>Small Island Developing States (SIDS)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</si>
  <si>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</si>
  <si>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</si>
  <si>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</si>
  <si>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</si>
  <si>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</si>
  <si>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No income group available</t>
  </si>
  <si>
    <t>Africa</t>
  </si>
  <si>
    <t>Asia</t>
  </si>
  <si>
    <t>Europe</t>
  </si>
  <si>
    <t>Latin America and the Caribbean</t>
  </si>
  <si>
    <t>Northern America</t>
  </si>
  <si>
    <t>Oceania</t>
  </si>
  <si>
    <t>SUB-SAHARAN 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</si>
  <si>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</si>
  <si>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</si>
  <si>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</si>
  <si>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</si>
  <si>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</si>
  <si>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</si>
  <si>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</si>
  <si>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</si>
  <si>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</si>
  <si>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</si>
  <si>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</si>
  <si>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</si>
  <si>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</si>
  <si>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</si>
  <si>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</si>
  <si>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</si>
  <si>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</si>
  <si>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</si>
  <si>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</si>
  <si>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</si>
  <si>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</si>
  <si>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</si>
  <si>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</si>
  <si>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</si>
  <si>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</si>
  <si>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</si>
  <si>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</si>
  <si>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</si>
  <si>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</si>
  <si>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</si>
  <si>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</si>
  <si>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Southern Africa</t>
  </si>
  <si>
    <t>Botswana</t>
  </si>
  <si>
    <t>Eswatini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</si>
  <si>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</si>
  <si>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</si>
  <si>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</si>
  <si>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</si>
  <si>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</si>
  <si>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</si>
  <si>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</si>
  <si>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</si>
  <si>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</si>
  <si>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</si>
  <si>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</si>
  <si>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</si>
  <si>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</si>
  <si>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</si>
  <si>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</si>
  <si>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</si>
  <si>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</si>
  <si>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</si>
  <si>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</si>
  <si>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</si>
  <si>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</si>
  <si>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NORTHERN AFRICA AND WESTERN ASIA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</si>
  <si>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</si>
  <si>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</si>
  <si>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</si>
  <si>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</si>
  <si>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</si>
  <si>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</si>
  <si>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</si>
  <si>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</si>
  <si>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</si>
  <si>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</si>
  <si>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</si>
  <si>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</si>
  <si>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</si>
  <si>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</si>
  <si>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</si>
  <si>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</si>
  <si>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</si>
  <si>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</si>
  <si>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</si>
  <si>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</si>
  <si>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</si>
  <si>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</si>
  <si>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</si>
  <si>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</si>
  <si>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</si>
  <si>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</si>
  <si>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</si>
  <si>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CENTRAL AND SOUTHERN ASIA</t>
  </si>
  <si>
    <t>Central Asia</t>
  </si>
  <si>
    <t>Kazakhstan</t>
  </si>
  <si>
    <t>Kyrgyzstan</t>
  </si>
  <si>
    <t>Tajikistan</t>
  </si>
  <si>
    <t>Turkmenistan</t>
  </si>
  <si>
    <t>Uzbekistan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</si>
  <si>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</si>
  <si>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</si>
  <si>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</si>
  <si>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</si>
  <si>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</si>
  <si>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</si>
  <si>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</si>
  <si>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</si>
  <si>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</si>
  <si>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</si>
  <si>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EASTERN AND SOUTH-EASTERN ASIA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</si>
  <si>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</si>
  <si>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</si>
  <si>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</si>
  <si>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</si>
  <si>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</si>
  <si>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</si>
  <si>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</si>
  <si>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</si>
  <si>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</si>
  <si>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</si>
  <si>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</si>
  <si>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</si>
  <si>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</si>
  <si>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</si>
  <si>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</si>
  <si>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</si>
  <si>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</si>
  <si>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</si>
  <si>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</si>
  <si>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</si>
  <si>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</si>
  <si>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</si>
  <si>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</si>
  <si>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</si>
  <si>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</si>
  <si>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</si>
  <si>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</si>
  <si>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</si>
  <si>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</si>
  <si>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</si>
  <si>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</si>
  <si>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</si>
  <si>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</si>
  <si>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</si>
  <si>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</si>
  <si>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</si>
  <si>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</si>
  <si>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</si>
  <si>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</si>
  <si>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</si>
  <si>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</si>
  <si>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</si>
  <si>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</si>
  <si>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</si>
  <si>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</si>
  <si>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</si>
  <si>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</si>
  <si>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</si>
  <si>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</si>
  <si>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</si>
  <si>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</si>
  <si>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</si>
  <si>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</si>
  <si>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</si>
  <si>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</si>
  <si>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</si>
  <si>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</si>
  <si>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</si>
  <si>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</si>
  <si>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</si>
  <si>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</si>
  <si>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</si>
  <si>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</si>
  <si>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</si>
  <si>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</si>
  <si>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</si>
  <si>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</si>
  <si>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</si>
  <si>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</si>
  <si>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</si>
  <si>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</si>
  <si>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</si>
  <si>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</si>
  <si>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</si>
  <si>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</si>
  <si>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AUSTRALIA/NEW ZEALAND</t>
  </si>
  <si>
    <t>Australia</t>
  </si>
  <si>
    <t>New Zealand</t>
  </si>
  <si>
    <t>OCEANIA (EXCLUDING AUSTRALIA AND NEW ZEALAND)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</si>
  <si>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</si>
  <si>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</si>
  <si>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</si>
  <si>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</si>
  <si>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</si>
  <si>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</si>
  <si>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</si>
  <si>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</si>
  <si>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</si>
  <si>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</si>
  <si>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</si>
  <si>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</si>
  <si>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</si>
  <si>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</si>
  <si>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</si>
  <si>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</si>
  <si>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</si>
  <si>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</si>
  <si>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</si>
  <si>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</si>
  <si>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</si>
  <si>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</si>
  <si>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</si>
  <si>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</si>
  <si>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EUROPE AND NORTHERN AMERICA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</si>
  <si>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</si>
  <si>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</si>
  <si>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</si>
  <si>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</si>
  <si>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</si>
  <si>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</si>
  <si>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</si>
  <si>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</si>
  <si>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</si>
  <si>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</si>
  <si>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</si>
  <si>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</si>
  <si>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</si>
  <si>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</si>
  <si>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</si>
  <si>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</si>
  <si>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</si>
  <si>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</si>
  <si>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</si>
  <si>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</si>
  <si>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</si>
  <si>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</si>
  <si>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</si>
  <si>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</si>
  <si>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</si>
  <si>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</si>
  <si>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</si>
  <si>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</si>
  <si>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</si>
  <si>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</si>
  <si>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</si>
  <si>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</si>
  <si>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</si>
  <si>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</si>
  <si>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</si>
  <si>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</si>
  <si>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</si>
  <si>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</si>
  <si>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</si>
  <si>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</si>
  <si>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</si>
  <si>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</si>
  <si>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</si>
  <si>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</si>
  <si>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</si>
  <si>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</si>
  <si>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</si>
  <si>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</si>
  <si>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</si>
  <si>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</si>
  <si>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</si>
  <si>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</si>
  <si>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</si>
  <si>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NORTHERN AMERICA</t>
  </si>
  <si>
    <t>Bermuda</t>
  </si>
  <si>
    <t>Canada</t>
  </si>
  <si>
    <t>Greenland</t>
  </si>
  <si>
    <t>Saint Pierre and Miquelon</t>
  </si>
  <si>
    <t>United States of America</t>
  </si>
  <si>
    <t>2015-2020</t>
  </si>
  <si>
    <t>ISO_3</t>
  </si>
  <si>
    <t>Country</t>
  </si>
  <si>
    <t>year</t>
  </si>
  <si>
    <t>fac_b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</si>
  <si>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</si>
  <si>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</si>
  <si>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</si>
  <si>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</si>
  <si>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</si>
  <si>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</si>
  <si>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</si>
  <si>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</si>
  <si>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</si>
  <si>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</si>
  <si>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</si>
  <si>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BRB</t>
  </si>
  <si>
    <t>BLR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</si>
  <si>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</si>
  <si>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</si>
  <si>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</si>
  <si>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</si>
  <si>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</si>
  <si>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</si>
  <si>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</si>
  <si>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</si>
  <si>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</si>
  <si>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</si>
  <si>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</si>
  <si>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</si>
  <si>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</si>
  <si>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</si>
  <si>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</si>
  <si>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</si>
  <si>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</si>
  <si>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</si>
  <si>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</si>
  <si>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</si>
  <si>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</si>
  <si>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</si>
  <si>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</si>
  <si>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</si>
  <si>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CIV</t>
  </si>
  <si>
    <t>CUB</t>
  </si>
  <si>
    <t>CYP</t>
  </si>
  <si>
    <t>CZE</t>
  </si>
  <si>
    <t>PRK</t>
  </si>
  <si>
    <t>Democratic People's Republic of Korea</t>
  </si>
  <si>
    <t>COD</t>
  </si>
  <si>
    <t>Democratic Republic of Congo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</si>
  <si>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</si>
  <si>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</si>
  <si>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</si>
  <si>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</si>
  <si>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</si>
  <si>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</si>
  <si>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</si>
  <si>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</si>
  <si>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</si>
  <si>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</si>
  <si>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</si>
  <si>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</si>
  <si>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</si>
  <si>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</si>
  <si>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</si>
  <si>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</si>
  <si>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</si>
  <si>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</si>
  <si>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</si>
  <si>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</si>
  <si>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</si>
  <si>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</si>
  <si>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</si>
  <si>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</si>
  <si>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</si>
  <si>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</si>
  <si>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</si>
  <si>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</si>
  <si>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IRL</t>
  </si>
  <si>
    <t>ITA</t>
  </si>
  <si>
    <t>JAM</t>
  </si>
  <si>
    <t>JPN</t>
  </si>
  <si>
    <t>JOR</t>
  </si>
  <si>
    <t>KAZ</t>
  </si>
  <si>
    <t>KEN</t>
  </si>
  <si>
    <t>KIR</t>
  </si>
  <si>
    <t>RKS</t>
  </si>
  <si>
    <t>Kosovo</t>
  </si>
  <si>
    <t>KWT</t>
  </si>
  <si>
    <t>KGZ</t>
  </si>
  <si>
    <t>LAO</t>
  </si>
  <si>
    <t>LVA</t>
  </si>
  <si>
    <t>LBN</t>
  </si>
  <si>
    <t>LSO</t>
  </si>
  <si>
    <t>LBR</t>
  </si>
  <si>
    <t>LBY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</si>
  <si>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</si>
  <si>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</si>
  <si>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</si>
  <si>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</si>
  <si>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</si>
  <si>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</si>
  <si>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</si>
  <si>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</si>
  <si>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</si>
  <si>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</si>
  <si>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</si>
  <si>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</si>
  <si>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Micronesia (Federated States of)</t>
  </si>
  <si>
    <t>MNG</t>
  </si>
  <si>
    <t>MNE</t>
  </si>
  <si>
    <t>MAR</t>
  </si>
  <si>
    <t>MOZ</t>
  </si>
  <si>
    <t>MMR</t>
  </si>
  <si>
    <t>NAM</t>
  </si>
  <si>
    <t>NRU</t>
  </si>
  <si>
    <t>NPL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</si>
  <si>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</si>
  <si>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</si>
  <si>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</si>
  <si>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</si>
  <si>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</si>
  <si>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</si>
  <si>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</si>
  <si>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</si>
  <si>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</si>
  <si>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</si>
  <si>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</si>
  <si>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</si>
  <si>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</si>
  <si>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</si>
  <si>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</si>
  <si>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</si>
  <si>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</si>
  <si>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KOR</t>
  </si>
  <si>
    <t>MDA</t>
  </si>
  <si>
    <t>ROU</t>
  </si>
  <si>
    <t>RUS</t>
  </si>
  <si>
    <t>RWA</t>
  </si>
  <si>
    <t>LCA</t>
  </si>
  <si>
    <t>WSM</t>
  </si>
  <si>
    <t>STP</t>
  </si>
  <si>
    <t>SAU</t>
  </si>
  <si>
    <t>SEN</t>
  </si>
  <si>
    <t>SRB</t>
  </si>
  <si>
    <t>SLE</t>
  </si>
  <si>
    <t>SGP</t>
  </si>
  <si>
    <t>SVN</t>
  </si>
  <si>
    <t>SLB</t>
  </si>
  <si>
    <t>SOM</t>
  </si>
  <si>
    <t>ZAF</t>
  </si>
  <si>
    <t>SSD</t>
  </si>
  <si>
    <t>LKA</t>
  </si>
  <si>
    <t>PSE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</si>
  <si>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</si>
  <si>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</si>
  <si>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</si>
  <si>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</si>
  <si>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</si>
  <si>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</si>
  <si>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</si>
  <si>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</si>
  <si>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</si>
  <si>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</si>
  <si>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</si>
  <si>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</si>
  <si>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</si>
  <si>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</si>
  <si>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</si>
  <si>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</si>
  <si>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TZA</t>
  </si>
  <si>
    <t>URY</t>
  </si>
  <si>
    <t>UZB</t>
  </si>
  <si>
    <t>VUT</t>
  </si>
  <si>
    <t>VEN</t>
  </si>
  <si>
    <t>VNM</t>
  </si>
  <si>
    <t>YEM</t>
  </si>
  <si>
    <t>ZMB</t>
  </si>
  <si>
    <t>ZWE</t>
  </si>
  <si>
    <t>Period</t>
  </si>
  <si>
    <t>m_01</t>
  </si>
  <si>
    <t>m_14</t>
  </si>
  <si>
    <t>m_59</t>
  </si>
  <si>
    <t>m_1014</t>
  </si>
  <si>
    <t>m_1519</t>
  </si>
  <si>
    <t>m_2024</t>
  </si>
  <si>
    <t>m_2529</t>
  </si>
  <si>
    <t>m_3034</t>
  </si>
  <si>
    <t>m_3539</t>
  </si>
  <si>
    <t>m_4044</t>
  </si>
  <si>
    <t>m_4549</t>
  </si>
  <si>
    <t>m_5054</t>
  </si>
  <si>
    <t>m_5559</t>
  </si>
  <si>
    <t>m_6064</t>
  </si>
  <si>
    <t>m_6569</t>
  </si>
  <si>
    <t>m_7074</t>
  </si>
  <si>
    <t>m_7079</t>
  </si>
  <si>
    <t>m_8084</t>
  </si>
  <si>
    <t>m_8589</t>
  </si>
  <si>
    <t>m_9094</t>
  </si>
  <si>
    <t>m_95+</t>
  </si>
  <si>
    <t>UN development groups</t>
  </si>
  <si>
    <t>...</t>
  </si>
  <si>
    <t>World Bank income groups</t>
  </si>
  <si>
    <t>Geographic regions</t>
  </si>
  <si>
    <t>Sustainable Development Goal (SDG) regions</t>
  </si>
  <si>
    <t>country</t>
  </si>
  <si>
    <t>iso3</t>
  </si>
  <si>
    <t>hepb_bd</t>
  </si>
  <si>
    <t>hbv3</t>
  </si>
  <si>
    <t>hbsag</t>
  </si>
  <si>
    <t>gbd_region</t>
  </si>
  <si>
    <t>hbe_w_ave</t>
  </si>
  <si>
    <t>hbe_min</t>
  </si>
  <si>
    <t>hbe_max</t>
  </si>
  <si>
    <t>North Africa and Middle East</t>
  </si>
  <si>
    <t>Central Europe</t>
  </si>
  <si>
    <t>AND</t>
  </si>
  <si>
    <t>Central Sub-Saharan Africa</t>
  </si>
  <si>
    <t>Southern Latin America</t>
  </si>
  <si>
    <t>ATG</t>
  </si>
  <si>
    <t>Australasia</t>
  </si>
  <si>
    <t>Bahamas (the)</t>
  </si>
  <si>
    <t>BEL</t>
  </si>
  <si>
    <t>Ivory Coast</t>
  </si>
  <si>
    <t>South Asia</t>
  </si>
  <si>
    <t>Democratic Republic pf the Congo</t>
  </si>
  <si>
    <t>Western Sub-Saharan Africa</t>
  </si>
  <si>
    <t>BHS</t>
  </si>
  <si>
    <t>Andean Latin America</t>
  </si>
  <si>
    <t>Southern Sub-Saharan Africa</t>
  </si>
  <si>
    <t>Tropical Latin America</t>
  </si>
  <si>
    <t>High-income Asia Pacific</t>
  </si>
  <si>
    <t>Eastern Sub-Saharan Africa</t>
  </si>
  <si>
    <t>Southeast Asia</t>
  </si>
  <si>
    <t>CHE</t>
  </si>
  <si>
    <t>High-income North America</t>
  </si>
  <si>
    <t>Central African Republic (the)</t>
  </si>
  <si>
    <t>Cote d'Ivoire</t>
  </si>
  <si>
    <t>East Asia</t>
  </si>
  <si>
    <t>Central Latin America</t>
  </si>
  <si>
    <t>SYC</t>
  </si>
  <si>
    <t xml:space="preserve">Comoros </t>
  </si>
  <si>
    <t>Congo (the)</t>
  </si>
  <si>
    <t>Swaziland</t>
  </si>
  <si>
    <t>Tanzania</t>
  </si>
  <si>
    <t>Korea (the Democratic People's Republic of)</t>
  </si>
  <si>
    <t>Congo (the Democratic Republic of the)</t>
  </si>
  <si>
    <t>DMA</t>
  </si>
  <si>
    <t>DNK</t>
  </si>
  <si>
    <t>Dominican Republic (the)</t>
  </si>
  <si>
    <t>Bolivia</t>
  </si>
  <si>
    <t>ESP</t>
  </si>
  <si>
    <t>Gambia (the)</t>
  </si>
  <si>
    <t>GBR</t>
  </si>
  <si>
    <t>GRD</t>
  </si>
  <si>
    <t>GRC</t>
  </si>
  <si>
    <t>HRV</t>
  </si>
  <si>
    <t>KNA</t>
  </si>
  <si>
    <t>HUN</t>
  </si>
  <si>
    <t>VCT</t>
  </si>
  <si>
    <t>USA</t>
  </si>
  <si>
    <t>ISL</t>
  </si>
  <si>
    <t>ISR</t>
  </si>
  <si>
    <t>Lao People's Democratic Republic (the)</t>
  </si>
  <si>
    <t>LTU</t>
  </si>
  <si>
    <t>MCO</t>
  </si>
  <si>
    <t>Republic of North Macedonia</t>
  </si>
  <si>
    <t>Netherlands (the)</t>
  </si>
  <si>
    <t>Niger (the)</t>
  </si>
  <si>
    <t>NLD</t>
  </si>
  <si>
    <t>NIU</t>
  </si>
  <si>
    <t>Republic of Moldava</t>
  </si>
  <si>
    <t>SMR</t>
  </si>
  <si>
    <t>Korea (the Republic of)</t>
  </si>
  <si>
    <t>Moldova (the Republic of)</t>
  </si>
  <si>
    <t>SVK</t>
  </si>
  <si>
    <t>Russian Federation (the)</t>
  </si>
  <si>
    <t>SWE</t>
  </si>
  <si>
    <t>Czech Republic</t>
  </si>
  <si>
    <t>The former Yugoslav Republic of Macedonia</t>
  </si>
  <si>
    <t>United Kingdom of Great Britain and Northern Ireland</t>
  </si>
  <si>
    <t>Iran</t>
  </si>
  <si>
    <t>Sudan (the)</t>
  </si>
  <si>
    <t>Syrian Arab Republic (the)</t>
  </si>
  <si>
    <t xml:space="preserve">Sudan </t>
  </si>
  <si>
    <t>United Arab Emirates (the)</t>
  </si>
  <si>
    <t>United Kingdom of Great Britain and Northern Ireland (the)</t>
  </si>
  <si>
    <t>Tanzania, the United Republic of</t>
  </si>
  <si>
    <t>United States of America (the)</t>
  </si>
  <si>
    <t>Philippines (the)</t>
  </si>
  <si>
    <t>United States</t>
  </si>
  <si>
    <t>settings</t>
  </si>
  <si>
    <t>epos</t>
  </si>
  <si>
    <t>epos_lb</t>
  </si>
  <si>
    <t>epos_ub</t>
  </si>
  <si>
    <t>eneg</t>
  </si>
  <si>
    <t>eneg_lb</t>
  </si>
  <si>
    <t>eneg_ub</t>
  </si>
  <si>
    <t>Central Europe, Eastern Europe and Central Asia</t>
  </si>
  <si>
    <t>High Income</t>
  </si>
  <si>
    <t>Latin America and Caribbean</t>
  </si>
  <si>
    <t>Southeast Asia, East Asia and Oceania</t>
  </si>
  <si>
    <t>Sub-Saharan Africa</t>
  </si>
  <si>
    <t>setting</t>
  </si>
  <si>
    <t>num</t>
  </si>
  <si>
    <t>who_region</t>
  </si>
  <si>
    <t>gbd_super</t>
  </si>
  <si>
    <t>wb_class</t>
  </si>
  <si>
    <t>EMRO</t>
  </si>
  <si>
    <t>Low Income</t>
  </si>
  <si>
    <t>EURO</t>
  </si>
  <si>
    <t>Upper Middle Income</t>
  </si>
  <si>
    <t>AFRO</t>
  </si>
  <si>
    <t>Lower Middle Income</t>
  </si>
  <si>
    <t>AMRO</t>
  </si>
  <si>
    <t>SEARO</t>
  </si>
  <si>
    <t>WPRO</t>
  </si>
  <si>
    <t>Marshall Islands (the)</t>
  </si>
  <si>
    <t>Palestine, State of</t>
  </si>
  <si>
    <t>São Tomé and Principe</t>
  </si>
  <si>
    <t>pop</t>
  </si>
  <si>
    <t>births</t>
  </si>
  <si>
    <t>fac_birth</t>
  </si>
  <si>
    <t>bd_cov</t>
  </si>
  <si>
    <t>hbv3_cov</t>
  </si>
  <si>
    <t>hbv_prev</t>
  </si>
  <si>
    <t>hbe_prev</t>
  </si>
  <si>
    <t>c_diag</t>
  </si>
  <si>
    <t>c_C</t>
  </si>
  <si>
    <t>c_CC</t>
  </si>
  <si>
    <t>c_DC</t>
  </si>
  <si>
    <t>c_HCC</t>
  </si>
  <si>
    <t>bl1_f</t>
  </si>
  <si>
    <t>bl1_c</t>
  </si>
  <si>
    <t>map_f</t>
  </si>
  <si>
    <t>map_cq</t>
  </si>
  <si>
    <t>map_cl</t>
  </si>
  <si>
    <t>ctc_f</t>
  </si>
  <si>
    <t>ctc_c</t>
  </si>
  <si>
    <t>av_life</t>
  </si>
  <si>
    <t>All LMICs</t>
  </si>
  <si>
    <t>For full details on costing, see "Detailed Costing Methodology.xlsx"</t>
  </si>
  <si>
    <t>Supply Chain Costs (taken from Portnoy et al. 2020)</t>
  </si>
  <si>
    <t>who_reg</t>
  </si>
  <si>
    <t>est</t>
  </si>
  <si>
    <t>Commodity Costs (UNICEF-SD plus wastage assumptions)</t>
  </si>
  <si>
    <t>model_scenario</t>
  </si>
  <si>
    <t>cc_pe</t>
  </si>
  <si>
    <t>cc_lb</t>
  </si>
  <si>
    <t>cc_ub</t>
  </si>
  <si>
    <t>ctc_pe</t>
  </si>
  <si>
    <t>ctc_ub</t>
  </si>
  <si>
    <t>ctc_lb</t>
  </si>
  <si>
    <t>Vaccine administration (human resource) costs; (calculated proportional to per capita GDP using methods described by Serje et al)</t>
  </si>
  <si>
    <t>Outreach costs (from Nayagam et al)</t>
  </si>
  <si>
    <t>pe</t>
  </si>
  <si>
    <t xml:space="preserve">lb </t>
  </si>
  <si>
    <t>cold chain</t>
  </si>
  <si>
    <t>MAPs</t>
  </si>
  <si>
    <t>CTC</t>
  </si>
  <si>
    <t>cov_impute</t>
  </si>
  <si>
    <t>qmap_pe</t>
  </si>
  <si>
    <t>qmap_lb</t>
  </si>
  <si>
    <t>qmap_ub</t>
  </si>
  <si>
    <t>lmap_pe</t>
  </si>
  <si>
    <t>lmap_lb</t>
  </si>
  <si>
    <t>lmap_ub</t>
  </si>
  <si>
    <t>Hepatitis B Diagnosis Cost</t>
  </si>
  <si>
    <t>Nayagam et al management costs</t>
  </si>
  <si>
    <t>Tordrup et al management costs</t>
  </si>
  <si>
    <t>HepB Calculator Management Costs</t>
  </si>
  <si>
    <t>Diagnosed Proportions</t>
  </si>
  <si>
    <t>Facility Cold Chain</t>
  </si>
  <si>
    <t>Community Cold Chain</t>
  </si>
  <si>
    <t>MAP Facility</t>
  </si>
  <si>
    <t>MAP Community (LHW)</t>
  </si>
  <si>
    <t>MAP Community (QHW)</t>
  </si>
  <si>
    <t>CTC Facility</t>
  </si>
  <si>
    <t>CTC Community</t>
  </si>
  <si>
    <t>Supply Chain</t>
  </si>
  <si>
    <t>Cold Chain Commodity</t>
  </si>
  <si>
    <t>No Commodity</t>
  </si>
  <si>
    <t>CTC Commodity</t>
  </si>
  <si>
    <t>QHW Delivery, SDV</t>
  </si>
  <si>
    <t>QHW Delivery, MDV:SDV</t>
  </si>
  <si>
    <t>QHW Delivery, MAP</t>
  </si>
  <si>
    <t>LHW Delivery, MAP</t>
  </si>
  <si>
    <t>No Outreach</t>
  </si>
  <si>
    <t>Outreach Cost</t>
  </si>
  <si>
    <t xml:space="preserve">Brunei Darussalam </t>
  </si>
  <si>
    <t>South Korea</t>
  </si>
  <si>
    <t xml:space="preserve">Georgia </t>
  </si>
  <si>
    <t>Hong Kong</t>
  </si>
  <si>
    <t>Taiwan</t>
  </si>
  <si>
    <t>Laos</t>
  </si>
  <si>
    <t>Vietnam</t>
  </si>
  <si>
    <t>Russia</t>
  </si>
  <si>
    <t xml:space="preserve">Germany </t>
  </si>
  <si>
    <t>UK</t>
  </si>
  <si>
    <t>Venezuela</t>
  </si>
  <si>
    <t>Syria</t>
  </si>
  <si>
    <t>Cote d’Ivorie</t>
  </si>
  <si>
    <t>The Gambia</t>
  </si>
  <si>
    <t>Global</t>
  </si>
  <si>
    <t>Value</t>
  </si>
  <si>
    <t>Uncertainity</t>
  </si>
  <si>
    <t>Vaccine Effectiveness</t>
  </si>
  <si>
    <t>Annual probability of hepatitis B progression</t>
  </si>
  <si>
    <t>Acute to Chronic*</t>
  </si>
  <si>
    <t>Chronic to immune</t>
  </si>
  <si>
    <t>Chronic to compensated cirrhosis</t>
  </si>
  <si>
    <t>Chronic to hepatocellular carcinoma</t>
  </si>
  <si>
    <t>Compensated to decompensated cirrhosis</t>
  </si>
  <si>
    <t>Compensated cirrhosis to hepatocellular carcinoma</t>
  </si>
  <si>
    <t>Decompensated cirrhosis to hepatocellular carcinoma</t>
  </si>
  <si>
    <t>Annual probability of hepatitis B mortality</t>
  </si>
  <si>
    <t>Acute</t>
  </si>
  <si>
    <t>Chronic</t>
  </si>
  <si>
    <t>Compensated Cirrhosis</t>
  </si>
  <si>
    <t>Decompensated Cirrhosis</t>
  </si>
  <si>
    <t>Hepatocellular Carcinoma</t>
  </si>
  <si>
    <t>Annual hepatitis B disability weightings^</t>
  </si>
  <si>
    <t>n LMICs included</t>
  </si>
  <si>
    <t>Demographics</t>
  </si>
  <si>
    <t>Births (2019)</t>
  </si>
  <si>
    <t>Population (2019)</t>
  </si>
  <si>
    <t>Life Expectancy (years)</t>
  </si>
  <si>
    <t>Facility Births</t>
  </si>
  <si>
    <t>Epidemiology</t>
  </si>
  <si>
    <t>HBsAg Prevalence</t>
  </si>
  <si>
    <t>HBeAg Prevalence</t>
  </si>
  <si>
    <t>HBeAg+ Transmission Risk</t>
  </si>
  <si>
    <t>HBeAg- Transmission Risk</t>
  </si>
  <si>
    <t>Vaccination Coverage</t>
  </si>
  <si>
    <t>Hepatitis B Birth Dose Coverage</t>
  </si>
  <si>
    <t>Hepatitis B Infant Series Coverage</t>
  </si>
  <si>
    <t>Vaccination Costs</t>
  </si>
  <si>
    <t>Cold Chain, Facility</t>
  </si>
  <si>
    <t>Cold Chain, Community</t>
  </si>
  <si>
    <t>MAP, QHW, Facility (excluding commodity costs)</t>
  </si>
  <si>
    <t>MAP, QHW, Community (excluding commodity costs)</t>
  </si>
  <si>
    <t>MAP, LHW, Community (excluding commodity costs)</t>
  </si>
  <si>
    <t>supp_chain</t>
  </si>
  <si>
    <t>qhw_map_lb</t>
  </si>
  <si>
    <t>qhw_map_pe</t>
  </si>
  <si>
    <t>qhw_map_ub</t>
  </si>
  <si>
    <t>lhw_map_lb</t>
  </si>
  <si>
    <t>lhw_map_pe</t>
  </si>
  <si>
    <t>lhw_map_ub</t>
  </si>
  <si>
    <t>outreach</t>
  </si>
  <si>
    <t>c_C_lb</t>
  </si>
  <si>
    <t>c_CC_lb</t>
  </si>
  <si>
    <t>c_DC_lb</t>
  </si>
  <si>
    <t>c_HCC_lb</t>
  </si>
  <si>
    <t>c_C_ub</t>
  </si>
  <si>
    <t>c_CC_ub</t>
  </si>
  <si>
    <t>c_DC_ub</t>
  </si>
  <si>
    <t>c_HCC_ub</t>
  </si>
  <si>
    <t>cold_com_lb</t>
  </si>
  <si>
    <t>cold_com_ub</t>
  </si>
  <si>
    <t>ctc_com_lb</t>
  </si>
  <si>
    <t>ctc_com_ub</t>
  </si>
  <si>
    <t>cold_com_pe</t>
  </si>
  <si>
    <t>ctc_com_pe</t>
  </si>
  <si>
    <t>qmap_ub2</t>
  </si>
  <si>
    <t>lmap_ub2</t>
  </si>
  <si>
    <t>Annual Disease Management Costs</t>
  </si>
  <si>
    <t>Diagnosis*</t>
  </si>
  <si>
    <t>wtp_thresh</t>
  </si>
  <si>
    <t>0.5_gdp</t>
  </si>
  <si>
    <t>1_gdp</t>
  </si>
  <si>
    <t>3_gdp</t>
  </si>
  <si>
    <t>diag_lb</t>
  </si>
  <si>
    <t>Commodity</t>
  </si>
  <si>
    <t>Human Resource</t>
  </si>
  <si>
    <t>Outreach</t>
  </si>
  <si>
    <t>Total</t>
  </si>
  <si>
    <t>Facility, Cold Chain</t>
  </si>
  <si>
    <t>Community, Cold Chain</t>
  </si>
  <si>
    <t>Facility, MAP</t>
  </si>
  <si>
    <t>Community, MAP QHW</t>
  </si>
  <si>
    <t>Community, MAP LHW</t>
  </si>
  <si>
    <t>LB</t>
  </si>
  <si>
    <t>UB</t>
  </si>
  <si>
    <t>d_lb</t>
  </si>
  <si>
    <t>d_ub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</si>
</sst>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0.000000"/>
    <numFmt numFmtId="166" formatCode="#\ ###\ ###\ ##0;\-#\ ###\ ###\ ##0;0"/>
    <numFmt numFmtId="167" formatCode="##0.0;\-##0.0;0"/>
    <numFmt numFmtId="168" formatCode="##0.00;\-##0.00;0"/>
    <numFmt numFmtId="169" formatCode="0.0"/>
    <numFmt numFmtId="170" formatCode="General_)"/>
    <numFmt numFmtId="171" formatCode="000"/>
    <numFmt numFmtId="172" formatCode="0.000"/>
    <numFmt numFmtId="173" formatCode="_-* #,##0.0_-;\-* #,##0.0_-;_-* &quot;-&quot;??_-;_-@_-"/>
    <numFmt numFmtId="174" formatCode="_-* #,##0_-;\-* #,##0_-;_-* &quot;-&quot;??_-;_-@_-"/>
    <numFmt numFmtId="175" formatCode="&quot;$&quot;#,##0.00"/>
    <numFmt numFmtId="176" formatCode="&quot;$&quot;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0" fontId="5" fillId="0" borderId="0"/>
  </cellStyleXfs>
  <cellXfs count="175">
    <xf numFmtId="0" fontId="0" fillId="0" borderId="0" xfId="0"/>
    <xf numFmtId="0" fontId="2" fillId="2" borderId="0" xfId="0" applyFont="1" applyFill="1"/>
    <xf numFmtId="0" fontId="0" fillId="3" borderId="0" xfId="0" applyFill="1"/>
    <xf numFmtId="9" fontId="0" fillId="3" borderId="0" xfId="0" applyNumberFormat="1" applyFill="1"/>
    <xf numFmtId="164" fontId="0" fillId="3" borderId="0" xfId="1" applyNumberFormat="1" applyFon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2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0" fontId="4" fillId="8" borderId="0" xfId="0" applyFont="1" applyFill="1" applyAlignment="1">
      <alignment horizontal="center" vertical="center" wrapText="1"/>
    </xf>
    <xf numFmtId="9" fontId="0" fillId="8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/>
    <xf numFmtId="1" fontId="0" fillId="0" borderId="0" xfId="0" applyNumberFormat="1"/>
    <xf numFmtId="9" fontId="0" fillId="0" borderId="0" xfId="0" applyNumberFormat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5" fontId="0" fillId="0" borderId="0" xfId="0" applyNumberFormat="1"/>
    <xf numFmtId="0" fontId="0" fillId="0" borderId="0" xfId="0"/>
    <xf numFmtId="0" fontId="7" fillId="9" borderId="1" xfId="0" quotePrefix="1" applyFont="1" applyFill="1" applyBorder="1" applyAlignment="1">
      <alignment horizontal="center" vertical="center"/>
    </xf>
    <xf numFmtId="0" fontId="7" fillId="9" borderId="2" xfId="0" quotePrefix="1" applyFont="1" applyFill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right"/>
    </xf>
    <xf numFmtId="0" fontId="8" fillId="0" borderId="0" xfId="0" applyFont="1" applyAlignment="1"/>
    <xf numFmtId="0" fontId="7" fillId="10" borderId="0" xfId="0" applyFont="1" applyFill="1" applyAlignment="1"/>
    <xf numFmtId="0" fontId="8" fillId="10" borderId="0" xfId="0" applyFont="1" applyFill="1" applyAlignment="1">
      <alignment horizontal="center"/>
    </xf>
    <xf numFmtId="166" fontId="8" fillId="10" borderId="0" xfId="0" applyNumberFormat="1" applyFont="1" applyFill="1" applyAlignment="1">
      <alignment horizontal="right"/>
    </xf>
    <xf numFmtId="0" fontId="7" fillId="11" borderId="0" xfId="0" applyFont="1" applyFill="1" applyAlignment="1"/>
    <xf numFmtId="0" fontId="8" fillId="11" borderId="0" xfId="0" applyFont="1" applyFill="1" applyAlignment="1">
      <alignment horizontal="center"/>
    </xf>
    <xf numFmtId="166" fontId="8" fillId="11" borderId="0" xfId="0" applyNumberFormat="1" applyFont="1" applyFill="1" applyAlignment="1">
      <alignment horizontal="right"/>
    </xf>
    <xf numFmtId="0" fontId="7" fillId="12" borderId="0" xfId="0" applyFont="1" applyFill="1" applyAlignment="1"/>
    <xf numFmtId="0" fontId="8" fillId="12" borderId="0" xfId="0" applyFont="1" applyFill="1" applyAlignment="1">
      <alignment horizontal="center"/>
    </xf>
    <xf numFmtId="166" fontId="8" fillId="12" borderId="0" xfId="0" applyNumberFormat="1" applyFont="1" applyFill="1" applyAlignment="1">
      <alignment horizontal="right"/>
    </xf>
    <xf numFmtId="0" fontId="7" fillId="9" borderId="1" xfId="0" quotePrefix="1" applyFont="1" applyFill="1" applyBorder="1" applyAlignment="1">
      <alignment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right"/>
    </xf>
    <xf numFmtId="1" fontId="0" fillId="0" borderId="9" xfId="0" applyNumberFormat="1" applyFont="1" applyBorder="1"/>
    <xf numFmtId="1" fontId="0" fillId="0" borderId="2" xfId="0" applyNumberFormat="1" applyFont="1" applyBorder="1"/>
    <xf numFmtId="1" fontId="0" fillId="0" borderId="2" xfId="0" applyNumberFormat="1" applyFont="1" applyBorder="1" applyAlignment="1">
      <alignment horizontal="left"/>
    </xf>
    <xf numFmtId="1" fontId="0" fillId="0" borderId="10" xfId="0" applyNumberFormat="1" applyFont="1" applyBorder="1" applyAlignment="1">
      <alignment horizontal="center"/>
    </xf>
    <xf numFmtId="167" fontId="8" fillId="10" borderId="0" xfId="0" applyNumberFormat="1" applyFont="1" applyFill="1" applyAlignment="1">
      <alignment horizontal="right"/>
    </xf>
    <xf numFmtId="167" fontId="8" fillId="11" borderId="0" xfId="0" applyNumberFormat="1" applyFont="1" applyFill="1" applyAlignment="1">
      <alignment horizontal="right"/>
    </xf>
    <xf numFmtId="0" fontId="0" fillId="0" borderId="9" xfId="0" applyBorder="1"/>
    <xf numFmtId="0" fontId="0" fillId="0" borderId="2" xfId="0" applyBorder="1"/>
    <xf numFmtId="0" fontId="0" fillId="0" borderId="2" xfId="0" applyBorder="1" applyAlignment="1">
      <alignment horizontal="left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/>
    </xf>
    <xf numFmtId="1" fontId="0" fillId="0" borderId="13" xfId="0" applyNumberFormat="1" applyBorder="1" applyAlignment="1">
      <alignment horizontal="center"/>
    </xf>
    <xf numFmtId="167" fontId="8" fillId="12" borderId="0" xfId="0" applyNumberFormat="1" applyFont="1" applyFill="1" applyAlignment="1">
      <alignment horizontal="right"/>
    </xf>
    <xf numFmtId="168" fontId="8" fillId="0" borderId="0" xfId="0" applyNumberFormat="1" applyFont="1" applyAlignment="1">
      <alignment horizontal="right"/>
    </xf>
    <xf numFmtId="0" fontId="7" fillId="14" borderId="0" xfId="0" applyFont="1" applyFill="1" applyAlignment="1"/>
    <xf numFmtId="0" fontId="8" fillId="14" borderId="0" xfId="0" applyFont="1" applyFill="1" applyAlignment="1">
      <alignment horizontal="center"/>
    </xf>
    <xf numFmtId="168" fontId="8" fillId="14" borderId="0" xfId="0" applyNumberFormat="1" applyFont="1" applyFill="1" applyAlignment="1">
      <alignment horizontal="right"/>
    </xf>
    <xf numFmtId="168" fontId="8" fillId="10" borderId="0" xfId="0" applyNumberFormat="1" applyFont="1" applyFill="1" applyAlignment="1">
      <alignment horizontal="right"/>
    </xf>
    <xf numFmtId="168" fontId="8" fillId="11" borderId="0" xfId="0" applyNumberFormat="1" applyFont="1" applyFill="1" applyAlignment="1">
      <alignment horizontal="right"/>
    </xf>
    <xf numFmtId="168" fontId="8" fillId="12" borderId="0" xfId="0" applyNumberFormat="1" applyFont="1" applyFill="1" applyAlignment="1">
      <alignment horizontal="right"/>
    </xf>
    <xf numFmtId="0" fontId="6" fillId="15" borderId="3" xfId="0" applyFont="1" applyFill="1" applyBorder="1"/>
    <xf numFmtId="0" fontId="6" fillId="15" borderId="4" xfId="0" applyFont="1" applyFill="1" applyBorder="1"/>
    <xf numFmtId="0" fontId="0" fillId="13" borderId="3" xfId="0" applyFont="1" applyFill="1" applyBorder="1"/>
    <xf numFmtId="0" fontId="0" fillId="1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6" fillId="15" borderId="5" xfId="0" applyFont="1" applyFill="1" applyBorder="1"/>
    <xf numFmtId="0" fontId="0" fillId="13" borderId="5" xfId="0" applyFont="1" applyFill="1" applyBorder="1"/>
    <xf numFmtId="0" fontId="0" fillId="0" borderId="5" xfId="0" applyFont="1" applyBorder="1"/>
    <xf numFmtId="0" fontId="6" fillId="15" borderId="14" xfId="0" applyFont="1" applyFill="1" applyBorder="1"/>
    <xf numFmtId="10" fontId="0" fillId="0" borderId="0" xfId="1" applyNumberFormat="1" applyFont="1"/>
    <xf numFmtId="169" fontId="0" fillId="4" borderId="0" xfId="0" applyNumberFormat="1" applyFill="1"/>
    <xf numFmtId="0" fontId="8" fillId="13" borderId="4" xfId="0" applyFont="1" applyFill="1" applyBorder="1" applyAlignment="1">
      <alignment horizontal="left"/>
    </xf>
    <xf numFmtId="170" fontId="5" fillId="0" borderId="0" xfId="6" applyNumberFormat="1" applyFont="1" applyAlignment="1" applyProtection="1">
      <alignment horizontal="left"/>
    </xf>
    <xf numFmtId="0" fontId="8" fillId="0" borderId="4" xfId="0" applyFont="1" applyBorder="1" applyAlignment="1">
      <alignment horizontal="left"/>
    </xf>
    <xf numFmtId="0" fontId="0" fillId="0" borderId="15" xfId="0" applyFont="1" applyBorder="1"/>
    <xf numFmtId="0" fontId="1" fillId="0" borderId="15" xfId="0" applyFont="1" applyBorder="1"/>
    <xf numFmtId="10" fontId="0" fillId="0" borderId="0" xfId="1" applyNumberFormat="1" applyFont="1" applyBorder="1"/>
    <xf numFmtId="0" fontId="0" fillId="0" borderId="5" xfId="0" applyFont="1" applyFill="1" applyBorder="1"/>
    <xf numFmtId="0" fontId="0" fillId="13" borderId="15" xfId="0" applyFont="1" applyFill="1" applyBorder="1"/>
    <xf numFmtId="0" fontId="0" fillId="13" borderId="16" xfId="0" applyFont="1" applyFill="1" applyBorder="1"/>
    <xf numFmtId="170" fontId="5" fillId="13" borderId="3" xfId="6" applyNumberFormat="1" applyFont="1" applyFill="1" applyBorder="1" applyAlignment="1">
      <alignment horizontal="left"/>
    </xf>
    <xf numFmtId="0" fontId="5" fillId="13" borderId="4" xfId="6" applyNumberFormat="1" applyFont="1" applyFill="1" applyBorder="1" applyAlignment="1"/>
    <xf numFmtId="171" fontId="0" fillId="13" borderId="4" xfId="0" applyNumberFormat="1" applyFont="1" applyFill="1" applyBorder="1"/>
    <xf numFmtId="170" fontId="5" fillId="0" borderId="3" xfId="6" applyNumberFormat="1" applyFont="1" applyBorder="1" applyAlignment="1">
      <alignment horizontal="left"/>
    </xf>
    <xf numFmtId="0" fontId="5" fillId="0" borderId="4" xfId="6" applyNumberFormat="1" applyFont="1" applyBorder="1" applyAlignment="1"/>
    <xf numFmtId="171" fontId="0" fillId="0" borderId="4" xfId="0" applyNumberFormat="1" applyFont="1" applyBorder="1"/>
    <xf numFmtId="0" fontId="8" fillId="13" borderId="4" xfId="0" applyFont="1" applyFill="1" applyBorder="1" applyAlignment="1">
      <alignment horizontal="right"/>
    </xf>
    <xf numFmtId="170" fontId="5" fillId="0" borderId="18" xfId="6" applyNumberFormat="1" applyFont="1" applyBorder="1" applyAlignment="1">
      <alignment horizontal="left"/>
    </xf>
    <xf numFmtId="0" fontId="6" fillId="15" borderId="0" xfId="0" applyFont="1" applyFill="1" applyBorder="1"/>
    <xf numFmtId="170" fontId="5" fillId="13" borderId="4" xfId="6" applyNumberFormat="1" applyFont="1" applyFill="1" applyBorder="1" applyAlignment="1">
      <alignment horizontal="left"/>
    </xf>
    <xf numFmtId="170" fontId="5" fillId="0" borderId="4" xfId="6" applyNumberFormat="1" applyFont="1" applyBorder="1" applyAlignment="1">
      <alignment horizontal="left"/>
    </xf>
    <xf numFmtId="170" fontId="5" fillId="0" borderId="19" xfId="6" applyNumberFormat="1" applyFont="1" applyBorder="1" applyAlignment="1">
      <alignment horizontal="left"/>
    </xf>
    <xf numFmtId="171" fontId="8" fillId="0" borderId="0" xfId="0" applyNumberFormat="1" applyFont="1" applyAlignment="1">
      <alignment horizontal="center"/>
    </xf>
    <xf numFmtId="171" fontId="8" fillId="10" borderId="0" xfId="0" applyNumberFormat="1" applyFont="1" applyFill="1" applyAlignment="1">
      <alignment horizontal="center"/>
    </xf>
    <xf numFmtId="171" fontId="8" fillId="11" borderId="0" xfId="0" applyNumberFormat="1" applyFont="1" applyFill="1" applyAlignment="1">
      <alignment horizontal="center"/>
    </xf>
    <xf numFmtId="171" fontId="8" fillId="12" borderId="0" xfId="0" applyNumberFormat="1" applyFont="1" applyFill="1" applyAlignment="1">
      <alignment horizontal="center"/>
    </xf>
    <xf numFmtId="171" fontId="0" fillId="0" borderId="0" xfId="0" applyNumberFormat="1"/>
    <xf numFmtId="174" fontId="0" fillId="0" borderId="0" xfId="5" applyNumberFormat="1" applyFont="1"/>
    <xf numFmtId="0" fontId="0" fillId="16" borderId="0" xfId="0" applyFill="1"/>
    <xf numFmtId="174" fontId="0" fillId="16" borderId="0" xfId="5" applyNumberFormat="1" applyFont="1" applyFill="1"/>
    <xf numFmtId="43" fontId="0" fillId="16" borderId="0" xfId="5" applyFont="1" applyFill="1"/>
    <xf numFmtId="0" fontId="0" fillId="13" borderId="20" xfId="0" applyFont="1" applyFill="1" applyBorder="1"/>
    <xf numFmtId="0" fontId="0" fillId="0" borderId="20" xfId="0" applyFont="1" applyBorder="1"/>
    <xf numFmtId="0" fontId="6" fillId="15" borderId="17" xfId="0" applyFont="1" applyFill="1" applyBorder="1"/>
    <xf numFmtId="0" fontId="2" fillId="0" borderId="0" xfId="0" applyFont="1" applyAlignment="1"/>
    <xf numFmtId="170" fontId="5" fillId="0" borderId="3" xfId="6" applyNumberFormat="1" applyFont="1" applyFill="1" applyBorder="1" applyAlignment="1">
      <alignment horizontal="left"/>
    </xf>
    <xf numFmtId="175" fontId="0" fillId="0" borderId="0" xfId="0" applyNumberFormat="1"/>
    <xf numFmtId="0" fontId="11" fillId="0" borderId="3" xfId="0" applyFont="1" applyFill="1" applyBorder="1"/>
    <xf numFmtId="170" fontId="5" fillId="0" borderId="18" xfId="6" applyNumberFormat="1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3" borderId="4" xfId="0" applyFont="1" applyFill="1" applyBorder="1" applyAlignment="1"/>
    <xf numFmtId="0" fontId="0" fillId="0" borderId="4" xfId="0" applyFont="1" applyBorder="1" applyAlignment="1"/>
    <xf numFmtId="175" fontId="6" fillId="15" borderId="3" xfId="0" applyNumberFormat="1" applyFont="1" applyFill="1" applyBorder="1"/>
    <xf numFmtId="175" fontId="0" fillId="13" borderId="3" xfId="0" applyNumberFormat="1" applyFont="1" applyFill="1" applyBorder="1"/>
    <xf numFmtId="175" fontId="0" fillId="0" borderId="3" xfId="0" applyNumberFormat="1" applyFont="1" applyBorder="1"/>
    <xf numFmtId="176" fontId="0" fillId="0" borderId="0" xfId="0" applyNumberFormat="1"/>
    <xf numFmtId="8" fontId="0" fillId="0" borderId="0" xfId="0" applyNumberFormat="1"/>
    <xf numFmtId="0" fontId="14" fillId="0" borderId="2" xfId="0" applyFont="1" applyBorder="1"/>
    <xf numFmtId="0" fontId="15" fillId="0" borderId="2" xfId="0" applyFont="1" applyBorder="1"/>
    <xf numFmtId="0" fontId="14" fillId="0" borderId="2" xfId="0" applyFont="1" applyBorder="1" applyAlignment="1">
      <alignment horizontal="right"/>
    </xf>
    <xf numFmtId="164" fontId="14" fillId="0" borderId="2" xfId="1" applyNumberFormat="1" applyFont="1" applyBorder="1"/>
    <xf numFmtId="0" fontId="15" fillId="0" borderId="2" xfId="0" applyFont="1" applyBorder="1" applyAlignment="1">
      <alignment wrapText="1"/>
    </xf>
    <xf numFmtId="0" fontId="14" fillId="0" borderId="2" xfId="0" applyFont="1" applyBorder="1" applyAlignment="1">
      <alignment horizontal="right" wrapText="1"/>
    </xf>
    <xf numFmtId="172" fontId="14" fillId="0" borderId="2" xfId="1" applyNumberFormat="1" applyFont="1" applyBorder="1"/>
    <xf numFmtId="0" fontId="0" fillId="0" borderId="0" xfId="0" applyAlignment="1"/>
    <xf numFmtId="0" fontId="14" fillId="0" borderId="2" xfId="0" applyFont="1" applyBorder="1" applyAlignment="1">
      <alignment wrapText="1"/>
    </xf>
    <xf numFmtId="0" fontId="15" fillId="0" borderId="2" xfId="0" applyFont="1" applyBorder="1" applyAlignment="1">
      <alignment horizontal="right" wrapText="1"/>
    </xf>
    <xf numFmtId="0" fontId="15" fillId="0" borderId="2" xfId="0" applyFont="1" applyBorder="1" applyAlignment="1">
      <alignment horizontal="left" wrapText="1"/>
    </xf>
    <xf numFmtId="173" fontId="14" fillId="0" borderId="2" xfId="5" applyNumberFormat="1" applyFont="1" applyBorder="1"/>
    <xf numFmtId="174" fontId="14" fillId="0" borderId="2" xfId="5" applyNumberFormat="1" applyFont="1" applyBorder="1"/>
    <xf numFmtId="175" fontId="14" fillId="0" borderId="2" xfId="1" applyNumberFormat="1" applyFont="1" applyBorder="1"/>
    <xf numFmtId="0" fontId="15" fillId="0" borderId="2" xfId="0" applyFont="1" applyBorder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167" fontId="16" fillId="0" borderId="0" xfId="0" applyNumberFormat="1" applyFont="1" applyAlignment="1">
      <alignment horizontal="right"/>
    </xf>
    <xf numFmtId="175" fontId="6" fillId="15" borderId="0" xfId="0" applyNumberFormat="1" applyFont="1" applyFill="1" applyBorder="1"/>
    <xf numFmtId="175" fontId="0" fillId="13" borderId="0" xfId="0" applyNumberFormat="1" applyFont="1" applyFill="1" applyBorder="1"/>
    <xf numFmtId="175" fontId="0" fillId="0" borderId="0" xfId="0" applyNumberFormat="1" applyFont="1" applyBorder="1"/>
    <xf numFmtId="170" fontId="5" fillId="13" borderId="0" xfId="6" applyNumberFormat="1" applyFont="1" applyFill="1" applyBorder="1" applyAlignment="1">
      <alignment horizontal="left"/>
    </xf>
    <xf numFmtId="170" fontId="5" fillId="0" borderId="0" xfId="6" applyNumberFormat="1" applyFont="1" applyBorder="1" applyAlignment="1">
      <alignment horizontal="left"/>
    </xf>
    <xf numFmtId="175" fontId="6" fillId="15" borderId="4" xfId="0" applyNumberFormat="1" applyFont="1" applyFill="1" applyBorder="1"/>
    <xf numFmtId="175" fontId="0" fillId="13" borderId="4" xfId="0" applyNumberFormat="1" applyFont="1" applyFill="1" applyBorder="1"/>
    <xf numFmtId="175" fontId="0" fillId="0" borderId="4" xfId="0" applyNumberFormat="1" applyFont="1" applyBorder="1"/>
    <xf numFmtId="164" fontId="0" fillId="13" borderId="0" xfId="1" applyNumberFormat="1" applyFont="1" applyFill="1" applyBorder="1"/>
    <xf numFmtId="2" fontId="0" fillId="13" borderId="0" xfId="1" applyNumberFormat="1" applyFont="1" applyFill="1" applyBorder="1"/>
    <xf numFmtId="17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">
    <cellStyle name="Comma" xfId="5" builtinId="3"/>
    <cellStyle name="Comma 2" xfId="2" xr:uid="{00000000-0005-0000-0000-000001000000}"/>
    <cellStyle name="Currency 2" xfId="3" xr:uid="{00000000-0005-0000-0000-000002000000}"/>
    <cellStyle name="Normal" xfId="0" builtinId="0"/>
    <cellStyle name="Normal 7" xfId="4" xr:uid="{00000000-0005-0000-0000-000004000000}"/>
    <cellStyle name="Normal_cty99" xfId="6" xr:uid="{00000000-0005-0000-0000-000005000000}"/>
    <cellStyle name="Percent" xfId="1" builtinId="5"/>
  </cellStyles>
  <dxfs count="28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border outline="0">
        <left style="thin">
          <color theme="4" tint="0.39997558519241921"/>
        </left>
      </border>
    </dxf>
    <dxf>
      <numFmt numFmtId="175" formatCode="&quot;$&quot;#,##0.00"/>
    </dxf>
    <dxf>
      <numFmt numFmtId="175" formatCode="&quot;$&quot;#,##0.00"/>
    </dxf>
    <dxf>
      <numFmt numFmtId="17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General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0.0"/>
      <fill>
        <patternFill patternType="solid">
          <fgColor indexed="64"/>
          <bgColor theme="3" tint="0.79998168889431442"/>
        </patternFill>
      </fill>
    </dxf>
    <dxf>
      <numFmt numFmtId="169" formatCode="0.0"/>
      <fill>
        <patternFill patternType="solid">
          <fgColor indexed="64"/>
          <bgColor theme="3" tint="0.79998168889431442"/>
        </patternFill>
      </fill>
    </dxf>
    <dxf>
      <numFmt numFmtId="169" formatCode="0.0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8" formatCode="##0.00;\-##0.0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##0.0;\-##0.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#\ ###\ ###\ ##0;\-#\ ###\ ###\ ##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#\ ###\ ###\ ##0;\-#\ ###\ ###\ ##0;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71" formatCode="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73058514744478E-2"/>
          <c:y val="0.1033683905202686"/>
          <c:w val="0.85918268679038545"/>
          <c:h val="0.57786359240980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2'!$C$1</c:f>
              <c:strCache>
                <c:ptCount val="1"/>
                <c:pt idx="0">
                  <c:v>Supply Chain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2'!$B$2:$B$42</c:f>
              <c:strCache>
                <c:ptCount val="41"/>
                <c:pt idx="0">
                  <c:v>Facility, Cold Chain</c:v>
                </c:pt>
                <c:pt idx="1">
                  <c:v>Community, Cold Chain</c:v>
                </c:pt>
                <c:pt idx="2">
                  <c:v>Facility, MAP</c:v>
                </c:pt>
                <c:pt idx="3">
                  <c:v>Community, MAP QHW</c:v>
                </c:pt>
                <c:pt idx="4">
                  <c:v>Community, MAP LHW</c:v>
                </c:pt>
                <c:pt idx="6">
                  <c:v>Facility, Cold Chain</c:v>
                </c:pt>
                <c:pt idx="7">
                  <c:v>Community, Cold Chain</c:v>
                </c:pt>
                <c:pt idx="8">
                  <c:v>Facility, MAP</c:v>
                </c:pt>
                <c:pt idx="9">
                  <c:v>Community, MAP QHW</c:v>
                </c:pt>
                <c:pt idx="10">
                  <c:v>Community, MAP LHW</c:v>
                </c:pt>
                <c:pt idx="12">
                  <c:v>Facility, Cold Chain</c:v>
                </c:pt>
                <c:pt idx="13">
                  <c:v>Community, Cold Chain</c:v>
                </c:pt>
                <c:pt idx="14">
                  <c:v>Facility, MAP</c:v>
                </c:pt>
                <c:pt idx="15">
                  <c:v>Community, MAP QHW</c:v>
                </c:pt>
                <c:pt idx="16">
                  <c:v>Community, MAP LHW</c:v>
                </c:pt>
                <c:pt idx="18">
                  <c:v>Facility, Cold Chain</c:v>
                </c:pt>
                <c:pt idx="19">
                  <c:v>Community, Cold Chain</c:v>
                </c:pt>
                <c:pt idx="20">
                  <c:v>Facility, MAP</c:v>
                </c:pt>
                <c:pt idx="21">
                  <c:v>Community, MAP QHW</c:v>
                </c:pt>
                <c:pt idx="22">
                  <c:v>Community, MAP LHW</c:v>
                </c:pt>
                <c:pt idx="24">
                  <c:v>Facility, Cold Chain</c:v>
                </c:pt>
                <c:pt idx="25">
                  <c:v>Community, Cold Chain</c:v>
                </c:pt>
                <c:pt idx="26">
                  <c:v>Facility, MAP</c:v>
                </c:pt>
                <c:pt idx="27">
                  <c:v>Community, MAP QHW</c:v>
                </c:pt>
                <c:pt idx="28">
                  <c:v>Community, MAP LHW</c:v>
                </c:pt>
                <c:pt idx="30">
                  <c:v>Facility, Cold Chain</c:v>
                </c:pt>
                <c:pt idx="31">
                  <c:v>Community, Cold Chain</c:v>
                </c:pt>
                <c:pt idx="32">
                  <c:v>Facility, MAP</c:v>
                </c:pt>
                <c:pt idx="33">
                  <c:v>Community, MAP QHW</c:v>
                </c:pt>
                <c:pt idx="34">
                  <c:v>Community, MAP LHW</c:v>
                </c:pt>
                <c:pt idx="36">
                  <c:v>Facility, Cold Chain</c:v>
                </c:pt>
                <c:pt idx="37">
                  <c:v>Community, Cold Chain</c:v>
                </c:pt>
                <c:pt idx="38">
                  <c:v>Facility, MAP</c:v>
                </c:pt>
                <c:pt idx="39">
                  <c:v>Community, MAP QHW</c:v>
                </c:pt>
                <c:pt idx="40">
                  <c:v>Community, MAP LHW</c:v>
                </c:pt>
              </c:strCache>
            </c:strRef>
          </c:cat>
          <c:val>
            <c:numRef>
              <c:f>'Figure 2'!$C$2:$C$42</c:f>
              <c:numCache>
                <c:formatCode>"$"#,##0.00</c:formatCode>
                <c:ptCount val="41"/>
                <c:pt idx="0">
                  <c:v>2.4369949242141238</c:v>
                </c:pt>
                <c:pt idx="1">
                  <c:v>2.4369949242141238</c:v>
                </c:pt>
                <c:pt idx="2">
                  <c:v>2.4369949242141238</c:v>
                </c:pt>
                <c:pt idx="3">
                  <c:v>2.4369949242141238</c:v>
                </c:pt>
                <c:pt idx="4">
                  <c:v>2.4369949242141238</c:v>
                </c:pt>
                <c:pt idx="6">
                  <c:v>2.6760499993029576</c:v>
                </c:pt>
                <c:pt idx="7">
                  <c:v>2.6760499993029576</c:v>
                </c:pt>
                <c:pt idx="8">
                  <c:v>2.6760499993029576</c:v>
                </c:pt>
                <c:pt idx="9">
                  <c:v>2.6760499993029576</c:v>
                </c:pt>
                <c:pt idx="10">
                  <c:v>2.6760499993029576</c:v>
                </c:pt>
                <c:pt idx="12">
                  <c:v>2.4639828018508503</c:v>
                </c:pt>
                <c:pt idx="13">
                  <c:v>2.4639828018508503</c:v>
                </c:pt>
                <c:pt idx="14">
                  <c:v>2.4639828018508503</c:v>
                </c:pt>
                <c:pt idx="15">
                  <c:v>2.4639828018508503</c:v>
                </c:pt>
                <c:pt idx="16">
                  <c:v>2.4639828018508503</c:v>
                </c:pt>
                <c:pt idx="18">
                  <c:v>3.740388988276433</c:v>
                </c:pt>
                <c:pt idx="19">
                  <c:v>3.740388988276433</c:v>
                </c:pt>
                <c:pt idx="20">
                  <c:v>3.740388988276433</c:v>
                </c:pt>
                <c:pt idx="21">
                  <c:v>3.740388988276433</c:v>
                </c:pt>
                <c:pt idx="22">
                  <c:v>3.740388988276433</c:v>
                </c:pt>
                <c:pt idx="24">
                  <c:v>1.2331548901241609</c:v>
                </c:pt>
                <c:pt idx="25">
                  <c:v>1.2331548901241609</c:v>
                </c:pt>
                <c:pt idx="26">
                  <c:v>1.2331548901241609</c:v>
                </c:pt>
                <c:pt idx="27">
                  <c:v>1.2331548901241609</c:v>
                </c:pt>
                <c:pt idx="28">
                  <c:v>1.2331548901241609</c:v>
                </c:pt>
                <c:pt idx="30">
                  <c:v>2.1059624953864424</c:v>
                </c:pt>
                <c:pt idx="31">
                  <c:v>2.1059624953864424</c:v>
                </c:pt>
                <c:pt idx="32">
                  <c:v>2.1059624953864424</c:v>
                </c:pt>
                <c:pt idx="33">
                  <c:v>2.1059624953864424</c:v>
                </c:pt>
                <c:pt idx="34">
                  <c:v>2.1059624953864424</c:v>
                </c:pt>
                <c:pt idx="36">
                  <c:v>1.939909077795162</c:v>
                </c:pt>
                <c:pt idx="37">
                  <c:v>1.939909077795162</c:v>
                </c:pt>
                <c:pt idx="38">
                  <c:v>1.939909077795162</c:v>
                </c:pt>
                <c:pt idx="39">
                  <c:v>1.939909077795162</c:v>
                </c:pt>
                <c:pt idx="40">
                  <c:v>1.939909077795162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9D3-9673-03847E3543C5}"/>
            </c:ext>
          </c:extLst>
        </c:ser>
        <c:ser>
          <c:idx val="1"/>
          <c:order val="1"/>
          <c:tx>
            <c:strRef>
              <c:f>'Figure 2'!$D$1</c:f>
              <c:strCache>
                <c:ptCount val="1"/>
                <c:pt idx="0">
                  <c:v>Commodity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2'!$B$2:$B$42</c:f>
              <c:strCache>
                <c:ptCount val="41"/>
                <c:pt idx="0">
                  <c:v>Facility, Cold Chain</c:v>
                </c:pt>
                <c:pt idx="1">
                  <c:v>Community, Cold Chain</c:v>
                </c:pt>
                <c:pt idx="2">
                  <c:v>Facility, MAP</c:v>
                </c:pt>
                <c:pt idx="3">
                  <c:v>Community, MAP QHW</c:v>
                </c:pt>
                <c:pt idx="4">
                  <c:v>Community, MAP LHW</c:v>
                </c:pt>
                <c:pt idx="6">
                  <c:v>Facility, Cold Chain</c:v>
                </c:pt>
                <c:pt idx="7">
                  <c:v>Community, Cold Chain</c:v>
                </c:pt>
                <c:pt idx="8">
                  <c:v>Facility, MAP</c:v>
                </c:pt>
                <c:pt idx="9">
                  <c:v>Community, MAP QHW</c:v>
                </c:pt>
                <c:pt idx="10">
                  <c:v>Community, MAP LHW</c:v>
                </c:pt>
                <c:pt idx="12">
                  <c:v>Facility, Cold Chain</c:v>
                </c:pt>
                <c:pt idx="13">
                  <c:v>Community, Cold Chain</c:v>
                </c:pt>
                <c:pt idx="14">
                  <c:v>Facility, MAP</c:v>
                </c:pt>
                <c:pt idx="15">
                  <c:v>Community, MAP QHW</c:v>
                </c:pt>
                <c:pt idx="16">
                  <c:v>Community, MAP LHW</c:v>
                </c:pt>
                <c:pt idx="18">
                  <c:v>Facility, Cold Chain</c:v>
                </c:pt>
                <c:pt idx="19">
                  <c:v>Community, Cold Chain</c:v>
                </c:pt>
                <c:pt idx="20">
                  <c:v>Facility, MAP</c:v>
                </c:pt>
                <c:pt idx="21">
                  <c:v>Community, MAP QHW</c:v>
                </c:pt>
                <c:pt idx="22">
                  <c:v>Community, MAP LHW</c:v>
                </c:pt>
                <c:pt idx="24">
                  <c:v>Facility, Cold Chain</c:v>
                </c:pt>
                <c:pt idx="25">
                  <c:v>Community, Cold Chain</c:v>
                </c:pt>
                <c:pt idx="26">
                  <c:v>Facility, MAP</c:v>
                </c:pt>
                <c:pt idx="27">
                  <c:v>Community, MAP QHW</c:v>
                </c:pt>
                <c:pt idx="28">
                  <c:v>Community, MAP LHW</c:v>
                </c:pt>
                <c:pt idx="30">
                  <c:v>Facility, Cold Chain</c:v>
                </c:pt>
                <c:pt idx="31">
                  <c:v>Community, Cold Chain</c:v>
                </c:pt>
                <c:pt idx="32">
                  <c:v>Facility, MAP</c:v>
                </c:pt>
                <c:pt idx="33">
                  <c:v>Community, MAP QHW</c:v>
                </c:pt>
                <c:pt idx="34">
                  <c:v>Community, MAP LHW</c:v>
                </c:pt>
                <c:pt idx="36">
                  <c:v>Facility, Cold Chain</c:v>
                </c:pt>
                <c:pt idx="37">
                  <c:v>Community, Cold Chain</c:v>
                </c:pt>
                <c:pt idx="38">
                  <c:v>Facility, MAP</c:v>
                </c:pt>
                <c:pt idx="39">
                  <c:v>Community, MAP QHW</c:v>
                </c:pt>
                <c:pt idx="40">
                  <c:v>Community, MAP LHW</c:v>
                </c:pt>
              </c:strCache>
            </c:strRef>
          </c:cat>
          <c:val>
            <c:numRef>
              <c:f>'Figure 2'!$D$2:$D$42</c:f>
              <c:numCache>
                <c:formatCode>"$"#,##0.00</c:formatCode>
                <c:ptCount val="41"/>
                <c:pt idx="0">
                  <c:v>0.41792411616161618</c:v>
                </c:pt>
                <c:pt idx="1">
                  <c:v>0.41792411616161618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6">
                  <c:v>0.41792411616161618</c:v>
                </c:pt>
                <c:pt idx="7">
                  <c:v>0.41792411616161618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2">
                  <c:v>0.41792411616161618</c:v>
                </c:pt>
                <c:pt idx="13">
                  <c:v>0.41792411616161618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8">
                  <c:v>0.41792411616161618</c:v>
                </c:pt>
                <c:pt idx="19">
                  <c:v>0.41792411616161618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>
                  <c:v>0.41792411616161618</c:v>
                </c:pt>
                <c:pt idx="25">
                  <c:v>0.41792411616161618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30">
                  <c:v>0.41792411616161618</c:v>
                </c:pt>
                <c:pt idx="31">
                  <c:v>0.41792411616161618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6">
                  <c:v>0.41792411616161618</c:v>
                </c:pt>
                <c:pt idx="37">
                  <c:v>0.41792411616161618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A-49D3-9673-03847E3543C5}"/>
            </c:ext>
          </c:extLst>
        </c:ser>
        <c:ser>
          <c:idx val="2"/>
          <c:order val="2"/>
          <c:tx>
            <c:strRef>
              <c:f>'Figure 2'!$E$1</c:f>
              <c:strCache>
                <c:ptCount val="1"/>
                <c:pt idx="0">
                  <c:v>Human Resource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2'!$B$2:$B$42</c:f>
              <c:strCache>
                <c:ptCount val="41"/>
                <c:pt idx="0">
                  <c:v>Facility, Cold Chain</c:v>
                </c:pt>
                <c:pt idx="1">
                  <c:v>Community, Cold Chain</c:v>
                </c:pt>
                <c:pt idx="2">
                  <c:v>Facility, MAP</c:v>
                </c:pt>
                <c:pt idx="3">
                  <c:v>Community, MAP QHW</c:v>
                </c:pt>
                <c:pt idx="4">
                  <c:v>Community, MAP LHW</c:v>
                </c:pt>
                <c:pt idx="6">
                  <c:v>Facility, Cold Chain</c:v>
                </c:pt>
                <c:pt idx="7">
                  <c:v>Community, Cold Chain</c:v>
                </c:pt>
                <c:pt idx="8">
                  <c:v>Facility, MAP</c:v>
                </c:pt>
                <c:pt idx="9">
                  <c:v>Community, MAP QHW</c:v>
                </c:pt>
                <c:pt idx="10">
                  <c:v>Community, MAP LHW</c:v>
                </c:pt>
                <c:pt idx="12">
                  <c:v>Facility, Cold Chain</c:v>
                </c:pt>
                <c:pt idx="13">
                  <c:v>Community, Cold Chain</c:v>
                </c:pt>
                <c:pt idx="14">
                  <c:v>Facility, MAP</c:v>
                </c:pt>
                <c:pt idx="15">
                  <c:v>Community, MAP QHW</c:v>
                </c:pt>
                <c:pt idx="16">
                  <c:v>Community, MAP LHW</c:v>
                </c:pt>
                <c:pt idx="18">
                  <c:v>Facility, Cold Chain</c:v>
                </c:pt>
                <c:pt idx="19">
                  <c:v>Community, Cold Chain</c:v>
                </c:pt>
                <c:pt idx="20">
                  <c:v>Facility, MAP</c:v>
                </c:pt>
                <c:pt idx="21">
                  <c:v>Community, MAP QHW</c:v>
                </c:pt>
                <c:pt idx="22">
                  <c:v>Community, MAP LHW</c:v>
                </c:pt>
                <c:pt idx="24">
                  <c:v>Facility, Cold Chain</c:v>
                </c:pt>
                <c:pt idx="25">
                  <c:v>Community, Cold Chain</c:v>
                </c:pt>
                <c:pt idx="26">
                  <c:v>Facility, MAP</c:v>
                </c:pt>
                <c:pt idx="27">
                  <c:v>Community, MAP QHW</c:v>
                </c:pt>
                <c:pt idx="28">
                  <c:v>Community, MAP LHW</c:v>
                </c:pt>
                <c:pt idx="30">
                  <c:v>Facility, Cold Chain</c:v>
                </c:pt>
                <c:pt idx="31">
                  <c:v>Community, Cold Chain</c:v>
                </c:pt>
                <c:pt idx="32">
                  <c:v>Facility, MAP</c:v>
                </c:pt>
                <c:pt idx="33">
                  <c:v>Community, MAP QHW</c:v>
                </c:pt>
                <c:pt idx="34">
                  <c:v>Community, MAP LHW</c:v>
                </c:pt>
                <c:pt idx="36">
                  <c:v>Facility, Cold Chain</c:v>
                </c:pt>
                <c:pt idx="37">
                  <c:v>Community, Cold Chain</c:v>
                </c:pt>
                <c:pt idx="38">
                  <c:v>Facility, MAP</c:v>
                </c:pt>
                <c:pt idx="39">
                  <c:v>Community, MAP QHW</c:v>
                </c:pt>
                <c:pt idx="40">
                  <c:v>Community, MAP LHW</c:v>
                </c:pt>
              </c:strCache>
            </c:strRef>
          </c:cat>
          <c:val>
            <c:numRef>
              <c:f>'Figure 2'!$E$2:$E$42</c:f>
              <c:numCache>
                <c:formatCode>"$"#,##0.00</c:formatCode>
                <c:ptCount val="41"/>
                <c:pt idx="0">
                  <c:v>2.1494292618487093E-2</c:v>
                </c:pt>
                <c:pt idx="1">
                  <c:v>2.1494292618487093E-2</c:v>
                </c:pt>
                <c:pt idx="2">
                  <c:v>1.0083742216080365E-2</c:v>
                </c:pt>
                <c:pt idx="3">
                  <c:v>1.0083742216080365E-2</c:v>
                </c:pt>
                <c:pt idx="4">
                  <c:v>5.3901001497868237E-3</c:v>
                </c:pt>
                <c:pt idx="6">
                  <c:v>5.1067922593921032E-2</c:v>
                </c:pt>
                <c:pt idx="7">
                  <c:v>5.1067922593921032E-2</c:v>
                </c:pt>
                <c:pt idx="8">
                  <c:v>2.3957790846530852E-2</c:v>
                </c:pt>
                <c:pt idx="9">
                  <c:v>2.3957790846530852E-2</c:v>
                </c:pt>
                <c:pt idx="10">
                  <c:v>1.2957002804795462E-2</c:v>
                </c:pt>
                <c:pt idx="12">
                  <c:v>3.061578792796028E-2</c:v>
                </c:pt>
                <c:pt idx="13">
                  <c:v>3.061578792796028E-2</c:v>
                </c:pt>
                <c:pt idx="14">
                  <c:v>1.4362962237808523E-2</c:v>
                </c:pt>
                <c:pt idx="15">
                  <c:v>1.4362962237808523E-2</c:v>
                </c:pt>
                <c:pt idx="16">
                  <c:v>7.6742084727380675E-3</c:v>
                </c:pt>
                <c:pt idx="18">
                  <c:v>4.1507467225822707E-2</c:v>
                </c:pt>
                <c:pt idx="19">
                  <c:v>4.1507467225822707E-2</c:v>
                </c:pt>
                <c:pt idx="20">
                  <c:v>1.9472638945447689E-2</c:v>
                </c:pt>
                <c:pt idx="21">
                  <c:v>1.9472638945447689E-2</c:v>
                </c:pt>
                <c:pt idx="22">
                  <c:v>1.0585673739473627E-2</c:v>
                </c:pt>
                <c:pt idx="24">
                  <c:v>2.7229537450834965E-2</c:v>
                </c:pt>
                <c:pt idx="25">
                  <c:v>2.7229537450834965E-2</c:v>
                </c:pt>
                <c:pt idx="26">
                  <c:v>1.2774350902860842E-2</c:v>
                </c:pt>
                <c:pt idx="27">
                  <c:v>1.2774350902860842E-2</c:v>
                </c:pt>
                <c:pt idx="28">
                  <c:v>6.894302033311578E-3</c:v>
                </c:pt>
                <c:pt idx="30">
                  <c:v>5.5877727235533491E-2</c:v>
                </c:pt>
                <c:pt idx="31">
                  <c:v>5.5877727235533491E-2</c:v>
                </c:pt>
                <c:pt idx="32">
                  <c:v>2.6214242406793493E-2</c:v>
                </c:pt>
                <c:pt idx="33">
                  <c:v>2.6214242406793493E-2</c:v>
                </c:pt>
                <c:pt idx="34">
                  <c:v>1.4160440454540518E-2</c:v>
                </c:pt>
                <c:pt idx="36">
                  <c:v>3.8803316111444268E-2</c:v>
                </c:pt>
                <c:pt idx="37">
                  <c:v>3.8803316111444268E-2</c:v>
                </c:pt>
                <c:pt idx="38">
                  <c:v>1.8204024842405946E-2</c:v>
                </c:pt>
                <c:pt idx="39">
                  <c:v>1.8204024842405946E-2</c:v>
                </c:pt>
                <c:pt idx="40">
                  <c:v>9.8251798635391116E-3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A-49D3-9673-03847E3543C5}"/>
            </c:ext>
          </c:extLst>
        </c:ser>
        <c:ser>
          <c:idx val="3"/>
          <c:order val="3"/>
          <c:tx>
            <c:strRef>
              <c:f>'Figure 2'!$F$1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2'!$K$2:$K$42</c:f>
                <c:numCache>
                  <c:formatCode>General</c:formatCode>
                  <c:ptCount val="41"/>
                  <c:pt idx="0">
                    <c:v>2.9999475801567388</c:v>
                  </c:pt>
                  <c:pt idx="1">
                    <c:v>3.1701106480592838</c:v>
                  </c:pt>
                  <c:pt idx="2">
                    <c:v>2.9243160919970923</c:v>
                  </c:pt>
                  <c:pt idx="3">
                    <c:v>3.0944791598996382</c:v>
                  </c:pt>
                  <c:pt idx="4">
                    <c:v>3.0868211123177893</c:v>
                  </c:pt>
                  <c:pt idx="6">
                    <c:v>4.21337648084649</c:v>
                  </c:pt>
                  <c:pt idx="7">
                    <c:v>4.2162664808464889</c:v>
                  </c:pt>
                  <c:pt idx="8">
                    <c:v>4.1236883907849391</c:v>
                  </c:pt>
                  <c:pt idx="9">
                    <c:v>4.1265783907849407</c:v>
                  </c:pt>
                  <c:pt idx="10">
                    <c:v>4.1086297366115829</c:v>
                  </c:pt>
                  <c:pt idx="12">
                    <c:v>3.033266395587209</c:v>
                  </c:pt>
                  <c:pt idx="13">
                    <c:v>3.0574303453223934</c:v>
                  </c:pt>
                  <c:pt idx="14">
                    <c:v>3.0574741930474505</c:v>
                  </c:pt>
                  <c:pt idx="15">
                    <c:v>2.9780398176715566</c:v>
                  </c:pt>
                  <c:pt idx="16">
                    <c:v>2.9674559945145167</c:v>
                  </c:pt>
                  <c:pt idx="18">
                    <c:v>5.1797716181174929</c:v>
                  </c:pt>
                  <c:pt idx="19">
                    <c:v>5.3236282591862132</c:v>
                  </c:pt>
                  <c:pt idx="20">
                    <c:v>5.0946276951136191</c:v>
                  </c:pt>
                  <c:pt idx="21">
                    <c:v>5.2384843361823394</c:v>
                  </c:pt>
                  <c:pt idx="22">
                    <c:v>5.2239845508462768</c:v>
                  </c:pt>
                  <c:pt idx="24">
                    <c:v>2.273742897293241</c:v>
                  </c:pt>
                  <c:pt idx="25">
                    <c:v>2.3765848671360077</c:v>
                  </c:pt>
                  <c:pt idx="26">
                    <c:v>2.1956950735208549</c:v>
                  </c:pt>
                  <c:pt idx="27">
                    <c:v>2.2985370433636207</c:v>
                  </c:pt>
                  <c:pt idx="28">
                    <c:v>2.289118180212617</c:v>
                  </c:pt>
                  <c:pt idx="30">
                    <c:v>3.6733130263554004</c:v>
                  </c:pt>
                  <c:pt idx="31">
                    <c:v>3.7077034830097997</c:v>
                  </c:pt>
                  <c:pt idx="32">
                    <c:v>3.5813387945814772</c:v>
                  </c:pt>
                  <c:pt idx="33">
                    <c:v>3.6157292512358739</c:v>
                  </c:pt>
                  <c:pt idx="34">
                    <c:v>3.5960625217348325</c:v>
                  </c:pt>
                  <c:pt idx="36">
                    <c:v>3.1365187395469771</c:v>
                  </c:pt>
                  <c:pt idx="37">
                    <c:v>3.2071698614939113</c:v>
                  </c:pt>
                  <c:pt idx="38">
                    <c:v>3.0625208167322837</c:v>
                  </c:pt>
                  <c:pt idx="39">
                    <c:v>3.1235682046955038</c:v>
                  </c:pt>
                  <c:pt idx="40">
                    <c:v>3.1100425766431883</c:v>
                  </c:pt>
                </c:numCache>
              </c:numRef>
            </c:plus>
            <c:minus>
              <c:numRef>
                <c:f>'Figure 2'!$J$2:$J$42</c:f>
                <c:numCache>
                  <c:formatCode>General</c:formatCode>
                  <c:ptCount val="41"/>
                  <c:pt idx="0">
                    <c:v>1.6382569601229091</c:v>
                  </c:pt>
                  <c:pt idx="1">
                    <c:v>1.8104384229931272</c:v>
                  </c:pt>
                  <c:pt idx="2">
                    <c:v>1.5755881153381766</c:v>
                  </c:pt>
                  <c:pt idx="3">
                    <c:v>1.7477695782083948</c:v>
                  </c:pt>
                  <c:pt idx="4">
                    <c:v>1.7461638585541372</c:v>
                  </c:pt>
                  <c:pt idx="6">
                    <c:v>1.9223422115073343</c:v>
                  </c:pt>
                  <c:pt idx="7">
                    <c:v>1.9216322115073337</c:v>
                  </c:pt>
                  <c:pt idx="8">
                    <c:v>1.8503631498784829</c:v>
                  </c:pt>
                  <c:pt idx="9">
                    <c:v>1.8496531498784825</c:v>
                  </c:pt>
                  <c:pt idx="10">
                    <c:v>1.8458897223905208</c:v>
                  </c:pt>
                  <c:pt idx="12">
                    <c:v>1.6577139935215783</c:v>
                  </c:pt>
                  <c:pt idx="13">
                    <c:v>1.682682797033046</c:v>
                  </c:pt>
                  <c:pt idx="14">
                    <c:v>1.5751471612830894</c:v>
                  </c:pt>
                  <c:pt idx="15">
                    <c:v>1.6170185850419343</c:v>
                  </c:pt>
                  <c:pt idx="16">
                    <c:v>1.6146479755073917</c:v>
                  </c:pt>
                  <c:pt idx="18">
                    <c:v>2.5412836522370124</c:v>
                  </c:pt>
                  <c:pt idx="19">
                    <c:v>2.6912888170099318</c:v>
                  </c:pt>
                  <c:pt idx="20">
                    <c:v>2.4723143635944149</c:v>
                  </c:pt>
                  <c:pt idx="21">
                    <c:v>2.6223195283673348</c:v>
                  </c:pt>
                  <c:pt idx="22">
                    <c:v>2.619279250796871</c:v>
                  </c:pt>
                  <c:pt idx="24">
                    <c:v>0.9928129677452977</c:v>
                  </c:pt>
                  <c:pt idx="25">
                    <c:v>1.094679682963057</c:v>
                  </c:pt>
                  <c:pt idx="26">
                    <c:v>0.92827208811279371</c:v>
                  </c:pt>
                  <c:pt idx="27">
                    <c:v>1.0301388033305527</c:v>
                  </c:pt>
                  <c:pt idx="28">
                    <c:v>1.0280834824661422</c:v>
                  </c:pt>
                  <c:pt idx="30">
                    <c:v>1.6218028425476632</c:v>
                  </c:pt>
                  <c:pt idx="31">
                    <c:v>1.6518389836973379</c:v>
                  </c:pt>
                  <c:pt idx="32">
                    <c:v>1.5483095831612679</c:v>
                  </c:pt>
                  <c:pt idx="33">
                    <c:v>1.5783457243109427</c:v>
                  </c:pt>
                  <c:pt idx="34">
                    <c:v>1.5742220552220136</c:v>
                  </c:pt>
                  <c:pt idx="36">
                    <c:v>1.4449455062312111</c:v>
                  </c:pt>
                  <c:pt idx="37">
                    <c:v>1.514097755617037</c:v>
                  </c:pt>
                  <c:pt idx="38">
                    <c:v>1.3756581984682732</c:v>
                  </c:pt>
                  <c:pt idx="39">
                    <c:v>1.4459245983870783</c:v>
                  </c:pt>
                  <c:pt idx="40">
                    <c:v>1.4430218716660064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  <a:alpha val="38000"/>
                  </a:schemeClr>
                </a:solidFill>
                <a:round/>
              </a:ln>
              <a:effectLst/>
            </c:spPr>
          </c:errBars>
          <c:cat>
            <c:strRef>
              <c:f>'Figure 2'!$B$2:$B$42</c:f>
              <c:strCache>
                <c:ptCount val="41"/>
                <c:pt idx="0">
                  <c:v>Facility, Cold Chain</c:v>
                </c:pt>
                <c:pt idx="1">
                  <c:v>Community, Cold Chain</c:v>
                </c:pt>
                <c:pt idx="2">
                  <c:v>Facility, MAP</c:v>
                </c:pt>
                <c:pt idx="3">
                  <c:v>Community, MAP QHW</c:v>
                </c:pt>
                <c:pt idx="4">
                  <c:v>Community, MAP LHW</c:v>
                </c:pt>
                <c:pt idx="6">
                  <c:v>Facility, Cold Chain</c:v>
                </c:pt>
                <c:pt idx="7">
                  <c:v>Community, Cold Chain</c:v>
                </c:pt>
                <c:pt idx="8">
                  <c:v>Facility, MAP</c:v>
                </c:pt>
                <c:pt idx="9">
                  <c:v>Community, MAP QHW</c:v>
                </c:pt>
                <c:pt idx="10">
                  <c:v>Community, MAP LHW</c:v>
                </c:pt>
                <c:pt idx="12">
                  <c:v>Facility, Cold Chain</c:v>
                </c:pt>
                <c:pt idx="13">
                  <c:v>Community, Cold Chain</c:v>
                </c:pt>
                <c:pt idx="14">
                  <c:v>Facility, MAP</c:v>
                </c:pt>
                <c:pt idx="15">
                  <c:v>Community, MAP QHW</c:v>
                </c:pt>
                <c:pt idx="16">
                  <c:v>Community, MAP LHW</c:v>
                </c:pt>
                <c:pt idx="18">
                  <c:v>Facility, Cold Chain</c:v>
                </c:pt>
                <c:pt idx="19">
                  <c:v>Community, Cold Chain</c:v>
                </c:pt>
                <c:pt idx="20">
                  <c:v>Facility, MAP</c:v>
                </c:pt>
                <c:pt idx="21">
                  <c:v>Community, MAP QHW</c:v>
                </c:pt>
                <c:pt idx="22">
                  <c:v>Community, MAP LHW</c:v>
                </c:pt>
                <c:pt idx="24">
                  <c:v>Facility, Cold Chain</c:v>
                </c:pt>
                <c:pt idx="25">
                  <c:v>Community, Cold Chain</c:v>
                </c:pt>
                <c:pt idx="26">
                  <c:v>Facility, MAP</c:v>
                </c:pt>
                <c:pt idx="27">
                  <c:v>Community, MAP QHW</c:v>
                </c:pt>
                <c:pt idx="28">
                  <c:v>Community, MAP LHW</c:v>
                </c:pt>
                <c:pt idx="30">
                  <c:v>Facility, Cold Chain</c:v>
                </c:pt>
                <c:pt idx="31">
                  <c:v>Community, Cold Chain</c:v>
                </c:pt>
                <c:pt idx="32">
                  <c:v>Facility, MAP</c:v>
                </c:pt>
                <c:pt idx="33">
                  <c:v>Community, MAP QHW</c:v>
                </c:pt>
                <c:pt idx="34">
                  <c:v>Community, MAP LHW</c:v>
                </c:pt>
                <c:pt idx="36">
                  <c:v>Facility, Cold Chain</c:v>
                </c:pt>
                <c:pt idx="37">
                  <c:v>Community, Cold Chain</c:v>
                </c:pt>
                <c:pt idx="38">
                  <c:v>Facility, MAP</c:v>
                </c:pt>
                <c:pt idx="39">
                  <c:v>Community, MAP QHW</c:v>
                </c:pt>
                <c:pt idx="40">
                  <c:v>Community, MAP LHW</c:v>
                </c:pt>
              </c:strCache>
            </c:strRef>
          </c:cat>
          <c:val>
            <c:numRef>
              <c:f>'Figure 2'!$F$2:$F$42</c:f>
              <c:numCache>
                <c:formatCode>"$"#,##0.00</c:formatCode>
                <c:ptCount val="41"/>
                <c:pt idx="0">
                  <c:v>0</c:v>
                </c:pt>
                <c:pt idx="1">
                  <c:v>3.4244545052114708</c:v>
                </c:pt>
                <c:pt idx="2">
                  <c:v>0</c:v>
                </c:pt>
                <c:pt idx="3">
                  <c:v>3.4244545052114708</c:v>
                </c:pt>
                <c:pt idx="4">
                  <c:v>3.4244545052114708</c:v>
                </c:pt>
                <c:pt idx="6">
                  <c:v>0</c:v>
                </c:pt>
                <c:pt idx="7">
                  <c:v>1.9999999999999574E-2</c:v>
                </c:pt>
                <c:pt idx="8">
                  <c:v>0</c:v>
                </c:pt>
                <c:pt idx="9">
                  <c:v>1.9999999999999574E-2</c:v>
                </c:pt>
                <c:pt idx="10">
                  <c:v>1.9999999999999574E-2</c:v>
                </c:pt>
                <c:pt idx="12">
                  <c:v>0</c:v>
                </c:pt>
                <c:pt idx="13">
                  <c:v>0.49172995935466002</c:v>
                </c:pt>
                <c:pt idx="14">
                  <c:v>0</c:v>
                </c:pt>
                <c:pt idx="15">
                  <c:v>0.49172995935466002</c:v>
                </c:pt>
                <c:pt idx="16">
                  <c:v>0.49172995935466002</c:v>
                </c:pt>
                <c:pt idx="18">
                  <c:v>0</c:v>
                </c:pt>
                <c:pt idx="19">
                  <c:v>2.9416923202685004</c:v>
                </c:pt>
                <c:pt idx="20">
                  <c:v>0</c:v>
                </c:pt>
                <c:pt idx="21">
                  <c:v>2.9416923202685004</c:v>
                </c:pt>
                <c:pt idx="22">
                  <c:v>2.9416923202685004</c:v>
                </c:pt>
                <c:pt idx="24">
                  <c:v>0</c:v>
                </c:pt>
                <c:pt idx="25">
                  <c:v>2.0465992232927457</c:v>
                </c:pt>
                <c:pt idx="26">
                  <c:v>0</c:v>
                </c:pt>
                <c:pt idx="27">
                  <c:v>2.0465992232927457</c:v>
                </c:pt>
                <c:pt idx="28">
                  <c:v>2.0465992232927457</c:v>
                </c:pt>
                <c:pt idx="30">
                  <c:v>0</c:v>
                </c:pt>
                <c:pt idx="31">
                  <c:v>0.64208882028836944</c:v>
                </c:pt>
                <c:pt idx="32">
                  <c:v>0</c:v>
                </c:pt>
                <c:pt idx="33">
                  <c:v>0.64208882028836944</c:v>
                </c:pt>
                <c:pt idx="34">
                  <c:v>0.64208882028836944</c:v>
                </c:pt>
                <c:pt idx="36">
                  <c:v>0</c:v>
                </c:pt>
                <c:pt idx="37">
                  <c:v>1.3972842770470866</c:v>
                </c:pt>
                <c:pt idx="38">
                  <c:v>0</c:v>
                </c:pt>
                <c:pt idx="39">
                  <c:v>1.3972842770470866</c:v>
                </c:pt>
                <c:pt idx="40">
                  <c:v>1.3972842770470866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A-49D3-9673-03847E35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2999760"/>
        <c:axId val="1773000592"/>
      </c:barChart>
      <c:catAx>
        <c:axId val="17729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00592"/>
        <c:crosses val="autoZero"/>
        <c:auto val="1"/>
        <c:lblAlgn val="ctr"/>
        <c:lblOffset val="100"/>
        <c:noMultiLvlLbl val="0"/>
      </c:catAx>
      <c:valAx>
        <c:axId val="177300059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1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 b="1" i="1"/>
                  <a:t>2020 USD</a:t>
                </a:r>
              </a:p>
            </c:rich>
          </c:tx>
          <c:layout>
            <c:manualLayout>
              <c:xMode val="edge"/>
              <c:yMode val="edge"/>
              <c:x val="9.4117647058823521E-3"/>
              <c:y val="0.28380925361981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1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23812</xdr:rowOff>
    </xdr:from>
    <xdr:to>
      <xdr:col>27</xdr:col>
      <xdr:colOff>285750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0.11406</cdr:x>
      <cdr:y>0.04341</cdr:y>
    </cdr:from>
    <cdr:to>
      <cdr:x>0.23848</cdr:x>
      <cdr:y>0.10497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" y="209550"/>
          <a:ext cx="82296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0.2523</cdr:x>
      <cdr:y>0.02289</cdr:y>
    </cdr:from>
    <cdr:to>
      <cdr:x>0.39401</cdr:x>
      <cdr:y>0.08445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8780" y="110490"/>
          <a:ext cx="93726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0.57616</cdr:x>
      <cdr:y>0.06579</cdr:y>
    </cdr:from>
    <cdr:to>
      <cdr:x>0.66643</cdr:x>
      <cdr:y>0.10367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890962" y="314326"/>
          <a:ext cx="6096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0.11947</cdr:x>
      <cdr:y>0.05706</cdr:y>
    </cdr:from>
    <cdr:to>
      <cdr:x>1</cdr:x>
      <cdr:y>0.1717</cdr:y>
    </cdr:to>
    <cdr:grpSp>
      <cdr:nvGrpSpPr>
        <cdr:cNvPr id="20" name="Group 19">
          <a:extLst xmlns:a="http://schemas.openxmlformats.org/drawingml/2006/main">
            <a:ext uri="{FF2B5EF4-FFF2-40B4-BE49-F238E27FC236}">
              <a16:creationId xmlns:a16="http://schemas.microsoft.com/office/drawing/2014/main" id="{E911BBDF-DD6B-4455-8C43-8415B4395FF7}"/>
            </a:ext>
          </a:extLst>
        </cdr:cNvPr>
        <cdr:cNvGrpSpPr/>
      </cdr:nvGrpSpPr>
      <cdr:grpSpPr>
        <a:xfrm xmlns:a="http://schemas.openxmlformats.org/drawingml/2006/main">
          <a:off x="1078778" y="395394"/>
          <a:ext cx="7950922" cy="794391"/>
          <a:chOff x="806822" y="272632"/>
          <a:chExt cx="5946403" cy="547688"/>
        </a:xfrm>
      </cdr:grpSpPr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806822" y="272632"/>
            <a:ext cx="609600" cy="2798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AFRO</a:t>
            </a: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1611673" y="272632"/>
            <a:ext cx="690562" cy="18854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AMRO</a:t>
            </a:r>
          </a:p>
        </cdr:txBody>
      </cdr: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2255282" y="272632"/>
            <a:ext cx="967664" cy="1809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EMRO</a:t>
            </a:r>
            <a:endParaRPr lang="en-AU" sz="1100" b="1">
              <a:latin typeface="+mn-lt"/>
              <a:cs typeface="Times New Roman" panose="02020603050405020304" pitchFamily="18" charset="0"/>
            </a:endParaRP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339836" y="272632"/>
            <a:ext cx="609600" cy="1809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EURO</a:t>
            </a:r>
            <a:endParaRPr lang="en-AU" sz="1100" b="1">
              <a:latin typeface="+mn-lt"/>
              <a:cs typeface="Times New Roman" panose="02020603050405020304" pitchFamily="18" charset="0"/>
            </a:endParaRPr>
          </a:p>
        </cdr:txBody>
      </cdr:sp>
      <cdr:sp macro="" textlink="">
        <cdr:nvSpPr>
          <cdr:cNvPr id="14" name="TextBox 13"/>
          <cdr:cNvSpPr txBox="1"/>
        </cdr:nvSpPr>
        <cdr:spPr>
          <a:xfrm xmlns:a="http://schemas.openxmlformats.org/drawingml/2006/main">
            <a:off x="3940828" y="272632"/>
            <a:ext cx="1219200" cy="1809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SEARO</a:t>
            </a:r>
            <a:endParaRPr lang="en-AU" sz="1100" b="1">
              <a:latin typeface="+mn-lt"/>
              <a:cs typeface="Times New Roman" panose="02020603050405020304" pitchFamily="18" charset="0"/>
            </a:endParaRPr>
          </a:p>
        </cdr:txBody>
      </cdr:sp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988538" y="272632"/>
            <a:ext cx="666750" cy="1809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WPRO</a:t>
            </a:r>
            <a:endParaRPr lang="en-AU" sz="1100" b="1">
              <a:latin typeface="+mn-lt"/>
              <a:cs typeface="Times New Roman" panose="02020603050405020304" pitchFamily="18" charset="0"/>
            </a:endParaRPr>
          </a:p>
        </cdr:txBody>
      </cdr:sp>
      <cdr:sp macro="" textlink="">
        <cdr:nvSpPr>
          <cdr:cNvPr id="16" name="TextBox 15"/>
          <cdr:cNvSpPr txBox="1"/>
        </cdr:nvSpPr>
        <cdr:spPr>
          <a:xfrm xmlns:a="http://schemas.openxmlformats.org/drawingml/2006/main">
            <a:off x="5534025" y="272632"/>
            <a:ext cx="1219200" cy="54768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en-AU" sz="1400" b="1">
                <a:latin typeface="+mn-lt"/>
                <a:cs typeface="Times New Roman" panose="02020603050405020304" pitchFamily="18" charset="0"/>
              </a:rPr>
              <a:t>All</a:t>
            </a:r>
            <a:r>
              <a:rPr lang="en-AU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AU" sz="1400" b="1" baseline="0">
                <a:latin typeface="+mn-lt"/>
                <a:cs typeface="Times New Roman" panose="02020603050405020304" pitchFamily="18" charset="0"/>
              </a:rPr>
              <a:t>LMICs</a:t>
            </a:r>
            <a:endParaRPr lang="en-AU" sz="1100" b="1">
              <a:latin typeface="+mn-lt"/>
              <a:cs typeface="Times New Roman" panose="02020603050405020304" pitchFamily="18" charset="0"/>
            </a:endParaRPr>
          </a:p>
        </cdr:txBody>
      </cdr:sp>
    </cdr:grp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lmics" displayName="lmics" ref="A1:AY137" totalsRowShown="0" headerRowDxfId="282" tableBorderDxfId="281">
  <autoFilter ref="A1:AY137" xr:uid="{00000000-0009-0000-0100-000015000000}"/>
  <tableColumns count="51">
    <tableColumn id="1" xr3:uid="{00000000-0010-0000-0000-000001000000}" name="setting"/>
    <tableColumn id="2" xr3:uid="{00000000-0010-0000-0000-000002000000}" name="iso3" dataDxfId="280" dataCellStyle="Normal_cty99"/>
    <tableColumn id="3" xr3:uid="{00000000-0010-0000-0000-000003000000}" name="num" dataDxfId="279"/>
    <tableColumn id="4" xr3:uid="{00000000-0010-0000-0000-000004000000}" name="who_region" dataDxfId="278"/>
    <tableColumn id="5" xr3:uid="{00000000-0010-0000-0000-000005000000}" name="gbd_region" dataDxfId="277"/>
    <tableColumn id="6" xr3:uid="{00000000-0010-0000-0000-000006000000}" name="gbd_super" dataDxfId="276"/>
    <tableColumn id="7" xr3:uid="{00000000-0010-0000-0000-000007000000}" name="wb_class" dataDxfId="275"/>
    <tableColumn id="8" xr3:uid="{00000000-0010-0000-0000-000008000000}" name="pop" dataDxfId="274">
      <calculatedColumnFormula>IF(INDEX(lmic_raw[],MATCH($A2,lmic_raw[[setting]:[setting]],0), MATCH(H$1, lmic_raw[#Headers],0))=0, INDEX(regions[], MATCH($D2, regions[[setting]:[setting]],0), MATCH(H$1, regions[#Headers],0)),INDEX(lmic_raw[],MATCH($A2,lmic_raw[[setting]:[setting]],0), MATCH(H$1, lmic_raw[#Headers],0)))</calculatedColumnFormula>
    </tableColumn>
    <tableColumn id="9" xr3:uid="{00000000-0010-0000-0000-000009000000}" name="births">
      <calculatedColumnFormula>IF(INDEX(lmic_raw[],MATCH($A2,lmic_raw[[setting]:[setting]],0), MATCH(I$1, lmic_raw[#Headers],0))=0, INDEX(regions[], MATCH($D2, regions[[setting]:[setting]],0), MATCH(I$1, regions[#Headers],0)),INDEX(lmic_raw[],MATCH($A2,lmic_raw[[setting]:[setting]],0), MATCH(I$1, lmic_raw[#Headers],0)))</calculatedColumnFormula>
    </tableColumn>
    <tableColumn id="10" xr3:uid="{00000000-0010-0000-0000-00000A000000}" name="fac_birth">
      <calculatedColumnFormula>IF(INDEX(lmic_raw[],MATCH($A2,lmic_raw[[setting]:[setting]],0), MATCH(J$1, lmic_raw[#Headers],0))=0, INDEX(regions[], MATCH($D2, regions[[setting]:[setting]],0), MATCH(J$1, regions[#Headers],0)),INDEX(lmic_raw[],MATCH($A2,lmic_raw[[setting]:[setting]],0), MATCH(J$1, lmic_raw[#Headers],0)))</calculatedColumnFormula>
    </tableColumn>
    <tableColumn id="11" xr3:uid="{00000000-0010-0000-0000-00000B000000}" name="bd_cov">
      <calculatedColumnFormula>IF(INDEX(lmic_raw[],MATCH($A2,lmic_raw[[setting]:[setting]],0), MATCH(K$1, lmic_raw[#Headers],0))=0, INDEX(regions[], MATCH($D2, regions[[setting]:[setting]],0), MATCH(K$1, regions[#Headers],0)),INDEX(lmic_raw[],MATCH($A2,lmic_raw[[setting]:[setting]],0), MATCH(K$1, lmic_raw[#Headers],0)))</calculatedColumnFormula>
    </tableColumn>
    <tableColumn id="12" xr3:uid="{00000000-0010-0000-0000-00000C000000}" name="hbv3_cov">
      <calculatedColumnFormula>IF(INDEX(lmic_raw[],MATCH($A2,lmic_raw[[setting]:[setting]],0), MATCH(L$1, lmic_raw[#Headers],0))=0, INDEX(regions[], MATCH($D2, regions[[setting]:[setting]],0), MATCH(L$1, regions[#Headers],0)),INDEX(lmic_raw[],MATCH($A2,lmic_raw[[setting]:[setting]],0), MATCH(L$1, lmic_raw[#Headers],0)))</calculatedColumnFormula>
    </tableColumn>
    <tableColumn id="13" xr3:uid="{00000000-0010-0000-0000-00000D000000}" name="hbv_prev">
      <calculatedColumnFormula>IF(INDEX(lmic_raw[],MATCH($A2,lmic_raw[[setting]:[setting]],0), MATCH(M$1, lmic_raw[#Headers],0))=0, INDEX(regions[], MATCH($D2, regions[[setting]:[setting]],0), MATCH(M$1, regions[#Headers],0)),INDEX(lmic_raw[],MATCH($A2,lmic_raw[[setting]:[setting]],0), MATCH(M$1, lmic_raw[#Headers],0)))</calculatedColumnFormula>
    </tableColumn>
    <tableColumn id="14" xr3:uid="{00000000-0010-0000-0000-00000E000000}" name="hbe_prev">
      <calculatedColumnFormula>IF(INDEX(lmic_raw[],MATCH($A2,lmic_raw[[setting]:[setting]],0), MATCH(N$1, lmic_raw[#Headers],0))=0, INDEX(regions[], MATCH($D2, regions[[setting]:[setting]],0), MATCH(N$1, regions[#Headers],0)),INDEX(lmic_raw[],MATCH($A2,lmic_raw[[setting]:[setting]],0), MATCH(N$1, lmic_raw[#Headers],0)))</calculatedColumnFormula>
    </tableColumn>
    <tableColumn id="15" xr3:uid="{00000000-0010-0000-0000-00000F000000}" name="epos">
      <calculatedColumnFormula>IF(INDEX(lmic_raw[],MATCH($A2,lmic_raw[[setting]:[setting]],0), MATCH(O$1, lmic_raw[#Headers],0))=0, INDEX(regions[], MATCH($D2, regions[[setting]:[setting]],0), MATCH(O$1, regions[#Headers],0)),INDEX(lmic_raw[],MATCH($A2,lmic_raw[[setting]:[setting]],0), MATCH(O$1, lmic_raw[#Headers],0)))</calculatedColumnFormula>
    </tableColumn>
    <tableColumn id="16" xr3:uid="{00000000-0010-0000-0000-000010000000}" name="eneg">
      <calculatedColumnFormula>IF(INDEX(lmic_raw[],MATCH($A2,lmic_raw[[setting]:[setting]],0), MATCH(P$1, lmic_raw[#Headers],0))=0, INDEX(regions[], MATCH($D2, regions[[setting]:[setting]],0), MATCH(P$1, regions[#Headers],0)),INDEX(lmic_raw[],MATCH($A2,lmic_raw[[setting]:[setting]],0), MATCH(P$1, lmic_raw[#Headers],0)))</calculatedColumnFormula>
    </tableColumn>
    <tableColumn id="17" xr3:uid="{00000000-0010-0000-0000-000011000000}" name="c_diag">
      <calculatedColumnFormula>IF(INDEX(lmic_raw[],MATCH($A2,lmic_raw[[setting]:[setting]],0), MATCH(Q$1, lmic_raw[#Headers],0))=0, INDEX(regions[], MATCH($D2, regions[[setting]:[setting]],0), MATCH(Q$1, regions[#Headers],0)),INDEX(lmic_raw[],MATCH($A2,lmic_raw[[setting]:[setting]],0), MATCH(Q$1, lmic_raw[#Headers],0)))</calculatedColumnFormula>
    </tableColumn>
    <tableColumn id="18" xr3:uid="{00000000-0010-0000-0000-000012000000}" name="c_C">
      <calculatedColumnFormula>IF(INDEX(lmic_raw[],MATCH($A2,lmic_raw[[setting]:[setting]],0), MATCH(R$1, lmic_raw[#Headers],0))=0, INDEX(regions[], MATCH($D2, regions[[setting]:[setting]],0), MATCH(R$1, regions[#Headers],0)),INDEX(lmic_raw[],MATCH($A2,lmic_raw[[setting]:[setting]],0), MATCH(R$1, lmic_raw[#Headers],0)))</calculatedColumnFormula>
    </tableColumn>
    <tableColumn id="19" xr3:uid="{00000000-0010-0000-0000-000013000000}" name="c_CC">
      <calculatedColumnFormula>IF(INDEX(lmic_raw[],MATCH($A2,lmic_raw[[setting]:[setting]],0), MATCH(S$1, lmic_raw[#Headers],0))=0, INDEX(regions[], MATCH($D2, regions[[setting]:[setting]],0), MATCH(S$1, regions[#Headers],0)),INDEX(lmic_raw[],MATCH($A2,lmic_raw[[setting]:[setting]],0), MATCH(S$1, lmic_raw[#Headers],0)))</calculatedColumnFormula>
    </tableColumn>
    <tableColumn id="20" xr3:uid="{00000000-0010-0000-0000-000014000000}" name="c_DC">
      <calculatedColumnFormula>IF(INDEX(lmic_raw[],MATCH($A2,lmic_raw[[setting]:[setting]],0), MATCH(T$1, lmic_raw[#Headers],0))=0, INDEX(regions[], MATCH($D2, regions[[setting]:[setting]],0), MATCH(T$1, regions[#Headers],0)),INDEX(lmic_raw[],MATCH($A2,lmic_raw[[setting]:[setting]],0), MATCH(T$1, lmic_raw[#Headers],0)))</calculatedColumnFormula>
    </tableColumn>
    <tableColumn id="21" xr3:uid="{00000000-0010-0000-0000-000015000000}" name="c_HCC">
      <calculatedColumnFormula>IF(INDEX(lmic_raw[],MATCH($A2,lmic_raw[[setting]:[setting]],0), MATCH(U$1, lmic_raw[#Headers],0))=0, INDEX(regions[], MATCH($D2, regions[[setting]:[setting]],0), MATCH(U$1, regions[#Headers],0)),INDEX(lmic_raw[],MATCH($A2,lmic_raw[[setting]:[setting]],0), MATCH(U$1, lmic_raw[#Headers],0)))</calculatedColumnFormula>
    </tableColumn>
    <tableColumn id="22" xr3:uid="{00000000-0010-0000-0000-000016000000}" name="bl1_f">
      <calculatedColumnFormula>IF(INDEX(lmic_raw[],MATCH($A2,lmic_raw[[setting]:[setting]],0), MATCH(V$1, lmic_raw[#Headers],0))=0, INDEX(regions[], MATCH($D2, regions[[setting]:[setting]],0), MATCH(V$1, regions[#Headers],0)),INDEX(lmic_raw[],MATCH($A2,lmic_raw[[setting]:[setting]],0), MATCH(V$1, lmic_raw[#Headers],0)))</calculatedColumnFormula>
    </tableColumn>
    <tableColumn id="23" xr3:uid="{00000000-0010-0000-0000-000017000000}" name="bl1_c">
      <calculatedColumnFormula>IF(INDEX(lmic_raw[],MATCH($A2,lmic_raw[[setting]:[setting]],0), MATCH(W$1, lmic_raw[#Headers],0))=0, INDEX(regions[], MATCH($D2, regions[[setting]:[setting]],0), MATCH(W$1, regions[#Headers],0)),INDEX(lmic_raw[],MATCH($A2,lmic_raw[[setting]:[setting]],0), MATCH(W$1, lmic_raw[#Headers],0)))</calculatedColumnFormula>
    </tableColumn>
    <tableColumn id="24" xr3:uid="{00000000-0010-0000-0000-000018000000}" name="map_f">
      <calculatedColumnFormula>IF(INDEX(lmic_raw[],MATCH($A2,lmic_raw[[setting]:[setting]],0), MATCH(X$1, lmic_raw[#Headers],0))=0, INDEX(regions[], MATCH($D2, regions[[setting]:[setting]],0), MATCH(X$1, regions[#Headers],0)),INDEX(lmic_raw[],MATCH($A2,lmic_raw[[setting]:[setting]],0), MATCH(X$1, lmic_raw[#Headers],0)))</calculatedColumnFormula>
    </tableColumn>
    <tableColumn id="25" xr3:uid="{00000000-0010-0000-0000-000019000000}" name="map_cq">
      <calculatedColumnFormula>IF(INDEX(lmic_raw[],MATCH($A2,lmic_raw[[setting]:[setting]],0), MATCH(Y$1, lmic_raw[#Headers],0))=0, INDEX(regions[], MATCH($D2, regions[[setting]:[setting]],0), MATCH(Y$1, regions[#Headers],0)),INDEX(lmic_raw[],MATCH($A2,lmic_raw[[setting]:[setting]],0), MATCH(Y$1, lmic_raw[#Headers],0)))</calculatedColumnFormula>
    </tableColumn>
    <tableColumn id="26" xr3:uid="{00000000-0010-0000-0000-00001A000000}" name="map_cl">
      <calculatedColumnFormula>IF(INDEX(lmic_raw[],MATCH($A2,lmic_raw[[setting]:[setting]],0), MATCH(Z$1, lmic_raw[#Headers],0))=0, INDEX(regions[], MATCH($D2, regions[[setting]:[setting]],0), MATCH(Z$1, regions[#Headers],0)),INDEX(lmic_raw[],MATCH($A2,lmic_raw[[setting]:[setting]],0), MATCH(Z$1, lmic_raw[#Headers],0)))</calculatedColumnFormula>
    </tableColumn>
    <tableColumn id="27" xr3:uid="{00000000-0010-0000-0000-00001B000000}" name="ctc_f">
      <calculatedColumnFormula>IF(INDEX(lmic_raw[],MATCH($A2,lmic_raw[[setting]:[setting]],0), MATCH(AA$1, lmic_raw[#Headers],0))=0, INDEX(regions[], MATCH($D2, regions[[setting]:[setting]],0), MATCH(AA$1, regions[#Headers],0)),INDEX(lmic_raw[],MATCH($A2,lmic_raw[[setting]:[setting]],0), MATCH(AA$1, lmic_raw[#Headers],0)))</calculatedColumnFormula>
    </tableColumn>
    <tableColumn id="28" xr3:uid="{00000000-0010-0000-0000-00001C000000}" name="ctc_c">
      <calculatedColumnFormula>IF(INDEX(lmic_raw[],MATCH($A2,lmic_raw[[setting]:[setting]],0), MATCH(AB$1, lmic_raw[#Headers],0))=0, INDEX(regions[], MATCH($D2, regions[[setting]:[setting]],0), MATCH(AB$1, regions[#Headers],0)),INDEX(lmic_raw[],MATCH($A2,lmic_raw[[setting]:[setting]],0), MATCH(AB$1, lmic_raw[#Headers],0)))</calculatedColumnFormula>
    </tableColumn>
    <tableColumn id="29" xr3:uid="{00000000-0010-0000-0000-00001D000000}" name="m_01">
      <calculatedColumnFormula>IF(INDEX(lmic_raw[],MATCH($A2,lmic_raw[[setting]:[setting]],0), MATCH(AC$1, lmic_raw[#Headers],0))=0, INDEX(regions[], MATCH($D2, regions[[setting]:[setting]],0), MATCH(AC$1, regions[#Headers],0)),INDEX(lmic_raw[],MATCH($A2,lmic_raw[[setting]:[setting]],0), MATCH(AC$1, lmic_raw[#Headers],0)))</calculatedColumnFormula>
    </tableColumn>
    <tableColumn id="30" xr3:uid="{00000000-0010-0000-0000-00001E000000}" name="m_14">
      <calculatedColumnFormula>IF(INDEX(lmic_raw[],MATCH($A2,lmic_raw[[setting]:[setting]],0), MATCH(AD$1, lmic_raw[#Headers],0))=0, INDEX(regions[], MATCH($D2, regions[[setting]:[setting]],0), MATCH(AD$1, regions[#Headers],0)),INDEX(lmic_raw[],MATCH($A2,lmic_raw[[setting]:[setting]],0), MATCH(AD$1, lmic_raw[#Headers],0)))</calculatedColumnFormula>
    </tableColumn>
    <tableColumn id="31" xr3:uid="{00000000-0010-0000-0000-00001F000000}" name="m_59">
      <calculatedColumnFormula>IF(INDEX(lmic_raw[],MATCH($A2,lmic_raw[[setting]:[setting]],0), MATCH(AE$1, lmic_raw[#Headers],0))=0, INDEX(regions[], MATCH($D2, regions[[setting]:[setting]],0), MATCH(AE$1, regions[#Headers],0)),INDEX(lmic_raw[],MATCH($A2,lmic_raw[[setting]:[setting]],0), MATCH(AE$1, lmic_raw[#Headers],0)))</calculatedColumnFormula>
    </tableColumn>
    <tableColumn id="32" xr3:uid="{00000000-0010-0000-0000-000020000000}" name="m_1014">
      <calculatedColumnFormula>IF(INDEX(lmic_raw[],MATCH($A2,lmic_raw[[setting]:[setting]],0), MATCH(AF$1, lmic_raw[#Headers],0))=0, INDEX(regions[], MATCH($D2, regions[[setting]:[setting]],0), MATCH(AF$1, regions[#Headers],0)),INDEX(lmic_raw[],MATCH($A2,lmic_raw[[setting]:[setting]],0), MATCH(AF$1, lmic_raw[#Headers],0)))</calculatedColumnFormula>
    </tableColumn>
    <tableColumn id="33" xr3:uid="{00000000-0010-0000-0000-000021000000}" name="m_1519">
      <calculatedColumnFormula>IF(INDEX(lmic_raw[],MATCH($A2,lmic_raw[[setting]:[setting]],0), MATCH(AG$1, lmic_raw[#Headers],0))=0, INDEX(regions[], MATCH($D2, regions[[setting]:[setting]],0), MATCH(AG$1, regions[#Headers],0)),INDEX(lmic_raw[],MATCH($A2,lmic_raw[[setting]:[setting]],0), MATCH(AG$1, lmic_raw[#Headers],0)))</calculatedColumnFormula>
    </tableColumn>
    <tableColumn id="34" xr3:uid="{00000000-0010-0000-0000-000022000000}" name="m_2024">
      <calculatedColumnFormula>IF(INDEX(lmic_raw[],MATCH($A2,lmic_raw[[setting]:[setting]],0), MATCH(AH$1, lmic_raw[#Headers],0))=0, INDEX(regions[], MATCH($D2, regions[[setting]:[setting]],0), MATCH(AH$1, regions[#Headers],0)),INDEX(lmic_raw[],MATCH($A2,lmic_raw[[setting]:[setting]],0), MATCH(AH$1, lmic_raw[#Headers],0)))</calculatedColumnFormula>
    </tableColumn>
    <tableColumn id="35" xr3:uid="{00000000-0010-0000-0000-000023000000}" name="m_2529">
      <calculatedColumnFormula>IF(INDEX(lmic_raw[],MATCH($A2,lmic_raw[[setting]:[setting]],0), MATCH(AI$1, lmic_raw[#Headers],0))=0, INDEX(regions[], MATCH($D2, regions[[setting]:[setting]],0), MATCH(AI$1, regions[#Headers],0)),INDEX(lmic_raw[],MATCH($A2,lmic_raw[[setting]:[setting]],0), MATCH(AI$1, lmic_raw[#Headers],0)))</calculatedColumnFormula>
    </tableColumn>
    <tableColumn id="36" xr3:uid="{00000000-0010-0000-0000-000024000000}" name="m_3034">
      <calculatedColumnFormula>IF(INDEX(lmic_raw[],MATCH($A2,lmic_raw[[setting]:[setting]],0), MATCH(AJ$1, lmic_raw[#Headers],0))=0, INDEX(regions[], MATCH($D2, regions[[setting]:[setting]],0), MATCH(AJ$1, regions[#Headers],0)),INDEX(lmic_raw[],MATCH($A2,lmic_raw[[setting]:[setting]],0), MATCH(AJ$1, lmic_raw[#Headers],0)))</calculatedColumnFormula>
    </tableColumn>
    <tableColumn id="37" xr3:uid="{00000000-0010-0000-0000-000025000000}" name="m_3539">
      <calculatedColumnFormula>IF(INDEX(lmic_raw[],MATCH($A2,lmic_raw[[setting]:[setting]],0), MATCH(AK$1, lmic_raw[#Headers],0))=0, INDEX(regions[], MATCH($D2, regions[[setting]:[setting]],0), MATCH(AK$1, regions[#Headers],0)),INDEX(lmic_raw[],MATCH($A2,lmic_raw[[setting]:[setting]],0), MATCH(AK$1, lmic_raw[#Headers],0)))</calculatedColumnFormula>
    </tableColumn>
    <tableColumn id="38" xr3:uid="{00000000-0010-0000-0000-000026000000}" name="m_4044">
      <calculatedColumnFormula>IF(INDEX(lmic_raw[],MATCH($A2,lmic_raw[[setting]:[setting]],0), MATCH(AL$1, lmic_raw[#Headers],0))=0, INDEX(regions[], MATCH($D2, regions[[setting]:[setting]],0), MATCH(AL$1, regions[#Headers],0)),INDEX(lmic_raw[],MATCH($A2,lmic_raw[[setting]:[setting]],0), MATCH(AL$1, lmic_raw[#Headers],0)))</calculatedColumnFormula>
    </tableColumn>
    <tableColumn id="39" xr3:uid="{00000000-0010-0000-0000-000027000000}" name="m_4549">
      <calculatedColumnFormula>IF(INDEX(lmic_raw[],MATCH($A2,lmic_raw[[setting]:[setting]],0), MATCH(AM$1, lmic_raw[#Headers],0))=0, INDEX(regions[], MATCH($D2, regions[[setting]:[setting]],0), MATCH(AM$1, regions[#Headers],0)),INDEX(lmic_raw[],MATCH($A2,lmic_raw[[setting]:[setting]],0), MATCH(AM$1, lmic_raw[#Headers],0)))</calculatedColumnFormula>
    </tableColumn>
    <tableColumn id="40" xr3:uid="{00000000-0010-0000-0000-000028000000}" name="m_5054">
      <calculatedColumnFormula>IF(INDEX(lmic_raw[],MATCH($A2,lmic_raw[[setting]:[setting]],0), MATCH(AN$1, lmic_raw[#Headers],0))=0, INDEX(regions[], MATCH($D2, regions[[setting]:[setting]],0), MATCH(AN$1, regions[#Headers],0)),INDEX(lmic_raw[],MATCH($A2,lmic_raw[[setting]:[setting]],0), MATCH(AN$1, lmic_raw[#Headers],0)))</calculatedColumnFormula>
    </tableColumn>
    <tableColumn id="41" xr3:uid="{00000000-0010-0000-0000-000029000000}" name="m_5559">
      <calculatedColumnFormula>IF(INDEX(lmic_raw[],MATCH($A2,lmic_raw[[setting]:[setting]],0), MATCH(AO$1, lmic_raw[#Headers],0))=0, INDEX(regions[], MATCH($D2, regions[[setting]:[setting]],0), MATCH(AO$1, regions[#Headers],0)),INDEX(lmic_raw[],MATCH($A2,lmic_raw[[setting]:[setting]],0), MATCH(AO$1, lmic_raw[#Headers],0)))</calculatedColumnFormula>
    </tableColumn>
    <tableColumn id="42" xr3:uid="{00000000-0010-0000-0000-00002A000000}" name="m_6064">
      <calculatedColumnFormula>IF(INDEX(lmic_raw[],MATCH($A2,lmic_raw[[setting]:[setting]],0), MATCH(AP$1, lmic_raw[#Headers],0))=0, INDEX(regions[], MATCH($D2, regions[[setting]:[setting]],0), MATCH(AP$1, regions[#Headers],0)),INDEX(lmic_raw[],MATCH($A2,lmic_raw[[setting]:[setting]],0), MATCH(AP$1, lmic_raw[#Headers],0)))</calculatedColumnFormula>
    </tableColumn>
    <tableColumn id="43" xr3:uid="{00000000-0010-0000-0000-00002B000000}" name="m_6569">
      <calculatedColumnFormula>IF(INDEX(lmic_raw[],MATCH($A2,lmic_raw[[setting]:[setting]],0), MATCH(AQ$1, lmic_raw[#Headers],0))=0, INDEX(regions[], MATCH($D2, regions[[setting]:[setting]],0), MATCH(AQ$1, regions[#Headers],0)),INDEX(lmic_raw[],MATCH($A2,lmic_raw[[setting]:[setting]],0), MATCH(AQ$1, lmic_raw[#Headers],0)))</calculatedColumnFormula>
    </tableColumn>
    <tableColumn id="44" xr3:uid="{00000000-0010-0000-0000-00002C000000}" name="m_7074">
      <calculatedColumnFormula>IF(INDEX(lmic_raw[],MATCH($A2,lmic_raw[[setting]:[setting]],0), MATCH(AR$1, lmic_raw[#Headers],0))=0, INDEX(regions[], MATCH($D2, regions[[setting]:[setting]],0), MATCH(AR$1, regions[#Headers],0)),INDEX(lmic_raw[],MATCH($A2,lmic_raw[[setting]:[setting]],0), MATCH(AR$1, lmic_raw[#Headers],0)))</calculatedColumnFormula>
    </tableColumn>
    <tableColumn id="45" xr3:uid="{00000000-0010-0000-0000-00002D000000}" name="m_7079">
      <calculatedColumnFormula>IF(INDEX(lmic_raw[],MATCH($A2,lmic_raw[[setting]:[setting]],0), MATCH(AS$1, lmic_raw[#Headers],0))=0, INDEX(regions[], MATCH($D2, regions[[setting]:[setting]],0), MATCH(AS$1, regions[#Headers],0)),INDEX(lmic_raw[],MATCH($A2,lmic_raw[[setting]:[setting]],0), MATCH(AS$1, lmic_raw[#Headers],0)))</calculatedColumnFormula>
    </tableColumn>
    <tableColumn id="46" xr3:uid="{00000000-0010-0000-0000-00002E000000}" name="m_8084">
      <calculatedColumnFormula>IF(INDEX(lmic_raw[],MATCH($A2,lmic_raw[[setting]:[setting]],0), MATCH(AT$1, lmic_raw[#Headers],0))=0, INDEX(regions[], MATCH($D2, regions[[setting]:[setting]],0), MATCH(AT$1, regions[#Headers],0)),INDEX(lmic_raw[],MATCH($A2,lmic_raw[[setting]:[setting]],0), MATCH(AT$1, lmic_raw[#Headers],0)))</calculatedColumnFormula>
    </tableColumn>
    <tableColumn id="47" xr3:uid="{00000000-0010-0000-0000-00002F000000}" name="m_8589">
      <calculatedColumnFormula>IF(INDEX(lmic_raw[],MATCH($A2,lmic_raw[[setting]:[setting]],0), MATCH(AU$1, lmic_raw[#Headers],0))=0, INDEX(regions[], MATCH($D2, regions[[setting]:[setting]],0), MATCH(AU$1, regions[#Headers],0)),INDEX(lmic_raw[],MATCH($A2,lmic_raw[[setting]:[setting]],0), MATCH(AU$1, lmic_raw[#Headers],0)))</calculatedColumnFormula>
    </tableColumn>
    <tableColumn id="48" xr3:uid="{00000000-0010-0000-0000-000030000000}" name="m_9094">
      <calculatedColumnFormula>IF(INDEX(lmic_raw[],MATCH($A2,lmic_raw[[setting]:[setting]],0), MATCH(AV$1, lmic_raw[#Headers],0))=0, INDEX(regions[], MATCH($D2, regions[[setting]:[setting]],0), MATCH(AV$1, regions[#Headers],0)),INDEX(lmic_raw[],MATCH($A2,lmic_raw[[setting]:[setting]],0), MATCH(AV$1, lmic_raw[#Headers],0)))</calculatedColumnFormula>
    </tableColumn>
    <tableColumn id="49" xr3:uid="{00000000-0010-0000-0000-000031000000}" name="m_95+">
      <calculatedColumnFormula>IF(INDEX(lmic_raw[],MATCH($A2,lmic_raw[[setting]:[setting]],0), MATCH(AW$1, lmic_raw[#Headers],0))=0, INDEX(regions[], MATCH($D2, regions[[setting]:[setting]],0), MATCH(AW$1, regions[#Headers],0)),INDEX(lmic_raw[],MATCH($A2,lmic_raw[[setting]:[setting]],0), MATCH(AW$1, lmic_raw[#Headers],0)))</calculatedColumnFormula>
    </tableColumn>
    <tableColumn id="50" xr3:uid="{00000000-0010-0000-0000-000032000000}" name="av_life">
      <calculatedColumnFormula>IF(INDEX(lmic_raw[],MATCH($A2,lmic_raw[[setting]:[setting]],0), MATCH(AX$1, lmic_raw[#Headers],0))=0, INDEX(regions[], MATCH($D2, regions[[setting]:[setting]],0), MATCH(AX$1, regions[#Headers],0)),INDEX(lmic_raw[],MATCH($A2,lmic_raw[[setting]:[setting]],0), MATCH(AX$1, lmic_raw[#Headers],0)))</calculatedColumnFormula>
    </tableColumn>
    <tableColumn id="51" xr3:uid="{00000000-0010-0000-0000-000033000000}" name="cov_impu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acm" displayName="acm" ref="O1:AL245" totalsRowShown="0">
  <autoFilter ref="O1:AL245" xr:uid="{00000000-0009-0000-0100-000004000000}"/>
  <tableColumns count="24">
    <tableColumn id="1" xr3:uid="{00000000-0010-0000-0900-000001000000}" name="Region, subregion, country or area *"/>
    <tableColumn id="2" xr3:uid="{00000000-0010-0000-0900-000002000000}" name="Country code"/>
    <tableColumn id="3" xr3:uid="{00000000-0010-0000-0900-000003000000}" name="Period"/>
    <tableColumn id="4" xr3:uid="{00000000-0010-0000-0900-000004000000}" name="m_01"/>
    <tableColumn id="5" xr3:uid="{00000000-0010-0000-0900-000005000000}" name="m_14"/>
    <tableColumn id="6" xr3:uid="{00000000-0010-0000-0900-000006000000}" name="m_59"/>
    <tableColumn id="7" xr3:uid="{00000000-0010-0000-0900-000007000000}" name="m_1014"/>
    <tableColumn id="8" xr3:uid="{00000000-0010-0000-0900-000008000000}" name="m_1519"/>
    <tableColumn id="9" xr3:uid="{00000000-0010-0000-0900-000009000000}" name="m_2024"/>
    <tableColumn id="10" xr3:uid="{00000000-0010-0000-0900-00000A000000}" name="m_2529"/>
    <tableColumn id="11" xr3:uid="{00000000-0010-0000-0900-00000B000000}" name="m_3034"/>
    <tableColumn id="12" xr3:uid="{00000000-0010-0000-0900-00000C000000}" name="m_3539"/>
    <tableColumn id="13" xr3:uid="{00000000-0010-0000-0900-00000D000000}" name="m_4044"/>
    <tableColumn id="14" xr3:uid="{00000000-0010-0000-0900-00000E000000}" name="m_4549"/>
    <tableColumn id="15" xr3:uid="{00000000-0010-0000-0900-00000F000000}" name="m_5054"/>
    <tableColumn id="16" xr3:uid="{00000000-0010-0000-0900-000010000000}" name="m_5559"/>
    <tableColumn id="17" xr3:uid="{00000000-0010-0000-0900-000011000000}" name="m_6064"/>
    <tableColumn id="18" xr3:uid="{00000000-0010-0000-0900-000012000000}" name="m_6569"/>
    <tableColumn id="19" xr3:uid="{00000000-0010-0000-0900-000013000000}" name="m_7074"/>
    <tableColumn id="20" xr3:uid="{00000000-0010-0000-0900-000014000000}" name="m_7079"/>
    <tableColumn id="21" xr3:uid="{00000000-0010-0000-0900-000015000000}" name="m_8084"/>
    <tableColumn id="22" xr3:uid="{00000000-0010-0000-0900-000016000000}" name="m_8589"/>
    <tableColumn id="23" xr3:uid="{00000000-0010-0000-0900-000017000000}" name="m_9094"/>
    <tableColumn id="24" xr3:uid="{00000000-0010-0000-0900-000018000000}" name="m_95+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life_exp" displayName="life_exp" ref="AN1:AP256" totalsRowShown="0" headerRowDxfId="187" dataDxfId="185" headerRowBorderDxfId="186">
  <autoFilter ref="AN1:AP256" xr:uid="{00000000-0009-0000-0100-000005000000}"/>
  <tableColumns count="3">
    <tableColumn id="1" xr3:uid="{00000000-0010-0000-0A00-000001000000}" name="Region, subregion, country or area *" dataDxfId="184"/>
    <tableColumn id="2" xr3:uid="{00000000-0010-0000-0A00-000002000000}" name="Country code" dataDxfId="183"/>
    <tableColumn id="3" xr3:uid="{00000000-0010-0000-0A00-000003000000}" name="2015-2020" dataDxfId="18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vax" displayName="vax" ref="A1:D196" totalsRowShown="0" tableBorderDxfId="181">
  <autoFilter ref="A1:D196" xr:uid="{00000000-0009-0000-0100-000006000000}"/>
  <sortState xmlns:xlrd2="http://schemas.microsoft.com/office/spreadsheetml/2017/richdata2" ref="A2:D196">
    <sortCondition ref="B1:B196"/>
  </sortState>
  <tableColumns count="4">
    <tableColumn id="1" xr3:uid="{00000000-0010-0000-0B00-000001000000}" name="country" dataDxfId="180"/>
    <tableColumn id="2" xr3:uid="{00000000-0010-0000-0B00-000002000000}" name="iso3" dataDxfId="179"/>
    <tableColumn id="3" xr3:uid="{00000000-0010-0000-0B00-000003000000}" name="hepb_bd" dataDxfId="178"/>
    <tableColumn id="4" xr3:uid="{00000000-0010-0000-0B00-000004000000}" name="hbv3" dataDxfId="1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C000000}" name="hbv_prev" displayName="hbv_prev" ref="F1:J195" totalsRowShown="0" dataDxfId="176">
  <autoFilter ref="F1:J195" xr:uid="{00000000-0009-0000-0100-000007000000}"/>
  <tableColumns count="5">
    <tableColumn id="1" xr3:uid="{00000000-0010-0000-0C00-000001000000}" name="country"/>
    <tableColumn id="2" xr3:uid="{00000000-0010-0000-0C00-000002000000}" name="iso3"/>
    <tableColumn id="3" xr3:uid="{00000000-0010-0000-0C00-000003000000}" name="hbsag" dataDxfId="175"/>
    <tableColumn id="4" xr3:uid="{00000000-0010-0000-0C00-000004000000}" name="lb" dataDxfId="174"/>
    <tableColumn id="5" xr3:uid="{00000000-0010-0000-0C00-000005000000}" name="ub" dataDxfId="17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D000000}" name="hbe_prev" displayName="hbe_prev" ref="L1:P185" totalsRowShown="0">
  <autoFilter ref="L1:P185" xr:uid="{00000000-0009-0000-0100-000008000000}"/>
  <tableColumns count="5">
    <tableColumn id="1" xr3:uid="{00000000-0010-0000-0D00-000001000000}" name="country" dataDxfId="172"/>
    <tableColumn id="2" xr3:uid="{00000000-0010-0000-0D00-000002000000}" name="gbd_region" dataDxfId="171"/>
    <tableColumn id="3" xr3:uid="{00000000-0010-0000-0D00-000003000000}" name="hbe_w_ave" dataDxfId="170" dataCellStyle="Percent"/>
    <tableColumn id="4" xr3:uid="{00000000-0010-0000-0D00-000004000000}" name="hbe_min" dataDxfId="169" dataCellStyle="Percent"/>
    <tableColumn id="5" xr3:uid="{00000000-0010-0000-0D00-000005000000}" name="hbe_max" dataDxfId="168" dataCellStyle="Perc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E000000}" name="hbe_risk" displayName="hbe_risk" ref="L187:R194" totalsRowShown="0">
  <autoFilter ref="L187:R194" xr:uid="{00000000-0009-0000-0100-000009000000}"/>
  <tableColumns count="7">
    <tableColumn id="1" xr3:uid="{00000000-0010-0000-0E00-000001000000}" name="settings" dataDxfId="167"/>
    <tableColumn id="2" xr3:uid="{00000000-0010-0000-0E00-000002000000}" name="epos"/>
    <tableColumn id="3" xr3:uid="{00000000-0010-0000-0E00-000003000000}" name="epos_lb"/>
    <tableColumn id="4" xr3:uid="{00000000-0010-0000-0E00-000004000000}" name="epos_ub"/>
    <tableColumn id="5" xr3:uid="{00000000-0010-0000-0E00-000005000000}" name="eneg"/>
    <tableColumn id="6" xr3:uid="{00000000-0010-0000-0E00-000006000000}" name="eneg_lb"/>
    <tableColumn id="7" xr3:uid="{00000000-0010-0000-0E00-000007000000}" name="eneg_ub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vcost" displayName="vcost" ref="A158:I294" totalsRowShown="0" headerRowDxfId="166">
  <autoFilter ref="A158:I294" xr:uid="{00000000-0009-0000-0100-00000E000000}"/>
  <tableColumns count="9">
    <tableColumn id="1" xr3:uid="{00000000-0010-0000-0F00-000001000000}" name="setting"/>
    <tableColumn id="2" xr3:uid="{00000000-0010-0000-0F00-000002000000}" name="gbd_super" dataDxfId="165"/>
    <tableColumn id="3" xr3:uid="{00000000-0010-0000-0F00-000003000000}" name="bl1_f" dataDxfId="164">
      <calculatedColumnFormula>IFERROR(VLOOKUP(vcost[[#This Row],[setting]],$A$6:$E$141,3,FALSE)+$J$6+VLOOKUP(vcost[[#This Row],[setting]],$O$6:$AA$141,2,FALSE),0)</calculatedColumnFormula>
    </tableColumn>
    <tableColumn id="4" xr3:uid="{00000000-0010-0000-0F00-000004000000}" name="bl1_c" dataDxfId="163">
      <calculatedColumnFormula>IFERROR(VLOOKUP(vcost[[#This Row],[setting]],$A$6:$E$141,3,FALSE)+$J$6+VLOOKUP(vcost[[#This Row],[setting]],$O$6:$AA$141,2,FALSE)+VLOOKUP(vcost[[#This Row],[gbd_super]],$AH$6:$AK$11,2,FALSE),0)</calculatedColumnFormula>
    </tableColumn>
    <tableColumn id="5" xr3:uid="{00000000-0010-0000-0F00-000005000000}" name="map_f" dataDxfId="162">
      <calculatedColumnFormula>IFERROR(VLOOKUP(vcost[[#This Row],[setting]],$A$6:$E$141,3,FALSE)+VLOOKUP(vcost[[#This Row],[setting]],$O$6:$AA$141,5,FALSE),0)</calculatedColumnFormula>
    </tableColumn>
    <tableColumn id="6" xr3:uid="{00000000-0010-0000-0F00-000006000000}" name="map_cq">
      <calculatedColumnFormula>IFERROR(VLOOKUP(vcost[[#This Row],[setting]],$A$6:$E$141,3,FALSE)+VLOOKUP(vcost[[#This Row],[setting]],$O$6:$AA$141,5,FALSE)+VLOOKUP(vcost[[#This Row],[gbd_super]],$AH$6:$AK$11,2,FALSE),0)</calculatedColumnFormula>
    </tableColumn>
    <tableColumn id="7" xr3:uid="{00000000-0010-0000-0F00-000007000000}" name="map_cl">
      <calculatedColumnFormula>IFERROR(VLOOKUP(vcost[[#This Row],[setting]],$A$6:$E$141,3,FALSE)+VLOOKUP(vcost[[#This Row],[setting]],$O$6:$AA$141,8,FALSE)+VLOOKUP(vcost[[#This Row],[gbd_super]],$AH$6:$AK$11,2,FALSE),0)</calculatedColumnFormula>
    </tableColumn>
    <tableColumn id="8" xr3:uid="{00000000-0010-0000-0F00-000008000000}" name="ctc_f" dataDxfId="161">
      <calculatedColumnFormula>IFERROR(VLOOKUP(vcost[[#This Row],[setting]],$A$6:$E$141,3,FALSE)+$J$8+VLOOKUP(vcost[[#This Row],[setting]],$O$6:$AA$141,11,FALSE),0)</calculatedColumnFormula>
    </tableColumn>
    <tableColumn id="9" xr3:uid="{00000000-0010-0000-0F00-000009000000}" name="ctc_c">
      <calculatedColumnFormula>IFERROR(VLOOKUP(vcost[[#This Row],[setting]],$A$6:$E$141,3,FALSE)+$J$8+VLOOKUP(vcost[[#This Row],[setting]],$O$6:$AA$141,11,FALSE)+VLOOKUP(vcost[[#This Row],[gbd_super]],$AH$6:$AK$11,2,FALSE),0)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vcost_lb" displayName="vcost_lb" ref="O158:W294" totalsRowShown="0" headerRowDxfId="160">
  <autoFilter ref="O158:W294" xr:uid="{00000000-0009-0000-0100-000010000000}"/>
  <tableColumns count="9">
    <tableColumn id="1" xr3:uid="{00000000-0010-0000-1000-000001000000}" name="setting"/>
    <tableColumn id="2" xr3:uid="{00000000-0010-0000-1000-000002000000}" name="gbd_super" dataDxfId="159"/>
    <tableColumn id="3" xr3:uid="{00000000-0010-0000-1000-000003000000}" name="bl1_f" dataDxfId="158">
      <calculatedColumnFormula>IFERROR(VLOOKUP(vcost_lb[[#This Row],[setting]],$A$6:$E$141,4,FALSE)+$K$6+VLOOKUP(vcost_lb[[#This Row],[setting]],$O$6:$AA$141,3,FALSE),0)</calculatedColumnFormula>
    </tableColumn>
    <tableColumn id="4" xr3:uid="{00000000-0010-0000-1000-000004000000}" name="bl1_c" dataDxfId="157">
      <calculatedColumnFormula>IFERROR(VLOOKUP(vcost_lb[[#This Row],[setting]],$A$6:$E$141,4,FALSE)+$K$6+VLOOKUP(vcost_lb[[#This Row],[setting]],$O$6:$AA$141,3,FALSE)+VLOOKUP(vcost_lb[[#This Row],[gbd_super]],$AH$6:$AK$11,3,FALSE),0)</calculatedColumnFormula>
    </tableColumn>
    <tableColumn id="5" xr3:uid="{00000000-0010-0000-1000-000005000000}" name="map_f" dataDxfId="156">
      <calculatedColumnFormula>IFERROR(VLOOKUP(vcost_lb[[#This Row],[setting]],$A$6:$E$141,4,FALSE)+VLOOKUP(vcost_lb[[#This Row],[setting]],$O$6:$AA$141,6,FALSE),0)</calculatedColumnFormula>
    </tableColumn>
    <tableColumn id="6" xr3:uid="{00000000-0010-0000-1000-000006000000}" name="map_cq" dataDxfId="155">
      <calculatedColumnFormula>IFERROR(VLOOKUP(vcost_lb[[#This Row],[setting]],$A$6:$E$141,4,FALSE)+VLOOKUP(vcost_lb[[#This Row],[setting]],$O$6:$AA$141,6,FALSE)+VLOOKUP(vcost_lb[[#This Row],[gbd_super]],$AH$6:$AK$11,3,FALSE),0)</calculatedColumnFormula>
    </tableColumn>
    <tableColumn id="7" xr3:uid="{00000000-0010-0000-1000-000007000000}" name="map_cl" dataDxfId="154">
      <calculatedColumnFormula>IFERROR(VLOOKUP(vcost_lb[[#This Row],[setting]],$A$6:$E$141,4,FALSE)+VLOOKUP(vcost_lb[[#This Row],[setting]],$O$6:$AA$141,9,FALSE)+VLOOKUP(vcost_lb[[#This Row],[gbd_super]],$AH$6:$AK$11,3,FALSE),0)</calculatedColumnFormula>
    </tableColumn>
    <tableColumn id="8" xr3:uid="{00000000-0010-0000-1000-000008000000}" name="ctc_f" dataDxfId="153">
      <calculatedColumnFormula>IFERROR(VLOOKUP(vcost_lb[[#This Row],[setting]],$A$6:$E$141,4,FALSE)+$K$8+VLOOKUP(vcost_lb[[#This Row],[setting]],$O$6:$AA$141,12,FALSE),0)</calculatedColumnFormula>
    </tableColumn>
    <tableColumn id="9" xr3:uid="{00000000-0010-0000-1000-000009000000}" name="ctc_c" dataDxfId="152">
      <calculatedColumnFormula>IFERROR(VLOOKUP(vcost_lb[[#This Row],[setting]],$A$6:$E$141,4,FALSE)+$K$8+VLOOKUP(vcost_lb[[#This Row],[setting]],$O$6:$AA$141,12,FALSE)+VLOOKUP(vcost_lb[[#This Row],[gbd_super]],$AH$6:$AK$11,3,FALSE),0)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vcost_ub" displayName="vcost_ub" ref="AH158:AP294" totalsRowShown="0" headerRowDxfId="151">
  <autoFilter ref="AH158:AP294" xr:uid="{00000000-0009-0000-0100-000011000000}"/>
  <tableColumns count="9">
    <tableColumn id="1" xr3:uid="{00000000-0010-0000-1100-000001000000}" name="setting"/>
    <tableColumn id="2" xr3:uid="{00000000-0010-0000-1100-000002000000}" name="gbd_super" dataDxfId="150"/>
    <tableColumn id="3" xr3:uid="{00000000-0010-0000-1100-000003000000}" name="bl1_f" dataDxfId="149">
      <calculatedColumnFormula>IFERROR(VLOOKUP(vcost_ub[[#This Row],[setting]],$A$6:$E$141,5,FALSE)+$L$6+VLOOKUP(vcost_ub[[#This Row],[setting]],$O$6:$AA$141,4,FALSE),0)</calculatedColumnFormula>
    </tableColumn>
    <tableColumn id="4" xr3:uid="{00000000-0010-0000-1100-000004000000}" name="bl1_c" dataDxfId="148">
      <calculatedColumnFormula>IFERROR(VLOOKUP(vcost_ub[[#This Row],[setting]],$A$6:$E$141,5,FALSE)+$L$6+VLOOKUP(vcost_ub[[#This Row],[setting]],$O$6:$AA$141,4,FALSE)+VLOOKUP(vcost_ub[[#This Row],[gbd_super]],$AH$6:$AK$11,4,FALSE),0)</calculatedColumnFormula>
    </tableColumn>
    <tableColumn id="5" xr3:uid="{00000000-0010-0000-1100-000005000000}" name="map_f" dataDxfId="147">
      <calculatedColumnFormula>IFERROR(VLOOKUP(vcost_ub[[#This Row],[setting]],$A$6:$E$141,5,FALSE)+VLOOKUP(vcost_ub[[#This Row],[setting]],$O$6:$AA$141,7,FALSE),0)</calculatedColumnFormula>
    </tableColumn>
    <tableColumn id="6" xr3:uid="{00000000-0010-0000-1100-000006000000}" name="map_cq" dataDxfId="146">
      <calculatedColumnFormula>IFERROR(VLOOKUP(vcost_ub[[#This Row],[setting]],$A$6:$E$141,5,FALSE)+VLOOKUP(vcost_ub[[#This Row],[setting]],$O$6:$AA$141,7,FALSE)+VLOOKUP(vcost_ub[[#This Row],[gbd_super]],$AH$6:$AK$11,4,FALSE),0)</calculatedColumnFormula>
    </tableColumn>
    <tableColumn id="7" xr3:uid="{00000000-0010-0000-1100-000007000000}" name="map_cl" dataDxfId="145">
      <calculatedColumnFormula>IFERROR(VLOOKUP(vcost_ub[[#This Row],[setting]],$A$6:$E$141,5,FALSE)+VLOOKUP(vcost_ub[[#This Row],[setting]],$O$6:$AA$141,10,FALSE)+VLOOKUP(vcost_ub[[#This Row],[gbd_super]],$AH$6:$AK$11,4,FALSE),0)</calculatedColumnFormula>
    </tableColumn>
    <tableColumn id="8" xr3:uid="{00000000-0010-0000-1100-000008000000}" name="ctc_f" dataDxfId="144">
      <calculatedColumnFormula>IFERROR(VLOOKUP(vcost_ub[[#This Row],[setting]],$A$6:$E$141,5,FALSE)+$L$8+VLOOKUP(vcost_ub[[#This Row],[setting]],$O$6:$AA$141,13,FALSE),0)</calculatedColumnFormula>
    </tableColumn>
    <tableColumn id="9" xr3:uid="{00000000-0010-0000-1100-000009000000}" name="ctc_c" dataDxfId="143">
      <calculatedColumnFormula>IFERROR(VLOOKUP(vcost_ub[[#This Row],[setting]],$A$6:$E$141,5,FALSE)+$L$8+VLOOKUP(vcost_ub[[#This Row],[setting]],$O$6:$AA$141,13,FALSE)+VLOOKUP(vcost_ub[[#This Row],[gbd_super]],$AH$6:$AK$11,4,FALSE),0)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2000000}" name="Table26" displayName="Table26" ref="O5:AF141" totalsRowShown="0">
  <autoFilter ref="O5:AF141" xr:uid="{00000000-0009-0000-0100-00001A000000}"/>
  <tableColumns count="18">
    <tableColumn id="1" xr3:uid="{00000000-0010-0000-1200-000001000000}" name="setting"/>
    <tableColumn id="2" xr3:uid="{00000000-0010-0000-1200-000002000000}" name="cc_pe"/>
    <tableColumn id="3" xr3:uid="{00000000-0010-0000-1200-000003000000}" name="cc_lb"/>
    <tableColumn id="4" xr3:uid="{00000000-0010-0000-1200-000004000000}" name="cc_ub"/>
    <tableColumn id="5" xr3:uid="{00000000-0010-0000-1200-000005000000}" name="qmap_pe"/>
    <tableColumn id="6" xr3:uid="{00000000-0010-0000-1200-000006000000}" name="qmap_lb"/>
    <tableColumn id="7" xr3:uid="{00000000-0010-0000-1200-000007000000}" name="qmap_ub"/>
    <tableColumn id="8" xr3:uid="{00000000-0010-0000-1200-000008000000}" name="lmap_pe"/>
    <tableColumn id="9" xr3:uid="{00000000-0010-0000-1200-000009000000}" name="lmap_lb"/>
    <tableColumn id="10" xr3:uid="{00000000-0010-0000-1200-00000A000000}" name="lmap_ub"/>
    <tableColumn id="11" xr3:uid="{00000000-0010-0000-1200-00000B000000}" name="ctc_pe"/>
    <tableColumn id="12" xr3:uid="{00000000-0010-0000-1200-00000C000000}" name="ctc_lb"/>
    <tableColumn id="13" xr3:uid="{00000000-0010-0000-1200-00000D000000}" name="ctc_ub"/>
    <tableColumn id="14" xr3:uid="{00000000-0010-0000-1200-00000E000000}" name="births"/>
    <tableColumn id="15" xr3:uid="{00000000-0010-0000-1200-00000F000000}" name="bd_cov"/>
    <tableColumn id="16" xr3:uid="{00000000-0010-0000-1200-000010000000}" name="qmap_ub2"/>
    <tableColumn id="17" xr3:uid="{00000000-0010-0000-1200-000011000000}" name="lmap_ub2"/>
    <tableColumn id="18" xr3:uid="{00000000-0010-0000-1200-000012000000}" name="who_re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1000000}" name="lmics_ub" displayName="lmics_ub" ref="A277:AY413" totalsRowShown="0" headerRowDxfId="273" tableBorderDxfId="272">
  <autoFilter ref="A277:AY413" xr:uid="{00000000-0009-0000-0100-000017000000}"/>
  <tableColumns count="51">
    <tableColumn id="1" xr3:uid="{00000000-0010-0000-0100-000001000000}" name="setting"/>
    <tableColumn id="2" xr3:uid="{00000000-0010-0000-0100-000002000000}" name="iso3" dataDxfId="271" dataCellStyle="Normal_cty99"/>
    <tableColumn id="3" xr3:uid="{00000000-0010-0000-0100-000003000000}" name="num" dataDxfId="270"/>
    <tableColumn id="4" xr3:uid="{00000000-0010-0000-0100-000004000000}" name="who_region" dataDxfId="269"/>
    <tableColumn id="5" xr3:uid="{00000000-0010-0000-0100-000005000000}" name="gbd_region" dataDxfId="268"/>
    <tableColumn id="6" xr3:uid="{00000000-0010-0000-0100-000006000000}" name="gbd_super" dataDxfId="267"/>
    <tableColumn id="7" xr3:uid="{00000000-0010-0000-0100-000007000000}" name="wb_class" dataDxfId="266"/>
    <tableColumn id="8" xr3:uid="{00000000-0010-0000-0100-000008000000}" name="pop"/>
    <tableColumn id="9" xr3:uid="{00000000-0010-0000-0100-000009000000}" name="births"/>
    <tableColumn id="10" xr3:uid="{00000000-0010-0000-0100-00000A000000}" name="fac_birth">
      <calculatedColumnFormula>IF(INDEX(lmic_raw_ub[],MATCH($A278,lmic_raw_ub[[setting]:[setting]],0), MATCH(J$277, lmic_raw_ub[#Headers],0))=0, INDEX(regions_ub[], MATCH($D278, regions_ub[[setting]:[setting]],0), MATCH(J$139, regions_ub[#Headers],0)),INDEX(lmic_raw_ub[],MATCH($A278,lmic_raw_ub[[setting]:[setting]],0), MATCH(J$277, lmic_raw_ub[#Headers],0)))</calculatedColumnFormula>
    </tableColumn>
    <tableColumn id="11" xr3:uid="{00000000-0010-0000-0100-00000B000000}" name="bd_cov">
      <calculatedColumnFormula>IF(INDEX(lmic_raw_ub[],MATCH($A278,lmic_raw_ub[[setting]:[setting]],0), MATCH(K$277, lmic_raw_ub[#Headers],0))=0, INDEX(regions_ub[], MATCH($D278, regions_ub[[setting]:[setting]],0), MATCH(K$139, regions_ub[#Headers],0)),INDEX(lmic_raw_ub[],MATCH($A278,lmic_raw_ub[[setting]:[setting]],0), MATCH(K$277, lmic_raw_ub[#Headers],0)))</calculatedColumnFormula>
    </tableColumn>
    <tableColumn id="12" xr3:uid="{00000000-0010-0000-0100-00000C000000}" name="hbv3_cov">
      <calculatedColumnFormula>IF(INDEX(lmic_raw_ub[],MATCH($A278,lmic_raw_ub[[setting]:[setting]],0), MATCH(L$277, lmic_raw_ub[#Headers],0))=0, INDEX(regions_ub[], MATCH($D278, regions_ub[[setting]:[setting]],0), MATCH(L$139, regions_ub[#Headers],0)),INDEX(lmic_raw_ub[],MATCH($A278,lmic_raw_ub[[setting]:[setting]],0), MATCH(L$277, lmic_raw_ub[#Headers],0)))</calculatedColumnFormula>
    </tableColumn>
    <tableColumn id="13" xr3:uid="{00000000-0010-0000-0100-00000D000000}" name="hbv_prev">
      <calculatedColumnFormula>IF(INDEX(lmic_raw_ub[],MATCH($A278,lmic_raw_ub[[setting]:[setting]],0), MATCH(M$277, lmic_raw_ub[#Headers],0))=0, INDEX(regions_ub[], MATCH($D278, regions_ub[[setting]:[setting]],0), MATCH(M$139, regions_ub[#Headers],0)),INDEX(lmic_raw_ub[],MATCH($A278,lmic_raw_ub[[setting]:[setting]],0), MATCH(M$277, lmic_raw_ub[#Headers],0)))</calculatedColumnFormula>
    </tableColumn>
    <tableColumn id="14" xr3:uid="{00000000-0010-0000-0100-00000E000000}" name="hbe_prev">
      <calculatedColumnFormula>IF(INDEX(lmic_raw_ub[],MATCH($A278,lmic_raw_ub[[setting]:[setting]],0), MATCH(N$277, lmic_raw_ub[#Headers],0))=0, INDEX(regions_ub[], MATCH($D278, regions_ub[[setting]:[setting]],0), MATCH(N$139, regions_ub[#Headers],0)),INDEX(lmic_raw_ub[],MATCH($A278,lmic_raw_ub[[setting]:[setting]],0), MATCH(N$277, lmic_raw_ub[#Headers],0)))</calculatedColumnFormula>
    </tableColumn>
    <tableColumn id="15" xr3:uid="{00000000-0010-0000-0100-00000F000000}" name="epos">
      <calculatedColumnFormula>IF(INDEX(lmic_raw_ub[],MATCH($A278,lmic_raw_ub[[setting]:[setting]],0), MATCH(O$277, lmic_raw_ub[#Headers],0))=0, INDEX(regions_ub[], MATCH($D278, regions_ub[[setting]:[setting]],0), MATCH(O$139, regions_ub[#Headers],0)),INDEX(lmic_raw_ub[],MATCH($A278,lmic_raw_ub[[setting]:[setting]],0), MATCH(O$277, lmic_raw_ub[#Headers],0)))</calculatedColumnFormula>
    </tableColumn>
    <tableColumn id="16" xr3:uid="{00000000-0010-0000-0100-000010000000}" name="eneg">
      <calculatedColumnFormula>IF(INDEX(lmic_raw_ub[],MATCH($A278,lmic_raw_ub[[setting]:[setting]],0), MATCH(P$277, lmic_raw_ub[#Headers],0))=0, INDEX(regions_ub[], MATCH($D278, regions_ub[[setting]:[setting]],0), MATCH(P$139, regions_ub[#Headers],0)),INDEX(lmic_raw_ub[],MATCH($A278,lmic_raw_ub[[setting]:[setting]],0), MATCH(P$277, lmic_raw_ub[#Headers],0)))</calculatedColumnFormula>
    </tableColumn>
    <tableColumn id="17" xr3:uid="{00000000-0010-0000-0100-000011000000}" name="c_diag">
      <calculatedColumnFormula>IF(INDEX(lmic_raw_ub[],MATCH($A278,lmic_raw_ub[[setting]:[setting]],0), MATCH(Q$277, lmic_raw_ub[#Headers],0))=0, INDEX(regions_ub[], MATCH($D278, regions_ub[[setting]:[setting]],0), MATCH(Q$139, regions_ub[#Headers],0)),INDEX(lmic_raw_ub[],MATCH($A278,lmic_raw_ub[[setting]:[setting]],0), MATCH(Q$277, lmic_raw_ub[#Headers],0)))</calculatedColumnFormula>
    </tableColumn>
    <tableColumn id="18" xr3:uid="{00000000-0010-0000-0100-000012000000}" name="c_C">
      <calculatedColumnFormula>IF(INDEX(lmic_raw_ub[],MATCH($A278,lmic_raw_ub[[setting]:[setting]],0), MATCH(R$277, lmic_raw_ub[#Headers],0))=0, INDEX(regions_ub[], MATCH($D278, regions_ub[[setting]:[setting]],0), MATCH(R$139, regions_ub[#Headers],0)),INDEX(lmic_raw_ub[],MATCH($A278,lmic_raw_ub[[setting]:[setting]],0), MATCH(R$277, lmic_raw_ub[#Headers],0)))</calculatedColumnFormula>
    </tableColumn>
    <tableColumn id="19" xr3:uid="{00000000-0010-0000-0100-000013000000}" name="c_CC">
      <calculatedColumnFormula>IF(INDEX(lmic_raw_ub[],MATCH($A278,lmic_raw_ub[[setting]:[setting]],0), MATCH(S$277, lmic_raw_ub[#Headers],0))=0, INDEX(regions_ub[], MATCH($D278, regions_ub[[setting]:[setting]],0), MATCH(S$139, regions_ub[#Headers],0)),INDEX(lmic_raw_ub[],MATCH($A278,lmic_raw_ub[[setting]:[setting]],0), MATCH(S$277, lmic_raw_ub[#Headers],0)))</calculatedColumnFormula>
    </tableColumn>
    <tableColumn id="20" xr3:uid="{00000000-0010-0000-0100-000014000000}" name="c_DC">
      <calculatedColumnFormula>IF(INDEX(lmic_raw_ub[],MATCH($A278,lmic_raw_ub[[setting]:[setting]],0), MATCH(T$277, lmic_raw_ub[#Headers],0))=0, INDEX(regions_ub[], MATCH($D278, regions_ub[[setting]:[setting]],0), MATCH(T$139, regions_ub[#Headers],0)),INDEX(lmic_raw_ub[],MATCH($A278,lmic_raw_ub[[setting]:[setting]],0), MATCH(T$277, lmic_raw_ub[#Headers],0)))</calculatedColumnFormula>
    </tableColumn>
    <tableColumn id="21" xr3:uid="{00000000-0010-0000-0100-000015000000}" name="c_HCC">
      <calculatedColumnFormula>IF(INDEX(lmic_raw_ub[],MATCH($A278,lmic_raw_ub[[setting]:[setting]],0), MATCH(U$277, lmic_raw_ub[#Headers],0))=0, INDEX(regions_ub[], MATCH($D278, regions_ub[[setting]:[setting]],0), MATCH(U$139, regions_ub[#Headers],0)),INDEX(lmic_raw_ub[],MATCH($A278,lmic_raw_ub[[setting]:[setting]],0), MATCH(U$277, lmic_raw_ub[#Headers],0)))</calculatedColumnFormula>
    </tableColumn>
    <tableColumn id="22" xr3:uid="{00000000-0010-0000-0100-000016000000}" name="bl1_f">
      <calculatedColumnFormula>IF(INDEX(lmic_raw_ub[],MATCH($A278,lmic_raw_ub[[setting]:[setting]],0), MATCH(V$277, lmic_raw_ub[#Headers],0))=0, INDEX(regions_ub[], MATCH($D278, regions_ub[[setting]:[setting]],0), MATCH(V$139, regions_ub[#Headers],0)),INDEX(lmic_raw_ub[],MATCH($A278,lmic_raw_ub[[setting]:[setting]],0), MATCH(V$277, lmic_raw_ub[#Headers],0)))</calculatedColumnFormula>
    </tableColumn>
    <tableColumn id="23" xr3:uid="{00000000-0010-0000-0100-000017000000}" name="bl1_c">
      <calculatedColumnFormula>IF(INDEX(lmic_raw_ub[],MATCH($A278,lmic_raw_ub[[setting]:[setting]],0), MATCH(W$277, lmic_raw_ub[#Headers],0))=0, INDEX(regions_ub[], MATCH($D278, regions_ub[[setting]:[setting]],0), MATCH(W$139, regions_ub[#Headers],0)),INDEX(lmic_raw_ub[],MATCH($A278,lmic_raw_ub[[setting]:[setting]],0), MATCH(W$277, lmic_raw_ub[#Headers],0)))</calculatedColumnFormula>
    </tableColumn>
    <tableColumn id="24" xr3:uid="{00000000-0010-0000-0100-000018000000}" name="map_f">
      <calculatedColumnFormula>IF(INDEX(lmic_raw_ub[],MATCH($A278,lmic_raw_ub[[setting]:[setting]],0), MATCH(X$277, lmic_raw_ub[#Headers],0))=0, INDEX(regions_ub[], MATCH($D278, regions_ub[[setting]:[setting]],0), MATCH(X$139, regions_ub[#Headers],0)),INDEX(lmic_raw_ub[],MATCH($A278,lmic_raw_ub[[setting]:[setting]],0), MATCH(X$277, lmic_raw_ub[#Headers],0)))</calculatedColumnFormula>
    </tableColumn>
    <tableColumn id="25" xr3:uid="{00000000-0010-0000-0100-000019000000}" name="map_cq">
      <calculatedColumnFormula>IF(INDEX(lmic_raw_ub[],MATCH($A278,lmic_raw_ub[[setting]:[setting]],0), MATCH(Y$277, lmic_raw_ub[#Headers],0))=0, INDEX(regions_ub[], MATCH($D278, regions_ub[[setting]:[setting]],0), MATCH(Y$139, regions_ub[#Headers],0)),INDEX(lmic_raw_ub[],MATCH($A278,lmic_raw_ub[[setting]:[setting]],0), MATCH(Y$277, lmic_raw_ub[#Headers],0)))</calculatedColumnFormula>
    </tableColumn>
    <tableColumn id="26" xr3:uid="{00000000-0010-0000-0100-00001A000000}" name="map_cl">
      <calculatedColumnFormula>IF(INDEX(lmic_raw_ub[],MATCH($A278,lmic_raw_ub[[setting]:[setting]],0), MATCH(Z$277, lmic_raw_ub[#Headers],0))=0, INDEX(regions_ub[], MATCH($D278, regions_ub[[setting]:[setting]],0), MATCH(Z$139, regions_ub[#Headers],0)),INDEX(lmic_raw_ub[],MATCH($A278,lmic_raw_ub[[setting]:[setting]],0), MATCH(Z$277, lmic_raw_ub[#Headers],0)))</calculatedColumnFormula>
    </tableColumn>
    <tableColumn id="27" xr3:uid="{00000000-0010-0000-0100-00001B000000}" name="ctc_f">
      <calculatedColumnFormula>IF(INDEX(lmic_raw_ub[],MATCH($A278,lmic_raw_ub[[setting]:[setting]],0), MATCH(AA$277, lmic_raw_ub[#Headers],0))=0, INDEX(regions_ub[], MATCH($D278, regions_ub[[setting]:[setting]],0), MATCH(AA$139, regions_ub[#Headers],0)),INDEX(lmic_raw_ub[],MATCH($A278,lmic_raw_ub[[setting]:[setting]],0), MATCH(AA$277, lmic_raw_ub[#Headers],0)))</calculatedColumnFormula>
    </tableColumn>
    <tableColumn id="28" xr3:uid="{00000000-0010-0000-0100-00001C000000}" name="ctc_c">
      <calculatedColumnFormula>IF(INDEX(lmic_raw_ub[],MATCH($A278,lmic_raw_ub[[setting]:[setting]],0), MATCH(AB$277, lmic_raw_ub[#Headers],0))=0, INDEX(regions_ub[], MATCH($D278, regions_ub[[setting]:[setting]],0), MATCH(AB$139, regions_ub[#Headers],0)),INDEX(lmic_raw_ub[],MATCH($A278,lmic_raw_ub[[setting]:[setting]],0), MATCH(AB$277, lmic_raw_ub[#Headers],0)))</calculatedColumnFormula>
    </tableColumn>
    <tableColumn id="29" xr3:uid="{00000000-0010-0000-0100-00001D000000}" name="m_01">
      <calculatedColumnFormula>IF(INDEX(lmic_raw_ub[],MATCH($A278,lmic_raw_ub[[setting]:[setting]],0), MATCH(AC$277, lmic_raw_ub[#Headers],0))=0, INDEX(regions_ub[], MATCH($D278, regions_ub[[setting]:[setting]],0), MATCH(AC$139, regions_ub[#Headers],0)),INDEX(lmic_raw_ub[],MATCH($A278,lmic_raw_ub[[setting]:[setting]],0), MATCH(AC$277, lmic_raw_ub[#Headers],0)))</calculatedColumnFormula>
    </tableColumn>
    <tableColumn id="30" xr3:uid="{00000000-0010-0000-0100-00001E000000}" name="m_14">
      <calculatedColumnFormula>IF(INDEX(lmic_raw_ub[],MATCH($A278,lmic_raw_ub[[setting]:[setting]],0), MATCH(AD$277, lmic_raw_ub[#Headers],0))=0, INDEX(regions_ub[], MATCH($D278, regions_ub[[setting]:[setting]],0), MATCH(AD$139, regions_ub[#Headers],0)),INDEX(lmic_raw_ub[],MATCH($A278,lmic_raw_ub[[setting]:[setting]],0), MATCH(AD$277, lmic_raw_ub[#Headers],0)))</calculatedColumnFormula>
    </tableColumn>
    <tableColumn id="31" xr3:uid="{00000000-0010-0000-0100-00001F000000}" name="m_59">
      <calculatedColumnFormula>IF(INDEX(lmic_raw_ub[],MATCH($A278,lmic_raw_ub[[setting]:[setting]],0), MATCH(AE$277, lmic_raw_ub[#Headers],0))=0, INDEX(regions_ub[], MATCH($D278, regions_ub[[setting]:[setting]],0), MATCH(AE$139, regions_ub[#Headers],0)),INDEX(lmic_raw_ub[],MATCH($A278,lmic_raw_ub[[setting]:[setting]],0), MATCH(AE$277, lmic_raw_ub[#Headers],0)))</calculatedColumnFormula>
    </tableColumn>
    <tableColumn id="32" xr3:uid="{00000000-0010-0000-0100-000020000000}" name="m_1014">
      <calculatedColumnFormula>IF(INDEX(lmic_raw_ub[],MATCH($A278,lmic_raw_ub[[setting]:[setting]],0), MATCH(AF$277, lmic_raw_ub[#Headers],0))=0, INDEX(regions_ub[], MATCH($D278, regions_ub[[setting]:[setting]],0), MATCH(AF$139, regions_ub[#Headers],0)),INDEX(lmic_raw_ub[],MATCH($A278,lmic_raw_ub[[setting]:[setting]],0), MATCH(AF$277, lmic_raw_ub[#Headers],0)))</calculatedColumnFormula>
    </tableColumn>
    <tableColumn id="33" xr3:uid="{00000000-0010-0000-0100-000021000000}" name="m_1519">
      <calculatedColumnFormula>IF(INDEX(lmic_raw_ub[],MATCH($A278,lmic_raw_ub[[setting]:[setting]],0), MATCH(AG$277, lmic_raw_ub[#Headers],0))=0, INDEX(regions_ub[], MATCH($D278, regions_ub[[setting]:[setting]],0), MATCH(AG$139, regions_ub[#Headers],0)),INDEX(lmic_raw_ub[],MATCH($A278,lmic_raw_ub[[setting]:[setting]],0), MATCH(AG$277, lmic_raw_ub[#Headers],0)))</calculatedColumnFormula>
    </tableColumn>
    <tableColumn id="34" xr3:uid="{00000000-0010-0000-0100-000022000000}" name="m_2024">
      <calculatedColumnFormula>IF(INDEX(lmic_raw_ub[],MATCH($A278,lmic_raw_ub[[setting]:[setting]],0), MATCH(AH$277, lmic_raw_ub[#Headers],0))=0, INDEX(regions_ub[], MATCH($D278, regions_ub[[setting]:[setting]],0), MATCH(AH$139, regions_ub[#Headers],0)),INDEX(lmic_raw_ub[],MATCH($A278,lmic_raw_ub[[setting]:[setting]],0), MATCH(AH$277, lmic_raw_ub[#Headers],0)))</calculatedColumnFormula>
    </tableColumn>
    <tableColumn id="35" xr3:uid="{00000000-0010-0000-0100-000023000000}" name="m_2529">
      <calculatedColumnFormula>IF(INDEX(lmic_raw_ub[],MATCH($A278,lmic_raw_ub[[setting]:[setting]],0), MATCH(AI$277, lmic_raw_ub[#Headers],0))=0, INDEX(regions_ub[], MATCH($D278, regions_ub[[setting]:[setting]],0), MATCH(AI$139, regions_ub[#Headers],0)),INDEX(lmic_raw_ub[],MATCH($A278,lmic_raw_ub[[setting]:[setting]],0), MATCH(AI$277, lmic_raw_ub[#Headers],0)))</calculatedColumnFormula>
    </tableColumn>
    <tableColumn id="36" xr3:uid="{00000000-0010-0000-0100-000024000000}" name="m_3034">
      <calculatedColumnFormula>IF(INDEX(lmic_raw_ub[],MATCH($A278,lmic_raw_ub[[setting]:[setting]],0), MATCH(AJ$277, lmic_raw_ub[#Headers],0))=0, INDEX(regions_ub[], MATCH($D278, regions_ub[[setting]:[setting]],0), MATCH(AJ$139, regions_ub[#Headers],0)),INDEX(lmic_raw_ub[],MATCH($A278,lmic_raw_ub[[setting]:[setting]],0), MATCH(AJ$277, lmic_raw_ub[#Headers],0)))</calculatedColumnFormula>
    </tableColumn>
    <tableColumn id="37" xr3:uid="{00000000-0010-0000-0100-000025000000}" name="m_3539">
      <calculatedColumnFormula>IF(INDEX(lmic_raw_ub[],MATCH($A278,lmic_raw_ub[[setting]:[setting]],0), MATCH(AK$277, lmic_raw_ub[#Headers],0))=0, INDEX(regions_ub[], MATCH($D278, regions_ub[[setting]:[setting]],0), MATCH(AK$139, regions_ub[#Headers],0)),INDEX(lmic_raw_ub[],MATCH($A278,lmic_raw_ub[[setting]:[setting]],0), MATCH(AK$277, lmic_raw_ub[#Headers],0)))</calculatedColumnFormula>
    </tableColumn>
    <tableColumn id="38" xr3:uid="{00000000-0010-0000-0100-000026000000}" name="m_4044">
      <calculatedColumnFormula>IF(INDEX(lmic_raw_ub[],MATCH($A278,lmic_raw_ub[[setting]:[setting]],0), MATCH(AL$277, lmic_raw_ub[#Headers],0))=0, INDEX(regions_ub[], MATCH($D278, regions_ub[[setting]:[setting]],0), MATCH(AL$139, regions_ub[#Headers],0)),INDEX(lmic_raw_ub[],MATCH($A278,lmic_raw_ub[[setting]:[setting]],0), MATCH(AL$277, lmic_raw_ub[#Headers],0)))</calculatedColumnFormula>
    </tableColumn>
    <tableColumn id="39" xr3:uid="{00000000-0010-0000-0100-000027000000}" name="m_4549">
      <calculatedColumnFormula>IF(INDEX(lmic_raw_ub[],MATCH($A278,lmic_raw_ub[[setting]:[setting]],0), MATCH(AM$277, lmic_raw_ub[#Headers],0))=0, INDEX(regions_ub[], MATCH($D278, regions_ub[[setting]:[setting]],0), MATCH(AM$139, regions_ub[#Headers],0)),INDEX(lmic_raw_ub[],MATCH($A278,lmic_raw_ub[[setting]:[setting]],0), MATCH(AM$277, lmic_raw_ub[#Headers],0)))</calculatedColumnFormula>
    </tableColumn>
    <tableColumn id="40" xr3:uid="{00000000-0010-0000-0100-000028000000}" name="m_5054">
      <calculatedColumnFormula>IF(INDEX(lmic_raw_ub[],MATCH($A278,lmic_raw_ub[[setting]:[setting]],0), MATCH(AN$277, lmic_raw_ub[#Headers],0))=0, INDEX(regions_ub[], MATCH($D278, regions_ub[[setting]:[setting]],0), MATCH(AN$139, regions_ub[#Headers],0)),INDEX(lmic_raw_ub[],MATCH($A278,lmic_raw_ub[[setting]:[setting]],0), MATCH(AN$277, lmic_raw_ub[#Headers],0)))</calculatedColumnFormula>
    </tableColumn>
    <tableColumn id="41" xr3:uid="{00000000-0010-0000-0100-000029000000}" name="m_5559">
      <calculatedColumnFormula>IF(INDEX(lmic_raw_ub[],MATCH($A278,lmic_raw_ub[[setting]:[setting]],0), MATCH(AO$277, lmic_raw_ub[#Headers],0))=0, INDEX(regions_ub[], MATCH($D278, regions_ub[[setting]:[setting]],0), MATCH(AO$139, regions_ub[#Headers],0)),INDEX(lmic_raw_ub[],MATCH($A278,lmic_raw_ub[[setting]:[setting]],0), MATCH(AO$277, lmic_raw_ub[#Headers],0)))</calculatedColumnFormula>
    </tableColumn>
    <tableColumn id="42" xr3:uid="{00000000-0010-0000-0100-00002A000000}" name="m_6064">
      <calculatedColumnFormula>IF(INDEX(lmic_raw_ub[],MATCH($A278,lmic_raw_ub[[setting]:[setting]],0), MATCH(AP$277, lmic_raw_ub[#Headers],0))=0, INDEX(regions_ub[], MATCH($D278, regions_ub[[setting]:[setting]],0), MATCH(AP$139, regions_ub[#Headers],0)),INDEX(lmic_raw_ub[],MATCH($A278,lmic_raw_ub[[setting]:[setting]],0), MATCH(AP$277, lmic_raw_ub[#Headers],0)))</calculatedColumnFormula>
    </tableColumn>
    <tableColumn id="43" xr3:uid="{00000000-0010-0000-0100-00002B000000}" name="m_6569">
      <calculatedColumnFormula>IF(INDEX(lmic_raw_ub[],MATCH($A278,lmic_raw_ub[[setting]:[setting]],0), MATCH(AQ$277, lmic_raw_ub[#Headers],0))=0, INDEX(regions_ub[], MATCH($D278, regions_ub[[setting]:[setting]],0), MATCH(AQ$139, regions_ub[#Headers],0)),INDEX(lmic_raw_ub[],MATCH($A278,lmic_raw_ub[[setting]:[setting]],0), MATCH(AQ$277, lmic_raw_ub[#Headers],0)))</calculatedColumnFormula>
    </tableColumn>
    <tableColumn id="44" xr3:uid="{00000000-0010-0000-0100-00002C000000}" name="m_7074">
      <calculatedColumnFormula>IF(INDEX(lmic_raw_ub[],MATCH($A278,lmic_raw_ub[[setting]:[setting]],0), MATCH(AR$277, lmic_raw_ub[#Headers],0))=0, INDEX(regions_ub[], MATCH($D278, regions_ub[[setting]:[setting]],0), MATCH(AR$139, regions_ub[#Headers],0)),INDEX(lmic_raw_ub[],MATCH($A278,lmic_raw_ub[[setting]:[setting]],0), MATCH(AR$277, lmic_raw_ub[#Headers],0)))</calculatedColumnFormula>
    </tableColumn>
    <tableColumn id="45" xr3:uid="{00000000-0010-0000-0100-00002D000000}" name="m_7079">
      <calculatedColumnFormula>IF(INDEX(lmic_raw_ub[],MATCH($A278,lmic_raw_ub[[setting]:[setting]],0), MATCH(AS$277, lmic_raw_ub[#Headers],0))=0, INDEX(regions_ub[], MATCH($D278, regions_ub[[setting]:[setting]],0), MATCH(AS$139, regions_ub[#Headers],0)),INDEX(lmic_raw_ub[],MATCH($A278,lmic_raw_ub[[setting]:[setting]],0), MATCH(AS$277, lmic_raw_ub[#Headers],0)))</calculatedColumnFormula>
    </tableColumn>
    <tableColumn id="46" xr3:uid="{00000000-0010-0000-0100-00002E000000}" name="m_8084">
      <calculatedColumnFormula>IF(INDEX(lmic_raw_ub[],MATCH($A278,lmic_raw_ub[[setting]:[setting]],0), MATCH(AT$277, lmic_raw_ub[#Headers],0))=0, INDEX(regions_ub[], MATCH($D278, regions_ub[[setting]:[setting]],0), MATCH(AT$139, regions_ub[#Headers],0)),INDEX(lmic_raw_ub[],MATCH($A278,lmic_raw_ub[[setting]:[setting]],0), MATCH(AT$277, lmic_raw_ub[#Headers],0)))</calculatedColumnFormula>
    </tableColumn>
    <tableColumn id="47" xr3:uid="{00000000-0010-0000-0100-00002F000000}" name="m_8589">
      <calculatedColumnFormula>IF(INDEX(lmic_raw_ub[],MATCH($A278,lmic_raw_ub[[setting]:[setting]],0), MATCH(AU$277, lmic_raw_ub[#Headers],0))=0, INDEX(regions_ub[], MATCH($D278, regions_ub[[setting]:[setting]],0), MATCH(AU$139, regions_ub[#Headers],0)),INDEX(lmic_raw_ub[],MATCH($A278,lmic_raw_ub[[setting]:[setting]],0), MATCH(AU$277, lmic_raw_ub[#Headers],0)))</calculatedColumnFormula>
    </tableColumn>
    <tableColumn id="48" xr3:uid="{00000000-0010-0000-0100-000030000000}" name="m_9094">
      <calculatedColumnFormula>IF(INDEX(lmic_raw_ub[],MATCH($A278,lmic_raw_ub[[setting]:[setting]],0), MATCH(AV$277, lmic_raw_ub[#Headers],0))=0, INDEX(regions_ub[], MATCH($D278, regions_ub[[setting]:[setting]],0), MATCH(AV$139, regions_ub[#Headers],0)),INDEX(lmic_raw_ub[],MATCH($A278,lmic_raw_ub[[setting]:[setting]],0), MATCH(AV$277, lmic_raw_ub[#Headers],0)))</calculatedColumnFormula>
    </tableColumn>
    <tableColumn id="49" xr3:uid="{00000000-0010-0000-0100-000031000000}" name="m_95+">
      <calculatedColumnFormula>IF(INDEX(lmic_raw_ub[],MATCH($A278,lmic_raw_ub[[setting]:[setting]],0), MATCH(AW$277, lmic_raw_ub[#Headers],0))=0, INDEX(regions_ub[], MATCH($D278, regions_ub[[setting]:[setting]],0), MATCH(AW$139, regions_ub[#Headers],0)),INDEX(lmic_raw_ub[],MATCH($A278,lmic_raw_ub[[setting]:[setting]],0), MATCH(AW$277, lmic_raw_ub[#Headers],0)))</calculatedColumnFormula>
    </tableColumn>
    <tableColumn id="50" xr3:uid="{00000000-0010-0000-0100-000032000000}" name="av_life">
      <calculatedColumnFormula>IF(INDEX(lmic_raw_ub[],MATCH($A278,lmic_raw_ub[[setting]:[setting]],0), MATCH(AX$277, lmic_raw_ub[#Headers],0))=0, INDEX(regions_ub[], MATCH($D278, regions_ub[[setting]:[setting]],0), MATCH(AX$139, regions_ub[#Headers],0)),INDEX(lmic_raw_ub[],MATCH($A278,lmic_raw_ub[[setting]:[setting]],0), MATCH(AX$277, lmic_raw_ub[#Headers],0)))</calculatedColumnFormula>
    </tableColumn>
    <tableColumn id="51" xr3:uid="{00000000-0010-0000-0100-000033000000}" name="cov_impute" dataDxfId="265">
      <calculatedColumnFormula>IF(VLOOKUP(lmics_ub[[#This Row],[setting]],lmic_raw_ub[],11,FALSE)=0, "Yes", "No")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portnoy" displayName="portnoy" ref="A5:G141" totalsRowShown="0">
  <autoFilter ref="A5:G141" xr:uid="{00000000-0009-0000-0100-00000B000000}"/>
  <tableColumns count="7">
    <tableColumn id="1" xr3:uid="{00000000-0010-0000-1300-000001000000}" name="setting" dataDxfId="142" dataCellStyle="Normal_cty99"/>
    <tableColumn id="2" xr3:uid="{00000000-0010-0000-1300-000002000000}" name="who_reg"/>
    <tableColumn id="3" xr3:uid="{00000000-0010-0000-1300-000003000000}" name="est" dataDxfId="141"/>
    <tableColumn id="4" xr3:uid="{00000000-0010-0000-1300-000004000000}" name="lb" dataDxfId="140"/>
    <tableColumn id="5" xr3:uid="{00000000-0010-0000-1300-000005000000}" name="ub" dataDxfId="139"/>
    <tableColumn id="6" xr3:uid="{00000000-0010-0000-1300-000006000000}" name="births"/>
    <tableColumn id="7" xr3:uid="{00000000-0010-0000-1300-000007000000}" name="bd_cov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4000000}" name="tordrup" displayName="tordrup" ref="M3:T197" totalsRowShown="0" tableBorderDxfId="138">
  <autoFilter ref="M3:T197" xr:uid="{00000000-0009-0000-0100-000019000000}"/>
  <tableColumns count="8">
    <tableColumn id="1" xr3:uid="{00000000-0010-0000-1400-000001000000}" name="setting"/>
    <tableColumn id="2" xr3:uid="{00000000-0010-0000-1400-000002000000}" name="who_reg" dataDxfId="137">
      <calculatedColumnFormula>IFERROR(VLOOKUP(tordrup[[#This Row],[setting]],lmic_raw[],4,FALSE),0)</calculatedColumnFormula>
    </tableColumn>
    <tableColumn id="3" xr3:uid="{00000000-0010-0000-1400-000003000000}" name="bd_cov">
      <calculatedColumnFormula>IFERROR(VLOOKUP(tordrup[[#This Row],[setting]],lmic_raw[],11,FALSE),0)</calculatedColumnFormula>
    </tableColumn>
    <tableColumn id="4" xr3:uid="{00000000-0010-0000-1400-000004000000}" name="births">
      <calculatedColumnFormula>IFERROR(VLOOKUP(tordrup[[#This Row],[setting]],lmic_raw[],9,FALSE),0)</calculatedColumnFormula>
    </tableColumn>
    <tableColumn id="5" xr3:uid="{00000000-0010-0000-1400-000005000000}" name="c_C" dataDxfId="136"/>
    <tableColumn id="6" xr3:uid="{00000000-0010-0000-1400-000006000000}" name="c_CC" dataDxfId="135"/>
    <tableColumn id="7" xr3:uid="{00000000-0010-0000-1400-000007000000}" name="c_DC" dataDxfId="134"/>
    <tableColumn id="8" xr3:uid="{00000000-0010-0000-1400-000008000000}" name="c_HCC" dataDxfId="13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AJ137" totalsRowShown="0" headerRowDxfId="132" tableBorderDxfId="131">
  <autoFilter ref="A1:AJ137" xr:uid="{00000000-0009-0000-0100-000016000000}"/>
  <tableColumns count="36">
    <tableColumn id="1" xr3:uid="{00000000-0010-0000-1500-000001000000}" name="setting"/>
    <tableColumn id="2" xr3:uid="{00000000-0010-0000-1500-000002000000}" name="iso3"/>
    <tableColumn id="3" xr3:uid="{00000000-0010-0000-1500-000003000000}" name="num"/>
    <tableColumn id="4" xr3:uid="{00000000-0010-0000-1500-000004000000}" name="who_region" dataDxfId="130"/>
    <tableColumn id="5" xr3:uid="{00000000-0010-0000-1500-000005000000}" name="gbd_region"/>
    <tableColumn id="6" xr3:uid="{00000000-0010-0000-1500-000006000000}" name="gbd_super" dataDxfId="129"/>
    <tableColumn id="7" xr3:uid="{00000000-0010-0000-1500-000007000000}" name="wb_class"/>
    <tableColumn id="8" xr3:uid="{00000000-0010-0000-1500-000008000000}" name="bd_cov"/>
    <tableColumn id="9" xr3:uid="{00000000-0010-0000-1500-000009000000}" name="supp_chain" dataDxfId="128">
      <calculatedColumnFormula>IF(VLOOKUP($A2,portnoy[],3,FALSE)=0, VLOOKUP($D2,Table15[],9,FALSE),VLOOKUP($A2,portnoy[],3,FALSE))</calculatedColumnFormula>
    </tableColumn>
    <tableColumn id="10" xr3:uid="{00000000-0010-0000-1500-00000A000000}" name="cold_com_lb" dataDxfId="127">
      <calculatedColumnFormula>sens_costs_regions!J$2</calculatedColumnFormula>
    </tableColumn>
    <tableColumn id="11" xr3:uid="{00000000-0010-0000-1500-00000B000000}" name="cold_com_pe" dataDxfId="126">
      <calculatedColumnFormula>sens_costs_regions!K$2</calculatedColumnFormula>
    </tableColumn>
    <tableColumn id="12" xr3:uid="{00000000-0010-0000-1500-00000C000000}" name="cold_com_ub" dataDxfId="125">
      <calculatedColumnFormula>sens_costs_regions!L$2</calculatedColumnFormula>
    </tableColumn>
    <tableColumn id="13" xr3:uid="{00000000-0010-0000-1500-00000D000000}" name="ctc_com_lb" dataDxfId="124">
      <calculatedColumnFormula>sens_costs_regions!M$2</calculatedColumnFormula>
    </tableColumn>
    <tableColumn id="14" xr3:uid="{00000000-0010-0000-1500-00000E000000}" name="ctc_com_pe" dataDxfId="123">
      <calculatedColumnFormula>sens_costs_regions!N$2</calculatedColumnFormula>
    </tableColumn>
    <tableColumn id="15" xr3:uid="{00000000-0010-0000-1500-00000F000000}" name="ctc_com_ub" dataDxfId="122">
      <calculatedColumnFormula>sens_costs_regions!O$2</calculatedColumnFormula>
    </tableColumn>
    <tableColumn id="16" xr3:uid="{00000000-0010-0000-1500-000010000000}" name="qhw_map_lb" dataDxfId="121">
      <calculatedColumnFormula>IF(VLOOKUP($A2,Table26[],6,FALSE)=0,VLOOKUP($D2,Table15[],16,FALSE),(VLOOKUP($A2,Table26[],6,FALSE)))</calculatedColumnFormula>
    </tableColumn>
    <tableColumn id="17" xr3:uid="{00000000-0010-0000-1500-000011000000}" name="qhw_map_pe" dataDxfId="120">
      <calculatedColumnFormula>IF(VLOOKUP($A2,Table26[],5,FALSE)=0,VLOOKUP($D2,Table15[],17,FALSE),(VLOOKUP($A2,Table26[],5,FALSE)))</calculatedColumnFormula>
    </tableColumn>
    <tableColumn id="18" xr3:uid="{00000000-0010-0000-1500-000012000000}" name="qhw_map_ub" dataDxfId="119">
      <calculatedColumnFormula>IF(VLOOKUP($A2,Table26[],16,FALSE)=0,VLOOKUP($D2,Table15[],18,FALSE),(VLOOKUP($A2,Table26[],16,FALSE)))</calculatedColumnFormula>
    </tableColumn>
    <tableColumn id="19" xr3:uid="{00000000-0010-0000-1500-000013000000}" name="lhw_map_lb" dataDxfId="118">
      <calculatedColumnFormula>IF(VLOOKUP($A2,Table26[],9,FALSE)=0,VLOOKUP($D2,Table15[],19,FALSE),(VLOOKUP($A2,Table26[],9,FALSE)))</calculatedColumnFormula>
    </tableColumn>
    <tableColumn id="20" xr3:uid="{00000000-0010-0000-1500-000014000000}" name="lhw_map_pe" dataDxfId="117">
      <calculatedColumnFormula>IF(VLOOKUP($A2,Table26[],8,FALSE)=0,VLOOKUP($D2,Table15[],20,FALSE),(VLOOKUP($A2,Table26[],8,FALSE)))</calculatedColumnFormula>
    </tableColumn>
    <tableColumn id="21" xr3:uid="{00000000-0010-0000-1500-000015000000}" name="lhw_map_ub" dataDxfId="116">
      <calculatedColumnFormula>IF(VLOOKUP($A2,Table26[],10,FALSE)=0,VLOOKUP($D2,Table15[],21,FALSE),(VLOOKUP($A2,Table26[],10,FALSE)))</calculatedColumnFormula>
    </tableColumn>
    <tableColumn id="22" xr3:uid="{00000000-0010-0000-1500-000016000000}" name="outreach" dataDxfId="115">
      <calculatedColumnFormula>VLOOKUP($F2,vaccine_costs!$AH$6:$AK$11,2,FALSE)</calculatedColumnFormula>
    </tableColumn>
    <tableColumn id="23" xr3:uid="{00000000-0010-0000-1500-000017000000}" name="c_C_lb" dataDxfId="114">
      <calculatedColumnFormula>IF(VLOOKUP($A2,tordrup[],5,FALSE)=0,VLOOKUP($D2,Table15[],23,FALSE),VLOOKUP($A2,tordrup[],5,FALSE))</calculatedColumnFormula>
    </tableColumn>
    <tableColumn id="24" xr3:uid="{00000000-0010-0000-1500-000018000000}" name="c_CC_lb" dataDxfId="113">
      <calculatedColumnFormula>IF(VLOOKUP($A2,tordrup[],6,FALSE)=0,VLOOKUP($D2,Table15[],24,FALSE),VLOOKUP($A2,tordrup[],6,FALSE))</calculatedColumnFormula>
    </tableColumn>
    <tableColumn id="25" xr3:uid="{00000000-0010-0000-1500-000019000000}" name="c_DC_lb" dataDxfId="112">
      <calculatedColumnFormula>IF(VLOOKUP($A2,tordrup[],7,FALSE)=0,VLOOKUP($D2,Table15[],25,FALSE),VLOOKUP($A2,tordrup[],7,FALSE))</calculatedColumnFormula>
    </tableColumn>
    <tableColumn id="26" xr3:uid="{00000000-0010-0000-1500-00001A000000}" name="c_HCC_lb" dataDxfId="111">
      <calculatedColumnFormula>IF(VLOOKUP($A2,tordrup[],8,FALSE)=0,VLOOKUP($D2,Table15[],26,FALSE),VLOOKUP($A2,tordrup[],8,FALSE))</calculatedColumnFormula>
    </tableColumn>
    <tableColumn id="27" xr3:uid="{00000000-0010-0000-1500-00001B000000}" name="c_C_ub" dataDxfId="110"/>
    <tableColumn id="28" xr3:uid="{00000000-0010-0000-1500-00001C000000}" name="c_CC_ub" dataDxfId="109"/>
    <tableColumn id="29" xr3:uid="{00000000-0010-0000-1500-00001D000000}" name="c_DC_ub" dataDxfId="108"/>
    <tableColumn id="30" xr3:uid="{00000000-0010-0000-1500-00001E000000}" name="c_HCC_ub" dataDxfId="107"/>
    <tableColumn id="31" xr3:uid="{00000000-0010-0000-1500-00001F000000}" name="diag_lb"/>
    <tableColumn id="32" xr3:uid="{00000000-0010-0000-1500-000020000000}" name="wtp_thresh" dataDxfId="106"/>
    <tableColumn id="33" xr3:uid="{00000000-0010-0000-1500-000021000000}" name="0.5_gdp" dataDxfId="105"/>
    <tableColumn id="34" xr3:uid="{00000000-0010-0000-1500-000022000000}" name="1_gdp" dataDxfId="104"/>
    <tableColumn id="35" xr3:uid="{00000000-0010-0000-1500-000023000000}" name="3_gdp" dataDxfId="103"/>
    <tableColumn id="36" xr3:uid="{00000000-0010-0000-1500-000024000000}" name="cov_impute">
      <calculatedColumnFormula>IF(VLOOKUP($A2,lmic_raw[],11,FALSE)=0, "Yes", "No")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6000000}" name="Table15" displayName="Table15" ref="A1:AJ8" totalsRowShown="0" headerRowDxfId="102">
  <autoFilter ref="A1:AJ8" xr:uid="{00000000-0009-0000-0100-00000F000000}"/>
  <tableColumns count="36">
    <tableColumn id="1" xr3:uid="{00000000-0010-0000-1600-000001000000}" name="setting"/>
    <tableColumn id="2" xr3:uid="{00000000-0010-0000-1600-000002000000}" name="iso3"/>
    <tableColumn id="3" xr3:uid="{00000000-0010-0000-1600-000003000000}" name="num"/>
    <tableColumn id="4" xr3:uid="{00000000-0010-0000-1600-000004000000}" name="who_region"/>
    <tableColumn id="5" xr3:uid="{00000000-0010-0000-1600-000005000000}" name="gbd_region"/>
    <tableColumn id="6" xr3:uid="{00000000-0010-0000-1600-000006000000}" name="gbd_super"/>
    <tableColumn id="7" xr3:uid="{00000000-0010-0000-1600-000007000000}" name="wb_class"/>
    <tableColumn id="8" xr3:uid="{00000000-0010-0000-1600-000008000000}" name="bd_cov"/>
    <tableColumn id="9" xr3:uid="{00000000-0010-0000-1600-000009000000}" name="supp_chain" dataDxfId="101"/>
    <tableColumn id="10" xr3:uid="{00000000-0010-0000-1600-00000A000000}" name="cold_com_lb" dataDxfId="100"/>
    <tableColumn id="11" xr3:uid="{00000000-0010-0000-1600-00000B000000}" name="cold_com_pe" dataDxfId="99"/>
    <tableColumn id="12" xr3:uid="{00000000-0010-0000-1600-00000C000000}" name="cold_com_ub" dataDxfId="98"/>
    <tableColumn id="13" xr3:uid="{00000000-0010-0000-1600-00000D000000}" name="ctc_com_lb" dataDxfId="97"/>
    <tableColumn id="14" xr3:uid="{00000000-0010-0000-1600-00000E000000}" name="ctc_com_pe" dataDxfId="96"/>
    <tableColumn id="15" xr3:uid="{00000000-0010-0000-1600-00000F000000}" name="ctc_com_ub" dataDxfId="95"/>
    <tableColumn id="16" xr3:uid="{00000000-0010-0000-1600-000010000000}" name="qhw_map_lb"/>
    <tableColumn id="17" xr3:uid="{00000000-0010-0000-1600-000011000000}" name="qhw_map_pe"/>
    <tableColumn id="18" xr3:uid="{00000000-0010-0000-1600-000012000000}" name="qhw_map_ub"/>
    <tableColumn id="19" xr3:uid="{00000000-0010-0000-1600-000013000000}" name="lhw_map_lb"/>
    <tableColumn id="20" xr3:uid="{00000000-0010-0000-1600-000014000000}" name="lhw_map_pe"/>
    <tableColumn id="21" xr3:uid="{00000000-0010-0000-1600-000015000000}" name="lhw_map_ub"/>
    <tableColumn id="22" xr3:uid="{00000000-0010-0000-1600-000016000000}" name="outreach" dataDxfId="94">
      <calculatedColumnFormula>SUMPRODUCT((regions[[setting]:[setting]]=$A2)*regions[[bl1_c]:[bl1_c]])-SUMPRODUCT((regions[[setting]:[setting]]=$A2)*regions[[bl1_f]:[bl1_f]])</calculatedColumnFormula>
    </tableColumn>
    <tableColumn id="23" xr3:uid="{00000000-0010-0000-1600-000017000000}" name="c_C_lb"/>
    <tableColumn id="24" xr3:uid="{00000000-0010-0000-1600-000018000000}" name="c_CC_lb"/>
    <tableColumn id="25" xr3:uid="{00000000-0010-0000-1600-000019000000}" name="c_DC_lb"/>
    <tableColumn id="26" xr3:uid="{00000000-0010-0000-1600-00001A000000}" name="c_HCC_lb"/>
    <tableColumn id="27" xr3:uid="{00000000-0010-0000-1600-00001B000000}" name="c_C_ub" dataDxfId="93"/>
    <tableColumn id="28" xr3:uid="{00000000-0010-0000-1600-00001C000000}" name="c_CC_ub" dataDxfId="92"/>
    <tableColumn id="29" xr3:uid="{00000000-0010-0000-1600-00001D000000}" name="c_DC_ub" dataDxfId="91"/>
    <tableColumn id="30" xr3:uid="{00000000-0010-0000-1600-00001E000000}" name="c_HCC_ub" dataDxfId="90"/>
    <tableColumn id="31" xr3:uid="{00000000-0010-0000-1600-00001F000000}" name="diag_lb" dataDxfId="89"/>
    <tableColumn id="32" xr3:uid="{00000000-0010-0000-1600-000020000000}" name="wtp_thresh" dataDxfId="88"/>
    <tableColumn id="33" xr3:uid="{00000000-0010-0000-1600-000021000000}" name="0.5_gdp" dataDxfId="87"/>
    <tableColumn id="34" xr3:uid="{00000000-0010-0000-1600-000022000000}" name="1_gdp" dataDxfId="86"/>
    <tableColumn id="35" xr3:uid="{00000000-0010-0000-1600-000023000000}" name="3_gdp" dataDxfId="85"/>
    <tableColumn id="36" xr3:uid="{00000000-0010-0000-1600-000024000000}" name="cov_impu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7000000}" name="lmic_raw" displayName="lmic_raw" ref="A1:AX137" totalsRowShown="0" headerRowDxfId="84" tableBorderDxfId="83">
  <autoFilter ref="A1:AX137" xr:uid="{00000000-0009-0000-0100-00000A000000}"/>
  <tableColumns count="50">
    <tableColumn id="1" xr3:uid="{00000000-0010-0000-1700-000001000000}" name="setting"/>
    <tableColumn id="2" xr3:uid="{00000000-0010-0000-1700-000002000000}" name="iso3" dataDxfId="82" dataCellStyle="Normal_cty99"/>
    <tableColumn id="3" xr3:uid="{00000000-0010-0000-1700-000003000000}" name="num" dataDxfId="81"/>
    <tableColumn id="4" xr3:uid="{00000000-0010-0000-1700-000004000000}" name="who_region" dataDxfId="80"/>
    <tableColumn id="5" xr3:uid="{00000000-0010-0000-1700-000005000000}" name="gbd_region" dataDxfId="79"/>
    <tableColumn id="6" xr3:uid="{00000000-0010-0000-1700-000006000000}" name="gbd_super" dataDxfId="78"/>
    <tableColumn id="7" xr3:uid="{00000000-0010-0000-1700-000007000000}" name="wb_class" dataDxfId="77"/>
    <tableColumn id="8" xr3:uid="{00000000-0010-0000-1700-000008000000}" name="pop">
      <calculatedColumnFormula>VLOOKUP(lmic_raw[[#This Row],[num]],pop[[Country code]:[pop_20]],2,FALSE)*1000</calculatedColumnFormula>
    </tableColumn>
    <tableColumn id="9" xr3:uid="{00000000-0010-0000-1700-000009000000}" name="births" dataDxfId="76">
      <calculatedColumnFormula>IFERROR(VLOOKUP(lmic_raw[[#This Row],[num]],pop[[Country code]:[pop_20]],2,FALSE)*VLOOKUP(lmic_raw[[#This Row],[num]],b_rate[[Country code]:[2015-2020]],2,FALSE),0)</calculatedColumnFormula>
    </tableColumn>
    <tableColumn id="10" xr3:uid="{00000000-0010-0000-1700-00000A000000}" name="fac_birth" dataDxfId="75">
      <calculatedColumnFormula>IFERROR(MIN(VLOOKUP(lmic_raw[[#This Row],[iso3]],fac_b[],4,FALSE)/100,0.9999),0)</calculatedColumnFormula>
    </tableColumn>
    <tableColumn id="11" xr3:uid="{00000000-0010-0000-1700-00000B000000}" name="bd_cov">
      <calculatedColumnFormula>VLOOKUP(lmic_raw[[#This Row],[iso3]],vax[[iso3]:[hbv3]],2,FALSE)/100</calculatedColumnFormula>
    </tableColumn>
    <tableColumn id="12" xr3:uid="{00000000-0010-0000-1700-00000C000000}" name="hbv3_cov">
      <calculatedColumnFormula>VLOOKUP(lmic_raw[[#This Row],[iso3]],vax[[iso3]:[hbv3]],3,FALSE)/100</calculatedColumnFormula>
    </tableColumn>
    <tableColumn id="13" xr3:uid="{00000000-0010-0000-1700-00000D000000}" name="hbv_prev" dataDxfId="74">
      <calculatedColumnFormula>IFERROR(VLOOKUP(lmic_raw[[#This Row],[iso3]], hbv_prev[[iso3]:[ub]],2,FALSE)/100,0)</calculatedColumnFormula>
    </tableColumn>
    <tableColumn id="14" xr3:uid="{00000000-0010-0000-1700-00000E000000}" name="hbe_prev" dataDxfId="73">
      <calculatedColumnFormula>IFERROR(VLOOKUP(lmic_raw[[#This Row],[setting]],hbe_prev[],3,FALSE),0)</calculatedColumnFormula>
    </tableColumn>
    <tableColumn id="15" xr3:uid="{00000000-0010-0000-1700-00000F000000}" name="epos" dataDxfId="72">
      <calculatedColumnFormula>VLOOKUP(lmic_raw[[#This Row],[gbd_super]],hbe_risk[],2,FALSE)</calculatedColumnFormula>
    </tableColumn>
    <tableColumn id="16" xr3:uid="{00000000-0010-0000-1700-000010000000}" name="eneg">
      <calculatedColumnFormula>VLOOKUP(lmic_raw[[#This Row],[gbd_super]],hbe_risk[],5,FALSE)</calculatedColumnFormula>
    </tableColumn>
    <tableColumn id="17" xr3:uid="{00000000-0010-0000-1700-000011000000}" name="c_diag" dataDxfId="71">
      <calculatedColumnFormula>IFERROR(VLOOKUP(lmic_raw[[#This Row],[setting]],disease_costs!$A$4:$B$197,2,FALSE),0)</calculatedColumnFormula>
    </tableColumn>
    <tableColumn id="18" xr3:uid="{00000000-0010-0000-1700-000012000000}" name="c_C" dataDxfId="70">
      <calculatedColumnFormula>IFERROR(VLOOKUP(lmic_raw[[#This Row],[gbd_super]],disease_costs!$G$4:$K$9,2,FALSE),0)</calculatedColumnFormula>
    </tableColumn>
    <tableColumn id="19" xr3:uid="{00000000-0010-0000-1700-000013000000}" name="c_CC">
      <calculatedColumnFormula>IFERROR(VLOOKUP(lmic_raw[[#This Row],[gbd_super]],disease_costs!$G$4:$K$9,3,FALSE),0)</calculatedColumnFormula>
    </tableColumn>
    <tableColumn id="20" xr3:uid="{00000000-0010-0000-1700-000014000000}" name="c_DC">
      <calculatedColumnFormula>IFERROR(VLOOKUP(lmic_raw[[#This Row],[gbd_super]],disease_costs!$G$4:$K$9,4,FALSE),0)</calculatedColumnFormula>
    </tableColumn>
    <tableColumn id="21" xr3:uid="{00000000-0010-0000-1700-000015000000}" name="c_HCC">
      <calculatedColumnFormula>IFERROR(VLOOKUP(lmic_raw[[#This Row],[gbd_super]],disease_costs!$G$4:$K$9,5,FALSE),0)</calculatedColumnFormula>
    </tableColumn>
    <tableColumn id="22" xr3:uid="{00000000-0010-0000-1700-000016000000}" name="bl1_f" dataDxfId="69">
      <calculatedColumnFormula>IFERROR(VLOOKUP(lmic_raw[[#This Row],[setting]],vcost[],3,FALSE),0)</calculatedColumnFormula>
    </tableColumn>
    <tableColumn id="23" xr3:uid="{00000000-0010-0000-1700-000017000000}" name="bl1_c" dataDxfId="68">
      <calculatedColumnFormula>IFERROR(VLOOKUP(lmic_raw[[#This Row],[setting]],vcost[],4,FALSE),0)</calculatedColumnFormula>
    </tableColumn>
    <tableColumn id="24" xr3:uid="{00000000-0010-0000-1700-000018000000}" name="map_f" dataDxfId="67">
      <calculatedColumnFormula>IFERROR(VLOOKUP(lmic_raw[[#This Row],[setting]],vcost[],5,FALSE),0)</calculatedColumnFormula>
    </tableColumn>
    <tableColumn id="25" xr3:uid="{00000000-0010-0000-1700-000019000000}" name="map_cq" dataDxfId="66">
      <calculatedColumnFormula>IFERROR(VLOOKUP(lmic_raw[[#This Row],[setting]],vcost[],6,FALSE),0)</calculatedColumnFormula>
    </tableColumn>
    <tableColumn id="26" xr3:uid="{00000000-0010-0000-1700-00001A000000}" name="map_cl" dataDxfId="65">
      <calculatedColumnFormula>IFERROR(VLOOKUP(lmic_raw[[#This Row],[setting]],vcost[],7,FALSE),0)</calculatedColumnFormula>
    </tableColumn>
    <tableColumn id="27" xr3:uid="{00000000-0010-0000-1700-00001B000000}" name="ctc_f" dataDxfId="64">
      <calculatedColumnFormula>IFERROR(VLOOKUP(lmic_raw[[#This Row],[setting]],vcost[],8,FALSE),0)</calculatedColumnFormula>
    </tableColumn>
    <tableColumn id="28" xr3:uid="{00000000-0010-0000-1700-00001C000000}" name="ctc_c" dataDxfId="63">
      <calculatedColumnFormula>IFERROR(VLOOKUP(lmic_raw[[#This Row],[setting]],vcost[],9,FALSE),0)</calculatedColumnFormula>
    </tableColumn>
    <tableColumn id="29" xr3:uid="{00000000-0010-0000-1700-00001D000000}" name="m_01">
      <calculatedColumnFormula>IFERROR(INDEX(acm[],MATCH($C2,acm[[Country code]:[Country code]],0),MATCH(AC$1,acm[#Headers],0)),0)</calculatedColumnFormula>
    </tableColumn>
    <tableColumn id="30" xr3:uid="{00000000-0010-0000-1700-00001E000000}" name="m_14">
      <calculatedColumnFormula>IFERROR(INDEX(acm[],MATCH($C2,acm[[Country code]:[Country code]],0),MATCH(AD$1,acm[#Headers],0)),0)</calculatedColumnFormula>
    </tableColumn>
    <tableColumn id="31" xr3:uid="{00000000-0010-0000-1700-00001F000000}" name="m_59">
      <calculatedColumnFormula>IFERROR(INDEX(acm[],MATCH($C2,acm[[Country code]:[Country code]],0),MATCH(AE$1,acm[#Headers],0)),0)</calculatedColumnFormula>
    </tableColumn>
    <tableColumn id="32" xr3:uid="{00000000-0010-0000-1700-000020000000}" name="m_1014">
      <calculatedColumnFormula>IFERROR(INDEX(acm[],MATCH($C2,acm[[Country code]:[Country code]],0),MATCH(AF$1,acm[#Headers],0)),0)</calculatedColumnFormula>
    </tableColumn>
    <tableColumn id="33" xr3:uid="{00000000-0010-0000-1700-000021000000}" name="m_1519">
      <calculatedColumnFormula>IFERROR(INDEX(acm[],MATCH($C2,acm[[Country code]:[Country code]],0),MATCH(AG$1,acm[#Headers],0)),0)</calculatedColumnFormula>
    </tableColumn>
    <tableColumn id="34" xr3:uid="{00000000-0010-0000-1700-000022000000}" name="m_2024">
      <calculatedColumnFormula>IFERROR(INDEX(acm[],MATCH($C2,acm[[Country code]:[Country code]],0),MATCH(AH$1,acm[#Headers],0)),0)</calculatedColumnFormula>
    </tableColumn>
    <tableColumn id="35" xr3:uid="{00000000-0010-0000-1700-000023000000}" name="m_2529">
      <calculatedColumnFormula>IFERROR(INDEX(acm[],MATCH($C2,acm[[Country code]:[Country code]],0),MATCH(AI$1,acm[#Headers],0)),0)</calculatedColumnFormula>
    </tableColumn>
    <tableColumn id="36" xr3:uid="{00000000-0010-0000-1700-000024000000}" name="m_3034">
      <calculatedColumnFormula>IFERROR(INDEX(acm[],MATCH($C2,acm[[Country code]:[Country code]],0),MATCH(AJ$1,acm[#Headers],0)),0)</calculatedColumnFormula>
    </tableColumn>
    <tableColumn id="37" xr3:uid="{00000000-0010-0000-1700-000025000000}" name="m_3539">
      <calculatedColumnFormula>IFERROR(INDEX(acm[],MATCH($C2,acm[[Country code]:[Country code]],0),MATCH(AK$1,acm[#Headers],0)),0)</calculatedColumnFormula>
    </tableColumn>
    <tableColumn id="38" xr3:uid="{00000000-0010-0000-1700-000026000000}" name="m_4044">
      <calculatedColumnFormula>IFERROR(INDEX(acm[],MATCH($C2,acm[[Country code]:[Country code]],0),MATCH(AL$1,acm[#Headers],0)),0)</calculatedColumnFormula>
    </tableColumn>
    <tableColumn id="39" xr3:uid="{00000000-0010-0000-1700-000027000000}" name="m_4549">
      <calculatedColumnFormula>IFERROR(INDEX(acm[],MATCH($C2,acm[[Country code]:[Country code]],0),MATCH(AM$1,acm[#Headers],0)),0)</calculatedColumnFormula>
    </tableColumn>
    <tableColumn id="40" xr3:uid="{00000000-0010-0000-1700-000028000000}" name="m_5054">
      <calculatedColumnFormula>IFERROR(INDEX(acm[],MATCH($C2,acm[[Country code]:[Country code]],0),MATCH(AN$1,acm[#Headers],0)),0)</calculatedColumnFormula>
    </tableColumn>
    <tableColumn id="41" xr3:uid="{00000000-0010-0000-1700-000029000000}" name="m_5559">
      <calculatedColumnFormula>IFERROR(INDEX(acm[],MATCH($C2,acm[[Country code]:[Country code]],0),MATCH(AO$1,acm[#Headers],0)),0)</calculatedColumnFormula>
    </tableColumn>
    <tableColumn id="42" xr3:uid="{00000000-0010-0000-1700-00002A000000}" name="m_6064">
      <calculatedColumnFormula>IFERROR(INDEX(acm[],MATCH($C2,acm[[Country code]:[Country code]],0),MATCH(AP$1,acm[#Headers],0)),0)</calculatedColumnFormula>
    </tableColumn>
    <tableColumn id="43" xr3:uid="{00000000-0010-0000-1700-00002B000000}" name="m_6569">
      <calculatedColumnFormula>IFERROR(INDEX(acm[],MATCH($C2,acm[[Country code]:[Country code]],0),MATCH(AQ$1,acm[#Headers],0)),0)</calculatedColumnFormula>
    </tableColumn>
    <tableColumn id="44" xr3:uid="{00000000-0010-0000-1700-00002C000000}" name="m_7074">
      <calculatedColumnFormula>IFERROR(INDEX(acm[],MATCH($C2,acm[[Country code]:[Country code]],0),MATCH(AR$1,acm[#Headers],0)),0)</calculatedColumnFormula>
    </tableColumn>
    <tableColumn id="45" xr3:uid="{00000000-0010-0000-1700-00002D000000}" name="m_7079">
      <calculatedColumnFormula>IFERROR(INDEX(acm[],MATCH($C2,acm[[Country code]:[Country code]],0),MATCH(AS$1,acm[#Headers],0)),0)</calculatedColumnFormula>
    </tableColumn>
    <tableColumn id="46" xr3:uid="{00000000-0010-0000-1700-00002E000000}" name="m_8084">
      <calculatedColumnFormula>IFERROR(INDEX(acm[],MATCH($C2,acm[[Country code]:[Country code]],0),MATCH(AT$1,acm[#Headers],0)),0)</calculatedColumnFormula>
    </tableColumn>
    <tableColumn id="47" xr3:uid="{00000000-0010-0000-1700-00002F000000}" name="m_8589">
      <calculatedColumnFormula>IFERROR(INDEX(acm[],MATCH($C2,acm[[Country code]:[Country code]],0),MATCH(AU$1,acm[#Headers],0)),0)</calculatedColumnFormula>
    </tableColumn>
    <tableColumn id="48" xr3:uid="{00000000-0010-0000-1700-000030000000}" name="m_9094">
      <calculatedColumnFormula>IFERROR(INDEX(acm[],MATCH($C2,acm[[Country code]:[Country code]],0),MATCH(AV$1,acm[#Headers],0)),0)</calculatedColumnFormula>
    </tableColumn>
    <tableColumn id="49" xr3:uid="{00000000-0010-0000-1700-000031000000}" name="m_95+">
      <calculatedColumnFormula>IFERROR(INDEX(acm[],MATCH($C2,acm[[Country code]:[Country code]],0),MATCH(AW$1,acm[#Headers],0)),0)</calculatedColumnFormula>
    </tableColumn>
    <tableColumn id="50" xr3:uid="{00000000-0010-0000-1700-000032000000}" name="av_life" dataDxfId="62">
      <calculatedColumnFormula>IFERROR(VLOOKUP(lmic_raw[[#This Row],[num]],life_exp[[Country code]:[2015-2020]],2,FALSE),0)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8000000}" name="lmic_raw_lb" displayName="lmic_raw_lb" ref="A139:AX275" totalsRowShown="0" headerRowDxfId="61" dataDxfId="60" tableBorderDxfId="59">
  <autoFilter ref="A139:AX275" xr:uid="{00000000-0009-0000-0100-00000C000000}"/>
  <tableColumns count="50">
    <tableColumn id="1" xr3:uid="{00000000-0010-0000-1800-000001000000}" name="setting"/>
    <tableColumn id="2" xr3:uid="{00000000-0010-0000-1800-000002000000}" name="iso3" dataDxfId="58" dataCellStyle="Normal_cty99"/>
    <tableColumn id="3" xr3:uid="{00000000-0010-0000-1800-000003000000}" name="num" dataDxfId="57"/>
    <tableColumn id="4" xr3:uid="{00000000-0010-0000-1800-000004000000}" name="who_region" dataDxfId="56"/>
    <tableColumn id="5" xr3:uid="{00000000-0010-0000-1800-000005000000}" name="gbd_region" dataDxfId="55"/>
    <tableColumn id="6" xr3:uid="{00000000-0010-0000-1800-000006000000}" name="gbd_super" dataDxfId="54"/>
    <tableColumn id="7" xr3:uid="{00000000-0010-0000-1800-000007000000}" name="wb_class" dataDxfId="53"/>
    <tableColumn id="8" xr3:uid="{00000000-0010-0000-1800-000008000000}" name="pop" dataDxfId="52">
      <calculatedColumnFormula>VLOOKUP(lmic_raw_lb[[#This Row],[setting]],lmic_raw[],8,FALSE)</calculatedColumnFormula>
    </tableColumn>
    <tableColumn id="9" xr3:uid="{00000000-0010-0000-1800-000009000000}" name="births" dataDxfId="51">
      <calculatedColumnFormula>VLOOKUP(lmic_raw_lb[[#This Row],[setting]],lmic_raw[],9,FALSE)</calculatedColumnFormula>
    </tableColumn>
    <tableColumn id="10" xr3:uid="{00000000-0010-0000-1800-00000A000000}" name="fac_birth" dataDxfId="50">
      <calculatedColumnFormula>VLOOKUP($A140,lmic_raw[],10,FALSE)*(1-interactive!$C$7)</calculatedColumnFormula>
    </tableColumn>
    <tableColumn id="11" xr3:uid="{00000000-0010-0000-1800-00000B000000}" name="bd_cov" dataDxfId="49">
      <calculatedColumnFormula>VLOOKUP($A140,lmic_raw[],11,FALSE)*(1-interactive!$C$7)</calculatedColumnFormula>
    </tableColumn>
    <tableColumn id="12" xr3:uid="{00000000-0010-0000-1800-00000C000000}" name="hbv3_cov" dataDxfId="48">
      <calculatedColumnFormula>VLOOKUP($A140,lmic_raw[],12,FALSE)*(1-interactive!$C$7)</calculatedColumnFormula>
    </tableColumn>
    <tableColumn id="13" xr3:uid="{00000000-0010-0000-1800-00000D000000}" name="hbv_prev" dataDxfId="47">
      <calculatedColumnFormula>IFERROR(VLOOKUP(lmic_raw_lb[[#This Row],[iso3]], hbv_prev[[iso3]:[ub]],3,FALSE)/100,0)</calculatedColumnFormula>
    </tableColumn>
    <tableColumn id="14" xr3:uid="{00000000-0010-0000-1800-00000E000000}" name="hbe_prev" dataDxfId="46">
      <calculatedColumnFormula>IFERROR(VLOOKUP(lmic_raw_lb[[#This Row],[setting]],hbe_prev[],4,FALSE),0)</calculatedColumnFormula>
    </tableColumn>
    <tableColumn id="15" xr3:uid="{00000000-0010-0000-1800-00000F000000}" name="epos" dataDxfId="45">
      <calculatedColumnFormula>VLOOKUP(lmic_raw_lb[[#This Row],[gbd_super]],hbe_risk[],3,FALSE)</calculatedColumnFormula>
    </tableColumn>
    <tableColumn id="16" xr3:uid="{00000000-0010-0000-1800-000010000000}" name="eneg" dataDxfId="44">
      <calculatedColumnFormula>VLOOKUP(lmic_raw_lb[[#This Row],[gbd_super]],hbe_risk[],6,FALSE)</calculatedColumnFormula>
    </tableColumn>
    <tableColumn id="17" xr3:uid="{00000000-0010-0000-1800-000011000000}" name="c_diag" dataDxfId="43">
      <calculatedColumnFormula>VLOOKUP(lmic_raw_lb[[#This Row],[setting]],lmic_raw[],17,FALSE)*(1-interactive!$C$7)</calculatedColumnFormula>
    </tableColumn>
    <tableColumn id="18" xr3:uid="{00000000-0010-0000-1800-000012000000}" name="c_C" dataDxfId="42">
      <calculatedColumnFormula>VLOOKUP(lmic_raw_lb[[#This Row],[setting]],lmic_raw[],18,FALSE)*(1-interactive!$C$7)</calculatedColumnFormula>
    </tableColumn>
    <tableColumn id="19" xr3:uid="{00000000-0010-0000-1800-000013000000}" name="c_CC" dataDxfId="41">
      <calculatedColumnFormula>VLOOKUP(lmic_raw_lb[[#This Row],[setting]],lmic_raw[],19,FALSE)*(1-interactive!$C$7)</calculatedColumnFormula>
    </tableColumn>
    <tableColumn id="20" xr3:uid="{00000000-0010-0000-1800-000014000000}" name="c_DC" dataDxfId="40">
      <calculatedColumnFormula>VLOOKUP(lmic_raw_lb[[#This Row],[setting]],lmic_raw[],20,FALSE)*(1-interactive!$C$7)</calculatedColumnFormula>
    </tableColumn>
    <tableColumn id="21" xr3:uid="{00000000-0010-0000-1800-000015000000}" name="c_HCC" dataDxfId="39">
      <calculatedColumnFormula>VLOOKUP(lmic_raw_lb[[#This Row],[setting]],lmic_raw[],21,FALSE)*(1-interactive!$C$7)</calculatedColumnFormula>
    </tableColumn>
    <tableColumn id="22" xr3:uid="{00000000-0010-0000-1800-000016000000}" name="bl1_f" dataDxfId="38">
      <calculatedColumnFormula>IFERROR(VLOOKUP(lmic_raw_lb[[#This Row],[setting]],vcost_lb[],3,FALSE),0)</calculatedColumnFormula>
    </tableColumn>
    <tableColumn id="23" xr3:uid="{00000000-0010-0000-1800-000017000000}" name="bl1_c" dataDxfId="37">
      <calculatedColumnFormula>IFERROR(VLOOKUP(lmic_raw_lb[[#This Row],[setting]],vcost_lb[],4,FALSE),0)</calculatedColumnFormula>
    </tableColumn>
    <tableColumn id="24" xr3:uid="{00000000-0010-0000-1800-000018000000}" name="map_f" dataDxfId="36">
      <calculatedColumnFormula>IFERROR(VLOOKUP(lmic_raw_lb[[#This Row],[setting]],vcost_lb[],5,FALSE),0)</calculatedColumnFormula>
    </tableColumn>
    <tableColumn id="25" xr3:uid="{00000000-0010-0000-1800-000019000000}" name="map_cq" dataDxfId="35">
      <calculatedColumnFormula>IFERROR(VLOOKUP(lmic_raw_lb[[#This Row],[setting]],vcost_lb[],6,FALSE),0)</calculatedColumnFormula>
    </tableColumn>
    <tableColumn id="26" xr3:uid="{00000000-0010-0000-1800-00001A000000}" name="map_cl" dataDxfId="34">
      <calculatedColumnFormula>IFERROR(VLOOKUP(lmic_raw_lb[[#This Row],[setting]],vcost_lb[],7,FALSE),0)</calculatedColumnFormula>
    </tableColumn>
    <tableColumn id="27" xr3:uid="{00000000-0010-0000-1800-00001B000000}" name="ctc_f" dataDxfId="33">
      <calculatedColumnFormula>IFERROR(VLOOKUP(lmic_raw_lb[[#This Row],[setting]],vcost_lb[],8,FALSE),0)</calculatedColumnFormula>
    </tableColumn>
    <tableColumn id="28" xr3:uid="{00000000-0010-0000-1800-00001C000000}" name="ctc_c" dataDxfId="32">
      <calculatedColumnFormula>IFERROR(VLOOKUP(lmic_raw_lb[[#This Row],[setting]],vcost_lb[],9,FALSE),0)</calculatedColumnFormula>
    </tableColumn>
    <tableColumn id="29" xr3:uid="{00000000-0010-0000-1800-00001D000000}" name="m_01" dataDxfId="31">
      <calculatedColumnFormula>VLOOKUP($A140,lmic_raw[],29,FALSE)*(1-interactive!$C$7)</calculatedColumnFormula>
    </tableColumn>
    <tableColumn id="30" xr3:uid="{00000000-0010-0000-1800-00001E000000}" name="m_14" dataDxfId="30">
      <calculatedColumnFormula>VLOOKUP($A140,lmic_raw[],30,FALSE)*(1-interactive!$C$7)</calculatedColumnFormula>
    </tableColumn>
    <tableColumn id="31" xr3:uid="{00000000-0010-0000-1800-00001F000000}" name="m_59" dataDxfId="29">
      <calculatedColumnFormula>VLOOKUP($A140,lmic_raw[],31,FALSE)*(1-interactive!$C$7)</calculatedColumnFormula>
    </tableColumn>
    <tableColumn id="32" xr3:uid="{00000000-0010-0000-1800-000020000000}" name="m_1014" dataDxfId="28">
      <calculatedColumnFormula>VLOOKUP($A140,lmic_raw[],32,FALSE)*(1-interactive!$C$7)</calculatedColumnFormula>
    </tableColumn>
    <tableColumn id="33" xr3:uid="{00000000-0010-0000-1800-000021000000}" name="m_1519" dataDxfId="27">
      <calculatedColumnFormula>VLOOKUP($A140,lmic_raw[],33,FALSE)*(1-interactive!$C$7)</calculatedColumnFormula>
    </tableColumn>
    <tableColumn id="34" xr3:uid="{00000000-0010-0000-1800-000022000000}" name="m_2024" dataDxfId="26">
      <calculatedColumnFormula>VLOOKUP($A140,lmic_raw[],34,FALSE)*(1-interactive!$C$7)</calculatedColumnFormula>
    </tableColumn>
    <tableColumn id="35" xr3:uid="{00000000-0010-0000-1800-000023000000}" name="m_2529" dataDxfId="25">
      <calculatedColumnFormula>VLOOKUP($A140,lmic_raw[],35,FALSE)*(1-interactive!$C$7)</calculatedColumnFormula>
    </tableColumn>
    <tableColumn id="36" xr3:uid="{00000000-0010-0000-1800-000024000000}" name="m_3034" dataDxfId="24">
      <calculatedColumnFormula>VLOOKUP($A140,lmic_raw[],36,FALSE)*(1-interactive!$C$7)</calculatedColumnFormula>
    </tableColumn>
    <tableColumn id="37" xr3:uid="{00000000-0010-0000-1800-000025000000}" name="m_3539" dataDxfId="23">
      <calculatedColumnFormula>VLOOKUP($A140,lmic_raw[],37,FALSE)*(1-interactive!$C$7)</calculatedColumnFormula>
    </tableColumn>
    <tableColumn id="38" xr3:uid="{00000000-0010-0000-1800-000026000000}" name="m_4044" dataDxfId="22">
      <calculatedColumnFormula>VLOOKUP($A140,lmic_raw[],38,FALSE)*(1-interactive!$C$7)</calculatedColumnFormula>
    </tableColumn>
    <tableColumn id="39" xr3:uid="{00000000-0010-0000-1800-000027000000}" name="m_4549" dataDxfId="21">
      <calculatedColumnFormula>VLOOKUP($A140,lmic_raw[],39,FALSE)*(1-interactive!$C$7)</calculatedColumnFormula>
    </tableColumn>
    <tableColumn id="40" xr3:uid="{00000000-0010-0000-1800-000028000000}" name="m_5054" dataDxfId="20">
      <calculatedColumnFormula>VLOOKUP($A140,lmic_raw[],40,FALSE)*(1-interactive!$C$7)</calculatedColumnFormula>
    </tableColumn>
    <tableColumn id="41" xr3:uid="{00000000-0010-0000-1800-000029000000}" name="m_5559" dataDxfId="19">
      <calculatedColumnFormula>VLOOKUP($A140,lmic_raw[],41,FALSE)*(1-interactive!$C$7)</calculatedColumnFormula>
    </tableColumn>
    <tableColumn id="42" xr3:uid="{00000000-0010-0000-1800-00002A000000}" name="m_6064" dataDxfId="18">
      <calculatedColumnFormula>VLOOKUP($A140,lmic_raw[],42,FALSE)*(1-interactive!$C$7)</calculatedColumnFormula>
    </tableColumn>
    <tableColumn id="43" xr3:uid="{00000000-0010-0000-1800-00002B000000}" name="m_6569" dataDxfId="17">
      <calculatedColumnFormula>VLOOKUP($A140,lmic_raw[],43,FALSE)*(1-interactive!$C$7)</calculatedColumnFormula>
    </tableColumn>
    <tableColumn id="44" xr3:uid="{00000000-0010-0000-1800-00002C000000}" name="m_7074" dataDxfId="16">
      <calculatedColumnFormula>VLOOKUP($A140,lmic_raw[],44,FALSE)*(1-interactive!$C$7)</calculatedColumnFormula>
    </tableColumn>
    <tableColumn id="45" xr3:uid="{00000000-0010-0000-1800-00002D000000}" name="m_7079" dataDxfId="15">
      <calculatedColumnFormula>VLOOKUP($A140,lmic_raw[],45,FALSE)*(1-interactive!$C$7)</calculatedColumnFormula>
    </tableColumn>
    <tableColumn id="46" xr3:uid="{00000000-0010-0000-1800-00002E000000}" name="m_8084" dataDxfId="14">
      <calculatedColumnFormula>VLOOKUP($A140,lmic_raw[],46,FALSE)*(1-interactive!$C$7)</calculatedColumnFormula>
    </tableColumn>
    <tableColumn id="47" xr3:uid="{00000000-0010-0000-1800-00002F000000}" name="m_8589" dataDxfId="13">
      <calculatedColumnFormula>VLOOKUP($A140,lmic_raw[],47,FALSE)*(1-interactive!$C$7)</calculatedColumnFormula>
    </tableColumn>
    <tableColumn id="48" xr3:uid="{00000000-0010-0000-1800-000030000000}" name="m_9094" dataDxfId="12">
      <calculatedColumnFormula>VLOOKUP($A140,lmic_raw[],48,FALSE)*(1-interactive!$C$7)</calculatedColumnFormula>
    </tableColumn>
    <tableColumn id="49" xr3:uid="{00000000-0010-0000-1800-000031000000}" name="m_95+" dataDxfId="11">
      <calculatedColumnFormula>VLOOKUP($A140,lmic_raw[],49,FALSE)*(1-interactive!$C$7)</calculatedColumnFormula>
    </tableColumn>
    <tableColumn id="50" xr3:uid="{00000000-0010-0000-1800-000032000000}" name="av_life" dataDxfId="10">
      <calculatedColumnFormula>VLOOKUP($A140,lmic_raw[],50,FALSE)*(1-interactive!$C$7)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9000000}" name="lmic_raw_ub" displayName="lmic_raw_ub" ref="A277:AX413" totalsRowShown="0" headerRowDxfId="9" tableBorderDxfId="8">
  <autoFilter ref="A277:AX413" xr:uid="{00000000-0009-0000-0100-00000D000000}"/>
  <tableColumns count="50">
    <tableColumn id="1" xr3:uid="{00000000-0010-0000-1900-000001000000}" name="setting"/>
    <tableColumn id="2" xr3:uid="{00000000-0010-0000-1900-000002000000}" name="iso3" dataDxfId="7" dataCellStyle="Normal_cty99"/>
    <tableColumn id="3" xr3:uid="{00000000-0010-0000-1900-000003000000}" name="num" dataDxfId="6"/>
    <tableColumn id="4" xr3:uid="{00000000-0010-0000-1900-000004000000}" name="who_region" dataDxfId="5"/>
    <tableColumn id="5" xr3:uid="{00000000-0010-0000-1900-000005000000}" name="gbd_region" dataDxfId="4"/>
    <tableColumn id="6" xr3:uid="{00000000-0010-0000-1900-000006000000}" name="gbd_super" dataDxfId="3"/>
    <tableColumn id="7" xr3:uid="{00000000-0010-0000-1900-000007000000}" name="wb_class" dataDxfId="2"/>
    <tableColumn id="8" xr3:uid="{00000000-0010-0000-1900-000008000000}" name="pop">
      <calculatedColumnFormula>VLOOKUP(lmic_raw_ub[[#This Row],[setting]],lmic_raw[],8,FALSE)</calculatedColumnFormula>
    </tableColumn>
    <tableColumn id="9" xr3:uid="{00000000-0010-0000-1900-000009000000}" name="births">
      <calculatedColumnFormula>VLOOKUP(lmic_raw_ub[[#This Row],[setting]],lmic_raw[],9,FALSE)</calculatedColumnFormula>
    </tableColumn>
    <tableColumn id="10" xr3:uid="{00000000-0010-0000-1900-00000A000000}" name="fac_birth">
      <calculatedColumnFormula>MIN(VLOOKUP($A278,lmic_raw[],10,FALSE)*(1+interactive!$C$7),0.9999)</calculatedColumnFormula>
    </tableColumn>
    <tableColumn id="11" xr3:uid="{00000000-0010-0000-1900-00000B000000}" name="bd_cov">
      <calculatedColumnFormula>MIN(VLOOKUP($A278,lmic_raw[],11,FALSE)*(1+interactive!$C$7),0.9999)</calculatedColumnFormula>
    </tableColumn>
    <tableColumn id="12" xr3:uid="{00000000-0010-0000-1900-00000C000000}" name="hbv3_cov" dataDxfId="1">
      <calculatedColumnFormula>MIN(VLOOKUP($A278,lmic_raw[],12,FALSE)*(1+interactive!$C$7),0.9999)</calculatedColumnFormula>
    </tableColumn>
    <tableColumn id="13" xr3:uid="{00000000-0010-0000-1900-00000D000000}" name="hbv_prev">
      <calculatedColumnFormula>IFERROR(VLOOKUP(lmic_raw_ub[[#This Row],[iso3]], hbv_prev[[iso3]:[ub]],4,FALSE)/100,0)</calculatedColumnFormula>
    </tableColumn>
    <tableColumn id="14" xr3:uid="{00000000-0010-0000-1900-00000E000000}" name="hbe_prev">
      <calculatedColumnFormula>IFERROR(VLOOKUP(lmic_raw_ub[[#This Row],[setting]],hbe_prev[],5,FALSE),0)</calculatedColumnFormula>
    </tableColumn>
    <tableColumn id="15" xr3:uid="{00000000-0010-0000-1900-00000F000000}" name="epos">
      <calculatedColumnFormula>VLOOKUP(lmic_raw_ub[[#This Row],[gbd_super]],hbe_risk[],4,FALSE)</calculatedColumnFormula>
    </tableColumn>
    <tableColumn id="16" xr3:uid="{00000000-0010-0000-1900-000010000000}" name="eneg" dataDxfId="0">
      <calculatedColumnFormula>VLOOKUP(lmic_raw_ub[[#This Row],[gbd_super]],hbe_risk[],7,FALSE)</calculatedColumnFormula>
    </tableColumn>
    <tableColumn id="17" xr3:uid="{00000000-0010-0000-1900-000011000000}" name="c_diag">
      <calculatedColumnFormula>VLOOKUP(lmic_raw_ub[[#This Row],[setting]],lmic_raw[],17,FALSE)*(1+interactive!$C$7)</calculatedColumnFormula>
    </tableColumn>
    <tableColumn id="18" xr3:uid="{00000000-0010-0000-1900-000012000000}" name="c_C">
      <calculatedColumnFormula>VLOOKUP(lmic_raw_ub[[#This Row],[setting]],lmic_raw[],18,FALSE)*(1+interactive!$C$7)</calculatedColumnFormula>
    </tableColumn>
    <tableColumn id="19" xr3:uid="{00000000-0010-0000-1900-000013000000}" name="c_CC">
      <calculatedColumnFormula>VLOOKUP(lmic_raw_ub[[#This Row],[setting]],lmic_raw[],19,FALSE)*(1+interactive!$C$7)</calculatedColumnFormula>
    </tableColumn>
    <tableColumn id="20" xr3:uid="{00000000-0010-0000-1900-000014000000}" name="c_DC">
      <calculatedColumnFormula>VLOOKUP(lmic_raw_ub[[#This Row],[setting]],lmic_raw[],20,FALSE)*(1+interactive!$C$7)</calculatedColumnFormula>
    </tableColumn>
    <tableColumn id="21" xr3:uid="{00000000-0010-0000-1900-000015000000}" name="c_HCC">
      <calculatedColumnFormula>VLOOKUP(lmic_raw_ub[[#This Row],[setting]],lmic_raw[],21,FALSE)*(1+interactive!$C$7)</calculatedColumnFormula>
    </tableColumn>
    <tableColumn id="22" xr3:uid="{00000000-0010-0000-1900-000016000000}" name="bl1_f">
      <calculatedColumnFormula>IFERROR(VLOOKUP(lmic_raw_ub[[#This Row],[setting]],vcost_ub[],3,FALSE),0)</calculatedColumnFormula>
    </tableColumn>
    <tableColumn id="23" xr3:uid="{00000000-0010-0000-1900-000017000000}" name="bl1_c">
      <calculatedColumnFormula>IFERROR(VLOOKUP(lmic_raw_ub[[#This Row],[setting]],vcost_ub[],4,FALSE),0)</calculatedColumnFormula>
    </tableColumn>
    <tableColumn id="24" xr3:uid="{00000000-0010-0000-1900-000018000000}" name="map_f">
      <calculatedColumnFormula>IFERROR(VLOOKUP(lmic_raw_ub[[#This Row],[setting]],vcost_ub[],5,FALSE),0)</calculatedColumnFormula>
    </tableColumn>
    <tableColumn id="25" xr3:uid="{00000000-0010-0000-1900-000019000000}" name="map_cq">
      <calculatedColumnFormula>IFERROR(VLOOKUP(lmic_raw_ub[[#This Row],[setting]],vcost_ub[],6,FALSE),0)</calculatedColumnFormula>
    </tableColumn>
    <tableColumn id="26" xr3:uid="{00000000-0010-0000-1900-00001A000000}" name="map_cl">
      <calculatedColumnFormula>IFERROR(VLOOKUP(lmic_raw_ub[[#This Row],[setting]],vcost_ub[],7,FALSE),0)</calculatedColumnFormula>
    </tableColumn>
    <tableColumn id="27" xr3:uid="{00000000-0010-0000-1900-00001B000000}" name="ctc_f">
      <calculatedColumnFormula>IFERROR(VLOOKUP(lmic_raw_ub[[#This Row],[setting]],vcost_ub[],8,FALSE),0)</calculatedColumnFormula>
    </tableColumn>
    <tableColumn id="28" xr3:uid="{00000000-0010-0000-1900-00001C000000}" name="ctc_c">
      <calculatedColumnFormula>IFERROR(VLOOKUP(lmic_raw_ub[[#This Row],[setting]],vcost_ub[],9,FALSE),0)</calculatedColumnFormula>
    </tableColumn>
    <tableColumn id="29" xr3:uid="{00000000-0010-0000-1900-00001D000000}" name="m_01">
      <calculatedColumnFormula>VLOOKUP($A278,lmic_raw[],29,FALSE)*(1+interactive!$C$7)</calculatedColumnFormula>
    </tableColumn>
    <tableColumn id="30" xr3:uid="{00000000-0010-0000-1900-00001E000000}" name="m_14">
      <calculatedColumnFormula>VLOOKUP($A278,lmic_raw[],30,FALSE)*(1+interactive!$C$7)</calculatedColumnFormula>
    </tableColumn>
    <tableColumn id="31" xr3:uid="{00000000-0010-0000-1900-00001F000000}" name="m_59">
      <calculatedColumnFormula>VLOOKUP($A278,lmic_raw[],31,FALSE)*(1+interactive!$C$7)</calculatedColumnFormula>
    </tableColumn>
    <tableColumn id="32" xr3:uid="{00000000-0010-0000-1900-000020000000}" name="m_1014">
      <calculatedColumnFormula>VLOOKUP($A278,lmic_raw[],32,FALSE)*(1+interactive!$C$7)</calculatedColumnFormula>
    </tableColumn>
    <tableColumn id="33" xr3:uid="{00000000-0010-0000-1900-000021000000}" name="m_1519">
      <calculatedColumnFormula>VLOOKUP($A278,lmic_raw[],33,FALSE)*(1+interactive!$C$7)</calculatedColumnFormula>
    </tableColumn>
    <tableColumn id="34" xr3:uid="{00000000-0010-0000-1900-000022000000}" name="m_2024">
      <calculatedColumnFormula>VLOOKUP($A278,lmic_raw[],34,FALSE)*(1+interactive!$C$7)</calculatedColumnFormula>
    </tableColumn>
    <tableColumn id="35" xr3:uid="{00000000-0010-0000-1900-000023000000}" name="m_2529">
      <calculatedColumnFormula>VLOOKUP($A278,lmic_raw[],35,FALSE)*(1+interactive!$C$7)</calculatedColumnFormula>
    </tableColumn>
    <tableColumn id="36" xr3:uid="{00000000-0010-0000-1900-000024000000}" name="m_3034">
      <calculatedColumnFormula>VLOOKUP($A278,lmic_raw[],36,FALSE)*(1+interactive!$C$7)</calculatedColumnFormula>
    </tableColumn>
    <tableColumn id="37" xr3:uid="{00000000-0010-0000-1900-000025000000}" name="m_3539">
      <calculatedColumnFormula>VLOOKUP($A278,lmic_raw[],37,FALSE)*(1+interactive!$C$7)</calculatedColumnFormula>
    </tableColumn>
    <tableColumn id="38" xr3:uid="{00000000-0010-0000-1900-000026000000}" name="m_4044">
      <calculatedColumnFormula>VLOOKUP($A278,lmic_raw[],38,FALSE)*(1+interactive!$C$7)</calculatedColumnFormula>
    </tableColumn>
    <tableColumn id="39" xr3:uid="{00000000-0010-0000-1900-000027000000}" name="m_4549">
      <calculatedColumnFormula>VLOOKUP($A278,lmic_raw[],39,FALSE)*(1+interactive!$C$7)</calculatedColumnFormula>
    </tableColumn>
    <tableColumn id="40" xr3:uid="{00000000-0010-0000-1900-000028000000}" name="m_5054">
      <calculatedColumnFormula>VLOOKUP($A278,lmic_raw[],40,FALSE)*(1+interactive!$C$7)</calculatedColumnFormula>
    </tableColumn>
    <tableColumn id="41" xr3:uid="{00000000-0010-0000-1900-000029000000}" name="m_5559">
      <calculatedColumnFormula>VLOOKUP($A278,lmic_raw[],41,FALSE)*(1+interactive!$C$7)</calculatedColumnFormula>
    </tableColumn>
    <tableColumn id="42" xr3:uid="{00000000-0010-0000-1900-00002A000000}" name="m_6064">
      <calculatedColumnFormula>VLOOKUP($A278,lmic_raw[],42,FALSE)*(1+interactive!$C$7)</calculatedColumnFormula>
    </tableColumn>
    <tableColumn id="43" xr3:uid="{00000000-0010-0000-1900-00002B000000}" name="m_6569">
      <calculatedColumnFormula>VLOOKUP($A278,lmic_raw[],43,FALSE)*(1+interactive!$C$7)</calculatedColumnFormula>
    </tableColumn>
    <tableColumn id="44" xr3:uid="{00000000-0010-0000-1900-00002C000000}" name="m_7074">
      <calculatedColumnFormula>VLOOKUP($A278,lmic_raw[],44,FALSE)*(1+interactive!$C$7)</calculatedColumnFormula>
    </tableColumn>
    <tableColumn id="45" xr3:uid="{00000000-0010-0000-1900-00002D000000}" name="m_7079">
      <calculatedColumnFormula>VLOOKUP($A278,lmic_raw[],45,FALSE)*(1+interactive!$C$7)</calculatedColumnFormula>
    </tableColumn>
    <tableColumn id="46" xr3:uid="{00000000-0010-0000-1900-00002E000000}" name="m_8084">
      <calculatedColumnFormula>VLOOKUP($A278,lmic_raw[],46,FALSE)*(1+interactive!$C$7)</calculatedColumnFormula>
    </tableColumn>
    <tableColumn id="47" xr3:uid="{00000000-0010-0000-1900-00002F000000}" name="m_8589">
      <calculatedColumnFormula>VLOOKUP($A278,lmic_raw[],47,FALSE)*(1+interactive!$C$7)</calculatedColumnFormula>
    </tableColumn>
    <tableColumn id="48" xr3:uid="{00000000-0010-0000-1900-000030000000}" name="m_9094">
      <calculatedColumnFormula>VLOOKUP($A278,lmic_raw[],48,FALSE)*(1+interactive!$C$7)</calculatedColumnFormula>
    </tableColumn>
    <tableColumn id="49" xr3:uid="{00000000-0010-0000-1900-000031000000}" name="m_95+">
      <calculatedColumnFormula>VLOOKUP($A278,lmic_raw[],49,FALSE)*(1+interactive!$C$7)</calculatedColumnFormula>
    </tableColumn>
    <tableColumn id="50" xr3:uid="{00000000-0010-0000-1900-000032000000}" name="av_life">
      <calculatedColumnFormula>VLOOKUP($A278,lmic_raw[],50,FALSE)*(1+interactive!$C$7)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lmics_lb" displayName="lmics_lb" ref="A139:AY275" totalsRowShown="0" headerRowDxfId="264" dataDxfId="263" tableBorderDxfId="262">
  <autoFilter ref="A139:AY275" xr:uid="{00000000-0009-0000-0100-000018000000}"/>
  <tableColumns count="51">
    <tableColumn id="1" xr3:uid="{00000000-0010-0000-0200-000001000000}" name="setting"/>
    <tableColumn id="2" xr3:uid="{00000000-0010-0000-0200-000002000000}" name="iso3" dataDxfId="261" dataCellStyle="Normal_cty99"/>
    <tableColumn id="3" xr3:uid="{00000000-0010-0000-0200-000003000000}" name="num" dataDxfId="260"/>
    <tableColumn id="4" xr3:uid="{00000000-0010-0000-0200-000004000000}" name="who_region" dataDxfId="259"/>
    <tableColumn id="5" xr3:uid="{00000000-0010-0000-0200-000005000000}" name="gbd_region" dataDxfId="258"/>
    <tableColumn id="6" xr3:uid="{00000000-0010-0000-0200-000006000000}" name="gbd_super" dataDxfId="257"/>
    <tableColumn id="7" xr3:uid="{00000000-0010-0000-0200-000007000000}" name="wb_class" dataDxfId="256"/>
    <tableColumn id="8" xr3:uid="{00000000-0010-0000-0200-000008000000}" name="pop" dataDxfId="255"/>
    <tableColumn id="9" xr3:uid="{00000000-0010-0000-0200-000009000000}" name="births" dataDxfId="254"/>
    <tableColumn id="10" xr3:uid="{00000000-0010-0000-0200-00000A000000}" name="fac_birth" dataDxfId="253">
      <calculatedColumnFormula>IF(INDEX(lmic_raw_lb[],MATCH($A140,lmic_raw_lb[[setting]:[setting]],0), MATCH(J$139, lmic_raw_lb[#Headers],0))=0, INDEX(regions_lb[], MATCH($D140, regions_lb[[setting]:[setting]],0), MATCH(J$139, regions_lb[#Headers],0)),INDEX(lmic_raw_lb[],MATCH($A140,lmic_raw_lb[[setting]:[setting]],0), MATCH(J$139, lmic_raw_lb[#Headers],0)))</calculatedColumnFormula>
    </tableColumn>
    <tableColumn id="11" xr3:uid="{00000000-0010-0000-0200-00000B000000}" name="bd_cov" dataDxfId="252">
      <calculatedColumnFormula>IF(INDEX(lmic_raw_lb[],MATCH($A140,lmic_raw_lb[[setting]:[setting]],0), MATCH(K$139, lmic_raw_lb[#Headers],0))=0, INDEX(regions_lb[], MATCH($D140, regions_lb[[setting]:[setting]],0), MATCH(K$139, regions_lb[#Headers],0)),INDEX(lmic_raw_lb[],MATCH($A140,lmic_raw_lb[[setting]:[setting]],0), MATCH(K$139, lmic_raw_lb[#Headers],0)))</calculatedColumnFormula>
    </tableColumn>
    <tableColumn id="12" xr3:uid="{00000000-0010-0000-0200-00000C000000}" name="hbv3_cov" dataDxfId="251">
      <calculatedColumnFormula>IF(INDEX(lmic_raw_lb[],MATCH($A140,lmic_raw_lb[[setting]:[setting]],0), MATCH(L$139, lmic_raw_lb[#Headers],0))=0, INDEX(regions_lb[], MATCH($D140, regions_lb[[setting]:[setting]],0), MATCH(L$139, regions_lb[#Headers],0)),INDEX(lmic_raw_lb[],MATCH($A140,lmic_raw_lb[[setting]:[setting]],0), MATCH(L$139, lmic_raw_lb[#Headers],0)))</calculatedColumnFormula>
    </tableColumn>
    <tableColumn id="13" xr3:uid="{00000000-0010-0000-0200-00000D000000}" name="hbv_prev" dataDxfId="250">
      <calculatedColumnFormula>IF(INDEX(lmic_raw_lb[],MATCH($A140,lmic_raw_lb[[setting]:[setting]],0), MATCH(M$139, lmic_raw_lb[#Headers],0))=0, INDEX(regions_lb[], MATCH($D140, regions_lb[[setting]:[setting]],0), MATCH(M$139, regions_lb[#Headers],0)),INDEX(lmic_raw_lb[],MATCH($A140,lmic_raw_lb[[setting]:[setting]],0), MATCH(M$139, lmic_raw_lb[#Headers],0)))</calculatedColumnFormula>
    </tableColumn>
    <tableColumn id="14" xr3:uid="{00000000-0010-0000-0200-00000E000000}" name="hbe_prev" dataDxfId="249">
      <calculatedColumnFormula>IF(INDEX(lmic_raw_lb[],MATCH($A140,lmic_raw_lb[[setting]:[setting]],0), MATCH(N$139, lmic_raw_lb[#Headers],0))=0, INDEX(regions_lb[], MATCH($D140, regions_lb[[setting]:[setting]],0), MATCH(N$139, regions_lb[#Headers],0)),INDEX(lmic_raw_lb[],MATCH($A140,lmic_raw_lb[[setting]:[setting]],0), MATCH(N$139, lmic_raw_lb[#Headers],0)))</calculatedColumnFormula>
    </tableColumn>
    <tableColumn id="15" xr3:uid="{00000000-0010-0000-0200-00000F000000}" name="epos" dataDxfId="248">
      <calculatedColumnFormula>IF(INDEX(lmic_raw_lb[],MATCH($A140,lmic_raw_lb[[setting]:[setting]],0), MATCH(O$139, lmic_raw_lb[#Headers],0))=0, INDEX(regions_lb[], MATCH($D140, regions_lb[[setting]:[setting]],0), MATCH(O$139, regions_lb[#Headers],0)),INDEX(lmic_raw_lb[],MATCH($A140,lmic_raw_lb[[setting]:[setting]],0), MATCH(O$139, lmic_raw_lb[#Headers],0)))</calculatedColumnFormula>
    </tableColumn>
    <tableColumn id="16" xr3:uid="{00000000-0010-0000-0200-000010000000}" name="eneg" dataDxfId="247">
      <calculatedColumnFormula>IF(INDEX(lmic_raw_lb[],MATCH($A140,lmic_raw_lb[[setting]:[setting]],0), MATCH(P$139, lmic_raw_lb[#Headers],0))=0, INDEX(regions_lb[], MATCH($D140, regions_lb[[setting]:[setting]],0), MATCH(P$139, regions_lb[#Headers],0)),INDEX(lmic_raw_lb[],MATCH($A140,lmic_raw_lb[[setting]:[setting]],0), MATCH(P$139, lmic_raw_lb[#Headers],0)))</calculatedColumnFormula>
    </tableColumn>
    <tableColumn id="17" xr3:uid="{00000000-0010-0000-0200-000011000000}" name="c_diag" dataDxfId="246">
      <calculatedColumnFormula>IF(INDEX(lmic_raw_lb[],MATCH($A140,lmic_raw_lb[[setting]:[setting]],0), MATCH(Q$139, lmic_raw_lb[#Headers],0))=0, INDEX(regions_lb[], MATCH($D140, regions_lb[[setting]:[setting]],0), MATCH(Q$139, regions_lb[#Headers],0)),INDEX(lmic_raw_lb[],MATCH($A140,lmic_raw_lb[[setting]:[setting]],0), MATCH(Q$139, lmic_raw_lb[#Headers],0)))</calculatedColumnFormula>
    </tableColumn>
    <tableColumn id="18" xr3:uid="{00000000-0010-0000-0200-000012000000}" name="c_C" dataDxfId="245">
      <calculatedColumnFormula>IF(INDEX(lmic_raw_lb[],MATCH($A140,lmic_raw_lb[[setting]:[setting]],0), MATCH(R$139, lmic_raw_lb[#Headers],0))=0, INDEX(regions_lb[], MATCH($D140, regions_lb[[setting]:[setting]],0), MATCH(R$139, regions_lb[#Headers],0)),INDEX(lmic_raw_lb[],MATCH($A140,lmic_raw_lb[[setting]:[setting]],0), MATCH(R$139, lmic_raw_lb[#Headers],0)))</calculatedColumnFormula>
    </tableColumn>
    <tableColumn id="19" xr3:uid="{00000000-0010-0000-0200-000013000000}" name="c_CC" dataDxfId="244">
      <calculatedColumnFormula>IF(INDEX(lmic_raw_lb[],MATCH($A140,lmic_raw_lb[[setting]:[setting]],0), MATCH(S$139, lmic_raw_lb[#Headers],0))=0, INDEX(regions_lb[], MATCH($D140, regions_lb[[setting]:[setting]],0), MATCH(S$139, regions_lb[#Headers],0)),INDEX(lmic_raw_lb[],MATCH($A140,lmic_raw_lb[[setting]:[setting]],0), MATCH(S$139, lmic_raw_lb[#Headers],0)))</calculatedColumnFormula>
    </tableColumn>
    <tableColumn id="20" xr3:uid="{00000000-0010-0000-0200-000014000000}" name="c_DC" dataDxfId="243">
      <calculatedColumnFormula>IF(INDEX(lmic_raw_lb[],MATCH($A140,lmic_raw_lb[[setting]:[setting]],0), MATCH(T$139, lmic_raw_lb[#Headers],0))=0, INDEX(regions_lb[], MATCH($D140, regions_lb[[setting]:[setting]],0), MATCH(T$139, regions_lb[#Headers],0)),INDEX(lmic_raw_lb[],MATCH($A140,lmic_raw_lb[[setting]:[setting]],0), MATCH(T$139, lmic_raw_lb[#Headers],0)))</calculatedColumnFormula>
    </tableColumn>
    <tableColumn id="21" xr3:uid="{00000000-0010-0000-0200-000015000000}" name="c_HCC" dataDxfId="242">
      <calculatedColumnFormula>IF(INDEX(lmic_raw_lb[],MATCH($A140,lmic_raw_lb[[setting]:[setting]],0), MATCH(U$139, lmic_raw_lb[#Headers],0))=0, INDEX(regions_lb[], MATCH($D140, regions_lb[[setting]:[setting]],0), MATCH(U$139, regions_lb[#Headers],0)),INDEX(lmic_raw_lb[],MATCH($A140,lmic_raw_lb[[setting]:[setting]],0), MATCH(U$139, lmic_raw_lb[#Headers],0)))</calculatedColumnFormula>
    </tableColumn>
    <tableColumn id="22" xr3:uid="{00000000-0010-0000-0200-000016000000}" name="bl1_f" dataDxfId="241">
      <calculatedColumnFormula>IF(INDEX(lmic_raw_lb[],MATCH($A140,lmic_raw_lb[[setting]:[setting]],0), MATCH(V$139, lmic_raw_lb[#Headers],0))=0, INDEX(regions_lb[], MATCH($D140, regions_lb[[setting]:[setting]],0), MATCH(V$139, regions_lb[#Headers],0)),INDEX(lmic_raw_lb[],MATCH($A140,lmic_raw_lb[[setting]:[setting]],0), MATCH(V$139, lmic_raw_lb[#Headers],0)))</calculatedColumnFormula>
    </tableColumn>
    <tableColumn id="23" xr3:uid="{00000000-0010-0000-0200-000017000000}" name="bl1_c" dataDxfId="240">
      <calculatedColumnFormula>IF(INDEX(lmic_raw_lb[],MATCH($A140,lmic_raw_lb[[setting]:[setting]],0), MATCH(W$139, lmic_raw_lb[#Headers],0))=0, INDEX(regions_lb[], MATCH($D140, regions_lb[[setting]:[setting]],0), MATCH(W$139, regions_lb[#Headers],0)),INDEX(lmic_raw_lb[],MATCH($A140,lmic_raw_lb[[setting]:[setting]],0), MATCH(W$139, lmic_raw_lb[#Headers],0)))</calculatedColumnFormula>
    </tableColumn>
    <tableColumn id="24" xr3:uid="{00000000-0010-0000-0200-000018000000}" name="map_f" dataDxfId="239">
      <calculatedColumnFormula>IF(INDEX(lmic_raw_lb[],MATCH($A140,lmic_raw_lb[[setting]:[setting]],0), MATCH(X$139, lmic_raw_lb[#Headers],0))=0, INDEX(regions_lb[], MATCH($D140, regions_lb[[setting]:[setting]],0), MATCH(X$139, regions_lb[#Headers],0)),INDEX(lmic_raw_lb[],MATCH($A140,lmic_raw_lb[[setting]:[setting]],0), MATCH(X$139, lmic_raw_lb[#Headers],0)))</calculatedColumnFormula>
    </tableColumn>
    <tableColumn id="25" xr3:uid="{00000000-0010-0000-0200-000019000000}" name="map_cq" dataDxfId="238">
      <calculatedColumnFormula>IF(INDEX(lmic_raw_lb[],MATCH($A140,lmic_raw_lb[[setting]:[setting]],0), MATCH(Y$139, lmic_raw_lb[#Headers],0))=0, INDEX(regions_lb[], MATCH($D140, regions_lb[[setting]:[setting]],0), MATCH(Y$139, regions_lb[#Headers],0)),INDEX(lmic_raw_lb[],MATCH($A140,lmic_raw_lb[[setting]:[setting]],0), MATCH(Y$139, lmic_raw_lb[#Headers],0)))</calculatedColumnFormula>
    </tableColumn>
    <tableColumn id="26" xr3:uid="{00000000-0010-0000-0200-00001A000000}" name="map_cl" dataDxfId="237">
      <calculatedColumnFormula>IF(INDEX(lmic_raw_lb[],MATCH($A140,lmic_raw_lb[[setting]:[setting]],0), MATCH(Z$139, lmic_raw_lb[#Headers],0))=0, INDEX(regions_lb[], MATCH($D140, regions_lb[[setting]:[setting]],0), MATCH(Z$139, regions_lb[#Headers],0)),INDEX(lmic_raw_lb[],MATCH($A140,lmic_raw_lb[[setting]:[setting]],0), MATCH(Z$139, lmic_raw_lb[#Headers],0)))</calculatedColumnFormula>
    </tableColumn>
    <tableColumn id="27" xr3:uid="{00000000-0010-0000-0200-00001B000000}" name="ctc_f" dataDxfId="236">
      <calculatedColumnFormula>IF(INDEX(lmic_raw_lb[],MATCH($A140,lmic_raw_lb[[setting]:[setting]],0), MATCH(AA$139, lmic_raw_lb[#Headers],0))=0, INDEX(regions_lb[], MATCH($D140, regions_lb[[setting]:[setting]],0), MATCH(AA$139, regions_lb[#Headers],0)),INDEX(lmic_raw_lb[],MATCH($A140,lmic_raw_lb[[setting]:[setting]],0), MATCH(AA$139, lmic_raw_lb[#Headers],0)))</calculatedColumnFormula>
    </tableColumn>
    <tableColumn id="28" xr3:uid="{00000000-0010-0000-0200-00001C000000}" name="ctc_c" dataDxfId="235">
      <calculatedColumnFormula>IF(INDEX(lmic_raw_lb[],MATCH($A140,lmic_raw_lb[[setting]:[setting]],0), MATCH(AB$139, lmic_raw_lb[#Headers],0))=0, INDEX(regions_lb[], MATCH($D140, regions_lb[[setting]:[setting]],0), MATCH(AB$139, regions_lb[#Headers],0)),INDEX(lmic_raw_lb[],MATCH($A140,lmic_raw_lb[[setting]:[setting]],0), MATCH(AB$139, lmic_raw_lb[#Headers],0)))</calculatedColumnFormula>
    </tableColumn>
    <tableColumn id="29" xr3:uid="{00000000-0010-0000-0200-00001D000000}" name="m_01" dataDxfId="234">
      <calculatedColumnFormula>IF(INDEX(lmic_raw_lb[],MATCH($A140,lmic_raw_lb[[setting]:[setting]],0), MATCH(AC$139, lmic_raw_lb[#Headers],0))=0, INDEX(regions_lb[], MATCH($D140, regions_lb[[setting]:[setting]],0), MATCH(AC$139, regions_lb[#Headers],0)),INDEX(lmic_raw_lb[],MATCH($A140,lmic_raw_lb[[setting]:[setting]],0), MATCH(AC$139, lmic_raw_lb[#Headers],0)))</calculatedColumnFormula>
    </tableColumn>
    <tableColumn id="30" xr3:uid="{00000000-0010-0000-0200-00001E000000}" name="m_14" dataDxfId="233">
      <calculatedColumnFormula>IF(INDEX(lmic_raw_lb[],MATCH($A140,lmic_raw_lb[[setting]:[setting]],0), MATCH(AD$139, lmic_raw_lb[#Headers],0))=0, INDEX(regions_lb[], MATCH($D140, regions_lb[[setting]:[setting]],0), MATCH(AD$139, regions_lb[#Headers],0)),INDEX(lmic_raw_lb[],MATCH($A140,lmic_raw_lb[[setting]:[setting]],0), MATCH(AD$139, lmic_raw_lb[#Headers],0)))</calculatedColumnFormula>
    </tableColumn>
    <tableColumn id="31" xr3:uid="{00000000-0010-0000-0200-00001F000000}" name="m_59" dataDxfId="232">
      <calculatedColumnFormula>IF(INDEX(lmic_raw_lb[],MATCH($A140,lmic_raw_lb[[setting]:[setting]],0), MATCH(AE$139, lmic_raw_lb[#Headers],0))=0, INDEX(regions_lb[], MATCH($D140, regions_lb[[setting]:[setting]],0), MATCH(AE$139, regions_lb[#Headers],0)),INDEX(lmic_raw_lb[],MATCH($A140,lmic_raw_lb[[setting]:[setting]],0), MATCH(AE$139, lmic_raw_lb[#Headers],0)))</calculatedColumnFormula>
    </tableColumn>
    <tableColumn id="32" xr3:uid="{00000000-0010-0000-0200-000020000000}" name="m_1014" dataDxfId="231">
      <calculatedColumnFormula>IF(INDEX(lmic_raw_lb[],MATCH($A140,lmic_raw_lb[[setting]:[setting]],0), MATCH(AF$139, lmic_raw_lb[#Headers],0))=0, INDEX(regions_lb[], MATCH($D140, regions_lb[[setting]:[setting]],0), MATCH(AF$139, regions_lb[#Headers],0)),INDEX(lmic_raw_lb[],MATCH($A140,lmic_raw_lb[[setting]:[setting]],0), MATCH(AF$139, lmic_raw_lb[#Headers],0)))</calculatedColumnFormula>
    </tableColumn>
    <tableColumn id="33" xr3:uid="{00000000-0010-0000-0200-000021000000}" name="m_1519" dataDxfId="230">
      <calculatedColumnFormula>IF(INDEX(lmic_raw_lb[],MATCH($A140,lmic_raw_lb[[setting]:[setting]],0), MATCH(AG$139, lmic_raw_lb[#Headers],0))=0, INDEX(regions_lb[], MATCH($D140, regions_lb[[setting]:[setting]],0), MATCH(AG$139, regions_lb[#Headers],0)),INDEX(lmic_raw_lb[],MATCH($A140,lmic_raw_lb[[setting]:[setting]],0), MATCH(AG$139, lmic_raw_lb[#Headers],0)))</calculatedColumnFormula>
    </tableColumn>
    <tableColumn id="34" xr3:uid="{00000000-0010-0000-0200-000022000000}" name="m_2024" dataDxfId="229">
      <calculatedColumnFormula>IF(INDEX(lmic_raw_lb[],MATCH($A140,lmic_raw_lb[[setting]:[setting]],0), MATCH(AH$139, lmic_raw_lb[#Headers],0))=0, INDEX(regions_lb[], MATCH($D140, regions_lb[[setting]:[setting]],0), MATCH(AH$139, regions_lb[#Headers],0)),INDEX(lmic_raw_lb[],MATCH($A140,lmic_raw_lb[[setting]:[setting]],0), MATCH(AH$139, lmic_raw_lb[#Headers],0)))</calculatedColumnFormula>
    </tableColumn>
    <tableColumn id="35" xr3:uid="{00000000-0010-0000-0200-000023000000}" name="m_2529" dataDxfId="228">
      <calculatedColumnFormula>IF(INDEX(lmic_raw_lb[],MATCH($A140,lmic_raw_lb[[setting]:[setting]],0), MATCH(AI$139, lmic_raw_lb[#Headers],0))=0, INDEX(regions_lb[], MATCH($D140, regions_lb[[setting]:[setting]],0), MATCH(AI$139, regions_lb[#Headers],0)),INDEX(lmic_raw_lb[],MATCH($A140,lmic_raw_lb[[setting]:[setting]],0), MATCH(AI$139, lmic_raw_lb[#Headers],0)))</calculatedColumnFormula>
    </tableColumn>
    <tableColumn id="36" xr3:uid="{00000000-0010-0000-0200-000024000000}" name="m_3034" dataDxfId="227">
      <calculatedColumnFormula>IF(INDEX(lmic_raw_lb[],MATCH($A140,lmic_raw_lb[[setting]:[setting]],0), MATCH(AJ$139, lmic_raw_lb[#Headers],0))=0, INDEX(regions_lb[], MATCH($D140, regions_lb[[setting]:[setting]],0), MATCH(AJ$139, regions_lb[#Headers],0)),INDEX(lmic_raw_lb[],MATCH($A140,lmic_raw_lb[[setting]:[setting]],0), MATCH(AJ$139, lmic_raw_lb[#Headers],0)))</calculatedColumnFormula>
    </tableColumn>
    <tableColumn id="37" xr3:uid="{00000000-0010-0000-0200-000025000000}" name="m_3539" dataDxfId="226">
      <calculatedColumnFormula>IF(INDEX(lmic_raw_lb[],MATCH($A140,lmic_raw_lb[[setting]:[setting]],0), MATCH(AK$139, lmic_raw_lb[#Headers],0))=0, INDEX(regions_lb[], MATCH($D140, regions_lb[[setting]:[setting]],0), MATCH(AK$139, regions_lb[#Headers],0)),INDEX(lmic_raw_lb[],MATCH($A140,lmic_raw_lb[[setting]:[setting]],0), MATCH(AK$139, lmic_raw_lb[#Headers],0)))</calculatedColumnFormula>
    </tableColumn>
    <tableColumn id="38" xr3:uid="{00000000-0010-0000-0200-000026000000}" name="m_4044" dataDxfId="225">
      <calculatedColumnFormula>IF(INDEX(lmic_raw_lb[],MATCH($A140,lmic_raw_lb[[setting]:[setting]],0), MATCH(AL$139, lmic_raw_lb[#Headers],0))=0, INDEX(regions_lb[], MATCH($D140, regions_lb[[setting]:[setting]],0), MATCH(AL$139, regions_lb[#Headers],0)),INDEX(lmic_raw_lb[],MATCH($A140,lmic_raw_lb[[setting]:[setting]],0), MATCH(AL$139, lmic_raw_lb[#Headers],0)))</calculatedColumnFormula>
    </tableColumn>
    <tableColumn id="39" xr3:uid="{00000000-0010-0000-0200-000027000000}" name="m_4549" dataDxfId="224">
      <calculatedColumnFormula>IF(INDEX(lmic_raw_lb[],MATCH($A140,lmic_raw_lb[[setting]:[setting]],0), MATCH(AM$139, lmic_raw_lb[#Headers],0))=0, INDEX(regions_lb[], MATCH($D140, regions_lb[[setting]:[setting]],0), MATCH(AM$139, regions_lb[#Headers],0)),INDEX(lmic_raw_lb[],MATCH($A140,lmic_raw_lb[[setting]:[setting]],0), MATCH(AM$139, lmic_raw_lb[#Headers],0)))</calculatedColumnFormula>
    </tableColumn>
    <tableColumn id="40" xr3:uid="{00000000-0010-0000-0200-000028000000}" name="m_5054" dataDxfId="223">
      <calculatedColumnFormula>IF(INDEX(lmic_raw_lb[],MATCH($A140,lmic_raw_lb[[setting]:[setting]],0), MATCH(AN$139, lmic_raw_lb[#Headers],0))=0, INDEX(regions_lb[], MATCH($D140, regions_lb[[setting]:[setting]],0), MATCH(AN$139, regions_lb[#Headers],0)),INDEX(lmic_raw_lb[],MATCH($A140,lmic_raw_lb[[setting]:[setting]],0), MATCH(AN$139, lmic_raw_lb[#Headers],0)))</calculatedColumnFormula>
    </tableColumn>
    <tableColumn id="41" xr3:uid="{00000000-0010-0000-0200-000029000000}" name="m_5559" dataDxfId="222">
      <calculatedColumnFormula>IF(INDEX(lmic_raw_lb[],MATCH($A140,lmic_raw_lb[[setting]:[setting]],0), MATCH(AO$139, lmic_raw_lb[#Headers],0))=0, INDEX(regions_lb[], MATCH($D140, regions_lb[[setting]:[setting]],0), MATCH(AO$139, regions_lb[#Headers],0)),INDEX(lmic_raw_lb[],MATCH($A140,lmic_raw_lb[[setting]:[setting]],0), MATCH(AO$139, lmic_raw_lb[#Headers],0)))</calculatedColumnFormula>
    </tableColumn>
    <tableColumn id="42" xr3:uid="{00000000-0010-0000-0200-00002A000000}" name="m_6064" dataDxfId="221">
      <calculatedColumnFormula>IF(INDEX(lmic_raw_lb[],MATCH($A140,lmic_raw_lb[[setting]:[setting]],0), MATCH(AP$139, lmic_raw_lb[#Headers],0))=0, INDEX(regions_lb[], MATCH($D140, regions_lb[[setting]:[setting]],0), MATCH(AP$139, regions_lb[#Headers],0)),INDEX(lmic_raw_lb[],MATCH($A140,lmic_raw_lb[[setting]:[setting]],0), MATCH(AP$139, lmic_raw_lb[#Headers],0)))</calculatedColumnFormula>
    </tableColumn>
    <tableColumn id="43" xr3:uid="{00000000-0010-0000-0200-00002B000000}" name="m_6569" dataDxfId="220">
      <calculatedColumnFormula>IF(INDEX(lmic_raw_lb[],MATCH($A140,lmic_raw_lb[[setting]:[setting]],0), MATCH(AQ$139, lmic_raw_lb[#Headers],0))=0, INDEX(regions_lb[], MATCH($D140, regions_lb[[setting]:[setting]],0), MATCH(AQ$139, regions_lb[#Headers],0)),INDEX(lmic_raw_lb[],MATCH($A140,lmic_raw_lb[[setting]:[setting]],0), MATCH(AQ$139, lmic_raw_lb[#Headers],0)))</calculatedColumnFormula>
    </tableColumn>
    <tableColumn id="44" xr3:uid="{00000000-0010-0000-0200-00002C000000}" name="m_7074" dataDxfId="219">
      <calculatedColumnFormula>IF(INDEX(lmic_raw_lb[],MATCH($A140,lmic_raw_lb[[setting]:[setting]],0), MATCH(AR$139, lmic_raw_lb[#Headers],0))=0, INDEX(regions_lb[], MATCH($D140, regions_lb[[setting]:[setting]],0), MATCH(AR$139, regions_lb[#Headers],0)),INDEX(lmic_raw_lb[],MATCH($A140,lmic_raw_lb[[setting]:[setting]],0), MATCH(AR$139, lmic_raw_lb[#Headers],0)))</calculatedColumnFormula>
    </tableColumn>
    <tableColumn id="45" xr3:uid="{00000000-0010-0000-0200-00002D000000}" name="m_7079" dataDxfId="218">
      <calculatedColumnFormula>IF(INDEX(lmic_raw_lb[],MATCH($A140,lmic_raw_lb[[setting]:[setting]],0), MATCH(AS$139, lmic_raw_lb[#Headers],0))=0, INDEX(regions_lb[], MATCH($D140, regions_lb[[setting]:[setting]],0), MATCH(AS$139, regions_lb[#Headers],0)),INDEX(lmic_raw_lb[],MATCH($A140,lmic_raw_lb[[setting]:[setting]],0), MATCH(AS$139, lmic_raw_lb[#Headers],0)))</calculatedColumnFormula>
    </tableColumn>
    <tableColumn id="46" xr3:uid="{00000000-0010-0000-0200-00002E000000}" name="m_8084" dataDxfId="217">
      <calculatedColumnFormula>IF(INDEX(lmic_raw_lb[],MATCH($A140,lmic_raw_lb[[setting]:[setting]],0), MATCH(AT$139, lmic_raw_lb[#Headers],0))=0, INDEX(regions_lb[], MATCH($D140, regions_lb[[setting]:[setting]],0), MATCH(AT$139, regions_lb[#Headers],0)),INDEX(lmic_raw_lb[],MATCH($A140,lmic_raw_lb[[setting]:[setting]],0), MATCH(AT$139, lmic_raw_lb[#Headers],0)))</calculatedColumnFormula>
    </tableColumn>
    <tableColumn id="47" xr3:uid="{00000000-0010-0000-0200-00002F000000}" name="m_8589" dataDxfId="216">
      <calculatedColumnFormula>IF(INDEX(lmic_raw_lb[],MATCH($A140,lmic_raw_lb[[setting]:[setting]],0), MATCH(AU$139, lmic_raw_lb[#Headers],0))=0, INDEX(regions_lb[], MATCH($D140, regions_lb[[setting]:[setting]],0), MATCH(AU$139, regions_lb[#Headers],0)),INDEX(lmic_raw_lb[],MATCH($A140,lmic_raw_lb[[setting]:[setting]],0), MATCH(AU$139, lmic_raw_lb[#Headers],0)))</calculatedColumnFormula>
    </tableColumn>
    <tableColumn id="48" xr3:uid="{00000000-0010-0000-0200-000030000000}" name="m_9094" dataDxfId="215">
      <calculatedColumnFormula>IF(INDEX(lmic_raw_lb[],MATCH($A140,lmic_raw_lb[[setting]:[setting]],0), MATCH(AV$139, lmic_raw_lb[#Headers],0))=0, INDEX(regions_lb[], MATCH($D140, regions_lb[[setting]:[setting]],0), MATCH(AV$139, regions_lb[#Headers],0)),INDEX(lmic_raw_lb[],MATCH($A140,lmic_raw_lb[[setting]:[setting]],0), MATCH(AV$139, lmic_raw_lb[#Headers],0)))</calculatedColumnFormula>
    </tableColumn>
    <tableColumn id="49" xr3:uid="{00000000-0010-0000-0200-000031000000}" name="m_95+" dataDxfId="214">
      <calculatedColumnFormula>IF(INDEX(lmic_raw_lb[],MATCH($A140,lmic_raw_lb[[setting]:[setting]],0), MATCH(AW$139, lmic_raw_lb[#Headers],0))=0, INDEX(regions_lb[], MATCH($D140, regions_lb[[setting]:[setting]],0), MATCH(AW$139, regions_lb[#Headers],0)),INDEX(lmic_raw_lb[],MATCH($A140,lmic_raw_lb[[setting]:[setting]],0), MATCH(AW$139, lmic_raw_lb[#Headers],0)))</calculatedColumnFormula>
    </tableColumn>
    <tableColumn id="50" xr3:uid="{00000000-0010-0000-0200-000032000000}" name="av_life" dataDxfId="213">
      <calculatedColumnFormula>IF(INDEX(lmic_raw_lb[],MATCH($A140,lmic_raw_lb[[setting]:[setting]],0), MATCH(AX$139, lmic_raw_lb[#Headers],0))=0, INDEX(regions_lb[], MATCH($D140, regions_lb[[setting]:[setting]],0), MATCH(AX$139, regions_lb[#Headers],0)),INDEX(lmic_raw_lb[],MATCH($A140,lmic_raw_lb[[setting]:[setting]],0), MATCH(AX$139, lmic_raw_lb[#Headers],0)))</calculatedColumnFormula>
    </tableColumn>
    <tableColumn id="51" xr3:uid="{00000000-0010-0000-0200-000033000000}" name="cov_impute" dataDxfId="212">
      <calculatedColumnFormula>IF(VLOOKUP(lmics_lb[[#This Row],[setting]],lmic_raw_lb[],11,FALSE)=0, "Yes", "No")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regions" displayName="regions" ref="A1:AY8" totalsRowShown="0" headerRowDxfId="211">
  <autoFilter ref="A1:AY8" xr:uid="{00000000-0009-0000-0100-000012000000}"/>
  <tableColumns count="51">
    <tableColumn id="1" xr3:uid="{00000000-0010-0000-0300-000001000000}" name="setting"/>
    <tableColumn id="2" xr3:uid="{00000000-0010-0000-0300-000002000000}" name="iso3"/>
    <tableColumn id="3" xr3:uid="{00000000-0010-0000-0300-000003000000}" name="num"/>
    <tableColumn id="4" xr3:uid="{00000000-0010-0000-0300-000004000000}" name="who_region"/>
    <tableColumn id="5" xr3:uid="{00000000-0010-0000-0300-000005000000}" name="gbd_region"/>
    <tableColumn id="6" xr3:uid="{00000000-0010-0000-0300-000006000000}" name="gbd_super"/>
    <tableColumn id="7" xr3:uid="{00000000-0010-0000-0300-000007000000}" name="wb_class"/>
    <tableColumn id="8" xr3:uid="{00000000-0010-0000-0300-000008000000}" name="pop" dataDxfId="210" dataCellStyle="Comma"/>
    <tableColumn id="9" xr3:uid="{00000000-0010-0000-0300-000009000000}" name="births" dataDxfId="209" dataCellStyle="Comma"/>
    <tableColumn id="10" xr3:uid="{00000000-0010-0000-0300-00000A000000}" name="fac_birth"/>
    <tableColumn id="11" xr3:uid="{00000000-0010-0000-0300-00000B000000}" name="bd_cov"/>
    <tableColumn id="12" xr3:uid="{00000000-0010-0000-0300-00000C000000}" name="hbv3_cov"/>
    <tableColumn id="13" xr3:uid="{00000000-0010-0000-0300-00000D000000}" name="hbv_prev"/>
    <tableColumn id="14" xr3:uid="{00000000-0010-0000-0300-00000E000000}" name="hbe_prev"/>
    <tableColumn id="15" xr3:uid="{00000000-0010-0000-0300-00000F000000}" name="epos"/>
    <tableColumn id="16" xr3:uid="{00000000-0010-0000-0300-000010000000}" name="eneg"/>
    <tableColumn id="17" xr3:uid="{00000000-0010-0000-0300-000011000000}" name="c_diag"/>
    <tableColumn id="18" xr3:uid="{00000000-0010-0000-0300-000012000000}" name="c_C"/>
    <tableColumn id="19" xr3:uid="{00000000-0010-0000-0300-000013000000}" name="c_CC"/>
    <tableColumn id="20" xr3:uid="{00000000-0010-0000-0300-000014000000}" name="c_DC"/>
    <tableColumn id="21" xr3:uid="{00000000-0010-0000-0300-000015000000}" name="c_HCC"/>
    <tableColumn id="22" xr3:uid="{00000000-0010-0000-0300-000016000000}" name="bl1_f"/>
    <tableColumn id="23" xr3:uid="{00000000-0010-0000-0300-000017000000}" name="bl1_c"/>
    <tableColumn id="24" xr3:uid="{00000000-0010-0000-0300-000018000000}" name="map_f"/>
    <tableColumn id="25" xr3:uid="{00000000-0010-0000-0300-000019000000}" name="map_cq"/>
    <tableColumn id="26" xr3:uid="{00000000-0010-0000-0300-00001A000000}" name="map_cl"/>
    <tableColumn id="27" xr3:uid="{00000000-0010-0000-0300-00001B000000}" name="ctc_f"/>
    <tableColumn id="28" xr3:uid="{00000000-0010-0000-0300-00001C000000}" name="ctc_c"/>
    <tableColumn id="29" xr3:uid="{00000000-0010-0000-0300-00001D000000}" name="m_01"/>
    <tableColumn id="30" xr3:uid="{00000000-0010-0000-0300-00001E000000}" name="m_14"/>
    <tableColumn id="31" xr3:uid="{00000000-0010-0000-0300-00001F000000}" name="m_59"/>
    <tableColumn id="32" xr3:uid="{00000000-0010-0000-0300-000020000000}" name="m_1014"/>
    <tableColumn id="33" xr3:uid="{00000000-0010-0000-0300-000021000000}" name="m_1519"/>
    <tableColumn id="34" xr3:uid="{00000000-0010-0000-0300-000022000000}" name="m_2024"/>
    <tableColumn id="35" xr3:uid="{00000000-0010-0000-0300-000023000000}" name="m_2529"/>
    <tableColumn id="36" xr3:uid="{00000000-0010-0000-0300-000024000000}" name="m_3034"/>
    <tableColumn id="37" xr3:uid="{00000000-0010-0000-0300-000025000000}" name="m_3539"/>
    <tableColumn id="38" xr3:uid="{00000000-0010-0000-0300-000026000000}" name="m_4044"/>
    <tableColumn id="39" xr3:uid="{00000000-0010-0000-0300-000027000000}" name="m_4549"/>
    <tableColumn id="40" xr3:uid="{00000000-0010-0000-0300-000028000000}" name="m_5054"/>
    <tableColumn id="41" xr3:uid="{00000000-0010-0000-0300-000029000000}" name="m_5559"/>
    <tableColumn id="42" xr3:uid="{00000000-0010-0000-0300-00002A000000}" name="m_6064"/>
    <tableColumn id="43" xr3:uid="{00000000-0010-0000-0300-00002B000000}" name="m_6569"/>
    <tableColumn id="44" xr3:uid="{00000000-0010-0000-0300-00002C000000}" name="m_7074"/>
    <tableColumn id="45" xr3:uid="{00000000-0010-0000-0300-00002D000000}" name="m_7079"/>
    <tableColumn id="46" xr3:uid="{00000000-0010-0000-0300-00002E000000}" name="m_8084"/>
    <tableColumn id="47" xr3:uid="{00000000-0010-0000-0300-00002F000000}" name="m_8589"/>
    <tableColumn id="48" xr3:uid="{00000000-0010-0000-0300-000030000000}" name="m_9094"/>
    <tableColumn id="49" xr3:uid="{00000000-0010-0000-0300-000031000000}" name="m_95+"/>
    <tableColumn id="50" xr3:uid="{00000000-0010-0000-0300-000032000000}" name="av_life"/>
    <tableColumn id="51" xr3:uid="{00000000-0010-0000-0300-000033000000}" name="cov_impu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regions_lb" displayName="regions_lb" ref="A10:AY17" totalsRowShown="0" headerRowDxfId="208">
  <autoFilter ref="A10:AY17" xr:uid="{00000000-0009-0000-0100-000013000000}"/>
  <tableColumns count="51">
    <tableColumn id="1" xr3:uid="{00000000-0010-0000-0400-000001000000}" name="setting"/>
    <tableColumn id="2" xr3:uid="{00000000-0010-0000-0400-000002000000}" name="iso3"/>
    <tableColumn id="3" xr3:uid="{00000000-0010-0000-0400-000003000000}" name="num"/>
    <tableColumn id="4" xr3:uid="{00000000-0010-0000-0400-000004000000}" name="who_region"/>
    <tableColumn id="5" xr3:uid="{00000000-0010-0000-0400-000005000000}" name="gbd_region"/>
    <tableColumn id="6" xr3:uid="{00000000-0010-0000-0400-000006000000}" name="gbd_super"/>
    <tableColumn id="7" xr3:uid="{00000000-0010-0000-0400-000007000000}" name="wb_class"/>
    <tableColumn id="8" xr3:uid="{00000000-0010-0000-0400-000008000000}" name="pop"/>
    <tableColumn id="9" xr3:uid="{00000000-0010-0000-0400-000009000000}" name="births"/>
    <tableColumn id="10" xr3:uid="{00000000-0010-0000-0400-00000A000000}" name="fac_birth"/>
    <tableColumn id="11" xr3:uid="{00000000-0010-0000-0400-00000B000000}" name="bd_cov"/>
    <tableColumn id="12" xr3:uid="{00000000-0010-0000-0400-00000C000000}" name="hbv3_cov"/>
    <tableColumn id="13" xr3:uid="{00000000-0010-0000-0400-00000D000000}" name="hbv_prev"/>
    <tableColumn id="14" xr3:uid="{00000000-0010-0000-0400-00000E000000}" name="hbe_prev"/>
    <tableColumn id="15" xr3:uid="{00000000-0010-0000-0400-00000F000000}" name="epos"/>
    <tableColumn id="16" xr3:uid="{00000000-0010-0000-0400-000010000000}" name="eneg"/>
    <tableColumn id="17" xr3:uid="{00000000-0010-0000-0400-000011000000}" name="c_diag"/>
    <tableColumn id="18" xr3:uid="{00000000-0010-0000-0400-000012000000}" name="c_C"/>
    <tableColumn id="19" xr3:uid="{00000000-0010-0000-0400-000013000000}" name="c_CC"/>
    <tableColumn id="20" xr3:uid="{00000000-0010-0000-0400-000014000000}" name="c_DC"/>
    <tableColumn id="21" xr3:uid="{00000000-0010-0000-0400-000015000000}" name="c_HCC"/>
    <tableColumn id="22" xr3:uid="{00000000-0010-0000-0400-000016000000}" name="bl1_f"/>
    <tableColumn id="23" xr3:uid="{00000000-0010-0000-0400-000017000000}" name="bl1_c"/>
    <tableColumn id="24" xr3:uid="{00000000-0010-0000-0400-000018000000}" name="map_f"/>
    <tableColumn id="25" xr3:uid="{00000000-0010-0000-0400-000019000000}" name="map_cq"/>
    <tableColumn id="26" xr3:uid="{00000000-0010-0000-0400-00001A000000}" name="map_cl"/>
    <tableColumn id="27" xr3:uid="{00000000-0010-0000-0400-00001B000000}" name="ctc_f"/>
    <tableColumn id="28" xr3:uid="{00000000-0010-0000-0400-00001C000000}" name="ctc_c"/>
    <tableColumn id="29" xr3:uid="{00000000-0010-0000-0400-00001D000000}" name="m_01"/>
    <tableColumn id="30" xr3:uid="{00000000-0010-0000-0400-00001E000000}" name="m_14"/>
    <tableColumn id="31" xr3:uid="{00000000-0010-0000-0400-00001F000000}" name="m_59"/>
    <tableColumn id="32" xr3:uid="{00000000-0010-0000-0400-000020000000}" name="m_1014"/>
    <tableColumn id="33" xr3:uid="{00000000-0010-0000-0400-000021000000}" name="m_1519"/>
    <tableColumn id="34" xr3:uid="{00000000-0010-0000-0400-000022000000}" name="m_2024"/>
    <tableColumn id="35" xr3:uid="{00000000-0010-0000-0400-000023000000}" name="m_2529"/>
    <tableColumn id="36" xr3:uid="{00000000-0010-0000-0400-000024000000}" name="m_3034"/>
    <tableColumn id="37" xr3:uid="{00000000-0010-0000-0400-000025000000}" name="m_3539"/>
    <tableColumn id="38" xr3:uid="{00000000-0010-0000-0400-000026000000}" name="m_4044"/>
    <tableColumn id="39" xr3:uid="{00000000-0010-0000-0400-000027000000}" name="m_4549"/>
    <tableColumn id="40" xr3:uid="{00000000-0010-0000-0400-000028000000}" name="m_5054"/>
    <tableColumn id="41" xr3:uid="{00000000-0010-0000-0400-000029000000}" name="m_5559"/>
    <tableColumn id="42" xr3:uid="{00000000-0010-0000-0400-00002A000000}" name="m_6064"/>
    <tableColumn id="43" xr3:uid="{00000000-0010-0000-0400-00002B000000}" name="m_6569"/>
    <tableColumn id="44" xr3:uid="{00000000-0010-0000-0400-00002C000000}" name="m_7074"/>
    <tableColumn id="45" xr3:uid="{00000000-0010-0000-0400-00002D000000}" name="m_7079"/>
    <tableColumn id="46" xr3:uid="{00000000-0010-0000-0400-00002E000000}" name="m_8084"/>
    <tableColumn id="47" xr3:uid="{00000000-0010-0000-0400-00002F000000}" name="m_8589"/>
    <tableColumn id="48" xr3:uid="{00000000-0010-0000-0400-000030000000}" name="m_9094"/>
    <tableColumn id="49" xr3:uid="{00000000-0010-0000-0400-000031000000}" name="m_95+"/>
    <tableColumn id="50" xr3:uid="{00000000-0010-0000-0400-000032000000}" name="av_life"/>
    <tableColumn id="51" xr3:uid="{00000000-0010-0000-0400-000033000000}" name="cov_impu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regions_ub" displayName="regions_ub" ref="A19:AY26" totalsRowShown="0" headerRowDxfId="207">
  <autoFilter ref="A19:AY26" xr:uid="{00000000-0009-0000-0100-000014000000}"/>
  <tableColumns count="51">
    <tableColumn id="1" xr3:uid="{00000000-0010-0000-0500-000001000000}" name="setting"/>
    <tableColumn id="2" xr3:uid="{00000000-0010-0000-0500-000002000000}" name="iso3"/>
    <tableColumn id="3" xr3:uid="{00000000-0010-0000-0500-000003000000}" name="num"/>
    <tableColumn id="4" xr3:uid="{00000000-0010-0000-0500-000004000000}" name="who_region"/>
    <tableColumn id="5" xr3:uid="{00000000-0010-0000-0500-000005000000}" name="gbd_region"/>
    <tableColumn id="6" xr3:uid="{00000000-0010-0000-0500-000006000000}" name="gbd_super"/>
    <tableColumn id="7" xr3:uid="{00000000-0010-0000-0500-000007000000}" name="wb_class"/>
    <tableColumn id="8" xr3:uid="{00000000-0010-0000-0500-000008000000}" name="pop"/>
    <tableColumn id="9" xr3:uid="{00000000-0010-0000-0500-000009000000}" name="births"/>
    <tableColumn id="10" xr3:uid="{00000000-0010-0000-0500-00000A000000}" name="fac_birth"/>
    <tableColumn id="11" xr3:uid="{00000000-0010-0000-0500-00000B000000}" name="bd_cov"/>
    <tableColumn id="12" xr3:uid="{00000000-0010-0000-0500-00000C000000}" name="hbv3_cov"/>
    <tableColumn id="13" xr3:uid="{00000000-0010-0000-0500-00000D000000}" name="hbv_prev"/>
    <tableColumn id="14" xr3:uid="{00000000-0010-0000-0500-00000E000000}" name="hbe_prev"/>
    <tableColumn id="15" xr3:uid="{00000000-0010-0000-0500-00000F000000}" name="epos"/>
    <tableColumn id="16" xr3:uid="{00000000-0010-0000-0500-000010000000}" name="eneg"/>
    <tableColumn id="17" xr3:uid="{00000000-0010-0000-0500-000011000000}" name="c_diag"/>
    <tableColumn id="18" xr3:uid="{00000000-0010-0000-0500-000012000000}" name="c_C"/>
    <tableColumn id="19" xr3:uid="{00000000-0010-0000-0500-000013000000}" name="c_CC"/>
    <tableColumn id="20" xr3:uid="{00000000-0010-0000-0500-000014000000}" name="c_DC"/>
    <tableColumn id="21" xr3:uid="{00000000-0010-0000-0500-000015000000}" name="c_HCC"/>
    <tableColumn id="22" xr3:uid="{00000000-0010-0000-0500-000016000000}" name="bl1_f"/>
    <tableColumn id="23" xr3:uid="{00000000-0010-0000-0500-000017000000}" name="bl1_c"/>
    <tableColumn id="24" xr3:uid="{00000000-0010-0000-0500-000018000000}" name="map_f"/>
    <tableColumn id="25" xr3:uid="{00000000-0010-0000-0500-000019000000}" name="map_cq"/>
    <tableColumn id="26" xr3:uid="{00000000-0010-0000-0500-00001A000000}" name="map_cl"/>
    <tableColumn id="27" xr3:uid="{00000000-0010-0000-0500-00001B000000}" name="ctc_f"/>
    <tableColumn id="28" xr3:uid="{00000000-0010-0000-0500-00001C000000}" name="ctc_c"/>
    <tableColumn id="29" xr3:uid="{00000000-0010-0000-0500-00001D000000}" name="m_01"/>
    <tableColumn id="30" xr3:uid="{00000000-0010-0000-0500-00001E000000}" name="m_14"/>
    <tableColumn id="31" xr3:uid="{00000000-0010-0000-0500-00001F000000}" name="m_59"/>
    <tableColumn id="32" xr3:uid="{00000000-0010-0000-0500-000020000000}" name="m_1014"/>
    <tableColumn id="33" xr3:uid="{00000000-0010-0000-0500-000021000000}" name="m_1519"/>
    <tableColumn id="34" xr3:uid="{00000000-0010-0000-0500-000022000000}" name="m_2024"/>
    <tableColumn id="35" xr3:uid="{00000000-0010-0000-0500-000023000000}" name="m_2529"/>
    <tableColumn id="36" xr3:uid="{00000000-0010-0000-0500-000024000000}" name="m_3034"/>
    <tableColumn id="37" xr3:uid="{00000000-0010-0000-0500-000025000000}" name="m_3539"/>
    <tableColumn id="38" xr3:uid="{00000000-0010-0000-0500-000026000000}" name="m_4044"/>
    <tableColumn id="39" xr3:uid="{00000000-0010-0000-0500-000027000000}" name="m_4549"/>
    <tableColumn id="40" xr3:uid="{00000000-0010-0000-0500-000028000000}" name="m_5054"/>
    <tableColumn id="41" xr3:uid="{00000000-0010-0000-0500-000029000000}" name="m_5559"/>
    <tableColumn id="42" xr3:uid="{00000000-0010-0000-0500-00002A000000}" name="m_6064"/>
    <tableColumn id="43" xr3:uid="{00000000-0010-0000-0500-00002B000000}" name="m_6569"/>
    <tableColumn id="44" xr3:uid="{00000000-0010-0000-0500-00002C000000}" name="m_7074"/>
    <tableColumn id="45" xr3:uid="{00000000-0010-0000-0500-00002D000000}" name="m_7079"/>
    <tableColumn id="46" xr3:uid="{00000000-0010-0000-0500-00002E000000}" name="m_8084"/>
    <tableColumn id="47" xr3:uid="{00000000-0010-0000-0500-00002F000000}" name="m_8589"/>
    <tableColumn id="48" xr3:uid="{00000000-0010-0000-0500-000030000000}" name="m_9094"/>
    <tableColumn id="49" xr3:uid="{00000000-0010-0000-0500-000031000000}" name="m_95+"/>
    <tableColumn id="50" xr3:uid="{00000000-0010-0000-0500-000032000000}" name="av_life"/>
    <tableColumn id="51" xr3:uid="{00000000-0010-0000-0500-000033000000}" name="cov_impu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pop" displayName="pop" ref="A1:D286" totalsRowShown="0" headerRowDxfId="206" dataDxfId="204" headerRowBorderDxfId="205">
  <autoFilter ref="A1:D286" xr:uid="{00000000-0009-0000-0100-000001000000}"/>
  <tableColumns count="4">
    <tableColumn id="1" xr3:uid="{00000000-0010-0000-0600-000001000000}" name="Region, subregion, country or area *" dataDxfId="203"/>
    <tableColumn id="2" xr3:uid="{00000000-0010-0000-0600-000002000000}" name="Country code" dataDxfId="202"/>
    <tableColumn id="3" xr3:uid="{00000000-0010-0000-0600-000003000000}" name="pop_19" dataDxfId="201"/>
    <tableColumn id="4" xr3:uid="{00000000-0010-0000-0600-000004000000}" name="pop_20" dataDxfId="2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b_rate" displayName="b_rate" ref="F1:H256" totalsRowShown="0" headerRowDxfId="199" dataDxfId="197" headerRowBorderDxfId="198">
  <autoFilter ref="F1:H256" xr:uid="{00000000-0009-0000-0100-000002000000}"/>
  <tableColumns count="3">
    <tableColumn id="1" xr3:uid="{00000000-0010-0000-0700-000001000000}" name="Region, subregion, country or area *" dataDxfId="196"/>
    <tableColumn id="2" xr3:uid="{00000000-0010-0000-0700-000002000000}" name="Country code" dataDxfId="195"/>
    <tableColumn id="3" xr3:uid="{00000000-0010-0000-0700-000003000000}" name="2015-2020" dataDxfId="1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fac_b" displayName="fac_b" ref="J1:M172" totalsRowShown="0" headerRowDxfId="193" tableBorderDxfId="192">
  <autoFilter ref="J1:M172" xr:uid="{00000000-0009-0000-0100-000003000000}"/>
  <sortState xmlns:xlrd2="http://schemas.microsoft.com/office/spreadsheetml/2017/richdata2" ref="J2:M172">
    <sortCondition ref="K1:K172"/>
  </sortState>
  <tableColumns count="4">
    <tableColumn id="1" xr3:uid="{00000000-0010-0000-0800-000001000000}" name="ISO_3" dataDxfId="191"/>
    <tableColumn id="2" xr3:uid="{00000000-0010-0000-0800-000002000000}" name="Country" dataDxfId="190"/>
    <tableColumn id="3" xr3:uid="{00000000-0010-0000-0800-000003000000}" name="year" dataDxfId="189"/>
    <tableColumn id="4" xr3:uid="{00000000-0010-0000-0800-000004000000}" name="fac_b" dataDxfId="1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vmlDrawing" Target="../drawings/vmlDrawing6.vml"/><Relationship Id="rId5" Type="http://schemas.openxmlformats.org/officeDocument/2006/relationships/comments" Target="../comments6.xml"/><Relationship Id="rId4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4"/>
  <sheetViews>
    <sheetView workbookViewId="0"/>
  </sheetViews>
  <sheetFormatPr defaultRowHeight="15" x14ac:dyDescent="0.25"/>
  <cols>
    <col min="1" max="1" width="24.28515625" customWidth="1"/>
    <col min="2" max="2" width="27.42578125" customWidth="1"/>
    <col min="3" max="3" width="9.28515625" customWidth="1"/>
    <col min="4" max="4" width="11.42578125" customWidth="1"/>
    <col min="5" max="5" width="31.5703125" customWidth="1"/>
    <col min="8" max="8" width="33.7109375" customWidth="1"/>
    <col min="9" max="9" width="13.7109375" customWidth="1"/>
    <col min="11" max="11" width="12.28515625" customWidth="1"/>
    <col min="12" max="12" width="14.7109375" customWidth="1"/>
  </cols>
  <sheetData>
    <row r="2" spans="1:22" x14ac:dyDescent="0.25">
      <c r="A2" s="1" t="s">
        <v>2</v>
      </c>
      <c r="E2" s="1" t="s">
        <v>3</v>
      </c>
      <c r="H2" s="1" t="s">
        <v>6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V2" t="s">
        <v>39</v>
      </c>
    </row>
    <row r="3" spans="1:22" x14ac:dyDescent="0.25">
      <c r="A3" s="2" t="s">
        <v>0</v>
      </c>
      <c r="B3" s="25">
        <v>1</v>
      </c>
      <c r="E3" s="2" t="s">
        <v>4</v>
      </c>
      <c r="F3" s="3">
        <v>1</v>
      </c>
      <c r="H3" s="2" t="s">
        <v>7</v>
      </c>
      <c r="I3" s="3">
        <v>0.8</v>
      </c>
      <c r="J3" s="4">
        <f>(1-$I$3)/3</f>
        <v>6.6666666666666652E-2</v>
      </c>
      <c r="K3" s="4">
        <f t="shared" ref="K3:L3" si="0">(1-$I$3)/3</f>
        <v>6.6666666666666652E-2</v>
      </c>
      <c r="L3" s="4">
        <f t="shared" si="0"/>
        <v>6.6666666666666652E-2</v>
      </c>
      <c r="M3" s="3">
        <v>0</v>
      </c>
      <c r="V3" t="s">
        <v>40</v>
      </c>
    </row>
    <row r="4" spans="1:22" x14ac:dyDescent="0.25">
      <c r="A4" s="2" t="s">
        <v>1</v>
      </c>
      <c r="B4" s="26" t="s">
        <v>40</v>
      </c>
      <c r="E4" s="2" t="s">
        <v>5</v>
      </c>
      <c r="F4" s="3">
        <v>1</v>
      </c>
      <c r="H4" s="2" t="s">
        <v>8</v>
      </c>
      <c r="I4" s="3">
        <v>0.3</v>
      </c>
      <c r="J4" s="3">
        <v>0.4</v>
      </c>
      <c r="K4" s="3">
        <v>0.15</v>
      </c>
      <c r="L4" s="3">
        <v>0.15</v>
      </c>
      <c r="M4" s="3">
        <v>0</v>
      </c>
    </row>
    <row r="6" spans="1:22" ht="45" x14ac:dyDescent="0.25">
      <c r="A6" s="19" t="s">
        <v>35</v>
      </c>
      <c r="B6" s="20" t="s">
        <v>37</v>
      </c>
      <c r="C6" s="21">
        <v>1</v>
      </c>
      <c r="H6" s="5" t="s">
        <v>14</v>
      </c>
      <c r="I6" s="6">
        <v>0.05</v>
      </c>
      <c r="J6" s="5"/>
      <c r="K6" s="5"/>
      <c r="L6" s="5"/>
      <c r="M6" s="5"/>
    </row>
    <row r="7" spans="1:22" ht="30" x14ac:dyDescent="0.25">
      <c r="A7" s="22" t="s">
        <v>36</v>
      </c>
      <c r="B7" s="23" t="s">
        <v>38</v>
      </c>
      <c r="C7" s="24">
        <v>0.05</v>
      </c>
      <c r="H7" s="5" t="s">
        <v>15</v>
      </c>
      <c r="I7" s="6">
        <v>1</v>
      </c>
      <c r="J7" s="6">
        <v>0</v>
      </c>
      <c r="K7" s="6">
        <v>0</v>
      </c>
      <c r="L7" s="6">
        <v>0</v>
      </c>
      <c r="M7" s="6">
        <v>0</v>
      </c>
    </row>
    <row r="8" spans="1:22" x14ac:dyDescent="0.25">
      <c r="H8" s="5"/>
      <c r="I8" s="5"/>
      <c r="J8" s="5"/>
      <c r="K8" s="5"/>
      <c r="L8" s="5"/>
      <c r="M8" s="5"/>
    </row>
    <row r="9" spans="1:22" x14ac:dyDescent="0.25">
      <c r="H9" s="5" t="s">
        <v>16</v>
      </c>
      <c r="I9" s="17" t="s">
        <v>18</v>
      </c>
      <c r="J9" s="17" t="s">
        <v>22</v>
      </c>
      <c r="K9" s="17" t="s">
        <v>23</v>
      </c>
      <c r="L9" s="17" t="s">
        <v>24</v>
      </c>
      <c r="M9" s="5"/>
    </row>
    <row r="10" spans="1:22" x14ac:dyDescent="0.25">
      <c r="H10" s="16" t="s">
        <v>17</v>
      </c>
      <c r="I10" s="5">
        <v>0</v>
      </c>
      <c r="J10" s="5">
        <v>0</v>
      </c>
      <c r="K10" s="5">
        <v>0</v>
      </c>
      <c r="L10" s="5">
        <v>0</v>
      </c>
      <c r="M10" s="5"/>
    </row>
    <row r="11" spans="1:22" x14ac:dyDescent="0.25">
      <c r="H11" s="16" t="s">
        <v>19</v>
      </c>
      <c r="I11" s="6">
        <v>0.05</v>
      </c>
      <c r="J11" s="5">
        <v>0</v>
      </c>
      <c r="K11" s="5">
        <v>0</v>
      </c>
      <c r="L11" s="5">
        <v>0</v>
      </c>
      <c r="M11" s="5"/>
    </row>
    <row r="12" spans="1:22" x14ac:dyDescent="0.25">
      <c r="H12" s="16" t="s">
        <v>20</v>
      </c>
      <c r="I12" s="5">
        <v>0</v>
      </c>
      <c r="J12" s="6">
        <v>0.05</v>
      </c>
      <c r="K12" s="5">
        <v>0</v>
      </c>
      <c r="L12" s="5">
        <v>0</v>
      </c>
      <c r="M12" s="5"/>
    </row>
    <row r="13" spans="1:22" x14ac:dyDescent="0.25">
      <c r="H13" s="16" t="s">
        <v>21</v>
      </c>
      <c r="I13" s="5">
        <v>0</v>
      </c>
      <c r="J13" s="5">
        <v>0</v>
      </c>
      <c r="K13" s="6">
        <v>0.05</v>
      </c>
      <c r="L13" s="5">
        <v>0</v>
      </c>
      <c r="M13" s="5"/>
    </row>
    <row r="15" spans="1:22" x14ac:dyDescent="0.25">
      <c r="H15" s="7" t="s">
        <v>25</v>
      </c>
      <c r="I15" s="8">
        <v>0.1</v>
      </c>
      <c r="J15" s="7"/>
      <c r="K15" s="7"/>
      <c r="L15" s="7"/>
      <c r="M15" s="7"/>
    </row>
    <row r="16" spans="1:22" x14ac:dyDescent="0.25">
      <c r="H16" s="7" t="s">
        <v>15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</row>
    <row r="17" spans="8:13" x14ac:dyDescent="0.25">
      <c r="H17" s="7"/>
      <c r="I17" s="7"/>
      <c r="J17" s="7"/>
      <c r="K17" s="7"/>
      <c r="L17" s="7"/>
      <c r="M17" s="7"/>
    </row>
    <row r="18" spans="8:13" x14ac:dyDescent="0.25">
      <c r="H18" s="7" t="s">
        <v>26</v>
      </c>
      <c r="I18" s="15" t="s">
        <v>18</v>
      </c>
      <c r="J18" s="15" t="s">
        <v>22</v>
      </c>
      <c r="K18" s="15" t="s">
        <v>23</v>
      </c>
      <c r="L18" s="15" t="s">
        <v>24</v>
      </c>
      <c r="M18" s="7"/>
    </row>
    <row r="19" spans="8:13" x14ac:dyDescent="0.25">
      <c r="H19" s="14" t="s">
        <v>17</v>
      </c>
      <c r="I19" s="7">
        <v>0</v>
      </c>
      <c r="J19" s="7">
        <v>0</v>
      </c>
      <c r="K19" s="7">
        <v>0</v>
      </c>
      <c r="L19" s="7">
        <v>0</v>
      </c>
      <c r="M19" s="7"/>
    </row>
    <row r="20" spans="8:13" x14ac:dyDescent="0.25">
      <c r="H20" s="14" t="s">
        <v>19</v>
      </c>
      <c r="I20" s="8">
        <v>0.1</v>
      </c>
      <c r="J20" s="7">
        <v>0</v>
      </c>
      <c r="K20" s="7">
        <v>0</v>
      </c>
      <c r="L20" s="7">
        <v>0</v>
      </c>
      <c r="M20" s="7"/>
    </row>
    <row r="21" spans="8:13" x14ac:dyDescent="0.25">
      <c r="H21" s="14" t="s">
        <v>20</v>
      </c>
      <c r="I21" s="7">
        <v>0</v>
      </c>
      <c r="J21" s="8">
        <v>0.1</v>
      </c>
      <c r="K21" s="7">
        <v>0</v>
      </c>
      <c r="L21" s="7">
        <v>0</v>
      </c>
      <c r="M21" s="7"/>
    </row>
    <row r="22" spans="8:13" x14ac:dyDescent="0.25">
      <c r="H22" s="14" t="s">
        <v>21</v>
      </c>
      <c r="I22" s="7">
        <v>0</v>
      </c>
      <c r="J22" s="7">
        <v>0</v>
      </c>
      <c r="K22" s="8">
        <v>0.1</v>
      </c>
      <c r="L22" s="7">
        <v>0</v>
      </c>
      <c r="M22" s="7"/>
    </row>
    <row r="24" spans="8:13" x14ac:dyDescent="0.25">
      <c r="H24" s="9" t="s">
        <v>27</v>
      </c>
      <c r="I24" s="10">
        <v>0.01</v>
      </c>
      <c r="J24" s="9"/>
      <c r="K24" s="9"/>
      <c r="L24" s="9"/>
      <c r="M24" s="9"/>
    </row>
    <row r="25" spans="8:13" x14ac:dyDescent="0.25">
      <c r="H25" s="9" t="s">
        <v>28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</row>
    <row r="26" spans="8:13" x14ac:dyDescent="0.25">
      <c r="H26" s="9"/>
      <c r="I26" s="9"/>
      <c r="J26" s="9"/>
      <c r="K26" s="9"/>
      <c r="L26" s="9"/>
      <c r="M26" s="9"/>
    </row>
    <row r="27" spans="8:13" x14ac:dyDescent="0.25">
      <c r="H27" s="9" t="s">
        <v>31</v>
      </c>
      <c r="I27" s="13" t="s">
        <v>18</v>
      </c>
      <c r="J27" s="13" t="s">
        <v>22</v>
      </c>
      <c r="K27" s="13" t="s">
        <v>23</v>
      </c>
      <c r="L27" s="13" t="s">
        <v>24</v>
      </c>
      <c r="M27" s="9"/>
    </row>
    <row r="28" spans="8:13" x14ac:dyDescent="0.25">
      <c r="H28" s="12" t="s">
        <v>17</v>
      </c>
      <c r="I28" s="9">
        <v>0</v>
      </c>
      <c r="J28" s="9">
        <v>0</v>
      </c>
      <c r="K28" s="9">
        <v>0</v>
      </c>
      <c r="L28" s="9">
        <v>0</v>
      </c>
      <c r="M28" s="9"/>
    </row>
    <row r="29" spans="8:13" x14ac:dyDescent="0.25">
      <c r="H29" s="12" t="s">
        <v>19</v>
      </c>
      <c r="I29" s="10">
        <v>0.01</v>
      </c>
      <c r="J29" s="9">
        <v>0</v>
      </c>
      <c r="K29" s="9">
        <v>0</v>
      </c>
      <c r="L29" s="9">
        <v>0</v>
      </c>
      <c r="M29" s="9"/>
    </row>
    <row r="30" spans="8:13" x14ac:dyDescent="0.25">
      <c r="H30" s="12" t="s">
        <v>20</v>
      </c>
      <c r="I30" s="9">
        <v>0</v>
      </c>
      <c r="J30" s="10">
        <v>0.01</v>
      </c>
      <c r="K30" s="9">
        <v>0</v>
      </c>
      <c r="L30" s="9">
        <v>0</v>
      </c>
      <c r="M30" s="9"/>
    </row>
    <row r="31" spans="8:13" x14ac:dyDescent="0.25">
      <c r="H31" s="12" t="s">
        <v>21</v>
      </c>
      <c r="I31" s="9">
        <v>0</v>
      </c>
      <c r="J31" s="9">
        <v>0</v>
      </c>
      <c r="K31" s="10">
        <v>0.01</v>
      </c>
      <c r="L31" s="9">
        <v>0</v>
      </c>
      <c r="M31" s="9"/>
    </row>
    <row r="33" spans="8:13" x14ac:dyDescent="0.25">
      <c r="H33" s="9" t="s">
        <v>30</v>
      </c>
      <c r="I33" s="10">
        <v>0.01</v>
      </c>
      <c r="J33" s="9"/>
      <c r="K33" s="9"/>
      <c r="L33" s="9"/>
      <c r="M33" s="9"/>
    </row>
    <row r="34" spans="8:13" x14ac:dyDescent="0.25">
      <c r="H34" s="9" t="s">
        <v>28</v>
      </c>
      <c r="I34" s="10">
        <v>1</v>
      </c>
      <c r="J34" s="10">
        <v>0</v>
      </c>
      <c r="K34" s="10">
        <v>0</v>
      </c>
      <c r="L34" s="10">
        <v>0</v>
      </c>
      <c r="M34" s="10">
        <v>0</v>
      </c>
    </row>
    <row r="35" spans="8:13" x14ac:dyDescent="0.25">
      <c r="H35" s="9"/>
      <c r="I35" s="9"/>
      <c r="J35" s="9"/>
      <c r="K35" s="9"/>
      <c r="L35" s="9"/>
      <c r="M35" s="9"/>
    </row>
    <row r="36" spans="8:13" x14ac:dyDescent="0.25">
      <c r="H36" s="9" t="s">
        <v>29</v>
      </c>
      <c r="I36" s="13" t="s">
        <v>18</v>
      </c>
      <c r="J36" s="13" t="s">
        <v>22</v>
      </c>
      <c r="K36" s="13" t="s">
        <v>23</v>
      </c>
      <c r="L36" s="13" t="s">
        <v>24</v>
      </c>
      <c r="M36" s="9"/>
    </row>
    <row r="37" spans="8:13" x14ac:dyDescent="0.25">
      <c r="H37" s="12" t="s">
        <v>17</v>
      </c>
      <c r="I37" s="9">
        <v>0</v>
      </c>
      <c r="J37" s="9">
        <v>0</v>
      </c>
      <c r="K37" s="9">
        <v>0</v>
      </c>
      <c r="L37" s="9">
        <v>0</v>
      </c>
      <c r="M37" s="9"/>
    </row>
    <row r="38" spans="8:13" x14ac:dyDescent="0.25">
      <c r="H38" s="12" t="s">
        <v>19</v>
      </c>
      <c r="I38" s="10">
        <v>0.01</v>
      </c>
      <c r="J38" s="9">
        <v>0</v>
      </c>
      <c r="K38" s="9">
        <v>0</v>
      </c>
      <c r="L38" s="9">
        <v>0</v>
      </c>
      <c r="M38" s="9"/>
    </row>
    <row r="39" spans="8:13" x14ac:dyDescent="0.25">
      <c r="H39" s="12" t="s">
        <v>20</v>
      </c>
      <c r="I39" s="9">
        <v>0</v>
      </c>
      <c r="J39" s="10">
        <v>0.01</v>
      </c>
      <c r="K39" s="9">
        <v>0</v>
      </c>
      <c r="L39" s="9">
        <v>0</v>
      </c>
      <c r="M39" s="9"/>
    </row>
    <row r="40" spans="8:13" x14ac:dyDescent="0.25">
      <c r="H40" s="12" t="s">
        <v>21</v>
      </c>
      <c r="I40" s="9">
        <v>0</v>
      </c>
      <c r="J40" s="9">
        <v>0</v>
      </c>
      <c r="K40" s="10">
        <v>0.01</v>
      </c>
      <c r="L40" s="9">
        <v>0</v>
      </c>
      <c r="M40" s="9"/>
    </row>
    <row r="42" spans="8:13" x14ac:dyDescent="0.25">
      <c r="H42" s="11" t="s">
        <v>32</v>
      </c>
      <c r="I42" t="s">
        <v>34</v>
      </c>
    </row>
    <row r="43" spans="8:13" x14ac:dyDescent="0.25">
      <c r="H43" s="11" t="s">
        <v>33</v>
      </c>
      <c r="I43" t="s">
        <v>34</v>
      </c>
    </row>
    <row r="44" spans="8:13" ht="60" x14ac:dyDescent="0.25">
      <c r="H44" s="18" t="s">
        <v>41</v>
      </c>
    </row>
  </sheetData>
  <dataValidations count="1">
    <dataValidation type="list" allowBlank="1" showInputMessage="1" showErrorMessage="1" sqref="B4" xr:uid="{00000000-0002-0000-0000-000000000000}">
      <formula1>$V$2:$V$3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9"/>
  <sheetViews>
    <sheetView topLeftCell="O1" workbookViewId="0"/>
  </sheetViews>
  <sheetFormatPr defaultRowHeight="15" x14ac:dyDescent="0.25"/>
  <cols>
    <col min="1" max="1" width="12.5703125" customWidth="1"/>
    <col min="2" max="2" width="10" customWidth="1"/>
    <col min="3" max="3" width="9.140625" customWidth="1"/>
    <col min="4" max="4" width="12.85546875" customWidth="1"/>
    <col min="5" max="5" width="12.42578125" customWidth="1"/>
    <col min="6" max="6" width="12.7109375" customWidth="1"/>
    <col min="7" max="7" width="11.5703125" customWidth="1"/>
    <col min="8" max="8" width="10.5703125" customWidth="1"/>
    <col min="9" max="9" width="13.5703125" customWidth="1"/>
    <col min="10" max="10" width="14" customWidth="1"/>
    <col min="11" max="12" width="14.28515625" style="33" customWidth="1"/>
    <col min="13" max="13" width="12.5703125" customWidth="1"/>
    <col min="14" max="14" width="13.140625" style="33" customWidth="1"/>
    <col min="15" max="15" width="13.28515625" style="33" customWidth="1"/>
    <col min="16" max="16" width="14.28515625" customWidth="1"/>
    <col min="17" max="17" width="14.42578125" customWidth="1"/>
    <col min="18" max="18" width="14.5703125" customWidth="1"/>
    <col min="19" max="20" width="13.7109375" customWidth="1"/>
    <col min="21" max="21" width="15.28515625" customWidth="1"/>
    <col min="22" max="22" width="13.28515625" customWidth="1"/>
    <col min="23" max="23" width="11.28515625" customWidth="1"/>
    <col min="24" max="24" width="9.5703125" customWidth="1"/>
    <col min="25" max="25" width="9.7109375" customWidth="1"/>
    <col min="26" max="26" width="10.7109375" customWidth="1"/>
    <col min="27" max="27" width="9.140625" customWidth="1"/>
    <col min="28" max="29" width="10.28515625" customWidth="1"/>
    <col min="30" max="30" width="11.42578125" customWidth="1"/>
    <col min="31" max="31" width="11.28515625" style="33" customWidth="1"/>
    <col min="32" max="32" width="12.42578125" style="33" customWidth="1"/>
    <col min="33" max="35" width="11.28515625" style="33" customWidth="1"/>
    <col min="36" max="36" width="12.85546875" customWidth="1"/>
  </cols>
  <sheetData>
    <row r="1" spans="1:36" x14ac:dyDescent="0.25">
      <c r="A1" s="79" t="s">
        <v>668</v>
      </c>
      <c r="B1" s="80" t="s">
        <v>571</v>
      </c>
      <c r="C1" s="80" t="s">
        <v>669</v>
      </c>
      <c r="D1" s="80" t="s">
        <v>670</v>
      </c>
      <c r="E1" s="80" t="s">
        <v>575</v>
      </c>
      <c r="F1" s="80" t="s">
        <v>671</v>
      </c>
      <c r="G1" s="80" t="s">
        <v>672</v>
      </c>
      <c r="H1" s="80" t="s">
        <v>688</v>
      </c>
      <c r="I1" s="108" t="s">
        <v>807</v>
      </c>
      <c r="J1" s="108" t="s">
        <v>823</v>
      </c>
      <c r="K1" s="108" t="s">
        <v>827</v>
      </c>
      <c r="L1" s="108" t="s">
        <v>824</v>
      </c>
      <c r="M1" s="108" t="s">
        <v>825</v>
      </c>
      <c r="N1" s="108" t="s">
        <v>828</v>
      </c>
      <c r="O1" s="108" t="s">
        <v>826</v>
      </c>
      <c r="P1" s="108" t="s">
        <v>808</v>
      </c>
      <c r="Q1" s="108" t="s">
        <v>809</v>
      </c>
      <c r="R1" s="108" t="s">
        <v>810</v>
      </c>
      <c r="S1" s="108" t="s">
        <v>811</v>
      </c>
      <c r="T1" s="108" t="s">
        <v>812</v>
      </c>
      <c r="U1" s="108" t="s">
        <v>813</v>
      </c>
      <c r="V1" s="108" t="s">
        <v>814</v>
      </c>
      <c r="W1" s="108" t="s">
        <v>815</v>
      </c>
      <c r="X1" s="108" t="s">
        <v>816</v>
      </c>
      <c r="Y1" s="108" t="s">
        <v>817</v>
      </c>
      <c r="Z1" s="108" t="s">
        <v>818</v>
      </c>
      <c r="AA1" s="108" t="s">
        <v>819</v>
      </c>
      <c r="AB1" s="108" t="s">
        <v>820</v>
      </c>
      <c r="AC1" s="108" t="s">
        <v>821</v>
      </c>
      <c r="AD1" s="108" t="s">
        <v>822</v>
      </c>
      <c r="AE1" s="108" t="s">
        <v>837</v>
      </c>
      <c r="AF1" s="108" t="s">
        <v>833</v>
      </c>
      <c r="AG1" s="108" t="s">
        <v>834</v>
      </c>
      <c r="AH1" s="108" t="s">
        <v>835</v>
      </c>
      <c r="AI1" s="108" t="s">
        <v>836</v>
      </c>
      <c r="AJ1" s="85" t="s">
        <v>725</v>
      </c>
    </row>
    <row r="2" spans="1:36" x14ac:dyDescent="0.25">
      <c r="A2" s="33" t="s">
        <v>677</v>
      </c>
      <c r="I2" s="126">
        <f>SUMPRODUCT((portnoy[[who_reg]:[who_reg]]=$A2)*portnoy[[births]:[births]]*portnoy[[est]:[est]]*(LEN( portnoy[[est]:[est]])&gt;1)*(LEN(portnoy[[bd_cov]:[bd_cov]])&gt;interactive!$C$6))/SUMPRODUCT((portnoy[[who_reg]:[who_reg]]=$A2)*portnoy[[births]:[births]]*(LEN( portnoy[[est]:[est]])&gt;1)*(LEN(portnoy[[bd_cov]:[bd_cov]])&gt;interactive!$C$6))</f>
        <v>2.4369949242141238</v>
      </c>
      <c r="J2" s="126">
        <v>0.36202199312714778</v>
      </c>
      <c r="K2" s="126">
        <v>0.41792411616161618</v>
      </c>
      <c r="L2" s="126">
        <v>0.48333918128654974</v>
      </c>
      <c r="M2" s="126">
        <v>0.5718158075601375</v>
      </c>
      <c r="N2" s="126">
        <v>0.65679722222222237</v>
      </c>
      <c r="O2" s="126">
        <v>0.7491286549707602</v>
      </c>
      <c r="P2">
        <f>SUMPRODUCT((Table26[[who_reg]:[who_reg]]=$A2)*Table26[[births]:[births]]*Table26[[qmap_lb]:[qmap_lb]]*(LEN(Table26[[qmap_lb]:[qmap_lb]])&gt;1)*(LEN(Table26[[bd_cov]:[bd_cov]])&gt;interactive!$C$6))/SUMPRODUCT((Table26[[who_reg]:[who_reg]]=$A2)*Table26[[births]:[births]]*(LEN(Table26[[qmap_lb]:[qmap_lb]])&gt;1)*(LEN(Table26[[bd_cov]:[bd_cov]])&gt;interactive!$C$6))</f>
        <v>6.6340409316318202E-3</v>
      </c>
      <c r="Q2" s="33">
        <f>SUMPRODUCT((Table26[[who_reg]:[who_reg]]=$A2)*Table26[[births]:[births]]*Table26[[qmap_pe]:[qmap_pe]]*(LEN(Table26[[qmap_pe]:[qmap_pe]])&gt;1)*(LEN(Table26[[bd_cov]:[bd_cov]])&gt;interactive!$C$6))/SUMPRODUCT((Table26[[who_reg]:[who_reg]]=$A2)*Table26[[births]:[births]]*(LEN(Table26[[qmap_pe]:[qmap_pe]])&gt;1)*(LEN(Table26[[bd_cov]:[bd_cov]])&gt;interactive!$C$6))</f>
        <v>1.0083742216080365E-2</v>
      </c>
      <c r="R2" s="33">
        <f>SUMPRODUCT((Table26[[who_reg]:[who_reg]]=$A2)*Table26[[births]:[births]]*Table26[[qmap_ub2]:[qmap_ub2]]*(LEN(Table26[[qmap_ub2]:[qmap_ub2]])&gt;1)*(LEN(Table26[[bd_cov]:[bd_cov]])&gt;interactive!$C$6))/SUMPRODUCT((Table26[[who_reg]:[who_reg]]=$A2)*Table26[[births]:[births]]*(LEN(Table26[[qmap_ub2]:[qmap_ub2]])&gt;1)*(LEN(Table26[[bd_cov]:[bd_cov]])&gt;interactive!$C$6))</f>
        <v>0.15921698235916373</v>
      </c>
      <c r="S2" s="33">
        <f>SUMPRODUCT((Table26[[who_reg]:[who_reg]]=$A2)*Table26[[births]:[births]]*Table26[[lmap_lb]:[lmap_lb]]*(LEN(Table26[[lmap_lb]:[lmap_lb]])&gt;1)*(LEN(Table26[[bd_cov]:[bd_cov]])&gt;interactive!$C$6))/SUMPRODUCT((Table26[[who_reg]:[who_reg]]=$A2)*Table26[[births]:[births]]*(LEN(Table26[[lmap_lb]:[lmap_lb]])&gt;1)*(LEN(Table26[[bd_cov]:[bd_cov]])&gt;interactive!$C$6))</f>
        <v>3.5461185195965945E-3</v>
      </c>
      <c r="T2" s="33">
        <f>SUMPRODUCT((Table26[[who_reg]:[who_reg]]=$A2)*Table26[[births]:[births]]*Table26[[lmap_pe]:[lmap_pe]]*(LEN(Table26[[lmap_pe]:[lmap_pe]])&gt;1)*(LEN(Table26[[bd_cov]:[bd_cov]])&gt;interactive!$C$6))/SUMPRODUCT((Table26[[who_reg]:[who_reg]]=$A2)*Table26[[births]:[births]]*(LEN(Table26[[lmap_pe]:[lmap_pe]])&gt;1)*(LEN(Table26[[bd_cov]:[bd_cov]])&gt;interactive!$C$6))</f>
        <v>5.3901001497868237E-3</v>
      </c>
      <c r="U2" s="33">
        <f>SUMPRODUCT((Table26[[who_reg]:[who_reg]]=$A2)*Table26[[births]:[births]]*Table26[[lmap_ub2]:[lmap_ub2]]*(LEN(Table26[[lmap_ub2]:[lmap_ub2]])&gt;1)*(LEN(Table26[[bd_cov]:[bd_cov]])&gt;interactive!$C$6))/SUMPRODUCT((Table26[[who_reg]:[who_reg]]=$A2)*Table26[[births]:[births]]*(LEN(Table26[[lmap_ub2]:[lmap_ub2]])&gt;1)*(LEN(Table26[[bd_cov]:[bd_cov]])&gt;interactive!$C$6))</f>
        <v>8.5106844470318258E-2</v>
      </c>
      <c r="V2" s="126">
        <f>SUMPRODUCT((regions[[setting]:[setting]]=$A2)*regions[[bl1_c]:[bl1_c]])-SUMPRODUCT((regions[[setting]:[setting]]=$A2)*regions[[bl1_f]:[bl1_f]])</f>
        <v>3.4244545052114708</v>
      </c>
      <c r="W2">
        <f>SUMPRODUCT((tordrup[[who_reg]:[who_reg]]=$A2)*tordrup[[births]:[births]]*tordrup[[c_C]:[c_C]]*(LEN(tordrup[[c_C]:[c_C]])&gt;1)*(LEN(tordrup[[bd_cov]:[bd_cov]])&gt;interactive!$C$6))/SUMPRODUCT((tordrup[[who_reg]:[who_reg]]=$A2)*tordrup[[births]:[births]]*(LEN(tordrup[[c_C]:[c_C]])&gt;1)*(LEN(tordrup[[bd_cov]:[bd_cov]])&gt;interactive!$C$6))</f>
        <v>26.044512197590766</v>
      </c>
      <c r="X2" s="33">
        <f>SUMPRODUCT((tordrup[[who_reg]:[who_reg]]=$A2)*tordrup[[births]:[births]]*tordrup[[c_CC]:[c_CC]]*(LEN(tordrup[[c_CC]:[c_CC]])&gt;1)*(LEN(tordrup[[bd_cov]:[bd_cov]])&gt;interactive!$C$6))/SUMPRODUCT((tordrup[[who_reg]:[who_reg]]=$A2)*tordrup[[births]:[births]]*(LEN(tordrup[[c_CC]:[c_CC]])&gt;1)*(LEN(tordrup[[bd_cov]:[bd_cov]])&gt;interactive!$C$6))</f>
        <v>55.264512197590776</v>
      </c>
      <c r="Y2" s="33">
        <f>SUMPRODUCT((tordrup[[who_reg]:[who_reg]]=$A2)*tordrup[[births]:[births]]*tordrup[[c_DC]:[c_DC]]*(LEN(tordrup[[c_DC]:[c_DC]])&gt;1)*(LEN(tordrup[[bd_cov]:[bd_cov]])&gt;interactive!$C$6))/SUMPRODUCT((tordrup[[who_reg]:[who_reg]]=$A2)*tordrup[[births]:[births]]*(LEN(tordrup[[c_DC]:[c_DC]])&gt;1)*(LEN(tordrup[[bd_cov]:[bd_cov]])&gt;interactive!$C$6))</f>
        <v>66.30770473986702</v>
      </c>
      <c r="Z2" s="33">
        <f>SUMPRODUCT((tordrup[[who_reg]:[who_reg]]=$A2)*tordrup[[births]:[births]]*tordrup[[c_HCC]:[c_HCC]]*(LEN(tordrup[[c_HCC]:[c_HCC]])&gt;1)*(LEN(tordrup[[bd_cov]:[bd_cov]])&gt;interactive!$C$6))/SUMPRODUCT((tordrup[[who_reg]:[who_reg]]=$A2)*tordrup[[births]:[births]]*(LEN(tordrup[[c_HCC]:[c_HCC]])&gt;1)*(LEN(tordrup[[bd_cov]:[bd_cov]])&gt;interactive!$C$6))</f>
        <v>64.467172649487651</v>
      </c>
      <c r="AA2" s="126">
        <v>82.4</v>
      </c>
      <c r="AB2" s="140">
        <v>408.79</v>
      </c>
      <c r="AC2" s="140">
        <v>2415.5</v>
      </c>
      <c r="AD2" s="140">
        <v>5434.91</v>
      </c>
      <c r="AE2" s="140"/>
      <c r="AF2" s="140"/>
      <c r="AG2" s="140"/>
      <c r="AH2" s="140"/>
      <c r="AI2" s="140"/>
    </row>
    <row r="3" spans="1:36" x14ac:dyDescent="0.25">
      <c r="A3" s="33" t="s">
        <v>679</v>
      </c>
      <c r="I3" s="126">
        <f>SUMPRODUCT((portnoy[[who_reg]:[who_reg]]=$A3)*portnoy[[births]:[births]]*portnoy[[est]:[est]]*(LEN( portnoy[[est]:[est]])&gt;1)*(LEN(portnoy[[bd_cov]:[bd_cov]])&gt;interactive!$C$6))/SUMPRODUCT((portnoy[[who_reg]:[who_reg]]=$A3)*portnoy[[births]:[births]]*(LEN( portnoy[[est]:[est]])&gt;1)*(LEN(portnoy[[bd_cov]:[bd_cov]])&gt;interactive!$C$6))</f>
        <v>2.6760499993029576</v>
      </c>
      <c r="J3" s="126">
        <v>0.36202199312714778</v>
      </c>
      <c r="K3" s="126">
        <v>0.41792411616161618</v>
      </c>
      <c r="L3" s="126">
        <v>0.48333918128654974</v>
      </c>
      <c r="M3" s="126">
        <v>0.5718158075601375</v>
      </c>
      <c r="N3" s="126">
        <v>0.65679722222222237</v>
      </c>
      <c r="O3" s="126">
        <v>0.7491286549707602</v>
      </c>
      <c r="P3" s="33">
        <f>SUMPRODUCT((Table26[[who_reg]:[who_reg]]=$A3)*Table26[[births]:[births]]*Table26[[qmap_lb]:[qmap_lb]]*(LEN(Table26[[qmap_lb]:[qmap_lb]])&gt;1)*(LEN(Table26[[bd_cov]:[bd_cov]])&gt;interactive!$C$6))/SUMPRODUCT((Table26[[who_reg]:[who_reg]]=$A3)*Table26[[births]:[births]]*(LEN(Table26[[qmap_lb]:[qmap_lb]])&gt;1)*(LEN(Table26[[bd_cov]:[bd_cov]])&gt;interactive!$C$6))</f>
        <v>1.5761704504296616E-2</v>
      </c>
      <c r="Q3" s="33">
        <f>SUMPRODUCT((Table26[[who_reg]:[who_reg]]=$A3)*Table26[[births]:[births]]*Table26[[qmap_pe]:[qmap_pe]]*(LEN(Table26[[qmap_pe]:[qmap_pe]])&gt;1)*(LEN(Table26[[bd_cov]:[bd_cov]])&gt;interactive!$C$6))/SUMPRODUCT((Table26[[who_reg]:[who_reg]]=$A3)*Table26[[births]:[births]]*(LEN(Table26[[qmap_pe]:[qmap_pe]])&gt;1)*(LEN(Table26[[bd_cov]:[bd_cov]])&gt;interactive!$C$6))</f>
        <v>2.3957790846530852E-2</v>
      </c>
      <c r="R3" s="33">
        <f>SUMPRODUCT((Table26[[who_reg]:[who_reg]]=$A3)*Table26[[births]:[births]]*Table26[[qmap_ub2]:[qmap_ub2]]*(LEN(Table26[[qmap_ub2]:[qmap_ub2]])&gt;1)*(LEN(Table26[[bd_cov]:[bd_cov]])&gt;interactive!$C$6))/SUMPRODUCT((Table26[[who_reg]:[who_reg]]=$A3)*Table26[[births]:[births]]*(LEN(Table26[[qmap_ub2]:[qmap_ub2]])&gt;1)*(LEN(Table26[[bd_cov]:[bd_cov]])&gt;interactive!$C$6))</f>
        <v>0.37828090810311882</v>
      </c>
      <c r="S3" s="33">
        <f>SUMPRODUCT((Table26[[who_reg]:[who_reg]]=$A3)*Table26[[births]:[births]]*Table26[[lmap_lb]:[lmap_lb]]*(LEN(Table26[[lmap_lb]:[lmap_lb]])&gt;1)*(LEN(Table26[[bd_cov]:[bd_cov]])&gt;interactive!$C$6))/SUMPRODUCT((Table26[[who_reg]:[who_reg]]=$A3)*Table26[[births]:[births]]*(LEN(Table26[[lmap_lb]:[lmap_lb]])&gt;1)*(LEN(Table26[[bd_cov]:[bd_cov]])&gt;interactive!$C$6))</f>
        <v>8.5243439505233304E-3</v>
      </c>
      <c r="T3" s="33">
        <f>SUMPRODUCT((Table26[[who_reg]:[who_reg]]=$A3)*Table26[[births]:[births]]*Table26[[lmap_pe]:[lmap_pe]]*(LEN(Table26[[lmap_pe]:[lmap_pe]])&gt;1)*(LEN(Table26[[bd_cov]:[bd_cov]])&gt;interactive!$C$6))/SUMPRODUCT((Table26[[who_reg]:[who_reg]]=$A3)*Table26[[births]:[births]]*(LEN(Table26[[lmap_pe]:[lmap_pe]])&gt;1)*(LEN(Table26[[bd_cov]:[bd_cov]])&gt;interactive!$C$6))</f>
        <v>1.2957002804795462E-2</v>
      </c>
      <c r="U3" s="33">
        <f>SUMPRODUCT((Table26[[who_reg]:[who_reg]]=$A3)*Table26[[births]:[births]]*Table26[[lmap_ub2]:[lmap_ub2]]*(LEN(Table26[[lmap_ub2]:[lmap_ub2]])&gt;1)*(LEN(Table26[[bd_cov]:[bd_cov]])&gt;interactive!$C$6))/SUMPRODUCT((Table26[[who_reg]:[who_reg]]=$A3)*Table26[[births]:[births]]*(LEN(Table26[[lmap_ub2]:[lmap_ub2]])&gt;1)*(LEN(Table26[[bd_cov]:[bd_cov]])&gt;interactive!$C$6))</f>
        <v>0.20458425481255998</v>
      </c>
      <c r="V3" s="126">
        <f>SUMPRODUCT((regions[[setting]:[setting]]=$A3)*regions[[bl1_c]:[bl1_c]])-SUMPRODUCT((regions[[setting]:[setting]]=$A3)*regions[[bl1_f]:[bl1_f]])</f>
        <v>1.9999999999999574E-2</v>
      </c>
      <c r="W3" s="33">
        <f>SUMPRODUCT((tordrup[[who_reg]:[who_reg]]=$A3)*tordrup[[births]:[births]]*tordrup[[c_C]:[c_C]]*(LEN(tordrup[[c_C]:[c_C]])&gt;1)*(LEN(tordrup[[bd_cov]:[bd_cov]])&gt;interactive!$C$6))/SUMPRODUCT((tordrup[[who_reg]:[who_reg]]=$A3)*tordrup[[births]:[births]]*(LEN(tordrup[[c_C]:[c_C]])&gt;1)*(LEN(tordrup[[bd_cov]:[bd_cov]])&gt;interactive!$C$6))</f>
        <v>31.070711034976032</v>
      </c>
      <c r="X3" s="33">
        <f>SUMPRODUCT((tordrup[[who_reg]:[who_reg]]=$A3)*tordrup[[births]:[births]]*tordrup[[c_CC]:[c_CC]]*(LEN(tordrup[[c_CC]:[c_CC]])&gt;1)*(LEN(tordrup[[bd_cov]:[bd_cov]])&gt;interactive!$C$6))/SUMPRODUCT((tordrup[[who_reg]:[who_reg]]=$A3)*tordrup[[births]:[births]]*(LEN(tordrup[[c_CC]:[c_CC]])&gt;1)*(LEN(tordrup[[bd_cov]:[bd_cov]])&gt;interactive!$C$6))</f>
        <v>60.29071103497602</v>
      </c>
      <c r="Y3" s="33">
        <f>SUMPRODUCT((tordrup[[who_reg]:[who_reg]]=$A3)*tordrup[[births]:[births]]*tordrup[[c_DC]:[c_DC]]*(LEN(tordrup[[c_DC]:[c_DC]])&gt;1)*(LEN(tordrup[[bd_cov]:[bd_cov]])&gt;interactive!$C$6))/SUMPRODUCT((tordrup[[who_reg]:[who_reg]]=$A3)*tordrup[[births]:[births]]*(LEN(tordrup[[c_DC]:[c_DC]])&gt;1)*(LEN(tordrup[[bd_cov]:[bd_cov]])&gt;interactive!$C$6))</f>
        <v>95.940855633802272</v>
      </c>
      <c r="Z3" s="33">
        <f>SUMPRODUCT((tordrup[[who_reg]:[who_reg]]=$A3)*tordrup[[births]:[births]]*tordrup[[c_HCC]:[c_HCC]]*(LEN(tordrup[[c_HCC]:[c_HCC]])&gt;1)*(LEN(tordrup[[bd_cov]:[bd_cov]])&gt;interactive!$C$6))/SUMPRODUCT((tordrup[[who_reg]:[who_reg]]=$A3)*tordrup[[births]:[births]]*(LEN(tordrup[[c_HCC]:[c_HCC]])&gt;1)*(LEN(tordrup[[bd_cov]:[bd_cov]])&gt;interactive!$C$6))</f>
        <v>89.999164867331245</v>
      </c>
      <c r="AA3" s="126">
        <v>82.4</v>
      </c>
      <c r="AB3" s="140">
        <v>408.79</v>
      </c>
      <c r="AC3" s="140">
        <v>2415.5</v>
      </c>
      <c r="AD3" s="140">
        <v>5434.91</v>
      </c>
      <c r="AE3" s="140"/>
      <c r="AF3" s="140"/>
      <c r="AG3" s="140"/>
      <c r="AH3" s="140"/>
      <c r="AI3" s="140"/>
    </row>
    <row r="4" spans="1:36" x14ac:dyDescent="0.25">
      <c r="A4" s="33" t="s">
        <v>673</v>
      </c>
      <c r="I4" s="126">
        <f>SUMPRODUCT((portnoy[[who_reg]:[who_reg]]=$A4)*portnoy[[births]:[births]]*portnoy[[est]:[est]]*(LEN( portnoy[[est]:[est]])&gt;1)*(LEN(portnoy[[bd_cov]:[bd_cov]])&gt;interactive!$C$6))/SUMPRODUCT((portnoy[[who_reg]:[who_reg]]=$A4)*portnoy[[births]:[births]]*(LEN( portnoy[[est]:[est]])&gt;1)*(LEN(portnoy[[bd_cov]:[bd_cov]])&gt;interactive!$C$6))</f>
        <v>2.4639828018508503</v>
      </c>
      <c r="J4" s="126">
        <v>0.36202199312714778</v>
      </c>
      <c r="K4" s="126">
        <v>0.41792411616161618</v>
      </c>
      <c r="L4" s="126">
        <v>0.48333918128654974</v>
      </c>
      <c r="M4" s="126">
        <v>0.5718158075601375</v>
      </c>
      <c r="N4" s="126">
        <v>0.65679722222222237</v>
      </c>
      <c r="O4" s="126">
        <v>0.7491286549707602</v>
      </c>
      <c r="P4" s="33">
        <f>SUMPRODUCT((Table26[[who_reg]:[who_reg]]=$A4)*Table26[[births]:[births]]*Table26[[qmap_lb]:[qmap_lb]]*(LEN(Table26[[qmap_lb]:[qmap_lb]])&gt;1)*(LEN(Table26[[bd_cov]:[bd_cov]])&gt;interactive!$C$6))/SUMPRODUCT((Table26[[who_reg]:[who_reg]]=$A4)*Table26[[births]:[births]]*(LEN(Table26[[qmap_lb]:[qmap_lb]])&gt;1)*(LEN(Table26[[bd_cov]:[bd_cov]])&gt;interactive!$C$6))</f>
        <v>9.4493172617161371E-3</v>
      </c>
      <c r="Q4" s="33">
        <f>SUMPRODUCT((Table26[[who_reg]:[who_reg]]=$A4)*Table26[[births]:[births]]*Table26[[qmap_pe]:[qmap_pe]]*(LEN(Table26[[qmap_pe]:[qmap_pe]])&gt;1)*(LEN(Table26[[bd_cov]:[bd_cov]])&gt;interactive!$C$6))/SUMPRODUCT((Table26[[who_reg]:[who_reg]]=$A4)*Table26[[births]:[births]]*(LEN(Table26[[qmap_pe]:[qmap_pe]])&gt;1)*(LEN(Table26[[bd_cov]:[bd_cov]])&gt;interactive!$C$6))</f>
        <v>1.4362962237808523E-2</v>
      </c>
      <c r="R4" s="33">
        <f>SUMPRODUCT((Table26[[who_reg]:[who_reg]]=$A4)*Table26[[births]:[births]]*Table26[[qmap_ub2]:[qmap_ub2]]*(LEN(Table26[[qmap_ub2]:[qmap_ub2]])&gt;1)*(LEN(Table26[[bd_cov]:[bd_cov]])&gt;interactive!$C$6))/SUMPRODUCT((Table26[[who_reg]:[who_reg]]=$A4)*Table26[[births]:[births]]*(LEN(Table26[[qmap_ub2]:[qmap_ub2]])&gt;1)*(LEN(Table26[[bd_cov]:[bd_cov]])&gt;interactive!$C$6))</f>
        <v>0.22678361428118729</v>
      </c>
      <c r="S4" s="33">
        <f>SUMPRODUCT((Table26[[who_reg]:[who_reg]]=$A4)*Table26[[births]:[births]]*Table26[[lmap_lb]:[lmap_lb]]*(LEN(Table26[[lmap_lb]:[lmap_lb]])&gt;1)*(LEN(Table26[[bd_cov]:[bd_cov]])&gt;interactive!$C$6))/SUMPRODUCT((Table26[[who_reg]:[who_reg]]=$A4)*Table26[[births]:[births]]*(LEN(Table26[[lmap_lb]:[lmap_lb]])&gt;1)*(LEN(Table26[[bd_cov]:[bd_cov]])&gt;interactive!$C$6))</f>
        <v>5.0488213636434654E-3</v>
      </c>
      <c r="T4" s="33">
        <f>SUMPRODUCT((Table26[[who_reg]:[who_reg]]=$A4)*Table26[[births]:[births]]*Table26[[lmap_pe]:[lmap_pe]]*(LEN(Table26[[lmap_pe]:[lmap_pe]])&gt;1)*(LEN(Table26[[bd_cov]:[bd_cov]])&gt;interactive!$C$6))/SUMPRODUCT((Table26[[who_reg]:[who_reg]]=$A4)*Table26[[births]:[births]]*(LEN(Table26[[lmap_pe]:[lmap_pe]])&gt;1)*(LEN(Table26[[bd_cov]:[bd_cov]])&gt;interactive!$C$6))</f>
        <v>7.6742084727380675E-3</v>
      </c>
      <c r="U4" s="33">
        <f>SUMPRODUCT((Table26[[who_reg]:[who_reg]]=$A4)*Table26[[births]:[births]]*Table26[[lmap_ub2]:[lmap_ub2]]*(LEN(Table26[[lmap_ub2]:[lmap_ub2]])&gt;1)*(LEN(Table26[[bd_cov]:[bd_cov]])&gt;interactive!$C$6))/SUMPRODUCT((Table26[[who_reg]:[who_reg]]=$A4)*Table26[[births]:[births]]*(LEN(Table26[[lmap_ub2]:[lmap_ub2]])&gt;1)*(LEN(Table26[[bd_cov]:[bd_cov]])&gt;interactive!$C$6))</f>
        <v>0.12117171272744318</v>
      </c>
      <c r="V4" s="126">
        <f>SUMPRODUCT((regions[[setting]:[setting]]=$A4)*regions[[bl1_c]:[bl1_c]])-SUMPRODUCT((regions[[setting]:[setting]]=$A4)*regions[[bl1_f]:[bl1_f]])</f>
        <v>0.49172995935466002</v>
      </c>
      <c r="W4" s="33">
        <f>SUMPRODUCT((tordrup[[who_reg]:[who_reg]]=$A4)*tordrup[[births]:[births]]*tordrup[[c_C]:[c_C]]*(LEN(tordrup[[c_C]:[c_C]])&gt;1)*(LEN(tordrup[[bd_cov]:[bd_cov]])&gt;interactive!$C$6))/SUMPRODUCT((tordrup[[who_reg]:[who_reg]]=$A4)*tordrup[[births]:[births]]*(LEN(tordrup[[c_C]:[c_C]])&gt;1)*(LEN(tordrup[[bd_cov]:[bd_cov]])&gt;interactive!$C$6))</f>
        <v>27.946124842166366</v>
      </c>
      <c r="X4" s="33">
        <f>SUMPRODUCT((tordrup[[who_reg]:[who_reg]]=$A4)*tordrup[[births]:[births]]*tordrup[[c_CC]:[c_CC]]*(LEN(tordrup[[c_CC]:[c_CC]])&gt;1)*(LEN(tordrup[[bd_cov]:[bd_cov]])&gt;interactive!$C$6))/SUMPRODUCT((tordrup[[who_reg]:[who_reg]]=$A4)*tordrup[[births]:[births]]*(LEN(tordrup[[c_CC]:[c_CC]])&gt;1)*(LEN(tordrup[[bd_cov]:[bd_cov]])&gt;interactive!$C$6))</f>
        <v>57.166124842166361</v>
      </c>
      <c r="Y4" s="33">
        <f>SUMPRODUCT((tordrup[[who_reg]:[who_reg]]=$A4)*tordrup[[births]:[births]]*tordrup[[c_DC]:[c_DC]]*(LEN(tordrup[[c_DC]:[c_DC]])&gt;1)*(LEN(tordrup[[bd_cov]:[bd_cov]])&gt;interactive!$C$6))/SUMPRODUCT((tordrup[[who_reg]:[who_reg]]=$A4)*tordrup[[births]:[births]]*(LEN(tordrup[[c_DC]:[c_DC]])&gt;1)*(LEN(tordrup[[bd_cov]:[bd_cov]])&gt;interactive!$C$6))</f>
        <v>81.511557031470105</v>
      </c>
      <c r="Z4" s="33">
        <f>SUMPRODUCT((tordrup[[who_reg]:[who_reg]]=$A4)*tordrup[[births]:[births]]*tordrup[[c_HCC]:[c_HCC]]*(LEN(tordrup[[c_HCC]:[c_HCC]])&gt;1)*(LEN(tordrup[[bd_cov]:[bd_cov]])&gt;interactive!$C$6))/SUMPRODUCT((tordrup[[who_reg]:[who_reg]]=$A4)*tordrup[[births]:[births]]*(LEN(tordrup[[c_HCC]:[c_HCC]])&gt;1)*(LEN(tordrup[[bd_cov]:[bd_cov]])&gt;interactive!$C$6))</f>
        <v>77.453984999919484</v>
      </c>
      <c r="AA4" s="126">
        <v>82.4</v>
      </c>
      <c r="AB4" s="140">
        <v>408.79</v>
      </c>
      <c r="AC4" s="140">
        <v>2415.5</v>
      </c>
      <c r="AD4" s="140">
        <v>5434.91</v>
      </c>
      <c r="AE4" s="140"/>
      <c r="AF4" s="140"/>
      <c r="AG4" s="140"/>
      <c r="AH4" s="140"/>
      <c r="AI4" s="140"/>
    </row>
    <row r="5" spans="1:36" x14ac:dyDescent="0.25">
      <c r="A5" s="33" t="s">
        <v>675</v>
      </c>
      <c r="I5" s="126">
        <f>SUMPRODUCT((portnoy[[who_reg]:[who_reg]]=$A5)*portnoy[[births]:[births]]*portnoy[[est]:[est]]*(LEN( portnoy[[est]:[est]])&gt;1)*(LEN(portnoy[[bd_cov]:[bd_cov]])&gt;interactive!$C$6))/SUMPRODUCT((portnoy[[who_reg]:[who_reg]]=$A5)*portnoy[[births]:[births]]*(LEN( portnoy[[est]:[est]])&gt;1)*(LEN(portnoy[[bd_cov]:[bd_cov]])&gt;interactive!$C$6))</f>
        <v>3.740388988276433</v>
      </c>
      <c r="J5" s="126">
        <v>0.36202199312714778</v>
      </c>
      <c r="K5" s="126">
        <v>0.41792411616161618</v>
      </c>
      <c r="L5" s="126">
        <v>0.48333918128654974</v>
      </c>
      <c r="M5" s="126">
        <v>0.5718158075601375</v>
      </c>
      <c r="N5" s="126">
        <v>0.65679722222222237</v>
      </c>
      <c r="O5" s="126">
        <v>0.7491286549707602</v>
      </c>
      <c r="P5" s="33">
        <f>SUMPRODUCT((Table26[[who_reg]:[who_reg]]=$A5)*Table26[[births]:[births]]*Table26[[qmap_lb]:[qmap_lb]]*(LEN(Table26[[qmap_lb]:[qmap_lb]])&gt;1)*(LEN(Table26[[bd_cov]:[bd_cov]])&gt;interactive!$C$6))/SUMPRODUCT((Table26[[who_reg]:[who_reg]]=$A5)*Table26[[births]:[births]]*(LEN(Table26[[qmap_lb]:[qmap_lb]])&gt;1)*(LEN(Table26[[bd_cov]:[bd_cov]])&gt;interactive!$C$6))</f>
        <v>1.281094667463664E-2</v>
      </c>
      <c r="Q5" s="33">
        <f>SUMPRODUCT((Table26[[who_reg]:[who_reg]]=$A5)*Table26[[births]:[births]]*Table26[[qmap_pe]:[qmap_pe]]*(LEN(Table26[[qmap_pe]:[qmap_pe]])&gt;1)*(LEN(Table26[[bd_cov]:[bd_cov]])&gt;interactive!$C$6))/SUMPRODUCT((Table26[[who_reg]:[who_reg]]=$A5)*Table26[[births]:[births]]*(LEN(Table26[[qmap_pe]:[qmap_pe]])&gt;1)*(LEN(Table26[[bd_cov]:[bd_cov]])&gt;interactive!$C$6))</f>
        <v>1.9472638945447689E-2</v>
      </c>
      <c r="R5" s="33">
        <f>SUMPRODUCT((Table26[[who_reg]:[who_reg]]=$A5)*Table26[[births]:[births]]*Table26[[qmap_ub2]:[qmap_ub2]]*(LEN(Table26[[qmap_ub2]:[qmap_ub2]])&gt;1)*(LEN(Table26[[bd_cov]:[bd_cov]])&gt;interactive!$C$6))/SUMPRODUCT((Table26[[who_reg]:[who_reg]]=$A5)*Table26[[births]:[births]]*(LEN(Table26[[qmap_ub2]:[qmap_ub2]])&gt;1)*(LEN(Table26[[bd_cov]:[bd_cov]])&gt;interactive!$C$6))</f>
        <v>0.30746272019127935</v>
      </c>
      <c r="S5" s="33">
        <f>SUMPRODUCT((Table26[[who_reg]:[who_reg]]=$A5)*Table26[[births]:[births]]*Table26[[lmap_lb]:[lmap_lb]]*(LEN(Table26[[lmap_lb]:[lmap_lb]])&gt;1)*(LEN(Table26[[bd_cov]:[bd_cov]])&gt;interactive!$C$6))/SUMPRODUCT((Table26[[who_reg]:[who_reg]]=$A5)*Table26[[births]:[births]]*(LEN(Table26[[lmap_lb]:[lmap_lb]])&gt;1)*(LEN(Table26[[bd_cov]:[bd_cov]])&gt;interactive!$C$6))</f>
        <v>6.9642590391273866E-3</v>
      </c>
      <c r="T5" s="33">
        <f>SUMPRODUCT((Table26[[who_reg]:[who_reg]]=$A5)*Table26[[births]:[births]]*Table26[[lmap_pe]:[lmap_pe]]*(LEN(Table26[[lmap_pe]:[lmap_pe]])&gt;1)*(LEN(Table26[[bd_cov]:[bd_cov]])&gt;interactive!$C$6))/SUMPRODUCT((Table26[[who_reg]:[who_reg]]=$A5)*Table26[[births]:[births]]*(LEN(Table26[[lmap_pe]:[lmap_pe]])&gt;1)*(LEN(Table26[[bd_cov]:[bd_cov]])&gt;interactive!$C$6))</f>
        <v>1.0585673739473627E-2</v>
      </c>
      <c r="U5" s="33">
        <f>SUMPRODUCT((Table26[[who_reg]:[who_reg]]=$A5)*Table26[[births]:[births]]*Table26[[lmap_ub2]:[lmap_ub2]]*(LEN(Table26[[lmap_ub2]:[lmap_ub2]])&gt;1)*(LEN(Table26[[bd_cov]:[bd_cov]])&gt;interactive!$C$6))/SUMPRODUCT((Table26[[who_reg]:[who_reg]]=$A5)*Table26[[births]:[births]]*(LEN(Table26[[lmap_ub2]:[lmap_ub2]])&gt;1)*(LEN(Table26[[bd_cov]:[bd_cov]])&gt;interactive!$C$6))</f>
        <v>0.16714221693905726</v>
      </c>
      <c r="V5" s="126">
        <f>SUMPRODUCT((regions[[setting]:[setting]]=$A5)*regions[[bl1_c]:[bl1_c]])-SUMPRODUCT((regions[[setting]:[setting]]=$A5)*regions[[bl1_f]:[bl1_f]])</f>
        <v>2.9416923202685004</v>
      </c>
      <c r="W5" s="33">
        <f>SUMPRODUCT((tordrup[[who_reg]:[who_reg]]=$A5)*tordrup[[births]:[births]]*tordrup[[c_C]:[c_C]]*(LEN(tordrup[[c_C]:[c_C]])&gt;1)*(LEN(tordrup[[bd_cov]:[bd_cov]])&gt;interactive!$C$6))/SUMPRODUCT((tordrup[[who_reg]:[who_reg]]=$A5)*tordrup[[births]:[births]]*(LEN(tordrup[[c_C]:[c_C]])&gt;1)*(LEN(tordrup[[bd_cov]:[bd_cov]])&gt;interactive!$C$6))</f>
        <v>31.715964524496332</v>
      </c>
      <c r="X5" s="33">
        <f>SUMPRODUCT((tordrup[[who_reg]:[who_reg]]=$A5)*tordrup[[births]:[births]]*tordrup[[c_CC]:[c_CC]]*(LEN(tordrup[[c_CC]:[c_CC]])&gt;1)*(LEN(tordrup[[bd_cov]:[bd_cov]])&gt;interactive!$C$6))/SUMPRODUCT((tordrup[[who_reg]:[who_reg]]=$A5)*tordrup[[births]:[births]]*(LEN(tordrup[[c_CC]:[c_CC]])&gt;1)*(LEN(tordrup[[bd_cov]:[bd_cov]])&gt;interactive!$C$6))</f>
        <v>60.935964524496327</v>
      </c>
      <c r="Y5" s="33">
        <f>SUMPRODUCT((tordrup[[who_reg]:[who_reg]]=$A5)*tordrup[[births]:[births]]*tordrup[[c_DC]:[c_DC]]*(LEN(tordrup[[c_DC]:[c_DC]])&gt;1)*(LEN(tordrup[[bd_cov]:[bd_cov]])&gt;interactive!$C$6))/SUMPRODUCT((tordrup[[who_reg]:[who_reg]]=$A5)*tordrup[[births]:[births]]*(LEN(tordrup[[c_DC]:[c_DC]])&gt;1)*(LEN(tordrup[[bd_cov]:[bd_cov]])&gt;interactive!$C$6))</f>
        <v>108.65876594883072</v>
      </c>
      <c r="Z5" s="33">
        <f>SUMPRODUCT((tordrup[[who_reg]:[who_reg]]=$A5)*tordrup[[births]:[births]]*tordrup[[c_HCC]:[c_HCC]]*(LEN(tordrup[[c_HCC]:[c_HCC]])&gt;1)*(LEN(tordrup[[bd_cov]:[bd_cov]])&gt;interactive!$C$6))/SUMPRODUCT((tordrup[[who_reg]:[who_reg]]=$A5)*tordrup[[births]:[births]]*(LEN(tordrup[[c_HCC]:[c_HCC]])&gt;1)*(LEN(tordrup[[bd_cov]:[bd_cov]])&gt;interactive!$C$6))</f>
        <v>100.70496571144166</v>
      </c>
      <c r="AA5" s="126">
        <v>82.4</v>
      </c>
      <c r="AB5" s="140">
        <v>408.79</v>
      </c>
      <c r="AC5" s="140">
        <v>2415.5</v>
      </c>
      <c r="AD5" s="140">
        <v>5434.91</v>
      </c>
      <c r="AE5" s="140"/>
      <c r="AF5" s="140"/>
      <c r="AG5" s="140"/>
      <c r="AH5" s="140"/>
      <c r="AI5" s="140"/>
    </row>
    <row r="6" spans="1:36" x14ac:dyDescent="0.25">
      <c r="A6" s="33" t="s">
        <v>680</v>
      </c>
      <c r="I6" s="126">
        <f>SUMPRODUCT((portnoy[[who_reg]:[who_reg]]=$A6)*portnoy[[births]:[births]]*portnoy[[est]:[est]]*(LEN( portnoy[[est]:[est]])&gt;1)*(LEN(portnoy[[bd_cov]:[bd_cov]])&gt;interactive!$C$6))/SUMPRODUCT((portnoy[[who_reg]:[who_reg]]=$A6)*portnoy[[births]:[births]]*(LEN( portnoy[[est]:[est]])&gt;1)*(LEN(portnoy[[bd_cov]:[bd_cov]])&gt;interactive!$C$6))</f>
        <v>1.2331548901241609</v>
      </c>
      <c r="J6" s="126">
        <v>0.36202199312714778</v>
      </c>
      <c r="K6" s="126">
        <v>0.41792411616161618</v>
      </c>
      <c r="L6" s="126">
        <v>0.48333918128654974</v>
      </c>
      <c r="M6" s="126">
        <v>0.5718158075601375</v>
      </c>
      <c r="N6" s="126">
        <v>0.65679722222222237</v>
      </c>
      <c r="O6" s="126">
        <v>0.7491286549707602</v>
      </c>
      <c r="P6" s="33">
        <f>SUMPRODUCT((Table26[[who_reg]:[who_reg]]=$A6)*Table26[[births]:[births]]*Table26[[qmap_lb]:[qmap_lb]]*(LEN(Table26[[qmap_lb]:[qmap_lb]])&gt;1)*(LEN(Table26[[bd_cov]:[bd_cov]])&gt;interactive!$C$6))/SUMPRODUCT((Table26[[who_reg]:[who_reg]]=$A6)*Table26[[births]:[births]]*(LEN(Table26[[qmap_lb]:[qmap_lb]])&gt;1)*(LEN(Table26[[bd_cov]:[bd_cov]])&gt;interactive!$C$6))</f>
        <v>8.4041782255663451E-3</v>
      </c>
      <c r="Q6" s="33">
        <f>SUMPRODUCT((Table26[[who_reg]:[who_reg]]=$A6)*Table26[[births]:[births]]*Table26[[qmap_pe]:[qmap_pe]]*(LEN(Table26[[qmap_pe]:[qmap_pe]])&gt;1)*(LEN(Table26[[bd_cov]:[bd_cov]])&gt;interactive!$C$6))/SUMPRODUCT((Table26[[who_reg]:[who_reg]]=$A6)*Table26[[births]:[births]]*(LEN(Table26[[qmap_pe]:[qmap_pe]])&gt;1)*(LEN(Table26[[bd_cov]:[bd_cov]])&gt;interactive!$C$6))</f>
        <v>1.2774350902860842E-2</v>
      </c>
      <c r="R6" s="33">
        <f>SUMPRODUCT((Table26[[who_reg]:[who_reg]]=$A6)*Table26[[births]:[births]]*Table26[[qmap_ub2]:[qmap_ub2]]*(LEN(Table26[[qmap_ub2]:[qmap_ub2]])&gt;1)*(LEN(Table26[[bd_cov]:[bd_cov]])&gt;interactive!$C$6))/SUMPRODUCT((Table26[[who_reg]:[who_reg]]=$A6)*Table26[[births]:[births]]*(LEN(Table26[[qmap_ub2]:[qmap_ub2]])&gt;1)*(LEN(Table26[[bd_cov]:[bd_cov]])&gt;interactive!$C$6))</f>
        <v>0.20170027741359228</v>
      </c>
      <c r="S6" s="33">
        <f>SUMPRODUCT((Table26[[who_reg]:[who_reg]]=$A6)*Table26[[births]:[births]]*Table26[[lmap_lb]:[lmap_lb]]*(LEN(Table26[[lmap_lb]:[lmap_lb]])&gt;1)*(LEN(Table26[[bd_cov]:[bd_cov]])&gt;interactive!$C$6))/SUMPRODUCT((Table26[[who_reg]:[who_reg]]=$A6)*Table26[[births]:[births]]*(LEN(Table26[[lmap_lb]:[lmap_lb]])&gt;1)*(LEN(Table26[[bd_cov]:[bd_cov]])&gt;interactive!$C$6))</f>
        <v>4.5357250219155119E-3</v>
      </c>
      <c r="T6" s="33">
        <f>SUMPRODUCT((Table26[[who_reg]:[who_reg]]=$A6)*Table26[[births]:[births]]*Table26[[lmap_pe]:[lmap_pe]]*(LEN(Table26[[lmap_pe]:[lmap_pe]])&gt;1)*(LEN(Table26[[bd_cov]:[bd_cov]])&gt;interactive!$C$6))/SUMPRODUCT((Table26[[who_reg]:[who_reg]]=$A6)*Table26[[births]:[births]]*(LEN(Table26[[lmap_pe]:[lmap_pe]])&gt;1)*(LEN(Table26[[bd_cov]:[bd_cov]])&gt;interactive!$C$6))</f>
        <v>6.894302033311578E-3</v>
      </c>
      <c r="U6" s="33">
        <f>SUMPRODUCT((Table26[[who_reg]:[who_reg]]=$A6)*Table26[[births]:[births]]*Table26[[lmap_ub2]:[lmap_ub2]]*(LEN(Table26[[lmap_ub2]:[lmap_ub2]])&gt;1)*(LEN(Table26[[bd_cov]:[bd_cov]])&gt;interactive!$C$6))/SUMPRODUCT((Table26[[who_reg]:[who_reg]]=$A6)*Table26[[births]:[births]]*(LEN(Table26[[lmap_ub2]:[lmap_ub2]])&gt;1)*(LEN(Table26[[bd_cov]:[bd_cov]])&gt;interactive!$C$6))</f>
        <v>0.10885740052597229</v>
      </c>
      <c r="V6" s="126">
        <f>SUMPRODUCT((regions[[setting]:[setting]]=$A6)*regions[[bl1_c]:[bl1_c]])-SUMPRODUCT((regions[[setting]:[setting]]=$A6)*regions[[bl1_f]:[bl1_f]])</f>
        <v>2.0465992232927457</v>
      </c>
      <c r="W6" s="33">
        <f>SUMPRODUCT((tordrup[[who_reg]:[who_reg]]=$A6)*tordrup[[births]:[births]]*tordrup[[c_C]:[c_C]]*(LEN(tordrup[[c_C]:[c_C]])&gt;1)*(LEN(tordrup[[bd_cov]:[bd_cov]])&gt;interactive!$C$6))/SUMPRODUCT((tordrup[[who_reg]:[who_reg]]=$A6)*tordrup[[births]:[births]]*(LEN(tordrup[[c_C]:[c_C]])&gt;1)*(LEN(tordrup[[bd_cov]:[bd_cov]])&gt;interactive!$C$6))</f>
        <v>25.453070081405755</v>
      </c>
      <c r="X6" s="33">
        <f>SUMPRODUCT((tordrup[[who_reg]:[who_reg]]=$A6)*tordrup[[births]:[births]]*tordrup[[c_CC]:[c_CC]]*(LEN(tordrup[[c_CC]:[c_CC]])&gt;1)*(LEN(tordrup[[bd_cov]:[bd_cov]])&gt;interactive!$C$6))/SUMPRODUCT((tordrup[[who_reg]:[who_reg]]=$A6)*tordrup[[births]:[births]]*(LEN(tordrup[[c_CC]:[c_CC]])&gt;1)*(LEN(tordrup[[bd_cov]:[bd_cov]])&gt;interactive!$C$6))</f>
        <v>54.673070081405761</v>
      </c>
      <c r="Y6" s="33">
        <f>SUMPRODUCT((tordrup[[who_reg]:[who_reg]]=$A6)*tordrup[[births]:[births]]*tordrup[[c_DC]:[c_DC]]*(LEN(tordrup[[c_DC]:[c_DC]])&gt;1)*(LEN(tordrup[[bd_cov]:[bd_cov]])&gt;interactive!$C$6))/SUMPRODUCT((tordrup[[who_reg]:[who_reg]]=$A6)*tordrup[[births]:[births]]*(LEN(tordrup[[c_DC]:[c_DC]])&gt;1)*(LEN(tordrup[[bd_cov]:[bd_cov]])&gt;interactive!$C$6))</f>
        <v>62.681774864609807</v>
      </c>
      <c r="Z6" s="33">
        <f>SUMPRODUCT((tordrup[[who_reg]:[who_reg]]=$A6)*tordrup[[births]:[births]]*tordrup[[c_HCC]:[c_HCC]]*(LEN(tordrup[[c_HCC]:[c_HCC]])&gt;1)*(LEN(tordrup[[bd_cov]:[bd_cov]])&gt;interactive!$C$6))/SUMPRODUCT((tordrup[[who_reg]:[who_reg]]=$A6)*tordrup[[births]:[births]]*(LEN(tordrup[[c_HCC]:[c_HCC]])&gt;1)*(LEN(tordrup[[bd_cov]:[bd_cov]])&gt;interactive!$C$6))</f>
        <v>61.346990734075796</v>
      </c>
      <c r="AA6" s="126">
        <v>82.4</v>
      </c>
      <c r="AB6" s="140">
        <v>408.79</v>
      </c>
      <c r="AC6" s="140">
        <v>2415.5</v>
      </c>
      <c r="AD6" s="140">
        <v>5434.91</v>
      </c>
      <c r="AE6" s="140"/>
      <c r="AF6" s="140"/>
      <c r="AG6" s="140"/>
      <c r="AH6" s="140"/>
      <c r="AI6" s="140"/>
    </row>
    <row r="7" spans="1:36" x14ac:dyDescent="0.25">
      <c r="A7" s="33" t="s">
        <v>681</v>
      </c>
      <c r="I7" s="126">
        <f>SUMPRODUCT((portnoy[[who_reg]:[who_reg]]=$A7)*portnoy[[births]:[births]]*portnoy[[est]:[est]]*(LEN( portnoy[[est]:[est]])&gt;1)*(LEN(portnoy[[bd_cov]:[bd_cov]])&gt;interactive!$C$6))/SUMPRODUCT((portnoy[[who_reg]:[who_reg]]=$A7)*portnoy[[births]:[births]]*(LEN( portnoy[[est]:[est]])&gt;1)*(LEN(portnoy[[bd_cov]:[bd_cov]])&gt;interactive!$C$6))</f>
        <v>2.1059624953864424</v>
      </c>
      <c r="J7" s="126">
        <v>0.36202199312714778</v>
      </c>
      <c r="K7" s="126">
        <v>0.41792411616161618</v>
      </c>
      <c r="L7" s="126">
        <v>0.48333918128654974</v>
      </c>
      <c r="M7" s="126">
        <v>0.5718158075601375</v>
      </c>
      <c r="N7" s="126">
        <v>0.65679722222222237</v>
      </c>
      <c r="O7" s="126">
        <v>0.7491286549707602</v>
      </c>
      <c r="P7" s="33">
        <f>SUMPRODUCT((Table26[[who_reg]:[who_reg]]=$A7)*Table26[[births]:[births]]*Table26[[qmap_lb]:[qmap_lb]]*(LEN(Table26[[qmap_lb]:[qmap_lb]])&gt;1)*(LEN(Table26[[bd_cov]:[bd_cov]])&gt;interactive!$C$6))/SUMPRODUCT((Table26[[who_reg]:[who_reg]]=$A7)*Table26[[births]:[births]]*(LEN(Table26[[qmap_lb]:[qmap_lb]])&gt;1)*(LEN(Table26[[bd_cov]:[bd_cov]])&gt;interactive!$C$6))</f>
        <v>1.7246212109732553E-2</v>
      </c>
      <c r="Q7" s="33">
        <f>SUMPRODUCT((Table26[[who_reg]:[who_reg]]=$A7)*Table26[[births]:[births]]*Table26[[qmap_pe]:[qmap_pe]]*(LEN(Table26[[qmap_pe]:[qmap_pe]])&gt;1)*(LEN(Table26[[bd_cov]:[bd_cov]])&gt;interactive!$C$6))/SUMPRODUCT((Table26[[who_reg]:[who_reg]]=$A7)*Table26[[births]:[births]]*(LEN(Table26[[qmap_pe]:[qmap_pe]])&gt;1)*(LEN(Table26[[bd_cov]:[bd_cov]])&gt;interactive!$C$6))</f>
        <v>2.6214242406793493E-2</v>
      </c>
      <c r="R7" s="33">
        <f>SUMPRODUCT((Table26[[who_reg]:[who_reg]]=$A7)*Table26[[births]:[births]]*Table26[[qmap_ub2]:[qmap_ub2]]*(LEN(Table26[[qmap_ub2]:[qmap_ub2]])&gt;1)*(LEN(Table26[[bd_cov]:[bd_cov]])&gt;interactive!$C$6))/SUMPRODUCT((Table26[[who_reg]:[who_reg]]=$A7)*Table26[[births]:[births]]*(LEN(Table26[[qmap_ub2]:[qmap_ub2]])&gt;1)*(LEN(Table26[[bd_cov]:[bd_cov]])&gt;interactive!$C$6))</f>
        <v>0.41390909063358133</v>
      </c>
      <c r="S7" s="33">
        <f>SUMPRODUCT((Table26[[who_reg]:[who_reg]]=$A7)*Table26[[births]:[births]]*Table26[[lmap_lb]:[lmap_lb]]*(LEN(Table26[[lmap_lb]:[lmap_lb]])&gt;1)*(LEN(Table26[[bd_cov]:[bd_cov]])&gt;interactive!$C$6))/SUMPRODUCT((Table26[[who_reg]:[who_reg]]=$A7)*Table26[[births]:[births]]*(LEN(Table26[[lmap_lb]:[lmap_lb]])&gt;1)*(LEN(Table26[[bd_cov]:[bd_cov]])&gt;interactive!$C$6))</f>
        <v>9.3160792464082372E-3</v>
      </c>
      <c r="T7" s="33">
        <f>SUMPRODUCT((Table26[[who_reg]:[who_reg]]=$A7)*Table26[[births]:[births]]*Table26[[lmap_pe]:[lmap_pe]]*(LEN(Table26[[lmap_pe]:[lmap_pe]])&gt;1)*(LEN(Table26[[bd_cov]:[bd_cov]])&gt;interactive!$C$6))/SUMPRODUCT((Table26[[who_reg]:[who_reg]]=$A7)*Table26[[births]:[births]]*(LEN(Table26[[lmap_pe]:[lmap_pe]])&gt;1)*(LEN(Table26[[bd_cov]:[bd_cov]])&gt;interactive!$C$6))</f>
        <v>1.4160440454540518E-2</v>
      </c>
      <c r="U7" s="33">
        <f>SUMPRODUCT((Table26[[who_reg]:[who_reg]]=$A7)*Table26[[births]:[births]]*Table26[[lmap_ub2]:[lmap_ub2]]*(LEN(Table26[[lmap_ub2]:[lmap_ub2]])&gt;1)*(LEN(Table26[[bd_cov]:[bd_cov]])&gt;interactive!$C$6))/SUMPRODUCT((Table26[[who_reg]:[who_reg]]=$A7)*Table26[[births]:[births]]*(LEN(Table26[[lmap_ub2]:[lmap_ub2]])&gt;1)*(LEN(Table26[[bd_cov]:[bd_cov]])&gt;interactive!$C$6))</f>
        <v>0.22358590191379771</v>
      </c>
      <c r="V7" s="126">
        <f>SUMPRODUCT((regions[[setting]:[setting]]=$A7)*regions[[bl1_c]:[bl1_c]])-SUMPRODUCT((regions[[setting]:[setting]]=$A7)*regions[[bl1_f]:[bl1_f]])</f>
        <v>0.64208882028836944</v>
      </c>
      <c r="W7" s="33">
        <f>SUMPRODUCT((tordrup[[who_reg]:[who_reg]]=$A7)*tordrup[[births]:[births]]*tordrup[[c_C]:[c_C]]*(LEN(tordrup[[c_C]:[c_C]])&gt;1)*(LEN(tordrup[[bd_cov]:[bd_cov]])&gt;interactive!$C$6))/SUMPRODUCT((tordrup[[who_reg]:[who_reg]]=$A7)*tordrup[[births]:[births]]*(LEN(tordrup[[c_C]:[c_C]])&gt;1)*(LEN(tordrup[[bd_cov]:[bd_cov]])&gt;interactive!$C$6))</f>
        <v>28.745048754105269</v>
      </c>
      <c r="X7" s="33">
        <f>SUMPRODUCT((tordrup[[who_reg]:[who_reg]]=$A7)*tordrup[[births]:[births]]*tordrup[[c_CC]:[c_CC]]*(LEN(tordrup[[c_CC]:[c_CC]])&gt;1)*(LEN(tordrup[[bd_cov]:[bd_cov]])&gt;interactive!$C$6))/SUMPRODUCT((tordrup[[who_reg]:[who_reg]]=$A7)*tordrup[[births]:[births]]*(LEN(tordrup[[c_CC]:[c_CC]])&gt;1)*(LEN(tordrup[[bd_cov]:[bd_cov]])&gt;interactive!$C$6))</f>
        <v>57.965048754105275</v>
      </c>
      <c r="Y7" s="33">
        <f>SUMPRODUCT((tordrup[[who_reg]:[who_reg]]=$A7)*tordrup[[births]:[births]]*tordrup[[c_DC]:[c_DC]]*(LEN(tordrup[[c_DC]:[c_DC]])&gt;1)*(LEN(tordrup[[bd_cov]:[bd_cov]])&gt;interactive!$C$6))/SUMPRODUCT((tordrup[[who_reg]:[who_reg]]=$A7)*tordrup[[births]:[births]]*(LEN(tordrup[[c_DC]:[c_DC]])&gt;1)*(LEN(tordrup[[bd_cov]:[bd_cov]])&gt;interactive!$C$6))</f>
        <v>83.006818950712187</v>
      </c>
      <c r="Z7" s="33">
        <f>SUMPRODUCT((tordrup[[who_reg]:[who_reg]]=$A7)*tordrup[[births]:[births]]*tordrup[[c_HCC]:[c_HCC]]*(LEN(tordrup[[c_HCC]:[c_HCC]])&gt;1)*(LEN(tordrup[[bd_cov]:[bd_cov]])&gt;interactive!$C$6))/SUMPRODUCT((tordrup[[who_reg]:[who_reg]]=$A7)*tordrup[[births]:[births]]*(LEN(tordrup[[c_HCC]:[c_HCC]])&gt;1)*(LEN(tordrup[[bd_cov]:[bd_cov]])&gt;interactive!$C$6))</f>
        <v>78.833190584611032</v>
      </c>
      <c r="AA7" s="126">
        <v>82.4</v>
      </c>
      <c r="AB7" s="140">
        <v>408.79</v>
      </c>
      <c r="AC7" s="140">
        <v>2415.5</v>
      </c>
      <c r="AD7" s="140">
        <v>5434.91</v>
      </c>
      <c r="AE7" s="140"/>
      <c r="AF7" s="140"/>
      <c r="AG7" s="140"/>
      <c r="AH7" s="140"/>
      <c r="AI7" s="140"/>
    </row>
    <row r="8" spans="1:36" x14ac:dyDescent="0.25">
      <c r="A8" s="33" t="s">
        <v>705</v>
      </c>
      <c r="I8" s="126">
        <f>SUMPRODUCT(portnoy[[births]:[births]]*portnoy[[est]:[est]]*(LEN( portnoy[[est]:[est]])&gt;1)*(LEN(portnoy[[bd_cov]:[bd_cov]])&gt;interactive!$C$6))/SUMPRODUCT(portnoy[[births]:[births]]*(LEN( portnoy[[est]:[est]])&gt;1)*(LEN(portnoy[[bd_cov]:[bd_cov]])&gt;interactive!$C$6))</f>
        <v>1.939909077795162</v>
      </c>
      <c r="J8" s="126">
        <v>0.362021993127148</v>
      </c>
      <c r="K8" s="126">
        <v>0.41792411616161618</v>
      </c>
      <c r="L8" s="126">
        <v>0.48333918128654974</v>
      </c>
      <c r="M8" s="126">
        <v>0.5718158075601375</v>
      </c>
      <c r="N8" s="126">
        <v>0.65679722222222237</v>
      </c>
      <c r="O8" s="126">
        <v>0.7491286549707602</v>
      </c>
      <c r="P8" s="33">
        <f>SUMPRODUCT(Table26[[births]:[births]]*Table26[[qmap_lb]:[qmap_lb]]*(LEN(Table26[[qmap_lb]:[qmap_lb]])&gt;1)*(LEN(Table26[[bd_cov]:[bd_cov]])&gt;interactive!$C$6))/SUMPRODUCT(Table26[[births]:[births]]*(LEN(Table26[[qmap_lb]:[qmap_lb]])&gt;1)*(LEN(Table26[[bd_cov]:[bd_cov]])&gt;interactive!$C$6))</f>
        <v>1.1976332133161819E-2</v>
      </c>
      <c r="Q8" s="33">
        <f>SUMPRODUCT(Table26[[births]:[births]]*Table26[[qmap_pe]:[qmap_pe]]*(LEN(Table26[[qmap_pe]:[qmap_pe]])&gt;1)*(LEN(Table26[[bd_cov]:[bd_cov]])&gt;interactive!$C$6))/SUMPRODUCT(Table26[[births]:[births]]*(LEN(Table26[[qmap_pe]:[qmap_pe]])&gt;1)*(LEN(Table26[[bd_cov]:[bd_cov]])&gt;interactive!$C$6))</f>
        <v>1.8204024842405946E-2</v>
      </c>
      <c r="R8" s="33">
        <f>SUMPRODUCT(Table26[[births]:[births]]*Table26[[qmap_ub2]:[qmap_ub2]]*(LEN(Table26[[qmap_ub2]:[qmap_ub2]])&gt;1)*(LEN(Table26[[bd_cov]:[bd_cov]])&gt;interactive!$C$6))/SUMPRODUCT(Table26[[births]:[births]]*(LEN(Table26[[qmap_ub2]:[qmap_ub2]])&gt;1)*(LEN(Table26[[bd_cov]:[bd_cov]])&gt;interactive!$C$6))</f>
        <v>0.28743197119588337</v>
      </c>
      <c r="S8" s="33">
        <f>SUMPRODUCT(Table26[[births]:[births]]*Table26[[lmap_lb]:[lmap_lb]]*(LEN(Table26[[lmap_lb]:[lmap_lb]])&gt;1)*(LEN(Table26[[bd_cov]:[bd_cov]])&gt;interactive!$C$6))/SUMPRODUCT(Table26[[births]:[births]]*(LEN(Table26[[lmap_lb]:[lmap_lb]])&gt;1)*(LEN(Table26[[bd_cov]:[bd_cov]])&gt;interactive!$C$6))</f>
        <v>6.4639341207494141E-3</v>
      </c>
      <c r="T8" s="33">
        <f>SUMPRODUCT(Table26[[births]:[births]]*Table26[[lmap_pe]:[lmap_pe]]*(LEN(Table26[[lmap_pe]:[lmap_pe]])&gt;1)*(LEN(Table26[[bd_cov]:[bd_cov]])&gt;interactive!$C$6))/SUMPRODUCT(Table26[[births]:[births]]*(LEN(Table26[[lmap_pe]:[lmap_pe]])&gt;1)*(LEN(Table26[[bd_cov]:[bd_cov]])&gt;interactive!$C$6))</f>
        <v>9.8251798635391116E-3</v>
      </c>
      <c r="U8" s="33">
        <f>SUMPRODUCT(Table26[[births]:[births]]*Table26[[lmap_ub2]:[lmap_ub2]]*(LEN(Table26[[lmap_ub2]:[lmap_ub2]])&gt;1)*(LEN(Table26[[bd_cov]:[bd_cov]])&gt;interactive!$C$6))/SUMPRODUCT(Table26[[births]:[births]]*(LEN(Table26[[lmap_ub2]:[lmap_ub2]])&gt;1)*(LEN(Table26[[bd_cov]:[bd_cov]])&gt;interactive!$C$6))</f>
        <v>0.15513441889798596</v>
      </c>
      <c r="V8" s="126">
        <f>SUMPRODUCT((regions[[setting]:[setting]]=$A8)*regions[[bl1_c]:[bl1_c]])-SUMPRODUCT((regions[[setting]:[setting]]=$A8)*regions[[bl1_f]:[bl1_f]])</f>
        <v>1.3972842770470866</v>
      </c>
      <c r="W8" s="33">
        <f>SUMPRODUCT(tordrup[[births]:[births]]*tordrup[[c_C]:[c_C]]*(LEN(tordrup[[c_C]:[c_C]])&gt;1)*(LEN(tordrup[[bd_cov]:[bd_cov]])&gt;interactive!$C$6))/SUMPRODUCT(tordrup[[births]:[births]]*(LEN(tordrup[[c_C]:[c_C]])&gt;1)*(LEN(tordrup[[bd_cov]:[bd_cov]])&gt;interactive!$C$6))</f>
        <v>27.530567212141811</v>
      </c>
      <c r="X8" s="33">
        <f>SUMPRODUCT(tordrup[[births]:[births]]*tordrup[[c_CC]:[c_CC]]*(LEN(tordrup[[c_CC]:[c_CC]])&gt;1)*(LEN(tordrup[[bd_cov]:[bd_cov]])&gt;interactive!$C$6))/SUMPRODUCT(tordrup[[births]:[births]]*(LEN(tordrup[[c_CC]:[c_CC]])&gt;1)*(LEN(tordrup[[bd_cov]:[bd_cov]])&gt;interactive!$C$6))</f>
        <v>56.750567212141796</v>
      </c>
      <c r="Y8" s="33">
        <f>SUMPRODUCT(tordrup[[births]:[births]]*tordrup[[c_DC]:[c_DC]]*(LEN(tordrup[[c_DC]:[c_DC]])&gt;1)*(LEN(tordrup[[bd_cov]:[bd_cov]])&gt;interactive!$C$6))/SUMPRODUCT(tordrup[[births]:[births]]*(LEN(tordrup[[c_DC]:[c_DC]])&gt;1)*(LEN(tordrup[[bd_cov]:[bd_cov]])&gt;interactive!$C$6))</f>
        <v>76.025451400522911</v>
      </c>
      <c r="Z8" s="33">
        <f>SUMPRODUCT(tordrup[[births]:[births]]*tordrup[[c_HCC]:[c_HCC]]*(LEN(tordrup[[c_HCC]:[c_HCC]])&gt;1)*(LEN(tordrup[[bd_cov]:[bd_cov]])&gt;interactive!$C$6))/SUMPRODUCT(tordrup[[births]:[births]]*(LEN(tordrup[[c_HCC]:[c_HCC]])&gt;1)*(LEN(tordrup[[bd_cov]:[bd_cov]])&gt;interactive!$C$6))</f>
        <v>72.812970702459424</v>
      </c>
      <c r="AA8" s="126">
        <v>82.4</v>
      </c>
      <c r="AB8" s="140">
        <v>408.79</v>
      </c>
      <c r="AC8" s="140">
        <v>2415.5</v>
      </c>
      <c r="AD8" s="140">
        <v>5434.91</v>
      </c>
      <c r="AE8" s="140"/>
      <c r="AF8" s="140"/>
      <c r="AG8" s="140"/>
      <c r="AH8" s="140"/>
      <c r="AI8" s="140"/>
    </row>
    <row r="9" spans="1:36" x14ac:dyDescent="0.25">
      <c r="AA9" s="126"/>
      <c r="AB9" s="140"/>
      <c r="AC9" s="140"/>
      <c r="AD9" s="140"/>
      <c r="AE9" s="140"/>
      <c r="AF9" s="140"/>
      <c r="AG9" s="140"/>
      <c r="AH9" s="140"/>
      <c r="AI9" s="140"/>
    </row>
  </sheetData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413"/>
  <sheetViews>
    <sheetView workbookViewId="0">
      <selection sqref="A1:L137"/>
    </sheetView>
  </sheetViews>
  <sheetFormatPr defaultRowHeight="15" x14ac:dyDescent="0.25"/>
  <cols>
    <col min="1" max="1" width="24.7109375" customWidth="1"/>
    <col min="2" max="2" width="22.28515625" customWidth="1"/>
    <col min="3" max="3" width="12.85546875" customWidth="1"/>
    <col min="4" max="4" width="13.28515625" customWidth="1"/>
    <col min="5" max="5" width="30.28515625" customWidth="1"/>
    <col min="6" max="6" width="50" customWidth="1"/>
    <col min="7" max="7" width="34.85546875" customWidth="1"/>
    <col min="8" max="8" width="13.7109375" customWidth="1"/>
    <col min="9" max="9" width="13.28515625" customWidth="1"/>
    <col min="10" max="10" width="10.42578125" customWidth="1"/>
    <col min="11" max="11" width="12.28515625" customWidth="1"/>
    <col min="12" max="12" width="11.140625" customWidth="1"/>
    <col min="13" max="14" width="10.85546875" customWidth="1"/>
    <col min="25" max="25" width="9.7109375" customWidth="1"/>
    <col min="26" max="26" width="9" customWidth="1"/>
    <col min="32" max="48" width="9.5703125" customWidth="1"/>
  </cols>
  <sheetData>
    <row r="1" spans="1:50" x14ac:dyDescent="0.25">
      <c r="A1" s="80" t="s">
        <v>668</v>
      </c>
      <c r="B1" s="80" t="s">
        <v>571</v>
      </c>
      <c r="C1" s="80" t="s">
        <v>669</v>
      </c>
      <c r="D1" s="80" t="s">
        <v>670</v>
      </c>
      <c r="E1" s="80" t="s">
        <v>575</v>
      </c>
      <c r="F1" s="80" t="s">
        <v>671</v>
      </c>
      <c r="G1" s="80" t="s">
        <v>672</v>
      </c>
      <c r="H1" s="108" t="s">
        <v>685</v>
      </c>
      <c r="I1" s="108" t="s">
        <v>686</v>
      </c>
      <c r="J1" s="108" t="s">
        <v>687</v>
      </c>
      <c r="K1" s="108" t="s">
        <v>688</v>
      </c>
      <c r="L1" s="108" t="s">
        <v>689</v>
      </c>
      <c r="M1" s="108" t="s">
        <v>690</v>
      </c>
      <c r="N1" s="108" t="s">
        <v>691</v>
      </c>
      <c r="O1" s="108" t="s">
        <v>657</v>
      </c>
      <c r="P1" s="108" t="s">
        <v>660</v>
      </c>
      <c r="Q1" s="108" t="s">
        <v>692</v>
      </c>
      <c r="R1" s="108" t="s">
        <v>693</v>
      </c>
      <c r="S1" s="108" t="s">
        <v>694</v>
      </c>
      <c r="T1" s="108" t="s">
        <v>695</v>
      </c>
      <c r="U1" s="108" t="s">
        <v>696</v>
      </c>
      <c r="V1" s="108" t="s">
        <v>697</v>
      </c>
      <c r="W1" s="108" t="s">
        <v>698</v>
      </c>
      <c r="X1" s="108" t="s">
        <v>699</v>
      </c>
      <c r="Y1" s="108" t="s">
        <v>700</v>
      </c>
      <c r="Z1" s="108" t="s">
        <v>701</v>
      </c>
      <c r="AA1" s="108" t="s">
        <v>702</v>
      </c>
      <c r="AB1" s="108" t="s">
        <v>703</v>
      </c>
      <c r="AC1" s="80" t="s">
        <v>544</v>
      </c>
      <c r="AD1" s="80" t="s">
        <v>545</v>
      </c>
      <c r="AE1" s="80" t="s">
        <v>546</v>
      </c>
      <c r="AF1" s="80" t="s">
        <v>547</v>
      </c>
      <c r="AG1" s="80" t="s">
        <v>548</v>
      </c>
      <c r="AH1" s="80" t="s">
        <v>549</v>
      </c>
      <c r="AI1" s="80" t="s">
        <v>550</v>
      </c>
      <c r="AJ1" s="80" t="s">
        <v>551</v>
      </c>
      <c r="AK1" s="80" t="s">
        <v>552</v>
      </c>
      <c r="AL1" s="80" t="s">
        <v>553</v>
      </c>
      <c r="AM1" s="80" t="s">
        <v>554</v>
      </c>
      <c r="AN1" s="80" t="s">
        <v>555</v>
      </c>
      <c r="AO1" s="80" t="s">
        <v>556</v>
      </c>
      <c r="AP1" s="80" t="s">
        <v>557</v>
      </c>
      <c r="AQ1" s="80" t="s">
        <v>558</v>
      </c>
      <c r="AR1" s="80" t="s">
        <v>559</v>
      </c>
      <c r="AS1" s="80" t="s">
        <v>560</v>
      </c>
      <c r="AT1" s="80" t="s">
        <v>561</v>
      </c>
      <c r="AU1" s="80" t="s">
        <v>562</v>
      </c>
      <c r="AV1" s="80" t="s">
        <v>563</v>
      </c>
      <c r="AW1" s="80" t="s">
        <v>564</v>
      </c>
      <c r="AX1" s="85" t="s">
        <v>704</v>
      </c>
    </row>
    <row r="2" spans="1:50" x14ac:dyDescent="0.25">
      <c r="A2" s="109" t="s">
        <v>191</v>
      </c>
      <c r="B2" s="101" t="s">
        <v>369</v>
      </c>
      <c r="C2" s="102">
        <v>4</v>
      </c>
      <c r="D2" s="82" t="s">
        <v>673</v>
      </c>
      <c r="E2" s="82" t="s">
        <v>579</v>
      </c>
      <c r="F2" s="82" t="s">
        <v>579</v>
      </c>
      <c r="G2" s="82" t="s">
        <v>674</v>
      </c>
      <c r="H2" s="117">
        <f>VLOOKUP(lmic_raw[[#This Row],[num]],pop[[Country code]:[pop_20]],2,FALSE)*1000</f>
        <v>38041757</v>
      </c>
      <c r="I2" s="117">
        <f>IFERROR(VLOOKUP(lmic_raw[[#This Row],[num]],pop[[Country code]:[pop_20]],2,FALSE)*VLOOKUP(lmic_raw[[#This Row],[num]],b_rate[[Country code]:[2015-2020]],2,FALSE),0)</f>
        <v>1249899.967992</v>
      </c>
      <c r="J2">
        <f>IFERROR(MIN(VLOOKUP(lmic_raw[[#This Row],[iso3]],fac_b[],4,FALSE)/100,0.9999),0)</f>
        <v>0.56299999999999994</v>
      </c>
      <c r="K2">
        <f>VLOOKUP(lmic_raw[[#This Row],[iso3]],vax[[iso3]:[hbv3]],2,FALSE)/100</f>
        <v>0.37</v>
      </c>
      <c r="L2" s="33">
        <f>VLOOKUP(lmic_raw[[#This Row],[iso3]],vax[[iso3]:[hbv3]],3,FALSE)/100</f>
        <v>0.66</v>
      </c>
      <c r="M2">
        <f>IFERROR(VLOOKUP(lmic_raw[[#This Row],[iso3]], hbv_prev[[iso3]:[ub]],2,FALSE)/100,0)</f>
        <v>1.11E-2</v>
      </c>
      <c r="N2">
        <f>IFERROR(VLOOKUP(lmic_raw[[#This Row],[setting]],hbe_prev[],3,FALSE),0)</f>
        <v>0.26918419033691254</v>
      </c>
      <c r="O2">
        <f>VLOOKUP(lmic_raw[[#This Row],[gbd_super]],hbe_risk[],2,FALSE)</f>
        <v>0.8</v>
      </c>
      <c r="P2" s="33">
        <f>VLOOKUP(lmic_raw[[#This Row],[gbd_super]],hbe_risk[],5,FALSE)</f>
        <v>0.17499999999999999</v>
      </c>
      <c r="Q2">
        <f>IFERROR(VLOOKUP(lmic_raw[[#This Row],[setting]],disease_costs!$A$4:$B$197,2,FALSE),0)</f>
        <v>2.3021927248391871</v>
      </c>
      <c r="R2">
        <f>IFERROR(VLOOKUP(lmic_raw[[#This Row],[gbd_super]],disease_costs!$G$4:$K$9,2,FALSE),0)</f>
        <v>46.335900000000002</v>
      </c>
      <c r="S2" s="33">
        <f>IFERROR(VLOOKUP(lmic_raw[[#This Row],[gbd_super]],disease_costs!$G$4:$K$9,3,FALSE),0)</f>
        <v>94.077900000000014</v>
      </c>
      <c r="T2" s="33">
        <f>IFERROR(VLOOKUP(lmic_raw[[#This Row],[gbd_super]],disease_costs!$G$4:$K$9,4,FALSE),0)</f>
        <v>94.077900000000014</v>
      </c>
      <c r="U2" s="33">
        <f>IFERROR(VLOOKUP(lmic_raw[[#This Row],[gbd_super]],disease_costs!$G$4:$K$9,5,FALSE),0)</f>
        <v>94.077900000000014</v>
      </c>
      <c r="V2">
        <f>IFERROR(VLOOKUP(lmic_raw[[#This Row],[setting]],vcost[],3,FALSE),0)</f>
        <v>1.1996245808495667</v>
      </c>
      <c r="W2" s="33">
        <f>IFERROR(VLOOKUP(lmic_raw[[#This Row],[setting]],vcost[],4,FALSE),0)</f>
        <v>1.6796245808495667</v>
      </c>
      <c r="X2" s="33">
        <f>IFERROR(VLOOKUP(lmic_raw[[#This Row],[setting]],vcost[],5,FALSE),0)</f>
        <v>0.77681626738447063</v>
      </c>
      <c r="Y2" s="33">
        <f>IFERROR(VLOOKUP(lmic_raw[[#This Row],[setting]],vcost[],6,FALSE),0)</f>
        <v>1.2568162673844707</v>
      </c>
      <c r="Z2" s="33">
        <f>IFERROR(VLOOKUP(lmic_raw[[#This Row],[setting]],vcost[],7,FALSE),0)</f>
        <v>1.2547005784728764</v>
      </c>
      <c r="AA2" s="33">
        <f>IFERROR(VLOOKUP(lmic_raw[[#This Row],[setting]],vcost[],8,FALSE),0)</f>
        <v>1.4402582696591018</v>
      </c>
      <c r="AB2" s="33">
        <f>IFERROR(VLOOKUP(lmic_raw[[#This Row],[setting]],vcost[],9,FALSE),0)</f>
        <v>1.9202582696591017</v>
      </c>
      <c r="AC2">
        <f>IFERROR(INDEX(acm[],MATCH($C2,acm[[Country code]:[Country code]],0),MATCH(AC$1,acm[#Headers],0)),0)</f>
        <v>5.1705920000000044E-2</v>
      </c>
      <c r="AD2" s="33">
        <f>IFERROR(INDEX(acm[],MATCH($C2,acm[[Country code]:[Country code]],0),MATCH(AD$1,acm[#Headers],0)),0)</f>
        <v>4.2606139648156119E-3</v>
      </c>
      <c r="AE2" s="33">
        <f>IFERROR(INDEX(acm[],MATCH($C2,acm[[Country code]:[Country code]],0),MATCH(AE$1,acm[#Headers],0)),0)</f>
        <v>1.3223737793075733E-3</v>
      </c>
      <c r="AF2" s="33">
        <f>IFERROR(INDEX(acm[],MATCH($C2,acm[[Country code]:[Country code]],0),MATCH(AF$1,acm[#Headers],0)),0)</f>
        <v>1.0403429192195591E-3</v>
      </c>
      <c r="AG2" s="33">
        <f>IFERROR(INDEX(acm[],MATCH($C2,acm[[Country code]:[Country code]],0),MATCH(AG$1,acm[#Headers],0)),0)</f>
        <v>1.6776300094756157E-3</v>
      </c>
      <c r="AH2" s="33">
        <f>IFERROR(INDEX(acm[],MATCH($C2,acm[[Country code]:[Country code]],0),MATCH(AH$1,acm[#Headers],0)),0)</f>
        <v>2.3376621044886147E-3</v>
      </c>
      <c r="AI2" s="33">
        <f>IFERROR(INDEX(acm[],MATCH($C2,acm[[Country code]:[Country code]],0),MATCH(AI$1,acm[#Headers],0)),0)</f>
        <v>2.5459831968737906E-3</v>
      </c>
      <c r="AJ2" s="33">
        <f>IFERROR(INDEX(acm[],MATCH($C2,acm[[Country code]:[Country code]],0),MATCH(AJ$1,acm[#Headers],0)),0)</f>
        <v>2.9144424789079464E-3</v>
      </c>
      <c r="AK2" s="33">
        <f>IFERROR(INDEX(acm[],MATCH($C2,acm[[Country code]:[Country code]],0),MATCH(AK$1,acm[#Headers],0)),0)</f>
        <v>3.609036825722695E-3</v>
      </c>
      <c r="AL2" s="33">
        <f>IFERROR(INDEX(acm[],MATCH($C2,acm[[Country code]:[Country code]],0),MATCH(AL$1,acm[#Headers],0)),0)</f>
        <v>4.7646755307516097E-3</v>
      </c>
      <c r="AM2" s="33">
        <f>IFERROR(INDEX(acm[],MATCH($C2,acm[[Country code]:[Country code]],0),MATCH(AM$1,acm[#Headers],0)),0)</f>
        <v>6.6693979477904005E-3</v>
      </c>
      <c r="AN2" s="33">
        <f>IFERROR(INDEX(acm[],MATCH($C2,acm[[Country code]:[Country code]],0),MATCH(AN$1,acm[#Headers],0)),0)</f>
        <v>9.7111120253384389E-3</v>
      </c>
      <c r="AO2" s="33">
        <f>IFERROR(INDEX(acm[],MATCH($C2,acm[[Country code]:[Country code]],0),MATCH(AO$1,acm[#Headers],0)),0)</f>
        <v>1.4319291152050998E-2</v>
      </c>
      <c r="AP2" s="33">
        <f>IFERROR(INDEX(acm[],MATCH($C2,acm[[Country code]:[Country code]],0),MATCH(AP$1,acm[#Headers],0)),0)</f>
        <v>2.1576406530464876E-2</v>
      </c>
      <c r="AQ2" s="33">
        <f>IFERROR(INDEX(acm[],MATCH($C2,acm[[Country code]:[Country code]],0),MATCH(AQ$1,acm[#Headers],0)),0)</f>
        <v>3.2497417745205051E-2</v>
      </c>
      <c r="AR2" s="33">
        <f>IFERROR(INDEX(acm[],MATCH($C2,acm[[Country code]:[Country code]],0),MATCH(AR$1,acm[#Headers],0)),0)</f>
        <v>4.9541629377470205E-2</v>
      </c>
      <c r="AS2" s="33">
        <f>IFERROR(INDEX(acm[],MATCH($C2,acm[[Country code]:[Country code]],0),MATCH(AS$1,acm[#Headers],0)),0)</f>
        <v>7.3784124546607335E-2</v>
      </c>
      <c r="AT2" s="33">
        <f>IFERROR(INDEX(acm[],MATCH($C2,acm[[Country code]:[Country code]],0),MATCH(AT$1,acm[#Headers],0)),0)</f>
        <v>0.10484693966590136</v>
      </c>
      <c r="AU2" s="33">
        <f>IFERROR(INDEX(acm[],MATCH($C2,acm[[Country code]:[Country code]],0),MATCH(AU$1,acm[#Headers],0)),0)</f>
        <v>0.13730355211350781</v>
      </c>
      <c r="AV2" s="33">
        <f>IFERROR(INDEX(acm[],MATCH($C2,acm[[Country code]:[Country code]],0),MATCH(AV$1,acm[#Headers],0)),0)</f>
        <v>0.16337379458024129</v>
      </c>
      <c r="AW2" s="33">
        <f>IFERROR(INDEX(acm[],MATCH($C2,acm[[Country code]:[Country code]],0),MATCH(AW$1,acm[#Headers],0)),0)</f>
        <v>0.18004602647935439</v>
      </c>
      <c r="AX2" s="33">
        <f>IFERROR(VLOOKUP(lmic_raw[[#This Row],[num]],life_exp[[Country code]:[2015-2020]],2,FALSE),0)</f>
        <v>64.278999999999996</v>
      </c>
    </row>
    <row r="3" spans="1:50" x14ac:dyDescent="0.25">
      <c r="A3" s="110" t="s">
        <v>332</v>
      </c>
      <c r="B3" s="104" t="s">
        <v>370</v>
      </c>
      <c r="C3" s="105">
        <v>8</v>
      </c>
      <c r="D3" s="84" t="s">
        <v>675</v>
      </c>
      <c r="E3" s="84" t="s">
        <v>580</v>
      </c>
      <c r="F3" s="84" t="s">
        <v>663</v>
      </c>
      <c r="G3" s="84" t="s">
        <v>676</v>
      </c>
      <c r="H3" s="33">
        <f>VLOOKUP(lmic_raw[[#This Row],[num]],pop[[Country code]:[pop_20]],2,FALSE)*1000</f>
        <v>2880913</v>
      </c>
      <c r="I3" s="117">
        <f>IFERROR(VLOOKUP(lmic_raw[[#This Row],[num]],pop[[Country code]:[pop_20]],2,FALSE)*VLOOKUP(lmic_raw[[#This Row],[num]],b_rate[[Country code]:[2015-2020]],2,FALSE),0)</f>
        <v>33977.487922</v>
      </c>
      <c r="J3">
        <f>IFERROR(MIN(VLOOKUP(lmic_raw[[#This Row],[iso3]],fac_b[],4,FALSE)/100,0.9999),0)</f>
        <v>0.98599999999999999</v>
      </c>
      <c r="K3" s="33">
        <f>VLOOKUP(lmic_raw[[#This Row],[iso3]],vax[[iso3]:[hbv3]],2,FALSE)/100</f>
        <v>0.99</v>
      </c>
      <c r="L3" s="33">
        <f>VLOOKUP(lmic_raw[[#This Row],[iso3]],vax[[iso3]:[hbv3]],3,FALSE)/100</f>
        <v>0.99</v>
      </c>
      <c r="M3">
        <f>IFERROR(VLOOKUP(lmic_raw[[#This Row],[iso3]], hbv_prev[[iso3]:[ub]],2,FALSE)/100,0)</f>
        <v>9.4200000000000006E-2</v>
      </c>
      <c r="N3">
        <f>IFERROR(VLOOKUP(lmic_raw[[#This Row],[setting]],hbe_prev[],3,FALSE),0)</f>
        <v>0.30532311464421369</v>
      </c>
      <c r="O3">
        <f>VLOOKUP(lmic_raw[[#This Row],[gbd_super]],hbe_risk[],2,FALSE)</f>
        <v>0.8</v>
      </c>
      <c r="P3" s="33">
        <f>VLOOKUP(lmic_raw[[#This Row],[gbd_super]],hbe_risk[],5,FALSE)</f>
        <v>0.17499999999999999</v>
      </c>
      <c r="Q3">
        <f>IFERROR(VLOOKUP(lmic_raw[[#This Row],[setting]],disease_costs!$A$4:$B$197,2,FALSE),0)</f>
        <v>8.2248487535413606</v>
      </c>
      <c r="R3">
        <f>IFERROR(VLOOKUP(lmic_raw[[#This Row],[gbd_super]],disease_costs!$G$4:$K$9,2,FALSE),0)</f>
        <v>44.537400000000005</v>
      </c>
      <c r="S3" s="33">
        <f>IFERROR(VLOOKUP(lmic_raw[[#This Row],[gbd_super]],disease_costs!$G$4:$K$9,3,FALSE),0)</f>
        <v>92.27940000000001</v>
      </c>
      <c r="T3" s="33">
        <f>IFERROR(VLOOKUP(lmic_raw[[#This Row],[gbd_super]],disease_costs!$G$4:$K$9,4,FALSE),0)</f>
        <v>92.27940000000001</v>
      </c>
      <c r="U3" s="33">
        <f>IFERROR(VLOOKUP(lmic_raw[[#This Row],[gbd_super]],disease_costs!$G$4:$K$9,5,FALSE),0)</f>
        <v>92.27940000000001</v>
      </c>
      <c r="V3">
        <f>IFERROR(VLOOKUP(lmic_raw[[#This Row],[setting]],vcost[],3,FALSE),0)</f>
        <v>7.1131391643066229</v>
      </c>
      <c r="W3">
        <f>IFERROR(VLOOKUP(lmic_raw[[#This Row],[setting]],vcost[],4,FALSE),0)</f>
        <v>11.183139164306624</v>
      </c>
      <c r="X3">
        <f>IFERROR(VLOOKUP(lmic_raw[[#This Row],[setting]],vcost[],5,FALSE),0)</f>
        <v>6.6786971830803736</v>
      </c>
      <c r="Y3">
        <f>IFERROR(VLOOKUP(lmic_raw[[#This Row],[setting]],vcost[],6,FALSE),0)</f>
        <v>10.748697183080374</v>
      </c>
      <c r="Z3">
        <f>IFERROR(VLOOKUP(lmic_raw[[#This Row],[setting]],vcost[],7,FALSE),0)</f>
        <v>10.742262046169946</v>
      </c>
      <c r="AA3">
        <f>IFERROR(VLOOKUP(lmic_raw[[#This Row],[setting]],vcost[],8,FALSE),0)</f>
        <v>7.3579663845184333</v>
      </c>
      <c r="AB3">
        <f>IFERROR(VLOOKUP(lmic_raw[[#This Row],[setting]],vcost[],9,FALSE),0)</f>
        <v>11.427966384518434</v>
      </c>
      <c r="AC3" s="33">
        <f>IFERROR(INDEX(acm[],MATCH($C3,acm[[Country code]:[Country code]],0),MATCH(AC$1,acm[#Headers],0)),0)</f>
        <v>8.0318399999999377E-3</v>
      </c>
      <c r="AD3" s="33">
        <f>IFERROR(INDEX(acm[],MATCH($C3,acm[[Country code]:[Country code]],0),MATCH(AD$1,acm[#Headers],0)),0)</f>
        <v>8.4250436022062644E-4</v>
      </c>
      <c r="AE3" s="33">
        <f>IFERROR(INDEX(acm[],MATCH($C3,acm[[Country code]:[Country code]],0),MATCH(AE$1,acm[#Headers],0)),0)</f>
        <v>2.2317860981916986E-4</v>
      </c>
      <c r="AF3" s="33">
        <f>IFERROR(INDEX(acm[],MATCH($C3,acm[[Country code]:[Country code]],0),MATCH(AF$1,acm[#Headers],0)),0)</f>
        <v>2.6798997624367677E-4</v>
      </c>
      <c r="AG3" s="33">
        <f>IFERROR(INDEX(acm[],MATCH($C3,acm[[Country code]:[Country code]],0),MATCH(AG$1,acm[#Headers],0)),0)</f>
        <v>3.7176075192468263E-4</v>
      </c>
      <c r="AH3" s="33">
        <f>IFERROR(INDEX(acm[],MATCH($C3,acm[[Country code]:[Country code]],0),MATCH(AH$1,acm[#Headers],0)),0)</f>
        <v>4.2405787776233654E-4</v>
      </c>
      <c r="AI3" s="33">
        <f>IFERROR(INDEX(acm[],MATCH($C3,acm[[Country code]:[Country code]],0),MATCH(AI$1,acm[#Headers],0)),0)</f>
        <v>4.8909551098896039E-4</v>
      </c>
      <c r="AJ3" s="33">
        <f>IFERROR(INDEX(acm[],MATCH($C3,acm[[Country code]:[Country code]],0),MATCH(AJ$1,acm[#Headers],0)),0)</f>
        <v>6.2990804911251211E-4</v>
      </c>
      <c r="AK3" s="33">
        <f>IFERROR(INDEX(acm[],MATCH($C3,acm[[Country code]:[Country code]],0),MATCH(AK$1,acm[#Headers],0)),0)</f>
        <v>1.0313924221536234E-3</v>
      </c>
      <c r="AL3" s="33">
        <f>IFERROR(INDEX(acm[],MATCH($C3,acm[[Country code]:[Country code]],0),MATCH(AL$1,acm[#Headers],0)),0)</f>
        <v>1.3959762528935795E-3</v>
      </c>
      <c r="AM3" s="33">
        <f>IFERROR(INDEX(acm[],MATCH($C3,acm[[Country code]:[Country code]],0),MATCH(AM$1,acm[#Headers],0)),0)</f>
        <v>2.1704545902039244E-3</v>
      </c>
      <c r="AN3" s="33">
        <f>IFERROR(INDEX(acm[],MATCH($C3,acm[[Country code]:[Country code]],0),MATCH(AN$1,acm[#Headers],0)),0)</f>
        <v>3.3020118804220071E-3</v>
      </c>
      <c r="AO3" s="33">
        <f>IFERROR(INDEX(acm[],MATCH($C3,acm[[Country code]:[Country code]],0),MATCH(AO$1,acm[#Headers],0)),0)</f>
        <v>5.0602741383161285E-3</v>
      </c>
      <c r="AP3" s="33">
        <f>IFERROR(INDEX(acm[],MATCH($C3,acm[[Country code]:[Country code]],0),MATCH(AP$1,acm[#Headers],0)),0)</f>
        <v>7.866762211831288E-3</v>
      </c>
      <c r="AQ3" s="33">
        <f>IFERROR(INDEX(acm[],MATCH($C3,acm[[Country code]:[Country code]],0),MATCH(AQ$1,acm[#Headers],0)),0)</f>
        <v>1.3123521533742875E-2</v>
      </c>
      <c r="AR3" s="33">
        <f>IFERROR(INDEX(acm[],MATCH($C3,acm[[Country code]:[Country code]],0),MATCH(AR$1,acm[#Headers],0)),0)</f>
        <v>2.3054826475283081E-2</v>
      </c>
      <c r="AS3" s="33">
        <f>IFERROR(INDEX(acm[],MATCH($C3,acm[[Country code]:[Country code]],0),MATCH(AS$1,acm[#Headers],0)),0)</f>
        <v>4.1927826476598151E-2</v>
      </c>
      <c r="AT3" s="33">
        <f>IFERROR(INDEX(acm[],MATCH($C3,acm[[Country code]:[Country code]],0),MATCH(AT$1,acm[#Headers],0)),0)</f>
        <v>7.6053886195852127E-2</v>
      </c>
      <c r="AU3" s="33">
        <f>IFERROR(INDEX(acm[],MATCH($C3,acm[[Country code]:[Country code]],0),MATCH(AU$1,acm[#Headers],0)),0)</f>
        <v>0.11294501020573071</v>
      </c>
      <c r="AV3" s="33">
        <f>IFERROR(INDEX(acm[],MATCH($C3,acm[[Country code]:[Country code]],0),MATCH(AV$1,acm[#Headers],0)),0)</f>
        <v>0.15012019915822183</v>
      </c>
      <c r="AW3" s="33">
        <f>IFERROR(INDEX(acm[],MATCH($C3,acm[[Country code]:[Country code]],0),MATCH(AW$1,acm[#Headers],0)),0)</f>
        <v>0.177809734375277</v>
      </c>
      <c r="AX3" s="33">
        <f>IFERROR(VLOOKUP(lmic_raw[[#This Row],[num]],life_exp[[Country code]:[2015-2020]],2,FALSE),0)</f>
        <v>78.376999999999995</v>
      </c>
    </row>
    <row r="4" spans="1:50" x14ac:dyDescent="0.25">
      <c r="A4" s="109" t="s">
        <v>157</v>
      </c>
      <c r="B4" s="101" t="s">
        <v>371</v>
      </c>
      <c r="C4" s="102">
        <v>12</v>
      </c>
      <c r="D4" s="82" t="s">
        <v>677</v>
      </c>
      <c r="E4" s="82" t="s">
        <v>579</v>
      </c>
      <c r="F4" s="82" t="s">
        <v>579</v>
      </c>
      <c r="G4" s="82" t="s">
        <v>676</v>
      </c>
      <c r="H4" s="33">
        <f>VLOOKUP(lmic_raw[[#This Row],[num]],pop[[Country code]:[pop_20]],2,FALSE)*1000</f>
        <v>43053054</v>
      </c>
      <c r="I4" s="117">
        <f>IFERROR(VLOOKUP(lmic_raw[[#This Row],[num]],pop[[Country code]:[pop_20]],2,FALSE)*VLOOKUP(lmic_raw[[#This Row],[num]],b_rate[[Country code]:[2015-2020]],2,FALSE),0)</f>
        <v>1062979.9032600001</v>
      </c>
      <c r="J4">
        <f>IFERROR(MIN(VLOOKUP(lmic_raw[[#This Row],[iso3]],fac_b[],4,FALSE)/100,0.9999),0)</f>
        <v>0.96799999999999997</v>
      </c>
      <c r="K4" s="33">
        <f>VLOOKUP(lmic_raw[[#This Row],[iso3]],vax[[iso3]:[hbv3]],2,FALSE)/100</f>
        <v>0.99</v>
      </c>
      <c r="L4" s="33">
        <f>VLOOKUP(lmic_raw[[#This Row],[iso3]],vax[[iso3]:[hbv3]],3,FALSE)/100</f>
        <v>0.91</v>
      </c>
      <c r="M4">
        <f>IFERROR(VLOOKUP(lmic_raw[[#This Row],[iso3]], hbv_prev[[iso3]:[ub]],2,FALSE)/100,0)</f>
        <v>1.7500000000000002E-2</v>
      </c>
      <c r="N4">
        <f>IFERROR(VLOOKUP(lmic_raw[[#This Row],[setting]],hbe_prev[],3,FALSE),0)</f>
        <v>0.23968205779100432</v>
      </c>
      <c r="O4">
        <f>VLOOKUP(lmic_raw[[#This Row],[gbd_super]],hbe_risk[],2,FALSE)</f>
        <v>0.8</v>
      </c>
      <c r="P4" s="33">
        <f>VLOOKUP(lmic_raw[[#This Row],[gbd_super]],hbe_risk[],5,FALSE)</f>
        <v>0.17499999999999999</v>
      </c>
      <c r="Q4">
        <f>IFERROR(VLOOKUP(lmic_raw[[#This Row],[setting]],disease_costs!$A$4:$B$197,2,FALSE),0)</f>
        <v>6.6700031828800679</v>
      </c>
      <c r="R4">
        <f>IFERROR(VLOOKUP(lmic_raw[[#This Row],[gbd_super]],disease_costs!$G$4:$K$9,2,FALSE),0)</f>
        <v>46.335900000000002</v>
      </c>
      <c r="S4" s="33">
        <f>IFERROR(VLOOKUP(lmic_raw[[#This Row],[gbd_super]],disease_costs!$G$4:$K$9,3,FALSE),0)</f>
        <v>94.077900000000014</v>
      </c>
      <c r="T4" s="33">
        <f>IFERROR(VLOOKUP(lmic_raw[[#This Row],[gbd_super]],disease_costs!$G$4:$K$9,4,FALSE),0)</f>
        <v>94.077900000000014</v>
      </c>
      <c r="U4" s="33">
        <f>IFERROR(VLOOKUP(lmic_raw[[#This Row],[gbd_super]],disease_costs!$G$4:$K$9,5,FALSE),0)</f>
        <v>94.077900000000014</v>
      </c>
      <c r="V4">
        <f>IFERROR(VLOOKUP(lmic_raw[[#This Row],[setting]],vcost[],3,FALSE),0)</f>
        <v>3.3469946483702921</v>
      </c>
      <c r="W4">
        <f>IFERROR(VLOOKUP(lmic_raw[[#This Row],[setting]],vcost[],4,FALSE),0)</f>
        <v>3.8269946483702921</v>
      </c>
      <c r="X4">
        <f>IFERROR(VLOOKUP(lmic_raw[[#This Row],[setting]],vcost[],5,FALSE),0)</f>
        <v>2.9160800027645641</v>
      </c>
      <c r="Y4">
        <f>IFERROR(VLOOKUP(lmic_raw[[#This Row],[setting]],vcost[],6,FALSE),0)</f>
        <v>3.3960800027645641</v>
      </c>
      <c r="Z4">
        <f>IFERROR(VLOOKUP(lmic_raw[[#This Row],[setting]],vcost[],7,FALSE),0)</f>
        <v>3.3906590686775502</v>
      </c>
      <c r="AA4">
        <f>IFERROR(VLOOKUP(lmic_raw[[#This Row],[setting]],vcost[],8,FALSE),0)</f>
        <v>3.5905503871374971</v>
      </c>
      <c r="AB4">
        <f>IFERROR(VLOOKUP(lmic_raw[[#This Row],[setting]],vcost[],9,FALSE),0)</f>
        <v>4.0705503871374971</v>
      </c>
      <c r="AC4" s="33">
        <f>IFERROR(INDEX(acm[],MATCH($C4,acm[[Country code]:[Country code]],0),MATCH(AC$1,acm[#Headers],0)),0)</f>
        <v>2.1249119999999965E-2</v>
      </c>
      <c r="AD4" s="33">
        <f>IFERROR(INDEX(acm[],MATCH($C4,acm[[Country code]:[Country code]],0),MATCH(AD$1,acm[#Headers],0)),0)</f>
        <v>8.7360585565963197E-4</v>
      </c>
      <c r="AE4" s="33">
        <f>IFERROR(INDEX(acm[],MATCH($C4,acm[[Country code]:[Country code]],0),MATCH(AE$1,acm[#Headers],0)),0)</f>
        <v>4.4564371401777575E-4</v>
      </c>
      <c r="AF4" s="33">
        <f>IFERROR(INDEX(acm[],MATCH($C4,acm[[Country code]:[Country code]],0),MATCH(AF$1,acm[#Headers],0)),0)</f>
        <v>3.9593798109506111E-4</v>
      </c>
      <c r="AG4" s="33">
        <f>IFERROR(INDEX(acm[],MATCH($C4,acm[[Country code]:[Country code]],0),MATCH(AG$1,acm[#Headers],0)),0)</f>
        <v>5.6704949804367783E-4</v>
      </c>
      <c r="AH4" s="33">
        <f>IFERROR(INDEX(acm[],MATCH($C4,acm[[Country code]:[Country code]],0),MATCH(AH$1,acm[#Headers],0)),0)</f>
        <v>7.3783872027635298E-4</v>
      </c>
      <c r="AI4" s="33">
        <f>IFERROR(INDEX(acm[],MATCH($C4,acm[[Country code]:[Country code]],0),MATCH(AI$1,acm[#Headers],0)),0)</f>
        <v>8.7070601082287142E-4</v>
      </c>
      <c r="AJ4" s="33">
        <f>IFERROR(INDEX(acm[],MATCH($C4,acm[[Country code]:[Country code]],0),MATCH(AJ$1,acm[#Headers],0)),0)</f>
        <v>1.028566990157689E-3</v>
      </c>
      <c r="AK4" s="33">
        <f>IFERROR(INDEX(acm[],MATCH($C4,acm[[Country code]:[Country code]],0),MATCH(AK$1,acm[#Headers],0)),0)</f>
        <v>1.3809450743979008E-3</v>
      </c>
      <c r="AL4" s="33">
        <f>IFERROR(INDEX(acm[],MATCH($C4,acm[[Country code]:[Country code]],0),MATCH(AL$1,acm[#Headers],0)),0)</f>
        <v>1.8717658959456205E-3</v>
      </c>
      <c r="AM4" s="33">
        <f>IFERROR(INDEX(acm[],MATCH($C4,acm[[Country code]:[Country code]],0),MATCH(AM$1,acm[#Headers],0)),0)</f>
        <v>2.736853494921429E-3</v>
      </c>
      <c r="AN4" s="33">
        <f>IFERROR(INDEX(acm[],MATCH($C4,acm[[Country code]:[Country code]],0),MATCH(AN$1,acm[#Headers],0)),0)</f>
        <v>4.0457467589482864E-3</v>
      </c>
      <c r="AO4" s="33">
        <f>IFERROR(INDEX(acm[],MATCH($C4,acm[[Country code]:[Country code]],0),MATCH(AO$1,acm[#Headers],0)),0)</f>
        <v>6.1231225039840784E-3</v>
      </c>
      <c r="AP4" s="33">
        <f>IFERROR(INDEX(acm[],MATCH($C4,acm[[Country code]:[Country code]],0),MATCH(AP$1,acm[#Headers],0)),0)</f>
        <v>9.7041589296345092E-3</v>
      </c>
      <c r="AQ4" s="33">
        <f>IFERROR(INDEX(acm[],MATCH($C4,acm[[Country code]:[Country code]],0),MATCH(AQ$1,acm[#Headers],0)),0)</f>
        <v>1.4742220491101176E-2</v>
      </c>
      <c r="AR4" s="33">
        <f>IFERROR(INDEX(acm[],MATCH($C4,acm[[Country code]:[Country code]],0),MATCH(AR$1,acm[#Headers],0)),0)</f>
        <v>2.4022125767238396E-2</v>
      </c>
      <c r="AS4" s="33">
        <f>IFERROR(INDEX(acm[],MATCH($C4,acm[[Country code]:[Country code]],0),MATCH(AS$1,acm[#Headers],0)),0)</f>
        <v>4.0621677612523242E-2</v>
      </c>
      <c r="AT4" s="33">
        <f>IFERROR(INDEX(acm[],MATCH($C4,acm[[Country code]:[Country code]],0),MATCH(AT$1,acm[#Headers],0)),0)</f>
        <v>6.7112669233193367E-2</v>
      </c>
      <c r="AU4" s="33">
        <f>IFERROR(INDEX(acm[],MATCH($C4,acm[[Country code]:[Country code]],0),MATCH(AU$1,acm[#Headers],0)),0)</f>
        <v>0.1009025873396231</v>
      </c>
      <c r="AV4" s="33">
        <f>IFERROR(INDEX(acm[],MATCH($C4,acm[[Country code]:[Country code]],0),MATCH(AV$1,acm[#Headers],0)),0)</f>
        <v>0.13501033306710375</v>
      </c>
      <c r="AW4" s="33">
        <f>IFERROR(INDEX(acm[],MATCH($C4,acm[[Country code]:[Country code]],0),MATCH(AW$1,acm[#Headers],0)),0)</f>
        <v>0.16275439500847341</v>
      </c>
      <c r="AX4" s="33">
        <f>IFERROR(VLOOKUP(lmic_raw[[#This Row],[num]],life_exp[[Country code]:[2015-2020]],2,FALSE),0)</f>
        <v>76.593000000000004</v>
      </c>
    </row>
    <row r="5" spans="1:50" x14ac:dyDescent="0.25">
      <c r="A5" s="110" t="s">
        <v>122</v>
      </c>
      <c r="B5" s="104" t="s">
        <v>372</v>
      </c>
      <c r="C5" s="105">
        <v>24</v>
      </c>
      <c r="D5" s="84" t="s">
        <v>677</v>
      </c>
      <c r="E5" s="84" t="s">
        <v>582</v>
      </c>
      <c r="F5" s="84" t="s">
        <v>667</v>
      </c>
      <c r="G5" s="84" t="s">
        <v>678</v>
      </c>
      <c r="H5" s="33">
        <f>VLOOKUP(lmic_raw[[#This Row],[num]],pop[[Country code]:[pop_20]],2,FALSE)*1000</f>
        <v>31825299</v>
      </c>
      <c r="I5" s="117">
        <f>IFERROR(VLOOKUP(lmic_raw[[#This Row],[num]],pop[[Country code]:[pop_20]],2,FALSE)*VLOOKUP(lmic_raw[[#This Row],[num]],b_rate[[Country code]:[2015-2020]],2,FALSE),0)</f>
        <v>1302386.710977</v>
      </c>
      <c r="J5">
        <f>IFERROR(MIN(VLOOKUP(lmic_raw[[#This Row],[iso3]],fac_b[],4,FALSE)/100,0.9999),0)</f>
        <v>0.45600000000000002</v>
      </c>
      <c r="K5" s="33">
        <f>VLOOKUP(lmic_raw[[#This Row],[iso3]],vax[[iso3]:[hbv3]],2,FALSE)/100</f>
        <v>0</v>
      </c>
      <c r="L5" s="33">
        <f>VLOOKUP(lmic_raw[[#This Row],[iso3]],vax[[iso3]:[hbv3]],3,FALSE)/100</f>
        <v>0.53</v>
      </c>
      <c r="M5">
        <f>IFERROR(VLOOKUP(lmic_raw[[#This Row],[iso3]], hbv_prev[[iso3]:[ub]],2,FALSE)/100,0)</f>
        <v>9.3900000000000011E-2</v>
      </c>
      <c r="N5">
        <f>IFERROR(VLOOKUP(lmic_raw[[#This Row],[setting]],hbe_prev[],3,FALSE),0)</f>
        <v>0.29386253285476716</v>
      </c>
      <c r="O5">
        <f>VLOOKUP(lmic_raw[[#This Row],[gbd_super]],hbe_risk[],2,FALSE)</f>
        <v>0.38300000000000001</v>
      </c>
      <c r="P5" s="33">
        <f>VLOOKUP(lmic_raw[[#This Row],[gbd_super]],hbe_risk[],5,FALSE)</f>
        <v>4.8000000000000001E-2</v>
      </c>
      <c r="Q5">
        <f>IFERROR(VLOOKUP(lmic_raw[[#This Row],[setting]],disease_costs!$A$4:$B$197,2,FALSE),0)</f>
        <v>7.9281224995983655</v>
      </c>
      <c r="R5">
        <f>IFERROR(VLOOKUP(lmic_raw[[#This Row],[gbd_super]],disease_costs!$G$4:$K$9,2,FALSE),0)</f>
        <v>29.920500000000001</v>
      </c>
      <c r="S5" s="33">
        <f>IFERROR(VLOOKUP(lmic_raw[[#This Row],[gbd_super]],disease_costs!$G$4:$K$9,3,FALSE),0)</f>
        <v>77.662500000000009</v>
      </c>
      <c r="T5" s="33">
        <f>IFERROR(VLOOKUP(lmic_raw[[#This Row],[gbd_super]],disease_costs!$G$4:$K$9,4,FALSE),0)</f>
        <v>77.662500000000009</v>
      </c>
      <c r="U5" s="33">
        <f>IFERROR(VLOOKUP(lmic_raw[[#This Row],[gbd_super]],disease_costs!$G$4:$K$9,5,FALSE),0)</f>
        <v>77.662500000000009</v>
      </c>
      <c r="V5">
        <f>IFERROR(VLOOKUP(lmic_raw[[#This Row],[setting]],vcost[],3,FALSE),0)</f>
        <v>1.5308937022827727</v>
      </c>
      <c r="W5">
        <f>IFERROR(VLOOKUP(lmic_raw[[#This Row],[setting]],vcost[],4,FALSE),0)</f>
        <v>6.3608937022827732</v>
      </c>
      <c r="X5">
        <f>IFERROR(VLOOKUP(lmic_raw[[#This Row],[setting]],vcost[],5,FALSE),0)</f>
        <v>1.0962635095383204</v>
      </c>
      <c r="Y5">
        <f>IFERROR(VLOOKUP(lmic_raw[[#This Row],[setting]],vcost[],6,FALSE),0)</f>
        <v>5.9262635095383205</v>
      </c>
      <c r="Z5">
        <f>IFERROR(VLOOKUP(lmic_raw[[#This Row],[setting]],vcost[],7,FALSE),0)</f>
        <v>5.9193553786205815</v>
      </c>
      <c r="AA5">
        <f>IFERROR(VLOOKUP(lmic_raw[[#This Row],[setting]],vcost[],8,FALSE),0)</f>
        <v>1.7757887661813783</v>
      </c>
      <c r="AB5">
        <f>IFERROR(VLOOKUP(lmic_raw[[#This Row],[setting]],vcost[],9,FALSE),0)</f>
        <v>6.6057887661813783</v>
      </c>
      <c r="AC5" s="33">
        <f>IFERROR(INDEX(acm[],MATCH($C5,acm[[Country code]:[Country code]],0),MATCH(AC$1,acm[#Headers],0)),0)</f>
        <v>6.1459419999999952E-2</v>
      </c>
      <c r="AD5" s="33">
        <f>IFERROR(INDEX(acm[],MATCH($C5,acm[[Country code]:[Country code]],0),MATCH(AD$1,acm[#Headers],0)),0)</f>
        <v>5.175743173513085E-3</v>
      </c>
      <c r="AE5" s="33">
        <f>IFERROR(INDEX(acm[],MATCH($C5,acm[[Country code]:[Country code]],0),MATCH(AE$1,acm[#Headers],0)),0)</f>
        <v>1.908115459520635E-3</v>
      </c>
      <c r="AF5" s="33">
        <f>IFERROR(INDEX(acm[],MATCH($C5,acm[[Country code]:[Country code]],0),MATCH(AF$1,acm[#Headers],0)),0)</f>
        <v>1.391416817844411E-3</v>
      </c>
      <c r="AG5" s="33">
        <f>IFERROR(INDEX(acm[],MATCH($C5,acm[[Country code]:[Country code]],0),MATCH(AG$1,acm[#Headers],0)),0)</f>
        <v>2.337373534282608E-3</v>
      </c>
      <c r="AH5" s="33">
        <f>IFERROR(INDEX(acm[],MATCH($C5,acm[[Country code]:[Country code]],0),MATCH(AH$1,acm[#Headers],0)),0)</f>
        <v>3.2551495573046388E-3</v>
      </c>
      <c r="AI5" s="33">
        <f>IFERROR(INDEX(acm[],MATCH($C5,acm[[Country code]:[Country code]],0),MATCH(AI$1,acm[#Headers],0)),0)</f>
        <v>3.588621098633621E-3</v>
      </c>
      <c r="AJ5" s="33">
        <f>IFERROR(INDEX(acm[],MATCH($C5,acm[[Country code]:[Country code]],0),MATCH(AJ$1,acm[#Headers],0)),0)</f>
        <v>4.1407403730012613E-3</v>
      </c>
      <c r="AK5" s="33">
        <f>IFERROR(INDEX(acm[],MATCH($C5,acm[[Country code]:[Country code]],0),MATCH(AK$1,acm[#Headers],0)),0)</f>
        <v>5.1387338118963032E-3</v>
      </c>
      <c r="AL5" s="33">
        <f>IFERROR(INDEX(acm[],MATCH($C5,acm[[Country code]:[Country code]],0),MATCH(AL$1,acm[#Headers],0)),0)</f>
        <v>6.5956752145436654E-3</v>
      </c>
      <c r="AM5" s="33">
        <f>IFERROR(INDEX(acm[],MATCH($C5,acm[[Country code]:[Country code]],0),MATCH(AM$1,acm[#Headers],0)),0)</f>
        <v>8.8134475201013356E-3</v>
      </c>
      <c r="AN5" s="33">
        <f>IFERROR(INDEX(acm[],MATCH($C5,acm[[Country code]:[Country code]],0),MATCH(AN$1,acm[#Headers],0)),0)</f>
        <v>1.2337852300670162E-2</v>
      </c>
      <c r="AO5" s="33">
        <f>IFERROR(INDEX(acm[],MATCH($C5,acm[[Country code]:[Country code]],0),MATCH(AO$1,acm[#Headers],0)),0)</f>
        <v>1.7387588593789836E-2</v>
      </c>
      <c r="AP5" s="33">
        <f>IFERROR(INDEX(acm[],MATCH($C5,acm[[Country code]:[Country code]],0),MATCH(AP$1,acm[#Headers],0)),0)</f>
        <v>2.5639022161472846E-2</v>
      </c>
      <c r="AQ5" s="33">
        <f>IFERROR(INDEX(acm[],MATCH($C5,acm[[Country code]:[Country code]],0),MATCH(AQ$1,acm[#Headers],0)),0)</f>
        <v>3.7598293909545992E-2</v>
      </c>
      <c r="AR5" s="33">
        <f>IFERROR(INDEX(acm[],MATCH($C5,acm[[Country code]:[Country code]],0),MATCH(AR$1,acm[#Headers],0)),0)</f>
        <v>5.5559489413917834E-2</v>
      </c>
      <c r="AS5" s="33">
        <f>IFERROR(INDEX(acm[],MATCH($C5,acm[[Country code]:[Country code]],0),MATCH(AS$1,acm[#Headers],0)),0)</f>
        <v>7.9818388110813751E-2</v>
      </c>
      <c r="AT5" s="33">
        <f>IFERROR(INDEX(acm[],MATCH($C5,acm[[Country code]:[Country code]],0),MATCH(AT$1,acm[#Headers],0)),0)</f>
        <v>0.10882136488375105</v>
      </c>
      <c r="AU5" s="33">
        <f>IFERROR(INDEX(acm[],MATCH($C5,acm[[Country code]:[Country code]],0),MATCH(AU$1,acm[#Headers],0)),0)</f>
        <v>0.13596093200907966</v>
      </c>
      <c r="AV5" s="33">
        <f>IFERROR(INDEX(acm[],MATCH($C5,acm[[Country code]:[Country code]],0),MATCH(AV$1,acm[#Headers],0)),0)</f>
        <v>0.15990749660732004</v>
      </c>
      <c r="AW5" s="33">
        <f>IFERROR(INDEX(acm[],MATCH($C5,acm[[Country code]:[Country code]],0),MATCH(AW$1,acm[#Headers],0)),0)</f>
        <v>0.17798561198194363</v>
      </c>
      <c r="AX5" s="33">
        <f>IFERROR(VLOOKUP(lmic_raw[[#This Row],[num]],life_exp[[Country code]:[2015-2020]],2,FALSE),0)</f>
        <v>60.54</v>
      </c>
    </row>
    <row r="6" spans="1:50" x14ac:dyDescent="0.25">
      <c r="A6" s="109" t="s">
        <v>262</v>
      </c>
      <c r="B6" s="101" t="s">
        <v>373</v>
      </c>
      <c r="C6" s="102">
        <v>32</v>
      </c>
      <c r="D6" s="82" t="s">
        <v>679</v>
      </c>
      <c r="E6" s="82" t="s">
        <v>583</v>
      </c>
      <c r="F6" s="82" t="s">
        <v>665</v>
      </c>
      <c r="G6" s="82" t="s">
        <v>676</v>
      </c>
      <c r="H6" s="33">
        <f>VLOOKUP(lmic_raw[[#This Row],[num]],pop[[Country code]:[pop_20]],2,FALSE)*1000</f>
        <v>44780675</v>
      </c>
      <c r="I6" s="117">
        <f>IFERROR(VLOOKUP(lmic_raw[[#This Row],[num]],pop[[Country code]:[pop_20]],2,FALSE)*VLOOKUP(lmic_raw[[#This Row],[num]],b_rate[[Country code]:[2015-2020]],2,FALSE),0)</f>
        <v>766286.91059999994</v>
      </c>
      <c r="J6">
        <f>IFERROR(MIN(VLOOKUP(lmic_raw[[#This Row],[iso3]],fac_b[],4,FALSE)/100,0.9999),0)</f>
        <v>0.99299999999999999</v>
      </c>
      <c r="K6" s="33">
        <f>VLOOKUP(lmic_raw[[#This Row],[iso3]],vax[[iso3]:[hbv3]],2,FALSE)/100</f>
        <v>0.82</v>
      </c>
      <c r="L6" s="33">
        <f>VLOOKUP(lmic_raw[[#This Row],[iso3]],vax[[iso3]:[hbv3]],3,FALSE)/100</f>
        <v>0.86</v>
      </c>
      <c r="M6">
        <f>IFERROR(VLOOKUP(lmic_raw[[#This Row],[iso3]], hbv_prev[[iso3]:[ub]],2,FALSE)/100,0)</f>
        <v>5.9999999999999995E-4</v>
      </c>
      <c r="N6">
        <f>IFERROR(VLOOKUP(lmic_raw[[#This Row],[setting]],hbe_prev[],3,FALSE),0)</f>
        <v>0.32111653802265411</v>
      </c>
      <c r="O6">
        <f>VLOOKUP(lmic_raw[[#This Row],[gbd_super]],hbe_risk[],2,FALSE)</f>
        <v>0.8</v>
      </c>
      <c r="P6" s="33">
        <f>VLOOKUP(lmic_raw[[#This Row],[gbd_super]],hbe_risk[],5,FALSE)</f>
        <v>0.17499999999999999</v>
      </c>
      <c r="Q6">
        <f>IFERROR(VLOOKUP(lmic_raw[[#This Row],[setting]],disease_costs!$A$4:$B$197,2,FALSE),0)</f>
        <v>16.070290907794135</v>
      </c>
      <c r="R6">
        <f>IFERROR(VLOOKUP(lmic_raw[[#This Row],[gbd_super]],disease_costs!$G$4:$K$9,2,FALSE),0)</f>
        <v>86.883899999999997</v>
      </c>
      <c r="S6" s="33">
        <f>IFERROR(VLOOKUP(lmic_raw[[#This Row],[gbd_super]],disease_costs!$G$4:$K$9,3,FALSE),0)</f>
        <v>134.6259</v>
      </c>
      <c r="T6" s="33">
        <f>IFERROR(VLOOKUP(lmic_raw[[#This Row],[gbd_super]],disease_costs!$G$4:$K$9,4,FALSE),0)</f>
        <v>134.6259</v>
      </c>
      <c r="U6" s="33">
        <f>IFERROR(VLOOKUP(lmic_raw[[#This Row],[gbd_super]],disease_costs!$G$4:$K$9,5,FALSE),0)</f>
        <v>134.6259</v>
      </c>
      <c r="V6">
        <f>IFERROR(VLOOKUP(lmic_raw[[#This Row],[setting]],vcost[],3,FALSE),0)</f>
        <v>3.7553435637599502</v>
      </c>
      <c r="W6">
        <f>IFERROR(VLOOKUP(lmic_raw[[#This Row],[setting]],vcost[],4,FALSE),0)</f>
        <v>3.7753435637599502</v>
      </c>
      <c r="X6">
        <f>IFERROR(VLOOKUP(lmic_raw[[#This Row],[setting]],vcost[],5,FALSE),0)</f>
        <v>3.3044955433177372</v>
      </c>
      <c r="Y6">
        <f>IFERROR(VLOOKUP(lmic_raw[[#This Row],[setting]],vcost[],6,FALSE),0)</f>
        <v>3.3244955433177372</v>
      </c>
      <c r="Z6">
        <f>IFERROR(VLOOKUP(lmic_raw[[#This Row],[setting]],vcost[],7,FALSE),0)</f>
        <v>3.3105131704118751</v>
      </c>
      <c r="AA6">
        <f>IFERROR(VLOOKUP(lmic_raw[[#This Row],[setting]],vcost[],8,FALSE),0)</f>
        <v>4.0060845888054226</v>
      </c>
      <c r="AB6">
        <f>IFERROR(VLOOKUP(lmic_raw[[#This Row],[setting]],vcost[],9,FALSE),0)</f>
        <v>4.0260845888054222</v>
      </c>
      <c r="AC6" s="33">
        <f>IFERROR(INDEX(acm[],MATCH($C6,acm[[Country code]:[Country code]],0),MATCH(AC$1,acm[#Headers],0)),0)</f>
        <v>1.0225190000000002E-2</v>
      </c>
      <c r="AD6" s="33">
        <f>IFERROR(INDEX(acm[],MATCH($C6,acm[[Country code]:[Country code]],0),MATCH(AD$1,acm[#Headers],0)),0)</f>
        <v>4.1349304494828876E-4</v>
      </c>
      <c r="AE6" s="33">
        <f>IFERROR(INDEX(acm[],MATCH($C6,acm[[Country code]:[Country code]],0),MATCH(AE$1,acm[#Headers],0)),0)</f>
        <v>1.8230049403534799E-4</v>
      </c>
      <c r="AF6" s="33">
        <f>IFERROR(INDEX(acm[],MATCH($C6,acm[[Country code]:[Country code]],0),MATCH(AF$1,acm[#Headers],0)),0)</f>
        <v>2.3865392573492675E-4</v>
      </c>
      <c r="AG6" s="33">
        <f>IFERROR(INDEX(acm[],MATCH($C6,acm[[Country code]:[Country code]],0),MATCH(AG$1,acm[#Headers],0)),0)</f>
        <v>7.4298392402514536E-4</v>
      </c>
      <c r="AH6" s="33">
        <f>IFERROR(INDEX(acm[],MATCH($C6,acm[[Country code]:[Country code]],0),MATCH(AH$1,acm[#Headers],0)),0)</f>
        <v>1.0220930382760516E-3</v>
      </c>
      <c r="AI6" s="33">
        <f>IFERROR(INDEX(acm[],MATCH($C6,acm[[Country code]:[Country code]],0),MATCH(AI$1,acm[#Headers],0)),0)</f>
        <v>1.0279796384069062E-3</v>
      </c>
      <c r="AJ6" s="33">
        <f>IFERROR(INDEX(acm[],MATCH($C6,acm[[Country code]:[Country code]],0),MATCH(AJ$1,acm[#Headers],0)),0)</f>
        <v>1.1651318209136255E-3</v>
      </c>
      <c r="AK6" s="33">
        <f>IFERROR(INDEX(acm[],MATCH($C6,acm[[Country code]:[Country code]],0),MATCH(AK$1,acm[#Headers],0)),0)</f>
        <v>1.4105183290987842E-3</v>
      </c>
      <c r="AL6" s="33">
        <f>IFERROR(INDEX(acm[],MATCH($C6,acm[[Country code]:[Country code]],0),MATCH(AL$1,acm[#Headers],0)),0)</f>
        <v>1.9883118699651511E-3</v>
      </c>
      <c r="AM6" s="33">
        <f>IFERROR(INDEX(acm[],MATCH($C6,acm[[Country code]:[Country code]],0),MATCH(AM$1,acm[#Headers],0)),0)</f>
        <v>3.1481691974343147E-3</v>
      </c>
      <c r="AN6" s="33">
        <f>IFERROR(INDEX(acm[],MATCH($C6,acm[[Country code]:[Country code]],0),MATCH(AN$1,acm[#Headers],0)),0)</f>
        <v>5.078685662527325E-3</v>
      </c>
      <c r="AO6" s="33">
        <f>IFERROR(INDEX(acm[],MATCH($C6,acm[[Country code]:[Country code]],0),MATCH(AO$1,acm[#Headers],0)),0)</f>
        <v>8.3544362477530054E-3</v>
      </c>
      <c r="AP6" s="33">
        <f>IFERROR(INDEX(acm[],MATCH($C6,acm[[Country code]:[Country code]],0),MATCH(AP$1,acm[#Headers],0)),0)</f>
        <v>1.2550556467869704E-2</v>
      </c>
      <c r="AQ6" s="33">
        <f>IFERROR(INDEX(acm[],MATCH($C6,acm[[Country code]:[Country code]],0),MATCH(AQ$1,acm[#Headers],0)),0)</f>
        <v>1.8900764978139851E-2</v>
      </c>
      <c r="AR6" s="33">
        <f>IFERROR(INDEX(acm[],MATCH($C6,acm[[Country code]:[Country code]],0),MATCH(AR$1,acm[#Headers],0)),0)</f>
        <v>2.7591517362266494E-2</v>
      </c>
      <c r="AS6" s="33">
        <f>IFERROR(INDEX(acm[],MATCH($C6,acm[[Country code]:[Country code]],0),MATCH(AS$1,acm[#Headers],0)),0)</f>
        <v>4.1750753259783509E-2</v>
      </c>
      <c r="AT6" s="33">
        <f>IFERROR(INDEX(acm[],MATCH($C6,acm[[Country code]:[Country code]],0),MATCH(AT$1,acm[#Headers],0)),0)</f>
        <v>6.4603599400937683E-2</v>
      </c>
      <c r="AU6" s="33">
        <f>IFERROR(INDEX(acm[],MATCH($C6,acm[[Country code]:[Country code]],0),MATCH(AU$1,acm[#Headers],0)),0)</f>
        <v>9.5142112696072714E-2</v>
      </c>
      <c r="AV6" s="33">
        <f>IFERROR(INDEX(acm[],MATCH($C6,acm[[Country code]:[Country code]],0),MATCH(AV$1,acm[#Headers],0)),0)</f>
        <v>0.12948673666319993</v>
      </c>
      <c r="AW6" s="33">
        <f>IFERROR(INDEX(acm[],MATCH($C6,acm[[Country code]:[Country code]],0),MATCH(AW$1,acm[#Headers],0)),0)</f>
        <v>0.16126569820237008</v>
      </c>
      <c r="AX6" s="33">
        <f>IFERROR(VLOOKUP(lmic_raw[[#This Row],[num]],life_exp[[Country code]:[2015-2020]],2,FALSE),0)</f>
        <v>76.447999999999993</v>
      </c>
    </row>
    <row r="7" spans="1:50" x14ac:dyDescent="0.25">
      <c r="A7" s="110" t="s">
        <v>165</v>
      </c>
      <c r="B7" s="104" t="s">
        <v>374</v>
      </c>
      <c r="C7" s="105">
        <v>51</v>
      </c>
      <c r="D7" s="84" t="s">
        <v>675</v>
      </c>
      <c r="E7" s="84" t="s">
        <v>184</v>
      </c>
      <c r="F7" s="84" t="s">
        <v>663</v>
      </c>
      <c r="G7" s="84" t="s">
        <v>676</v>
      </c>
      <c r="H7" s="33">
        <f>VLOOKUP(lmic_raw[[#This Row],[num]],pop[[Country code]:[pop_20]],2,FALSE)*1000</f>
        <v>2957728</v>
      </c>
      <c r="I7" s="117">
        <f>IFERROR(VLOOKUP(lmic_raw[[#This Row],[num]],pop[[Country code]:[pop_20]],2,FALSE)*VLOOKUP(lmic_raw[[#This Row],[num]],b_rate[[Country code]:[2015-2020]],2,FALSE),0)</f>
        <v>41890.301663999999</v>
      </c>
      <c r="J7">
        <f>IFERROR(MIN(VLOOKUP(lmic_raw[[#This Row],[iso3]],fac_b[],4,FALSE)/100,0.9999),0)</f>
        <v>0.99299999999999999</v>
      </c>
      <c r="K7" s="33">
        <f>VLOOKUP(lmic_raw[[#This Row],[iso3]],vax[[iso3]:[hbv3]],2,FALSE)/100</f>
        <v>0.96</v>
      </c>
      <c r="L7" s="33">
        <f>VLOOKUP(lmic_raw[[#This Row],[iso3]],vax[[iso3]:[hbv3]],3,FALSE)/100</f>
        <v>0.92</v>
      </c>
      <c r="M7">
        <f>IFERROR(VLOOKUP(lmic_raw[[#This Row],[iso3]], hbv_prev[[iso3]:[ub]],2,FALSE)/100,0)</f>
        <v>2.12E-2</v>
      </c>
      <c r="N7">
        <f>IFERROR(VLOOKUP(lmic_raw[[#This Row],[setting]],hbe_prev[],3,FALSE),0)</f>
        <v>0.29983118977846629</v>
      </c>
      <c r="O7">
        <f>VLOOKUP(lmic_raw[[#This Row],[gbd_super]],hbe_risk[],2,FALSE)</f>
        <v>0.8</v>
      </c>
      <c r="P7" s="33">
        <f>VLOOKUP(lmic_raw[[#This Row],[gbd_super]],hbe_risk[],5,FALSE)</f>
        <v>0.17499999999999999</v>
      </c>
      <c r="Q7">
        <f>IFERROR(VLOOKUP(lmic_raw[[#This Row],[setting]],disease_costs!$A$4:$B$197,2,FALSE),0)</f>
        <v>6.7886936844572663</v>
      </c>
      <c r="R7">
        <f>IFERROR(VLOOKUP(lmic_raw[[#This Row],[gbd_super]],disease_costs!$G$4:$K$9,2,FALSE),0)</f>
        <v>44.537400000000005</v>
      </c>
      <c r="S7" s="33">
        <f>IFERROR(VLOOKUP(lmic_raw[[#This Row],[gbd_super]],disease_costs!$G$4:$K$9,3,FALSE),0)</f>
        <v>92.27940000000001</v>
      </c>
      <c r="T7" s="33">
        <f>IFERROR(VLOOKUP(lmic_raw[[#This Row],[gbd_super]],disease_costs!$G$4:$K$9,4,FALSE),0)</f>
        <v>92.27940000000001</v>
      </c>
      <c r="U7" s="33">
        <f>IFERROR(VLOOKUP(lmic_raw[[#This Row],[gbd_super]],disease_costs!$G$4:$K$9,5,FALSE),0)</f>
        <v>92.27940000000001</v>
      </c>
      <c r="V7">
        <f>IFERROR(VLOOKUP(lmic_raw[[#This Row],[setting]],vcost[],3,FALSE),0)</f>
        <v>5.451569608177226</v>
      </c>
      <c r="W7">
        <f>IFERROR(VLOOKUP(lmic_raw[[#This Row],[setting]],vcost[],4,FALSE),0)</f>
        <v>9.5215696081772272</v>
      </c>
      <c r="X7">
        <f>IFERROR(VLOOKUP(lmic_raw[[#This Row],[setting]],vcost[],5,FALSE),0)</f>
        <v>5.0188633172418911</v>
      </c>
      <c r="Y7">
        <f>IFERROR(VLOOKUP(lmic_raw[[#This Row],[setting]],vcost[],6,FALSE),0)</f>
        <v>9.0888633172418913</v>
      </c>
      <c r="Z7">
        <f>IFERROR(VLOOKUP(lmic_raw[[#This Row],[setting]],vcost[],7,FALSE),0)</f>
        <v>9.0828482418076675</v>
      </c>
      <c r="AA7">
        <f>IFERROR(VLOOKUP(lmic_raw[[#This Row],[setting]],vcost[],8,FALSE),0)</f>
        <v>5.6957711725864977</v>
      </c>
      <c r="AB7">
        <f>IFERROR(VLOOKUP(lmic_raw[[#This Row],[setting]],vcost[],9,FALSE),0)</f>
        <v>9.7657711725864971</v>
      </c>
      <c r="AC7" s="33">
        <f>IFERROR(INDEX(acm[],MATCH($C7,acm[[Country code]:[Country code]],0),MATCH(AC$1,acm[#Headers],0)),0)</f>
        <v>1.076725999999995E-2</v>
      </c>
      <c r="AD7" s="33">
        <f>IFERROR(INDEX(acm[],MATCH($C7,acm[[Country code]:[Country code]],0),MATCH(AD$1,acm[#Headers],0)),0)</f>
        <v>6.0513059848790187E-4</v>
      </c>
      <c r="AE7" s="33">
        <f>IFERROR(INDEX(acm[],MATCH($C7,acm[[Country code]:[Country code]],0),MATCH(AE$1,acm[#Headers],0)),0)</f>
        <v>1.93924378369244E-4</v>
      </c>
      <c r="AF7" s="33">
        <f>IFERROR(INDEX(acm[],MATCH($C7,acm[[Country code]:[Country code]],0),MATCH(AF$1,acm[#Headers],0)),0)</f>
        <v>2.4832398200589723E-4</v>
      </c>
      <c r="AG7" s="33">
        <f>IFERROR(INDEX(acm[],MATCH($C7,acm[[Country code]:[Country code]],0),MATCH(AG$1,acm[#Headers],0)),0)</f>
        <v>6.2989832208936759E-4</v>
      </c>
      <c r="AH7" s="33">
        <f>IFERROR(INDEX(acm[],MATCH($C7,acm[[Country code]:[Country code]],0),MATCH(AH$1,acm[#Headers],0)),0)</f>
        <v>6.1722805549911967E-4</v>
      </c>
      <c r="AI7" s="33">
        <f>IFERROR(INDEX(acm[],MATCH($C7,acm[[Country code]:[Country code]],0),MATCH(AI$1,acm[#Headers],0)),0)</f>
        <v>5.8384698125939964E-4</v>
      </c>
      <c r="AJ7" s="33">
        <f>IFERROR(INDEX(acm[],MATCH($C7,acm[[Country code]:[Country code]],0),MATCH(AJ$1,acm[#Headers],0)),0)</f>
        <v>7.6881496834193684E-4</v>
      </c>
      <c r="AK7" s="33">
        <f>IFERROR(INDEX(acm[],MATCH($C7,acm[[Country code]:[Country code]],0),MATCH(AK$1,acm[#Headers],0)),0)</f>
        <v>1.1561838268472774E-3</v>
      </c>
      <c r="AL7" s="33">
        <f>IFERROR(INDEX(acm[],MATCH($C7,acm[[Country code]:[Country code]],0),MATCH(AL$1,acm[#Headers],0)),0)</f>
        <v>2.1751643185807753E-3</v>
      </c>
      <c r="AM7" s="33">
        <f>IFERROR(INDEX(acm[],MATCH($C7,acm[[Country code]:[Country code]],0),MATCH(AM$1,acm[#Headers],0)),0)</f>
        <v>3.6112755210226531E-3</v>
      </c>
      <c r="AN7" s="33">
        <f>IFERROR(INDEX(acm[],MATCH($C7,acm[[Country code]:[Country code]],0),MATCH(AN$1,acm[#Headers],0)),0)</f>
        <v>5.9387526153959792E-3</v>
      </c>
      <c r="AO7" s="33">
        <f>IFERROR(INDEX(acm[],MATCH($C7,acm[[Country code]:[Country code]],0),MATCH(AO$1,acm[#Headers],0)),0)</f>
        <v>8.9263102282409693E-3</v>
      </c>
      <c r="AP7" s="33">
        <f>IFERROR(INDEX(acm[],MATCH($C7,acm[[Country code]:[Country code]],0),MATCH(AP$1,acm[#Headers],0)),0)</f>
        <v>1.3903104545352291E-2</v>
      </c>
      <c r="AQ7" s="33">
        <f>IFERROR(INDEX(acm[],MATCH($C7,acm[[Country code]:[Country code]],0),MATCH(AQ$1,acm[#Headers],0)),0)</f>
        <v>2.0983052565945907E-2</v>
      </c>
      <c r="AR7" s="33">
        <f>IFERROR(INDEX(acm[],MATCH($C7,acm[[Country code]:[Country code]],0),MATCH(AR$1,acm[#Headers],0)),0)</f>
        <v>3.3401499418340398E-2</v>
      </c>
      <c r="AS7" s="33">
        <f>IFERROR(INDEX(acm[],MATCH($C7,acm[[Country code]:[Country code]],0),MATCH(AS$1,acm[#Headers],0)),0)</f>
        <v>5.465880189347537E-2</v>
      </c>
      <c r="AT7" s="33">
        <f>IFERROR(INDEX(acm[],MATCH($C7,acm[[Country code]:[Country code]],0),MATCH(AT$1,acm[#Headers],0)),0)</f>
        <v>8.2918013327087897E-2</v>
      </c>
      <c r="AU7" s="33">
        <f>IFERROR(INDEX(acm[],MATCH($C7,acm[[Country code]:[Country code]],0),MATCH(AU$1,acm[#Headers],0)),0)</f>
        <v>0.11608841574202325</v>
      </c>
      <c r="AV7" s="33">
        <f>IFERROR(INDEX(acm[],MATCH($C7,acm[[Country code]:[Country code]],0),MATCH(AV$1,acm[#Headers],0)),0)</f>
        <v>0.14919485486959652</v>
      </c>
      <c r="AW7" s="33">
        <f>IFERROR(INDEX(acm[],MATCH($C7,acm[[Country code]:[Country code]],0),MATCH(AW$1,acm[#Headers],0)),0)</f>
        <v>0.17055508516504275</v>
      </c>
      <c r="AX7" s="33">
        <f>IFERROR(VLOOKUP(lmic_raw[[#This Row],[num]],life_exp[[Country code]:[2015-2020]],2,FALSE),0)</f>
        <v>74.866</v>
      </c>
    </row>
    <row r="8" spans="1:50" x14ac:dyDescent="0.25">
      <c r="A8" s="109" t="s">
        <v>166</v>
      </c>
      <c r="B8" s="101" t="s">
        <v>377</v>
      </c>
      <c r="C8" s="102">
        <v>31</v>
      </c>
      <c r="D8" s="82" t="s">
        <v>675</v>
      </c>
      <c r="E8" s="82" t="s">
        <v>184</v>
      </c>
      <c r="F8" s="82" t="s">
        <v>663</v>
      </c>
      <c r="G8" s="82" t="s">
        <v>676</v>
      </c>
      <c r="H8" s="33">
        <f>VLOOKUP(lmic_raw[[#This Row],[num]],pop[[Country code]:[pop_20]],2,FALSE)*1000</f>
        <v>10047719</v>
      </c>
      <c r="I8" s="117">
        <f>IFERROR(VLOOKUP(lmic_raw[[#This Row],[num]],pop[[Country code]:[pop_20]],2,FALSE)*VLOOKUP(lmic_raw[[#This Row],[num]],b_rate[[Country code]:[2015-2020]],2,FALSE),0)</f>
        <v>171655.23139599999</v>
      </c>
      <c r="J8">
        <f>IFERROR(MIN(VLOOKUP(lmic_raw[[#This Row],[iso3]],fac_b[],4,FALSE)/100,0.9999),0)</f>
        <v>0.95700000000000007</v>
      </c>
      <c r="K8" s="33">
        <f>VLOOKUP(lmic_raw[[#This Row],[iso3]],vax[[iso3]:[hbv3]],2,FALSE)/100</f>
        <v>0.98</v>
      </c>
      <c r="L8" s="33">
        <f>VLOOKUP(lmic_raw[[#This Row],[iso3]],vax[[iso3]:[hbv3]],3,FALSE)/100</f>
        <v>0.94</v>
      </c>
      <c r="M8">
        <f>IFERROR(VLOOKUP(lmic_raw[[#This Row],[iso3]], hbv_prev[[iso3]:[ub]],2,FALSE)/100,0)</f>
        <v>2.2099999999999998E-2</v>
      </c>
      <c r="N8">
        <f>IFERROR(VLOOKUP(lmic_raw[[#This Row],[setting]],hbe_prev[],3,FALSE),0)</f>
        <v>0.31329991410247759</v>
      </c>
      <c r="O8">
        <f>VLOOKUP(lmic_raw[[#This Row],[gbd_super]],hbe_risk[],2,FALSE)</f>
        <v>0.8</v>
      </c>
      <c r="P8" s="33">
        <f>VLOOKUP(lmic_raw[[#This Row],[gbd_super]],hbe_risk[],5,FALSE)</f>
        <v>0.17499999999999999</v>
      </c>
      <c r="Q8" s="118">
        <f>IFERROR(VLOOKUP(lmic_raw[[#This Row],[setting]],disease_costs!$A$4:$B$197,2,FALSE),0)</f>
        <v>0</v>
      </c>
      <c r="R8">
        <f>IFERROR(VLOOKUP(lmic_raw[[#This Row],[gbd_super]],disease_costs!$G$4:$K$9,2,FALSE),0)</f>
        <v>44.537400000000005</v>
      </c>
      <c r="S8" s="33">
        <f>IFERROR(VLOOKUP(lmic_raw[[#This Row],[gbd_super]],disease_costs!$G$4:$K$9,3,FALSE),0)</f>
        <v>92.27940000000001</v>
      </c>
      <c r="T8" s="33">
        <f>IFERROR(VLOOKUP(lmic_raw[[#This Row],[gbd_super]],disease_costs!$G$4:$K$9,4,FALSE),0)</f>
        <v>92.27940000000001</v>
      </c>
      <c r="U8" s="33">
        <f>IFERROR(VLOOKUP(lmic_raw[[#This Row],[gbd_super]],disease_costs!$G$4:$K$9,5,FALSE),0)</f>
        <v>92.27940000000001</v>
      </c>
      <c r="V8">
        <f>IFERROR(VLOOKUP(lmic_raw[[#This Row],[setting]],vcost[],3,FALSE),0)</f>
        <v>4.8444787613778191</v>
      </c>
      <c r="W8">
        <f>IFERROR(VLOOKUP(lmic_raw[[#This Row],[setting]],vcost[],4,FALSE),0)</f>
        <v>8.9144787613778185</v>
      </c>
      <c r="X8">
        <f>IFERROR(VLOOKUP(lmic_raw[[#This Row],[setting]],vcost[],5,FALSE),0)</f>
        <v>4.4114490928174774</v>
      </c>
      <c r="Y8">
        <f>IFERROR(VLOOKUP(lmic_raw[[#This Row],[setting]],vcost[],6,FALSE),0)</f>
        <v>8.4814490928174777</v>
      </c>
      <c r="Z8">
        <f>IFERROR(VLOOKUP(lmic_raw[[#This Row],[setting]],vcost[],7,FALSE),0)</f>
        <v>8.4754087407028287</v>
      </c>
      <c r="AA8">
        <f>IFERROR(VLOOKUP(lmic_raw[[#This Row],[setting]],vcost[],8,FALSE),0)</f>
        <v>5.0887968921402909</v>
      </c>
      <c r="AB8">
        <f>IFERROR(VLOOKUP(lmic_raw[[#This Row],[setting]],vcost[],9,FALSE),0)</f>
        <v>9.1587968921402911</v>
      </c>
      <c r="AC8" s="33">
        <f>IFERROR(INDEX(acm[],MATCH($C8,acm[[Country code]:[Country code]],0),MATCH(AC$1,acm[#Headers],0)),0)</f>
        <v>2.0805819999999947E-2</v>
      </c>
      <c r="AD8" s="33">
        <f>IFERROR(INDEX(acm[],MATCH($C8,acm[[Country code]:[Country code]],0),MATCH(AD$1,acm[#Headers],0)),0)</f>
        <v>1.123227162154904E-3</v>
      </c>
      <c r="AE8" s="33">
        <f>IFERROR(INDEX(acm[],MATCH($C8,acm[[Country code]:[Country code]],0),MATCH(AE$1,acm[#Headers],0)),0)</f>
        <v>3.8315142751846586E-4</v>
      </c>
      <c r="AF8" s="33">
        <f>IFERROR(INDEX(acm[],MATCH($C8,acm[[Country code]:[Country code]],0),MATCH(AF$1,acm[#Headers],0)),0)</f>
        <v>3.2753527067306111E-4</v>
      </c>
      <c r="AG8" s="33">
        <f>IFERROR(INDEX(acm[],MATCH($C8,acm[[Country code]:[Country code]],0),MATCH(AG$1,acm[#Headers],0)),0)</f>
        <v>6.7106272431909563E-4</v>
      </c>
      <c r="AH8" s="33">
        <f>IFERROR(INDEX(acm[],MATCH($C8,acm[[Country code]:[Country code]],0),MATCH(AH$1,acm[#Headers],0)),0)</f>
        <v>8.3423098262416112E-4</v>
      </c>
      <c r="AI8" s="33">
        <f>IFERROR(INDEX(acm[],MATCH($C8,acm[[Country code]:[Country code]],0),MATCH(AI$1,acm[#Headers],0)),0)</f>
        <v>8.4033512329954505E-4</v>
      </c>
      <c r="AJ8" s="33">
        <f>IFERROR(INDEX(acm[],MATCH($C8,acm[[Country code]:[Country code]],0),MATCH(AJ$1,acm[#Headers],0)),0)</f>
        <v>1.0078144348421782E-3</v>
      </c>
      <c r="AK8" s="33">
        <f>IFERROR(INDEX(acm[],MATCH($C8,acm[[Country code]:[Country code]],0),MATCH(AK$1,acm[#Headers],0)),0)</f>
        <v>1.4113549489738408E-3</v>
      </c>
      <c r="AL8" s="33">
        <f>IFERROR(INDEX(acm[],MATCH($C8,acm[[Country code]:[Country code]],0),MATCH(AL$1,acm[#Headers],0)),0)</f>
        <v>2.1341372569251794E-3</v>
      </c>
      <c r="AM8" s="33">
        <f>IFERROR(INDEX(acm[],MATCH($C8,acm[[Country code]:[Country code]],0),MATCH(AM$1,acm[#Headers],0)),0)</f>
        <v>3.4640864194021774E-3</v>
      </c>
      <c r="AN8" s="33">
        <f>IFERROR(INDEX(acm[],MATCH($C8,acm[[Country code]:[Country code]],0),MATCH(AN$1,acm[#Headers],0)),0)</f>
        <v>5.6339572820308399E-3</v>
      </c>
      <c r="AO8" s="33">
        <f>IFERROR(INDEX(acm[],MATCH($C8,acm[[Country code]:[Country code]],0),MATCH(AO$1,acm[#Headers],0)),0)</f>
        <v>9.132810862019192E-3</v>
      </c>
      <c r="AP8" s="33">
        <f>IFERROR(INDEX(acm[],MATCH($C8,acm[[Country code]:[Country code]],0),MATCH(AP$1,acm[#Headers],0)),0)</f>
        <v>1.4898419315500004E-2</v>
      </c>
      <c r="AQ8" s="33">
        <f>IFERROR(INDEX(acm[],MATCH($C8,acm[[Country code]:[Country code]],0),MATCH(AQ$1,acm[#Headers],0)),0)</f>
        <v>2.4088434935959687E-2</v>
      </c>
      <c r="AR8" s="33">
        <f>IFERROR(INDEX(acm[],MATCH($C8,acm[[Country code]:[Country code]],0),MATCH(AR$1,acm[#Headers],0)),0)</f>
        <v>3.8898255800715674E-2</v>
      </c>
      <c r="AS8" s="33">
        <f>IFERROR(INDEX(acm[],MATCH($C8,acm[[Country code]:[Country code]],0),MATCH(AS$1,acm[#Headers],0)),0)</f>
        <v>6.1621997520772846E-2</v>
      </c>
      <c r="AT8" s="33">
        <f>IFERROR(INDEX(acm[],MATCH($C8,acm[[Country code]:[Country code]],0),MATCH(AT$1,acm[#Headers],0)),0)</f>
        <v>9.1464552499687407E-2</v>
      </c>
      <c r="AU8" s="33">
        <f>IFERROR(INDEX(acm[],MATCH($C8,acm[[Country code]:[Country code]],0),MATCH(AU$1,acm[#Headers],0)),0)</f>
        <v>0.12545163613081445</v>
      </c>
      <c r="AV8" s="33">
        <f>IFERROR(INDEX(acm[],MATCH($C8,acm[[Country code]:[Country code]],0),MATCH(AV$1,acm[#Headers],0)),0)</f>
        <v>0.15474880684223277</v>
      </c>
      <c r="AW8" s="33">
        <f>IFERROR(INDEX(acm[],MATCH($C8,acm[[Country code]:[Country code]],0),MATCH(AW$1,acm[#Headers],0)),0)</f>
        <v>0.17412085468380484</v>
      </c>
      <c r="AX8" s="33">
        <f>IFERROR(VLOOKUP(lmic_raw[[#This Row],[num]],life_exp[[Country code]:[2015-2020]],2,FALSE),0)</f>
        <v>72.81</v>
      </c>
    </row>
    <row r="9" spans="1:50" x14ac:dyDescent="0.25">
      <c r="A9" s="110" t="s">
        <v>192</v>
      </c>
      <c r="B9" s="104" t="s">
        <v>379</v>
      </c>
      <c r="C9" s="105">
        <v>50</v>
      </c>
      <c r="D9" s="84" t="s">
        <v>680</v>
      </c>
      <c r="E9" s="84" t="s">
        <v>589</v>
      </c>
      <c r="F9" s="84" t="s">
        <v>589</v>
      </c>
      <c r="G9" s="84" t="s">
        <v>678</v>
      </c>
      <c r="H9" s="33">
        <f>VLOOKUP(lmic_raw[[#This Row],[num]],pop[[Country code]:[pop_20]],2,FALSE)*1000</f>
        <v>163046173</v>
      </c>
      <c r="I9" s="117">
        <f>IFERROR(VLOOKUP(lmic_raw[[#This Row],[num]],pop[[Country code]:[pop_20]],2,FALSE)*VLOOKUP(lmic_raw[[#This Row],[num]],b_rate[[Country code]:[2015-2020]],2,FALSE),0)</f>
        <v>2993690.7824530001</v>
      </c>
      <c r="J9">
        <f>IFERROR(MIN(VLOOKUP(lmic_raw[[#This Row],[iso3]],fac_b[],4,FALSE)/100,0.9999),0)</f>
        <v>0.53400000000000003</v>
      </c>
      <c r="K9" s="33">
        <f>VLOOKUP(lmic_raw[[#This Row],[iso3]],vax[[iso3]:[hbv3]],2,FALSE)/100</f>
        <v>0</v>
      </c>
      <c r="L9" s="33">
        <f>VLOOKUP(lmic_raw[[#This Row],[iso3]],vax[[iso3]:[hbv3]],3,FALSE)/100</f>
        <v>0.98</v>
      </c>
      <c r="M9">
        <f>IFERROR(VLOOKUP(lmic_raw[[#This Row],[iso3]], hbv_prev[[iso3]:[ub]],2,FALSE)/100,0)</f>
        <v>0.04</v>
      </c>
      <c r="N9">
        <f>IFERROR(VLOOKUP(lmic_raw[[#This Row],[setting]],hbe_prev[],3,FALSE),0)</f>
        <v>0.28521070936823062</v>
      </c>
      <c r="O9">
        <f>VLOOKUP(lmic_raw[[#This Row],[gbd_super]],hbe_risk[],2,FALSE)</f>
        <v>0.8</v>
      </c>
      <c r="P9" s="33">
        <f>VLOOKUP(lmic_raw[[#This Row],[gbd_super]],hbe_risk[],5,FALSE)</f>
        <v>0.17499999999999999</v>
      </c>
      <c r="Q9" s="118">
        <f>IFERROR(VLOOKUP(lmic_raw[[#This Row],[setting]],disease_costs!$A$4:$B$197,2,FALSE),0)</f>
        <v>0</v>
      </c>
      <c r="R9">
        <f>IFERROR(VLOOKUP(lmic_raw[[#This Row],[gbd_super]],disease_costs!$G$4:$K$9,2,FALSE),0)</f>
        <v>45.899900000000002</v>
      </c>
      <c r="S9" s="33">
        <f>IFERROR(VLOOKUP(lmic_raw[[#This Row],[gbd_super]],disease_costs!$G$4:$K$9,3,FALSE),0)</f>
        <v>93.641900000000007</v>
      </c>
      <c r="T9" s="33">
        <f>IFERROR(VLOOKUP(lmic_raw[[#This Row],[gbd_super]],disease_costs!$G$4:$K$9,4,FALSE),0)</f>
        <v>93.641900000000007</v>
      </c>
      <c r="U9" s="33">
        <f>IFERROR(VLOOKUP(lmic_raw[[#This Row],[gbd_super]],disease_costs!$G$4:$K$9,5,FALSE),0)</f>
        <v>93.641900000000007</v>
      </c>
      <c r="V9">
        <f>IFERROR(VLOOKUP(lmic_raw[[#This Row],[setting]],vcost[],3,FALSE),0)</f>
        <v>2.5513524013185185</v>
      </c>
      <c r="W9">
        <f>IFERROR(VLOOKUP(lmic_raw[[#This Row],[setting]],vcost[],4,FALSE),0)</f>
        <v>5.0013524013185187</v>
      </c>
      <c r="X9">
        <f>IFERROR(VLOOKUP(lmic_raw[[#This Row],[setting]],vcost[],5,FALSE),0)</f>
        <v>2.1217873436538555</v>
      </c>
      <c r="Y9">
        <f>IFERROR(VLOOKUP(lmic_raw[[#This Row],[setting]],vcost[],6,FALSE),0)</f>
        <v>4.5717873436538561</v>
      </c>
      <c r="Z9">
        <f>IFERROR(VLOOKUP(lmic_raw[[#This Row],[setting]],vcost[],7,FALSE),0)</f>
        <v>4.5667235639492638</v>
      </c>
      <c r="AA9">
        <f>IFERROR(VLOOKUP(lmic_raw[[#This Row],[setting]],vcost[],8,FALSE),0)</f>
        <v>2.7944216607116186</v>
      </c>
      <c r="AB9">
        <f>IFERROR(VLOOKUP(lmic_raw[[#This Row],[setting]],vcost[],9,FALSE),0)</f>
        <v>5.2444216607116187</v>
      </c>
      <c r="AC9" s="33">
        <f>IFERROR(INDEX(acm[],MATCH($C9,acm[[Country code]:[Country code]],0),MATCH(AC$1,acm[#Headers],0)),0)</f>
        <v>2.6850380000000004E-2</v>
      </c>
      <c r="AD9" s="33">
        <f>IFERROR(INDEX(acm[],MATCH($C9,acm[[Country code]:[Country code]],0),MATCH(AD$1,acm[#Headers],0)),0)</f>
        <v>1.4273267660526731E-3</v>
      </c>
      <c r="AE9" s="33">
        <f>IFERROR(INDEX(acm[],MATCH($C9,acm[[Country code]:[Country code]],0),MATCH(AE$1,acm[#Headers],0)),0)</f>
        <v>7.482190792888853E-4</v>
      </c>
      <c r="AF9" s="33">
        <f>IFERROR(INDEX(acm[],MATCH($C9,acm[[Country code]:[Country code]],0),MATCH(AF$1,acm[#Headers],0)),0)</f>
        <v>6.3599449673810602E-4</v>
      </c>
      <c r="AG9" s="33">
        <f>IFERROR(INDEX(acm[],MATCH($C9,acm[[Country code]:[Country code]],0),MATCH(AG$1,acm[#Headers],0)),0)</f>
        <v>1.0125835727474277E-3</v>
      </c>
      <c r="AH9" s="33">
        <f>IFERROR(INDEX(acm[],MATCH($C9,acm[[Country code]:[Country code]],0),MATCH(AH$1,acm[#Headers],0)),0)</f>
        <v>1.0393796582485581E-3</v>
      </c>
      <c r="AI9" s="33">
        <f>IFERROR(INDEX(acm[],MATCH($C9,acm[[Country code]:[Country code]],0),MATCH(AI$1,acm[#Headers],0)),0)</f>
        <v>9.9616762036654053E-4</v>
      </c>
      <c r="AJ9" s="33">
        <f>IFERROR(INDEX(acm[],MATCH($C9,acm[[Country code]:[Country code]],0),MATCH(AJ$1,acm[#Headers],0)),0)</f>
        <v>1.2461830091039462E-3</v>
      </c>
      <c r="AK9" s="33">
        <f>IFERROR(INDEX(acm[],MATCH($C9,acm[[Country code]:[Country code]],0),MATCH(AK$1,acm[#Headers],0)),0)</f>
        <v>1.6949130194405298E-3</v>
      </c>
      <c r="AL9" s="33">
        <f>IFERROR(INDEX(acm[],MATCH($C9,acm[[Country code]:[Country code]],0),MATCH(AL$1,acm[#Headers],0)),0)</f>
        <v>2.489878107246931E-3</v>
      </c>
      <c r="AM9" s="33">
        <f>IFERROR(INDEX(acm[],MATCH($C9,acm[[Country code]:[Country code]],0),MATCH(AM$1,acm[#Headers],0)),0)</f>
        <v>3.8789128867372309E-3</v>
      </c>
      <c r="AN9" s="33">
        <f>IFERROR(INDEX(acm[],MATCH($C9,acm[[Country code]:[Country code]],0),MATCH(AN$1,acm[#Headers],0)),0)</f>
        <v>6.3676250349223636E-3</v>
      </c>
      <c r="AO9" s="33">
        <f>IFERROR(INDEX(acm[],MATCH($C9,acm[[Country code]:[Country code]],0),MATCH(AO$1,acm[#Headers],0)),0)</f>
        <v>1.0023350220130806E-2</v>
      </c>
      <c r="AP9" s="33">
        <f>IFERROR(INDEX(acm[],MATCH($C9,acm[[Country code]:[Country code]],0),MATCH(AP$1,acm[#Headers],0)),0)</f>
        <v>1.6649733439551947E-2</v>
      </c>
      <c r="AQ9" s="33">
        <f>IFERROR(INDEX(acm[],MATCH($C9,acm[[Country code]:[Country code]],0),MATCH(AQ$1,acm[#Headers],0)),0)</f>
        <v>2.4135128950878319E-2</v>
      </c>
      <c r="AR9" s="33">
        <f>IFERROR(INDEX(acm[],MATCH($C9,acm[[Country code]:[Country code]],0),MATCH(AR$1,acm[#Headers],0)),0)</f>
        <v>3.9140132002183678E-2</v>
      </c>
      <c r="AS9" s="33">
        <f>IFERROR(INDEX(acm[],MATCH($C9,acm[[Country code]:[Country code]],0),MATCH(AS$1,acm[#Headers],0)),0)</f>
        <v>5.2963838292764784E-2</v>
      </c>
      <c r="AT9" s="33">
        <f>IFERROR(INDEX(acm[],MATCH($C9,acm[[Country code]:[Country code]],0),MATCH(AT$1,acm[#Headers],0)),0)</f>
        <v>7.6193501220783055E-2</v>
      </c>
      <c r="AU9" s="33">
        <f>IFERROR(INDEX(acm[],MATCH($C9,acm[[Country code]:[Country code]],0),MATCH(AU$1,acm[#Headers],0)),0)</f>
        <v>0.1006864161525354</v>
      </c>
      <c r="AV9" s="33">
        <f>IFERROR(INDEX(acm[],MATCH($C9,acm[[Country code]:[Country code]],0),MATCH(AV$1,acm[#Headers],0)),0)</f>
        <v>0.12459803655517622</v>
      </c>
      <c r="AW9" s="33">
        <f>IFERROR(INDEX(acm[],MATCH($C9,acm[[Country code]:[Country code]],0),MATCH(AW$1,acm[#Headers],0)),0)</f>
        <v>0.14122794249867238</v>
      </c>
      <c r="AX9" s="33">
        <f>IFERROR(VLOOKUP(lmic_raw[[#This Row],[num]],life_exp[[Country code]:[2015-2020]],2,FALSE),0)</f>
        <v>72.150000000000006</v>
      </c>
    </row>
    <row r="10" spans="1:50" x14ac:dyDescent="0.25">
      <c r="A10" s="109" t="s">
        <v>307</v>
      </c>
      <c r="B10" s="101" t="s">
        <v>381</v>
      </c>
      <c r="C10" s="102">
        <v>112</v>
      </c>
      <c r="D10" s="82" t="s">
        <v>675</v>
      </c>
      <c r="E10" s="82" t="s">
        <v>306</v>
      </c>
      <c r="F10" s="82" t="s">
        <v>663</v>
      </c>
      <c r="G10" s="82" t="s">
        <v>676</v>
      </c>
      <c r="H10" s="33">
        <f>VLOOKUP(lmic_raw[[#This Row],[num]],pop[[Country code]:[pop_20]],2,FALSE)*1000</f>
        <v>9452409</v>
      </c>
      <c r="I10" s="117">
        <f>IFERROR(VLOOKUP(lmic_raw[[#This Row],[num]],pop[[Country code]:[pop_20]],2,FALSE)*VLOOKUP(lmic_raw[[#This Row],[num]],b_rate[[Country code]:[2015-2020]],2,FALSE),0)</f>
        <v>111916.52256</v>
      </c>
      <c r="J10">
        <f>IFERROR(MIN(VLOOKUP(lmic_raw[[#This Row],[iso3]],fac_b[],4,FALSE)/100,0.9999),0)</f>
        <v>0.99900000000000011</v>
      </c>
      <c r="K10" s="33">
        <f>VLOOKUP(lmic_raw[[#This Row],[iso3]],vax[[iso3]:[hbv3]],2,FALSE)/100</f>
        <v>0.98</v>
      </c>
      <c r="L10" s="33">
        <f>VLOOKUP(lmic_raw[[#This Row],[iso3]],vax[[iso3]:[hbv3]],3,FALSE)/100</f>
        <v>0.97</v>
      </c>
      <c r="M10">
        <f>IFERROR(VLOOKUP(lmic_raw[[#This Row],[iso3]], hbv_prev[[iso3]:[ub]],2,FALSE)/100,0)</f>
        <v>1.9400000000000001E-2</v>
      </c>
      <c r="N10">
        <f>IFERROR(VLOOKUP(lmic_raw[[#This Row],[setting]],hbe_prev[],3,FALSE),0)</f>
        <v>0.28713486462847726</v>
      </c>
      <c r="O10">
        <f>VLOOKUP(lmic_raw[[#This Row],[gbd_super]],hbe_risk[],2,FALSE)</f>
        <v>0.8</v>
      </c>
      <c r="P10" s="33">
        <f>VLOOKUP(lmic_raw[[#This Row],[gbd_super]],hbe_risk[],5,FALSE)</f>
        <v>0.17499999999999999</v>
      </c>
      <c r="Q10">
        <f>IFERROR(VLOOKUP(lmic_raw[[#This Row],[setting]],disease_costs!$A$4:$B$197,2,FALSE),0)</f>
        <v>10.100158678461087</v>
      </c>
      <c r="R10">
        <f>IFERROR(VLOOKUP(lmic_raw[[#This Row],[gbd_super]],disease_costs!$G$4:$K$9,2,FALSE),0)</f>
        <v>44.537400000000005</v>
      </c>
      <c r="S10" s="33">
        <f>IFERROR(VLOOKUP(lmic_raw[[#This Row],[gbd_super]],disease_costs!$G$4:$K$9,3,FALSE),0)</f>
        <v>92.27940000000001</v>
      </c>
      <c r="T10" s="33">
        <f>IFERROR(VLOOKUP(lmic_raw[[#This Row],[gbd_super]],disease_costs!$G$4:$K$9,4,FALSE),0)</f>
        <v>92.27940000000001</v>
      </c>
      <c r="U10" s="33">
        <f>IFERROR(VLOOKUP(lmic_raw[[#This Row],[gbd_super]],disease_costs!$G$4:$K$9,5,FALSE),0)</f>
        <v>92.27940000000001</v>
      </c>
      <c r="V10">
        <f>IFERROR(VLOOKUP(lmic_raw[[#This Row],[setting]],vcost[],3,FALSE),0)</f>
        <v>5.5145426409473073</v>
      </c>
      <c r="W10">
        <f>IFERROR(VLOOKUP(lmic_raw[[#This Row],[setting]],vcost[],4,FALSE),0)</f>
        <v>9.5845426409473085</v>
      </c>
      <c r="X10">
        <f>IFERROR(VLOOKUP(lmic_raw[[#This Row],[setting]],vcost[],5,FALSE),0)</f>
        <v>5.075745727677238</v>
      </c>
      <c r="Y10">
        <f>IFERROR(VLOOKUP(lmic_raw[[#This Row],[setting]],vcost[],6,FALSE),0)</f>
        <v>9.1457457276772374</v>
      </c>
      <c r="Z10">
        <f>IFERROR(VLOOKUP(lmic_raw[[#This Row],[setting]],vcost[],7,FALSE),0)</f>
        <v>9.1374594687489399</v>
      </c>
      <c r="AA10">
        <f>IFERROR(VLOOKUP(lmic_raw[[#This Row],[setting]],vcost[],8,FALSE),0)</f>
        <v>5.7609396622446809</v>
      </c>
      <c r="AB10">
        <f>IFERROR(VLOOKUP(lmic_raw[[#This Row],[setting]],vcost[],9,FALSE),0)</f>
        <v>9.8309396622446812</v>
      </c>
      <c r="AC10" s="33">
        <f>IFERROR(INDEX(acm[],MATCH($C10,acm[[Country code]:[Country code]],0),MATCH(AC$1,acm[#Headers],0)),0)</f>
        <v>2.965920000000042E-3</v>
      </c>
      <c r="AD10" s="33">
        <f>IFERROR(INDEX(acm[],MATCH($C10,acm[[Country code]:[Country code]],0),MATCH(AD$1,acm[#Headers],0)),0)</f>
        <v>2.1812945451173097E-4</v>
      </c>
      <c r="AE10" s="33">
        <f>IFERROR(INDEX(acm[],MATCH($C10,acm[[Country code]:[Country code]],0),MATCH(AE$1,acm[#Headers],0)),0)</f>
        <v>1.386980248184975E-4</v>
      </c>
      <c r="AF10" s="33">
        <f>IFERROR(INDEX(acm[],MATCH($C10,acm[[Country code]:[Country code]],0),MATCH(AF$1,acm[#Headers],0)),0)</f>
        <v>1.3168610083894215E-4</v>
      </c>
      <c r="AG10" s="33">
        <f>IFERROR(INDEX(acm[],MATCH($C10,acm[[Country code]:[Country code]],0),MATCH(AG$1,acm[#Headers],0)),0)</f>
        <v>3.5169653717617841E-4</v>
      </c>
      <c r="AH10" s="33">
        <f>IFERROR(INDEX(acm[],MATCH($C10,acm[[Country code]:[Country code]],0),MATCH(AH$1,acm[#Headers],0)),0)</f>
        <v>5.987260697524903E-4</v>
      </c>
      <c r="AI10" s="33">
        <f>IFERROR(INDEX(acm[],MATCH($C10,acm[[Country code]:[Country code]],0),MATCH(AI$1,acm[#Headers],0)),0)</f>
        <v>8.7460441447060428E-4</v>
      </c>
      <c r="AJ10" s="33">
        <f>IFERROR(INDEX(acm[],MATCH($C10,acm[[Country code]:[Country code]],0),MATCH(AJ$1,acm[#Headers],0)),0)</f>
        <v>1.4330866848499505E-3</v>
      </c>
      <c r="AK10" s="33">
        <f>IFERROR(INDEX(acm[],MATCH($C10,acm[[Country code]:[Country code]],0),MATCH(AK$1,acm[#Headers],0)),0)</f>
        <v>2.2944909907093732E-3</v>
      </c>
      <c r="AL10" s="33">
        <f>IFERROR(INDEX(acm[],MATCH($C10,acm[[Country code]:[Country code]],0),MATCH(AL$1,acm[#Headers],0)),0)</f>
        <v>3.3156186518019663E-3</v>
      </c>
      <c r="AM10" s="33">
        <f>IFERROR(INDEX(acm[],MATCH($C10,acm[[Country code]:[Country code]],0),MATCH(AM$1,acm[#Headers],0)),0)</f>
        <v>4.9758308884574175E-3</v>
      </c>
      <c r="AN10" s="33">
        <f>IFERROR(INDEX(acm[],MATCH($C10,acm[[Country code]:[Country code]],0),MATCH(AN$1,acm[#Headers],0)),0)</f>
        <v>7.303794833465097E-3</v>
      </c>
      <c r="AO10" s="33">
        <f>IFERROR(INDEX(acm[],MATCH($C10,acm[[Country code]:[Country code]],0),MATCH(AO$1,acm[#Headers],0)),0)</f>
        <v>1.0865495846746462E-2</v>
      </c>
      <c r="AP10" s="33">
        <f>IFERROR(INDEX(acm[],MATCH($C10,acm[[Country code]:[Country code]],0),MATCH(AP$1,acm[#Headers],0)),0)</f>
        <v>1.6436042866597753E-2</v>
      </c>
      <c r="AQ10" s="33">
        <f>IFERROR(INDEX(acm[],MATCH($C10,acm[[Country code]:[Country code]],0),MATCH(AQ$1,acm[#Headers],0)),0)</f>
        <v>2.3166982628810194E-2</v>
      </c>
      <c r="AR10" s="33">
        <f>IFERROR(INDEX(acm[],MATCH($C10,acm[[Country code]:[Country code]],0),MATCH(AR$1,acm[#Headers],0)),0)</f>
        <v>3.328192282230763E-2</v>
      </c>
      <c r="AS10" s="33">
        <f>IFERROR(INDEX(acm[],MATCH($C10,acm[[Country code]:[Country code]],0),MATCH(AS$1,acm[#Headers],0)),0)</f>
        <v>5.0327355600297066E-2</v>
      </c>
      <c r="AT10" s="33">
        <f>IFERROR(INDEX(acm[],MATCH($C10,acm[[Country code]:[Country code]],0),MATCH(AT$1,acm[#Headers],0)),0)</f>
        <v>7.7358215440379449E-2</v>
      </c>
      <c r="AU10" s="33">
        <f>IFERROR(INDEX(acm[],MATCH($C10,acm[[Country code]:[Country code]],0),MATCH(AU$1,acm[#Headers],0)),0)</f>
        <v>0.10976028096120835</v>
      </c>
      <c r="AV10" s="33">
        <f>IFERROR(INDEX(acm[],MATCH($C10,acm[[Country code]:[Country code]],0),MATCH(AV$1,acm[#Headers],0)),0)</f>
        <v>0.14532450263334859</v>
      </c>
      <c r="AW10" s="33">
        <f>IFERROR(INDEX(acm[],MATCH($C10,acm[[Country code]:[Country code]],0),MATCH(AW$1,acm[#Headers],0)),0)</f>
        <v>0.17200342448771944</v>
      </c>
      <c r="AX10" s="33">
        <f>IFERROR(VLOOKUP(lmic_raw[[#This Row],[num]],life_exp[[Country code]:[2015-2020]],2,FALSE),0)</f>
        <v>74.489999999999995</v>
      </c>
    </row>
    <row r="11" spans="1:50" x14ac:dyDescent="0.25">
      <c r="A11" s="110" t="s">
        <v>253</v>
      </c>
      <c r="B11" s="104" t="s">
        <v>382</v>
      </c>
      <c r="C11" s="105">
        <v>84</v>
      </c>
      <c r="D11" s="84" t="s">
        <v>679</v>
      </c>
      <c r="E11" s="84" t="s">
        <v>223</v>
      </c>
      <c r="F11" s="84" t="s">
        <v>665</v>
      </c>
      <c r="G11" s="84" t="s">
        <v>676</v>
      </c>
      <c r="H11" s="33">
        <f>VLOOKUP(lmic_raw[[#This Row],[num]],pop[[Country code]:[pop_20]],2,FALSE)*1000</f>
        <v>390351</v>
      </c>
      <c r="I11" s="117">
        <f>IFERROR(VLOOKUP(lmic_raw[[#This Row],[num]],pop[[Country code]:[pop_20]],2,FALSE)*VLOOKUP(lmic_raw[[#This Row],[num]],b_rate[[Country code]:[2015-2020]],2,FALSE),0)</f>
        <v>8153.6516880000008</v>
      </c>
      <c r="J11">
        <f>IFERROR(MIN(VLOOKUP(lmic_raw[[#This Row],[iso3]],fac_b[],4,FALSE)/100,0.9999),0)</f>
        <v>0.96400000000000008</v>
      </c>
      <c r="K11" s="33">
        <f>VLOOKUP(lmic_raw[[#This Row],[iso3]],vax[[iso3]:[hbv3]],2,FALSE)/100</f>
        <v>0.7</v>
      </c>
      <c r="L11" s="33">
        <f>VLOOKUP(lmic_raw[[#This Row],[iso3]],vax[[iso3]:[hbv3]],3,FALSE)/100</f>
        <v>0.98</v>
      </c>
      <c r="M11">
        <f>IFERROR(VLOOKUP(lmic_raw[[#This Row],[iso3]], hbv_prev[[iso3]:[ub]],2,FALSE)/100,0)</f>
        <v>4.0099999999999997E-2</v>
      </c>
      <c r="N11">
        <f>IFERROR(VLOOKUP(lmic_raw[[#This Row],[setting]],hbe_prev[],3,FALSE),0)</f>
        <v>0.3153977532060992</v>
      </c>
      <c r="O11">
        <f>VLOOKUP(lmic_raw[[#This Row],[gbd_super]],hbe_risk[],2,FALSE)</f>
        <v>0.8</v>
      </c>
      <c r="P11" s="33">
        <f>VLOOKUP(lmic_raw[[#This Row],[gbd_super]],hbe_risk[],5,FALSE)</f>
        <v>0.17499999999999999</v>
      </c>
      <c r="Q11">
        <f>IFERROR(VLOOKUP(lmic_raw[[#This Row],[setting]],disease_costs!$A$4:$B$197,2,FALSE),0)</f>
        <v>8.9369917630045457</v>
      </c>
      <c r="R11">
        <f>IFERROR(VLOOKUP(lmic_raw[[#This Row],[gbd_super]],disease_costs!$G$4:$K$9,2,FALSE),0)</f>
        <v>86.883899999999997</v>
      </c>
      <c r="S11" s="33">
        <f>IFERROR(VLOOKUP(lmic_raw[[#This Row],[gbd_super]],disease_costs!$G$4:$K$9,3,FALSE),0)</f>
        <v>134.6259</v>
      </c>
      <c r="T11" s="33">
        <f>IFERROR(VLOOKUP(lmic_raw[[#This Row],[gbd_super]],disease_costs!$G$4:$K$9,4,FALSE),0)</f>
        <v>134.6259</v>
      </c>
      <c r="U11" s="33">
        <f>IFERROR(VLOOKUP(lmic_raw[[#This Row],[gbd_super]],disease_costs!$G$4:$K$9,5,FALSE),0)</f>
        <v>134.6259</v>
      </c>
      <c r="V11">
        <f>IFERROR(VLOOKUP(lmic_raw[[#This Row],[setting]],vcost[],3,FALSE),0)</f>
        <v>10.00475881162267</v>
      </c>
      <c r="W11">
        <f>IFERROR(VLOOKUP(lmic_raw[[#This Row],[setting]],vcost[],4,FALSE),0)</f>
        <v>10.02475881162267</v>
      </c>
      <c r="X11">
        <f>IFERROR(VLOOKUP(lmic_raw[[#This Row],[setting]],vcost[],5,FALSE),0)</f>
        <v>9.5717397336730876</v>
      </c>
      <c r="Y11">
        <f>IFERROR(VLOOKUP(lmic_raw[[#This Row],[setting]],vcost[],6,FALSE),0)</f>
        <v>9.5917397336730872</v>
      </c>
      <c r="Z11">
        <f>IFERROR(VLOOKUP(lmic_raw[[#This Row],[setting]],vcost[],7,FALSE),0)</f>
        <v>9.5857416384973213</v>
      </c>
      <c r="AA11">
        <f>IFERROR(VLOOKUP(lmic_raw[[#This Row],[setting]],vcost[],8,FALSE),0)</f>
        <v>10.249073124839404</v>
      </c>
      <c r="AB11">
        <f>IFERROR(VLOOKUP(lmic_raw[[#This Row],[setting]],vcost[],9,FALSE),0)</f>
        <v>10.269073124839403</v>
      </c>
      <c r="AC11" s="33">
        <f>IFERROR(INDEX(acm[],MATCH($C11,acm[[Country code]:[Country code]],0),MATCH(AC$1,acm[#Headers],0)),0)</f>
        <v>1.2816070000000035E-2</v>
      </c>
      <c r="AD11" s="33">
        <f>IFERROR(INDEX(acm[],MATCH($C11,acm[[Country code]:[Country code]],0),MATCH(AD$1,acm[#Headers],0)),0)</f>
        <v>5.2839444013232247E-4</v>
      </c>
      <c r="AE11" s="33">
        <f>IFERROR(INDEX(acm[],MATCH($C11,acm[[Country code]:[Country code]],0),MATCH(AE$1,acm[#Headers],0)),0)</f>
        <v>3.0433131569198077E-4</v>
      </c>
      <c r="AF11" s="33">
        <f>IFERROR(INDEX(acm[],MATCH($C11,acm[[Country code]:[Country code]],0),MATCH(AF$1,acm[#Headers],0)),0)</f>
        <v>3.30102184177905E-4</v>
      </c>
      <c r="AG11" s="33">
        <f>IFERROR(INDEX(acm[],MATCH($C11,acm[[Country code]:[Country code]],0),MATCH(AG$1,acm[#Headers],0)),0)</f>
        <v>9.9336946473442696E-4</v>
      </c>
      <c r="AH11" s="33">
        <f>IFERROR(INDEX(acm[],MATCH($C11,acm[[Country code]:[Country code]],0),MATCH(AH$1,acm[#Headers],0)),0)</f>
        <v>1.5584234821144477E-3</v>
      </c>
      <c r="AI11" s="33">
        <f>IFERROR(INDEX(acm[],MATCH($C11,acm[[Country code]:[Country code]],0),MATCH(AI$1,acm[#Headers],0)),0)</f>
        <v>2.3286180141758603E-3</v>
      </c>
      <c r="AJ11" s="33">
        <f>IFERROR(INDEX(acm[],MATCH($C11,acm[[Country code]:[Country code]],0),MATCH(AJ$1,acm[#Headers],0)),0)</f>
        <v>2.7513090350750114E-3</v>
      </c>
      <c r="AK11" s="33">
        <f>IFERROR(INDEX(acm[],MATCH($C11,acm[[Country code]:[Country code]],0),MATCH(AK$1,acm[#Headers],0)),0)</f>
        <v>2.8670260585765784E-3</v>
      </c>
      <c r="AL11" s="33">
        <f>IFERROR(INDEX(acm[],MATCH($C11,acm[[Country code]:[Country code]],0),MATCH(AL$1,acm[#Headers],0)),0)</f>
        <v>3.5152753041282894E-3</v>
      </c>
      <c r="AM11" s="33">
        <f>IFERROR(INDEX(acm[],MATCH($C11,acm[[Country code]:[Country code]],0),MATCH(AM$1,acm[#Headers],0)),0)</f>
        <v>4.8447417606571758E-3</v>
      </c>
      <c r="AN11" s="33">
        <f>IFERROR(INDEX(acm[],MATCH($C11,acm[[Country code]:[Country code]],0),MATCH(AN$1,acm[#Headers],0)),0)</f>
        <v>6.7217168056650269E-3</v>
      </c>
      <c r="AO11" s="33">
        <f>IFERROR(INDEX(acm[],MATCH($C11,acm[[Country code]:[Country code]],0),MATCH(AO$1,acm[#Headers],0)),0)</f>
        <v>1.0577857985131261E-2</v>
      </c>
      <c r="AP11" s="33">
        <f>IFERROR(INDEX(acm[],MATCH($C11,acm[[Country code]:[Country code]],0),MATCH(AP$1,acm[#Headers],0)),0)</f>
        <v>1.4086050361921973E-2</v>
      </c>
      <c r="AQ11" s="33">
        <f>IFERROR(INDEX(acm[],MATCH($C11,acm[[Country code]:[Country code]],0),MATCH(AQ$1,acm[#Headers],0)),0)</f>
        <v>1.9026925168537715E-2</v>
      </c>
      <c r="AR11" s="33">
        <f>IFERROR(INDEX(acm[],MATCH($C11,acm[[Country code]:[Country code]],0),MATCH(AR$1,acm[#Headers],0)),0)</f>
        <v>2.6552083204686317E-2</v>
      </c>
      <c r="AS11" s="33">
        <f>IFERROR(INDEX(acm[],MATCH($C11,acm[[Country code]:[Country code]],0),MATCH(AS$1,acm[#Headers],0)),0)</f>
        <v>3.867017588830339E-2</v>
      </c>
      <c r="AT11" s="33">
        <f>IFERROR(INDEX(acm[],MATCH($C11,acm[[Country code]:[Country code]],0),MATCH(AT$1,acm[#Headers],0)),0)</f>
        <v>6.118915184078795E-2</v>
      </c>
      <c r="AU11" s="33">
        <f>IFERROR(INDEX(acm[],MATCH($C11,acm[[Country code]:[Country code]],0),MATCH(AU$1,acm[#Headers],0)),0)</f>
        <v>8.5259662158690394E-2</v>
      </c>
      <c r="AV11" s="33">
        <f>IFERROR(INDEX(acm[],MATCH($C11,acm[[Country code]:[Country code]],0),MATCH(AV$1,acm[#Headers],0)),0)</f>
        <v>0.10937780472241215</v>
      </c>
      <c r="AW11" s="33">
        <f>IFERROR(INDEX(acm[],MATCH($C11,acm[[Country code]:[Country code]],0),MATCH(AW$1,acm[#Headers],0)),0)</f>
        <v>0.15112605195352843</v>
      </c>
      <c r="AX11" s="33">
        <f>IFERROR(VLOOKUP(lmic_raw[[#This Row],[num]],life_exp[[Country code]:[2015-2020]],2,FALSE),0)</f>
        <v>74.37</v>
      </c>
    </row>
    <row r="12" spans="1:50" x14ac:dyDescent="0.25">
      <c r="A12" s="109" t="s">
        <v>138</v>
      </c>
      <c r="B12" s="101" t="s">
        <v>383</v>
      </c>
      <c r="C12" s="102">
        <v>204</v>
      </c>
      <c r="D12" s="82" t="s">
        <v>677</v>
      </c>
      <c r="E12" s="82" t="s">
        <v>591</v>
      </c>
      <c r="F12" s="82" t="s">
        <v>667</v>
      </c>
      <c r="G12" s="82" t="s">
        <v>674</v>
      </c>
      <c r="H12" s="33">
        <f>VLOOKUP(lmic_raw[[#This Row],[num]],pop[[Country code]:[pop_20]],2,FALSE)*1000</f>
        <v>11801151</v>
      </c>
      <c r="I12" s="117">
        <f>IFERROR(VLOOKUP(lmic_raw[[#This Row],[num]],pop[[Country code]:[pop_20]],2,FALSE)*VLOOKUP(lmic_raw[[#This Row],[num]],b_rate[[Country code]:[2015-2020]],2,FALSE),0)</f>
        <v>429573.69755100005</v>
      </c>
      <c r="J12">
        <f>IFERROR(MIN(VLOOKUP(lmic_raw[[#This Row],[iso3]],fac_b[],4,FALSE)/100,0.9999),0)</f>
        <v>0.83900000000000008</v>
      </c>
      <c r="K12" s="33">
        <f>VLOOKUP(lmic_raw[[#This Row],[iso3]],vax[[iso3]:[hbv3]],2,FALSE)/100</f>
        <v>0</v>
      </c>
      <c r="L12" s="33">
        <f>VLOOKUP(lmic_raw[[#This Row],[iso3]],vax[[iso3]:[hbv3]],3,FALSE)/100</f>
        <v>0.76</v>
      </c>
      <c r="M12">
        <f>IFERROR(VLOOKUP(lmic_raw[[#This Row],[iso3]], hbv_prev[[iso3]:[ub]],2,FALSE)/100,0)</f>
        <v>0.10949999999999999</v>
      </c>
      <c r="N12">
        <f>IFERROR(VLOOKUP(lmic_raw[[#This Row],[setting]],hbe_prev[],3,FALSE),0)</f>
        <v>0.29308008391498708</v>
      </c>
      <c r="O12">
        <f>VLOOKUP(lmic_raw[[#This Row],[gbd_super]],hbe_risk[],2,FALSE)</f>
        <v>0.38300000000000001</v>
      </c>
      <c r="P12" s="33">
        <f>VLOOKUP(lmic_raw[[#This Row],[gbd_super]],hbe_risk[],5,FALSE)</f>
        <v>4.8000000000000001E-2</v>
      </c>
      <c r="Q12">
        <f>IFERROR(VLOOKUP(lmic_raw[[#This Row],[setting]],disease_costs!$A$4:$B$197,2,FALSE),0)</f>
        <v>3.1805024365104511</v>
      </c>
      <c r="R12">
        <f>IFERROR(VLOOKUP(lmic_raw[[#This Row],[gbd_super]],disease_costs!$G$4:$K$9,2,FALSE),0)</f>
        <v>29.920500000000001</v>
      </c>
      <c r="S12" s="33">
        <f>IFERROR(VLOOKUP(lmic_raw[[#This Row],[gbd_super]],disease_costs!$G$4:$K$9,3,FALSE),0)</f>
        <v>77.662500000000009</v>
      </c>
      <c r="T12" s="33">
        <f>IFERROR(VLOOKUP(lmic_raw[[#This Row],[gbd_super]],disease_costs!$G$4:$K$9,4,FALSE),0)</f>
        <v>77.662500000000009</v>
      </c>
      <c r="U12" s="33">
        <f>IFERROR(VLOOKUP(lmic_raw[[#This Row],[gbd_super]],disease_costs!$G$4:$K$9,5,FALSE),0)</f>
        <v>77.662500000000009</v>
      </c>
      <c r="V12">
        <f>IFERROR(VLOOKUP(lmic_raw[[#This Row],[setting]],vcost[],3,FALSE),0)</f>
        <v>1.9522554943253922</v>
      </c>
      <c r="W12">
        <f>IFERROR(VLOOKUP(lmic_raw[[#This Row],[setting]],vcost[],4,FALSE),0)</f>
        <v>6.7822554943253923</v>
      </c>
      <c r="X12">
        <f>IFERROR(VLOOKUP(lmic_raw[[#This Row],[setting]],vcost[],5,FALSE),0)</f>
        <v>1.5235912638299196</v>
      </c>
      <c r="Y12">
        <f>IFERROR(VLOOKUP(lmic_raw[[#This Row],[setting]],vcost[],6,FALSE),0)</f>
        <v>6.3535912638299195</v>
      </c>
      <c r="Z12">
        <f>IFERROR(VLOOKUP(lmic_raw[[#This Row],[setting]],vcost[],7,FALSE),0)</f>
        <v>6.3493917356068934</v>
      </c>
      <c r="AA12">
        <f>IFERROR(VLOOKUP(lmic_raw[[#This Row],[setting]],vcost[],8,FALSE),0)</f>
        <v>2.1950000369482026</v>
      </c>
      <c r="AB12">
        <f>IFERROR(VLOOKUP(lmic_raw[[#This Row],[setting]],vcost[],9,FALSE),0)</f>
        <v>7.0250000369482031</v>
      </c>
      <c r="AC12" s="33">
        <f>IFERROR(INDEX(acm[],MATCH($C12,acm[[Country code]:[Country code]],0),MATCH(AC$1,acm[#Headers],0)),0)</f>
        <v>6.1164949999999954E-2</v>
      </c>
      <c r="AD12" s="33">
        <f>IFERROR(INDEX(acm[],MATCH($C12,acm[[Country code]:[Country code]],0),MATCH(AD$1,acm[#Headers],0)),0)</f>
        <v>9.1920966308192444E-3</v>
      </c>
      <c r="AE12" s="33">
        <f>IFERROR(INDEX(acm[],MATCH($C12,acm[[Country code]:[Country code]],0),MATCH(AE$1,acm[#Headers],0)),0)</f>
        <v>3.0964875536814694E-3</v>
      </c>
      <c r="AF12" s="33">
        <f>IFERROR(INDEX(acm[],MATCH($C12,acm[[Country code]:[Country code]],0),MATCH(AF$1,acm[#Headers],0)),0)</f>
        <v>1.83242869242432E-3</v>
      </c>
      <c r="AG12" s="33">
        <f>IFERROR(INDEX(acm[],MATCH($C12,acm[[Country code]:[Country code]],0),MATCH(AG$1,acm[#Headers],0)),0)</f>
        <v>2.463276961685093E-3</v>
      </c>
      <c r="AH12" s="33">
        <f>IFERROR(INDEX(acm[],MATCH($C12,acm[[Country code]:[Country code]],0),MATCH(AH$1,acm[#Headers],0)),0)</f>
        <v>3.3343019710225666E-3</v>
      </c>
      <c r="AI12" s="33">
        <f>IFERROR(INDEX(acm[],MATCH($C12,acm[[Country code]:[Country code]],0),MATCH(AI$1,acm[#Headers],0)),0)</f>
        <v>3.6652593795521776E-3</v>
      </c>
      <c r="AJ12" s="33">
        <f>IFERROR(INDEX(acm[],MATCH($C12,acm[[Country code]:[Country code]],0),MATCH(AJ$1,acm[#Headers],0)),0)</f>
        <v>4.0444612807645271E-3</v>
      </c>
      <c r="AK12" s="33">
        <f>IFERROR(INDEX(acm[],MATCH($C12,acm[[Country code]:[Country code]],0),MATCH(AK$1,acm[#Headers],0)),0)</f>
        <v>4.6082345686252989E-3</v>
      </c>
      <c r="AL12" s="33">
        <f>IFERROR(INDEX(acm[],MATCH($C12,acm[[Country code]:[Country code]],0),MATCH(AL$1,acm[#Headers],0)),0)</f>
        <v>5.694718856478747E-3</v>
      </c>
      <c r="AM12" s="33">
        <f>IFERROR(INDEX(acm[],MATCH($C12,acm[[Country code]:[Country code]],0),MATCH(AM$1,acm[#Headers],0)),0)</f>
        <v>6.9182841363716755E-3</v>
      </c>
      <c r="AN12" s="33">
        <f>IFERROR(INDEX(acm[],MATCH($C12,acm[[Country code]:[Country code]],0),MATCH(AN$1,acm[#Headers],0)),0)</f>
        <v>9.6187640858853684E-3</v>
      </c>
      <c r="AO12" s="33">
        <f>IFERROR(INDEX(acm[],MATCH($C12,acm[[Country code]:[Country code]],0),MATCH(AO$1,acm[#Headers],0)),0)</f>
        <v>1.2864543277523127E-2</v>
      </c>
      <c r="AP12" s="33">
        <f>IFERROR(INDEX(acm[],MATCH($C12,acm[[Country code]:[Country code]],0),MATCH(AP$1,acm[#Headers],0)),0)</f>
        <v>1.9340131777017523E-2</v>
      </c>
      <c r="AQ12" s="33">
        <f>IFERROR(INDEX(acm[],MATCH($C12,acm[[Country code]:[Country code]],0),MATCH(AQ$1,acm[#Headers],0)),0)</f>
        <v>2.948365902483838E-2</v>
      </c>
      <c r="AR12" s="33">
        <f>IFERROR(INDEX(acm[],MATCH($C12,acm[[Country code]:[Country code]],0),MATCH(AR$1,acm[#Headers],0)),0)</f>
        <v>4.5251196999489859E-2</v>
      </c>
      <c r="AS12" s="33">
        <f>IFERROR(INDEX(acm[],MATCH($C12,acm[[Country code]:[Country code]],0),MATCH(AS$1,acm[#Headers],0)),0)</f>
        <v>6.7740549247238033E-2</v>
      </c>
      <c r="AT12" s="33">
        <f>IFERROR(INDEX(acm[],MATCH($C12,acm[[Country code]:[Country code]],0),MATCH(AT$1,acm[#Headers],0)),0)</f>
        <v>9.7565677481811094E-2</v>
      </c>
      <c r="AU12" s="33">
        <f>IFERROR(INDEX(acm[],MATCH($C12,acm[[Country code]:[Country code]],0),MATCH(AU$1,acm[#Headers],0)),0)</f>
        <v>0.12954423249216701</v>
      </c>
      <c r="AV12" s="33">
        <f>IFERROR(INDEX(acm[],MATCH($C12,acm[[Country code]:[Country code]],0),MATCH(AV$1,acm[#Headers],0)),0)</f>
        <v>0.15740319463492428</v>
      </c>
      <c r="AW12" s="33">
        <f>IFERROR(INDEX(acm[],MATCH($C12,acm[[Country code]:[Country code]],0),MATCH(AW$1,acm[#Headers],0)),0)</f>
        <v>0.17611156213301282</v>
      </c>
      <c r="AX12" s="33">
        <f>IFERROR(VLOOKUP(lmic_raw[[#This Row],[num]],life_exp[[Country code]:[2015-2020]],2,FALSE),0)</f>
        <v>61.302999999999997</v>
      </c>
    </row>
    <row r="13" spans="1:50" x14ac:dyDescent="0.25">
      <c r="A13" s="110" t="s">
        <v>193</v>
      </c>
      <c r="B13" s="104" t="s">
        <v>384</v>
      </c>
      <c r="C13" s="105">
        <v>64</v>
      </c>
      <c r="D13" s="84" t="s">
        <v>680</v>
      </c>
      <c r="E13" s="84" t="s">
        <v>589</v>
      </c>
      <c r="F13" s="84" t="s">
        <v>589</v>
      </c>
      <c r="G13" s="84" t="s">
        <v>678</v>
      </c>
      <c r="H13" s="33">
        <f>VLOOKUP(lmic_raw[[#This Row],[num]],pop[[Country code]:[pop_20]],2,FALSE)*1000</f>
        <v>763094</v>
      </c>
      <c r="I13" s="117">
        <f>IFERROR(VLOOKUP(lmic_raw[[#This Row],[num]],pop[[Country code]:[pop_20]],2,FALSE)*VLOOKUP(lmic_raw[[#This Row],[num]],b_rate[[Country code]:[2015-2020]],2,FALSE),0)</f>
        <v>13348.040248000001</v>
      </c>
      <c r="J13">
        <f>IFERROR(MIN(VLOOKUP(lmic_raw[[#This Row],[iso3]],fac_b[],4,FALSE)/100,0.9999),0)</f>
        <v>0.73799999999999999</v>
      </c>
      <c r="K13" s="33">
        <f>VLOOKUP(lmic_raw[[#This Row],[iso3]],vax[[iso3]:[hbv3]],2,FALSE)/100</f>
        <v>0.86</v>
      </c>
      <c r="L13" s="33">
        <f>VLOOKUP(lmic_raw[[#This Row],[iso3]],vax[[iso3]:[hbv3]],3,FALSE)/100</f>
        <v>0.97</v>
      </c>
      <c r="M13">
        <f>IFERROR(VLOOKUP(lmic_raw[[#This Row],[iso3]], hbv_prev[[iso3]:[ub]],2,FALSE)/100,0)</f>
        <v>4.2900000000000001E-2</v>
      </c>
      <c r="N13">
        <f>IFERROR(VLOOKUP(lmic_raw[[#This Row],[setting]],hbe_prev[],3,FALSE),0)</f>
        <v>0.26254910100193679</v>
      </c>
      <c r="O13">
        <f>VLOOKUP(lmic_raw[[#This Row],[gbd_super]],hbe_risk[],2,FALSE)</f>
        <v>0.8</v>
      </c>
      <c r="P13" s="33">
        <f>VLOOKUP(lmic_raw[[#This Row],[gbd_super]],hbe_risk[],5,FALSE)</f>
        <v>0.17499999999999999</v>
      </c>
      <c r="Q13">
        <f>IFERROR(VLOOKUP(lmic_raw[[#This Row],[setting]],disease_costs!$A$4:$B$197,2,FALSE),0)</f>
        <v>5.2457171639536941</v>
      </c>
      <c r="R13">
        <f>IFERROR(VLOOKUP(lmic_raw[[#This Row],[gbd_super]],disease_costs!$G$4:$K$9,2,FALSE),0)</f>
        <v>45.899900000000002</v>
      </c>
      <c r="S13" s="33">
        <f>IFERROR(VLOOKUP(lmic_raw[[#This Row],[gbd_super]],disease_costs!$G$4:$K$9,3,FALSE),0)</f>
        <v>93.641900000000007</v>
      </c>
      <c r="T13" s="33">
        <f>IFERROR(VLOOKUP(lmic_raw[[#This Row],[gbd_super]],disease_costs!$G$4:$K$9,4,FALSE),0)</f>
        <v>93.641900000000007</v>
      </c>
      <c r="U13" s="33">
        <f>IFERROR(VLOOKUP(lmic_raw[[#This Row],[gbd_super]],disease_costs!$G$4:$K$9,5,FALSE),0)</f>
        <v>93.641900000000007</v>
      </c>
      <c r="V13">
        <f>IFERROR(VLOOKUP(lmic_raw[[#This Row],[setting]],vcost[],3,FALSE),0)</f>
        <v>8.0040339574761692</v>
      </c>
      <c r="W13">
        <f>IFERROR(VLOOKUP(lmic_raw[[#This Row],[setting]],vcost[],4,FALSE),0)</f>
        <v>10.45403395747617</v>
      </c>
      <c r="X13">
        <f>IFERROR(VLOOKUP(lmic_raw[[#This Row],[setting]],vcost[],5,FALSE),0)</f>
        <v>7.5668873329623834</v>
      </c>
      <c r="Y13">
        <f>IFERROR(VLOOKUP(lmic_raw[[#This Row],[setting]],vcost[],6,FALSE),0)</f>
        <v>10.016887332962384</v>
      </c>
      <c r="Z13">
        <f>IFERROR(VLOOKUP(lmic_raw[[#This Row],[setting]],vcost[],7,FALSE),0)</f>
        <v>10.009234420526891</v>
      </c>
      <c r="AA13">
        <f>IFERROR(VLOOKUP(lmic_raw[[#This Row],[setting]],vcost[],8,FALSE),0)</f>
        <v>8.2498361072451161</v>
      </c>
      <c r="AB13">
        <f>IFERROR(VLOOKUP(lmic_raw[[#This Row],[setting]],vcost[],9,FALSE),0)</f>
        <v>10.699836107245115</v>
      </c>
      <c r="AC13" s="33">
        <f>IFERROR(INDEX(acm[],MATCH($C13,acm[[Country code]:[Country code]],0),MATCH(AC$1,acm[#Headers],0)),0)</f>
        <v>2.4070130000000065E-2</v>
      </c>
      <c r="AD13" s="33">
        <f>IFERROR(INDEX(acm[],MATCH($C13,acm[[Country code]:[Country code]],0),MATCH(AD$1,acm[#Headers],0)),0)</f>
        <v>1.4172022422061688E-3</v>
      </c>
      <c r="AE13" s="33">
        <f>IFERROR(INDEX(acm[],MATCH($C13,acm[[Country code]:[Country code]],0),MATCH(AE$1,acm[#Headers],0)),0)</f>
        <v>7.7363966030787946E-4</v>
      </c>
      <c r="AF13" s="33">
        <f>IFERROR(INDEX(acm[],MATCH($C13,acm[[Country code]:[Country code]],0),MATCH(AF$1,acm[#Headers],0)),0)</f>
        <v>6.2697757691140463E-4</v>
      </c>
      <c r="AG13" s="33">
        <f>IFERROR(INDEX(acm[],MATCH($C13,acm[[Country code]:[Country code]],0),MATCH(AG$1,acm[#Headers],0)),0)</f>
        <v>8.483255994234341E-4</v>
      </c>
      <c r="AH13" s="33">
        <f>IFERROR(INDEX(acm[],MATCH($C13,acm[[Country code]:[Country code]],0),MATCH(AH$1,acm[#Headers],0)),0)</f>
        <v>1.3815089011482156E-3</v>
      </c>
      <c r="AI13" s="33">
        <f>IFERROR(INDEX(acm[],MATCH($C13,acm[[Country code]:[Country code]],0),MATCH(AI$1,acm[#Headers],0)),0)</f>
        <v>1.9994181120536001E-3</v>
      </c>
      <c r="AJ13" s="33">
        <f>IFERROR(INDEX(acm[],MATCH($C13,acm[[Country code]:[Country code]],0),MATCH(AJ$1,acm[#Headers],0)),0)</f>
        <v>2.8979871281534348E-3</v>
      </c>
      <c r="AK13" s="33">
        <f>IFERROR(INDEX(acm[],MATCH($C13,acm[[Country code]:[Country code]],0),MATCH(AK$1,acm[#Headers],0)),0)</f>
        <v>3.9402642111488967E-3</v>
      </c>
      <c r="AL13" s="33">
        <f>IFERROR(INDEX(acm[],MATCH($C13,acm[[Country code]:[Country code]],0),MATCH(AL$1,acm[#Headers],0)),0)</f>
        <v>5.1523072116535949E-3</v>
      </c>
      <c r="AM13" s="33">
        <f>IFERROR(INDEX(acm[],MATCH($C13,acm[[Country code]:[Country code]],0),MATCH(AM$1,acm[#Headers],0)),0)</f>
        <v>6.6891671323214023E-3</v>
      </c>
      <c r="AN13" s="33">
        <f>IFERROR(INDEX(acm[],MATCH($C13,acm[[Country code]:[Country code]],0),MATCH(AN$1,acm[#Headers],0)),0)</f>
        <v>8.7964781237764387E-3</v>
      </c>
      <c r="AO13" s="33">
        <f>IFERROR(INDEX(acm[],MATCH($C13,acm[[Country code]:[Country code]],0),MATCH(AO$1,acm[#Headers],0)),0)</f>
        <v>1.1914330293210212E-2</v>
      </c>
      <c r="AP13" s="33">
        <f>IFERROR(INDEX(acm[],MATCH($C13,acm[[Country code]:[Country code]],0),MATCH(AP$1,acm[#Headers],0)),0)</f>
        <v>1.5987378758992074E-2</v>
      </c>
      <c r="AQ13" s="33">
        <f>IFERROR(INDEX(acm[],MATCH($C13,acm[[Country code]:[Country code]],0),MATCH(AQ$1,acm[#Headers],0)),0)</f>
        <v>2.2371298753324709E-2</v>
      </c>
      <c r="AR13" s="33">
        <f>IFERROR(INDEX(acm[],MATCH($C13,acm[[Country code]:[Country code]],0),MATCH(AR$1,acm[#Headers],0)),0)</f>
        <v>3.1664751710371884E-2</v>
      </c>
      <c r="AS13" s="33">
        <f>IFERROR(INDEX(acm[],MATCH($C13,acm[[Country code]:[Country code]],0),MATCH(AS$1,acm[#Headers],0)),0)</f>
        <v>4.5224866527438595E-2</v>
      </c>
      <c r="AT13" s="33">
        <f>IFERROR(INDEX(acm[],MATCH($C13,acm[[Country code]:[Country code]],0),MATCH(AT$1,acm[#Headers],0)),0)</f>
        <v>6.3852175373826578E-2</v>
      </c>
      <c r="AU13" s="33">
        <f>IFERROR(INDEX(acm[],MATCH($C13,acm[[Country code]:[Country code]],0),MATCH(AU$1,acm[#Headers],0)),0)</f>
        <v>8.4138014119133742E-2</v>
      </c>
      <c r="AV13" s="33">
        <f>IFERROR(INDEX(acm[],MATCH($C13,acm[[Country code]:[Country code]],0),MATCH(AV$1,acm[#Headers],0)),0)</f>
        <v>0.10757180391387827</v>
      </c>
      <c r="AW13" s="33">
        <f>IFERROR(INDEX(acm[],MATCH($C13,acm[[Country code]:[Country code]],0),MATCH(AW$1,acm[#Headers],0)),0)</f>
        <v>0.13047884280399449</v>
      </c>
      <c r="AX13" s="33">
        <f>IFERROR(VLOOKUP(lmic_raw[[#This Row],[num]],life_exp[[Country code]:[2015-2020]],2,FALSE),0)</f>
        <v>71.283000000000001</v>
      </c>
    </row>
    <row r="14" spans="1:50" x14ac:dyDescent="0.25">
      <c r="A14" s="82" t="s">
        <v>263</v>
      </c>
      <c r="B14" s="101" t="s">
        <v>385</v>
      </c>
      <c r="C14" s="102">
        <v>68</v>
      </c>
      <c r="D14" s="82" t="s">
        <v>679</v>
      </c>
      <c r="E14" s="82" t="s">
        <v>593</v>
      </c>
      <c r="F14" s="82" t="s">
        <v>665</v>
      </c>
      <c r="G14" s="82" t="s">
        <v>678</v>
      </c>
      <c r="H14" s="33">
        <f>VLOOKUP(lmic_raw[[#This Row],[num]],pop[[Country code]:[pop_20]],2,FALSE)*1000</f>
        <v>11513102</v>
      </c>
      <c r="I14" s="117">
        <f>IFERROR(VLOOKUP(lmic_raw[[#This Row],[num]],pop[[Country code]:[pop_20]],2,FALSE)*VLOOKUP(lmic_raw[[#This Row],[num]],b_rate[[Country code]:[2015-2020]],2,FALSE),0)</f>
        <v>251929.69796400002</v>
      </c>
      <c r="J14">
        <f>IFERROR(MIN(VLOOKUP(lmic_raw[[#This Row],[iso3]],fac_b[],4,FALSE)/100,0.9999),0)</f>
        <v>0.877</v>
      </c>
      <c r="K14" s="33">
        <f>VLOOKUP(lmic_raw[[#This Row],[iso3]],vax[[iso3]:[hbv3]],2,FALSE)/100</f>
        <v>0</v>
      </c>
      <c r="L14" s="33">
        <f>VLOOKUP(lmic_raw[[#This Row],[iso3]],vax[[iso3]:[hbv3]],3,FALSE)/100</f>
        <v>0.75</v>
      </c>
      <c r="M14">
        <f>IFERROR(VLOOKUP(lmic_raw[[#This Row],[iso3]], hbv_prev[[iso3]:[ub]],2,FALSE)/100,0)</f>
        <v>5.6999999999999993E-3</v>
      </c>
      <c r="N14">
        <f>IFERROR(VLOOKUP(lmic_raw[[#This Row],[setting]],hbe_prev[],3,FALSE),0)</f>
        <v>0.30395745525404161</v>
      </c>
      <c r="O14">
        <f>VLOOKUP(lmic_raw[[#This Row],[gbd_super]],hbe_risk[],2,FALSE)</f>
        <v>0.8</v>
      </c>
      <c r="P14" s="33">
        <f>VLOOKUP(lmic_raw[[#This Row],[gbd_super]],hbe_risk[],5,FALSE)</f>
        <v>0.17499999999999999</v>
      </c>
      <c r="Q14">
        <f>IFERROR(VLOOKUP(lmic_raw[[#This Row],[setting]],disease_costs!$A$4:$B$197,2,FALSE),0)</f>
        <v>5.0320742611147375</v>
      </c>
      <c r="R14">
        <f>IFERROR(VLOOKUP(lmic_raw[[#This Row],[gbd_super]],disease_costs!$G$4:$K$9,2,FALSE),0)</f>
        <v>86.883899999999997</v>
      </c>
      <c r="S14" s="33">
        <f>IFERROR(VLOOKUP(lmic_raw[[#This Row],[gbd_super]],disease_costs!$G$4:$K$9,3,FALSE),0)</f>
        <v>134.6259</v>
      </c>
      <c r="T14" s="33">
        <f>IFERROR(VLOOKUP(lmic_raw[[#This Row],[gbd_super]],disease_costs!$G$4:$K$9,4,FALSE),0)</f>
        <v>134.6259</v>
      </c>
      <c r="U14" s="33">
        <f>IFERROR(VLOOKUP(lmic_raw[[#This Row],[gbd_super]],disease_costs!$G$4:$K$9,5,FALSE),0)</f>
        <v>134.6259</v>
      </c>
      <c r="V14">
        <f>IFERROR(VLOOKUP(lmic_raw[[#This Row],[setting]],vcost[],3,FALSE),0)</f>
        <v>3.1784562544637951</v>
      </c>
      <c r="W14">
        <f>IFERROR(VLOOKUP(lmic_raw[[#This Row],[setting]],vcost[],4,FALSE),0)</f>
        <v>3.1984562544637951</v>
      </c>
      <c r="X14">
        <f>IFERROR(VLOOKUP(lmic_raw[[#This Row],[setting]],vcost[],5,FALSE),0)</f>
        <v>2.7385903858701584</v>
      </c>
      <c r="Y14">
        <f>IFERROR(VLOOKUP(lmic_raw[[#This Row],[setting]],vcost[],6,FALSE),0)</f>
        <v>2.7585903858701584</v>
      </c>
      <c r="Z14">
        <f>IFERROR(VLOOKUP(lmic_raw[[#This Row],[setting]],vcost[],7,FALSE),0)</f>
        <v>2.7491984157696296</v>
      </c>
      <c r="AA14">
        <f>IFERROR(VLOOKUP(lmic_raw[[#This Row],[setting]],vcost[],8,FALSE),0)</f>
        <v>3.4252385968661763</v>
      </c>
      <c r="AB14">
        <f>IFERROR(VLOOKUP(lmic_raw[[#This Row],[setting]],vcost[],9,FALSE),0)</f>
        <v>3.4452385968661763</v>
      </c>
      <c r="AC14" s="33">
        <f>IFERROR(INDEX(acm[],MATCH($C14,acm[[Country code]:[Country code]],0),MATCH(AC$1,acm[#Headers],0)),0)</f>
        <v>2.9709100000000033E-2</v>
      </c>
      <c r="AD14" s="33">
        <f>IFERROR(INDEX(acm[],MATCH($C14,acm[[Country code]:[Country code]],0),MATCH(AD$1,acm[#Headers],0)),0)</f>
        <v>4.897193717883979E-3</v>
      </c>
      <c r="AE14" s="33">
        <f>IFERROR(INDEX(acm[],MATCH($C14,acm[[Country code]:[Country code]],0),MATCH(AE$1,acm[#Headers],0)),0)</f>
        <v>1.3668198739663531E-3</v>
      </c>
      <c r="AF14" s="33">
        <f>IFERROR(INDEX(acm[],MATCH($C14,acm[[Country code]:[Country code]],0),MATCH(AF$1,acm[#Headers],0)),0)</f>
        <v>8.0145182980234653E-4</v>
      </c>
      <c r="AG14" s="33">
        <f>IFERROR(INDEX(acm[],MATCH($C14,acm[[Country code]:[Country code]],0),MATCH(AG$1,acm[#Headers],0)),0)</f>
        <v>1.5902899917005938E-3</v>
      </c>
      <c r="AH14" s="33">
        <f>IFERROR(INDEX(acm[],MATCH($C14,acm[[Country code]:[Country code]],0),MATCH(AH$1,acm[#Headers],0)),0)</f>
        <v>2.2167108166616686E-3</v>
      </c>
      <c r="AI14" s="33">
        <f>IFERROR(INDEX(acm[],MATCH($C14,acm[[Country code]:[Country code]],0),MATCH(AI$1,acm[#Headers],0)),0)</f>
        <v>2.3808256434544035E-3</v>
      </c>
      <c r="AJ14" s="33">
        <f>IFERROR(INDEX(acm[],MATCH($C14,acm[[Country code]:[Country code]],0),MATCH(AJ$1,acm[#Headers],0)),0)</f>
        <v>2.7017673416474927E-3</v>
      </c>
      <c r="AK14" s="33">
        <f>IFERROR(INDEX(acm[],MATCH($C14,acm[[Country code]:[Country code]],0),MATCH(AK$1,acm[#Headers],0)),0)</f>
        <v>3.4050648103696583E-3</v>
      </c>
      <c r="AL14" s="33">
        <f>IFERROR(INDEX(acm[],MATCH($C14,acm[[Country code]:[Country code]],0),MATCH(AL$1,acm[#Headers],0)),0)</f>
        <v>4.0223318978457098E-3</v>
      </c>
      <c r="AM14" s="33">
        <f>IFERROR(INDEX(acm[],MATCH($C14,acm[[Country code]:[Country code]],0),MATCH(AM$1,acm[#Headers],0)),0)</f>
        <v>5.4458134444849886E-3</v>
      </c>
      <c r="AN14" s="33">
        <f>IFERROR(INDEX(acm[],MATCH($C14,acm[[Country code]:[Country code]],0),MATCH(AN$1,acm[#Headers],0)),0)</f>
        <v>7.3660074965235349E-3</v>
      </c>
      <c r="AO14" s="33">
        <f>IFERROR(INDEX(acm[],MATCH($C14,acm[[Country code]:[Country code]],0),MATCH(AO$1,acm[#Headers],0)),0)</f>
        <v>1.0344997560068297E-2</v>
      </c>
      <c r="AP14" s="33">
        <f>IFERROR(INDEX(acm[],MATCH($C14,acm[[Country code]:[Country code]],0),MATCH(AP$1,acm[#Headers],0)),0)</f>
        <v>1.5273457306002375E-2</v>
      </c>
      <c r="AQ14" s="33">
        <f>IFERROR(INDEX(acm[],MATCH($C14,acm[[Country code]:[Country code]],0),MATCH(AQ$1,acm[#Headers],0)),0)</f>
        <v>2.021988914621773E-2</v>
      </c>
      <c r="AR14" s="33">
        <f>IFERROR(INDEX(acm[],MATCH($C14,acm[[Country code]:[Country code]],0),MATCH(AR$1,acm[#Headers],0)),0)</f>
        <v>2.6226459693234751E-2</v>
      </c>
      <c r="AS14" s="33">
        <f>IFERROR(INDEX(acm[],MATCH($C14,acm[[Country code]:[Country code]],0),MATCH(AS$1,acm[#Headers],0)),0)</f>
        <v>3.7707929298066836E-2</v>
      </c>
      <c r="AT14" s="33">
        <f>IFERROR(INDEX(acm[],MATCH($C14,acm[[Country code]:[Country code]],0),MATCH(AT$1,acm[#Headers],0)),0)</f>
        <v>5.3415839354835411E-2</v>
      </c>
      <c r="AU14" s="33">
        <f>IFERROR(INDEX(acm[],MATCH($C14,acm[[Country code]:[Country code]],0),MATCH(AU$1,acm[#Headers],0)),0)</f>
        <v>7.5058941457281939E-2</v>
      </c>
      <c r="AV14" s="33">
        <f>IFERROR(INDEX(acm[],MATCH($C14,acm[[Country code]:[Country code]],0),MATCH(AV$1,acm[#Headers],0)),0)</f>
        <v>0.10012328168132084</v>
      </c>
      <c r="AW14" s="33">
        <f>IFERROR(INDEX(acm[],MATCH($C14,acm[[Country code]:[Country code]],0),MATCH(AW$1,acm[#Headers],0)),0)</f>
        <v>0.12450695537268339</v>
      </c>
      <c r="AX14" s="33">
        <f>IFERROR(VLOOKUP(lmic_raw[[#This Row],[num]],life_exp[[Country code]:[2015-2020]],2,FALSE),0)</f>
        <v>71.081999999999994</v>
      </c>
    </row>
    <row r="15" spans="1:50" x14ac:dyDescent="0.25">
      <c r="A15" s="110" t="s">
        <v>334</v>
      </c>
      <c r="B15" s="104" t="s">
        <v>386</v>
      </c>
      <c r="C15" s="105">
        <v>70</v>
      </c>
      <c r="D15" s="84" t="s">
        <v>675</v>
      </c>
      <c r="E15" s="84" t="s">
        <v>580</v>
      </c>
      <c r="F15" s="84" t="s">
        <v>663</v>
      </c>
      <c r="G15" s="84" t="s">
        <v>676</v>
      </c>
      <c r="H15" s="33">
        <f>VLOOKUP(lmic_raw[[#This Row],[num]],pop[[Country code]:[pop_20]],2,FALSE)*1000</f>
        <v>3300998</v>
      </c>
      <c r="I15" s="117">
        <f>IFERROR(VLOOKUP(lmic_raw[[#This Row],[num]],pop[[Country code]:[pop_20]],2,FALSE)*VLOOKUP(lmic_raw[[#This Row],[num]],b_rate[[Country code]:[2015-2020]],2,FALSE),0)</f>
        <v>27048.377612000004</v>
      </c>
      <c r="J15">
        <f>IFERROR(MIN(VLOOKUP(lmic_raw[[#This Row],[iso3]],fac_b[],4,FALSE)/100,0.9999),0)</f>
        <v>0.997</v>
      </c>
      <c r="K15" s="33">
        <f>VLOOKUP(lmic_raw[[#This Row],[iso3]],vax[[iso3]:[hbv3]],2,FALSE)/100</f>
        <v>0</v>
      </c>
      <c r="L15" s="33">
        <f>VLOOKUP(lmic_raw[[#This Row],[iso3]],vax[[iso3]:[hbv3]],3,FALSE)/100</f>
        <v>0.8</v>
      </c>
      <c r="M15">
        <f>IFERROR(VLOOKUP(lmic_raw[[#This Row],[iso3]], hbv_prev[[iso3]:[ub]],2,FALSE)/100,0)</f>
        <v>2.2000000000000002E-2</v>
      </c>
      <c r="N15">
        <f>IFERROR(VLOOKUP(lmic_raw[[#This Row],[setting]],hbe_prev[],3,FALSE),0)</f>
        <v>0.28477767915605673</v>
      </c>
      <c r="O15">
        <f>VLOOKUP(lmic_raw[[#This Row],[gbd_super]],hbe_risk[],2,FALSE)</f>
        <v>0.8</v>
      </c>
      <c r="P15" s="33">
        <f>VLOOKUP(lmic_raw[[#This Row],[gbd_super]],hbe_risk[],5,FALSE)</f>
        <v>0.17499999999999999</v>
      </c>
      <c r="Q15">
        <f>IFERROR(VLOOKUP(lmic_raw[[#This Row],[setting]],disease_costs!$A$4:$B$197,2,FALSE),0)</f>
        <v>9.020075114108586</v>
      </c>
      <c r="R15">
        <f>IFERROR(VLOOKUP(lmic_raw[[#This Row],[gbd_super]],disease_costs!$G$4:$K$9,2,FALSE),0)</f>
        <v>44.537400000000005</v>
      </c>
      <c r="S15" s="33">
        <f>IFERROR(VLOOKUP(lmic_raw[[#This Row],[gbd_super]],disease_costs!$G$4:$K$9,3,FALSE),0)</f>
        <v>92.27940000000001</v>
      </c>
      <c r="T15" s="33">
        <f>IFERROR(VLOOKUP(lmic_raw[[#This Row],[gbd_super]],disease_costs!$G$4:$K$9,4,FALSE),0)</f>
        <v>92.27940000000001</v>
      </c>
      <c r="U15" s="33">
        <f>IFERROR(VLOOKUP(lmic_raw[[#This Row],[gbd_super]],disease_costs!$G$4:$K$9,5,FALSE),0)</f>
        <v>92.27940000000001</v>
      </c>
      <c r="V15">
        <f>IFERROR(VLOOKUP(lmic_raw[[#This Row],[setting]],vcost[],3,FALSE),0)</f>
        <v>3.4715119003091011</v>
      </c>
      <c r="W15">
        <f>IFERROR(VLOOKUP(lmic_raw[[#This Row],[setting]],vcost[],4,FALSE),0)</f>
        <v>7.5415119003091018</v>
      </c>
      <c r="X15">
        <f>IFERROR(VLOOKUP(lmic_raw[[#This Row],[setting]],vcost[],5,FALSE),0)</f>
        <v>3.0346424172543758</v>
      </c>
      <c r="Y15">
        <f>IFERROR(VLOOKUP(lmic_raw[[#This Row],[setting]],vcost[],6,FALSE),0)</f>
        <v>7.1046424172543761</v>
      </c>
      <c r="Z15">
        <f>IFERROR(VLOOKUP(lmic_raw[[#This Row],[setting]],vcost[],7,FALSE),0)</f>
        <v>7.0972135934683083</v>
      </c>
      <c r="AA15">
        <f>IFERROR(VLOOKUP(lmic_raw[[#This Row],[setting]],vcost[],8,FALSE),0)</f>
        <v>3.7172141502497817</v>
      </c>
      <c r="AB15">
        <f>IFERROR(VLOOKUP(lmic_raw[[#This Row],[setting]],vcost[],9,FALSE),0)</f>
        <v>7.787214150249782</v>
      </c>
      <c r="AC15" s="33">
        <f>IFERROR(INDEX(acm[],MATCH($C15,acm[[Country code]:[Country code]],0),MATCH(AC$1,acm[#Headers],0)),0)</f>
        <v>6.0063199999999782E-3</v>
      </c>
      <c r="AD15" s="33">
        <f>IFERROR(INDEX(acm[],MATCH($C15,acm[[Country code]:[Country code]],0),MATCH(AD$1,acm[#Headers],0)),0)</f>
        <v>1.9382668509522699E-4</v>
      </c>
      <c r="AE15" s="33">
        <f>IFERROR(INDEX(acm[],MATCH($C15,acm[[Country code]:[Country code]],0),MATCH(AE$1,acm[#Headers],0)),0)</f>
        <v>7.8816134579568219E-5</v>
      </c>
      <c r="AF15" s="33">
        <f>IFERROR(INDEX(acm[],MATCH($C15,acm[[Country code]:[Country code]],0),MATCH(AF$1,acm[#Headers],0)),0)</f>
        <v>1.4236250855910915E-4</v>
      </c>
      <c r="AG15" s="33">
        <f>IFERROR(INDEX(acm[],MATCH($C15,acm[[Country code]:[Country code]],0),MATCH(AG$1,acm[#Headers],0)),0)</f>
        <v>2.3216834662481817E-4</v>
      </c>
      <c r="AH15" s="33">
        <f>IFERROR(INDEX(acm[],MATCH($C15,acm[[Country code]:[Country code]],0),MATCH(AH$1,acm[#Headers],0)),0)</f>
        <v>3.5394296885179403E-4</v>
      </c>
      <c r="AI15" s="33">
        <f>IFERROR(INDEX(acm[],MATCH($C15,acm[[Country code]:[Country code]],0),MATCH(AI$1,acm[#Headers],0)),0)</f>
        <v>4.1900509701857375E-4</v>
      </c>
      <c r="AJ15" s="33">
        <f>IFERROR(INDEX(acm[],MATCH($C15,acm[[Country code]:[Country code]],0),MATCH(AJ$1,acm[#Headers],0)),0)</f>
        <v>6.3276490838450202E-4</v>
      </c>
      <c r="AK15" s="33">
        <f>IFERROR(INDEX(acm[],MATCH($C15,acm[[Country code]:[Country code]],0),MATCH(AK$1,acm[#Headers],0)),0)</f>
        <v>8.7107643029025658E-4</v>
      </c>
      <c r="AL15" s="33">
        <f>IFERROR(INDEX(acm[],MATCH($C15,acm[[Country code]:[Country code]],0),MATCH(AL$1,acm[#Headers],0)),0)</f>
        <v>1.4272141124412998E-3</v>
      </c>
      <c r="AM15" s="33">
        <f>IFERROR(INDEX(acm[],MATCH($C15,acm[[Country code]:[Country code]],0),MATCH(AM$1,acm[#Headers],0)),0)</f>
        <v>2.5831558042264573E-3</v>
      </c>
      <c r="AN15" s="33">
        <f>IFERROR(INDEX(acm[],MATCH($C15,acm[[Country code]:[Country code]],0),MATCH(AN$1,acm[#Headers],0)),0)</f>
        <v>4.5597254547808585E-3</v>
      </c>
      <c r="AO15" s="33">
        <f>IFERROR(INDEX(acm[],MATCH($C15,acm[[Country code]:[Country code]],0),MATCH(AO$1,acm[#Headers],0)),0)</f>
        <v>7.2805632907693195E-3</v>
      </c>
      <c r="AP15" s="33">
        <f>IFERROR(INDEX(acm[],MATCH($C15,acm[[Country code]:[Country code]],0),MATCH(AP$1,acm[#Headers],0)),0)</f>
        <v>1.1803545063804526E-2</v>
      </c>
      <c r="AQ15" s="33">
        <f>IFERROR(INDEX(acm[],MATCH($C15,acm[[Country code]:[Country code]],0),MATCH(AQ$1,acm[#Headers],0)),0)</f>
        <v>1.8687882479733471E-2</v>
      </c>
      <c r="AR15" s="33">
        <f>IFERROR(INDEX(acm[],MATCH($C15,acm[[Country code]:[Country code]],0),MATCH(AR$1,acm[#Headers],0)),0)</f>
        <v>3.0730713953492684E-2</v>
      </c>
      <c r="AS15" s="33">
        <f>IFERROR(INDEX(acm[],MATCH($C15,acm[[Country code]:[Country code]],0),MATCH(AS$1,acm[#Headers],0)),0)</f>
        <v>5.0403647743064516E-2</v>
      </c>
      <c r="AT15" s="33">
        <f>IFERROR(INDEX(acm[],MATCH($C15,acm[[Country code]:[Country code]],0),MATCH(AT$1,acm[#Headers],0)),0)</f>
        <v>7.5853994123620261E-2</v>
      </c>
      <c r="AU15" s="33">
        <f>IFERROR(INDEX(acm[],MATCH($C15,acm[[Country code]:[Country code]],0),MATCH(AU$1,acm[#Headers],0)),0)</f>
        <v>0.1080398902564598</v>
      </c>
      <c r="AV15" s="33">
        <f>IFERROR(INDEX(acm[],MATCH($C15,acm[[Country code]:[Country code]],0),MATCH(AV$1,acm[#Headers],0)),0)</f>
        <v>0.14120156540971807</v>
      </c>
      <c r="AW15" s="33">
        <f>IFERROR(INDEX(acm[],MATCH($C15,acm[[Country code]:[Country code]],0),MATCH(AW$1,acm[#Headers],0)),0)</f>
        <v>0.1682036960272317</v>
      </c>
      <c r="AX15" s="33">
        <f>IFERROR(VLOOKUP(lmic_raw[[#This Row],[num]],life_exp[[Country code]:[2015-2020]],2,FALSE),0)</f>
        <v>77.176000000000002</v>
      </c>
    </row>
    <row r="16" spans="1:50" x14ac:dyDescent="0.25">
      <c r="A16" s="109" t="s">
        <v>132</v>
      </c>
      <c r="B16" s="101" t="s">
        <v>387</v>
      </c>
      <c r="C16" s="102">
        <v>72</v>
      </c>
      <c r="D16" s="82" t="s">
        <v>677</v>
      </c>
      <c r="E16" s="82" t="s">
        <v>594</v>
      </c>
      <c r="F16" s="82" t="s">
        <v>667</v>
      </c>
      <c r="G16" s="82" t="s">
        <v>676</v>
      </c>
      <c r="H16" s="33">
        <f>VLOOKUP(lmic_raw[[#This Row],[num]],pop[[Country code]:[pop_20]],2,FALSE)*1000</f>
        <v>2303703</v>
      </c>
      <c r="I16" s="117">
        <f>IFERROR(VLOOKUP(lmic_raw[[#This Row],[num]],pop[[Country code]:[pop_20]],2,FALSE)*VLOOKUP(lmic_raw[[#This Row],[num]],b_rate[[Country code]:[2015-2020]],2,FALSE),0)</f>
        <v>57852.893438999999</v>
      </c>
      <c r="J16">
        <f>IFERROR(MIN(VLOOKUP(lmic_raw[[#This Row],[iso3]],fac_b[],4,FALSE)/100,0.9999),0)</f>
        <v>0.997</v>
      </c>
      <c r="K16" s="33">
        <f>VLOOKUP(lmic_raw[[#This Row],[iso3]],vax[[iso3]:[hbv3]],2,FALSE)/100</f>
        <v>0</v>
      </c>
      <c r="L16" s="33">
        <f>VLOOKUP(lmic_raw[[#This Row],[iso3]],vax[[iso3]:[hbv3]],3,FALSE)/100</f>
        <v>0.95</v>
      </c>
      <c r="M16">
        <f>IFERROR(VLOOKUP(lmic_raw[[#This Row],[iso3]], hbv_prev[[iso3]:[ub]],2,FALSE)/100,0)</f>
        <v>1.34E-2</v>
      </c>
      <c r="N16">
        <f>IFERROR(VLOOKUP(lmic_raw[[#This Row],[setting]],hbe_prev[],3,FALSE),0)</f>
        <v>0.25755155919454675</v>
      </c>
      <c r="O16">
        <f>VLOOKUP(lmic_raw[[#This Row],[gbd_super]],hbe_risk[],2,FALSE)</f>
        <v>0.38300000000000001</v>
      </c>
      <c r="P16" s="33">
        <f>VLOOKUP(lmic_raw[[#This Row],[gbd_super]],hbe_risk[],5,FALSE)</f>
        <v>4.8000000000000001E-2</v>
      </c>
      <c r="Q16">
        <f>IFERROR(VLOOKUP(lmic_raw[[#This Row],[setting]],disease_costs!$A$4:$B$197,2,FALSE),0)</f>
        <v>14.016945230508615</v>
      </c>
      <c r="R16">
        <f>IFERROR(VLOOKUP(lmic_raw[[#This Row],[gbd_super]],disease_costs!$G$4:$K$9,2,FALSE),0)</f>
        <v>29.920500000000001</v>
      </c>
      <c r="S16" s="33">
        <f>IFERROR(VLOOKUP(lmic_raw[[#This Row],[gbd_super]],disease_costs!$G$4:$K$9,3,FALSE),0)</f>
        <v>77.662500000000009</v>
      </c>
      <c r="T16" s="33">
        <f>IFERROR(VLOOKUP(lmic_raw[[#This Row],[gbd_super]],disease_costs!$G$4:$K$9,4,FALSE),0)</f>
        <v>77.662500000000009</v>
      </c>
      <c r="U16" s="33">
        <f>IFERROR(VLOOKUP(lmic_raw[[#This Row],[gbd_super]],disease_costs!$G$4:$K$9,5,FALSE),0)</f>
        <v>77.662500000000009</v>
      </c>
      <c r="V16">
        <f>IFERROR(VLOOKUP(lmic_raw[[#This Row],[setting]],vcost[],3,FALSE),0)</f>
        <v>7.4871958098798705</v>
      </c>
      <c r="W16">
        <f>IFERROR(VLOOKUP(lmic_raw[[#This Row],[setting]],vcost[],4,FALSE),0)</f>
        <v>12.31719580987987</v>
      </c>
      <c r="X16">
        <f>IFERROR(VLOOKUP(lmic_raw[[#This Row],[setting]],vcost[],5,FALSE),0)</f>
        <v>7.0455570908801688</v>
      </c>
      <c r="Y16">
        <f>IFERROR(VLOOKUP(lmic_raw[[#This Row],[setting]],vcost[],6,FALSE),0)</f>
        <v>11.875557090880168</v>
      </c>
      <c r="Z16">
        <f>IFERROR(VLOOKUP(lmic_raw[[#This Row],[setting]],vcost[],7,FALSE),0)</f>
        <v>11.86673856370226</v>
      </c>
      <c r="AA16">
        <f>IFERROR(VLOOKUP(lmic_raw[[#This Row],[setting]],vcost[],8,FALSE),0)</f>
        <v>7.7346172030100186</v>
      </c>
      <c r="AB16">
        <f>IFERROR(VLOOKUP(lmic_raw[[#This Row],[setting]],vcost[],9,FALSE),0)</f>
        <v>12.56461720301002</v>
      </c>
      <c r="AC16" s="33">
        <f>IFERROR(INDEX(acm[],MATCH($C16,acm[[Country code]:[Country code]],0),MATCH(AC$1,acm[#Headers],0)),0)</f>
        <v>3.0160739999999932E-2</v>
      </c>
      <c r="AD16" s="33">
        <f>IFERROR(INDEX(acm[],MATCH($C16,acm[[Country code]:[Country code]],0),MATCH(AD$1,acm[#Headers],0)),0)</f>
        <v>2.0156072048475504E-3</v>
      </c>
      <c r="AE16" s="33">
        <f>IFERROR(INDEX(acm[],MATCH($C16,acm[[Country code]:[Country code]],0),MATCH(AE$1,acm[#Headers],0)),0)</f>
        <v>5.2198706887591855E-4</v>
      </c>
      <c r="AF16" s="33">
        <f>IFERROR(INDEX(acm[],MATCH($C16,acm[[Country code]:[Country code]],0),MATCH(AF$1,acm[#Headers],0)),0)</f>
        <v>4.3840538932199332E-4</v>
      </c>
      <c r="AG16" s="33">
        <f>IFERROR(INDEX(acm[],MATCH($C16,acm[[Country code]:[Country code]],0),MATCH(AG$1,acm[#Headers],0)),0)</f>
        <v>7.8506094886064942E-4</v>
      </c>
      <c r="AH16" s="33">
        <f>IFERROR(INDEX(acm[],MATCH($C16,acm[[Country code]:[Country code]],0),MATCH(AH$1,acm[#Headers],0)),0)</f>
        <v>1.3829633814185711E-3</v>
      </c>
      <c r="AI16" s="33">
        <f>IFERROR(INDEX(acm[],MATCH($C16,acm[[Country code]:[Country code]],0),MATCH(AI$1,acm[#Headers],0)),0)</f>
        <v>2.2022662689883169E-3</v>
      </c>
      <c r="AJ16" s="33">
        <f>IFERROR(INDEX(acm[],MATCH($C16,acm[[Country code]:[Country code]],0),MATCH(AJ$1,acm[#Headers],0)),0)</f>
        <v>3.1381645842773185E-3</v>
      </c>
      <c r="AK16" s="33">
        <f>IFERROR(INDEX(acm[],MATCH($C16,acm[[Country code]:[Country code]],0),MATCH(AK$1,acm[#Headers],0)),0)</f>
        <v>4.5169997243930081E-3</v>
      </c>
      <c r="AL16" s="33">
        <f>IFERROR(INDEX(acm[],MATCH($C16,acm[[Country code]:[Country code]],0),MATCH(AL$1,acm[#Headers],0)),0)</f>
        <v>5.6268078527099679E-3</v>
      </c>
      <c r="AM16" s="33">
        <f>IFERROR(INDEX(acm[],MATCH($C16,acm[[Country code]:[Country code]],0),MATCH(AM$1,acm[#Headers],0)),0)</f>
        <v>7.0094243114026374E-3</v>
      </c>
      <c r="AN16" s="33">
        <f>IFERROR(INDEX(acm[],MATCH($C16,acm[[Country code]:[Country code]],0),MATCH(AN$1,acm[#Headers],0)),0)</f>
        <v>8.962636173207186E-3</v>
      </c>
      <c r="AO16" s="33">
        <f>IFERROR(INDEX(acm[],MATCH($C16,acm[[Country code]:[Country code]],0),MATCH(AO$1,acm[#Headers],0)),0)</f>
        <v>1.1197285644061732E-2</v>
      </c>
      <c r="AP16" s="33">
        <f>IFERROR(INDEX(acm[],MATCH($C16,acm[[Country code]:[Country code]],0),MATCH(AP$1,acm[#Headers],0)),0)</f>
        <v>1.5649063132168003E-2</v>
      </c>
      <c r="AQ16" s="33">
        <f>IFERROR(INDEX(acm[],MATCH($C16,acm[[Country code]:[Country code]],0),MATCH(AQ$1,acm[#Headers],0)),0)</f>
        <v>2.3495641099233546E-2</v>
      </c>
      <c r="AR16" s="33">
        <f>IFERROR(INDEX(acm[],MATCH($C16,acm[[Country code]:[Country code]],0),MATCH(AR$1,acm[#Headers],0)),0)</f>
        <v>3.5985853599522818E-2</v>
      </c>
      <c r="AS16" s="33">
        <f>IFERROR(INDEX(acm[],MATCH($C16,acm[[Country code]:[Country code]],0),MATCH(AS$1,acm[#Headers],0)),0)</f>
        <v>5.4975598922963879E-2</v>
      </c>
      <c r="AT16" s="33">
        <f>IFERROR(INDEX(acm[],MATCH($C16,acm[[Country code]:[Country code]],0),MATCH(AT$1,acm[#Headers],0)),0)</f>
        <v>8.5568510513363741E-2</v>
      </c>
      <c r="AU16" s="33">
        <f>IFERROR(INDEX(acm[],MATCH($C16,acm[[Country code]:[Country code]],0),MATCH(AU$1,acm[#Headers],0)),0)</f>
        <v>0.12580420791353883</v>
      </c>
      <c r="AV16" s="33">
        <f>IFERROR(INDEX(acm[],MATCH($C16,acm[[Country code]:[Country code]],0),MATCH(AV$1,acm[#Headers],0)),0)</f>
        <v>0.16400218688819299</v>
      </c>
      <c r="AW16" s="33">
        <f>IFERROR(INDEX(acm[],MATCH($C16,acm[[Country code]:[Country code]],0),MATCH(AW$1,acm[#Headers],0)),0)</f>
        <v>0.18242030187253114</v>
      </c>
      <c r="AX16" s="33">
        <f>IFERROR(VLOOKUP(lmic_raw[[#This Row],[num]],life_exp[[Country code]:[2015-2020]],2,FALSE),0)</f>
        <v>69.094999999999999</v>
      </c>
    </row>
    <row r="17" spans="1:50" x14ac:dyDescent="0.25">
      <c r="A17" s="110" t="s">
        <v>264</v>
      </c>
      <c r="B17" s="104" t="s">
        <v>388</v>
      </c>
      <c r="C17" s="105">
        <v>76</v>
      </c>
      <c r="D17" s="84" t="s">
        <v>679</v>
      </c>
      <c r="E17" s="84" t="s">
        <v>595</v>
      </c>
      <c r="F17" s="84" t="s">
        <v>665</v>
      </c>
      <c r="G17" s="84" t="s">
        <v>676</v>
      </c>
      <c r="H17" s="33">
        <f>VLOOKUP(lmic_raw[[#This Row],[num]],pop[[Country code]:[pop_20]],2,FALSE)*1000</f>
        <v>211049519</v>
      </c>
      <c r="I17" s="117">
        <f>IFERROR(VLOOKUP(lmic_raw[[#This Row],[num]],pop[[Country code]:[pop_20]],2,FALSE)*VLOOKUP(lmic_raw[[#This Row],[num]],b_rate[[Country code]:[2015-2020]],2,FALSE),0)</f>
        <v>2970099.8808869999</v>
      </c>
      <c r="J17">
        <f>IFERROR(MIN(VLOOKUP(lmic_raw[[#This Row],[iso3]],fac_b[],4,FALSE)/100,0.9999),0)</f>
        <v>0.99099999999999999</v>
      </c>
      <c r="K17" s="33">
        <f>VLOOKUP(lmic_raw[[#This Row],[iso3]],vax[[iso3]:[hbv3]],2,FALSE)/100</f>
        <v>0.78</v>
      </c>
      <c r="L17" s="33">
        <f>VLOOKUP(lmic_raw[[#This Row],[iso3]],vax[[iso3]:[hbv3]],3,FALSE)/100</f>
        <v>0.8</v>
      </c>
      <c r="M17">
        <f>IFERROR(VLOOKUP(lmic_raw[[#This Row],[iso3]], hbv_prev[[iso3]:[ub]],2,FALSE)/100,0)</f>
        <v>5.4000000000000003E-3</v>
      </c>
      <c r="N17">
        <f>IFERROR(VLOOKUP(lmic_raw[[#This Row],[setting]],hbe_prev[],3,FALSE),0)</f>
        <v>0.30724885463432083</v>
      </c>
      <c r="O17">
        <f>VLOOKUP(lmic_raw[[#This Row],[gbd_super]],hbe_risk[],2,FALSE)</f>
        <v>0.8</v>
      </c>
      <c r="P17" s="33">
        <f>VLOOKUP(lmic_raw[[#This Row],[gbd_super]],hbe_risk[],5,FALSE)</f>
        <v>0.17499999999999999</v>
      </c>
      <c r="Q17">
        <f>IFERROR(VLOOKUP(lmic_raw[[#This Row],[setting]],disease_costs!$A$4:$B$197,2,FALSE),0)</f>
        <v>4.8540385087489408</v>
      </c>
      <c r="R17">
        <f>IFERROR(VLOOKUP(lmic_raw[[#This Row],[gbd_super]],disease_costs!$G$4:$K$9,2,FALSE),0)</f>
        <v>86.883899999999997</v>
      </c>
      <c r="S17" s="33">
        <f>IFERROR(VLOOKUP(lmic_raw[[#This Row],[gbd_super]],disease_costs!$G$4:$K$9,3,FALSE),0)</f>
        <v>134.6259</v>
      </c>
      <c r="T17" s="33">
        <f>IFERROR(VLOOKUP(lmic_raw[[#This Row],[gbd_super]],disease_costs!$G$4:$K$9,4,FALSE),0)</f>
        <v>134.6259</v>
      </c>
      <c r="U17" s="33">
        <f>IFERROR(VLOOKUP(lmic_raw[[#This Row],[gbd_super]],disease_costs!$G$4:$K$9,5,FALSE),0)</f>
        <v>134.6259</v>
      </c>
      <c r="V17">
        <f>IFERROR(VLOOKUP(lmic_raw[[#This Row],[setting]],vcost[],3,FALSE),0)</f>
        <v>2.445388209958737</v>
      </c>
      <c r="W17">
        <f>IFERROR(VLOOKUP(lmic_raw[[#This Row],[setting]],vcost[],4,FALSE),0)</f>
        <v>2.465388209958737</v>
      </c>
      <c r="X17">
        <f>IFERROR(VLOOKUP(lmic_raw[[#This Row],[setting]],vcost[],5,FALSE),0)</f>
        <v>2.0009930316579085</v>
      </c>
      <c r="Y17">
        <f>IFERROR(VLOOKUP(lmic_raw[[#This Row],[setting]],vcost[],6,FALSE),0)</f>
        <v>2.0209930316579086</v>
      </c>
      <c r="Z17">
        <f>IFERROR(VLOOKUP(lmic_raw[[#This Row],[setting]],vcost[],7,FALSE),0)</f>
        <v>2.0108910185845228</v>
      </c>
      <c r="AA17">
        <f>IFERROR(VLOOKUP(lmic_raw[[#This Row],[setting]],vcost[],8,FALSE),0)</f>
        <v>2.6938032105113843</v>
      </c>
      <c r="AB17">
        <f>IFERROR(VLOOKUP(lmic_raw[[#This Row],[setting]],vcost[],9,FALSE),0)</f>
        <v>2.7138032105113843</v>
      </c>
      <c r="AC17" s="33">
        <f>IFERROR(INDEX(acm[],MATCH($C17,acm[[Country code]:[Country code]],0),MATCH(AC$1,acm[#Headers],0)),0)</f>
        <v>1.3017090000000026E-2</v>
      </c>
      <c r="AD17" s="33">
        <f>IFERROR(INDEX(acm[],MATCH($C17,acm[[Country code]:[Country code]],0),MATCH(AD$1,acm[#Headers],0)),0)</f>
        <v>5.6547331706076689E-4</v>
      </c>
      <c r="AE17" s="33">
        <f>IFERROR(INDEX(acm[],MATCH($C17,acm[[Country code]:[Country code]],0),MATCH(AE$1,acm[#Headers],0)),0)</f>
        <v>2.2605523840020086E-4</v>
      </c>
      <c r="AF17" s="33">
        <f>IFERROR(INDEX(acm[],MATCH($C17,acm[[Country code]:[Country code]],0),MATCH(AF$1,acm[#Headers],0)),0)</f>
        <v>3.1057988826817137E-4</v>
      </c>
      <c r="AG17" s="33">
        <f>IFERROR(INDEX(acm[],MATCH($C17,acm[[Country code]:[Country code]],0),MATCH(AG$1,acm[#Headers],0)),0)</f>
        <v>1.0834225044440882E-3</v>
      </c>
      <c r="AH17" s="33">
        <f>IFERROR(INDEX(acm[],MATCH($C17,acm[[Country code]:[Country code]],0),MATCH(AH$1,acm[#Headers],0)),0)</f>
        <v>1.646481274941336E-3</v>
      </c>
      <c r="AI17" s="33">
        <f>IFERROR(INDEX(acm[],MATCH($C17,acm[[Country code]:[Country code]],0),MATCH(AI$1,acm[#Headers],0)),0)</f>
        <v>1.5739236317706482E-3</v>
      </c>
      <c r="AJ17" s="33">
        <f>IFERROR(INDEX(acm[],MATCH($C17,acm[[Country code]:[Country code]],0),MATCH(AJ$1,acm[#Headers],0)),0)</f>
        <v>1.8152815796892621E-3</v>
      </c>
      <c r="AK17" s="33">
        <f>IFERROR(INDEX(acm[],MATCH($C17,acm[[Country code]:[Country code]],0),MATCH(AK$1,acm[#Headers],0)),0)</f>
        <v>2.2928846495734894E-3</v>
      </c>
      <c r="AL17" s="33">
        <f>IFERROR(INDEX(acm[],MATCH($C17,acm[[Country code]:[Country code]],0),MATCH(AL$1,acm[#Headers],0)),0)</f>
        <v>2.9492000185282218E-3</v>
      </c>
      <c r="AM17" s="33">
        <f>IFERROR(INDEX(acm[],MATCH($C17,acm[[Country code]:[Country code]],0),MATCH(AM$1,acm[#Headers],0)),0)</f>
        <v>4.254119071000209E-3</v>
      </c>
      <c r="AN17" s="33">
        <f>IFERROR(INDEX(acm[],MATCH($C17,acm[[Country code]:[Country code]],0),MATCH(AN$1,acm[#Headers],0)),0)</f>
        <v>6.0649824775330236E-3</v>
      </c>
      <c r="AO17" s="33">
        <f>IFERROR(INDEX(acm[],MATCH($C17,acm[[Country code]:[Country code]],0),MATCH(AO$1,acm[#Headers],0)),0)</f>
        <v>8.5723717159903456E-3</v>
      </c>
      <c r="AP17" s="33">
        <f>IFERROR(INDEX(acm[],MATCH($C17,acm[[Country code]:[Country code]],0),MATCH(AP$1,acm[#Headers],0)),0)</f>
        <v>1.2759457491334723E-2</v>
      </c>
      <c r="AQ17" s="33">
        <f>IFERROR(INDEX(acm[],MATCH($C17,acm[[Country code]:[Country code]],0),MATCH(AQ$1,acm[#Headers],0)),0)</f>
        <v>1.8896658395500792E-2</v>
      </c>
      <c r="AR17" s="33">
        <f>IFERROR(INDEX(acm[],MATCH($C17,acm[[Country code]:[Country code]],0),MATCH(AR$1,acm[#Headers],0)),0)</f>
        <v>2.6861635507597945E-2</v>
      </c>
      <c r="AS17" s="33">
        <f>IFERROR(INDEX(acm[],MATCH($C17,acm[[Country code]:[Country code]],0),MATCH(AS$1,acm[#Headers],0)),0)</f>
        <v>4.0189189323367715E-2</v>
      </c>
      <c r="AT17" s="33">
        <f>IFERROR(INDEX(acm[],MATCH($C17,acm[[Country code]:[Country code]],0),MATCH(AT$1,acm[#Headers],0)),0)</f>
        <v>5.8274971982341994E-2</v>
      </c>
      <c r="AU17" s="33">
        <f>IFERROR(INDEX(acm[],MATCH($C17,acm[[Country code]:[Country code]],0),MATCH(AU$1,acm[#Headers],0)),0)</f>
        <v>8.0933496732912821E-2</v>
      </c>
      <c r="AV17" s="33">
        <f>IFERROR(INDEX(acm[],MATCH($C17,acm[[Country code]:[Country code]],0),MATCH(AV$1,acm[#Headers],0)),0)</f>
        <v>0.10629084029109252</v>
      </c>
      <c r="AW17" s="33">
        <f>IFERROR(INDEX(acm[],MATCH($C17,acm[[Country code]:[Country code]],0),MATCH(AW$1,acm[#Headers],0)),0)</f>
        <v>0.1376155916216682</v>
      </c>
      <c r="AX17" s="33">
        <f>IFERROR(VLOOKUP(lmic_raw[[#This Row],[num]],life_exp[[Country code]:[2015-2020]],2,FALSE),0)</f>
        <v>75.561000000000007</v>
      </c>
    </row>
    <row r="18" spans="1:50" x14ac:dyDescent="0.25">
      <c r="A18" s="109" t="s">
        <v>308</v>
      </c>
      <c r="B18" s="101" t="s">
        <v>390</v>
      </c>
      <c r="C18" s="102">
        <v>100</v>
      </c>
      <c r="D18" s="82" t="s">
        <v>675</v>
      </c>
      <c r="E18" s="82" t="s">
        <v>580</v>
      </c>
      <c r="F18" s="82" t="s">
        <v>663</v>
      </c>
      <c r="G18" s="82" t="s">
        <v>676</v>
      </c>
      <c r="H18" s="33">
        <f>VLOOKUP(lmic_raw[[#This Row],[num]],pop[[Country code]:[pop_20]],2,FALSE)*1000</f>
        <v>7000117</v>
      </c>
      <c r="I18" s="117">
        <f>IFERROR(VLOOKUP(lmic_raw[[#This Row],[num]],pop[[Country code]:[pop_20]],2,FALSE)*VLOOKUP(lmic_raw[[#This Row],[num]],b_rate[[Country code]:[2015-2020]],2,FALSE),0)</f>
        <v>62693.047851999996</v>
      </c>
      <c r="J18">
        <f>IFERROR(MIN(VLOOKUP(lmic_raw[[#This Row],[iso3]],fac_b[],4,FALSE)/100,0.9999),0)</f>
        <v>0.997</v>
      </c>
      <c r="K18" s="33">
        <f>VLOOKUP(lmic_raw[[#This Row],[iso3]],vax[[iso3]:[hbv3]],2,FALSE)/100</f>
        <v>0.96</v>
      </c>
      <c r="L18" s="33">
        <f>VLOOKUP(lmic_raw[[#This Row],[iso3]],vax[[iso3]:[hbv3]],3,FALSE)/100</f>
        <v>0.85</v>
      </c>
      <c r="M18">
        <f>IFERROR(VLOOKUP(lmic_raw[[#This Row],[iso3]], hbv_prev[[iso3]:[ub]],2,FALSE)/100,0)</f>
        <v>2.41E-2</v>
      </c>
      <c r="N18">
        <f>IFERROR(VLOOKUP(lmic_raw[[#This Row],[setting]],hbe_prev[],3,FALSE),0)</f>
        <v>0.29457918010947859</v>
      </c>
      <c r="O18">
        <f>VLOOKUP(lmic_raw[[#This Row],[gbd_super]],hbe_risk[],2,FALSE)</f>
        <v>0.8</v>
      </c>
      <c r="P18" s="33">
        <f>VLOOKUP(lmic_raw[[#This Row],[gbd_super]],hbe_risk[],5,FALSE)</f>
        <v>0.17499999999999999</v>
      </c>
      <c r="Q18">
        <f>IFERROR(VLOOKUP(lmic_raw[[#This Row],[setting]],disease_costs!$A$4:$B$197,2,FALSE),0)</f>
        <v>11.666873299280098</v>
      </c>
      <c r="R18">
        <f>IFERROR(VLOOKUP(lmic_raw[[#This Row],[gbd_super]],disease_costs!$G$4:$K$9,2,FALSE),0)</f>
        <v>44.537400000000005</v>
      </c>
      <c r="S18" s="33">
        <f>IFERROR(VLOOKUP(lmic_raw[[#This Row],[gbd_super]],disease_costs!$G$4:$K$9,3,FALSE),0)</f>
        <v>92.27940000000001</v>
      </c>
      <c r="T18" s="33">
        <f>IFERROR(VLOOKUP(lmic_raw[[#This Row],[gbd_super]],disease_costs!$G$4:$K$9,4,FALSE),0)</f>
        <v>92.27940000000001</v>
      </c>
      <c r="U18" s="33">
        <f>IFERROR(VLOOKUP(lmic_raw[[#This Row],[gbd_super]],disease_costs!$G$4:$K$9,5,FALSE),0)</f>
        <v>92.27940000000001</v>
      </c>
      <c r="V18">
        <f>IFERROR(VLOOKUP(lmic_raw[[#This Row],[setting]],vcost[],3,FALSE),0)</f>
        <v>5.5966780011023207</v>
      </c>
      <c r="W18">
        <f>IFERROR(VLOOKUP(lmic_raw[[#This Row],[setting]],vcost[],4,FALSE),0)</f>
        <v>9.666678001102321</v>
      </c>
      <c r="X18">
        <f>IFERROR(VLOOKUP(lmic_raw[[#This Row],[setting]],vcost[],5,FALSE),0)</f>
        <v>5.1470857731820585</v>
      </c>
      <c r="Y18">
        <f>IFERROR(VLOOKUP(lmic_raw[[#This Row],[setting]],vcost[],6,FALSE),0)</f>
        <v>9.2170857731820597</v>
      </c>
      <c r="Z18">
        <f>IFERROR(VLOOKUP(lmic_raw[[#This Row],[setting]],vcost[],7,FALSE),0)</f>
        <v>9.2040848931058701</v>
      </c>
      <c r="AA18">
        <f>IFERROR(VLOOKUP(lmic_raw[[#This Row],[setting]],vcost[],8,FALSE),0)</f>
        <v>5.8469663567503449</v>
      </c>
      <c r="AB18">
        <f>IFERROR(VLOOKUP(lmic_raw[[#This Row],[setting]],vcost[],9,FALSE),0)</f>
        <v>9.9169663567503452</v>
      </c>
      <c r="AC18" s="33">
        <f>IFERROR(INDEX(acm[],MATCH($C18,acm[[Country code]:[Country code]],0),MATCH(AC$1,acm[#Headers],0)),0)</f>
        <v>6.2872199999999432E-3</v>
      </c>
      <c r="AD18" s="33">
        <f>IFERROR(INDEX(acm[],MATCH($C18,acm[[Country code]:[Country code]],0),MATCH(AD$1,acm[#Headers],0)),0)</f>
        <v>2.9419466659171174E-4</v>
      </c>
      <c r="AE18" s="33">
        <f>IFERROR(INDEX(acm[],MATCH($C18,acm[[Country code]:[Country code]],0),MATCH(AE$1,acm[#Headers],0)),0)</f>
        <v>1.4199479841383962E-4</v>
      </c>
      <c r="AF18" s="33">
        <f>IFERROR(INDEX(acm[],MATCH($C18,acm[[Country code]:[Country code]],0),MATCH(AF$1,acm[#Headers],0)),0)</f>
        <v>1.6836809920065034E-4</v>
      </c>
      <c r="AG18" s="33">
        <f>IFERROR(INDEX(acm[],MATCH($C18,acm[[Country code]:[Country code]],0),MATCH(AG$1,acm[#Headers],0)),0)</f>
        <v>4.41219319301264E-4</v>
      </c>
      <c r="AH18" s="33">
        <f>IFERROR(INDEX(acm[],MATCH($C18,acm[[Country code]:[Country code]],0),MATCH(AH$1,acm[#Headers],0)),0)</f>
        <v>5.8236631127583406E-4</v>
      </c>
      <c r="AI18" s="33">
        <f>IFERROR(INDEX(acm[],MATCH($C18,acm[[Country code]:[Country code]],0),MATCH(AI$1,acm[#Headers],0)),0)</f>
        <v>6.8015417152451484E-4</v>
      </c>
      <c r="AJ18" s="33">
        <f>IFERROR(INDEX(acm[],MATCH($C18,acm[[Country code]:[Country code]],0),MATCH(AJ$1,acm[#Headers],0)),0)</f>
        <v>9.7709788609903043E-4</v>
      </c>
      <c r="AK18" s="33">
        <f>IFERROR(INDEX(acm[],MATCH($C18,acm[[Country code]:[Country code]],0),MATCH(AK$1,acm[#Headers],0)),0)</f>
        <v>1.451836741961423E-3</v>
      </c>
      <c r="AL18" s="33">
        <f>IFERROR(INDEX(acm[],MATCH($C18,acm[[Country code]:[Country code]],0),MATCH(AL$1,acm[#Headers],0)),0)</f>
        <v>2.4327225167702225E-3</v>
      </c>
      <c r="AM18" s="33">
        <f>IFERROR(INDEX(acm[],MATCH($C18,acm[[Country code]:[Country code]],0),MATCH(AM$1,acm[#Headers],0)),0)</f>
        <v>4.3091716106383278E-3</v>
      </c>
      <c r="AN18" s="33">
        <f>IFERROR(INDEX(acm[],MATCH($C18,acm[[Country code]:[Country code]],0),MATCH(AN$1,acm[#Headers],0)),0)</f>
        <v>7.0797041205687443E-3</v>
      </c>
      <c r="AO18" s="33">
        <f>IFERROR(INDEX(acm[],MATCH($C18,acm[[Country code]:[Country code]],0),MATCH(AO$1,acm[#Headers],0)),0)</f>
        <v>1.0891843655815784E-2</v>
      </c>
      <c r="AP18" s="33">
        <f>IFERROR(INDEX(acm[],MATCH($C18,acm[[Country code]:[Country code]],0),MATCH(AP$1,acm[#Headers],0)),0)</f>
        <v>1.5697542549870307E-2</v>
      </c>
      <c r="AQ18" s="33">
        <f>IFERROR(INDEX(acm[],MATCH($C18,acm[[Country code]:[Country code]],0),MATCH(AQ$1,acm[#Headers],0)),0)</f>
        <v>2.1988035741056983E-2</v>
      </c>
      <c r="AR18" s="33">
        <f>IFERROR(INDEX(acm[],MATCH($C18,acm[[Country code]:[Country code]],0),MATCH(AR$1,acm[#Headers],0)),0)</f>
        <v>3.1315833409297673E-2</v>
      </c>
      <c r="AS18" s="33">
        <f>IFERROR(INDEX(acm[],MATCH($C18,acm[[Country code]:[Country code]],0),MATCH(AS$1,acm[#Headers],0)),0)</f>
        <v>4.7939476495177831E-2</v>
      </c>
      <c r="AT18" s="33">
        <f>IFERROR(INDEX(acm[],MATCH($C18,acm[[Country code]:[Country code]],0),MATCH(AT$1,acm[#Headers],0)),0)</f>
        <v>7.7214375970854052E-2</v>
      </c>
      <c r="AU18" s="33">
        <f>IFERROR(INDEX(acm[],MATCH($C18,acm[[Country code]:[Country code]],0),MATCH(AU$1,acm[#Headers],0)),0)</f>
        <v>0.12904744450444883</v>
      </c>
      <c r="AV18" s="33">
        <f>IFERROR(INDEX(acm[],MATCH($C18,acm[[Country code]:[Country code]],0),MATCH(AV$1,acm[#Headers],0)),0)</f>
        <v>0.15072573325399216</v>
      </c>
      <c r="AW18" s="33">
        <f>IFERROR(INDEX(acm[],MATCH($C18,acm[[Country code]:[Country code]],0),MATCH(AW$1,acm[#Headers],0)),0)</f>
        <v>0.17740366801760049</v>
      </c>
      <c r="AX18" s="33">
        <f>IFERROR(VLOOKUP(lmic_raw[[#This Row],[num]],life_exp[[Country code]:[2015-2020]],2,FALSE),0)</f>
        <v>74.846999999999994</v>
      </c>
    </row>
    <row r="19" spans="1:50" x14ac:dyDescent="0.25">
      <c r="A19" s="110" t="s">
        <v>139</v>
      </c>
      <c r="B19" s="104" t="s">
        <v>391</v>
      </c>
      <c r="C19" s="105">
        <v>854</v>
      </c>
      <c r="D19" s="84" t="s">
        <v>677</v>
      </c>
      <c r="E19" s="84" t="s">
        <v>591</v>
      </c>
      <c r="F19" s="84" t="s">
        <v>667</v>
      </c>
      <c r="G19" s="84" t="s">
        <v>674</v>
      </c>
      <c r="H19" s="33">
        <f>VLOOKUP(lmic_raw[[#This Row],[num]],pop[[Country code]:[pop_20]],2,FALSE)*1000</f>
        <v>20321383</v>
      </c>
      <c r="I19" s="117">
        <f>IFERROR(VLOOKUP(lmic_raw[[#This Row],[num]],pop[[Country code]:[pop_20]],2,FALSE)*VLOOKUP(lmic_raw[[#This Row],[num]],b_rate[[Country code]:[2015-2020]],2,FALSE),0)</f>
        <v>776032.97400400008</v>
      </c>
      <c r="J19">
        <f>IFERROR(MIN(VLOOKUP(lmic_raw[[#This Row],[iso3]],fac_b[],4,FALSE)/100,0.9999),0)</f>
        <v>0.82200000000000006</v>
      </c>
      <c r="K19" s="33">
        <f>VLOOKUP(lmic_raw[[#This Row],[iso3]],vax[[iso3]:[hbv3]],2,FALSE)/100</f>
        <v>0</v>
      </c>
      <c r="L19" s="33">
        <f>VLOOKUP(lmic_raw[[#This Row],[iso3]],vax[[iso3]:[hbv3]],3,FALSE)/100</f>
        <v>0.91</v>
      </c>
      <c r="M19">
        <f>IFERROR(VLOOKUP(lmic_raw[[#This Row],[iso3]], hbv_prev[[iso3]:[ub]],2,FALSE)/100,0)</f>
        <v>0.10050000000000001</v>
      </c>
      <c r="N19">
        <f>IFERROR(VLOOKUP(lmic_raw[[#This Row],[setting]],hbe_prev[],3,FALSE),0)</f>
        <v>0.29335469441802142</v>
      </c>
      <c r="O19">
        <f>VLOOKUP(lmic_raw[[#This Row],[gbd_super]],hbe_risk[],2,FALSE)</f>
        <v>0.38300000000000001</v>
      </c>
      <c r="P19" s="33">
        <f>VLOOKUP(lmic_raw[[#This Row],[gbd_super]],hbe_risk[],5,FALSE)</f>
        <v>4.8000000000000001E-2</v>
      </c>
      <c r="Q19" s="118">
        <f>IFERROR(VLOOKUP(lmic_raw[[#This Row],[setting]],disease_costs!$A$4:$B$197,2,FALSE),0)</f>
        <v>0</v>
      </c>
      <c r="R19">
        <f>IFERROR(VLOOKUP(lmic_raw[[#This Row],[gbd_super]],disease_costs!$G$4:$K$9,2,FALSE),0)</f>
        <v>29.920500000000001</v>
      </c>
      <c r="S19" s="33">
        <f>IFERROR(VLOOKUP(lmic_raw[[#This Row],[gbd_super]],disease_costs!$G$4:$K$9,3,FALSE),0)</f>
        <v>77.662500000000009</v>
      </c>
      <c r="T19" s="33">
        <f>IFERROR(VLOOKUP(lmic_raw[[#This Row],[gbd_super]],disease_costs!$G$4:$K$9,4,FALSE),0)</f>
        <v>77.662500000000009</v>
      </c>
      <c r="U19" s="33">
        <f>IFERROR(VLOOKUP(lmic_raw[[#This Row],[gbd_super]],disease_costs!$G$4:$K$9,5,FALSE),0)</f>
        <v>77.662500000000009</v>
      </c>
      <c r="V19">
        <f>IFERROR(VLOOKUP(lmic_raw[[#This Row],[setting]],vcost[],3,FALSE),0)</f>
        <v>2.4804562866034869</v>
      </c>
      <c r="W19">
        <f>IFERROR(VLOOKUP(lmic_raw[[#This Row],[setting]],vcost[],4,FALSE),0)</f>
        <v>7.310456286603487</v>
      </c>
      <c r="X19">
        <f>IFERROR(VLOOKUP(lmic_raw[[#This Row],[setting]],vcost[],5,FALSE),0)</f>
        <v>2.0557200305776679</v>
      </c>
      <c r="Y19">
        <f>IFERROR(VLOOKUP(lmic_raw[[#This Row],[setting]],vcost[],6,FALSE),0)</f>
        <v>6.8857200305776676</v>
      </c>
      <c r="Z19">
        <f>IFERROR(VLOOKUP(lmic_raw[[#This Row],[setting]],vcost[],7,FALSE),0)</f>
        <v>6.8831147384493647</v>
      </c>
      <c r="AA19">
        <f>IFERROR(VLOOKUP(lmic_raw[[#This Row],[setting]],vcost[],8,FALSE),0)</f>
        <v>2.7217849314523526</v>
      </c>
      <c r="AB19">
        <f>IFERROR(VLOOKUP(lmic_raw[[#This Row],[setting]],vcost[],9,FALSE),0)</f>
        <v>7.5517849314523531</v>
      </c>
      <c r="AC19" s="33">
        <f>IFERROR(INDEX(acm[],MATCH($C19,acm[[Country code]:[Country code]],0),MATCH(AC$1,acm[#Headers],0)),0)</f>
        <v>5.4227859999999926E-2</v>
      </c>
      <c r="AD19" s="33">
        <f>IFERROR(INDEX(acm[],MATCH($C19,acm[[Country code]:[Country code]],0),MATCH(AD$1,acm[#Headers],0)),0)</f>
        <v>7.7985433150949057E-3</v>
      </c>
      <c r="AE19" s="33">
        <f>IFERROR(INDEX(acm[],MATCH($C19,acm[[Country code]:[Country code]],0),MATCH(AE$1,acm[#Headers],0)),0)</f>
        <v>2.7098510180781272E-3</v>
      </c>
      <c r="AF19" s="33">
        <f>IFERROR(INDEX(acm[],MATCH($C19,acm[[Country code]:[Country code]],0),MATCH(AF$1,acm[#Headers],0)),0)</f>
        <v>1.6109777987679034E-3</v>
      </c>
      <c r="AG19" s="33">
        <f>IFERROR(INDEX(acm[],MATCH($C19,acm[[Country code]:[Country code]],0),MATCH(AG$1,acm[#Headers],0)),0)</f>
        <v>2.4565525709780954E-3</v>
      </c>
      <c r="AH19" s="33">
        <f>IFERROR(INDEX(acm[],MATCH($C19,acm[[Country code]:[Country code]],0),MATCH(AH$1,acm[#Headers],0)),0)</f>
        <v>3.4406424856136286E-3</v>
      </c>
      <c r="AI19" s="33">
        <f>IFERROR(INDEX(acm[],MATCH($C19,acm[[Country code]:[Country code]],0),MATCH(AI$1,acm[#Headers],0)),0)</f>
        <v>3.6839859647303831E-3</v>
      </c>
      <c r="AJ19" s="33">
        <f>IFERROR(INDEX(acm[],MATCH($C19,acm[[Country code]:[Country code]],0),MATCH(AJ$1,acm[#Headers],0)),0)</f>
        <v>4.0687159913709147E-3</v>
      </c>
      <c r="AK19" s="33">
        <f>IFERROR(INDEX(acm[],MATCH($C19,acm[[Country code]:[Country code]],0),MATCH(AK$1,acm[#Headers],0)),0)</f>
        <v>4.6667301775740718E-3</v>
      </c>
      <c r="AL19" s="33">
        <f>IFERROR(INDEX(acm[],MATCH($C19,acm[[Country code]:[Country code]],0),MATCH(AL$1,acm[#Headers],0)),0)</f>
        <v>5.7359348761896311E-3</v>
      </c>
      <c r="AM19" s="33">
        <f>IFERROR(INDEX(acm[],MATCH($C19,acm[[Country code]:[Country code]],0),MATCH(AM$1,acm[#Headers],0)),0)</f>
        <v>7.1848904155756791E-3</v>
      </c>
      <c r="AN19" s="33">
        <f>IFERROR(INDEX(acm[],MATCH($C19,acm[[Country code]:[Country code]],0),MATCH(AN$1,acm[#Headers],0)),0)</f>
        <v>1.0079208538840959E-2</v>
      </c>
      <c r="AO19" s="33">
        <f>IFERROR(INDEX(acm[],MATCH($C19,acm[[Country code]:[Country code]],0),MATCH(AO$1,acm[#Headers],0)),0)</f>
        <v>1.4324556284323308E-2</v>
      </c>
      <c r="AP19" s="33">
        <f>IFERROR(INDEX(acm[],MATCH($C19,acm[[Country code]:[Country code]],0),MATCH(AP$1,acm[#Headers],0)),0)</f>
        <v>2.2267003529747472E-2</v>
      </c>
      <c r="AQ19" s="33">
        <f>IFERROR(INDEX(acm[],MATCH($C19,acm[[Country code]:[Country code]],0),MATCH(AQ$1,acm[#Headers],0)),0)</f>
        <v>3.4331618474766817E-2</v>
      </c>
      <c r="AR19" s="33">
        <f>IFERROR(INDEX(acm[],MATCH($C19,acm[[Country code]:[Country code]],0),MATCH(AR$1,acm[#Headers],0)),0)</f>
        <v>5.5031678246900514E-2</v>
      </c>
      <c r="AS19" s="33">
        <f>IFERROR(INDEX(acm[],MATCH($C19,acm[[Country code]:[Country code]],0),MATCH(AS$1,acm[#Headers],0)),0)</f>
        <v>8.4597333790458251E-2</v>
      </c>
      <c r="AT19" s="33">
        <f>IFERROR(INDEX(acm[],MATCH($C19,acm[[Country code]:[Country code]],0),MATCH(AT$1,acm[#Headers],0)),0)</f>
        <v>0.12093596991685143</v>
      </c>
      <c r="AU19" s="33">
        <f>IFERROR(INDEX(acm[],MATCH($C19,acm[[Country code]:[Country code]],0),MATCH(AU$1,acm[#Headers],0)),0)</f>
        <v>0.153968715439502</v>
      </c>
      <c r="AV19" s="33">
        <f>IFERROR(INDEX(acm[],MATCH($C19,acm[[Country code]:[Country code]],0),MATCH(AV$1,acm[#Headers],0)),0)</f>
        <v>0.17687638060945704</v>
      </c>
      <c r="AW19" s="33">
        <f>IFERROR(INDEX(acm[],MATCH($C19,acm[[Country code]:[Country code]],0),MATCH(AW$1,acm[#Headers],0)),0)</f>
        <v>0.19401800579474437</v>
      </c>
      <c r="AX19" s="33">
        <f>IFERROR(VLOOKUP(lmic_raw[[#This Row],[num]],life_exp[[Country code]:[2015-2020]],2,FALSE),0)</f>
        <v>60.917000000000002</v>
      </c>
    </row>
    <row r="20" spans="1:50" x14ac:dyDescent="0.25">
      <c r="A20" s="109" t="s">
        <v>101</v>
      </c>
      <c r="B20" s="101" t="s">
        <v>392</v>
      </c>
      <c r="C20" s="102">
        <v>108</v>
      </c>
      <c r="D20" s="82" t="s">
        <v>677</v>
      </c>
      <c r="E20" s="82" t="s">
        <v>597</v>
      </c>
      <c r="F20" s="82" t="s">
        <v>667</v>
      </c>
      <c r="G20" s="82" t="s">
        <v>674</v>
      </c>
      <c r="H20" s="33">
        <f>VLOOKUP(lmic_raw[[#This Row],[num]],pop[[Country code]:[pop_20]],2,FALSE)*1000</f>
        <v>11530577</v>
      </c>
      <c r="I20" s="117">
        <f>IFERROR(VLOOKUP(lmic_raw[[#This Row],[num]],pop[[Country code]:[pop_20]],2,FALSE)*VLOOKUP(lmic_raw[[#This Row],[num]],b_rate[[Country code]:[2015-2020]],2,FALSE),0)</f>
        <v>452655.86128899996</v>
      </c>
      <c r="J20">
        <f>IFERROR(MIN(VLOOKUP(lmic_raw[[#This Row],[iso3]],fac_b[],4,FALSE)/100,0.9999),0)</f>
        <v>0.83900000000000008</v>
      </c>
      <c r="K20" s="33">
        <f>VLOOKUP(lmic_raw[[#This Row],[iso3]],vax[[iso3]:[hbv3]],2,FALSE)/100</f>
        <v>0</v>
      </c>
      <c r="L20" s="33">
        <f>VLOOKUP(lmic_raw[[#This Row],[iso3]],vax[[iso3]:[hbv3]],3,FALSE)/100</f>
        <v>0.93</v>
      </c>
      <c r="M20">
        <f>IFERROR(VLOOKUP(lmic_raw[[#This Row],[iso3]], hbv_prev[[iso3]:[ub]],2,FALSE)/100,0)</f>
        <v>6.3700000000000007E-2</v>
      </c>
      <c r="N20">
        <f>IFERROR(VLOOKUP(lmic_raw[[#This Row],[setting]],hbe_prev[],3,FALSE),0)</f>
        <v>0.27469611022005852</v>
      </c>
      <c r="O20">
        <f>VLOOKUP(lmic_raw[[#This Row],[gbd_super]],hbe_risk[],2,FALSE)</f>
        <v>0.38300000000000001</v>
      </c>
      <c r="P20" s="33">
        <f>VLOOKUP(lmic_raw[[#This Row],[gbd_super]],hbe_risk[],5,FALSE)</f>
        <v>4.8000000000000001E-2</v>
      </c>
      <c r="Q20">
        <f>IFERROR(VLOOKUP(lmic_raw[[#This Row],[setting]],disease_costs!$A$4:$B$197,2,FALSE),0)</f>
        <v>2.2072403235774289</v>
      </c>
      <c r="R20">
        <f>IFERROR(VLOOKUP(lmic_raw[[#This Row],[gbd_super]],disease_costs!$G$4:$K$9,2,FALSE),0)</f>
        <v>29.920500000000001</v>
      </c>
      <c r="S20" s="33">
        <f>IFERROR(VLOOKUP(lmic_raw[[#This Row],[gbd_super]],disease_costs!$G$4:$K$9,3,FALSE),0)</f>
        <v>77.662500000000009</v>
      </c>
      <c r="T20" s="33">
        <f>IFERROR(VLOOKUP(lmic_raw[[#This Row],[gbd_super]],disease_costs!$G$4:$K$9,4,FALSE),0)</f>
        <v>77.662500000000009</v>
      </c>
      <c r="U20" s="33">
        <f>IFERROR(VLOOKUP(lmic_raw[[#This Row],[gbd_super]],disease_costs!$G$4:$K$9,5,FALSE),0)</f>
        <v>77.662500000000009</v>
      </c>
      <c r="V20">
        <f>IFERROR(VLOOKUP(lmic_raw[[#This Row],[setting]],vcost[],3,FALSE),0)</f>
        <v>2.245300021803065</v>
      </c>
      <c r="W20">
        <f>IFERROR(VLOOKUP(lmic_raw[[#This Row],[setting]],vcost[],4,FALSE),0)</f>
        <v>7.0753000218030646</v>
      </c>
      <c r="X20">
        <f>IFERROR(VLOOKUP(lmic_raw[[#This Row],[setting]],vcost[],5,FALSE),0)</f>
        <v>1.8251059804243834</v>
      </c>
      <c r="Y20">
        <f>IFERROR(VLOOKUP(lmic_raw[[#This Row],[setting]],vcost[],6,FALSE),0)</f>
        <v>6.6551059804243833</v>
      </c>
      <c r="Z20">
        <f>IFERROR(VLOOKUP(lmic_raw[[#This Row],[setting]],vcost[],7,FALSE),0)</f>
        <v>6.6542336850196211</v>
      </c>
      <c r="AA20">
        <f>IFERROR(VLOOKUP(lmic_raw[[#This Row],[setting]],vcost[],8,FALSE),0)</f>
        <v>2.4849913567209856</v>
      </c>
      <c r="AB20">
        <f>IFERROR(VLOOKUP(lmic_raw[[#This Row],[setting]],vcost[],9,FALSE),0)</f>
        <v>7.3149913567209861</v>
      </c>
      <c r="AC20" s="33">
        <f>IFERROR(INDEX(acm[],MATCH($C20,acm[[Country code]:[Country code]],0),MATCH(AC$1,acm[#Headers],0)),0)</f>
        <v>4.245322E-2</v>
      </c>
      <c r="AD20" s="33">
        <f>IFERROR(INDEX(acm[],MATCH($C20,acm[[Country code]:[Country code]],0),MATCH(AD$1,acm[#Headers],0)),0)</f>
        <v>5.2388458765429743E-3</v>
      </c>
      <c r="AE20" s="33">
        <f>IFERROR(INDEX(acm[],MATCH($C20,acm[[Country code]:[Country code]],0),MATCH(AE$1,acm[#Headers],0)),0)</f>
        <v>4.006474712416051E-3</v>
      </c>
      <c r="AF20" s="33">
        <f>IFERROR(INDEX(acm[],MATCH($C20,acm[[Country code]:[Country code]],0),MATCH(AF$1,acm[#Headers],0)),0)</f>
        <v>2.4991916576126484E-3</v>
      </c>
      <c r="AG20" s="33">
        <f>IFERROR(INDEX(acm[],MATCH($C20,acm[[Country code]:[Country code]],0),MATCH(AG$1,acm[#Headers],0)),0)</f>
        <v>2.9437964950105862E-3</v>
      </c>
      <c r="AH20" s="33">
        <f>IFERROR(INDEX(acm[],MATCH($C20,acm[[Country code]:[Country code]],0),MATCH(AH$1,acm[#Headers],0)),0)</f>
        <v>3.8451912617084071E-3</v>
      </c>
      <c r="AI20" s="33">
        <f>IFERROR(INDEX(acm[],MATCH($C20,acm[[Country code]:[Country code]],0),MATCH(AI$1,acm[#Headers],0)),0)</f>
        <v>4.6036661153950687E-3</v>
      </c>
      <c r="AJ20" s="33">
        <f>IFERROR(INDEX(acm[],MATCH($C20,acm[[Country code]:[Country code]],0),MATCH(AJ$1,acm[#Headers],0)),0)</f>
        <v>5.6684137059228833E-3</v>
      </c>
      <c r="AK20" s="33">
        <f>IFERROR(INDEX(acm[],MATCH($C20,acm[[Country code]:[Country code]],0),MATCH(AK$1,acm[#Headers],0)),0)</f>
        <v>7.1054044654335858E-3</v>
      </c>
      <c r="AL20" s="33">
        <f>IFERROR(INDEX(acm[],MATCH($C20,acm[[Country code]:[Country code]],0),MATCH(AL$1,acm[#Headers],0)),0)</f>
        <v>7.8941964027643974E-3</v>
      </c>
      <c r="AM20" s="33">
        <f>IFERROR(INDEX(acm[],MATCH($C20,acm[[Country code]:[Country code]],0),MATCH(AM$1,acm[#Headers],0)),0)</f>
        <v>8.5934741230756576E-3</v>
      </c>
      <c r="AN20" s="33">
        <f>IFERROR(INDEX(acm[],MATCH($C20,acm[[Country code]:[Country code]],0),MATCH(AN$1,acm[#Headers],0)),0)</f>
        <v>1.0836939465032305E-2</v>
      </c>
      <c r="AO20" s="33">
        <f>IFERROR(INDEX(acm[],MATCH($C20,acm[[Country code]:[Country code]],0),MATCH(AO$1,acm[#Headers],0)),0)</f>
        <v>1.4199740651491634E-2</v>
      </c>
      <c r="AP20" s="33">
        <f>IFERROR(INDEX(acm[],MATCH($C20,acm[[Country code]:[Country code]],0),MATCH(AP$1,acm[#Headers],0)),0)</f>
        <v>2.0994713798631822E-2</v>
      </c>
      <c r="AQ20" s="33">
        <f>IFERROR(INDEX(acm[],MATCH($C20,acm[[Country code]:[Country code]],0),MATCH(AQ$1,acm[#Headers],0)),0)</f>
        <v>3.1694349071188635E-2</v>
      </c>
      <c r="AR20" s="33">
        <f>IFERROR(INDEX(acm[],MATCH($C20,acm[[Country code]:[Country code]],0),MATCH(AR$1,acm[#Headers],0)),0)</f>
        <v>4.8176649717086024E-2</v>
      </c>
      <c r="AS20" s="33">
        <f>IFERROR(INDEX(acm[],MATCH($C20,acm[[Country code]:[Country code]],0),MATCH(AS$1,acm[#Headers],0)),0)</f>
        <v>7.1068723406333134E-2</v>
      </c>
      <c r="AT20" s="33">
        <f>IFERROR(INDEX(acm[],MATCH($C20,acm[[Country code]:[Country code]],0),MATCH(AT$1,acm[#Headers],0)),0)</f>
        <v>0.10104282858093268</v>
      </c>
      <c r="AU20" s="33">
        <f>IFERROR(INDEX(acm[],MATCH($C20,acm[[Country code]:[Country code]],0),MATCH(AU$1,acm[#Headers],0)),0)</f>
        <v>0.13271945448202221</v>
      </c>
      <c r="AV20" s="33">
        <f>IFERROR(INDEX(acm[],MATCH($C20,acm[[Country code]:[Country code]],0),MATCH(AV$1,acm[#Headers],0)),0)</f>
        <v>0.15908807736679403</v>
      </c>
      <c r="AW20" s="33">
        <f>IFERROR(INDEX(acm[],MATCH($C20,acm[[Country code]:[Country code]],0),MATCH(AW$1,acm[#Headers],0)),0)</f>
        <v>0.17707971183175569</v>
      </c>
      <c r="AX20" s="33">
        <f>IFERROR(VLOOKUP(lmic_raw[[#This Row],[num]],life_exp[[Country code]:[2015-2020]],2,FALSE),0)</f>
        <v>61.024999999999999</v>
      </c>
    </row>
    <row r="21" spans="1:50" x14ac:dyDescent="0.25">
      <c r="A21" s="110" t="s">
        <v>140</v>
      </c>
      <c r="B21" s="104" t="s">
        <v>393</v>
      </c>
      <c r="C21" s="105">
        <v>132</v>
      </c>
      <c r="D21" s="84" t="s">
        <v>677</v>
      </c>
      <c r="E21" s="84" t="s">
        <v>591</v>
      </c>
      <c r="F21" s="84" t="s">
        <v>667</v>
      </c>
      <c r="G21" s="84" t="s">
        <v>678</v>
      </c>
      <c r="H21" s="33">
        <f>VLOOKUP(lmic_raw[[#This Row],[num]],pop[[Country code]:[pop_20]],2,FALSE)*1000</f>
        <v>549936</v>
      </c>
      <c r="I21" s="117">
        <f>IFERROR(VLOOKUP(lmic_raw[[#This Row],[num]],pop[[Country code]:[pop_20]],2,FALSE)*VLOOKUP(lmic_raw[[#This Row],[num]],b_rate[[Country code]:[2015-2020]],2,FALSE),0)</f>
        <v>10827.689904000001</v>
      </c>
      <c r="J21">
        <f>IFERROR(MIN(VLOOKUP(lmic_raw[[#This Row],[iso3]],fac_b[],4,FALSE)/100,0.9999),0)</f>
        <v>0.75599999999999989</v>
      </c>
      <c r="K21" s="33">
        <f>VLOOKUP(lmic_raw[[#This Row],[iso3]],vax[[iso3]:[hbv3]],2,FALSE)/100</f>
        <v>0.96</v>
      </c>
      <c r="L21" s="33">
        <f>VLOOKUP(lmic_raw[[#This Row],[iso3]],vax[[iso3]:[hbv3]],3,FALSE)/100</f>
        <v>0.97</v>
      </c>
      <c r="M21">
        <f>IFERROR(VLOOKUP(lmic_raw[[#This Row],[iso3]], hbv_prev[[iso3]:[ub]],2,FALSE)/100,0)</f>
        <v>5.2300000000000006E-2</v>
      </c>
      <c r="N21">
        <f>IFERROR(VLOOKUP(lmic_raw[[#This Row],[setting]],hbe_prev[],3,FALSE),0)</f>
        <v>0.3000704220321459</v>
      </c>
      <c r="O21">
        <f>VLOOKUP(lmic_raw[[#This Row],[gbd_super]],hbe_risk[],2,FALSE)</f>
        <v>0.38300000000000001</v>
      </c>
      <c r="P21" s="33">
        <f>VLOOKUP(lmic_raw[[#This Row],[gbd_super]],hbe_risk[],5,FALSE)</f>
        <v>4.8000000000000001E-2</v>
      </c>
      <c r="Q21">
        <f>IFERROR(VLOOKUP(lmic_raw[[#This Row],[setting]],disease_costs!$A$4:$B$197,2,FALSE),0)</f>
        <v>6.0884197251517982</v>
      </c>
      <c r="R21">
        <f>IFERROR(VLOOKUP(lmic_raw[[#This Row],[gbd_super]],disease_costs!$G$4:$K$9,2,FALSE),0)</f>
        <v>29.920500000000001</v>
      </c>
      <c r="S21" s="33">
        <f>IFERROR(VLOOKUP(lmic_raw[[#This Row],[gbd_super]],disease_costs!$G$4:$K$9,3,FALSE),0)</f>
        <v>77.662500000000009</v>
      </c>
      <c r="T21" s="33">
        <f>IFERROR(VLOOKUP(lmic_raw[[#This Row],[gbd_super]],disease_costs!$G$4:$K$9,4,FALSE),0)</f>
        <v>77.662500000000009</v>
      </c>
      <c r="U21" s="33">
        <f>IFERROR(VLOOKUP(lmic_raw[[#This Row],[gbd_super]],disease_costs!$G$4:$K$9,5,FALSE),0)</f>
        <v>77.662500000000009</v>
      </c>
      <c r="V21">
        <f>IFERROR(VLOOKUP(lmic_raw[[#This Row],[setting]],vcost[],3,FALSE),0)</f>
        <v>9.0593098786469977</v>
      </c>
      <c r="W21">
        <f>IFERROR(VLOOKUP(lmic_raw[[#This Row],[setting]],vcost[],4,FALSE),0)</f>
        <v>13.889309878646998</v>
      </c>
      <c r="X21">
        <f>IFERROR(VLOOKUP(lmic_raw[[#This Row],[setting]],vcost[],5,FALSE),0)</f>
        <v>8.6196809749931429</v>
      </c>
      <c r="Y21">
        <f>IFERROR(VLOOKUP(lmic_raw[[#This Row],[setting]],vcost[],6,FALSE),0)</f>
        <v>13.449680974993143</v>
      </c>
      <c r="Z21">
        <f>IFERROR(VLOOKUP(lmic_raw[[#This Row],[setting]],vcost[],7,FALSE),0)</f>
        <v>13.440643978380423</v>
      </c>
      <c r="AA21">
        <f>IFERROR(VLOOKUP(lmic_raw[[#This Row],[setting]],vcost[],8,FALSE),0)</f>
        <v>9.3060068034548067</v>
      </c>
      <c r="AB21">
        <f>IFERROR(VLOOKUP(lmic_raw[[#This Row],[setting]],vcost[],9,FALSE),0)</f>
        <v>14.136006803454807</v>
      </c>
      <c r="AC21" s="33">
        <f>IFERROR(INDEX(acm[],MATCH($C21,acm[[Country code]:[Country code]],0),MATCH(AC$1,acm[#Headers],0)),0)</f>
        <v>1.6891330000000017E-2</v>
      </c>
      <c r="AD21" s="33">
        <f>IFERROR(INDEX(acm[],MATCH($C21,acm[[Country code]:[Country code]],0),MATCH(AD$1,acm[#Headers],0)),0)</f>
        <v>8.835060929734364E-4</v>
      </c>
      <c r="AE21" s="33">
        <f>IFERROR(INDEX(acm[],MATCH($C21,acm[[Country code]:[Country code]],0),MATCH(AE$1,acm[#Headers],0)),0)</f>
        <v>3.6018949682796144E-4</v>
      </c>
      <c r="AF21" s="33">
        <f>IFERROR(INDEX(acm[],MATCH($C21,acm[[Country code]:[Country code]],0),MATCH(AF$1,acm[#Headers],0)),0)</f>
        <v>3.1745117221964545E-4</v>
      </c>
      <c r="AG21" s="33">
        <f>IFERROR(INDEX(acm[],MATCH($C21,acm[[Country code]:[Country code]],0),MATCH(AG$1,acm[#Headers],0)),0)</f>
        <v>7.1874741951376536E-4</v>
      </c>
      <c r="AH21" s="33">
        <f>IFERROR(INDEX(acm[],MATCH($C21,acm[[Country code]:[Country code]],0),MATCH(AH$1,acm[#Headers],0)),0)</f>
        <v>9.8729318287466223E-4</v>
      </c>
      <c r="AI21" s="33">
        <f>IFERROR(INDEX(acm[],MATCH($C21,acm[[Country code]:[Country code]],0),MATCH(AI$1,acm[#Headers],0)),0)</f>
        <v>1.0549137828094477E-3</v>
      </c>
      <c r="AJ21" s="33">
        <f>IFERROR(INDEX(acm[],MATCH($C21,acm[[Country code]:[Country code]],0),MATCH(AJ$1,acm[#Headers],0)),0)</f>
        <v>1.2816495980247336E-3</v>
      </c>
      <c r="AK21" s="33">
        <f>IFERROR(INDEX(acm[],MATCH($C21,acm[[Country code]:[Country code]],0),MATCH(AK$1,acm[#Headers],0)),0)</f>
        <v>1.766754144431473E-3</v>
      </c>
      <c r="AL21" s="33">
        <f>IFERROR(INDEX(acm[],MATCH($C21,acm[[Country code]:[Country code]],0),MATCH(AL$1,acm[#Headers],0)),0)</f>
        <v>2.6319969899160373E-3</v>
      </c>
      <c r="AM21" s="33">
        <f>IFERROR(INDEX(acm[],MATCH($C21,acm[[Country code]:[Country code]],0),MATCH(AM$1,acm[#Headers],0)),0)</f>
        <v>4.1280856784911306E-3</v>
      </c>
      <c r="AN21" s="33">
        <f>IFERROR(INDEX(acm[],MATCH($C21,acm[[Country code]:[Country code]],0),MATCH(AN$1,acm[#Headers],0)),0)</f>
        <v>6.3780955172675919E-3</v>
      </c>
      <c r="AO21" s="33">
        <f>IFERROR(INDEX(acm[],MATCH($C21,acm[[Country code]:[Country code]],0),MATCH(AO$1,acm[#Headers],0)),0)</f>
        <v>9.8315278107226102E-3</v>
      </c>
      <c r="AP21" s="33">
        <f>IFERROR(INDEX(acm[],MATCH($C21,acm[[Country code]:[Country code]],0),MATCH(AP$1,acm[#Headers],0)),0)</f>
        <v>1.5378905889861292E-2</v>
      </c>
      <c r="AQ21" s="33">
        <f>IFERROR(INDEX(acm[],MATCH($C21,acm[[Country code]:[Country code]],0),MATCH(AQ$1,acm[#Headers],0)),0)</f>
        <v>2.3843289182670511E-2</v>
      </c>
      <c r="AR21" s="33">
        <f>IFERROR(INDEX(acm[],MATCH($C21,acm[[Country code]:[Country code]],0),MATCH(AR$1,acm[#Headers],0)),0)</f>
        <v>3.7230990810350639E-2</v>
      </c>
      <c r="AS21" s="33">
        <f>IFERROR(INDEX(acm[],MATCH($C21,acm[[Country code]:[Country code]],0),MATCH(AS$1,acm[#Headers],0)),0)</f>
        <v>5.94463055539085E-2</v>
      </c>
      <c r="AT21" s="33">
        <f>IFERROR(INDEX(acm[],MATCH($C21,acm[[Country code]:[Country code]],0),MATCH(AT$1,acm[#Headers],0)),0)</f>
        <v>8.8828317635577608E-2</v>
      </c>
      <c r="AU21" s="33">
        <f>IFERROR(INDEX(acm[],MATCH($C21,acm[[Country code]:[Country code]],0),MATCH(AU$1,acm[#Headers],0)),0)</f>
        <v>0.11984598831744618</v>
      </c>
      <c r="AV21" s="33">
        <f>IFERROR(INDEX(acm[],MATCH($C21,acm[[Country code]:[Country code]],0),MATCH(AV$1,acm[#Headers],0)),0)</f>
        <v>0.14998257302398399</v>
      </c>
      <c r="AW21" s="33">
        <f>IFERROR(INDEX(acm[],MATCH($C21,acm[[Country code]:[Country code]],0),MATCH(AW$1,acm[#Headers],0)),0)</f>
        <v>0.1727976225444309</v>
      </c>
      <c r="AX21" s="33">
        <f>IFERROR(VLOOKUP(lmic_raw[[#This Row],[num]],life_exp[[Country code]:[2015-2020]],2,FALSE),0)</f>
        <v>72.703000000000003</v>
      </c>
    </row>
    <row r="22" spans="1:50" x14ac:dyDescent="0.25">
      <c r="A22" s="109" t="s">
        <v>212</v>
      </c>
      <c r="B22" s="101" t="s">
        <v>394</v>
      </c>
      <c r="C22" s="102">
        <v>116</v>
      </c>
      <c r="D22" s="82" t="s">
        <v>681</v>
      </c>
      <c r="E22" s="82" t="s">
        <v>598</v>
      </c>
      <c r="F22" s="82" t="s">
        <v>666</v>
      </c>
      <c r="G22" s="82" t="s">
        <v>678</v>
      </c>
      <c r="H22" s="33">
        <f>VLOOKUP(lmic_raw[[#This Row],[num]],pop[[Country code]:[pop_20]],2,FALSE)*1000</f>
        <v>16486542.000000002</v>
      </c>
      <c r="I22" s="117">
        <f>IFERROR(VLOOKUP(lmic_raw[[#This Row],[num]],pop[[Country code]:[pop_20]],2,FALSE)*VLOOKUP(lmic_raw[[#This Row],[num]],b_rate[[Country code]:[2015-2020]],2,FALSE),0)</f>
        <v>374656.66695000004</v>
      </c>
      <c r="J22">
        <f>IFERROR(MIN(VLOOKUP(lmic_raw[[#This Row],[iso3]],fac_b[],4,FALSE)/100,0.9999),0)</f>
        <v>0.83200000000000007</v>
      </c>
      <c r="K22" s="33">
        <f>VLOOKUP(lmic_raw[[#This Row],[iso3]],vax[[iso3]:[hbv3]],2,FALSE)/100</f>
        <v>0.88</v>
      </c>
      <c r="L22" s="33">
        <f>VLOOKUP(lmic_raw[[#This Row],[iso3]],vax[[iso3]:[hbv3]],3,FALSE)/100</f>
        <v>0.92</v>
      </c>
      <c r="M22">
        <f>IFERROR(VLOOKUP(lmic_raw[[#This Row],[iso3]], hbv_prev[[iso3]:[ub]],2,FALSE)/100,0)</f>
        <v>2.98E-2</v>
      </c>
      <c r="N22">
        <f>IFERROR(VLOOKUP(lmic_raw[[#This Row],[setting]],hbe_prev[],3,FALSE),0)</f>
        <v>0.34253523319202128</v>
      </c>
      <c r="O22">
        <f>VLOOKUP(lmic_raw[[#This Row],[gbd_super]],hbe_risk[],2,FALSE)</f>
        <v>0.8</v>
      </c>
      <c r="P22" s="33">
        <f>VLOOKUP(lmic_raw[[#This Row],[gbd_super]],hbe_risk[],5,FALSE)</f>
        <v>0.17499999999999999</v>
      </c>
      <c r="Q22">
        <f>IFERROR(VLOOKUP(lmic_raw[[#This Row],[setting]],disease_costs!$A$4:$B$197,2,FALSE),0)</f>
        <v>3.1923714866681712</v>
      </c>
      <c r="R22">
        <f>IFERROR(VLOOKUP(lmic_raw[[#This Row],[gbd_super]],disease_costs!$G$4:$K$9,2,FALSE),0)</f>
        <v>73.084500000000006</v>
      </c>
      <c r="S22" s="33">
        <f>IFERROR(VLOOKUP(lmic_raw[[#This Row],[gbd_super]],disease_costs!$G$4:$K$9,3,FALSE),0)</f>
        <v>120.8265</v>
      </c>
      <c r="T22" s="33">
        <f>IFERROR(VLOOKUP(lmic_raw[[#This Row],[gbd_super]],disease_costs!$G$4:$K$9,4,FALSE),0)</f>
        <v>120.8265</v>
      </c>
      <c r="U22" s="33">
        <f>IFERROR(VLOOKUP(lmic_raw[[#This Row],[gbd_super]],disease_costs!$G$4:$K$9,5,FALSE),0)</f>
        <v>120.8265</v>
      </c>
      <c r="V22">
        <f>IFERROR(VLOOKUP(lmic_raw[[#This Row],[setting]],vcost[],3,FALSE),0)</f>
        <v>3.0933886375730855</v>
      </c>
      <c r="W22">
        <f>IFERROR(VLOOKUP(lmic_raw[[#This Row],[setting]],vcost[],4,FALSE),0)</f>
        <v>3.7233886375730854</v>
      </c>
      <c r="X22">
        <f>IFERROR(VLOOKUP(lmic_raw[[#This Row],[setting]],vcost[],5,FALSE),0)</f>
        <v>2.6658747137485905</v>
      </c>
      <c r="Y22">
        <f>IFERROR(VLOOKUP(lmic_raw[[#This Row],[setting]],vcost[],6,FALSE),0)</f>
        <v>3.2958747137485904</v>
      </c>
      <c r="Z22">
        <f>IFERROR(VLOOKUP(lmic_raw[[#This Row],[setting]],vcost[],7,FALSE),0)</f>
        <v>3.2920250824276356</v>
      </c>
      <c r="AA22">
        <f>IFERROR(VLOOKUP(lmic_raw[[#This Row],[setting]],vcost[],8,FALSE),0)</f>
        <v>3.3357185347679854</v>
      </c>
      <c r="AB22">
        <f>IFERROR(VLOOKUP(lmic_raw[[#This Row],[setting]],vcost[],9,FALSE),0)</f>
        <v>3.9657185347679853</v>
      </c>
      <c r="AC22" s="33">
        <f>IFERROR(INDEX(acm[],MATCH($C22,acm[[Country code]:[Country code]],0),MATCH(AC$1,acm[#Headers],0)),0)</f>
        <v>2.3772909999999974E-2</v>
      </c>
      <c r="AD22" s="33">
        <f>IFERROR(INDEX(acm[],MATCH($C22,acm[[Country code]:[Country code]],0),MATCH(AD$1,acm[#Headers],0)),0)</f>
        <v>9.7424053249741489E-4</v>
      </c>
      <c r="AE22" s="33">
        <f>IFERROR(INDEX(acm[],MATCH($C22,acm[[Country code]:[Country code]],0),MATCH(AE$1,acm[#Headers],0)),0)</f>
        <v>1.6717461274585335E-3</v>
      </c>
      <c r="AF22" s="33">
        <f>IFERROR(INDEX(acm[],MATCH($C22,acm[[Country code]:[Country code]],0),MATCH(AF$1,acm[#Headers],0)),0)</f>
        <v>1.194425499967817E-3</v>
      </c>
      <c r="AG22" s="33">
        <f>IFERROR(INDEX(acm[],MATCH($C22,acm[[Country code]:[Country code]],0),MATCH(AG$1,acm[#Headers],0)),0)</f>
        <v>1.1093254475269168E-3</v>
      </c>
      <c r="AH22" s="33">
        <f>IFERROR(INDEX(acm[],MATCH($C22,acm[[Country code]:[Country code]],0),MATCH(AH$1,acm[#Headers],0)),0)</f>
        <v>1.3370400435358479E-3</v>
      </c>
      <c r="AI22" s="33">
        <f>IFERROR(INDEX(acm[],MATCH($C22,acm[[Country code]:[Country code]],0),MATCH(AI$1,acm[#Headers],0)),0)</f>
        <v>1.8276034080960189E-3</v>
      </c>
      <c r="AJ22" s="33">
        <f>IFERROR(INDEX(acm[],MATCH($C22,acm[[Country code]:[Country code]],0),MATCH(AJ$1,acm[#Headers],0)),0)</f>
        <v>2.4019140769418047E-3</v>
      </c>
      <c r="AK22" s="33">
        <f>IFERROR(INDEX(acm[],MATCH($C22,acm[[Country code]:[Country code]],0),MATCH(AK$1,acm[#Headers],0)),0)</f>
        <v>3.1654986404268596E-3</v>
      </c>
      <c r="AL22" s="33">
        <f>IFERROR(INDEX(acm[],MATCH($C22,acm[[Country code]:[Country code]],0),MATCH(AL$1,acm[#Headers],0)),0)</f>
        <v>4.0670161869690961E-3</v>
      </c>
      <c r="AM22" s="33">
        <f>IFERROR(INDEX(acm[],MATCH($C22,acm[[Country code]:[Country code]],0),MATCH(AM$1,acm[#Headers],0)),0)</f>
        <v>5.1147043764609547E-3</v>
      </c>
      <c r="AN22" s="33">
        <f>IFERROR(INDEX(acm[],MATCH($C22,acm[[Country code]:[Country code]],0),MATCH(AN$1,acm[#Headers],0)),0)</f>
        <v>6.6590983524453693E-3</v>
      </c>
      <c r="AO22" s="33">
        <f>IFERROR(INDEX(acm[],MATCH($C22,acm[[Country code]:[Country code]],0),MATCH(AO$1,acm[#Headers],0)),0)</f>
        <v>1.0262420003263018E-2</v>
      </c>
      <c r="AP22" s="33">
        <f>IFERROR(INDEX(acm[],MATCH($C22,acm[[Country code]:[Country code]],0),MATCH(AP$1,acm[#Headers],0)),0)</f>
        <v>1.7905784673707129E-2</v>
      </c>
      <c r="AQ22" s="33">
        <f>IFERROR(INDEX(acm[],MATCH($C22,acm[[Country code]:[Country code]],0),MATCH(AQ$1,acm[#Headers],0)),0)</f>
        <v>2.7932062680663994E-2</v>
      </c>
      <c r="AR22" s="33">
        <f>IFERROR(INDEX(acm[],MATCH($C22,acm[[Country code]:[Country code]],0),MATCH(AR$1,acm[#Headers],0)),0)</f>
        <v>4.4392905636891383E-2</v>
      </c>
      <c r="AS22" s="33">
        <f>IFERROR(INDEX(acm[],MATCH($C22,acm[[Country code]:[Country code]],0),MATCH(AS$1,acm[#Headers],0)),0)</f>
        <v>6.773773252768292E-2</v>
      </c>
      <c r="AT22" s="33">
        <f>IFERROR(INDEX(acm[],MATCH($C22,acm[[Country code]:[Country code]],0),MATCH(AT$1,acm[#Headers],0)),0)</f>
        <v>9.5873096646979544E-2</v>
      </c>
      <c r="AU22" s="33">
        <f>IFERROR(INDEX(acm[],MATCH($C22,acm[[Country code]:[Country code]],0),MATCH(AU$1,acm[#Headers],0)),0)</f>
        <v>0.12561634576764696</v>
      </c>
      <c r="AV22" s="33">
        <f>IFERROR(INDEX(acm[],MATCH($C22,acm[[Country code]:[Country code]],0),MATCH(AV$1,acm[#Headers],0)),0)</f>
        <v>0.15292352428423295</v>
      </c>
      <c r="AW22" s="33">
        <f>IFERROR(INDEX(acm[],MATCH($C22,acm[[Country code]:[Country code]],0),MATCH(AW$1,acm[#Headers],0)),0)</f>
        <v>0.17773889336070817</v>
      </c>
      <c r="AX22" s="33">
        <f>IFERROR(VLOOKUP(lmic_raw[[#This Row],[num]],life_exp[[Country code]:[2015-2020]],2,FALSE),0)</f>
        <v>69.435000000000002</v>
      </c>
    </row>
    <row r="23" spans="1:50" x14ac:dyDescent="0.25">
      <c r="A23" s="110" t="s">
        <v>123</v>
      </c>
      <c r="B23" s="104" t="s">
        <v>395</v>
      </c>
      <c r="C23" s="105">
        <v>120</v>
      </c>
      <c r="D23" s="84" t="s">
        <v>677</v>
      </c>
      <c r="E23" s="84" t="s">
        <v>591</v>
      </c>
      <c r="F23" s="84" t="s">
        <v>667</v>
      </c>
      <c r="G23" s="84" t="s">
        <v>678</v>
      </c>
      <c r="H23" s="33">
        <f>VLOOKUP(lmic_raw[[#This Row],[num]],pop[[Country code]:[pop_20]],2,FALSE)*1000</f>
        <v>25876387</v>
      </c>
      <c r="I23" s="117">
        <f>IFERROR(VLOOKUP(lmic_raw[[#This Row],[num]],pop[[Country code]:[pop_20]],2,FALSE)*VLOOKUP(lmic_raw[[#This Row],[num]],b_rate[[Country code]:[2015-2020]],2,FALSE),0)</f>
        <v>921432.26468300004</v>
      </c>
      <c r="J23">
        <f>IFERROR(MIN(VLOOKUP(lmic_raw[[#This Row],[iso3]],fac_b[],4,FALSE)/100,0.9999),0)</f>
        <v>0.67</v>
      </c>
      <c r="K23" s="33">
        <f>VLOOKUP(lmic_raw[[#This Row],[iso3]],vax[[iso3]:[hbv3]],2,FALSE)/100</f>
        <v>0</v>
      </c>
      <c r="L23" s="33">
        <f>VLOOKUP(lmic_raw[[#This Row],[iso3]],vax[[iso3]:[hbv3]],3,FALSE)/100</f>
        <v>0.67</v>
      </c>
      <c r="M23">
        <f>IFERROR(VLOOKUP(lmic_raw[[#This Row],[iso3]], hbv_prev[[iso3]:[ub]],2,FALSE)/100,0)</f>
        <v>4.4299999999999999E-2</v>
      </c>
      <c r="N23">
        <f>IFERROR(VLOOKUP(lmic_raw[[#This Row],[setting]],hbe_prev[],3,FALSE),0)</f>
        <v>0.29497789261106083</v>
      </c>
      <c r="O23">
        <f>VLOOKUP(lmic_raw[[#This Row],[gbd_super]],hbe_risk[],2,FALSE)</f>
        <v>0.38300000000000001</v>
      </c>
      <c r="P23" s="33">
        <f>VLOOKUP(lmic_raw[[#This Row],[gbd_super]],hbe_risk[],5,FALSE)</f>
        <v>4.8000000000000001E-2</v>
      </c>
      <c r="Q23">
        <f>IFERROR(VLOOKUP(lmic_raw[[#This Row],[setting]],disease_costs!$A$4:$B$197,2,FALSE),0)</f>
        <v>3.7858239945541601</v>
      </c>
      <c r="R23">
        <f>IFERROR(VLOOKUP(lmic_raw[[#This Row],[gbd_super]],disease_costs!$G$4:$K$9,2,FALSE),0)</f>
        <v>29.920500000000001</v>
      </c>
      <c r="S23" s="33">
        <f>IFERROR(VLOOKUP(lmic_raw[[#This Row],[gbd_super]],disease_costs!$G$4:$K$9,3,FALSE),0)</f>
        <v>77.662500000000009</v>
      </c>
      <c r="T23" s="33">
        <f>IFERROR(VLOOKUP(lmic_raw[[#This Row],[gbd_super]],disease_costs!$G$4:$K$9,4,FALSE),0)</f>
        <v>77.662500000000009</v>
      </c>
      <c r="U23" s="33">
        <f>IFERROR(VLOOKUP(lmic_raw[[#This Row],[gbd_super]],disease_costs!$G$4:$K$9,5,FALSE),0)</f>
        <v>77.662500000000009</v>
      </c>
      <c r="V23">
        <f>IFERROR(VLOOKUP(lmic_raw[[#This Row],[setting]],vcost[],3,FALSE),0)</f>
        <v>2.0334343810717903</v>
      </c>
      <c r="W23">
        <f>IFERROR(VLOOKUP(lmic_raw[[#This Row],[setting]],vcost[],4,FALSE),0)</f>
        <v>6.8634343810717908</v>
      </c>
      <c r="X23">
        <f>IFERROR(VLOOKUP(lmic_raw[[#This Row],[setting]],vcost[],5,FALSE),0)</f>
        <v>1.6054183958837855</v>
      </c>
      <c r="Y23">
        <f>IFERROR(VLOOKUP(lmic_raw[[#This Row],[setting]],vcost[],6,FALSE),0)</f>
        <v>6.4354183958837856</v>
      </c>
      <c r="Z23">
        <f>IFERROR(VLOOKUP(lmic_raw[[#This Row],[setting]],vcost[],7,FALSE),0)</f>
        <v>6.4307431931721997</v>
      </c>
      <c r="AA23">
        <f>IFERROR(VLOOKUP(lmic_raw[[#This Row],[setting]],vcost[],8,FALSE),0)</f>
        <v>2.2759452538744669</v>
      </c>
      <c r="AB23">
        <f>IFERROR(VLOOKUP(lmic_raw[[#This Row],[setting]],vcost[],9,FALSE),0)</f>
        <v>7.1059452538744665</v>
      </c>
      <c r="AC23" s="33">
        <f>IFERROR(INDEX(acm[],MATCH($C23,acm[[Country code]:[Country code]],0),MATCH(AC$1,acm[#Headers],0)),0)</f>
        <v>6.119441000000006E-2</v>
      </c>
      <c r="AD23" s="33">
        <f>IFERROR(INDEX(acm[],MATCH($C23,acm[[Country code]:[Country code]],0),MATCH(AD$1,acm[#Headers],0)),0)</f>
        <v>7.2176258558494548E-3</v>
      </c>
      <c r="AE23" s="33">
        <f>IFERROR(INDEX(acm[],MATCH($C23,acm[[Country code]:[Country code]],0),MATCH(AE$1,acm[#Headers],0)),0)</f>
        <v>2.6275587039534072E-3</v>
      </c>
      <c r="AF23" s="33">
        <f>IFERROR(INDEX(acm[],MATCH($C23,acm[[Country code]:[Country code]],0),MATCH(AF$1,acm[#Headers],0)),0)</f>
        <v>1.7924673681891632E-3</v>
      </c>
      <c r="AG23" s="33">
        <f>IFERROR(INDEX(acm[],MATCH($C23,acm[[Country code]:[Country code]],0),MATCH(AG$1,acm[#Headers],0)),0)</f>
        <v>2.6749331320549278E-3</v>
      </c>
      <c r="AH23" s="33">
        <f>IFERROR(INDEX(acm[],MATCH($C23,acm[[Country code]:[Country code]],0),MATCH(AH$1,acm[#Headers],0)),0)</f>
        <v>3.8411895876434422E-3</v>
      </c>
      <c r="AI23" s="33">
        <f>IFERROR(INDEX(acm[],MATCH($C23,acm[[Country code]:[Country code]],0),MATCH(AI$1,acm[#Headers],0)),0)</f>
        <v>4.5577375755387209E-3</v>
      </c>
      <c r="AJ23" s="33">
        <f>IFERROR(INDEX(acm[],MATCH($C23,acm[[Country code]:[Country code]],0),MATCH(AJ$1,acm[#Headers],0)),0)</f>
        <v>5.3565303343789759E-3</v>
      </c>
      <c r="AK23" s="33">
        <f>IFERROR(INDEX(acm[],MATCH($C23,acm[[Country code]:[Country code]],0),MATCH(AK$1,acm[#Headers],0)),0)</f>
        <v>6.4853402754334391E-3</v>
      </c>
      <c r="AL23" s="33">
        <f>IFERROR(INDEX(acm[],MATCH($C23,acm[[Country code]:[Country code]],0),MATCH(AL$1,acm[#Headers],0)),0)</f>
        <v>7.9277310419522892E-3</v>
      </c>
      <c r="AM23" s="33">
        <f>IFERROR(INDEX(acm[],MATCH($C23,acm[[Country code]:[Country code]],0),MATCH(AM$1,acm[#Headers],0)),0)</f>
        <v>9.6224058705783044E-3</v>
      </c>
      <c r="AN23" s="33">
        <f>IFERROR(INDEX(acm[],MATCH($C23,acm[[Country code]:[Country code]],0),MATCH(AN$1,acm[#Headers],0)),0)</f>
        <v>1.2983774435845554E-2</v>
      </c>
      <c r="AO23" s="33">
        <f>IFERROR(INDEX(acm[],MATCH($C23,acm[[Country code]:[Country code]],0),MATCH(AO$1,acm[#Headers],0)),0)</f>
        <v>1.6929201860546864E-2</v>
      </c>
      <c r="AP23" s="33">
        <f>IFERROR(INDEX(acm[],MATCH($C23,acm[[Country code]:[Country code]],0),MATCH(AP$1,acm[#Headers],0)),0)</f>
        <v>2.4637086454959319E-2</v>
      </c>
      <c r="AQ23" s="33">
        <f>IFERROR(INDEX(acm[],MATCH($C23,acm[[Country code]:[Country code]],0),MATCH(AQ$1,acm[#Headers],0)),0)</f>
        <v>3.6873179579201235E-2</v>
      </c>
      <c r="AR23" s="33">
        <f>IFERROR(INDEX(acm[],MATCH($C23,acm[[Country code]:[Country code]],0),MATCH(AR$1,acm[#Headers],0)),0)</f>
        <v>5.5759166911210051E-2</v>
      </c>
      <c r="AS23" s="33">
        <f>IFERROR(INDEX(acm[],MATCH($C23,acm[[Country code]:[Country code]],0),MATCH(AS$1,acm[#Headers],0)),0)</f>
        <v>8.2609444240637903E-2</v>
      </c>
      <c r="AT23" s="33">
        <f>IFERROR(INDEX(acm[],MATCH($C23,acm[[Country code]:[Country code]],0),MATCH(AT$1,acm[#Headers],0)),0)</f>
        <v>0.11878660513009633</v>
      </c>
      <c r="AU23" s="33">
        <f>IFERROR(INDEX(acm[],MATCH($C23,acm[[Country code]:[Country code]],0),MATCH(AU$1,acm[#Headers],0)),0)</f>
        <v>0.15675453059100936</v>
      </c>
      <c r="AV23" s="33">
        <f>IFERROR(INDEX(acm[],MATCH($C23,acm[[Country code]:[Country code]],0),MATCH(AV$1,acm[#Headers],0)),0)</f>
        <v>0.18387036190936415</v>
      </c>
      <c r="AW23" s="33">
        <f>IFERROR(INDEX(acm[],MATCH($C23,acm[[Country code]:[Country code]],0),MATCH(AW$1,acm[#Headers],0)),0)</f>
        <v>0.18995136782086644</v>
      </c>
      <c r="AX23" s="33">
        <f>IFERROR(VLOOKUP(lmic_raw[[#This Row],[num]],life_exp[[Country code]:[2015-2020]],2,FALSE),0)</f>
        <v>58.771999999999998</v>
      </c>
    </row>
    <row r="24" spans="1:50" x14ac:dyDescent="0.25">
      <c r="A24" s="109" t="s">
        <v>601</v>
      </c>
      <c r="B24" s="101" t="s">
        <v>397</v>
      </c>
      <c r="C24" s="102">
        <v>140</v>
      </c>
      <c r="D24" s="82" t="s">
        <v>677</v>
      </c>
      <c r="E24" s="82" t="s">
        <v>582</v>
      </c>
      <c r="F24" s="82" t="s">
        <v>667</v>
      </c>
      <c r="G24" s="82" t="s">
        <v>674</v>
      </c>
      <c r="H24" s="33">
        <f>VLOOKUP(lmic_raw[[#This Row],[num]],pop[[Country code]:[pop_20]],2,FALSE)*1000</f>
        <v>4745179</v>
      </c>
      <c r="I24" s="117">
        <f>IFERROR(VLOOKUP(lmic_raw[[#This Row],[num]],pop[[Country code]:[pop_20]],2,FALSE)*VLOOKUP(lmic_raw[[#This Row],[num]],b_rate[[Country code]:[2015-2020]],2,FALSE),0)</f>
        <v>168026.78838999997</v>
      </c>
      <c r="J24">
        <f>IFERROR(MIN(VLOOKUP(lmic_raw[[#This Row],[iso3]],fac_b[],4,FALSE)/100,0.9999),0)</f>
        <v>0.52500000000000002</v>
      </c>
      <c r="K24" s="33">
        <f>VLOOKUP(lmic_raw[[#This Row],[iso3]],vax[[iso3]:[hbv3]],2,FALSE)/100</f>
        <v>0</v>
      </c>
      <c r="L24" s="33">
        <f>VLOOKUP(lmic_raw[[#This Row],[iso3]],vax[[iso3]:[hbv3]],3,FALSE)/100</f>
        <v>0.47</v>
      </c>
      <c r="M24">
        <f>IFERROR(VLOOKUP(lmic_raw[[#This Row],[iso3]], hbv_prev[[iso3]:[ub]],2,FALSE)/100,0)</f>
        <v>0.10199999999999999</v>
      </c>
      <c r="N24">
        <f>IFERROR(VLOOKUP(lmic_raw[[#This Row],[setting]],hbe_prev[],3,FALSE),0)</f>
        <v>0.29820485243263806</v>
      </c>
      <c r="O24">
        <f>VLOOKUP(lmic_raw[[#This Row],[gbd_super]],hbe_risk[],2,FALSE)</f>
        <v>0.38300000000000001</v>
      </c>
      <c r="P24" s="33">
        <f>VLOOKUP(lmic_raw[[#This Row],[gbd_super]],hbe_risk[],5,FALSE)</f>
        <v>4.8000000000000001E-2</v>
      </c>
      <c r="Q24">
        <f>IFERROR(VLOOKUP(lmic_raw[[#This Row],[setting]],disease_costs!$A$4:$B$197,2,FALSE),0)</f>
        <v>2.7650856809902589</v>
      </c>
      <c r="R24">
        <f>IFERROR(VLOOKUP(lmic_raw[[#This Row],[gbd_super]],disease_costs!$G$4:$K$9,2,FALSE),0)</f>
        <v>29.920500000000001</v>
      </c>
      <c r="S24" s="33">
        <f>IFERROR(VLOOKUP(lmic_raw[[#This Row],[gbd_super]],disease_costs!$G$4:$K$9,3,FALSE),0)</f>
        <v>77.662500000000009</v>
      </c>
      <c r="T24" s="33">
        <f>IFERROR(VLOOKUP(lmic_raw[[#This Row],[gbd_super]],disease_costs!$G$4:$K$9,4,FALSE),0)</f>
        <v>77.662500000000009</v>
      </c>
      <c r="U24" s="33">
        <f>IFERROR(VLOOKUP(lmic_raw[[#This Row],[gbd_super]],disease_costs!$G$4:$K$9,5,FALSE),0)</f>
        <v>77.662500000000009</v>
      </c>
      <c r="V24">
        <f>IFERROR(VLOOKUP(lmic_raw[[#This Row],[setting]],vcost[],3,FALSE),0)</f>
        <v>1.1365347815248923</v>
      </c>
      <c r="W24">
        <f>IFERROR(VLOOKUP(lmic_raw[[#This Row],[setting]],vcost[],4,FALSE),0)</f>
        <v>5.9665347815248921</v>
      </c>
      <c r="X24">
        <f>IFERROR(VLOOKUP(lmic_raw[[#This Row],[setting]],vcost[],5,FALSE),0)</f>
        <v>0.71441117634326534</v>
      </c>
      <c r="Y24">
        <f>IFERROR(VLOOKUP(lmic_raw[[#This Row],[setting]],vcost[],6,FALSE),0)</f>
        <v>5.5444111763432655</v>
      </c>
      <c r="Z24">
        <f>IFERROR(VLOOKUP(lmic_raw[[#This Row],[setting]],vcost[],7,FALSE),0)</f>
        <v>5.5427304872269589</v>
      </c>
      <c r="AA24">
        <f>IFERROR(VLOOKUP(lmic_raw[[#This Row],[setting]],vcost[],8,FALSE),0)</f>
        <v>1.3769216568834095</v>
      </c>
      <c r="AB24">
        <f>IFERROR(VLOOKUP(lmic_raw[[#This Row],[setting]],vcost[],9,FALSE),0)</f>
        <v>6.2069216568834094</v>
      </c>
      <c r="AC24" s="33">
        <f>IFERROR(INDEX(acm[],MATCH($C24,acm[[Country code]:[Country code]],0),MATCH(AC$1,acm[#Headers],0)),0)</f>
        <v>8.1922939999999944E-2</v>
      </c>
      <c r="AD24" s="33">
        <f>IFERROR(INDEX(acm[],MATCH($C24,acm[[Country code]:[Country code]],0),MATCH(AD$1,acm[#Headers],0)),0)</f>
        <v>1.0878201770992952E-2</v>
      </c>
      <c r="AE24" s="33">
        <f>IFERROR(INDEX(acm[],MATCH($C24,acm[[Country code]:[Country code]],0),MATCH(AE$1,acm[#Headers],0)),0)</f>
        <v>3.1964143762712766E-3</v>
      </c>
      <c r="AF24" s="33">
        <f>IFERROR(INDEX(acm[],MATCH($C24,acm[[Country code]:[Country code]],0),MATCH(AF$1,acm[#Headers],0)),0)</f>
        <v>2.2879438563343461E-3</v>
      </c>
      <c r="AG24" s="33">
        <f>IFERROR(INDEX(acm[],MATCH($C24,acm[[Country code]:[Country code]],0),MATCH(AG$1,acm[#Headers],0)),0)</f>
        <v>3.2946666733317093E-3</v>
      </c>
      <c r="AH24" s="33">
        <f>IFERROR(INDEX(acm[],MATCH($C24,acm[[Country code]:[Country code]],0),MATCH(AH$1,acm[#Headers],0)),0)</f>
        <v>5.0192257116822353E-3</v>
      </c>
      <c r="AI24" s="33">
        <f>IFERROR(INDEX(acm[],MATCH($C24,acm[[Country code]:[Country code]],0),MATCH(AI$1,acm[#Headers],0)),0)</f>
        <v>6.8432530446659069E-3</v>
      </c>
      <c r="AJ24" s="33">
        <f>IFERROR(INDEX(acm[],MATCH($C24,acm[[Country code]:[Country code]],0),MATCH(AJ$1,acm[#Headers],0)),0)</f>
        <v>8.6738032464507842E-3</v>
      </c>
      <c r="AK24" s="33">
        <f>IFERROR(INDEX(acm[],MATCH($C24,acm[[Country code]:[Country code]],0),MATCH(AK$1,acm[#Headers],0)),0)</f>
        <v>1.1062967535899281E-2</v>
      </c>
      <c r="AL24" s="33">
        <f>IFERROR(INDEX(acm[],MATCH($C24,acm[[Country code]:[Country code]],0),MATCH(AL$1,acm[#Headers],0)),0)</f>
        <v>1.2937061582216988E-2</v>
      </c>
      <c r="AM24" s="33">
        <f>IFERROR(INDEX(acm[],MATCH($C24,acm[[Country code]:[Country code]],0),MATCH(AM$1,acm[#Headers],0)),0)</f>
        <v>1.4983573488699718E-2</v>
      </c>
      <c r="AN24" s="33">
        <f>IFERROR(INDEX(acm[],MATCH($C24,acm[[Country code]:[Country code]],0),MATCH(AN$1,acm[#Headers],0)),0)</f>
        <v>1.8293733980304344E-2</v>
      </c>
      <c r="AO24" s="33">
        <f>IFERROR(INDEX(acm[],MATCH($C24,acm[[Country code]:[Country code]],0),MATCH(AO$1,acm[#Headers],0)),0)</f>
        <v>2.2298694890880218E-2</v>
      </c>
      <c r="AP24" s="33">
        <f>IFERROR(INDEX(acm[],MATCH($C24,acm[[Country code]:[Country code]],0),MATCH(AP$1,acm[#Headers],0)),0)</f>
        <v>2.9786511926594324E-2</v>
      </c>
      <c r="AQ24" s="33">
        <f>IFERROR(INDEX(acm[],MATCH($C24,acm[[Country code]:[Country code]],0),MATCH(AQ$1,acm[#Headers],0)),0)</f>
        <v>4.1518704376223209E-2</v>
      </c>
      <c r="AR24" s="33">
        <f>IFERROR(INDEX(acm[],MATCH($C24,acm[[Country code]:[Country code]],0),MATCH(AR$1,acm[#Headers],0)),0)</f>
        <v>5.9437275456103944E-2</v>
      </c>
      <c r="AS24" s="33">
        <f>IFERROR(INDEX(acm[],MATCH($C24,acm[[Country code]:[Country code]],0),MATCH(AS$1,acm[#Headers],0)),0)</f>
        <v>8.4083240543308749E-2</v>
      </c>
      <c r="AT24" s="33">
        <f>IFERROR(INDEX(acm[],MATCH($C24,acm[[Country code]:[Country code]],0),MATCH(AT$1,acm[#Headers],0)),0)</f>
        <v>0.11801391721629427</v>
      </c>
      <c r="AU24" s="33">
        <f>IFERROR(INDEX(acm[],MATCH($C24,acm[[Country code]:[Country code]],0),MATCH(AU$1,acm[#Headers],0)),0)</f>
        <v>0.15387640621894813</v>
      </c>
      <c r="AV24" s="33">
        <f>IFERROR(INDEX(acm[],MATCH($C24,acm[[Country code]:[Country code]],0),MATCH(AV$1,acm[#Headers],0)),0)</f>
        <v>0.1794807122599974</v>
      </c>
      <c r="AW24" s="33">
        <f>IFERROR(INDEX(acm[],MATCH($C24,acm[[Country code]:[Country code]],0),MATCH(AW$1,acm[#Headers],0)),0)</f>
        <v>0.1877332125933043</v>
      </c>
      <c r="AX24" s="33">
        <f>IFERROR(VLOOKUP(lmic_raw[[#This Row],[num]],life_exp[[Country code]:[2015-2020]],2,FALSE),0)</f>
        <v>52.667999999999999</v>
      </c>
    </row>
    <row r="25" spans="1:50" x14ac:dyDescent="0.25">
      <c r="A25" s="110" t="s">
        <v>125</v>
      </c>
      <c r="B25" s="104" t="s">
        <v>398</v>
      </c>
      <c r="C25" s="105">
        <v>148</v>
      </c>
      <c r="D25" s="84" t="s">
        <v>677</v>
      </c>
      <c r="E25" s="84" t="s">
        <v>591</v>
      </c>
      <c r="F25" s="84" t="s">
        <v>667</v>
      </c>
      <c r="G25" s="84" t="s">
        <v>674</v>
      </c>
      <c r="H25" s="33">
        <f>VLOOKUP(lmic_raw[[#This Row],[num]],pop[[Country code]:[pop_20]],2,FALSE)*1000</f>
        <v>15946882</v>
      </c>
      <c r="I25" s="117">
        <f>IFERROR(VLOOKUP(lmic_raw[[#This Row],[num]],pop[[Country code]:[pop_20]],2,FALSE)*VLOOKUP(lmic_raw[[#This Row],[num]],b_rate[[Country code]:[2015-2020]],2,FALSE),0)</f>
        <v>676674.04390599998</v>
      </c>
      <c r="J25">
        <f>IFERROR(MIN(VLOOKUP(lmic_raw[[#This Row],[iso3]],fac_b[],4,FALSE)/100,0.9999),0)</f>
        <v>0.217</v>
      </c>
      <c r="K25" s="33">
        <f>VLOOKUP(lmic_raw[[#This Row],[iso3]],vax[[iso3]:[hbv3]],2,FALSE)/100</f>
        <v>0</v>
      </c>
      <c r="L25" s="33">
        <f>VLOOKUP(lmic_raw[[#This Row],[iso3]],vax[[iso3]:[hbv3]],3,FALSE)/100</f>
        <v>0.5</v>
      </c>
      <c r="M25">
        <f>IFERROR(VLOOKUP(lmic_raw[[#This Row],[iso3]], hbv_prev[[iso3]:[ub]],2,FALSE)/100,0)</f>
        <v>4.87E-2</v>
      </c>
      <c r="N25">
        <f>IFERROR(VLOOKUP(lmic_raw[[#This Row],[setting]],hbe_prev[],3,FALSE),0)</f>
        <v>0.30401743635557654</v>
      </c>
      <c r="O25">
        <f>VLOOKUP(lmic_raw[[#This Row],[gbd_super]],hbe_risk[],2,FALSE)</f>
        <v>0.38300000000000001</v>
      </c>
      <c r="P25" s="33">
        <f>VLOOKUP(lmic_raw[[#This Row],[gbd_super]],hbe_risk[],5,FALSE)</f>
        <v>4.8000000000000001E-2</v>
      </c>
      <c r="Q25">
        <f>IFERROR(VLOOKUP(lmic_raw[[#This Row],[setting]],disease_costs!$A$4:$B$197,2,FALSE),0)</f>
        <v>3.26358578761449</v>
      </c>
      <c r="R25">
        <f>IFERROR(VLOOKUP(lmic_raw[[#This Row],[gbd_super]],disease_costs!$G$4:$K$9,2,FALSE),0)</f>
        <v>29.920500000000001</v>
      </c>
      <c r="S25" s="33">
        <f>IFERROR(VLOOKUP(lmic_raw[[#This Row],[gbd_super]],disease_costs!$G$4:$K$9,3,FALSE),0)</f>
        <v>77.662500000000009</v>
      </c>
      <c r="T25" s="33">
        <f>IFERROR(VLOOKUP(lmic_raw[[#This Row],[gbd_super]],disease_costs!$G$4:$K$9,4,FALSE),0)</f>
        <v>77.662500000000009</v>
      </c>
      <c r="U25" s="33">
        <f>IFERROR(VLOOKUP(lmic_raw[[#This Row],[gbd_super]],disease_costs!$G$4:$K$9,5,FALSE),0)</f>
        <v>77.662500000000009</v>
      </c>
      <c r="V25">
        <f>IFERROR(VLOOKUP(lmic_raw[[#This Row],[setting]],vcost[],3,FALSE),0)</f>
        <v>0.9549650731844721</v>
      </c>
      <c r="W25">
        <f>IFERROR(VLOOKUP(lmic_raw[[#This Row],[setting]],vcost[],4,FALSE),0)</f>
        <v>5.7849650731844724</v>
      </c>
      <c r="X25">
        <f>IFERROR(VLOOKUP(lmic_raw[[#This Row],[setting]],vcost[],5,FALSE),0)</f>
        <v>0.53080810329467321</v>
      </c>
      <c r="Y25">
        <f>IFERROR(VLOOKUP(lmic_raw[[#This Row],[setting]],vcost[],6,FALSE),0)</f>
        <v>5.3608081032946728</v>
      </c>
      <c r="Z25">
        <f>IFERROR(VLOOKUP(lmic_raw[[#This Row],[setting]],vcost[],7,FALSE),0)</f>
        <v>5.3583790545557246</v>
      </c>
      <c r="AA25">
        <f>IFERROR(VLOOKUP(lmic_raw[[#This Row],[setting]],vcost[],8,FALSE),0)</f>
        <v>1.1960849055889582</v>
      </c>
      <c r="AB25">
        <f>IFERROR(VLOOKUP(lmic_raw[[#This Row],[setting]],vcost[],9,FALSE),0)</f>
        <v>6.0260849055889585</v>
      </c>
      <c r="AC25" s="33">
        <f>IFERROR(INDEX(acm[],MATCH($C25,acm[[Country code]:[Country code]],0),MATCH(AC$1,acm[#Headers],0)),0)</f>
        <v>7.452462E-2</v>
      </c>
      <c r="AD25" s="33">
        <f>IFERROR(INDEX(acm[],MATCH($C25,acm[[Country code]:[Country code]],0),MATCH(AD$1,acm[#Headers],0)),0)</f>
        <v>1.3083130315146792E-2</v>
      </c>
      <c r="AE25" s="33">
        <f>IFERROR(INDEX(acm[],MATCH($C25,acm[[Country code]:[Country code]],0),MATCH(AE$1,acm[#Headers],0)),0)</f>
        <v>5.1726818568924651E-3</v>
      </c>
      <c r="AF25" s="33">
        <f>IFERROR(INDEX(acm[],MATCH($C25,acm[[Country code]:[Country code]],0),MATCH(AF$1,acm[#Headers],0)),0)</f>
        <v>3.3557672904945485E-3</v>
      </c>
      <c r="AG25" s="33">
        <f>IFERROR(INDEX(acm[],MATCH($C25,acm[[Country code]:[Country code]],0),MATCH(AG$1,acm[#Headers],0)),0)</f>
        <v>3.8593400925335006E-3</v>
      </c>
      <c r="AH25" s="33">
        <f>IFERROR(INDEX(acm[],MATCH($C25,acm[[Country code]:[Country code]],0),MATCH(AH$1,acm[#Headers],0)),0)</f>
        <v>5.0987288719791489E-3</v>
      </c>
      <c r="AI25" s="33">
        <f>IFERROR(INDEX(acm[],MATCH($C25,acm[[Country code]:[Country code]],0),MATCH(AI$1,acm[#Headers],0)),0)</f>
        <v>6.6955044433153633E-3</v>
      </c>
      <c r="AJ25" s="33">
        <f>IFERROR(INDEX(acm[],MATCH($C25,acm[[Country code]:[Country code]],0),MATCH(AJ$1,acm[#Headers],0)),0)</f>
        <v>8.4720848040507456E-3</v>
      </c>
      <c r="AK25" s="33">
        <f>IFERROR(INDEX(acm[],MATCH($C25,acm[[Country code]:[Country code]],0),MATCH(AK$1,acm[#Headers],0)),0)</f>
        <v>1.0411925957953318E-2</v>
      </c>
      <c r="AL25" s="33">
        <f>IFERROR(INDEX(acm[],MATCH($C25,acm[[Country code]:[Country code]],0),MATCH(AL$1,acm[#Headers],0)),0)</f>
        <v>1.1080151343649754E-2</v>
      </c>
      <c r="AM25" s="33">
        <f>IFERROR(INDEX(acm[],MATCH($C25,acm[[Country code]:[Country code]],0),MATCH(AM$1,acm[#Headers],0)),0)</f>
        <v>1.1559324901721306E-2</v>
      </c>
      <c r="AN25" s="33">
        <f>IFERROR(INDEX(acm[],MATCH($C25,acm[[Country code]:[Country code]],0),MATCH(AN$1,acm[#Headers],0)),0)</f>
        <v>1.2924525230492354E-2</v>
      </c>
      <c r="AO25" s="33">
        <f>IFERROR(INDEX(acm[],MATCH($C25,acm[[Country code]:[Country code]],0),MATCH(AO$1,acm[#Headers],0)),0)</f>
        <v>1.6349138162578825E-2</v>
      </c>
      <c r="AP25" s="33">
        <f>IFERROR(INDEX(acm[],MATCH($C25,acm[[Country code]:[Country code]],0),MATCH(AP$1,acm[#Headers],0)),0)</f>
        <v>2.34057272938786E-2</v>
      </c>
      <c r="AQ25" s="33">
        <f>IFERROR(INDEX(acm[],MATCH($C25,acm[[Country code]:[Country code]],0),MATCH(AQ$1,acm[#Headers],0)),0)</f>
        <v>3.4681211713298674E-2</v>
      </c>
      <c r="AR25" s="33">
        <f>IFERROR(INDEX(acm[],MATCH($C25,acm[[Country code]:[Country code]],0),MATCH(AR$1,acm[#Headers],0)),0)</f>
        <v>5.2117806535806076E-2</v>
      </c>
      <c r="AS25" s="33">
        <f>IFERROR(INDEX(acm[],MATCH($C25,acm[[Country code]:[Country code]],0),MATCH(AS$1,acm[#Headers],0)),0)</f>
        <v>7.5725788787142714E-2</v>
      </c>
      <c r="AT25" s="33">
        <f>IFERROR(INDEX(acm[],MATCH($C25,acm[[Country code]:[Country code]],0),MATCH(AT$1,acm[#Headers],0)),0)</f>
        <v>0.10590133201655805</v>
      </c>
      <c r="AU25" s="33">
        <f>IFERROR(INDEX(acm[],MATCH($C25,acm[[Country code]:[Country code]],0),MATCH(AU$1,acm[#Headers],0)),0)</f>
        <v>0.13696195144420933</v>
      </c>
      <c r="AV25" s="33">
        <f>IFERROR(INDEX(acm[],MATCH($C25,acm[[Country code]:[Country code]],0),MATCH(AV$1,acm[#Headers],0)),0)</f>
        <v>0.16219236641061724</v>
      </c>
      <c r="AW25" s="33">
        <f>IFERROR(INDEX(acm[],MATCH($C25,acm[[Country code]:[Country code]],0),MATCH(AW$1,acm[#Headers],0)),0)</f>
        <v>0.17872314050125573</v>
      </c>
      <c r="AX25" s="33">
        <f>IFERROR(VLOOKUP(lmic_raw[[#This Row],[num]],life_exp[[Country code]:[2015-2020]],2,FALSE),0)</f>
        <v>53.798999999999999</v>
      </c>
    </row>
    <row r="26" spans="1:50" x14ac:dyDescent="0.25">
      <c r="A26" s="109" t="s">
        <v>202</v>
      </c>
      <c r="B26" s="101" t="s">
        <v>400</v>
      </c>
      <c r="C26" s="102">
        <v>156</v>
      </c>
      <c r="D26" s="82" t="s">
        <v>681</v>
      </c>
      <c r="E26" s="82" t="s">
        <v>603</v>
      </c>
      <c r="F26" s="82" t="s">
        <v>666</v>
      </c>
      <c r="G26" s="82" t="s">
        <v>676</v>
      </c>
      <c r="H26" s="33">
        <f>VLOOKUP(lmic_raw[[#This Row],[num]],pop[[Country code]:[pop_20]],2,FALSE)*1000</f>
        <v>1433783692</v>
      </c>
      <c r="I26" s="117">
        <f>IFERROR(VLOOKUP(lmic_raw[[#This Row],[num]],pop[[Country code]:[pop_20]],2,FALSE)*VLOOKUP(lmic_raw[[#This Row],[num]],b_rate[[Country code]:[2015-2020]],2,FALSE),0)</f>
        <v>17105039.445560001</v>
      </c>
      <c r="J26">
        <f>IFERROR(MIN(VLOOKUP(lmic_raw[[#This Row],[iso3]],fac_b[],4,FALSE)/100,0.9999),0)</f>
        <v>0.99900000000000011</v>
      </c>
      <c r="K26" s="33">
        <f>VLOOKUP(lmic_raw[[#This Row],[iso3]],vax[[iso3]:[hbv3]],2,FALSE)/100</f>
        <v>0.96</v>
      </c>
      <c r="L26" s="33">
        <f>VLOOKUP(lmic_raw[[#This Row],[iso3]],vax[[iso3]:[hbv3]],3,FALSE)/100</f>
        <v>0.99</v>
      </c>
      <c r="M26">
        <f>IFERROR(VLOOKUP(lmic_raw[[#This Row],[iso3]], hbv_prev[[iso3]:[ub]],2,FALSE)/100,0)</f>
        <v>7.1800000000000003E-2</v>
      </c>
      <c r="N26">
        <f>IFERROR(VLOOKUP(lmic_raw[[#This Row],[setting]],hbe_prev[],3,FALSE),0)</f>
        <v>0.33366275035206483</v>
      </c>
      <c r="O26">
        <f>VLOOKUP(lmic_raw[[#This Row],[gbd_super]],hbe_risk[],2,FALSE)</f>
        <v>0.8</v>
      </c>
      <c r="P26" s="33">
        <f>VLOOKUP(lmic_raw[[#This Row],[gbd_super]],hbe_risk[],5,FALSE)</f>
        <v>0.17499999999999999</v>
      </c>
      <c r="Q26">
        <f>IFERROR(VLOOKUP(lmic_raw[[#This Row],[setting]],disease_costs!$A$4:$B$197,2,FALSE),0)</f>
        <v>8.046813001175563</v>
      </c>
      <c r="R26">
        <f>IFERROR(VLOOKUP(lmic_raw[[#This Row],[gbd_super]],disease_costs!$G$4:$K$9,2,FALSE),0)</f>
        <v>73.084500000000006</v>
      </c>
      <c r="S26" s="33">
        <f>IFERROR(VLOOKUP(lmic_raw[[#This Row],[gbd_super]],disease_costs!$G$4:$K$9,3,FALSE),0)</f>
        <v>120.8265</v>
      </c>
      <c r="T26" s="33">
        <f>IFERROR(VLOOKUP(lmic_raw[[#This Row],[gbd_super]],disease_costs!$G$4:$K$9,4,FALSE),0)</f>
        <v>120.8265</v>
      </c>
      <c r="U26" s="33">
        <f>IFERROR(VLOOKUP(lmic_raw[[#This Row],[gbd_super]],disease_costs!$G$4:$K$9,5,FALSE),0)</f>
        <v>120.8265</v>
      </c>
      <c r="V26">
        <f>IFERROR(VLOOKUP(lmic_raw[[#This Row],[setting]],vcost[],3,FALSE),0)</f>
        <v>2.6840346264902699</v>
      </c>
      <c r="W26">
        <f>IFERROR(VLOOKUP(lmic_raw[[#This Row],[setting]],vcost[],4,FALSE),0)</f>
        <v>3.3140346264902698</v>
      </c>
      <c r="X26">
        <f>IFERROR(VLOOKUP(lmic_raw[[#This Row],[setting]],vcost[],5,FALSE),0)</f>
        <v>2.233244436944307</v>
      </c>
      <c r="Y26">
        <f>IFERROR(VLOOKUP(lmic_raw[[#This Row],[setting]],vcost[],6,FALSE),0)</f>
        <v>2.8632444369443069</v>
      </c>
      <c r="Z26">
        <f>IFERROR(VLOOKUP(lmic_raw[[#This Row],[setting]],vcost[],7,FALSE),0)</f>
        <v>2.849845893664225</v>
      </c>
      <c r="AA26">
        <f>IFERROR(VLOOKUP(lmic_raw[[#This Row],[setting]],vcost[],8,FALSE),0)</f>
        <v>2.9347548055150017</v>
      </c>
      <c r="AB26">
        <f>IFERROR(VLOOKUP(lmic_raw[[#This Row],[setting]],vcost[],9,FALSE),0)</f>
        <v>3.5647548055150016</v>
      </c>
      <c r="AC26" s="33">
        <f>IFERROR(INDEX(acm[],MATCH($C26,acm[[Country code]:[Country code]],0),MATCH(AC$1,acm[#Headers],0)),0)</f>
        <v>9.8941700000000129E-3</v>
      </c>
      <c r="AD26" s="33">
        <f>IFERROR(INDEX(acm[],MATCH($C26,acm[[Country code]:[Country code]],0),MATCH(AD$1,acm[#Headers],0)),0)</f>
        <v>4.1349115174888618E-4</v>
      </c>
      <c r="AE26" s="33">
        <f>IFERROR(INDEX(acm[],MATCH($C26,acm[[Country code]:[Country code]],0),MATCH(AE$1,acm[#Headers],0)),0)</f>
        <v>3.1192504790974275E-4</v>
      </c>
      <c r="AF26" s="33">
        <f>IFERROR(INDEX(acm[],MATCH($C26,acm[[Country code]:[Country code]],0),MATCH(AF$1,acm[#Headers],0)),0)</f>
        <v>2.3281974802200089E-4</v>
      </c>
      <c r="AG26" s="33">
        <f>IFERROR(INDEX(acm[],MATCH($C26,acm[[Country code]:[Country code]],0),MATCH(AG$1,acm[#Headers],0)),0)</f>
        <v>3.3838460396917025E-4</v>
      </c>
      <c r="AH26" s="33">
        <f>IFERROR(INDEX(acm[],MATCH($C26,acm[[Country code]:[Country code]],0),MATCH(AH$1,acm[#Headers],0)),0)</f>
        <v>4.7513191743787025E-4</v>
      </c>
      <c r="AI26" s="33">
        <f>IFERROR(INDEX(acm[],MATCH($C26,acm[[Country code]:[Country code]],0),MATCH(AI$1,acm[#Headers],0)),0)</f>
        <v>6.3559567612006638E-4</v>
      </c>
      <c r="AJ26" s="33">
        <f>IFERROR(INDEX(acm[],MATCH($C26,acm[[Country code]:[Country code]],0),MATCH(AJ$1,acm[#Headers],0)),0)</f>
        <v>8.0382412585949207E-4</v>
      </c>
      <c r="AK26" s="33">
        <f>IFERROR(INDEX(acm[],MATCH($C26,acm[[Country code]:[Country code]],0),MATCH(AK$1,acm[#Headers],0)),0)</f>
        <v>1.0182795635051796E-3</v>
      </c>
      <c r="AL26" s="33">
        <f>IFERROR(INDEX(acm[],MATCH($C26,acm[[Country code]:[Country code]],0),MATCH(AL$1,acm[#Headers],0)),0)</f>
        <v>1.4416102180106471E-3</v>
      </c>
      <c r="AM26" s="33">
        <f>IFERROR(INDEX(acm[],MATCH($C26,acm[[Country code]:[Country code]],0),MATCH(AM$1,acm[#Headers],0)),0)</f>
        <v>2.1173871312260202E-3</v>
      </c>
      <c r="AN26" s="33">
        <f>IFERROR(INDEX(acm[],MATCH($C26,acm[[Country code]:[Country code]],0),MATCH(AN$1,acm[#Headers],0)),0)</f>
        <v>3.512568221798414E-3</v>
      </c>
      <c r="AO26" s="33">
        <f>IFERROR(INDEX(acm[],MATCH($C26,acm[[Country code]:[Country code]],0),MATCH(AO$1,acm[#Headers],0)),0)</f>
        <v>5.8831350606262144E-3</v>
      </c>
      <c r="AP26" s="33">
        <f>IFERROR(INDEX(acm[],MATCH($C26,acm[[Country code]:[Country code]],0),MATCH(AP$1,acm[#Headers],0)),0)</f>
        <v>1.0955642853977677E-2</v>
      </c>
      <c r="AQ26" s="33">
        <f>IFERROR(INDEX(acm[],MATCH($C26,acm[[Country code]:[Country code]],0),MATCH(AQ$1,acm[#Headers],0)),0)</f>
        <v>1.943896708122141E-2</v>
      </c>
      <c r="AR26" s="33">
        <f>IFERROR(INDEX(acm[],MATCH($C26,acm[[Country code]:[Country code]],0),MATCH(AR$1,acm[#Headers],0)),0)</f>
        <v>3.4256869399675968E-2</v>
      </c>
      <c r="AS26" s="33">
        <f>IFERROR(INDEX(acm[],MATCH($C26,acm[[Country code]:[Country code]],0),MATCH(AS$1,acm[#Headers],0)),0)</f>
        <v>5.4431970137010864E-2</v>
      </c>
      <c r="AT26" s="33">
        <f>IFERROR(INDEX(acm[],MATCH($C26,acm[[Country code]:[Country code]],0),MATCH(AT$1,acm[#Headers],0)),0)</f>
        <v>7.7417050050061387E-2</v>
      </c>
      <c r="AU26" s="33">
        <f>IFERROR(INDEX(acm[],MATCH($C26,acm[[Country code]:[Country code]],0),MATCH(AU$1,acm[#Headers],0)),0)</f>
        <v>0.10718323055323137</v>
      </c>
      <c r="AV26" s="33">
        <f>IFERROR(INDEX(acm[],MATCH($C26,acm[[Country code]:[Country code]],0),MATCH(AV$1,acm[#Headers],0)),0)</f>
        <v>0.13326657184885557</v>
      </c>
      <c r="AW26" s="33">
        <f>IFERROR(INDEX(acm[],MATCH($C26,acm[[Country code]:[Country code]],0),MATCH(AW$1,acm[#Headers],0)),0)</f>
        <v>0.15465995088238757</v>
      </c>
      <c r="AX26" s="33">
        <f>IFERROR(VLOOKUP(lmic_raw[[#This Row],[num]],life_exp[[Country code]:[2015-2020]],2,FALSE),0)</f>
        <v>76.623000000000005</v>
      </c>
    </row>
    <row r="27" spans="1:50" x14ac:dyDescent="0.25">
      <c r="A27" s="110" t="s">
        <v>266</v>
      </c>
      <c r="B27" s="104" t="s">
        <v>401</v>
      </c>
      <c r="C27" s="105">
        <v>170</v>
      </c>
      <c r="D27" s="84" t="s">
        <v>679</v>
      </c>
      <c r="E27" s="84" t="s">
        <v>604</v>
      </c>
      <c r="F27" s="84" t="s">
        <v>665</v>
      </c>
      <c r="G27" s="84" t="s">
        <v>676</v>
      </c>
      <c r="H27" s="33">
        <f>VLOOKUP(lmic_raw[[#This Row],[num]],pop[[Country code]:[pop_20]],2,FALSE)*1000</f>
        <v>50339443</v>
      </c>
      <c r="I27" s="117">
        <f>IFERROR(VLOOKUP(lmic_raw[[#This Row],[num]],pop[[Country code]:[pop_20]],2,FALSE)*VLOOKUP(lmic_raw[[#This Row],[num]],b_rate[[Country code]:[2015-2020]],2,FALSE),0)</f>
        <v>756551.48884699994</v>
      </c>
      <c r="J27">
        <f>IFERROR(MIN(VLOOKUP(lmic_raw[[#This Row],[iso3]],fac_b[],4,FALSE)/100,0.9999),0)</f>
        <v>0.99199999999999999</v>
      </c>
      <c r="K27" s="33">
        <f>VLOOKUP(lmic_raw[[#This Row],[iso3]],vax[[iso3]:[hbv3]],2,FALSE)/100</f>
        <v>0.77</v>
      </c>
      <c r="L27" s="33">
        <f>VLOOKUP(lmic_raw[[#This Row],[iso3]],vax[[iso3]:[hbv3]],3,FALSE)/100</f>
        <v>0.92</v>
      </c>
      <c r="M27">
        <f>IFERROR(VLOOKUP(lmic_raw[[#This Row],[iso3]], hbv_prev[[iso3]:[ub]],2,FALSE)/100,0)</f>
        <v>1.26E-2</v>
      </c>
      <c r="N27">
        <f>IFERROR(VLOOKUP(lmic_raw[[#This Row],[setting]],hbe_prev[],3,FALSE),0)</f>
        <v>0.31514724266997862</v>
      </c>
      <c r="O27">
        <f>VLOOKUP(lmic_raw[[#This Row],[gbd_super]],hbe_risk[],2,FALSE)</f>
        <v>0.8</v>
      </c>
      <c r="P27" s="33">
        <f>VLOOKUP(lmic_raw[[#This Row],[gbd_super]],hbe_risk[],5,FALSE)</f>
        <v>0.17499999999999999</v>
      </c>
      <c r="Q27">
        <f>IFERROR(VLOOKUP(lmic_raw[[#This Row],[setting]],disease_costs!$A$4:$B$197,2,FALSE),0)</f>
        <v>18.978208196435485</v>
      </c>
      <c r="R27">
        <f>IFERROR(VLOOKUP(lmic_raw[[#This Row],[gbd_super]],disease_costs!$G$4:$K$9,2,FALSE),0)</f>
        <v>86.883899999999997</v>
      </c>
      <c r="S27" s="33">
        <f>IFERROR(VLOOKUP(lmic_raw[[#This Row],[gbd_super]],disease_costs!$G$4:$K$9,3,FALSE),0)</f>
        <v>134.6259</v>
      </c>
      <c r="T27" s="33">
        <f>IFERROR(VLOOKUP(lmic_raw[[#This Row],[gbd_super]],disease_costs!$G$4:$K$9,4,FALSE),0)</f>
        <v>134.6259</v>
      </c>
      <c r="U27" s="33">
        <f>IFERROR(VLOOKUP(lmic_raw[[#This Row],[gbd_super]],disease_costs!$G$4:$K$9,5,FALSE),0)</f>
        <v>134.6259</v>
      </c>
      <c r="V27">
        <f>IFERROR(VLOOKUP(lmic_raw[[#This Row],[setting]],vcost[],3,FALSE),0)</f>
        <v>3.5688756697313115</v>
      </c>
      <c r="W27">
        <f>IFERROR(VLOOKUP(lmic_raw[[#This Row],[setting]],vcost[],4,FALSE),0)</f>
        <v>3.5888756697313116</v>
      </c>
      <c r="X27">
        <f>IFERROR(VLOOKUP(lmic_raw[[#This Row],[setting]],vcost[],5,FALSE),0)</f>
        <v>3.1295303584647955</v>
      </c>
      <c r="Y27">
        <f>IFERROR(VLOOKUP(lmic_raw[[#This Row],[setting]],vcost[],6,FALSE),0)</f>
        <v>3.1495303584647956</v>
      </c>
      <c r="Z27">
        <f>IFERROR(VLOOKUP(lmic_raw[[#This Row],[setting]],vcost[],7,FALSE),0)</f>
        <v>3.1404017470542596</v>
      </c>
      <c r="AA27">
        <f>IFERROR(VLOOKUP(lmic_raw[[#This Row],[setting]],vcost[],8,FALSE),0)</f>
        <v>3.8154703693762424</v>
      </c>
      <c r="AB27">
        <f>IFERROR(VLOOKUP(lmic_raw[[#This Row],[setting]],vcost[],9,FALSE),0)</f>
        <v>3.8354703693762424</v>
      </c>
      <c r="AC27" s="33">
        <f>IFERROR(INDEX(acm[],MATCH($C27,acm[[Country code]:[Country code]],0),MATCH(AC$1,acm[#Headers],0)),0)</f>
        <v>1.2637350000000006E-2</v>
      </c>
      <c r="AD27" s="33">
        <f>IFERROR(INDEX(acm[],MATCH($C27,acm[[Country code]:[Country code]],0),MATCH(AD$1,acm[#Headers],0)),0)</f>
        <v>5.3865213556538111E-4</v>
      </c>
      <c r="AE27" s="33">
        <f>IFERROR(INDEX(acm[],MATCH($C27,acm[[Country code]:[Country code]],0),MATCH(AE$1,acm[#Headers],0)),0)</f>
        <v>4.0049114360269359E-4</v>
      </c>
      <c r="AF27" s="33">
        <f>IFERROR(INDEX(acm[],MATCH($C27,acm[[Country code]:[Country code]],0),MATCH(AF$1,acm[#Headers],0)),0)</f>
        <v>3.6850387787640276E-4</v>
      </c>
      <c r="AG27" s="33">
        <f>IFERROR(INDEX(acm[],MATCH($C27,acm[[Country code]:[Country code]],0),MATCH(AG$1,acm[#Headers],0)),0)</f>
        <v>9.3549477319647498E-4</v>
      </c>
      <c r="AH27" s="33">
        <f>IFERROR(INDEX(acm[],MATCH($C27,acm[[Country code]:[Country code]],0),MATCH(AH$1,acm[#Headers],0)),0)</f>
        <v>1.7994247056837621E-3</v>
      </c>
      <c r="AI27" s="33">
        <f>IFERROR(INDEX(acm[],MATCH($C27,acm[[Country code]:[Country code]],0),MATCH(AI$1,acm[#Headers],0)),0)</f>
        <v>1.864232983062206E-3</v>
      </c>
      <c r="AJ27" s="33">
        <f>IFERROR(INDEX(acm[],MATCH($C27,acm[[Country code]:[Country code]],0),MATCH(AJ$1,acm[#Headers],0)),0)</f>
        <v>1.825573792480839E-3</v>
      </c>
      <c r="AK27" s="33">
        <f>IFERROR(INDEX(acm[],MATCH($C27,acm[[Country code]:[Country code]],0),MATCH(AK$1,acm[#Headers],0)),0)</f>
        <v>1.9885352256190023E-3</v>
      </c>
      <c r="AL27" s="33">
        <f>IFERROR(INDEX(acm[],MATCH($C27,acm[[Country code]:[Country code]],0),MATCH(AL$1,acm[#Headers],0)),0)</f>
        <v>2.2528131865802684E-3</v>
      </c>
      <c r="AM27" s="33">
        <f>IFERROR(INDEX(acm[],MATCH($C27,acm[[Country code]:[Country code]],0),MATCH(AM$1,acm[#Headers],0)),0)</f>
        <v>2.8462647968053767E-3</v>
      </c>
      <c r="AN27" s="33">
        <f>IFERROR(INDEX(acm[],MATCH($C27,acm[[Country code]:[Country code]],0),MATCH(AN$1,acm[#Headers],0)),0)</f>
        <v>4.3761225358191951E-3</v>
      </c>
      <c r="AO27" s="33">
        <f>IFERROR(INDEX(acm[],MATCH($C27,acm[[Country code]:[Country code]],0),MATCH(AO$1,acm[#Headers],0)),0)</f>
        <v>6.5323439574352634E-3</v>
      </c>
      <c r="AP27" s="33">
        <f>IFERROR(INDEX(acm[],MATCH($C27,acm[[Country code]:[Country code]],0),MATCH(AP$1,acm[#Headers],0)),0)</f>
        <v>1.0092265971036027E-2</v>
      </c>
      <c r="AQ27" s="33">
        <f>IFERROR(INDEX(acm[],MATCH($C27,acm[[Country code]:[Country code]],0),MATCH(AQ$1,acm[#Headers],0)),0)</f>
        <v>1.559690302839245E-2</v>
      </c>
      <c r="AR27" s="33">
        <f>IFERROR(INDEX(acm[],MATCH($C27,acm[[Country code]:[Country code]],0),MATCH(AR$1,acm[#Headers],0)),0)</f>
        <v>2.3838540259638542E-2</v>
      </c>
      <c r="AS27" s="33">
        <f>IFERROR(INDEX(acm[],MATCH($C27,acm[[Country code]:[Country code]],0),MATCH(AS$1,acm[#Headers],0)),0)</f>
        <v>3.5819227461109215E-2</v>
      </c>
      <c r="AT27" s="33">
        <f>IFERROR(INDEX(acm[],MATCH($C27,acm[[Country code]:[Country code]],0),MATCH(AT$1,acm[#Headers],0)),0)</f>
        <v>5.6040589677096839E-2</v>
      </c>
      <c r="AU27" s="33">
        <f>IFERROR(INDEX(acm[],MATCH($C27,acm[[Country code]:[Country code]],0),MATCH(AU$1,acm[#Headers],0)),0)</f>
        <v>8.7598910727402585E-2</v>
      </c>
      <c r="AV27" s="33">
        <f>IFERROR(INDEX(acm[],MATCH($C27,acm[[Country code]:[Country code]],0),MATCH(AV$1,acm[#Headers],0)),0)</f>
        <v>0.10396421786115767</v>
      </c>
      <c r="AW27" s="33">
        <f>IFERROR(INDEX(acm[],MATCH($C27,acm[[Country code]:[Country code]],0),MATCH(AW$1,acm[#Headers],0)),0)</f>
        <v>0.15253600286363886</v>
      </c>
      <c r="AX27" s="33">
        <f>IFERROR(VLOOKUP(lmic_raw[[#This Row],[num]],life_exp[[Country code]:[2015-2020]],2,FALSE),0)</f>
        <v>77.021000000000001</v>
      </c>
    </row>
    <row r="28" spans="1:50" x14ac:dyDescent="0.25">
      <c r="A28" s="109" t="s">
        <v>606</v>
      </c>
      <c r="B28" s="101" t="s">
        <v>402</v>
      </c>
      <c r="C28" s="102">
        <v>174</v>
      </c>
      <c r="D28" s="82" t="s">
        <v>677</v>
      </c>
      <c r="E28" s="82" t="s">
        <v>597</v>
      </c>
      <c r="F28" s="82" t="s">
        <v>667</v>
      </c>
      <c r="G28" s="82" t="s">
        <v>678</v>
      </c>
      <c r="H28" s="33">
        <f>VLOOKUP(lmic_raw[[#This Row],[num]],pop[[Country code]:[pop_20]],2,FALSE)*1000</f>
        <v>850891</v>
      </c>
      <c r="I28" s="117">
        <f>IFERROR(VLOOKUP(lmic_raw[[#This Row],[num]],pop[[Country code]:[pop_20]],2,FALSE)*VLOOKUP(lmic_raw[[#This Row],[num]],b_rate[[Country code]:[2015-2020]],2,FALSE),0)</f>
        <v>27301.688625999999</v>
      </c>
      <c r="J28">
        <f>IFERROR(MIN(VLOOKUP(lmic_raw[[#This Row],[iso3]],fac_b[],4,FALSE)/100,0.9999),0)</f>
        <v>0.7609999999999999</v>
      </c>
      <c r="K28" s="33">
        <f>VLOOKUP(lmic_raw[[#This Row],[iso3]],vax[[iso3]:[hbv3]],2,FALSE)/100</f>
        <v>0</v>
      </c>
      <c r="L28" s="33">
        <f>VLOOKUP(lmic_raw[[#This Row],[iso3]],vax[[iso3]:[hbv3]],3,FALSE)/100</f>
        <v>0.91</v>
      </c>
      <c r="M28">
        <f>IFERROR(VLOOKUP(lmic_raw[[#This Row],[iso3]], hbv_prev[[iso3]:[ub]],2,FALSE)/100,0)</f>
        <v>4.3099999999999999E-2</v>
      </c>
      <c r="N28">
        <f>IFERROR(VLOOKUP(lmic_raw[[#This Row],[setting]],hbe_prev[],3,FALSE),0)</f>
        <v>0.27833288120198318</v>
      </c>
      <c r="O28">
        <f>VLOOKUP(lmic_raw[[#This Row],[gbd_super]],hbe_risk[],2,FALSE)</f>
        <v>0.38300000000000001</v>
      </c>
      <c r="P28" s="33">
        <f>VLOOKUP(lmic_raw[[#This Row],[gbd_super]],hbe_risk[],5,FALSE)</f>
        <v>4.8000000000000001E-2</v>
      </c>
      <c r="Q28">
        <f>IFERROR(VLOOKUP(lmic_raw[[#This Row],[setting]],disease_costs!$A$4:$B$197,2,FALSE),0)</f>
        <v>3.2161095869836105</v>
      </c>
      <c r="R28">
        <f>IFERROR(VLOOKUP(lmic_raw[[#This Row],[gbd_super]],disease_costs!$G$4:$K$9,2,FALSE),0)</f>
        <v>29.920500000000001</v>
      </c>
      <c r="S28" s="33">
        <f>IFERROR(VLOOKUP(lmic_raw[[#This Row],[gbd_super]],disease_costs!$G$4:$K$9,3,FALSE),0)</f>
        <v>77.662500000000009</v>
      </c>
      <c r="T28" s="33">
        <f>IFERROR(VLOOKUP(lmic_raw[[#This Row],[gbd_super]],disease_costs!$G$4:$K$9,4,FALSE),0)</f>
        <v>77.662500000000009</v>
      </c>
      <c r="U28" s="33">
        <f>IFERROR(VLOOKUP(lmic_raw[[#This Row],[gbd_super]],disease_costs!$G$4:$K$9,5,FALSE),0)</f>
        <v>77.662500000000009</v>
      </c>
      <c r="V28">
        <f>IFERROR(VLOOKUP(lmic_raw[[#This Row],[setting]],vcost[],3,FALSE),0)</f>
        <v>5.3257413390391548</v>
      </c>
      <c r="W28">
        <f>IFERROR(VLOOKUP(lmic_raw[[#This Row],[setting]],vcost[],4,FALSE),0)</f>
        <v>10.155741339039155</v>
      </c>
      <c r="X28">
        <f>IFERROR(VLOOKUP(lmic_raw[[#This Row],[setting]],vcost[],5,FALSE),0)</f>
        <v>4.8996858576462525</v>
      </c>
      <c r="Y28">
        <f>IFERROR(VLOOKUP(lmic_raw[[#This Row],[setting]],vcost[],6,FALSE),0)</f>
        <v>9.7296858576462526</v>
      </c>
      <c r="Z28">
        <f>IFERROR(VLOOKUP(lmic_raw[[#This Row],[setting]],vcost[],7,FALSE),0)</f>
        <v>9.7263567134708993</v>
      </c>
      <c r="AA28">
        <f>IFERROR(VLOOKUP(lmic_raw[[#This Row],[setting]],vcost[],8,FALSE),0)</f>
        <v>5.5675455186133638</v>
      </c>
      <c r="AB28">
        <f>IFERROR(VLOOKUP(lmic_raw[[#This Row],[setting]],vcost[],9,FALSE),0)</f>
        <v>10.397545518613363</v>
      </c>
      <c r="AC28" s="33">
        <f>IFERROR(INDEX(acm[],MATCH($C28,acm[[Country code]:[Country code]],0),MATCH(AC$1,acm[#Headers],0)),0)</f>
        <v>5.3117580000000018E-2</v>
      </c>
      <c r="AD28" s="33">
        <f>IFERROR(INDEX(acm[],MATCH($C28,acm[[Country code]:[Country code]],0),MATCH(AD$1,acm[#Headers],0)),0)</f>
        <v>4.4733246816431645E-3</v>
      </c>
      <c r="AE28" s="33">
        <f>IFERROR(INDEX(acm[],MATCH($C28,acm[[Country code]:[Country code]],0),MATCH(AE$1,acm[#Headers],0)),0)</f>
        <v>1.367968458423591E-3</v>
      </c>
      <c r="AF28" s="33">
        <f>IFERROR(INDEX(acm[],MATCH($C28,acm[[Country code]:[Country code]],0),MATCH(AF$1,acm[#Headers],0)),0)</f>
        <v>1.0731665348840088E-3</v>
      </c>
      <c r="AG28" s="33">
        <f>IFERROR(INDEX(acm[],MATCH($C28,acm[[Country code]:[Country code]],0),MATCH(AG$1,acm[#Headers],0)),0)</f>
        <v>1.7216025774921843E-3</v>
      </c>
      <c r="AH28" s="33">
        <f>IFERROR(INDEX(acm[],MATCH($C28,acm[[Country code]:[Country code]],0),MATCH(AH$1,acm[#Headers],0)),0)</f>
        <v>2.3973981604181061E-3</v>
      </c>
      <c r="AI28" s="33">
        <f>IFERROR(INDEX(acm[],MATCH($C28,acm[[Country code]:[Country code]],0),MATCH(AI$1,acm[#Headers],0)),0)</f>
        <v>2.6139796347828515E-3</v>
      </c>
      <c r="AJ28" s="33">
        <f>IFERROR(INDEX(acm[],MATCH($C28,acm[[Country code]:[Country code]],0),MATCH(AJ$1,acm[#Headers],0)),0)</f>
        <v>2.993883306561577E-3</v>
      </c>
      <c r="AK28" s="33">
        <f>IFERROR(INDEX(acm[],MATCH($C28,acm[[Country code]:[Country code]],0),MATCH(AK$1,acm[#Headers],0)),0)</f>
        <v>3.6980277228157348E-3</v>
      </c>
      <c r="AL28" s="33">
        <f>IFERROR(INDEX(acm[],MATCH($C28,acm[[Country code]:[Country code]],0),MATCH(AL$1,acm[#Headers],0)),0)</f>
        <v>4.8596002026809627E-3</v>
      </c>
      <c r="AM28" s="33">
        <f>IFERROR(INDEX(acm[],MATCH($C28,acm[[Country code]:[Country code]],0),MATCH(AM$1,acm[#Headers],0)),0)</f>
        <v>6.7645265277408743E-3</v>
      </c>
      <c r="AN28" s="33">
        <f>IFERROR(INDEX(acm[],MATCH($C28,acm[[Country code]:[Country code]],0),MATCH(AN$1,acm[#Headers],0)),0)</f>
        <v>9.8107215788994246E-3</v>
      </c>
      <c r="AO28" s="33">
        <f>IFERROR(INDEX(acm[],MATCH($C28,acm[[Country code]:[Country code]],0),MATCH(AO$1,acm[#Headers],0)),0)</f>
        <v>1.4404631742828257E-2</v>
      </c>
      <c r="AP28" s="33">
        <f>IFERROR(INDEX(acm[],MATCH($C28,acm[[Country code]:[Country code]],0),MATCH(AP$1,acm[#Headers],0)),0)</f>
        <v>2.1682562096455023E-2</v>
      </c>
      <c r="AQ28" s="33">
        <f>IFERROR(INDEX(acm[],MATCH($C28,acm[[Country code]:[Country code]],0),MATCH(AQ$1,acm[#Headers],0)),0)</f>
        <v>3.2718619887808872E-2</v>
      </c>
      <c r="AR28" s="33">
        <f>IFERROR(INDEX(acm[],MATCH($C28,acm[[Country code]:[Country code]],0),MATCH(AR$1,acm[#Headers],0)),0)</f>
        <v>4.9782045329479753E-2</v>
      </c>
      <c r="AS28" s="33">
        <f>IFERROR(INDEX(acm[],MATCH($C28,acm[[Country code]:[Country code]],0),MATCH(AS$1,acm[#Headers],0)),0)</f>
        <v>7.3859408421804468E-2</v>
      </c>
      <c r="AT28" s="33">
        <f>IFERROR(INDEX(acm[],MATCH($C28,acm[[Country code]:[Country code]],0),MATCH(AT$1,acm[#Headers],0)),0)</f>
        <v>0.10484703295475105</v>
      </c>
      <c r="AU28" s="33">
        <f>IFERROR(INDEX(acm[],MATCH($C28,acm[[Country code]:[Country code]],0),MATCH(AU$1,acm[#Headers],0)),0)</f>
        <v>0.13712499271089665</v>
      </c>
      <c r="AV28" s="33">
        <f>IFERROR(INDEX(acm[],MATCH($C28,acm[[Country code]:[Country code]],0),MATCH(AV$1,acm[#Headers],0)),0)</f>
        <v>0.16310819751122144</v>
      </c>
      <c r="AW28" s="33">
        <f>IFERROR(INDEX(acm[],MATCH($C28,acm[[Country code]:[Country code]],0),MATCH(AW$1,acm[#Headers],0)),0)</f>
        <v>0.17969401756102807</v>
      </c>
      <c r="AX28" s="33">
        <f>IFERROR(VLOOKUP(lmic_raw[[#This Row],[num]],life_exp[[Country code]:[2015-2020]],2,FALSE),0)</f>
        <v>63.982999999999997</v>
      </c>
    </row>
    <row r="29" spans="1:50" x14ac:dyDescent="0.25">
      <c r="A29" s="84" t="s">
        <v>611</v>
      </c>
      <c r="B29" s="104" t="s">
        <v>412</v>
      </c>
      <c r="C29" s="105">
        <v>180</v>
      </c>
      <c r="D29" s="84" t="s">
        <v>677</v>
      </c>
      <c r="E29" s="84" t="s">
        <v>582</v>
      </c>
      <c r="F29" s="84" t="s">
        <v>667</v>
      </c>
      <c r="G29" s="84" t="s">
        <v>674</v>
      </c>
      <c r="H29" s="33">
        <f>VLOOKUP(lmic_raw[[#This Row],[num]],pop[[Country code]:[pop_20]],2,FALSE)*1000</f>
        <v>86790568</v>
      </c>
      <c r="I29" s="117">
        <f>IFERROR(VLOOKUP(lmic_raw[[#This Row],[num]],pop[[Country code]:[pop_20]],2,FALSE)*VLOOKUP(lmic_raw[[#This Row],[num]],b_rate[[Country code]:[2015-2020]],2,FALSE),0)</f>
        <v>3594691.7454240001</v>
      </c>
      <c r="J29">
        <f>IFERROR(MIN(VLOOKUP(lmic_raw[[#This Row],[iso3]],fac_b[],4,FALSE)/100,0.9999),0)</f>
        <v>0.81499999999999995</v>
      </c>
      <c r="K29" s="33">
        <f>VLOOKUP(lmic_raw[[#This Row],[iso3]],vax[[iso3]:[hbv3]],2,FALSE)/100</f>
        <v>0</v>
      </c>
      <c r="L29" s="33">
        <f>VLOOKUP(lmic_raw[[#This Row],[iso3]],vax[[iso3]:[hbv3]],3,FALSE)/100</f>
        <v>0.56999999999999995</v>
      </c>
      <c r="M29">
        <f>IFERROR(VLOOKUP(lmic_raw[[#This Row],[iso3]], hbv_prev[[iso3]:[ub]],2,FALSE)/100,0)</f>
        <v>3.15E-2</v>
      </c>
      <c r="N29">
        <f>IFERROR(VLOOKUP(lmic_raw[[#This Row],[setting]],hbe_prev[],3,FALSE),0)</f>
        <v>0.28784992441120982</v>
      </c>
      <c r="O29">
        <f>VLOOKUP(lmic_raw[[#This Row],[gbd_super]],hbe_risk[],2,FALSE)</f>
        <v>0.38300000000000001</v>
      </c>
      <c r="P29" s="33">
        <f>VLOOKUP(lmic_raw[[#This Row],[gbd_super]],hbe_risk[],5,FALSE)</f>
        <v>4.8000000000000001E-2</v>
      </c>
      <c r="Q29" s="118">
        <f>IFERROR(VLOOKUP(lmic_raw[[#This Row],[setting]],disease_costs!$A$4:$B$197,2,FALSE),0)</f>
        <v>0</v>
      </c>
      <c r="R29">
        <f>IFERROR(VLOOKUP(lmic_raw[[#This Row],[gbd_super]],disease_costs!$G$4:$K$9,2,FALSE),0)</f>
        <v>29.920500000000001</v>
      </c>
      <c r="S29" s="33">
        <f>IFERROR(VLOOKUP(lmic_raw[[#This Row],[gbd_super]],disease_costs!$G$4:$K$9,3,FALSE),0)</f>
        <v>77.662500000000009</v>
      </c>
      <c r="T29" s="33">
        <f>IFERROR(VLOOKUP(lmic_raw[[#This Row],[gbd_super]],disease_costs!$G$4:$K$9,4,FALSE),0)</f>
        <v>77.662500000000009</v>
      </c>
      <c r="U29" s="33">
        <f>IFERROR(VLOOKUP(lmic_raw[[#This Row],[gbd_super]],disease_costs!$G$4:$K$9,5,FALSE),0)</f>
        <v>77.662500000000009</v>
      </c>
      <c r="V29">
        <f>IFERROR(VLOOKUP(lmic_raw[[#This Row],[setting]],vcost[],3,FALSE),0)</f>
        <v>1.4676423442866162</v>
      </c>
      <c r="W29">
        <f>IFERROR(VLOOKUP(lmic_raw[[#This Row],[setting]],vcost[],4,FALSE),0)</f>
        <v>6.2976423442866167</v>
      </c>
      <c r="X29">
        <f>IFERROR(VLOOKUP(lmic_raw[[#This Row],[setting]],vcost[],5,FALSE),0)</f>
        <v>1.0447184280092592</v>
      </c>
      <c r="Y29">
        <f>IFERROR(VLOOKUP(lmic_raw[[#This Row],[setting]],vcost[],6,FALSE),0)</f>
        <v>5.8747184280092597</v>
      </c>
      <c r="Z29">
        <f>IFERROR(VLOOKUP(lmic_raw[[#This Row],[setting]],vcost[],7,FALSE),0)</f>
        <v>5.8728199512345682</v>
      </c>
      <c r="AA29">
        <f>IFERROR(VLOOKUP(lmic_raw[[#This Row],[setting]],vcost[],8,FALSE),0)</f>
        <v>1.7083177038773147</v>
      </c>
      <c r="AB29">
        <f>IFERROR(VLOOKUP(lmic_raw[[#This Row],[setting]],vcost[],9,FALSE),0)</f>
        <v>6.5383177038773148</v>
      </c>
      <c r="AC29" s="33">
        <f>IFERROR(INDEX(acm[],MATCH($C29,acm[[Country code]:[Country code]],0),MATCH(AC$1,acm[#Headers],0)),0)</f>
        <v>6.4932519999999938E-2</v>
      </c>
      <c r="AD29" s="33">
        <f>IFERROR(INDEX(acm[],MATCH($C29,acm[[Country code]:[Country code]],0),MATCH(AD$1,acm[#Headers],0)),0)</f>
        <v>9.5056695801248679E-3</v>
      </c>
      <c r="AE29" s="33">
        <f>IFERROR(INDEX(acm[],MATCH($C29,acm[[Country code]:[Country code]],0),MATCH(AE$1,acm[#Headers],0)),0)</f>
        <v>3.4410748447625044E-3</v>
      </c>
      <c r="AF29" s="33">
        <f>IFERROR(INDEX(acm[],MATCH($C29,acm[[Country code]:[Country code]],0),MATCH(AF$1,acm[#Headers],0)),0)</f>
        <v>2.0330546256173577E-3</v>
      </c>
      <c r="AG29" s="33">
        <f>IFERROR(INDEX(acm[],MATCH($C29,acm[[Country code]:[Country code]],0),MATCH(AG$1,acm[#Headers],0)),0)</f>
        <v>2.719773650616568E-3</v>
      </c>
      <c r="AH29" s="33">
        <f>IFERROR(INDEX(acm[],MATCH($C29,acm[[Country code]:[Country code]],0),MATCH(AH$1,acm[#Headers],0)),0)</f>
        <v>3.6635580335150114E-3</v>
      </c>
      <c r="AI29" s="33">
        <f>IFERROR(INDEX(acm[],MATCH($C29,acm[[Country code]:[Country code]],0),MATCH(AI$1,acm[#Headers],0)),0)</f>
        <v>4.0131964022377788E-3</v>
      </c>
      <c r="AJ29" s="33">
        <f>IFERROR(INDEX(acm[],MATCH($C29,acm[[Country code]:[Country code]],0),MATCH(AJ$1,acm[#Headers],0)),0)</f>
        <v>4.4064621302765915E-3</v>
      </c>
      <c r="AK29" s="33">
        <f>IFERROR(INDEX(acm[],MATCH($C29,acm[[Country code]:[Country code]],0),MATCH(AK$1,acm[#Headers],0)),0)</f>
        <v>4.9888338436428958E-3</v>
      </c>
      <c r="AL29" s="33">
        <f>IFERROR(INDEX(acm[],MATCH($C29,acm[[Country code]:[Country code]],0),MATCH(AL$1,acm[#Headers],0)),0)</f>
        <v>6.1151343995977494E-3</v>
      </c>
      <c r="AM29" s="33">
        <f>IFERROR(INDEX(acm[],MATCH($C29,acm[[Country code]:[Country code]],0),MATCH(AM$1,acm[#Headers],0)),0)</f>
        <v>7.3603030081988681E-3</v>
      </c>
      <c r="AN29" s="33">
        <f>IFERROR(INDEX(acm[],MATCH($C29,acm[[Country code]:[Country code]],0),MATCH(AN$1,acm[#Headers],0)),0)</f>
        <v>1.0138900378272279E-2</v>
      </c>
      <c r="AO29" s="33">
        <f>IFERROR(INDEX(acm[],MATCH($C29,acm[[Country code]:[Country code]],0),MATCH(AO$1,acm[#Headers],0)),0)</f>
        <v>1.344107868531209E-2</v>
      </c>
      <c r="AP29" s="33">
        <f>IFERROR(INDEX(acm[],MATCH($C29,acm[[Country code]:[Country code]],0),MATCH(AP$1,acm[#Headers],0)),0)</f>
        <v>2.0035393681773542E-2</v>
      </c>
      <c r="AQ29" s="33">
        <f>IFERROR(INDEX(acm[],MATCH($C29,acm[[Country code]:[Country code]],0),MATCH(AQ$1,acm[#Headers],0)),0)</f>
        <v>3.0375283369765884E-2</v>
      </c>
      <c r="AR29" s="33">
        <f>IFERROR(INDEX(acm[],MATCH($C29,acm[[Country code]:[Country code]],0),MATCH(AR$1,acm[#Headers],0)),0)</f>
        <v>4.6352652330819422E-2</v>
      </c>
      <c r="AS29" s="33">
        <f>IFERROR(INDEX(acm[],MATCH($C29,acm[[Country code]:[Country code]],0),MATCH(AS$1,acm[#Headers],0)),0)</f>
        <v>6.8917204664108972E-2</v>
      </c>
      <c r="AT29" s="33">
        <f>IFERROR(INDEX(acm[],MATCH($C29,acm[[Country code]:[Country code]],0),MATCH(AT$1,acm[#Headers],0)),0)</f>
        <v>9.8668373818565164E-2</v>
      </c>
      <c r="AU29" s="33">
        <f>IFERROR(INDEX(acm[],MATCH($C29,acm[[Country code]:[Country code]],0),MATCH(AU$1,acm[#Headers],0)),0)</f>
        <v>0.13067829451434507</v>
      </c>
      <c r="AV29" s="33">
        <f>IFERROR(INDEX(acm[],MATCH($C29,acm[[Country code]:[Country code]],0),MATCH(AV$1,acm[#Headers],0)),0)</f>
        <v>0.15784700316171463</v>
      </c>
      <c r="AW29" s="33">
        <f>IFERROR(INDEX(acm[],MATCH($C29,acm[[Country code]:[Country code]],0),MATCH(AW$1,acm[#Headers],0)),0)</f>
        <v>0.17666724177473303</v>
      </c>
      <c r="AX29" s="33">
        <f>IFERROR(VLOOKUP(lmic_raw[[#This Row],[num]],life_exp[[Country code]:[2015-2020]],2,FALSE),0)</f>
        <v>60.210999999999999</v>
      </c>
    </row>
    <row r="30" spans="1:50" x14ac:dyDescent="0.25">
      <c r="A30" s="109" t="s">
        <v>607</v>
      </c>
      <c r="B30" s="101" t="s">
        <v>403</v>
      </c>
      <c r="C30" s="102">
        <v>178</v>
      </c>
      <c r="D30" s="82" t="s">
        <v>677</v>
      </c>
      <c r="E30" s="82" t="s">
        <v>582</v>
      </c>
      <c r="F30" s="82" t="s">
        <v>667</v>
      </c>
      <c r="G30" s="82" t="s">
        <v>678</v>
      </c>
      <c r="H30" s="33">
        <f>VLOOKUP(lmic_raw[[#This Row],[num]],pop[[Country code]:[pop_20]],2,FALSE)*1000</f>
        <v>5380504</v>
      </c>
      <c r="I30" s="117">
        <f>IFERROR(VLOOKUP(lmic_raw[[#This Row],[num]],pop[[Country code]:[pop_20]],2,FALSE)*VLOOKUP(lmic_raw[[#This Row],[num]],b_rate[[Country code]:[2015-2020]],2,FALSE),0)</f>
        <v>177825.65719999999</v>
      </c>
      <c r="J30">
        <f>IFERROR(MIN(VLOOKUP(lmic_raw[[#This Row],[iso3]],fac_b[],4,FALSE)/100,0.9999),0)</f>
        <v>0.91500000000000004</v>
      </c>
      <c r="K30" s="33">
        <f>VLOOKUP(lmic_raw[[#This Row],[iso3]],vax[[iso3]:[hbv3]],2,FALSE)/100</f>
        <v>0</v>
      </c>
      <c r="L30" s="33">
        <f>VLOOKUP(lmic_raw[[#This Row],[iso3]],vax[[iso3]:[hbv3]],3,FALSE)/100</f>
        <v>0.79</v>
      </c>
      <c r="M30">
        <f>IFERROR(VLOOKUP(lmic_raw[[#This Row],[iso3]], hbv_prev[[iso3]:[ub]],2,FALSE)/100,0)</f>
        <v>9.5000000000000001E-2</v>
      </c>
      <c r="N30">
        <f>IFERROR(VLOOKUP(lmic_raw[[#This Row],[setting]],hbe_prev[],3,FALSE),0)</f>
        <v>0.28670054073476925</v>
      </c>
      <c r="O30">
        <f>VLOOKUP(lmic_raw[[#This Row],[gbd_super]],hbe_risk[],2,FALSE)</f>
        <v>0.38300000000000001</v>
      </c>
      <c r="P30" s="33">
        <f>VLOOKUP(lmic_raw[[#This Row],[gbd_super]],hbe_risk[],5,FALSE)</f>
        <v>4.8000000000000001E-2</v>
      </c>
      <c r="Q30">
        <f>IFERROR(VLOOKUP(lmic_raw[[#This Row],[setting]],disease_costs!$A$4:$B$197,2,FALSE),0)</f>
        <v>5.9815982737323203</v>
      </c>
      <c r="R30">
        <f>IFERROR(VLOOKUP(lmic_raw[[#This Row],[gbd_super]],disease_costs!$G$4:$K$9,2,FALSE),0)</f>
        <v>29.920500000000001</v>
      </c>
      <c r="S30" s="33">
        <f>IFERROR(VLOOKUP(lmic_raw[[#This Row],[gbd_super]],disease_costs!$G$4:$K$9,3,FALSE),0)</f>
        <v>77.662500000000009</v>
      </c>
      <c r="T30" s="33">
        <f>IFERROR(VLOOKUP(lmic_raw[[#This Row],[gbd_super]],disease_costs!$G$4:$K$9,4,FALSE),0)</f>
        <v>77.662500000000009</v>
      </c>
      <c r="U30" s="33">
        <f>IFERROR(VLOOKUP(lmic_raw[[#This Row],[gbd_super]],disease_costs!$G$4:$K$9,5,FALSE),0)</f>
        <v>77.662500000000009</v>
      </c>
      <c r="V30">
        <f>IFERROR(VLOOKUP(lmic_raw[[#This Row],[setting]],vcost[],3,FALSE),0)</f>
        <v>2.6162325275621559</v>
      </c>
      <c r="W30">
        <f>IFERROR(VLOOKUP(lmic_raw[[#This Row],[setting]],vcost[],4,FALSE),0)</f>
        <v>7.4462325275621559</v>
      </c>
      <c r="X30">
        <f>IFERROR(VLOOKUP(lmic_raw[[#This Row],[setting]],vcost[],5,FALSE),0)</f>
        <v>2.1850323411508703</v>
      </c>
      <c r="Y30">
        <f>IFERROR(VLOOKUP(lmic_raw[[#This Row],[setting]],vcost[],6,FALSE),0)</f>
        <v>7.0150323411508708</v>
      </c>
      <c r="Z30">
        <f>IFERROR(VLOOKUP(lmic_raw[[#This Row],[setting]],vcost[],7,FALSE),0)</f>
        <v>7.009717690885946</v>
      </c>
      <c r="AA30">
        <f>IFERROR(VLOOKUP(lmic_raw[[#This Row],[setting]],vcost[],8,FALSE),0)</f>
        <v>2.8598911938290383</v>
      </c>
      <c r="AB30">
        <f>IFERROR(VLOOKUP(lmic_raw[[#This Row],[setting]],vcost[],9,FALSE),0)</f>
        <v>7.6898911938290384</v>
      </c>
      <c r="AC30" s="33">
        <f>IFERROR(INDEX(acm[],MATCH($C30,acm[[Country code]:[Country code]],0),MATCH(AC$1,acm[#Headers],0)),0)</f>
        <v>3.530600999999995E-2</v>
      </c>
      <c r="AD30" s="33">
        <f>IFERROR(INDEX(acm[],MATCH($C30,acm[[Country code]:[Country code]],0),MATCH(AD$1,acm[#Headers],0)),0)</f>
        <v>3.1717311724933847E-3</v>
      </c>
      <c r="AE30" s="33">
        <f>IFERROR(INDEX(acm[],MATCH($C30,acm[[Country code]:[Country code]],0),MATCH(AE$1,acm[#Headers],0)),0)</f>
        <v>1.3452772188216387E-3</v>
      </c>
      <c r="AF30" s="33">
        <f>IFERROR(INDEX(acm[],MATCH($C30,acm[[Country code]:[Country code]],0),MATCH(AF$1,acm[#Headers],0)),0)</f>
        <v>9.9392376760084429E-4</v>
      </c>
      <c r="AG30" s="33">
        <f>IFERROR(INDEX(acm[],MATCH($C30,acm[[Country code]:[Country code]],0),MATCH(AG$1,acm[#Headers],0)),0)</f>
        <v>1.6210963076301219E-3</v>
      </c>
      <c r="AH30" s="33">
        <f>IFERROR(INDEX(acm[],MATCH($C30,acm[[Country code]:[Country code]],0),MATCH(AH$1,acm[#Headers],0)),0)</f>
        <v>2.5597781871428797E-3</v>
      </c>
      <c r="AI30" s="33">
        <f>IFERROR(INDEX(acm[],MATCH($C30,acm[[Country code]:[Country code]],0),MATCH(AI$1,acm[#Headers],0)),0)</f>
        <v>3.44003463784692E-3</v>
      </c>
      <c r="AJ30" s="33">
        <f>IFERROR(INDEX(acm[],MATCH($C30,acm[[Country code]:[Country code]],0),MATCH(AJ$1,acm[#Headers],0)),0)</f>
        <v>4.3737151618387328E-3</v>
      </c>
      <c r="AK30" s="33">
        <f>IFERROR(INDEX(acm[],MATCH($C30,acm[[Country code]:[Country code]],0),MATCH(AK$1,acm[#Headers],0)),0)</f>
        <v>5.6764018575043334E-3</v>
      </c>
      <c r="AL30" s="33">
        <f>IFERROR(INDEX(acm[],MATCH($C30,acm[[Country code]:[Country code]],0),MATCH(AL$1,acm[#Headers],0)),0)</f>
        <v>6.9930262268914824E-3</v>
      </c>
      <c r="AM30" s="33">
        <f>IFERROR(INDEX(acm[],MATCH($C30,acm[[Country code]:[Country code]],0),MATCH(AM$1,acm[#Headers],0)),0)</f>
        <v>8.5974144782363215E-3</v>
      </c>
      <c r="AN30" s="33">
        <f>IFERROR(INDEX(acm[],MATCH($C30,acm[[Country code]:[Country code]],0),MATCH(AN$1,acm[#Headers],0)),0)</f>
        <v>1.1451863433616953E-2</v>
      </c>
      <c r="AO30" s="33">
        <f>IFERROR(INDEX(acm[],MATCH($C30,acm[[Country code]:[Country code]],0),MATCH(AO$1,acm[#Headers],0)),0)</f>
        <v>1.4818382230749182E-2</v>
      </c>
      <c r="AP30" s="33">
        <f>IFERROR(INDEX(acm[],MATCH($C30,acm[[Country code]:[Country code]],0),MATCH(AP$1,acm[#Headers],0)),0)</f>
        <v>2.1302291206178454E-2</v>
      </c>
      <c r="AQ30" s="33">
        <f>IFERROR(INDEX(acm[],MATCH($C30,acm[[Country code]:[Country code]],0),MATCH(AQ$1,acm[#Headers],0)),0)</f>
        <v>3.1865335079911378E-2</v>
      </c>
      <c r="AR30" s="33">
        <f>IFERROR(INDEX(acm[],MATCH($C30,acm[[Country code]:[Country code]],0),MATCH(AR$1,acm[#Headers],0)),0)</f>
        <v>4.8549067683627468E-2</v>
      </c>
      <c r="AS30" s="33">
        <f>IFERROR(INDEX(acm[],MATCH($C30,acm[[Country code]:[Country code]],0),MATCH(AS$1,acm[#Headers],0)),0)</f>
        <v>7.3367233525748185E-2</v>
      </c>
      <c r="AT30" s="33">
        <f>IFERROR(INDEX(acm[],MATCH($C30,acm[[Country code]:[Country code]],0),MATCH(AT$1,acm[#Headers],0)),0)</f>
        <v>0.10931198128355135</v>
      </c>
      <c r="AU30" s="33">
        <f>IFERROR(INDEX(acm[],MATCH($C30,acm[[Country code]:[Country code]],0),MATCH(AU$1,acm[#Headers],0)),0)</f>
        <v>0.15002151967875849</v>
      </c>
      <c r="AV30" s="33">
        <f>IFERROR(INDEX(acm[],MATCH($C30,acm[[Country code]:[Country code]],0),MATCH(AV$1,acm[#Headers],0)),0)</f>
        <v>0.18105531460327798</v>
      </c>
      <c r="AW30" s="33">
        <f>IFERROR(INDEX(acm[],MATCH($C30,acm[[Country code]:[Country code]],0),MATCH(AW$1,acm[#Headers],0)),0)</f>
        <v>0.18968310805025923</v>
      </c>
      <c r="AX30" s="33">
        <f>IFERROR(VLOOKUP(lmic_raw[[#This Row],[num]],life_exp[[Country code]:[2015-2020]],2,FALSE),0)</f>
        <v>64.156999999999996</v>
      </c>
    </row>
    <row r="31" spans="1:50" x14ac:dyDescent="0.25">
      <c r="A31" s="110" t="s">
        <v>254</v>
      </c>
      <c r="B31" s="104" t="s">
        <v>405</v>
      </c>
      <c r="C31" s="105">
        <v>188</v>
      </c>
      <c r="D31" s="84" t="s">
        <v>679</v>
      </c>
      <c r="E31" s="84" t="s">
        <v>604</v>
      </c>
      <c r="F31" s="84" t="s">
        <v>665</v>
      </c>
      <c r="G31" s="84" t="s">
        <v>676</v>
      </c>
      <c r="H31" s="33">
        <f>VLOOKUP(lmic_raw[[#This Row],[num]],pop[[Country code]:[pop_20]],2,FALSE)*1000</f>
        <v>5047561</v>
      </c>
      <c r="I31" s="117">
        <f>IFERROR(VLOOKUP(lmic_raw[[#This Row],[num]],pop[[Country code]:[pop_20]],2,FALSE)*VLOOKUP(lmic_raw[[#This Row],[num]],b_rate[[Country code]:[2015-2020]],2,FALSE),0)</f>
        <v>71226.133270999999</v>
      </c>
      <c r="J31">
        <f>IFERROR(MIN(VLOOKUP(lmic_raw[[#This Row],[iso3]],fac_b[],4,FALSE)/100,0.9999),0)</f>
        <v>0.97799999999999998</v>
      </c>
      <c r="K31" s="33">
        <f>VLOOKUP(lmic_raw[[#This Row],[iso3]],vax[[iso3]:[hbv3]],2,FALSE)/100</f>
        <v>0.87</v>
      </c>
      <c r="L31" s="33">
        <f>VLOOKUP(lmic_raw[[#This Row],[iso3]],vax[[iso3]:[hbv3]],3,FALSE)/100</f>
        <v>0.98</v>
      </c>
      <c r="M31">
        <f>IFERROR(VLOOKUP(lmic_raw[[#This Row],[iso3]], hbv_prev[[iso3]:[ub]],2,FALSE)/100,0)</f>
        <v>1.1899999999999999E-2</v>
      </c>
      <c r="N31">
        <f>IFERROR(VLOOKUP(lmic_raw[[#This Row],[setting]],hbe_prev[],3,FALSE),0)</f>
        <v>0.30752866335744444</v>
      </c>
      <c r="O31">
        <f>VLOOKUP(lmic_raw[[#This Row],[gbd_super]],hbe_risk[],2,FALSE)</f>
        <v>0.8</v>
      </c>
      <c r="P31" s="33">
        <f>VLOOKUP(lmic_raw[[#This Row],[gbd_super]],hbe_risk[],5,FALSE)</f>
        <v>0.17499999999999999</v>
      </c>
      <c r="Q31">
        <f>IFERROR(VLOOKUP(lmic_raw[[#This Row],[setting]],disease_costs!$A$4:$B$197,2,FALSE),0)</f>
        <v>13.921992829246857</v>
      </c>
      <c r="R31">
        <f>IFERROR(VLOOKUP(lmic_raw[[#This Row],[gbd_super]],disease_costs!$G$4:$K$9,2,FALSE),0)</f>
        <v>86.883899999999997</v>
      </c>
      <c r="S31" s="33">
        <f>IFERROR(VLOOKUP(lmic_raw[[#This Row],[gbd_super]],disease_costs!$G$4:$K$9,3,FALSE),0)</f>
        <v>134.6259</v>
      </c>
      <c r="T31" s="33">
        <f>IFERROR(VLOOKUP(lmic_raw[[#This Row],[gbd_super]],disease_costs!$G$4:$K$9,4,FALSE),0)</f>
        <v>134.6259</v>
      </c>
      <c r="U31" s="33">
        <f>IFERROR(VLOOKUP(lmic_raw[[#This Row],[gbd_super]],disease_costs!$G$4:$K$9,5,FALSE),0)</f>
        <v>134.6259</v>
      </c>
      <c r="V31">
        <f>IFERROR(VLOOKUP(lmic_raw[[#This Row],[setting]],vcost[],3,FALSE),0)</f>
        <v>6.909186637004411</v>
      </c>
      <c r="W31">
        <f>IFERROR(VLOOKUP(lmic_raw[[#This Row],[setting]],vcost[],4,FALSE),0)</f>
        <v>6.9291866370044106</v>
      </c>
      <c r="X31">
        <f>IFERROR(VLOOKUP(lmic_raw[[#This Row],[setting]],vcost[],5,FALSE),0)</f>
        <v>6.4517861208892127</v>
      </c>
      <c r="Y31">
        <f>IFERROR(VLOOKUP(lmic_raw[[#This Row],[setting]],vcost[],6,FALSE),0)</f>
        <v>6.4717861208892122</v>
      </c>
      <c r="Z31">
        <f>IFERROR(VLOOKUP(lmic_raw[[#This Row],[setting]],vcost[],7,FALSE),0)</f>
        <v>6.4555680334716667</v>
      </c>
      <c r="AA31">
        <f>IFERROR(VLOOKUP(lmic_raw[[#This Row],[setting]],vcost[],8,FALSE),0)</f>
        <v>7.1622896081645635</v>
      </c>
      <c r="AB31">
        <f>IFERROR(VLOOKUP(lmic_raw[[#This Row],[setting]],vcost[],9,FALSE),0)</f>
        <v>7.1822896081645631</v>
      </c>
      <c r="AC31" s="33">
        <f>IFERROR(INDEX(acm[],MATCH($C31,acm[[Country code]:[Country code]],0),MATCH(AC$1,acm[#Headers],0)),0)</f>
        <v>7.3181299999999462E-3</v>
      </c>
      <c r="AD31" s="33">
        <f>IFERROR(INDEX(acm[],MATCH($C31,acm[[Country code]:[Country code]],0),MATCH(AD$1,acm[#Headers],0)),0)</f>
        <v>4.6142426273991451E-4</v>
      </c>
      <c r="AE31" s="33">
        <f>IFERROR(INDEX(acm[],MATCH($C31,acm[[Country code]:[Country code]],0),MATCH(AE$1,acm[#Headers],0)),0)</f>
        <v>1.8918914118232766E-4</v>
      </c>
      <c r="AF31" s="33">
        <f>IFERROR(INDEX(acm[],MATCH($C31,acm[[Country code]:[Country code]],0),MATCH(AF$1,acm[#Headers],0)),0)</f>
        <v>2.5232738020382442E-4</v>
      </c>
      <c r="AG31" s="33">
        <f>IFERROR(INDEX(acm[],MATCH($C31,acm[[Country code]:[Country code]],0),MATCH(AG$1,acm[#Headers],0)),0)</f>
        <v>5.2172454069002096E-4</v>
      </c>
      <c r="AH31" s="33">
        <f>IFERROR(INDEX(acm[],MATCH($C31,acm[[Country code]:[Country code]],0),MATCH(AH$1,acm[#Headers],0)),0)</f>
        <v>7.908633138036745E-4</v>
      </c>
      <c r="AI31" s="33">
        <f>IFERROR(INDEX(acm[],MATCH($C31,acm[[Country code]:[Country code]],0),MATCH(AI$1,acm[#Headers],0)),0)</f>
        <v>9.1949466879533679E-4</v>
      </c>
      <c r="AJ31" s="33">
        <f>IFERROR(INDEX(acm[],MATCH($C31,acm[[Country code]:[Country code]],0),MATCH(AJ$1,acm[#Headers],0)),0)</f>
        <v>1.0856776487376807E-3</v>
      </c>
      <c r="AK31" s="33">
        <f>IFERROR(INDEX(acm[],MATCH($C31,acm[[Country code]:[Country code]],0),MATCH(AK$1,acm[#Headers],0)),0)</f>
        <v>1.3319622395929988E-3</v>
      </c>
      <c r="AL31" s="33">
        <f>IFERROR(INDEX(acm[],MATCH($C31,acm[[Country code]:[Country code]],0),MATCH(AL$1,acm[#Headers],0)),0)</f>
        <v>1.7484039146829294E-3</v>
      </c>
      <c r="AM31" s="33">
        <f>IFERROR(INDEX(acm[],MATCH($C31,acm[[Country code]:[Country code]],0),MATCH(AM$1,acm[#Headers],0)),0)</f>
        <v>2.4687342957337038E-3</v>
      </c>
      <c r="AN31" s="33">
        <f>IFERROR(INDEX(acm[],MATCH($C31,acm[[Country code]:[Country code]],0),MATCH(AN$1,acm[#Headers],0)),0)</f>
        <v>3.6194176823825556E-3</v>
      </c>
      <c r="AO31" s="33">
        <f>IFERROR(INDEX(acm[],MATCH($C31,acm[[Country code]:[Country code]],0),MATCH(AO$1,acm[#Headers],0)),0)</f>
        <v>5.4910944339037924E-3</v>
      </c>
      <c r="AP31" s="33">
        <f>IFERROR(INDEX(acm[],MATCH($C31,acm[[Country code]:[Country code]],0),MATCH(AP$1,acm[#Headers],0)),0)</f>
        <v>8.4570007585224993E-3</v>
      </c>
      <c r="AQ31" s="33">
        <f>IFERROR(INDEX(acm[],MATCH($C31,acm[[Country code]:[Country code]],0),MATCH(AQ$1,acm[#Headers],0)),0)</f>
        <v>1.3241919781259413E-2</v>
      </c>
      <c r="AR31" s="33">
        <f>IFERROR(INDEX(acm[],MATCH($C31,acm[[Country code]:[Country code]],0),MATCH(AR$1,acm[#Headers],0)),0)</f>
        <v>2.0486290411796466E-2</v>
      </c>
      <c r="AS31" s="33">
        <f>IFERROR(INDEX(acm[],MATCH($C31,acm[[Country code]:[Country code]],0),MATCH(AS$1,acm[#Headers],0)),0)</f>
        <v>3.2474185601327671E-2</v>
      </c>
      <c r="AT31" s="33">
        <f>IFERROR(INDEX(acm[],MATCH($C31,acm[[Country code]:[Country code]],0),MATCH(AT$1,acm[#Headers],0)),0)</f>
        <v>5.0450906422022219E-2</v>
      </c>
      <c r="AU31" s="33">
        <f>IFERROR(INDEX(acm[],MATCH($C31,acm[[Country code]:[Country code]],0),MATCH(AU$1,acm[#Headers],0)),0)</f>
        <v>7.5109505569320376E-2</v>
      </c>
      <c r="AV31" s="33">
        <f>IFERROR(INDEX(acm[],MATCH($C31,acm[[Country code]:[Country code]],0),MATCH(AV$1,acm[#Headers],0)),0)</f>
        <v>0.10663738143527123</v>
      </c>
      <c r="AW31" s="33">
        <f>IFERROR(INDEX(acm[],MATCH($C31,acm[[Country code]:[Country code]],0),MATCH(AW$1,acm[#Headers],0)),0)</f>
        <v>0.14167834271936142</v>
      </c>
      <c r="AX31" s="33">
        <f>IFERROR(VLOOKUP(lmic_raw[[#This Row],[num]],life_exp[[Country code]:[2015-2020]],2,FALSE),0)</f>
        <v>80.003</v>
      </c>
    </row>
    <row r="32" spans="1:50" x14ac:dyDescent="0.25">
      <c r="A32" s="109" t="s">
        <v>141</v>
      </c>
      <c r="B32" s="101" t="s">
        <v>406</v>
      </c>
      <c r="C32" s="102">
        <v>384</v>
      </c>
      <c r="D32" s="82" t="s">
        <v>677</v>
      </c>
      <c r="E32" s="82" t="s">
        <v>591</v>
      </c>
      <c r="F32" s="82" t="s">
        <v>667</v>
      </c>
      <c r="G32" s="82" t="s">
        <v>678</v>
      </c>
      <c r="H32" s="33">
        <f>VLOOKUP(lmic_raw[[#This Row],[num]],pop[[Country code]:[pop_20]],2,FALSE)*1000</f>
        <v>25716554</v>
      </c>
      <c r="I32" s="117">
        <f>IFERROR(VLOOKUP(lmic_raw[[#This Row],[num]],pop[[Country code]:[pop_20]],2,FALSE)*VLOOKUP(lmic_raw[[#This Row],[num]],b_rate[[Country code]:[2015-2020]],2,FALSE),0)</f>
        <v>923095.70583000011</v>
      </c>
      <c r="J32">
        <f>IFERROR(MIN(VLOOKUP(lmic_raw[[#This Row],[iso3]],fac_b[],4,FALSE)/100,0.9999),0)</f>
        <v>0.69799999999999995</v>
      </c>
      <c r="K32" s="33">
        <f>VLOOKUP(lmic_raw[[#This Row],[iso3]],vax[[iso3]:[hbv3]],2,FALSE)/100</f>
        <v>0.09</v>
      </c>
      <c r="L32" s="33">
        <f>VLOOKUP(lmic_raw[[#This Row],[iso3]],vax[[iso3]:[hbv3]],3,FALSE)/100</f>
        <v>0.84</v>
      </c>
      <c r="M32">
        <f>IFERROR(VLOOKUP(lmic_raw[[#This Row],[iso3]], hbv_prev[[iso3]:[ub]],2,FALSE)/100,0)</f>
        <v>6.0700000000000004E-2</v>
      </c>
      <c r="N32">
        <f>IFERROR(VLOOKUP(lmic_raw[[#This Row],[setting]],hbe_prev[],3,FALSE),0)</f>
        <v>0.29747114568885691</v>
      </c>
      <c r="O32">
        <f>VLOOKUP(lmic_raw[[#This Row],[gbd_super]],hbe_risk[],2,FALSE)</f>
        <v>0.38300000000000001</v>
      </c>
      <c r="P32" s="33">
        <f>VLOOKUP(lmic_raw[[#This Row],[gbd_super]],hbe_risk[],5,FALSE)</f>
        <v>4.8000000000000001E-2</v>
      </c>
      <c r="Q32">
        <f>IFERROR(VLOOKUP(lmic_raw[[#This Row],[setting]],disease_costs!$A$4:$B$197,2,FALSE),0)</f>
        <v>3.6077882421883638</v>
      </c>
      <c r="R32">
        <f>IFERROR(VLOOKUP(lmic_raw[[#This Row],[gbd_super]],disease_costs!$G$4:$K$9,2,FALSE),0)</f>
        <v>29.920500000000001</v>
      </c>
      <c r="S32" s="33">
        <f>IFERROR(VLOOKUP(lmic_raw[[#This Row],[gbd_super]],disease_costs!$G$4:$K$9,3,FALSE),0)</f>
        <v>77.662500000000009</v>
      </c>
      <c r="T32" s="33">
        <f>IFERROR(VLOOKUP(lmic_raw[[#This Row],[gbd_super]],disease_costs!$G$4:$K$9,4,FALSE),0)</f>
        <v>77.662500000000009</v>
      </c>
      <c r="U32" s="33">
        <f>IFERROR(VLOOKUP(lmic_raw[[#This Row],[gbd_super]],disease_costs!$G$4:$K$9,5,FALSE),0)</f>
        <v>77.662500000000009</v>
      </c>
      <c r="V32">
        <f>IFERROR(VLOOKUP(lmic_raw[[#This Row],[setting]],vcost[],3,FALSE),0)</f>
        <v>2.2869408359527901</v>
      </c>
      <c r="W32">
        <f>IFERROR(VLOOKUP(lmic_raw[[#This Row],[setting]],vcost[],4,FALSE),0)</f>
        <v>7.1169408359527901</v>
      </c>
      <c r="X32">
        <f>IFERROR(VLOOKUP(lmic_raw[[#This Row],[setting]],vcost[],5,FALSE),0)</f>
        <v>1.8555769796551187</v>
      </c>
      <c r="Y32">
        <f>IFERROR(VLOOKUP(lmic_raw[[#This Row],[setting]],vcost[],6,FALSE),0)</f>
        <v>6.685576979655119</v>
      </c>
      <c r="Z32">
        <f>IFERROR(VLOOKUP(lmic_raw[[#This Row],[setting]],vcost[],7,FALSE),0)</f>
        <v>6.6801074566373666</v>
      </c>
      <c r="AA32">
        <f>IFERROR(VLOOKUP(lmic_raw[[#This Row],[setting]],vcost[],8,FALSE),0)</f>
        <v>2.5306584995043</v>
      </c>
      <c r="AB32">
        <f>IFERROR(VLOOKUP(lmic_raw[[#This Row],[setting]],vcost[],9,FALSE),0)</f>
        <v>7.3606584995043001</v>
      </c>
      <c r="AC32" s="33">
        <f>IFERROR(INDEX(acm[],MATCH($C32,acm[[Country code]:[Country code]],0),MATCH(AC$1,acm[#Headers],0)),0)</f>
        <v>6.0459799999999959E-2</v>
      </c>
      <c r="AD32" s="33">
        <f>IFERROR(INDEX(acm[],MATCH($C32,acm[[Country code]:[Country code]],0),MATCH(AD$1,acm[#Headers],0)),0)</f>
        <v>7.0854339175694843E-3</v>
      </c>
      <c r="AE32" s="33">
        <f>IFERROR(INDEX(acm[],MATCH($C32,acm[[Country code]:[Country code]],0),MATCH(AE$1,acm[#Headers],0)),0)</f>
        <v>2.5836663336663377E-3</v>
      </c>
      <c r="AF32" s="33">
        <f>IFERROR(INDEX(acm[],MATCH($C32,acm[[Country code]:[Country code]],0),MATCH(AF$1,acm[#Headers],0)),0)</f>
        <v>1.8599525234577871E-3</v>
      </c>
      <c r="AG32" s="33">
        <f>IFERROR(INDEX(acm[],MATCH($C32,acm[[Country code]:[Country code]],0),MATCH(AG$1,acm[#Headers],0)),0)</f>
        <v>2.7715887376696716E-3</v>
      </c>
      <c r="AH32" s="33">
        <f>IFERROR(INDEX(acm[],MATCH($C32,acm[[Country code]:[Country code]],0),MATCH(AH$1,acm[#Headers],0)),0)</f>
        <v>4.0981295766211977E-3</v>
      </c>
      <c r="AI32" s="33">
        <f>IFERROR(INDEX(acm[],MATCH($C32,acm[[Country code]:[Country code]],0),MATCH(AI$1,acm[#Headers],0)),0)</f>
        <v>5.2283557631281133E-3</v>
      </c>
      <c r="AJ32" s="33">
        <f>IFERROR(INDEX(acm[],MATCH($C32,acm[[Country code]:[Country code]],0),MATCH(AJ$1,acm[#Headers],0)),0)</f>
        <v>6.4126252707657526E-3</v>
      </c>
      <c r="AK32" s="33">
        <f>IFERROR(INDEX(acm[],MATCH($C32,acm[[Country code]:[Country code]],0),MATCH(AK$1,acm[#Headers],0)),0)</f>
        <v>8.0386040975210463E-3</v>
      </c>
      <c r="AL32" s="33">
        <f>IFERROR(INDEX(acm[],MATCH($C32,acm[[Country code]:[Country code]],0),MATCH(AL$1,acm[#Headers],0)),0)</f>
        <v>9.7503351565958046E-3</v>
      </c>
      <c r="AM32" s="33">
        <f>IFERROR(INDEX(acm[],MATCH($C32,acm[[Country code]:[Country code]],0),MATCH(AM$1,acm[#Headers],0)),0)</f>
        <v>1.1730824607662307E-2</v>
      </c>
      <c r="AN32" s="33">
        <f>IFERROR(INDEX(acm[],MATCH($C32,acm[[Country code]:[Country code]],0),MATCH(AN$1,acm[#Headers],0)),0)</f>
        <v>1.531094484439299E-2</v>
      </c>
      <c r="AO32" s="33">
        <f>IFERROR(INDEX(acm[],MATCH($C32,acm[[Country code]:[Country code]],0),MATCH(AO$1,acm[#Headers],0)),0)</f>
        <v>1.9539605890519628E-2</v>
      </c>
      <c r="AP32" s="33">
        <f>IFERROR(INDEX(acm[],MATCH($C32,acm[[Country code]:[Country code]],0),MATCH(AP$1,acm[#Headers],0)),0)</f>
        <v>2.7532192358079261E-2</v>
      </c>
      <c r="AQ32" s="33">
        <f>IFERROR(INDEX(acm[],MATCH($C32,acm[[Country code]:[Country code]],0),MATCH(AQ$1,acm[#Headers],0)),0)</f>
        <v>4.005454440234088E-2</v>
      </c>
      <c r="AR32" s="33">
        <f>IFERROR(INDEX(acm[],MATCH($C32,acm[[Country code]:[Country code]],0),MATCH(AR$1,acm[#Headers],0)),0)</f>
        <v>5.8992919015540331E-2</v>
      </c>
      <c r="AS32" s="33">
        <f>IFERROR(INDEX(acm[],MATCH($C32,acm[[Country code]:[Country code]],0),MATCH(AS$1,acm[#Headers],0)),0)</f>
        <v>8.5363956262810389E-2</v>
      </c>
      <c r="AT32" s="33">
        <f>IFERROR(INDEX(acm[],MATCH($C32,acm[[Country code]:[Country code]],0),MATCH(AT$1,acm[#Headers],0)),0)</f>
        <v>0.12069078346567236</v>
      </c>
      <c r="AU32" s="33">
        <f>IFERROR(INDEX(acm[],MATCH($C32,acm[[Country code]:[Country code]],0),MATCH(AU$1,acm[#Headers],0)),0)</f>
        <v>0.15740472383682066</v>
      </c>
      <c r="AV32" s="33">
        <f>IFERROR(INDEX(acm[],MATCH($C32,acm[[Country code]:[Country code]],0),MATCH(AV$1,acm[#Headers],0)),0)</f>
        <v>0.18322798533596515</v>
      </c>
      <c r="AW32" s="33">
        <f>IFERROR(INDEX(acm[],MATCH($C32,acm[[Country code]:[Country code]],0),MATCH(AW$1,acm[#Headers],0)),0)</f>
        <v>0.18956358144949656</v>
      </c>
      <c r="AX32" s="33">
        <f>IFERROR(VLOOKUP(lmic_raw[[#This Row],[num]],life_exp[[Country code]:[2015-2020]],2,FALSE),0)</f>
        <v>57.244999999999997</v>
      </c>
    </row>
    <row r="33" spans="1:50" x14ac:dyDescent="0.25">
      <c r="A33" s="110" t="s">
        <v>232</v>
      </c>
      <c r="B33" s="104" t="s">
        <v>407</v>
      </c>
      <c r="C33" s="105">
        <v>192</v>
      </c>
      <c r="D33" s="84" t="s">
        <v>679</v>
      </c>
      <c r="E33" s="84" t="s">
        <v>223</v>
      </c>
      <c r="F33" s="84" t="s">
        <v>665</v>
      </c>
      <c r="G33" s="84" t="s">
        <v>676</v>
      </c>
      <c r="H33" s="33">
        <f>VLOOKUP(lmic_raw[[#This Row],[num]],pop[[Country code]:[pop_20]],2,FALSE)*1000</f>
        <v>11333484</v>
      </c>
      <c r="I33" s="117">
        <f>IFERROR(VLOOKUP(lmic_raw[[#This Row],[num]],pop[[Country code]:[pop_20]],2,FALSE)*VLOOKUP(lmic_raw[[#This Row],[num]],b_rate[[Country code]:[2015-2020]],2,FALSE),0)</f>
        <v>115794.20602800002</v>
      </c>
      <c r="J33">
        <f>IFERROR(MIN(VLOOKUP(lmic_raw[[#This Row],[iso3]],fac_b[],4,FALSE)/100,0.9999),0)</f>
        <v>0.99900000000000011</v>
      </c>
      <c r="K33" s="33">
        <f>VLOOKUP(lmic_raw[[#This Row],[iso3]],vax[[iso3]:[hbv3]],2,FALSE)/100</f>
        <v>0.99</v>
      </c>
      <c r="L33" s="33">
        <f>VLOOKUP(lmic_raw[[#This Row],[iso3]],vax[[iso3]:[hbv3]],3,FALSE)/100</f>
        <v>0.99</v>
      </c>
      <c r="M33">
        <f>IFERROR(VLOOKUP(lmic_raw[[#This Row],[iso3]], hbv_prev[[iso3]:[ub]],2,FALSE)/100,0)</f>
        <v>9.3999999999999986E-3</v>
      </c>
      <c r="N33">
        <f>IFERROR(VLOOKUP(lmic_raw[[#This Row],[setting]],hbe_prev[],3,FALSE),0)</f>
        <v>0.31223161166773539</v>
      </c>
      <c r="O33">
        <f>VLOOKUP(lmic_raw[[#This Row],[gbd_super]],hbe_risk[],2,FALSE)</f>
        <v>0.8</v>
      </c>
      <c r="P33" s="33">
        <f>VLOOKUP(lmic_raw[[#This Row],[gbd_super]],hbe_risk[],5,FALSE)</f>
        <v>0.17499999999999999</v>
      </c>
      <c r="Q33">
        <f>IFERROR(VLOOKUP(lmic_raw[[#This Row],[setting]],disease_costs!$A$4:$B$197,2,FALSE),0)</f>
        <v>12.200980556377488</v>
      </c>
      <c r="R33">
        <f>IFERROR(VLOOKUP(lmic_raw[[#This Row],[gbd_super]],disease_costs!$G$4:$K$9,2,FALSE),0)</f>
        <v>86.883899999999997</v>
      </c>
      <c r="S33" s="33">
        <f>IFERROR(VLOOKUP(lmic_raw[[#This Row],[gbd_super]],disease_costs!$G$4:$K$9,3,FALSE),0)</f>
        <v>134.6259</v>
      </c>
      <c r="T33" s="33">
        <f>IFERROR(VLOOKUP(lmic_raw[[#This Row],[gbd_super]],disease_costs!$G$4:$K$9,4,FALSE),0)</f>
        <v>134.6259</v>
      </c>
      <c r="U33" s="33">
        <f>IFERROR(VLOOKUP(lmic_raw[[#This Row],[gbd_super]],disease_costs!$G$4:$K$9,5,FALSE),0)</f>
        <v>134.6259</v>
      </c>
      <c r="V33">
        <f>IFERROR(VLOOKUP(lmic_raw[[#This Row],[setting]],vcost[],3,FALSE),0)</f>
        <v>6.0342547750329993</v>
      </c>
      <c r="W33">
        <f>IFERROR(VLOOKUP(lmic_raw[[#This Row],[setting]],vcost[],4,FALSE),0)</f>
        <v>6.0542547750329989</v>
      </c>
      <c r="X33">
        <f>IFERROR(VLOOKUP(lmic_raw[[#This Row],[setting]],vcost[],5,FALSE),0)</f>
        <v>5.5874884572483028</v>
      </c>
      <c r="Y33">
        <f>IFERROR(VLOOKUP(lmic_raw[[#This Row],[setting]],vcost[],6,FALSE),0)</f>
        <v>5.6074884572483024</v>
      </c>
      <c r="Z33">
        <f>IFERROR(VLOOKUP(lmic_raw[[#This Row],[setting]],vcost[],7,FALSE),0)</f>
        <v>5.5954505510255474</v>
      </c>
      <c r="AA33">
        <f>IFERROR(VLOOKUP(lmic_raw[[#This Row],[setting]],vcost[],8,FALSE),0)</f>
        <v>6.2835244886554129</v>
      </c>
      <c r="AB33">
        <f>IFERROR(VLOOKUP(lmic_raw[[#This Row],[setting]],vcost[],9,FALSE),0)</f>
        <v>6.3035244886554125</v>
      </c>
      <c r="AC33" s="33">
        <f>IFERROR(INDEX(acm[],MATCH($C33,acm[[Country code]:[Country code]],0),MATCH(AC$1,acm[#Headers],0)),0)</f>
        <v>4.4860099999999509E-3</v>
      </c>
      <c r="AD33" s="33">
        <f>IFERROR(INDEX(acm[],MATCH($C33,acm[[Country code]:[Country code]],0),MATCH(AD$1,acm[#Headers],0)),0)</f>
        <v>2.7286407095093327E-4</v>
      </c>
      <c r="AE33" s="33">
        <f>IFERROR(INDEX(acm[],MATCH($C33,acm[[Country code]:[Country code]],0),MATCH(AE$1,acm[#Headers],0)),0)</f>
        <v>1.6058487043142235E-4</v>
      </c>
      <c r="AF33" s="33">
        <f>IFERROR(INDEX(acm[],MATCH($C33,acm[[Country code]:[Country code]],0),MATCH(AF$1,acm[#Headers],0)),0)</f>
        <v>2.0419291715907133E-4</v>
      </c>
      <c r="AG33" s="33">
        <f>IFERROR(INDEX(acm[],MATCH($C33,acm[[Country code]:[Country code]],0),MATCH(AG$1,acm[#Headers],0)),0)</f>
        <v>4.2856112965182892E-4</v>
      </c>
      <c r="AH33" s="33">
        <f>IFERROR(INDEX(acm[],MATCH($C33,acm[[Country code]:[Country code]],0),MATCH(AH$1,acm[#Headers],0)),0)</f>
        <v>5.7381236719039597E-4</v>
      </c>
      <c r="AI33" s="33">
        <f>IFERROR(INDEX(acm[],MATCH($C33,acm[[Country code]:[Country code]],0),MATCH(AI$1,acm[#Headers],0)),0)</f>
        <v>6.3449671839327154E-4</v>
      </c>
      <c r="AJ33" s="33">
        <f>IFERROR(INDEX(acm[],MATCH($C33,acm[[Country code]:[Country code]],0),MATCH(AJ$1,acm[#Headers],0)),0)</f>
        <v>7.9041557705802586E-4</v>
      </c>
      <c r="AK33" s="33">
        <f>IFERROR(INDEX(acm[],MATCH($C33,acm[[Country code]:[Country code]],0),MATCH(AK$1,acm[#Headers],0)),0)</f>
        <v>1.0684936873866888E-3</v>
      </c>
      <c r="AL33" s="33">
        <f>IFERROR(INDEX(acm[],MATCH($C33,acm[[Country code]:[Country code]],0),MATCH(AL$1,acm[#Headers],0)),0)</f>
        <v>1.6980494435071534E-3</v>
      </c>
      <c r="AM33" s="33">
        <f>IFERROR(INDEX(acm[],MATCH($C33,acm[[Country code]:[Country code]],0),MATCH(AM$1,acm[#Headers],0)),0)</f>
        <v>2.8320069798676538E-3</v>
      </c>
      <c r="AN33" s="33">
        <f>IFERROR(INDEX(acm[],MATCH($C33,acm[[Country code]:[Country code]],0),MATCH(AN$1,acm[#Headers],0)),0)</f>
        <v>4.5622141489087241E-3</v>
      </c>
      <c r="AO33" s="33">
        <f>IFERROR(INDEX(acm[],MATCH($C33,acm[[Country code]:[Country code]],0),MATCH(AO$1,acm[#Headers],0)),0)</f>
        <v>7.0343698713799694E-3</v>
      </c>
      <c r="AP33" s="33">
        <f>IFERROR(INDEX(acm[],MATCH($C33,acm[[Country code]:[Country code]],0),MATCH(AP$1,acm[#Headers],0)),0)</f>
        <v>1.1144826118651127E-2</v>
      </c>
      <c r="AQ33" s="33">
        <f>IFERROR(INDEX(acm[],MATCH($C33,acm[[Country code]:[Country code]],0),MATCH(AQ$1,acm[#Headers],0)),0)</f>
        <v>1.7004870824126817E-2</v>
      </c>
      <c r="AR33" s="33">
        <f>IFERROR(INDEX(acm[],MATCH($C33,acm[[Country code]:[Country code]],0),MATCH(AR$1,acm[#Headers],0)),0)</f>
        <v>2.4790327704297923E-2</v>
      </c>
      <c r="AS33" s="33">
        <f>IFERROR(INDEX(acm[],MATCH($C33,acm[[Country code]:[Country code]],0),MATCH(AS$1,acm[#Headers],0)),0)</f>
        <v>3.7568422963982953E-2</v>
      </c>
      <c r="AT33" s="33">
        <f>IFERROR(INDEX(acm[],MATCH($C33,acm[[Country code]:[Country code]],0),MATCH(AT$1,acm[#Headers],0)),0)</f>
        <v>6.0408823783307579E-2</v>
      </c>
      <c r="AU33" s="33">
        <f>IFERROR(INDEX(acm[],MATCH($C33,acm[[Country code]:[Country code]],0),MATCH(AU$1,acm[#Headers],0)),0)</f>
        <v>8.5664354340569099E-2</v>
      </c>
      <c r="AV33" s="33">
        <f>IFERROR(INDEX(acm[],MATCH($C33,acm[[Country code]:[Country code]],0),MATCH(AV$1,acm[#Headers],0)),0)</f>
        <v>0.11387042910074163</v>
      </c>
      <c r="AW33" s="33">
        <f>IFERROR(INDEX(acm[],MATCH($C33,acm[[Country code]:[Country code]],0),MATCH(AW$1,acm[#Headers],0)),0)</f>
        <v>0.14301913227179722</v>
      </c>
      <c r="AX33" s="33">
        <f>IFERROR(VLOOKUP(lmic_raw[[#This Row],[num]],life_exp[[Country code]:[2015-2020]],2,FALSE),0)</f>
        <v>78.685000000000002</v>
      </c>
    </row>
    <row r="34" spans="1:50" x14ac:dyDescent="0.25">
      <c r="A34" s="109" t="s">
        <v>103</v>
      </c>
      <c r="B34" s="101" t="s">
        <v>414</v>
      </c>
      <c r="C34" s="102">
        <v>262</v>
      </c>
      <c r="D34" s="82" t="s">
        <v>673</v>
      </c>
      <c r="E34" s="82" t="s">
        <v>597</v>
      </c>
      <c r="F34" s="82" t="s">
        <v>667</v>
      </c>
      <c r="G34" s="82" t="s">
        <v>678</v>
      </c>
      <c r="H34" s="33">
        <f>VLOOKUP(lmic_raw[[#This Row],[num]],pop[[Country code]:[pop_20]],2,FALSE)*1000</f>
        <v>973557</v>
      </c>
      <c r="I34" s="117">
        <f>IFERROR(VLOOKUP(lmic_raw[[#This Row],[num]],pop[[Country code]:[pop_20]],2,FALSE)*VLOOKUP(lmic_raw[[#This Row],[num]],b_rate[[Country code]:[2015-2020]],2,FALSE),0)</f>
        <v>21121.319115000002</v>
      </c>
      <c r="J34">
        <f>IFERROR(MIN(VLOOKUP(lmic_raw[[#This Row],[iso3]],fac_b[],4,FALSE)/100,0.9999),0)</f>
        <v>0.86699999999999999</v>
      </c>
      <c r="K34" s="33">
        <f>VLOOKUP(lmic_raw[[#This Row],[iso3]],vax[[iso3]:[hbv3]],2,FALSE)/100</f>
        <v>0.95</v>
      </c>
      <c r="L34" s="33">
        <f>VLOOKUP(lmic_raw[[#This Row],[iso3]],vax[[iso3]:[hbv3]],3,FALSE)/100</f>
        <v>0.85</v>
      </c>
      <c r="M34">
        <f>IFERROR(VLOOKUP(lmic_raw[[#This Row],[iso3]], hbv_prev[[iso3]:[ub]],2,FALSE)/100,0)</f>
        <v>3.4300000000000004E-2</v>
      </c>
      <c r="N34">
        <f>IFERROR(VLOOKUP(lmic_raw[[#This Row],[setting]],hbe_prev[],3,FALSE),0)</f>
        <v>0.2560195816126718</v>
      </c>
      <c r="O34">
        <f>VLOOKUP(lmic_raw[[#This Row],[gbd_super]],hbe_risk[],2,FALSE)</f>
        <v>0.38300000000000001</v>
      </c>
      <c r="P34" s="33">
        <f>VLOOKUP(lmic_raw[[#This Row],[gbd_super]],hbe_risk[],5,FALSE)</f>
        <v>4.8000000000000001E-2</v>
      </c>
      <c r="Q34">
        <f>IFERROR(VLOOKUP(lmic_raw[[#This Row],[setting]],disease_costs!$A$4:$B$197,2,FALSE),0)</f>
        <v>4.2605860008629515</v>
      </c>
      <c r="R34">
        <f>IFERROR(VLOOKUP(lmic_raw[[#This Row],[gbd_super]],disease_costs!$G$4:$K$9,2,FALSE),0)</f>
        <v>29.920500000000001</v>
      </c>
      <c r="S34" s="33">
        <f>IFERROR(VLOOKUP(lmic_raw[[#This Row],[gbd_super]],disease_costs!$G$4:$K$9,3,FALSE),0)</f>
        <v>77.662500000000009</v>
      </c>
      <c r="T34" s="33">
        <f>IFERROR(VLOOKUP(lmic_raw[[#This Row],[gbd_super]],disease_costs!$G$4:$K$9,4,FALSE),0)</f>
        <v>77.662500000000009</v>
      </c>
      <c r="U34" s="33">
        <f>IFERROR(VLOOKUP(lmic_raw[[#This Row],[gbd_super]],disease_costs!$G$4:$K$9,5,FALSE),0)</f>
        <v>77.662500000000009</v>
      </c>
      <c r="V34">
        <f>IFERROR(VLOOKUP(lmic_raw[[#This Row],[setting]],vcost[],3,FALSE),0)</f>
        <v>4.5961868316315577</v>
      </c>
      <c r="W34">
        <f>IFERROR(VLOOKUP(lmic_raw[[#This Row],[setting]],vcost[],4,FALSE),0)</f>
        <v>9.4261868316315578</v>
      </c>
      <c r="X34">
        <f>IFERROR(VLOOKUP(lmic_raw[[#This Row],[setting]],vcost[],5,FALSE),0)</f>
        <v>4.1582689282451577</v>
      </c>
      <c r="Y34">
        <f>IFERROR(VLOOKUP(lmic_raw[[#This Row],[setting]],vcost[],6,FALSE),0)</f>
        <v>8.9882689282451587</v>
      </c>
      <c r="Z34">
        <f>IFERROR(VLOOKUP(lmic_raw[[#This Row],[setting]],vcost[],7,FALSE),0)</f>
        <v>8.9802123811146757</v>
      </c>
      <c r="AA34">
        <f>IFERROR(VLOOKUP(lmic_raw[[#This Row],[setting]],vcost[],8,FALSE),0)</f>
        <v>4.8422670005290032</v>
      </c>
      <c r="AB34">
        <f>IFERROR(VLOOKUP(lmic_raw[[#This Row],[setting]],vcost[],9,FALSE),0)</f>
        <v>9.6722670005290041</v>
      </c>
      <c r="AC34" s="33">
        <f>IFERROR(INDEX(acm[],MATCH($C34,acm[[Country code]:[Country code]],0),MATCH(AC$1,acm[#Headers],0)),0)</f>
        <v>3.3652050000000017E-2</v>
      </c>
      <c r="AD34" s="33">
        <f>IFERROR(INDEX(acm[],MATCH($C34,acm[[Country code]:[Country code]],0),MATCH(AD$1,acm[#Headers],0)),0)</f>
        <v>4.5286948660676427E-3</v>
      </c>
      <c r="AE34" s="33">
        <f>IFERROR(INDEX(acm[],MATCH($C34,acm[[Country code]:[Country code]],0),MATCH(AE$1,acm[#Headers],0)),0)</f>
        <v>1.7770425757683657E-3</v>
      </c>
      <c r="AF34" s="33">
        <f>IFERROR(INDEX(acm[],MATCH($C34,acm[[Country code]:[Country code]],0),MATCH(AF$1,acm[#Headers],0)),0)</f>
        <v>1.2140762544420878E-3</v>
      </c>
      <c r="AG34" s="33">
        <f>IFERROR(INDEX(acm[],MATCH($C34,acm[[Country code]:[Country code]],0),MATCH(AG$1,acm[#Headers],0)),0)</f>
        <v>1.6221358937118986E-3</v>
      </c>
      <c r="AH34" s="33">
        <f>IFERROR(INDEX(acm[],MATCH($C34,acm[[Country code]:[Country code]],0),MATCH(AH$1,acm[#Headers],0)),0)</f>
        <v>2.1692584353159221E-3</v>
      </c>
      <c r="AI34" s="33">
        <f>IFERROR(INDEX(acm[],MATCH($C34,acm[[Country code]:[Country code]],0),MATCH(AI$1,acm[#Headers],0)),0)</f>
        <v>2.6138540091944569E-3</v>
      </c>
      <c r="AJ34" s="33">
        <f>IFERROR(INDEX(acm[],MATCH($C34,acm[[Country code]:[Country code]],0),MATCH(AJ$1,acm[#Headers],0)),0)</f>
        <v>3.2985286081480751E-3</v>
      </c>
      <c r="AK34" s="33">
        <f>IFERROR(INDEX(acm[],MATCH($C34,acm[[Country code]:[Country code]],0),MATCH(AK$1,acm[#Headers],0)),0)</f>
        <v>4.4668745220981217E-3</v>
      </c>
      <c r="AL34" s="33">
        <f>IFERROR(INDEX(acm[],MATCH($C34,acm[[Country code]:[Country code]],0),MATCH(AL$1,acm[#Headers],0)),0)</f>
        <v>5.5143666885556029E-3</v>
      </c>
      <c r="AM34" s="33">
        <f>IFERROR(INDEX(acm[],MATCH($C34,acm[[Country code]:[Country code]],0),MATCH(AM$1,acm[#Headers],0)),0)</f>
        <v>6.6193220926600979E-3</v>
      </c>
      <c r="AN34" s="33">
        <f>IFERROR(INDEX(acm[],MATCH($C34,acm[[Country code]:[Country code]],0),MATCH(AN$1,acm[#Headers],0)),0)</f>
        <v>8.6599715494527271E-3</v>
      </c>
      <c r="AO34" s="33">
        <f>IFERROR(INDEX(acm[],MATCH($C34,acm[[Country code]:[Country code]],0),MATCH(AO$1,acm[#Headers],0)),0)</f>
        <v>1.1327594658021498E-2</v>
      </c>
      <c r="AP34" s="33">
        <f>IFERROR(INDEX(acm[],MATCH($C34,acm[[Country code]:[Country code]],0),MATCH(AP$1,acm[#Headers],0)),0)</f>
        <v>1.7073142130542264E-2</v>
      </c>
      <c r="AQ34" s="33">
        <f>IFERROR(INDEX(acm[],MATCH($C34,acm[[Country code]:[Country code]],0),MATCH(AQ$1,acm[#Headers],0)),0)</f>
        <v>2.6326994283116099E-2</v>
      </c>
      <c r="AR34" s="33">
        <f>IFERROR(INDEX(acm[],MATCH($C34,acm[[Country code]:[Country code]],0),MATCH(AR$1,acm[#Headers],0)),0)</f>
        <v>4.0989689849863606E-2</v>
      </c>
      <c r="AS34" s="33">
        <f>IFERROR(INDEX(acm[],MATCH($C34,acm[[Country code]:[Country code]],0),MATCH(AS$1,acm[#Headers],0)),0)</f>
        <v>6.2473910229660326E-2</v>
      </c>
      <c r="AT34" s="33">
        <f>IFERROR(INDEX(acm[],MATCH($C34,acm[[Country code]:[Country code]],0),MATCH(AT$1,acm[#Headers],0)),0)</f>
        <v>9.1689805616604197E-2</v>
      </c>
      <c r="AU34" s="33">
        <f>IFERROR(INDEX(acm[],MATCH($C34,acm[[Country code]:[Country code]],0),MATCH(AU$1,acm[#Headers],0)),0)</f>
        <v>0.12456118941341625</v>
      </c>
      <c r="AV34" s="33">
        <f>IFERROR(INDEX(acm[],MATCH($C34,acm[[Country code]:[Country code]],0),MATCH(AV$1,acm[#Headers],0)),0)</f>
        <v>0.15352283955587445</v>
      </c>
      <c r="AW34" s="33">
        <f>IFERROR(INDEX(acm[],MATCH($C34,acm[[Country code]:[Country code]],0),MATCH(AW$1,acm[#Headers],0)),0)</f>
        <v>0.17455336213556152</v>
      </c>
      <c r="AX34" s="33">
        <f>IFERROR(VLOOKUP(lmic_raw[[#This Row],[num]],life_exp[[Country code]:[2015-2020]],2,FALSE),0)</f>
        <v>66.540000000000006</v>
      </c>
    </row>
    <row r="35" spans="1:50" x14ac:dyDescent="0.25">
      <c r="A35" s="110" t="s">
        <v>234</v>
      </c>
      <c r="B35" s="104" t="s">
        <v>612</v>
      </c>
      <c r="C35" s="105">
        <v>212</v>
      </c>
      <c r="D35" s="84" t="s">
        <v>679</v>
      </c>
      <c r="E35" s="84" t="s">
        <v>223</v>
      </c>
      <c r="F35" s="84" t="s">
        <v>665</v>
      </c>
      <c r="G35" s="84" t="s">
        <v>676</v>
      </c>
      <c r="H35" s="33">
        <f>VLOOKUP(lmic_raw[[#This Row],[num]],pop[[Country code]:[pop_20]],2,FALSE)*1000</f>
        <v>71808</v>
      </c>
      <c r="I35" s="120">
        <f>IFERROR(VLOOKUP(lmic_raw[[#This Row],[num]],pop[[Country code]:[pop_20]],2,FALSE)*VLOOKUP(lmic_raw[[#This Row],[num]],b_rate[[Country code]:[2015-2020]],2,FALSE),0)</f>
        <v>861.69600000000014</v>
      </c>
      <c r="J35" s="118">
        <f>IFERROR(MIN(VLOOKUP(lmic_raw[[#This Row],[iso3]],fac_b[],4,FALSE)/100,0.9999),0)</f>
        <v>0</v>
      </c>
      <c r="K35" s="33">
        <f>VLOOKUP(lmic_raw[[#This Row],[iso3]],vax[[iso3]:[hbv3]],2,FALSE)/100</f>
        <v>0.97</v>
      </c>
      <c r="L35" s="33">
        <f>VLOOKUP(lmic_raw[[#This Row],[iso3]],vax[[iso3]:[hbv3]],3,FALSE)/100</f>
        <v>0.99</v>
      </c>
      <c r="M35">
        <f>IFERROR(VLOOKUP(lmic_raw[[#This Row],[iso3]], hbv_prev[[iso3]:[ub]],2,FALSE)/100,0)</f>
        <v>1.23E-2</v>
      </c>
      <c r="N35" s="118">
        <f>IFERROR(VLOOKUP(lmic_raw[[#This Row],[setting]],hbe_prev[],3,FALSE),0)</f>
        <v>0</v>
      </c>
      <c r="O35">
        <f>VLOOKUP(lmic_raw[[#This Row],[gbd_super]],hbe_risk[],2,FALSE)</f>
        <v>0.8</v>
      </c>
      <c r="P35" s="33">
        <f>VLOOKUP(lmic_raw[[#This Row],[gbd_super]],hbe_risk[],5,FALSE)</f>
        <v>0.17499999999999999</v>
      </c>
      <c r="Q35" s="118">
        <f>IFERROR(VLOOKUP(lmic_raw[[#This Row],[setting]],disease_costs!$A$4:$B$197,2,FALSE),0)</f>
        <v>0</v>
      </c>
      <c r="R35">
        <f>IFERROR(VLOOKUP(lmic_raw[[#This Row],[gbd_super]],disease_costs!$G$4:$K$9,2,FALSE),0)</f>
        <v>86.883899999999997</v>
      </c>
      <c r="S35" s="33">
        <f>IFERROR(VLOOKUP(lmic_raw[[#This Row],[gbd_super]],disease_costs!$G$4:$K$9,3,FALSE),0)</f>
        <v>134.6259</v>
      </c>
      <c r="T35" s="33">
        <f>IFERROR(VLOOKUP(lmic_raw[[#This Row],[gbd_super]],disease_costs!$G$4:$K$9,4,FALSE),0)</f>
        <v>134.6259</v>
      </c>
      <c r="U35" s="33">
        <f>IFERROR(VLOOKUP(lmic_raw[[#This Row],[gbd_super]],disease_costs!$G$4:$K$9,5,FALSE),0)</f>
        <v>134.6259</v>
      </c>
      <c r="V35">
        <f>IFERROR(VLOOKUP(lmic_raw[[#This Row],[setting]],vcost[],3,FALSE),0)</f>
        <v>15.419633256169279</v>
      </c>
      <c r="W35">
        <f>IFERROR(VLOOKUP(lmic_raw[[#This Row],[setting]],vcost[],4,FALSE),0)</f>
        <v>15.439633256169278</v>
      </c>
      <c r="X35">
        <f>IFERROR(VLOOKUP(lmic_raw[[#This Row],[setting]],vcost[],5,FALSE),0)</f>
        <v>14.977231448398657</v>
      </c>
      <c r="Y35">
        <f>IFERROR(VLOOKUP(lmic_raw[[#This Row],[setting]],vcost[],6,FALSE),0)</f>
        <v>14.997231448398656</v>
      </c>
      <c r="Z35">
        <f>IFERROR(VLOOKUP(lmic_raw[[#This Row],[setting]],vcost[],7,FALSE),0)</f>
        <v>14.987966113718786</v>
      </c>
      <c r="AA35">
        <f>IFERROR(VLOOKUP(lmic_raw[[#This Row],[setting]],vcost[],8,FALSE),0)</f>
        <v>15.667329716181968</v>
      </c>
      <c r="AB35">
        <f>IFERROR(VLOOKUP(lmic_raw[[#This Row],[setting]],vcost[],9,FALSE),0)</f>
        <v>15.687329716181967</v>
      </c>
      <c r="AC35" s="118">
        <f>IFERROR(INDEX(acm[],MATCH($C35,acm[[Country code]:[Country code]],0),MATCH(AC$1,acm[#Headers],0)),0)</f>
        <v>0</v>
      </c>
      <c r="AD35" s="118">
        <f>IFERROR(INDEX(acm[],MATCH($C35,acm[[Country code]:[Country code]],0),MATCH(AD$1,acm[#Headers],0)),0)</f>
        <v>0</v>
      </c>
      <c r="AE35" s="118">
        <f>IFERROR(INDEX(acm[],MATCH($C35,acm[[Country code]:[Country code]],0),MATCH(AE$1,acm[#Headers],0)),0)</f>
        <v>0</v>
      </c>
      <c r="AF35" s="118">
        <f>IFERROR(INDEX(acm[],MATCH($C35,acm[[Country code]:[Country code]],0),MATCH(AF$1,acm[#Headers],0)),0)</f>
        <v>0</v>
      </c>
      <c r="AG35" s="118">
        <f>IFERROR(INDEX(acm[],MATCH($C35,acm[[Country code]:[Country code]],0),MATCH(AG$1,acm[#Headers],0)),0)</f>
        <v>0</v>
      </c>
      <c r="AH35" s="118">
        <f>IFERROR(INDEX(acm[],MATCH($C35,acm[[Country code]:[Country code]],0),MATCH(AH$1,acm[#Headers],0)),0)</f>
        <v>0</v>
      </c>
      <c r="AI35" s="118">
        <f>IFERROR(INDEX(acm[],MATCH($C35,acm[[Country code]:[Country code]],0),MATCH(AI$1,acm[#Headers],0)),0)</f>
        <v>0</v>
      </c>
      <c r="AJ35" s="118">
        <f>IFERROR(INDEX(acm[],MATCH($C35,acm[[Country code]:[Country code]],0),MATCH(AJ$1,acm[#Headers],0)),0)</f>
        <v>0</v>
      </c>
      <c r="AK35" s="118">
        <f>IFERROR(INDEX(acm[],MATCH($C35,acm[[Country code]:[Country code]],0),MATCH(AK$1,acm[#Headers],0)),0)</f>
        <v>0</v>
      </c>
      <c r="AL35" s="118">
        <f>IFERROR(INDEX(acm[],MATCH($C35,acm[[Country code]:[Country code]],0),MATCH(AL$1,acm[#Headers],0)),0)</f>
        <v>0</v>
      </c>
      <c r="AM35" s="118">
        <f>IFERROR(INDEX(acm[],MATCH($C35,acm[[Country code]:[Country code]],0),MATCH(AM$1,acm[#Headers],0)),0)</f>
        <v>0</v>
      </c>
      <c r="AN35" s="118">
        <f>IFERROR(INDEX(acm[],MATCH($C35,acm[[Country code]:[Country code]],0),MATCH(AN$1,acm[#Headers],0)),0)</f>
        <v>0</v>
      </c>
      <c r="AO35" s="118">
        <f>IFERROR(INDEX(acm[],MATCH($C35,acm[[Country code]:[Country code]],0),MATCH(AO$1,acm[#Headers],0)),0)</f>
        <v>0</v>
      </c>
      <c r="AP35" s="118">
        <f>IFERROR(INDEX(acm[],MATCH($C35,acm[[Country code]:[Country code]],0),MATCH(AP$1,acm[#Headers],0)),0)</f>
        <v>0</v>
      </c>
      <c r="AQ35" s="118">
        <f>IFERROR(INDEX(acm[],MATCH($C35,acm[[Country code]:[Country code]],0),MATCH(AQ$1,acm[#Headers],0)),0)</f>
        <v>0</v>
      </c>
      <c r="AR35" s="118">
        <f>IFERROR(INDEX(acm[],MATCH($C35,acm[[Country code]:[Country code]],0),MATCH(AR$1,acm[#Headers],0)),0)</f>
        <v>0</v>
      </c>
      <c r="AS35" s="118">
        <f>IFERROR(INDEX(acm[],MATCH($C35,acm[[Country code]:[Country code]],0),MATCH(AS$1,acm[#Headers],0)),0)</f>
        <v>0</v>
      </c>
      <c r="AT35" s="118">
        <f>IFERROR(INDEX(acm[],MATCH($C35,acm[[Country code]:[Country code]],0),MATCH(AT$1,acm[#Headers],0)),0)</f>
        <v>0</v>
      </c>
      <c r="AU35" s="118">
        <f>IFERROR(INDEX(acm[],MATCH($C35,acm[[Country code]:[Country code]],0),MATCH(AU$1,acm[#Headers],0)),0)</f>
        <v>0</v>
      </c>
      <c r="AV35" s="118">
        <f>IFERROR(INDEX(acm[],MATCH($C35,acm[[Country code]:[Country code]],0),MATCH(AV$1,acm[#Headers],0)),0)</f>
        <v>0</v>
      </c>
      <c r="AW35" s="118">
        <f>IFERROR(INDEX(acm[],MATCH($C35,acm[[Country code]:[Country code]],0),MATCH(AW$1,acm[#Headers],0)),0)</f>
        <v>0</v>
      </c>
      <c r="AX35" s="118">
        <f>IFERROR(VLOOKUP(lmic_raw[[#This Row],[num]],life_exp[[Country code]:[2015-2020]],2,FALSE),0)</f>
        <v>0</v>
      </c>
    </row>
    <row r="36" spans="1:50" x14ac:dyDescent="0.25">
      <c r="A36" s="109" t="s">
        <v>614</v>
      </c>
      <c r="B36" s="101" t="s">
        <v>415</v>
      </c>
      <c r="C36" s="102">
        <v>214</v>
      </c>
      <c r="D36" s="82" t="s">
        <v>679</v>
      </c>
      <c r="E36" s="82" t="s">
        <v>223</v>
      </c>
      <c r="F36" s="82" t="s">
        <v>665</v>
      </c>
      <c r="G36" s="82" t="s">
        <v>676</v>
      </c>
      <c r="H36" s="33">
        <f>VLOOKUP(lmic_raw[[#This Row],[num]],pop[[Country code]:[pop_20]],2,FALSE)*1000</f>
        <v>10738957</v>
      </c>
      <c r="I36" s="117">
        <f>IFERROR(VLOOKUP(lmic_raw[[#This Row],[num]],pop[[Country code]:[pop_20]],2,FALSE)*VLOOKUP(lmic_raw[[#This Row],[num]],b_rate[[Country code]:[2015-2020]],2,FALSE),0)</f>
        <v>211396.368545</v>
      </c>
      <c r="J36">
        <f>IFERROR(MIN(VLOOKUP(lmic_raw[[#This Row],[iso3]],fac_b[],4,FALSE)/100,0.9999),0)</f>
        <v>0.97900000000000009</v>
      </c>
      <c r="K36" s="33">
        <f>VLOOKUP(lmic_raw[[#This Row],[iso3]],vax[[iso3]:[hbv3]],2,FALSE)/100</f>
        <v>0.66</v>
      </c>
      <c r="L36" s="33">
        <f>VLOOKUP(lmic_raw[[#This Row],[iso3]],vax[[iso3]:[hbv3]],3,FALSE)/100</f>
        <v>0.87</v>
      </c>
      <c r="M36">
        <f>IFERROR(VLOOKUP(lmic_raw[[#This Row],[iso3]], hbv_prev[[iso3]:[ub]],2,FALSE)/100,0)</f>
        <v>1.47E-2</v>
      </c>
      <c r="N36">
        <f>IFERROR(VLOOKUP(lmic_raw[[#This Row],[setting]],hbe_prev[],3,FALSE),0)</f>
        <v>0.32463206947122436</v>
      </c>
      <c r="O36">
        <f>VLOOKUP(lmic_raw[[#This Row],[gbd_super]],hbe_risk[],2,FALSE)</f>
        <v>0.8</v>
      </c>
      <c r="P36" s="33">
        <f>VLOOKUP(lmic_raw[[#This Row],[gbd_super]],hbe_risk[],5,FALSE)</f>
        <v>0.17499999999999999</v>
      </c>
      <c r="Q36">
        <f>IFERROR(VLOOKUP(lmic_raw[[#This Row],[setting]],disease_costs!$A$4:$B$197,2,FALSE),0)</f>
        <v>9.5067061705750966</v>
      </c>
      <c r="R36">
        <f>IFERROR(VLOOKUP(lmic_raw[[#This Row],[gbd_super]],disease_costs!$G$4:$K$9,2,FALSE),0)</f>
        <v>86.883899999999997</v>
      </c>
      <c r="S36" s="33">
        <f>IFERROR(VLOOKUP(lmic_raw[[#This Row],[gbd_super]],disease_costs!$G$4:$K$9,3,FALSE),0)</f>
        <v>134.6259</v>
      </c>
      <c r="T36" s="33">
        <f>IFERROR(VLOOKUP(lmic_raw[[#This Row],[gbd_super]],disease_costs!$G$4:$K$9,4,FALSE),0)</f>
        <v>134.6259</v>
      </c>
      <c r="U36" s="33">
        <f>IFERROR(VLOOKUP(lmic_raw[[#This Row],[gbd_super]],disease_costs!$G$4:$K$9,5,FALSE),0)</f>
        <v>134.6259</v>
      </c>
      <c r="V36">
        <f>IFERROR(VLOOKUP(lmic_raw[[#This Row],[setting]],vcost[],3,FALSE),0)</f>
        <v>5.1760138330561594</v>
      </c>
      <c r="W36">
        <f>IFERROR(VLOOKUP(lmic_raw[[#This Row],[setting]],vcost[],4,FALSE),0)</f>
        <v>5.1960138330561589</v>
      </c>
      <c r="X36">
        <f>IFERROR(VLOOKUP(lmic_raw[[#This Row],[setting]],vcost[],5,FALSE),0)</f>
        <v>4.7310211017529955</v>
      </c>
      <c r="Y36">
        <f>IFERROR(VLOOKUP(lmic_raw[[#This Row],[setting]],vcost[],6,FALSE),0)</f>
        <v>4.7510211017529951</v>
      </c>
      <c r="Z36">
        <f>IFERROR(VLOOKUP(lmic_raw[[#This Row],[setting]],vcost[],7,FALSE),0)</f>
        <v>4.7397276712392609</v>
      </c>
      <c r="AA36">
        <f>IFERROR(VLOOKUP(lmic_raw[[#This Row],[setting]],vcost[],8,FALSE),0)</f>
        <v>5.4246442306212765</v>
      </c>
      <c r="AB36">
        <f>IFERROR(VLOOKUP(lmic_raw[[#This Row],[setting]],vcost[],9,FALSE),0)</f>
        <v>5.4446442306212761</v>
      </c>
      <c r="AC36" s="33">
        <f>IFERROR(INDEX(acm[],MATCH($C36,acm[[Country code]:[Country code]],0),MATCH(AC$1,acm[#Headers],0)),0)</f>
        <v>2.5863129999999946E-2</v>
      </c>
      <c r="AD36" s="33">
        <f>IFERROR(INDEX(acm[],MATCH($C36,acm[[Country code]:[Country code]],0),MATCH(AD$1,acm[#Headers],0)),0)</f>
        <v>7.7357455939433485E-4</v>
      </c>
      <c r="AE36" s="33">
        <f>IFERROR(INDEX(acm[],MATCH($C36,acm[[Country code]:[Country code]],0),MATCH(AE$1,acm[#Headers],0)),0)</f>
        <v>3.7187683614816214E-4</v>
      </c>
      <c r="AF36" s="33">
        <f>IFERROR(INDEX(acm[],MATCH($C36,acm[[Country code]:[Country code]],0),MATCH(AF$1,acm[#Headers],0)),0)</f>
        <v>3.7267275157720303E-4</v>
      </c>
      <c r="AG36" s="33">
        <f>IFERROR(INDEX(acm[],MATCH($C36,acm[[Country code]:[Country code]],0),MATCH(AG$1,acm[#Headers],0)),0)</f>
        <v>9.3912551170492601E-4</v>
      </c>
      <c r="AH36" s="33">
        <f>IFERROR(INDEX(acm[],MATCH($C36,acm[[Country code]:[Country code]],0),MATCH(AH$1,acm[#Headers],0)),0)</f>
        <v>1.6595884607338623E-3</v>
      </c>
      <c r="AI36" s="33">
        <f>IFERROR(INDEX(acm[],MATCH($C36,acm[[Country code]:[Country code]],0),MATCH(AI$1,acm[#Headers],0)),0)</f>
        <v>2.0990892974385718E-3</v>
      </c>
      <c r="AJ36" s="33">
        <f>IFERROR(INDEX(acm[],MATCH($C36,acm[[Country code]:[Country code]],0),MATCH(AJ$1,acm[#Headers],0)),0)</f>
        <v>2.5592100458552546E-3</v>
      </c>
      <c r="AK36" s="33">
        <f>IFERROR(INDEX(acm[],MATCH($C36,acm[[Country code]:[Country code]],0),MATCH(AK$1,acm[#Headers],0)),0)</f>
        <v>2.842646430570593E-3</v>
      </c>
      <c r="AL36" s="33">
        <f>IFERROR(INDEX(acm[],MATCH($C36,acm[[Country code]:[Country code]],0),MATCH(AL$1,acm[#Headers],0)),0)</f>
        <v>3.5714677964116342E-3</v>
      </c>
      <c r="AM36" s="33">
        <f>IFERROR(INDEX(acm[],MATCH($C36,acm[[Country code]:[Country code]],0),MATCH(AM$1,acm[#Headers],0)),0)</f>
        <v>4.7655679490866583E-3</v>
      </c>
      <c r="AN36" s="33">
        <f>IFERROR(INDEX(acm[],MATCH($C36,acm[[Country code]:[Country code]],0),MATCH(AN$1,acm[#Headers],0)),0)</f>
        <v>6.3086682489530439E-3</v>
      </c>
      <c r="AO36" s="33">
        <f>IFERROR(INDEX(acm[],MATCH($C36,acm[[Country code]:[Country code]],0),MATCH(AO$1,acm[#Headers],0)),0)</f>
        <v>9.1492027847737221E-3</v>
      </c>
      <c r="AP36" s="33">
        <f>IFERROR(INDEX(acm[],MATCH($C36,acm[[Country code]:[Country code]],0),MATCH(AP$1,acm[#Headers],0)),0)</f>
        <v>1.349657537567036E-2</v>
      </c>
      <c r="AQ36" s="33">
        <f>IFERROR(INDEX(acm[],MATCH($C36,acm[[Country code]:[Country code]],0),MATCH(AQ$1,acm[#Headers],0)),0)</f>
        <v>1.986574936550884E-2</v>
      </c>
      <c r="AR36" s="33">
        <f>IFERROR(INDEX(acm[],MATCH($C36,acm[[Country code]:[Country code]],0),MATCH(AR$1,acm[#Headers],0)),0)</f>
        <v>2.8805916843350335E-2</v>
      </c>
      <c r="AS36" s="33">
        <f>IFERROR(INDEX(acm[],MATCH($C36,acm[[Country code]:[Country code]],0),MATCH(AS$1,acm[#Headers],0)),0)</f>
        <v>4.1771450280558585E-2</v>
      </c>
      <c r="AT36" s="33">
        <f>IFERROR(INDEX(acm[],MATCH($C36,acm[[Country code]:[Country code]],0),MATCH(AT$1,acm[#Headers],0)),0)</f>
        <v>5.7749967357403655E-2</v>
      </c>
      <c r="AU36" s="33">
        <f>IFERROR(INDEX(acm[],MATCH($C36,acm[[Country code]:[Country code]],0),MATCH(AU$1,acm[#Headers],0)),0)</f>
        <v>7.6204519482658148E-2</v>
      </c>
      <c r="AV36" s="33">
        <f>IFERROR(INDEX(acm[],MATCH($C36,acm[[Country code]:[Country code]],0),MATCH(AV$1,acm[#Headers],0)),0)</f>
        <v>9.5852149000280579E-2</v>
      </c>
      <c r="AW36" s="33">
        <f>IFERROR(INDEX(acm[],MATCH($C36,acm[[Country code]:[Country code]],0),MATCH(AW$1,acm[#Headers],0)),0)</f>
        <v>0.11520297024996774</v>
      </c>
      <c r="AX36" s="33">
        <f>IFERROR(VLOOKUP(lmic_raw[[#This Row],[num]],life_exp[[Country code]:[2015-2020]],2,FALSE),0)</f>
        <v>73.811000000000007</v>
      </c>
    </row>
    <row r="37" spans="1:50" x14ac:dyDescent="0.25">
      <c r="A37" s="110" t="s">
        <v>267</v>
      </c>
      <c r="B37" s="104" t="s">
        <v>416</v>
      </c>
      <c r="C37" s="105">
        <v>218</v>
      </c>
      <c r="D37" s="84" t="s">
        <v>679</v>
      </c>
      <c r="E37" s="84" t="s">
        <v>593</v>
      </c>
      <c r="F37" s="84" t="s">
        <v>665</v>
      </c>
      <c r="G37" s="84" t="s">
        <v>676</v>
      </c>
      <c r="H37" s="33">
        <f>VLOOKUP(lmic_raw[[#This Row],[num]],pop[[Country code]:[pop_20]],2,FALSE)*1000</f>
        <v>17373657</v>
      </c>
      <c r="I37" s="117">
        <f>IFERROR(VLOOKUP(lmic_raw[[#This Row],[num]],pop[[Country code]:[pop_20]],2,FALSE)*VLOOKUP(lmic_raw[[#This Row],[num]],b_rate[[Country code]:[2015-2020]],2,FALSE),0)</f>
        <v>344971.333392</v>
      </c>
      <c r="J37">
        <f>IFERROR(MIN(VLOOKUP(lmic_raw[[#This Row],[iso3]],fac_b[],4,FALSE)/100,0.9999),0)</f>
        <v>0.93299999999999994</v>
      </c>
      <c r="K37" s="33">
        <f>VLOOKUP(lmic_raw[[#This Row],[iso3]],vax[[iso3]:[hbv3]],2,FALSE)/100</f>
        <v>0.71</v>
      </c>
      <c r="L37" s="33">
        <f>VLOOKUP(lmic_raw[[#This Row],[iso3]],vax[[iso3]:[hbv3]],3,FALSE)/100</f>
        <v>0.85</v>
      </c>
      <c r="M37">
        <f>IFERROR(VLOOKUP(lmic_raw[[#This Row],[iso3]], hbv_prev[[iso3]:[ub]],2,FALSE)/100,0)</f>
        <v>1.3600000000000001E-2</v>
      </c>
      <c r="N37">
        <f>IFERROR(VLOOKUP(lmic_raw[[#This Row],[setting]],hbe_prev[],3,FALSE),0)</f>
        <v>0.31201435746723727</v>
      </c>
      <c r="O37">
        <f>VLOOKUP(lmic_raw[[#This Row],[gbd_super]],hbe_risk[],2,FALSE)</f>
        <v>0.8</v>
      </c>
      <c r="P37" s="33">
        <f>VLOOKUP(lmic_raw[[#This Row],[gbd_super]],hbe_risk[],5,FALSE)</f>
        <v>0.17499999999999999</v>
      </c>
      <c r="Q37" s="118">
        <f>IFERROR(VLOOKUP(lmic_raw[[#This Row],[setting]],disease_costs!$A$4:$B$197,2,FALSE),0)</f>
        <v>0</v>
      </c>
      <c r="R37">
        <f>IFERROR(VLOOKUP(lmic_raw[[#This Row],[gbd_super]],disease_costs!$G$4:$K$9,2,FALSE),0)</f>
        <v>86.883899999999997</v>
      </c>
      <c r="S37" s="33">
        <f>IFERROR(VLOOKUP(lmic_raw[[#This Row],[gbd_super]],disease_costs!$G$4:$K$9,3,FALSE),0)</f>
        <v>134.6259</v>
      </c>
      <c r="T37" s="33">
        <f>IFERROR(VLOOKUP(lmic_raw[[#This Row],[gbd_super]],disease_costs!$G$4:$K$9,4,FALSE),0)</f>
        <v>134.6259</v>
      </c>
      <c r="U37" s="33">
        <f>IFERROR(VLOOKUP(lmic_raw[[#This Row],[gbd_super]],disease_costs!$G$4:$K$9,5,FALSE),0)</f>
        <v>134.6259</v>
      </c>
      <c r="V37">
        <f>IFERROR(VLOOKUP(lmic_raw[[#This Row],[setting]],vcost[],3,FALSE),0)</f>
        <v>3.5763010422925561</v>
      </c>
      <c r="W37">
        <f>IFERROR(VLOOKUP(lmic_raw[[#This Row],[setting]],vcost[],4,FALSE),0)</f>
        <v>3.5963010422925561</v>
      </c>
      <c r="X37">
        <f>IFERROR(VLOOKUP(lmic_raw[[#This Row],[setting]],vcost[],5,FALSE),0)</f>
        <v>3.1384817678145147</v>
      </c>
      <c r="Y37">
        <f>IFERROR(VLOOKUP(lmic_raw[[#This Row],[setting]],vcost[],6,FALSE),0)</f>
        <v>3.1584817678145147</v>
      </c>
      <c r="Z37">
        <f>IFERROR(VLOOKUP(lmic_raw[[#This Row],[setting]],vcost[],7,FALSE),0)</f>
        <v>3.1503284227452526</v>
      </c>
      <c r="AA37">
        <f>IFERROR(VLOOKUP(lmic_raw[[#This Row],[setting]],vcost[],8,FALSE),0)</f>
        <v>3.8223456589090827</v>
      </c>
      <c r="AB37">
        <f>IFERROR(VLOOKUP(lmic_raw[[#This Row],[setting]],vcost[],9,FALSE),0)</f>
        <v>3.8423456589090828</v>
      </c>
      <c r="AC37" s="33">
        <f>IFERROR(INDEX(acm[],MATCH($C37,acm[[Country code]:[Country code]],0),MATCH(AC$1,acm[#Headers],0)),0)</f>
        <v>1.3603999999999943E-2</v>
      </c>
      <c r="AD37" s="33">
        <f>IFERROR(INDEX(acm[],MATCH($C37,acm[[Country code]:[Country code]],0),MATCH(AD$1,acm[#Headers],0)),0)</f>
        <v>6.8767006354446118E-4</v>
      </c>
      <c r="AE37" s="33">
        <f>IFERROR(INDEX(acm[],MATCH($C37,acm[[Country code]:[Country code]],0),MATCH(AE$1,acm[#Headers],0)),0)</f>
        <v>3.9370417335979569E-4</v>
      </c>
      <c r="AF37" s="33">
        <f>IFERROR(INDEX(acm[],MATCH($C37,acm[[Country code]:[Country code]],0),MATCH(AF$1,acm[#Headers],0)),0)</f>
        <v>4.9526642493011395E-4</v>
      </c>
      <c r="AG37" s="33">
        <f>IFERROR(INDEX(acm[],MATCH($C37,acm[[Country code]:[Country code]],0),MATCH(AG$1,acm[#Headers],0)),0)</f>
        <v>1.0292681964982182E-3</v>
      </c>
      <c r="AH37" s="33">
        <f>IFERROR(INDEX(acm[],MATCH($C37,acm[[Country code]:[Country code]],0),MATCH(AH$1,acm[#Headers],0)),0)</f>
        <v>1.6221000035185156E-3</v>
      </c>
      <c r="AI37" s="33">
        <f>IFERROR(INDEX(acm[],MATCH($C37,acm[[Country code]:[Country code]],0),MATCH(AI$1,acm[#Headers],0)),0)</f>
        <v>1.9509558964916247E-3</v>
      </c>
      <c r="AJ37" s="33">
        <f>IFERROR(INDEX(acm[],MATCH($C37,acm[[Country code]:[Country code]],0),MATCH(AJ$1,acm[#Headers],0)),0)</f>
        <v>2.024378160246552E-3</v>
      </c>
      <c r="AK37" s="33">
        <f>IFERROR(INDEX(acm[],MATCH($C37,acm[[Country code]:[Country code]],0),MATCH(AK$1,acm[#Headers],0)),0)</f>
        <v>2.1684233691174424E-3</v>
      </c>
      <c r="AL37" s="33">
        <f>IFERROR(INDEX(acm[],MATCH($C37,acm[[Country code]:[Country code]],0),MATCH(AL$1,acm[#Headers],0)),0)</f>
        <v>2.710723957563381E-3</v>
      </c>
      <c r="AM37" s="33">
        <f>IFERROR(INDEX(acm[],MATCH($C37,acm[[Country code]:[Country code]],0),MATCH(AM$1,acm[#Headers],0)),0)</f>
        <v>3.4507564595453277E-3</v>
      </c>
      <c r="AN37" s="33">
        <f>IFERROR(INDEX(acm[],MATCH($C37,acm[[Country code]:[Country code]],0),MATCH(AN$1,acm[#Headers],0)),0)</f>
        <v>5.0299162268145599E-3</v>
      </c>
      <c r="AO37" s="33">
        <f>IFERROR(INDEX(acm[],MATCH($C37,acm[[Country code]:[Country code]],0),MATCH(AO$1,acm[#Headers],0)),0)</f>
        <v>6.85829796409302E-3</v>
      </c>
      <c r="AP37" s="33">
        <f>IFERROR(INDEX(acm[],MATCH($C37,acm[[Country code]:[Country code]],0),MATCH(AP$1,acm[#Headers],0)),0)</f>
        <v>9.9720927830648891E-3</v>
      </c>
      <c r="AQ37" s="33">
        <f>IFERROR(INDEX(acm[],MATCH($C37,acm[[Country code]:[Country code]],0),MATCH(AQ$1,acm[#Headers],0)),0)</f>
        <v>1.3981656629861733E-2</v>
      </c>
      <c r="AR37" s="33">
        <f>IFERROR(INDEX(acm[],MATCH($C37,acm[[Country code]:[Country code]],0),MATCH(AR$1,acm[#Headers],0)),0)</f>
        <v>2.2815887117368309E-2</v>
      </c>
      <c r="AS37" s="33">
        <f>IFERROR(INDEX(acm[],MATCH($C37,acm[[Country code]:[Country code]],0),MATCH(AS$1,acm[#Headers],0)),0)</f>
        <v>3.6522283012411859E-2</v>
      </c>
      <c r="AT37" s="33">
        <f>IFERROR(INDEX(acm[],MATCH($C37,acm[[Country code]:[Country code]],0),MATCH(AT$1,acm[#Headers],0)),0)</f>
        <v>5.592534206364163E-2</v>
      </c>
      <c r="AU37" s="33">
        <f>IFERROR(INDEX(acm[],MATCH($C37,acm[[Country code]:[Country code]],0),MATCH(AU$1,acm[#Headers],0)),0)</f>
        <v>8.5126930812053858E-2</v>
      </c>
      <c r="AV37" s="33">
        <f>IFERROR(INDEX(acm[],MATCH($C37,acm[[Country code]:[Country code]],0),MATCH(AV$1,acm[#Headers],0)),0)</f>
        <v>0.10901687879307558</v>
      </c>
      <c r="AW37" s="33">
        <f>IFERROR(INDEX(acm[],MATCH($C37,acm[[Country code]:[Country code]],0),MATCH(AW$1,acm[#Headers],0)),0)</f>
        <v>0.13971960254114565</v>
      </c>
      <c r="AX37" s="33">
        <f>IFERROR(VLOOKUP(lmic_raw[[#This Row],[num]],life_exp[[Country code]:[2015-2020]],2,FALSE),0)</f>
        <v>76.701999999999998</v>
      </c>
    </row>
    <row r="38" spans="1:50" x14ac:dyDescent="0.25">
      <c r="A38" s="109" t="s">
        <v>158</v>
      </c>
      <c r="B38" s="101" t="s">
        <v>417</v>
      </c>
      <c r="C38" s="102">
        <v>818</v>
      </c>
      <c r="D38" s="82" t="s">
        <v>673</v>
      </c>
      <c r="E38" s="82" t="s">
        <v>579</v>
      </c>
      <c r="F38" s="82" t="s">
        <v>579</v>
      </c>
      <c r="G38" s="82" t="s">
        <v>678</v>
      </c>
      <c r="H38" s="33">
        <f>VLOOKUP(lmic_raw[[#This Row],[num]],pop[[Country code]:[pop_20]],2,FALSE)*1000</f>
        <v>100388076</v>
      </c>
      <c r="I38" s="117">
        <f>IFERROR(VLOOKUP(lmic_raw[[#This Row],[num]],pop[[Country code]:[pop_20]],2,FALSE)*VLOOKUP(lmic_raw[[#This Row],[num]],b_rate[[Country code]:[2015-2020]],2,FALSE),0)</f>
        <v>2664098.760888</v>
      </c>
      <c r="J38">
        <f>IFERROR(MIN(VLOOKUP(lmic_raw[[#This Row],[iso3]],fac_b[],4,FALSE)/100,0.9999),0)</f>
        <v>0.86699999999999999</v>
      </c>
      <c r="K38" s="33">
        <f>VLOOKUP(lmic_raw[[#This Row],[iso3]],vax[[iso3]:[hbv3]],2,FALSE)/100</f>
        <v>0.91</v>
      </c>
      <c r="L38" s="33">
        <f>VLOOKUP(lmic_raw[[#This Row],[iso3]],vax[[iso3]:[hbv3]],3,FALSE)/100</f>
        <v>0.95</v>
      </c>
      <c r="M38">
        <f>IFERROR(VLOOKUP(lmic_raw[[#This Row],[iso3]], hbv_prev[[iso3]:[ub]],2,FALSE)/100,0)</f>
        <v>1.9599999999999999E-2</v>
      </c>
      <c r="N38">
        <f>IFERROR(VLOOKUP(lmic_raw[[#This Row],[setting]],hbe_prev[],3,FALSE),0)</f>
        <v>0.26878838285685103</v>
      </c>
      <c r="O38">
        <f>VLOOKUP(lmic_raw[[#This Row],[gbd_super]],hbe_risk[],2,FALSE)</f>
        <v>0.8</v>
      </c>
      <c r="P38" s="33">
        <f>VLOOKUP(lmic_raw[[#This Row],[gbd_super]],hbe_risk[],5,FALSE)</f>
        <v>0.17499999999999999</v>
      </c>
      <c r="Q38" s="118">
        <f>IFERROR(VLOOKUP(lmic_raw[[#This Row],[setting]],disease_costs!$A$4:$B$197,2,FALSE),0)</f>
        <v>0</v>
      </c>
      <c r="R38">
        <f>IFERROR(VLOOKUP(lmic_raw[[#This Row],[gbd_super]],disease_costs!$G$4:$K$9,2,FALSE),0)</f>
        <v>46.335900000000002</v>
      </c>
      <c r="S38" s="33">
        <f>IFERROR(VLOOKUP(lmic_raw[[#This Row],[gbd_super]],disease_costs!$G$4:$K$9,3,FALSE),0)</f>
        <v>94.077900000000014</v>
      </c>
      <c r="T38" s="33">
        <f>IFERROR(VLOOKUP(lmic_raw[[#This Row],[gbd_super]],disease_costs!$G$4:$K$9,4,FALSE),0)</f>
        <v>94.077900000000014</v>
      </c>
      <c r="U38" s="33">
        <f>IFERROR(VLOOKUP(lmic_raw[[#This Row],[gbd_super]],disease_costs!$G$4:$K$9,5,FALSE),0)</f>
        <v>94.077900000000014</v>
      </c>
      <c r="V38">
        <f>IFERROR(VLOOKUP(lmic_raw[[#This Row],[setting]],vcost[],3,FALSE),0)</f>
        <v>2.7684170020583592</v>
      </c>
      <c r="W38">
        <f>IFERROR(VLOOKUP(lmic_raw[[#This Row],[setting]],vcost[],4,FALSE),0)</f>
        <v>3.2484170020583591</v>
      </c>
      <c r="X38">
        <f>IFERROR(VLOOKUP(lmic_raw[[#This Row],[setting]],vcost[],5,FALSE),0)</f>
        <v>2.3329781440009412</v>
      </c>
      <c r="Y38">
        <f>IFERROR(VLOOKUP(lmic_raw[[#This Row],[setting]],vcost[],6,FALSE),0)</f>
        <v>2.8129781440009411</v>
      </c>
      <c r="Z38">
        <f>IFERROR(VLOOKUP(lmic_raw[[#This Row],[setting]],vcost[],7,FALSE),0)</f>
        <v>2.805998505295368</v>
      </c>
      <c r="AA38">
        <f>IFERROR(VLOOKUP(lmic_raw[[#This Row],[setting]],vcost[],8,FALSE),0)</f>
        <v>3.0136035615930341</v>
      </c>
      <c r="AB38">
        <f>IFERROR(VLOOKUP(lmic_raw[[#This Row],[setting]],vcost[],9,FALSE),0)</f>
        <v>3.4936035615930341</v>
      </c>
      <c r="AC38" s="33">
        <f>IFERROR(INDEX(acm[],MATCH($C38,acm[[Country code]:[Country code]],0),MATCH(AC$1,acm[#Headers],0)),0)</f>
        <v>1.5603000000000028E-2</v>
      </c>
      <c r="AD38" s="33">
        <f>IFERROR(INDEX(acm[],MATCH($C38,acm[[Country code]:[Country code]],0),MATCH(AD$1,acm[#Headers],0)),0)</f>
        <v>1.0979411761717916E-3</v>
      </c>
      <c r="AE38" s="33">
        <f>IFERROR(INDEX(acm[],MATCH($C38,acm[[Country code]:[Country code]],0),MATCH(AE$1,acm[#Headers],0)),0)</f>
        <v>4.0203096550612541E-4</v>
      </c>
      <c r="AF38" s="33">
        <f>IFERROR(INDEX(acm[],MATCH($C38,acm[[Country code]:[Country code]],0),MATCH(AF$1,acm[#Headers],0)),0)</f>
        <v>3.3723214981119505E-4</v>
      </c>
      <c r="AG38" s="33">
        <f>IFERROR(INDEX(acm[],MATCH($C38,acm[[Country code]:[Country code]],0),MATCH(AG$1,acm[#Headers],0)),0)</f>
        <v>4.8947906856727417E-4</v>
      </c>
      <c r="AH38" s="33">
        <f>IFERROR(INDEX(acm[],MATCH($C38,acm[[Country code]:[Country code]],0),MATCH(AH$1,acm[#Headers],0)),0)</f>
        <v>7.3460421749213067E-4</v>
      </c>
      <c r="AI38" s="33">
        <f>IFERROR(INDEX(acm[],MATCH($C38,acm[[Country code]:[Country code]],0),MATCH(AI$1,acm[#Headers],0)),0)</f>
        <v>9.0669127946694952E-4</v>
      </c>
      <c r="AJ38" s="33">
        <f>IFERROR(INDEX(acm[],MATCH($C38,acm[[Country code]:[Country code]],0),MATCH(AJ$1,acm[#Headers],0)),0)</f>
        <v>1.1951674384517003E-3</v>
      </c>
      <c r="AK38" s="33">
        <f>IFERROR(INDEX(acm[],MATCH($C38,acm[[Country code]:[Country code]],0),MATCH(AK$1,acm[#Headers],0)),0)</f>
        <v>1.4403121562159814E-3</v>
      </c>
      <c r="AL38" s="33">
        <f>IFERROR(INDEX(acm[],MATCH($C38,acm[[Country code]:[Country code]],0),MATCH(AL$1,acm[#Headers],0)),0)</f>
        <v>2.1571886813432435E-3</v>
      </c>
      <c r="AM38" s="33">
        <f>IFERROR(INDEX(acm[],MATCH($C38,acm[[Country code]:[Country code]],0),MATCH(AM$1,acm[#Headers],0)),0)</f>
        <v>4.4969935214368723E-3</v>
      </c>
      <c r="AN38" s="33">
        <f>IFERROR(INDEX(acm[],MATCH($C38,acm[[Country code]:[Country code]],0),MATCH(AN$1,acm[#Headers],0)),0)</f>
        <v>8.2593242275040731E-3</v>
      </c>
      <c r="AO38" s="33">
        <f>IFERROR(INDEX(acm[],MATCH($C38,acm[[Country code]:[Country code]],0),MATCH(AO$1,acm[#Headers],0)),0)</f>
        <v>1.1397434154598698E-2</v>
      </c>
      <c r="AP38" s="33">
        <f>IFERROR(INDEX(acm[],MATCH($C38,acm[[Country code]:[Country code]],0),MATCH(AP$1,acm[#Headers],0)),0)</f>
        <v>1.8330517874933352E-2</v>
      </c>
      <c r="AQ38" s="33">
        <f>IFERROR(INDEX(acm[],MATCH($C38,acm[[Country code]:[Country code]],0),MATCH(AQ$1,acm[#Headers],0)),0)</f>
        <v>2.8106823757184662E-2</v>
      </c>
      <c r="AR38" s="33">
        <f>IFERROR(INDEX(acm[],MATCH($C38,acm[[Country code]:[Country code]],0),MATCH(AR$1,acm[#Headers],0)),0)</f>
        <v>4.3978088495614923E-2</v>
      </c>
      <c r="AS38" s="33">
        <f>IFERROR(INDEX(acm[],MATCH($C38,acm[[Country code]:[Country code]],0),MATCH(AS$1,acm[#Headers],0)),0)</f>
        <v>6.7373729113522129E-2</v>
      </c>
      <c r="AT38" s="33">
        <f>IFERROR(INDEX(acm[],MATCH($C38,acm[[Country code]:[Country code]],0),MATCH(AT$1,acm[#Headers],0)),0)</f>
        <v>9.481964846989685E-2</v>
      </c>
      <c r="AU38" s="33">
        <f>IFERROR(INDEX(acm[],MATCH($C38,acm[[Country code]:[Country code]],0),MATCH(AU$1,acm[#Headers],0)),0)</f>
        <v>0.12462073263023554</v>
      </c>
      <c r="AV38" s="33">
        <f>IFERROR(INDEX(acm[],MATCH($C38,acm[[Country code]:[Country code]],0),MATCH(AV$1,acm[#Headers],0)),0)</f>
        <v>0.14965792419484689</v>
      </c>
      <c r="AW38" s="33">
        <f>IFERROR(INDEX(acm[],MATCH($C38,acm[[Country code]:[Country code]],0),MATCH(AW$1,acm[#Headers],0)),0)</f>
        <v>0.1716527449047042</v>
      </c>
      <c r="AX38" s="33">
        <f>IFERROR(VLOOKUP(lmic_raw[[#This Row],[num]],life_exp[[Country code]:[2015-2020]],2,FALSE),0)</f>
        <v>71.744</v>
      </c>
    </row>
    <row r="39" spans="1:50" x14ac:dyDescent="0.25">
      <c r="A39" s="110" t="s">
        <v>255</v>
      </c>
      <c r="B39" s="104" t="s">
        <v>418</v>
      </c>
      <c r="C39" s="105">
        <v>222</v>
      </c>
      <c r="D39" s="84" t="s">
        <v>679</v>
      </c>
      <c r="E39" s="84" t="s">
        <v>604</v>
      </c>
      <c r="F39" s="84" t="s">
        <v>665</v>
      </c>
      <c r="G39" s="84" t="s">
        <v>678</v>
      </c>
      <c r="H39" s="33">
        <f>VLOOKUP(lmic_raw[[#This Row],[num]],pop[[Country code]:[pop_20]],2,FALSE)*1000</f>
        <v>6453550</v>
      </c>
      <c r="I39" s="117">
        <f>IFERROR(VLOOKUP(lmic_raw[[#This Row],[num]],pop[[Country code]:[pop_20]],2,FALSE)*VLOOKUP(lmic_raw[[#This Row],[num]],b_rate[[Country code]:[2015-2020]],2,FALSE),0)</f>
        <v>118629.15610000001</v>
      </c>
      <c r="J39">
        <f>IFERROR(MIN(VLOOKUP(lmic_raw[[#This Row],[iso3]],fac_b[],4,FALSE)/100,0.9999),0)</f>
        <v>0.97499999999999998</v>
      </c>
      <c r="K39" s="33">
        <f>VLOOKUP(lmic_raw[[#This Row],[iso3]],vax[[iso3]:[hbv3]],2,FALSE)/100</f>
        <v>0.76</v>
      </c>
      <c r="L39" s="33">
        <f>VLOOKUP(lmic_raw[[#This Row],[iso3]],vax[[iso3]:[hbv3]],3,FALSE)/100</f>
        <v>0.81</v>
      </c>
      <c r="M39">
        <f>IFERROR(VLOOKUP(lmic_raw[[#This Row],[iso3]], hbv_prev[[iso3]:[ub]],2,FALSE)/100,0)</f>
        <v>1.8100000000000002E-2</v>
      </c>
      <c r="N39">
        <f>IFERROR(VLOOKUP(lmic_raw[[#This Row],[setting]],hbe_prev[],3,FALSE),0)</f>
        <v>0.31847101781109982</v>
      </c>
      <c r="O39">
        <f>VLOOKUP(lmic_raw[[#This Row],[gbd_super]],hbe_risk[],2,FALSE)</f>
        <v>0.8</v>
      </c>
      <c r="P39" s="33">
        <f>VLOOKUP(lmic_raw[[#This Row],[gbd_super]],hbe_risk[],5,FALSE)</f>
        <v>0.17499999999999999</v>
      </c>
      <c r="Q39" s="118">
        <f>IFERROR(VLOOKUP(lmic_raw[[#This Row],[setting]],disease_costs!$A$4:$B$197,2,FALSE),0)</f>
        <v>0</v>
      </c>
      <c r="R39">
        <f>IFERROR(VLOOKUP(lmic_raw[[#This Row],[gbd_super]],disease_costs!$G$4:$K$9,2,FALSE),0)</f>
        <v>86.883899999999997</v>
      </c>
      <c r="S39" s="33">
        <f>IFERROR(VLOOKUP(lmic_raw[[#This Row],[gbd_super]],disease_costs!$G$4:$K$9,3,FALSE),0)</f>
        <v>134.6259</v>
      </c>
      <c r="T39" s="33">
        <f>IFERROR(VLOOKUP(lmic_raw[[#This Row],[gbd_super]],disease_costs!$G$4:$K$9,4,FALSE),0)</f>
        <v>134.6259</v>
      </c>
      <c r="U39" s="33">
        <f>IFERROR(VLOOKUP(lmic_raw[[#This Row],[gbd_super]],disease_costs!$G$4:$K$9,5,FALSE),0)</f>
        <v>134.6259</v>
      </c>
      <c r="V39">
        <f>IFERROR(VLOOKUP(lmic_raw[[#This Row],[setting]],vcost[],3,FALSE),0)</f>
        <v>3.4120295872190045</v>
      </c>
      <c r="W39">
        <f>IFERROR(VLOOKUP(lmic_raw[[#This Row],[setting]],vcost[],4,FALSE),0)</f>
        <v>3.4320295872190045</v>
      </c>
      <c r="X39">
        <f>IFERROR(VLOOKUP(lmic_raw[[#This Row],[setting]],vcost[],5,FALSE),0)</f>
        <v>2.9684618259281574</v>
      </c>
      <c r="Y39">
        <f>IFERROR(VLOOKUP(lmic_raw[[#This Row],[setting]],vcost[],6,FALSE),0)</f>
        <v>2.9884618259281575</v>
      </c>
      <c r="Z39">
        <f>IFERROR(VLOOKUP(lmic_raw[[#This Row],[setting]],vcost[],7,FALSE),0)</f>
        <v>2.9775863334208932</v>
      </c>
      <c r="AA39">
        <f>IFERROR(VLOOKUP(lmic_raw[[#This Row],[setting]],vcost[],8,FALSE),0)</f>
        <v>3.6601463328029382</v>
      </c>
      <c r="AB39">
        <f>IFERROR(VLOOKUP(lmic_raw[[#This Row],[setting]],vcost[],9,FALSE),0)</f>
        <v>3.6801463328029382</v>
      </c>
      <c r="AC39" s="33">
        <f>IFERROR(INDEX(acm[],MATCH($C39,acm[[Country code]:[Country code]],0),MATCH(AC$1,acm[#Headers],0)),0)</f>
        <v>1.4574100000000034E-2</v>
      </c>
      <c r="AD39" s="33">
        <f>IFERROR(INDEX(acm[],MATCH($C39,acm[[Country code]:[Country code]],0),MATCH(AD$1,acm[#Headers],0)),0)</f>
        <v>5.8787271574654756E-4</v>
      </c>
      <c r="AE39" s="33">
        <f>IFERROR(INDEX(acm[],MATCH($C39,acm[[Country code]:[Country code]],0),MATCH(AE$1,acm[#Headers],0)),0)</f>
        <v>2.7359335287326406E-4</v>
      </c>
      <c r="AF39" s="33">
        <f>IFERROR(INDEX(acm[],MATCH($C39,acm[[Country code]:[Country code]],0),MATCH(AF$1,acm[#Headers],0)),0)</f>
        <v>5.6615653243363045E-4</v>
      </c>
      <c r="AG39" s="33">
        <f>IFERROR(INDEX(acm[],MATCH($C39,acm[[Country code]:[Country code]],0),MATCH(AG$1,acm[#Headers],0)),0)</f>
        <v>1.5467045213967004E-3</v>
      </c>
      <c r="AH39" s="33">
        <f>IFERROR(INDEX(acm[],MATCH($C39,acm[[Country code]:[Country code]],0),MATCH(AH$1,acm[#Headers],0)),0)</f>
        <v>2.5678802993155231E-3</v>
      </c>
      <c r="AI39" s="33">
        <f>IFERROR(INDEX(acm[],MATCH($C39,acm[[Country code]:[Country code]],0),MATCH(AI$1,acm[#Headers],0)),0)</f>
        <v>3.1928440582634624E-3</v>
      </c>
      <c r="AJ39" s="33">
        <f>IFERROR(INDEX(acm[],MATCH($C39,acm[[Country code]:[Country code]],0),MATCH(AJ$1,acm[#Headers],0)),0)</f>
        <v>3.3442466916200142E-3</v>
      </c>
      <c r="AK39" s="33">
        <f>IFERROR(INDEX(acm[],MATCH($C39,acm[[Country code]:[Country code]],0),MATCH(AK$1,acm[#Headers],0)),0)</f>
        <v>3.5035388763385374E-3</v>
      </c>
      <c r="AL39" s="33">
        <f>IFERROR(INDEX(acm[],MATCH($C39,acm[[Country code]:[Country code]],0),MATCH(AL$1,acm[#Headers],0)),0)</f>
        <v>4.1767442776819916E-3</v>
      </c>
      <c r="AM39" s="33">
        <f>IFERROR(INDEX(acm[],MATCH($C39,acm[[Country code]:[Country code]],0),MATCH(AM$1,acm[#Headers],0)),0)</f>
        <v>5.3286807808323637E-3</v>
      </c>
      <c r="AN39" s="33">
        <f>IFERROR(INDEX(acm[],MATCH($C39,acm[[Country code]:[Country code]],0),MATCH(AN$1,acm[#Headers],0)),0)</f>
        <v>7.0022786397334483E-3</v>
      </c>
      <c r="AO39" s="33">
        <f>IFERROR(INDEX(acm[],MATCH($C39,acm[[Country code]:[Country code]],0),MATCH(AO$1,acm[#Headers],0)),0)</f>
        <v>9.2354011811787394E-3</v>
      </c>
      <c r="AP39" s="33">
        <f>IFERROR(INDEX(acm[],MATCH($C39,acm[[Country code]:[Country code]],0),MATCH(AP$1,acm[#Headers],0)),0)</f>
        <v>1.2596566492475666E-2</v>
      </c>
      <c r="AQ39" s="33">
        <f>IFERROR(INDEX(acm[],MATCH($C39,acm[[Country code]:[Country code]],0),MATCH(AQ$1,acm[#Headers],0)),0)</f>
        <v>1.7923417547505406E-2</v>
      </c>
      <c r="AR39" s="33">
        <f>IFERROR(INDEX(acm[],MATCH($C39,acm[[Country code]:[Country code]],0),MATCH(AR$1,acm[#Headers],0)),0)</f>
        <v>2.5981559241636625E-2</v>
      </c>
      <c r="AS39" s="33">
        <f>IFERROR(INDEX(acm[],MATCH($C39,acm[[Country code]:[Country code]],0),MATCH(AS$1,acm[#Headers],0)),0)</f>
        <v>4.006102477670364E-2</v>
      </c>
      <c r="AT39" s="33">
        <f>IFERROR(INDEX(acm[],MATCH($C39,acm[[Country code]:[Country code]],0),MATCH(AT$1,acm[#Headers],0)),0)</f>
        <v>6.487128410649827E-2</v>
      </c>
      <c r="AU39" s="33">
        <f>IFERROR(INDEX(acm[],MATCH($C39,acm[[Country code]:[Country code]],0),MATCH(AU$1,acm[#Headers],0)),0)</f>
        <v>9.7752780082995316E-2</v>
      </c>
      <c r="AV39" s="33">
        <f>IFERROR(INDEX(acm[],MATCH($C39,acm[[Country code]:[Country code]],0),MATCH(AV$1,acm[#Headers],0)),0)</f>
        <v>0.13331544574056195</v>
      </c>
      <c r="AW39" s="33">
        <f>IFERROR(INDEX(acm[],MATCH($C39,acm[[Country code]:[Country code]],0),MATCH(AW$1,acm[#Headers],0)),0)</f>
        <v>0.16445094512423067</v>
      </c>
      <c r="AX39" s="33">
        <f>IFERROR(VLOOKUP(lmic_raw[[#This Row],[num]],life_exp[[Country code]:[2015-2020]],2,FALSE),0)</f>
        <v>72.986000000000004</v>
      </c>
    </row>
    <row r="40" spans="1:50" x14ac:dyDescent="0.25">
      <c r="A40" s="109" t="s">
        <v>128</v>
      </c>
      <c r="B40" s="101" t="s">
        <v>419</v>
      </c>
      <c r="C40" s="102">
        <v>226</v>
      </c>
      <c r="D40" s="82" t="s">
        <v>677</v>
      </c>
      <c r="E40" s="82" t="s">
        <v>582</v>
      </c>
      <c r="F40" s="82" t="s">
        <v>667</v>
      </c>
      <c r="G40" s="82" t="s">
        <v>676</v>
      </c>
      <c r="H40" s="33">
        <f>VLOOKUP(lmic_raw[[#This Row],[num]],pop[[Country code]:[pop_20]],2,FALSE)*1000</f>
        <v>1355982</v>
      </c>
      <c r="I40" s="117">
        <f>IFERROR(VLOOKUP(lmic_raw[[#This Row],[num]],pop[[Country code]:[pop_20]],2,FALSE)*VLOOKUP(lmic_raw[[#This Row],[num]],b_rate[[Country code]:[2015-2020]],2,FALSE),0)</f>
        <v>45363.021827999997</v>
      </c>
      <c r="J40">
        <f>IFERROR(MIN(VLOOKUP(lmic_raw[[#This Row],[iso3]],fac_b[],4,FALSE)/100,0.9999),0)</f>
        <v>0.67299999999999993</v>
      </c>
      <c r="K40" s="33">
        <f>VLOOKUP(lmic_raw[[#This Row],[iso3]],vax[[iso3]:[hbv3]],2,FALSE)/100</f>
        <v>0</v>
      </c>
      <c r="L40" s="33">
        <f>VLOOKUP(lmic_raw[[#This Row],[iso3]],vax[[iso3]:[hbv3]],3,FALSE)/100</f>
        <v>0.53</v>
      </c>
      <c r="M40">
        <f>IFERROR(VLOOKUP(lmic_raw[[#This Row],[iso3]], hbv_prev[[iso3]:[ub]],2,FALSE)/100,0)</f>
        <v>9.3399999999999997E-2</v>
      </c>
      <c r="N40">
        <f>IFERROR(VLOOKUP(lmic_raw[[#This Row],[setting]],hbe_prev[],3,FALSE),0)</f>
        <v>0.29421756240904251</v>
      </c>
      <c r="O40">
        <f>VLOOKUP(lmic_raw[[#This Row],[gbd_super]],hbe_risk[],2,FALSE)</f>
        <v>0.38300000000000001</v>
      </c>
      <c r="P40" s="33">
        <f>VLOOKUP(lmic_raw[[#This Row],[gbd_super]],hbe_risk[],5,FALSE)</f>
        <v>4.8000000000000001E-2</v>
      </c>
      <c r="Q40" s="118">
        <f>IFERROR(VLOOKUP(lmic_raw[[#This Row],[setting]],disease_costs!$A$4:$B$197,2,FALSE),0)</f>
        <v>0</v>
      </c>
      <c r="R40">
        <f>IFERROR(VLOOKUP(lmic_raw[[#This Row],[gbd_super]],disease_costs!$G$4:$K$9,2,FALSE),0)</f>
        <v>29.920500000000001</v>
      </c>
      <c r="S40" s="33">
        <f>IFERROR(VLOOKUP(lmic_raw[[#This Row],[gbd_super]],disease_costs!$G$4:$K$9,3,FALSE),0)</f>
        <v>77.662500000000009</v>
      </c>
      <c r="T40" s="33">
        <f>IFERROR(VLOOKUP(lmic_raw[[#This Row],[gbd_super]],disease_costs!$G$4:$K$9,4,FALSE),0)</f>
        <v>77.662500000000009</v>
      </c>
      <c r="U40" s="33">
        <f>IFERROR(VLOOKUP(lmic_raw[[#This Row],[gbd_super]],disease_costs!$G$4:$K$9,5,FALSE),0)</f>
        <v>77.662500000000009</v>
      </c>
      <c r="V40">
        <f>IFERROR(VLOOKUP(lmic_raw[[#This Row],[setting]],vcost[],3,FALSE),0)</f>
        <v>1.9091699317871178</v>
      </c>
      <c r="W40">
        <f>IFERROR(VLOOKUP(lmic_raw[[#This Row],[setting]],vcost[],4,FALSE),0)</f>
        <v>6.7391699317871181</v>
      </c>
      <c r="X40">
        <f>IFERROR(VLOOKUP(lmic_raw[[#This Row],[setting]],vcost[],5,FALSE),0)</f>
        <v>1.4651029752317166</v>
      </c>
      <c r="Y40">
        <f>IFERROR(VLOOKUP(lmic_raw[[#This Row],[setting]],vcost[],6,FALSE),0)</f>
        <v>6.2951029752317167</v>
      </c>
      <c r="Z40">
        <f>IFERROR(VLOOKUP(lmic_raw[[#This Row],[setting]],vcost[],7,FALSE),0)</f>
        <v>6.2843986740763143</v>
      </c>
      <c r="AA40">
        <f>IFERROR(VLOOKUP(lmic_raw[[#This Row],[setting]],vcost[],8,FALSE),0)</f>
        <v>2.1574666198501347</v>
      </c>
      <c r="AB40">
        <f>IFERROR(VLOOKUP(lmic_raw[[#This Row],[setting]],vcost[],9,FALSE),0)</f>
        <v>6.9874666198501352</v>
      </c>
      <c r="AC40" s="33">
        <f>IFERROR(INDEX(acm[],MATCH($C40,acm[[Country code]:[Country code]],0),MATCH(AC$1,acm[#Headers],0)),0)</f>
        <v>6.615154999999999E-2</v>
      </c>
      <c r="AD40" s="33">
        <f>IFERROR(INDEX(acm[],MATCH($C40,acm[[Country code]:[Country code]],0),MATCH(AD$1,acm[#Headers],0)),0)</f>
        <v>7.402633157446486E-3</v>
      </c>
      <c r="AE40" s="33">
        <f>IFERROR(INDEX(acm[],MATCH($C40,acm[[Country code]:[Country code]],0),MATCH(AE$1,acm[#Headers],0)),0)</f>
        <v>2.1810695183507099E-3</v>
      </c>
      <c r="AF40" s="33">
        <f>IFERROR(INDEX(acm[],MATCH($C40,acm[[Country code]:[Country code]],0),MATCH(AF$1,acm[#Headers],0)),0)</f>
        <v>1.5562487226160725E-3</v>
      </c>
      <c r="AG40" s="33">
        <f>IFERROR(INDEX(acm[],MATCH($C40,acm[[Country code]:[Country code]],0),MATCH(AG$1,acm[#Headers],0)),0)</f>
        <v>2.3132551113445414E-3</v>
      </c>
      <c r="AH40" s="33">
        <f>IFERROR(INDEX(acm[],MATCH($C40,acm[[Country code]:[Country code]],0),MATCH(AH$1,acm[#Headers],0)),0)</f>
        <v>3.4802340590138416E-3</v>
      </c>
      <c r="AI40" s="33">
        <f>IFERROR(INDEX(acm[],MATCH($C40,acm[[Country code]:[Country code]],0),MATCH(AI$1,acm[#Headers],0)),0)</f>
        <v>4.5521277188898144E-3</v>
      </c>
      <c r="AJ40" s="33">
        <f>IFERROR(INDEX(acm[],MATCH($C40,acm[[Country code]:[Country code]],0),MATCH(AJ$1,acm[#Headers],0)),0)</f>
        <v>5.7480766731512912E-3</v>
      </c>
      <c r="AK40" s="33">
        <f>IFERROR(INDEX(acm[],MATCH($C40,acm[[Country code]:[Country code]],0),MATCH(AK$1,acm[#Headers],0)),0)</f>
        <v>7.4241408926806708E-3</v>
      </c>
      <c r="AL40" s="33">
        <f>IFERROR(INDEX(acm[],MATCH($C40,acm[[Country code]:[Country code]],0),MATCH(AL$1,acm[#Headers],0)),0)</f>
        <v>9.0465084276737297E-3</v>
      </c>
      <c r="AM40" s="33">
        <f>IFERROR(INDEX(acm[],MATCH($C40,acm[[Country code]:[Country code]],0),MATCH(AM$1,acm[#Headers],0)),0)</f>
        <v>1.0861773807009084E-2</v>
      </c>
      <c r="AN40" s="33">
        <f>IFERROR(INDEX(acm[],MATCH($C40,acm[[Country code]:[Country code]],0),MATCH(AN$1,acm[#Headers],0)),0)</f>
        <v>1.3991105432571413E-2</v>
      </c>
      <c r="AO40" s="33">
        <f>IFERROR(INDEX(acm[],MATCH($C40,acm[[Country code]:[Country code]],0),MATCH(AO$1,acm[#Headers],0)),0)</f>
        <v>1.7756206547881865E-2</v>
      </c>
      <c r="AP40" s="33">
        <f>IFERROR(INDEX(acm[],MATCH($C40,acm[[Country code]:[Country code]],0),MATCH(AP$1,acm[#Headers],0)),0)</f>
        <v>2.4992880145554782E-2</v>
      </c>
      <c r="AQ40" s="33">
        <f>IFERROR(INDEX(acm[],MATCH($C40,acm[[Country code]:[Country code]],0),MATCH(AQ$1,acm[#Headers],0)),0)</f>
        <v>3.6571653590172899E-2</v>
      </c>
      <c r="AR40" s="33">
        <f>IFERROR(INDEX(acm[],MATCH($C40,acm[[Country code]:[Country code]],0),MATCH(AR$1,acm[#Headers],0)),0)</f>
        <v>5.4569874871999657E-2</v>
      </c>
      <c r="AS40" s="33">
        <f>IFERROR(INDEX(acm[],MATCH($C40,acm[[Country code]:[Country code]],0),MATCH(AS$1,acm[#Headers],0)),0)</f>
        <v>8.0250756410082932E-2</v>
      </c>
      <c r="AT40" s="33">
        <f>IFERROR(INDEX(acm[],MATCH($C40,acm[[Country code]:[Country code]],0),MATCH(AT$1,acm[#Headers],0)),0)</f>
        <v>0.11593152791385582</v>
      </c>
      <c r="AU40" s="33">
        <f>IFERROR(INDEX(acm[],MATCH($C40,acm[[Country code]:[Country code]],0),MATCH(AU$1,acm[#Headers],0)),0)</f>
        <v>0.15409844685016419</v>
      </c>
      <c r="AV40" s="33">
        <f>IFERROR(INDEX(acm[],MATCH($C40,acm[[Country code]:[Country code]],0),MATCH(AV$1,acm[#Headers],0)),0)</f>
        <v>0.18164158514648934</v>
      </c>
      <c r="AW40" s="33">
        <f>IFERROR(INDEX(acm[],MATCH($C40,acm[[Country code]:[Country code]],0),MATCH(AW$1,acm[#Headers],0)),0)</f>
        <v>0.18918617294163986</v>
      </c>
      <c r="AX40" s="33">
        <f>IFERROR(VLOOKUP(lmic_raw[[#This Row],[num]],life_exp[[Country code]:[2015-2020]],2,FALSE),0)</f>
        <v>58.246000000000002</v>
      </c>
    </row>
    <row r="41" spans="1:50" x14ac:dyDescent="0.25">
      <c r="A41" s="110" t="s">
        <v>104</v>
      </c>
      <c r="B41" s="104" t="s">
        <v>420</v>
      </c>
      <c r="C41" s="105">
        <v>232</v>
      </c>
      <c r="D41" s="84" t="s">
        <v>677</v>
      </c>
      <c r="E41" s="84" t="s">
        <v>597</v>
      </c>
      <c r="F41" s="84" t="s">
        <v>667</v>
      </c>
      <c r="G41" s="84" t="s">
        <v>674</v>
      </c>
      <c r="H41" s="33">
        <f>VLOOKUP(lmic_raw[[#This Row],[num]],pop[[Country code]:[pop_20]],2,FALSE)*1000</f>
        <v>3497117</v>
      </c>
      <c r="I41" s="117">
        <f>IFERROR(VLOOKUP(lmic_raw[[#This Row],[num]],pop[[Country code]:[pop_20]],2,FALSE)*VLOOKUP(lmic_raw[[#This Row],[num]],b_rate[[Country code]:[2015-2020]],2,FALSE),0)</f>
        <v>107137.676412</v>
      </c>
      <c r="J41">
        <f>IFERROR(MIN(VLOOKUP(lmic_raw[[#This Row],[iso3]],fac_b[],4,FALSE)/100,0.9999),0)</f>
        <v>0.33700000000000002</v>
      </c>
      <c r="K41" s="33">
        <f>VLOOKUP(lmic_raw[[#This Row],[iso3]],vax[[iso3]:[hbv3]],2,FALSE)/100</f>
        <v>0</v>
      </c>
      <c r="L41" s="33">
        <f>VLOOKUP(lmic_raw[[#This Row],[iso3]],vax[[iso3]:[hbv3]],3,FALSE)/100</f>
        <v>0.95</v>
      </c>
      <c r="M41">
        <f>IFERROR(VLOOKUP(lmic_raw[[#This Row],[iso3]], hbv_prev[[iso3]:[ub]],2,FALSE)/100,0)</f>
        <v>1.8500000000000003E-2</v>
      </c>
      <c r="N41">
        <f>IFERROR(VLOOKUP(lmic_raw[[#This Row],[setting]],hbe_prev[],3,FALSE),0)</f>
        <v>0.28032204375965358</v>
      </c>
      <c r="O41">
        <f>VLOOKUP(lmic_raw[[#This Row],[gbd_super]],hbe_risk[],2,FALSE)</f>
        <v>0.38300000000000001</v>
      </c>
      <c r="P41" s="33">
        <f>VLOOKUP(lmic_raw[[#This Row],[gbd_super]],hbe_risk[],5,FALSE)</f>
        <v>4.8000000000000001E-2</v>
      </c>
      <c r="Q41">
        <f>IFERROR(VLOOKUP(lmic_raw[[#This Row],[setting]],disease_costs!$A$4:$B$197,2,FALSE),0)</f>
        <v>2.2309784238928683</v>
      </c>
      <c r="R41">
        <f>IFERROR(VLOOKUP(lmic_raw[[#This Row],[gbd_super]],disease_costs!$G$4:$K$9,2,FALSE),0)</f>
        <v>29.920500000000001</v>
      </c>
      <c r="S41" s="33">
        <f>IFERROR(VLOOKUP(lmic_raw[[#This Row],[gbd_super]],disease_costs!$G$4:$K$9,3,FALSE),0)</f>
        <v>77.662500000000009</v>
      </c>
      <c r="T41" s="33">
        <f>IFERROR(VLOOKUP(lmic_raw[[#This Row],[gbd_super]],disease_costs!$G$4:$K$9,4,FALSE),0)</f>
        <v>77.662500000000009</v>
      </c>
      <c r="U41" s="33">
        <f>IFERROR(VLOOKUP(lmic_raw[[#This Row],[gbd_super]],disease_costs!$G$4:$K$9,5,FALSE),0)</f>
        <v>77.662500000000009</v>
      </c>
      <c r="V41">
        <f>IFERROR(VLOOKUP(lmic_raw[[#This Row],[setting]],vcost[],3,FALSE),0)</f>
        <v>4.0126984988123064</v>
      </c>
      <c r="W41">
        <f>IFERROR(VLOOKUP(lmic_raw[[#This Row],[setting]],vcost[],4,FALSE),0)</f>
        <v>8.8426984988123074</v>
      </c>
      <c r="X41">
        <f>IFERROR(VLOOKUP(lmic_raw[[#This Row],[setting]],vcost[],5,FALSE),0)</f>
        <v>3.5892669943299533</v>
      </c>
      <c r="Y41">
        <f>IFERROR(VLOOKUP(lmic_raw[[#This Row],[setting]],vcost[],6,FALSE),0)</f>
        <v>8.4192669943299538</v>
      </c>
      <c r="Z41">
        <f>IFERROR(VLOOKUP(lmic_raw[[#This Row],[setting]],vcost[],7,FALSE),0)</f>
        <v>8.417188165952604</v>
      </c>
      <c r="AA41">
        <f>IFERROR(VLOOKUP(lmic_raw[[#This Row],[setting]],vcost[],8,FALSE),0)</f>
        <v>4.2535568262443411</v>
      </c>
      <c r="AB41">
        <f>IFERROR(VLOOKUP(lmic_raw[[#This Row],[setting]],vcost[],9,FALSE),0)</f>
        <v>9.0835568262443402</v>
      </c>
      <c r="AC41" s="33">
        <f>IFERROR(INDEX(acm[],MATCH($C41,acm[[Country code]:[Country code]],0),MATCH(AC$1,acm[#Headers],0)),0)</f>
        <v>3.4723760000000041E-2</v>
      </c>
      <c r="AD41" s="33">
        <f>IFERROR(INDEX(acm[],MATCH($C41,acm[[Country code]:[Country code]],0),MATCH(AD$1,acm[#Headers],0)),0)</f>
        <v>2.4781015018042821E-3</v>
      </c>
      <c r="AE41" s="33">
        <f>IFERROR(INDEX(acm[],MATCH($C41,acm[[Country code]:[Country code]],0),MATCH(AE$1,acm[#Headers],0)),0)</f>
        <v>8.4167337173048572E-4</v>
      </c>
      <c r="AF41" s="33">
        <f>IFERROR(INDEX(acm[],MATCH($C41,acm[[Country code]:[Country code]],0),MATCH(AF$1,acm[#Headers],0)),0)</f>
        <v>6.3627494974549182E-4</v>
      </c>
      <c r="AG41" s="33">
        <f>IFERROR(INDEX(acm[],MATCH($C41,acm[[Country code]:[Country code]],0),MATCH(AG$1,acm[#Headers],0)),0)</f>
        <v>1.2279952533809392E-3</v>
      </c>
      <c r="AH41" s="33">
        <f>IFERROR(INDEX(acm[],MATCH($C41,acm[[Country code]:[Country code]],0),MATCH(AH$1,acm[#Headers],0)),0)</f>
        <v>1.7458328942756751E-3</v>
      </c>
      <c r="AI41" s="33">
        <f>IFERROR(INDEX(acm[],MATCH($C41,acm[[Country code]:[Country code]],0),MATCH(AI$1,acm[#Headers],0)),0)</f>
        <v>2.3091203916955402E-3</v>
      </c>
      <c r="AJ41" s="33">
        <f>IFERROR(INDEX(acm[],MATCH($C41,acm[[Country code]:[Country code]],0),MATCH(AJ$1,acm[#Headers],0)),0)</f>
        <v>3.0931500050215776E-3</v>
      </c>
      <c r="AK41" s="33">
        <f>IFERROR(INDEX(acm[],MATCH($C41,acm[[Country code]:[Country code]],0),MATCH(AK$1,acm[#Headers],0)),0)</f>
        <v>4.0145967103637353E-3</v>
      </c>
      <c r="AL41" s="33">
        <f>IFERROR(INDEX(acm[],MATCH($C41,acm[[Country code]:[Country code]],0),MATCH(AL$1,acm[#Headers],0)),0)</f>
        <v>5.8038531347772357E-3</v>
      </c>
      <c r="AM41" s="33">
        <f>IFERROR(INDEX(acm[],MATCH($C41,acm[[Country code]:[Country code]],0),MATCH(AM$1,acm[#Headers],0)),0)</f>
        <v>7.8511851733448889E-3</v>
      </c>
      <c r="AN41" s="33">
        <f>IFERROR(INDEX(acm[],MATCH($C41,acm[[Country code]:[Country code]],0),MATCH(AN$1,acm[#Headers],0)),0)</f>
        <v>1.1601511257012974E-2</v>
      </c>
      <c r="AO41" s="33">
        <f>IFERROR(INDEX(acm[],MATCH($C41,acm[[Country code]:[Country code]],0),MATCH(AO$1,acm[#Headers],0)),0)</f>
        <v>1.6819371008290708E-2</v>
      </c>
      <c r="AP41" s="33">
        <f>IFERROR(INDEX(acm[],MATCH($C41,acm[[Country code]:[Country code]],0),MATCH(AP$1,acm[#Headers],0)),0)</f>
        <v>2.4093849190500269E-2</v>
      </c>
      <c r="AQ41" s="33">
        <f>IFERROR(INDEX(acm[],MATCH($C41,acm[[Country code]:[Country code]],0),MATCH(AQ$1,acm[#Headers],0)),0)</f>
        <v>3.3915841624018422E-2</v>
      </c>
      <c r="AR41" s="33">
        <f>IFERROR(INDEX(acm[],MATCH($C41,acm[[Country code]:[Country code]],0),MATCH(AR$1,acm[#Headers],0)),0)</f>
        <v>5.0132268661539331E-2</v>
      </c>
      <c r="AS41" s="33">
        <f>IFERROR(INDEX(acm[],MATCH($C41,acm[[Country code]:[Country code]],0),MATCH(AS$1,acm[#Headers],0)),0)</f>
        <v>6.8765768717437184E-2</v>
      </c>
      <c r="AT41" s="33">
        <f>IFERROR(INDEX(acm[],MATCH($C41,acm[[Country code]:[Country code]],0),MATCH(AT$1,acm[#Headers],0)),0)</f>
        <v>9.5663090170238829E-2</v>
      </c>
      <c r="AU41" s="33">
        <f>IFERROR(INDEX(acm[],MATCH($C41,acm[[Country code]:[Country code]],0),MATCH(AU$1,acm[#Headers],0)),0)</f>
        <v>0.12187267007815591</v>
      </c>
      <c r="AV41" s="33">
        <f>IFERROR(INDEX(acm[],MATCH($C41,acm[[Country code]:[Country code]],0),MATCH(AV$1,acm[#Headers],0)),0)</f>
        <v>0.14350139431758438</v>
      </c>
      <c r="AW41" s="33">
        <f>IFERROR(INDEX(acm[],MATCH($C41,acm[[Country code]:[Country code]],0),MATCH(AW$1,acm[#Headers],0)),0)</f>
        <v>0.16133688006745536</v>
      </c>
      <c r="AX41" s="33">
        <f>IFERROR(VLOOKUP(lmic_raw[[#This Row],[num]],life_exp[[Country code]:[2015-2020]],2,FALSE),0)</f>
        <v>65.742999999999995</v>
      </c>
    </row>
    <row r="42" spans="1:50" x14ac:dyDescent="0.25">
      <c r="A42" s="109" t="s">
        <v>133</v>
      </c>
      <c r="B42" s="101" t="s">
        <v>422</v>
      </c>
      <c r="C42" s="102">
        <v>748</v>
      </c>
      <c r="D42" s="82" t="s">
        <v>677</v>
      </c>
      <c r="E42" s="82" t="s">
        <v>594</v>
      </c>
      <c r="F42" s="82" t="s">
        <v>667</v>
      </c>
      <c r="G42" s="82" t="s">
        <v>678</v>
      </c>
      <c r="H42" s="33">
        <f>VLOOKUP(lmic_raw[[#This Row],[num]],pop[[Country code]:[pop_20]],2,FALSE)*1000</f>
        <v>1148133</v>
      </c>
      <c r="I42" s="117">
        <f>IFERROR(VLOOKUP(lmic_raw[[#This Row],[num]],pop[[Country code]:[pop_20]],2,FALSE)*VLOOKUP(lmic_raw[[#This Row],[num]],b_rate[[Country code]:[2015-2020]],2,FALSE),0)</f>
        <v>30670.076829000001</v>
      </c>
      <c r="J42">
        <f>IFERROR(MIN(VLOOKUP(lmic_raw[[#This Row],[iso3]],fac_b[],4,FALSE)/100,0.9999),0)</f>
        <v>0.877</v>
      </c>
      <c r="K42" s="33">
        <f>VLOOKUP(lmic_raw[[#This Row],[iso3]],vax[[iso3]:[hbv3]],2,FALSE)/100</f>
        <v>0</v>
      </c>
      <c r="L42" s="33">
        <f>VLOOKUP(lmic_raw[[#This Row],[iso3]],vax[[iso3]:[hbv3]],3,FALSE)/100</f>
        <v>0.9</v>
      </c>
      <c r="M42">
        <f>IFERROR(VLOOKUP(lmic_raw[[#This Row],[iso3]], hbv_prev[[iso3]:[ub]],2,FALSE)/100,0)</f>
        <v>2.1000000000000001E-2</v>
      </c>
      <c r="N42">
        <f>IFERROR(VLOOKUP(lmic_raw[[#This Row],[setting]],hbe_prev[],3,FALSE),0)</f>
        <v>0.26669916009179478</v>
      </c>
      <c r="O42">
        <f>VLOOKUP(lmic_raw[[#This Row],[gbd_super]],hbe_risk[],2,FALSE)</f>
        <v>0.38300000000000001</v>
      </c>
      <c r="P42" s="33">
        <f>VLOOKUP(lmic_raw[[#This Row],[gbd_super]],hbe_risk[],5,FALSE)</f>
        <v>4.8000000000000001E-2</v>
      </c>
      <c r="Q42">
        <f>IFERROR(VLOOKUP(lmic_raw[[#This Row],[setting]],disease_costs!$A$4:$B$197,2,FALSE),0)</f>
        <v>6.6462650825646286</v>
      </c>
      <c r="R42">
        <f>IFERROR(VLOOKUP(lmic_raw[[#This Row],[gbd_super]],disease_costs!$G$4:$K$9,2,FALSE),0)</f>
        <v>29.920500000000001</v>
      </c>
      <c r="S42" s="33">
        <f>IFERROR(VLOOKUP(lmic_raw[[#This Row],[gbd_super]],disease_costs!$G$4:$K$9,3,FALSE),0)</f>
        <v>77.662500000000009</v>
      </c>
      <c r="T42" s="33">
        <f>IFERROR(VLOOKUP(lmic_raw[[#This Row],[gbd_super]],disease_costs!$G$4:$K$9,4,FALSE),0)</f>
        <v>77.662500000000009</v>
      </c>
      <c r="U42" s="33">
        <f>IFERROR(VLOOKUP(lmic_raw[[#This Row],[gbd_super]],disease_costs!$G$4:$K$9,5,FALSE),0)</f>
        <v>77.662500000000009</v>
      </c>
      <c r="V42">
        <f>IFERROR(VLOOKUP(lmic_raw[[#This Row],[setting]],vcost[],3,FALSE),0)</f>
        <v>6.3098630845355146</v>
      </c>
      <c r="W42">
        <f>IFERROR(VLOOKUP(lmic_raw[[#This Row],[setting]],vcost[],4,FALSE),0)</f>
        <v>11.139863084535515</v>
      </c>
      <c r="X42">
        <f>IFERROR(VLOOKUP(lmic_raw[[#This Row],[setting]],vcost[],5,FALSE),0)</f>
        <v>5.8698874172618289</v>
      </c>
      <c r="Y42">
        <f>IFERROR(VLOOKUP(lmic_raw[[#This Row],[setting]],vcost[],6,FALSE),0)</f>
        <v>10.699887417261829</v>
      </c>
      <c r="Z42">
        <f>IFERROR(VLOOKUP(lmic_raw[[#This Row],[setting]],vcost[],7,FALSE),0)</f>
        <v>10.691362802419293</v>
      </c>
      <c r="AA42">
        <f>IFERROR(VLOOKUP(lmic_raw[[#This Row],[setting]],vcost[],8,FALSE),0)</f>
        <v>6.5566850055318664</v>
      </c>
      <c r="AB42">
        <f>IFERROR(VLOOKUP(lmic_raw[[#This Row],[setting]],vcost[],9,FALSE),0)</f>
        <v>11.386685005531866</v>
      </c>
      <c r="AC42" s="33">
        <f>IFERROR(INDEX(acm[],MATCH($C42,acm[[Country code]:[Country code]],0),MATCH(AC$1,acm[#Headers],0)),0)</f>
        <v>4.1364780000000025E-2</v>
      </c>
      <c r="AD42" s="33">
        <f>IFERROR(INDEX(acm[],MATCH($C42,acm[[Country code]:[Country code]],0),MATCH(AD$1,acm[#Headers],0)),0)</f>
        <v>3.4059410001647896E-3</v>
      </c>
      <c r="AE42" s="33">
        <f>IFERROR(INDEX(acm[],MATCH($C42,acm[[Country code]:[Country code]],0),MATCH(AE$1,acm[#Headers],0)),0)</f>
        <v>9.8030722047431234E-4</v>
      </c>
      <c r="AF42" s="33">
        <f>IFERROR(INDEX(acm[],MATCH($C42,acm[[Country code]:[Country code]],0),MATCH(AF$1,acm[#Headers],0)),0)</f>
        <v>8.6807639205732548E-4</v>
      </c>
      <c r="AG42" s="33">
        <f>IFERROR(INDEX(acm[],MATCH($C42,acm[[Country code]:[Country code]],0),MATCH(AG$1,acm[#Headers],0)),0)</f>
        <v>1.4461408425982657E-3</v>
      </c>
      <c r="AH42" s="33">
        <f>IFERROR(INDEX(acm[],MATCH($C42,acm[[Country code]:[Country code]],0),MATCH(AH$1,acm[#Headers],0)),0)</f>
        <v>2.7145884310466198E-3</v>
      </c>
      <c r="AI42" s="33">
        <f>IFERROR(INDEX(acm[],MATCH($C42,acm[[Country code]:[Country code]],0),MATCH(AI$1,acm[#Headers],0)),0)</f>
        <v>5.1136808851141866E-3</v>
      </c>
      <c r="AJ42" s="33">
        <f>IFERROR(INDEX(acm[],MATCH($C42,acm[[Country code]:[Country code]],0),MATCH(AJ$1,acm[#Headers],0)),0)</f>
        <v>7.891072324963902E-3</v>
      </c>
      <c r="AK42" s="33">
        <f>IFERROR(INDEX(acm[],MATCH($C42,acm[[Country code]:[Country code]],0),MATCH(AK$1,acm[#Headers],0)),0)</f>
        <v>1.184394012407225E-2</v>
      </c>
      <c r="AL42" s="33">
        <f>IFERROR(INDEX(acm[],MATCH($C42,acm[[Country code]:[Country code]],0),MATCH(AL$1,acm[#Headers],0)),0)</f>
        <v>1.3774594490664763E-2</v>
      </c>
      <c r="AM42" s="33">
        <f>IFERROR(INDEX(acm[],MATCH($C42,acm[[Country code]:[Country code]],0),MATCH(AM$1,acm[#Headers],0)),0)</f>
        <v>1.6473925374650578E-2</v>
      </c>
      <c r="AN42" s="33">
        <f>IFERROR(INDEX(acm[],MATCH($C42,acm[[Country code]:[Country code]],0),MATCH(AN$1,acm[#Headers],0)),0)</f>
        <v>1.9192056716447851E-2</v>
      </c>
      <c r="AO42" s="33">
        <f>IFERROR(INDEX(acm[],MATCH($C42,acm[[Country code]:[Country code]],0),MATCH(AO$1,acm[#Headers],0)),0)</f>
        <v>2.2386772623661511E-2</v>
      </c>
      <c r="AP42" s="33">
        <f>IFERROR(INDEX(acm[],MATCH($C42,acm[[Country code]:[Country code]],0),MATCH(AP$1,acm[#Headers],0)),0)</f>
        <v>2.7120612335334537E-2</v>
      </c>
      <c r="AQ42" s="33">
        <f>IFERROR(INDEX(acm[],MATCH($C42,acm[[Country code]:[Country code]],0),MATCH(AQ$1,acm[#Headers],0)),0)</f>
        <v>3.492585157254887E-2</v>
      </c>
      <c r="AR42" s="33">
        <f>IFERROR(INDEX(acm[],MATCH($C42,acm[[Country code]:[Country code]],0),MATCH(AR$1,acm[#Headers],0)),0)</f>
        <v>4.7731677173213805E-2</v>
      </c>
      <c r="AS42" s="33">
        <f>IFERROR(INDEX(acm[],MATCH($C42,acm[[Country code]:[Country code]],0),MATCH(AS$1,acm[#Headers],0)),0)</f>
        <v>6.6573082502703551E-2</v>
      </c>
      <c r="AT42" s="33">
        <f>IFERROR(INDEX(acm[],MATCH($C42,acm[[Country code]:[Country code]],0),MATCH(AT$1,acm[#Headers],0)),0)</f>
        <v>9.7492856558824795E-2</v>
      </c>
      <c r="AU42" s="33">
        <f>IFERROR(INDEX(acm[],MATCH($C42,acm[[Country code]:[Country code]],0),MATCH(AU$1,acm[#Headers],0)),0)</f>
        <v>0.13733419141121558</v>
      </c>
      <c r="AV42" s="33">
        <f>IFERROR(INDEX(acm[],MATCH($C42,acm[[Country code]:[Country code]],0),MATCH(AV$1,acm[#Headers],0)),0)</f>
        <v>0.16949007393556464</v>
      </c>
      <c r="AW42" s="33">
        <f>IFERROR(INDEX(acm[],MATCH($C42,acm[[Country code]:[Country code]],0),MATCH(AW$1,acm[#Headers],0)),0)</f>
        <v>0.18298509554159806</v>
      </c>
      <c r="AX42" s="33">
        <f>IFERROR(VLOOKUP(lmic_raw[[#This Row],[num]],life_exp[[Country code]:[2015-2020]],2,FALSE),0)</f>
        <v>59.314</v>
      </c>
    </row>
    <row r="43" spans="1:50" x14ac:dyDescent="0.25">
      <c r="A43" s="110" t="s">
        <v>105</v>
      </c>
      <c r="B43" s="104" t="s">
        <v>423</v>
      </c>
      <c r="C43" s="105">
        <v>231</v>
      </c>
      <c r="D43" s="84" t="s">
        <v>677</v>
      </c>
      <c r="E43" s="84" t="s">
        <v>597</v>
      </c>
      <c r="F43" s="84" t="s">
        <v>667</v>
      </c>
      <c r="G43" s="84" t="s">
        <v>674</v>
      </c>
      <c r="H43" s="33">
        <f>VLOOKUP(lmic_raw[[#This Row],[num]],pop[[Country code]:[pop_20]],2,FALSE)*1000</f>
        <v>112078727</v>
      </c>
      <c r="I43" s="117">
        <f>IFERROR(VLOOKUP(lmic_raw[[#This Row],[num]],pop[[Country code]:[pop_20]],2,FALSE)*VLOOKUP(lmic_raw[[#This Row],[num]],b_rate[[Country code]:[2015-2020]],2,FALSE),0)</f>
        <v>3650516.2171169999</v>
      </c>
      <c r="J43">
        <f>IFERROR(MIN(VLOOKUP(lmic_raw[[#This Row],[iso3]],fac_b[],4,FALSE)/100,0.9999),0)</f>
        <v>0.47499999999999998</v>
      </c>
      <c r="K43" s="33">
        <f>VLOOKUP(lmic_raw[[#This Row],[iso3]],vax[[iso3]:[hbv3]],2,FALSE)/100</f>
        <v>0</v>
      </c>
      <c r="L43" s="33">
        <f>VLOOKUP(lmic_raw[[#This Row],[iso3]],vax[[iso3]:[hbv3]],3,FALSE)/100</f>
        <v>0.68</v>
      </c>
      <c r="M43">
        <f>IFERROR(VLOOKUP(lmic_raw[[#This Row],[iso3]], hbv_prev[[iso3]:[ub]],2,FALSE)/100,0)</f>
        <v>5.6799999999999996E-2</v>
      </c>
      <c r="N43">
        <f>IFERROR(VLOOKUP(lmic_raw[[#This Row],[setting]],hbe_prev[],3,FALSE),0)</f>
        <v>0.28503182774365166</v>
      </c>
      <c r="O43">
        <f>VLOOKUP(lmic_raw[[#This Row],[gbd_super]],hbe_risk[],2,FALSE)</f>
        <v>0.38300000000000001</v>
      </c>
      <c r="P43" s="33">
        <f>VLOOKUP(lmic_raw[[#This Row],[gbd_super]],hbe_risk[],5,FALSE)</f>
        <v>4.8000000000000001E-2</v>
      </c>
      <c r="Q43">
        <f>IFERROR(VLOOKUP(lmic_raw[[#This Row],[setting]],disease_costs!$A$4:$B$197,2,FALSE),0)</f>
        <v>2.4564903768895445</v>
      </c>
      <c r="R43">
        <f>IFERROR(VLOOKUP(lmic_raw[[#This Row],[gbd_super]],disease_costs!$G$4:$K$9,2,FALSE),0)</f>
        <v>29.920500000000001</v>
      </c>
      <c r="S43" s="33">
        <f>IFERROR(VLOOKUP(lmic_raw[[#This Row],[gbd_super]],disease_costs!$G$4:$K$9,3,FALSE),0)</f>
        <v>77.662500000000009</v>
      </c>
      <c r="T43" s="33">
        <f>IFERROR(VLOOKUP(lmic_raw[[#This Row],[gbd_super]],disease_costs!$G$4:$K$9,4,FALSE),0)</f>
        <v>77.662500000000009</v>
      </c>
      <c r="U43" s="33">
        <f>IFERROR(VLOOKUP(lmic_raw[[#This Row],[gbd_super]],disease_costs!$G$4:$K$9,5,FALSE),0)</f>
        <v>77.662500000000009</v>
      </c>
      <c r="V43">
        <f>IFERROR(VLOOKUP(lmic_raw[[#This Row],[setting]],vcost[],3,FALSE),0)</f>
        <v>1.2353078544996832</v>
      </c>
      <c r="W43">
        <f>IFERROR(VLOOKUP(lmic_raw[[#This Row],[setting]],vcost[],4,FALSE),0)</f>
        <v>6.0653078544996832</v>
      </c>
      <c r="X43">
        <f>IFERROR(VLOOKUP(lmic_raw[[#This Row],[setting]],vcost[],5,FALSE),0)</f>
        <v>0.8099602723067475</v>
      </c>
      <c r="Y43">
        <f>IFERROR(VLOOKUP(lmic_raw[[#This Row],[setting]],vcost[],6,FALSE),0)</f>
        <v>5.6399602723067472</v>
      </c>
      <c r="Z43">
        <f>IFERROR(VLOOKUP(lmic_raw[[#This Row],[setting]],vcost[],7,FALSE),0)</f>
        <v>5.6371135795443426</v>
      </c>
      <c r="AA43">
        <f>IFERROR(VLOOKUP(lmic_raw[[#This Row],[setting]],vcost[],8,FALSE),0)</f>
        <v>1.4768568611064627</v>
      </c>
      <c r="AB43">
        <f>IFERROR(VLOOKUP(lmic_raw[[#This Row],[setting]],vcost[],9,FALSE),0)</f>
        <v>6.3068568611064624</v>
      </c>
      <c r="AC43" s="33">
        <f>IFERROR(INDEX(acm[],MATCH($C43,acm[[Country code]:[Country code]],0),MATCH(AC$1,acm[#Headers],0)),0)</f>
        <v>3.7012740000000051E-2</v>
      </c>
      <c r="AD43" s="33">
        <f>IFERROR(INDEX(acm[],MATCH($C43,acm[[Country code]:[Country code]],0),MATCH(AD$1,acm[#Headers],0)),0)</f>
        <v>4.6414736577096265E-3</v>
      </c>
      <c r="AE43" s="33">
        <f>IFERROR(INDEX(acm[],MATCH($C43,acm[[Country code]:[Country code]],0),MATCH(AE$1,acm[#Headers],0)),0)</f>
        <v>1.9935509206170151E-3</v>
      </c>
      <c r="AF43" s="33">
        <f>IFERROR(INDEX(acm[],MATCH($C43,acm[[Country code]:[Country code]],0),MATCH(AF$1,acm[#Headers],0)),0)</f>
        <v>1.5454682631205908E-3</v>
      </c>
      <c r="AG43" s="33">
        <f>IFERROR(INDEX(acm[],MATCH($C43,acm[[Country code]:[Country code]],0),MATCH(AG$1,acm[#Headers],0)),0)</f>
        <v>1.9050779435204272E-3</v>
      </c>
      <c r="AH43" s="33">
        <f>IFERROR(INDEX(acm[],MATCH($C43,acm[[Country code]:[Country code]],0),MATCH(AH$1,acm[#Headers],0)),0)</f>
        <v>2.3477185739406736E-3</v>
      </c>
      <c r="AI43" s="33">
        <f>IFERROR(INDEX(acm[],MATCH($C43,acm[[Country code]:[Country code]],0),MATCH(AI$1,acm[#Headers],0)),0)</f>
        <v>2.7097529005401357E-3</v>
      </c>
      <c r="AJ43" s="33">
        <f>IFERROR(INDEX(acm[],MATCH($C43,acm[[Country code]:[Country code]],0),MATCH(AJ$1,acm[#Headers],0)),0)</f>
        <v>3.4293316886060874E-3</v>
      </c>
      <c r="AK43" s="33">
        <f>IFERROR(INDEX(acm[],MATCH($C43,acm[[Country code]:[Country code]],0),MATCH(AK$1,acm[#Headers],0)),0)</f>
        <v>4.7462675394306575E-3</v>
      </c>
      <c r="AL43" s="33">
        <f>IFERROR(INDEX(acm[],MATCH($C43,acm[[Country code]:[Country code]],0),MATCH(AL$1,acm[#Headers],0)),0)</f>
        <v>5.7779081057784164E-3</v>
      </c>
      <c r="AM43" s="33">
        <f>IFERROR(INDEX(acm[],MATCH($C43,acm[[Country code]:[Country code]],0),MATCH(AM$1,acm[#Headers],0)),0)</f>
        <v>6.7330993208277378E-3</v>
      </c>
      <c r="AN43" s="33">
        <f>IFERROR(INDEX(acm[],MATCH($C43,acm[[Country code]:[Country code]],0),MATCH(AN$1,acm[#Headers],0)),0)</f>
        <v>8.631628649689525E-3</v>
      </c>
      <c r="AO43" s="33">
        <f>IFERROR(INDEX(acm[],MATCH($C43,acm[[Country code]:[Country code]],0),MATCH(AO$1,acm[#Headers],0)),0)</f>
        <v>1.109764170343012E-2</v>
      </c>
      <c r="AP43" s="33">
        <f>IFERROR(INDEX(acm[],MATCH($C43,acm[[Country code]:[Country code]],0),MATCH(AP$1,acm[#Headers],0)),0)</f>
        <v>1.6761832968059817E-2</v>
      </c>
      <c r="AQ43" s="33">
        <f>IFERROR(INDEX(acm[],MATCH($C43,acm[[Country code]:[Country code]],0),MATCH(AQ$1,acm[#Headers],0)),0)</f>
        <v>2.5944878137743488E-2</v>
      </c>
      <c r="AR43" s="33">
        <f>IFERROR(INDEX(acm[],MATCH($C43,acm[[Country code]:[Country code]],0),MATCH(AR$1,acm[#Headers],0)),0)</f>
        <v>4.0497096687850065E-2</v>
      </c>
      <c r="AS43" s="33">
        <f>IFERROR(INDEX(acm[],MATCH($C43,acm[[Country code]:[Country code]],0),MATCH(AS$1,acm[#Headers],0)),0)</f>
        <v>6.2082622674679316E-2</v>
      </c>
      <c r="AT43" s="33">
        <f>IFERROR(INDEX(acm[],MATCH($C43,acm[[Country code]:[Country code]],0),MATCH(AT$1,acm[#Headers],0)),0)</f>
        <v>9.1379287062263045E-2</v>
      </c>
      <c r="AU43" s="33">
        <f>IFERROR(INDEX(acm[],MATCH($C43,acm[[Country code]:[Country code]],0),MATCH(AU$1,acm[#Headers],0)),0)</f>
        <v>0.12421080985599947</v>
      </c>
      <c r="AV43" s="33">
        <f>IFERROR(INDEX(acm[],MATCH($C43,acm[[Country code]:[Country code]],0),MATCH(AV$1,acm[#Headers],0)),0)</f>
        <v>0.15312231087451061</v>
      </c>
      <c r="AW43" s="33">
        <f>IFERROR(INDEX(acm[],MATCH($C43,acm[[Country code]:[Country code]],0),MATCH(AW$1,acm[#Headers],0)),0)</f>
        <v>0.1732068676439589</v>
      </c>
      <c r="AX43" s="33">
        <f>IFERROR(VLOOKUP(lmic_raw[[#This Row],[num]],life_exp[[Country code]:[2015-2020]],2,FALSE),0)</f>
        <v>65.966999999999999</v>
      </c>
    </row>
    <row r="44" spans="1:50" x14ac:dyDescent="0.25">
      <c r="A44" s="109" t="s">
        <v>281</v>
      </c>
      <c r="B44" s="101" t="s">
        <v>424</v>
      </c>
      <c r="C44" s="102">
        <v>242</v>
      </c>
      <c r="D44" s="82" t="s">
        <v>681</v>
      </c>
      <c r="E44" s="82" t="s">
        <v>98</v>
      </c>
      <c r="F44" s="82" t="s">
        <v>666</v>
      </c>
      <c r="G44" s="82" t="s">
        <v>676</v>
      </c>
      <c r="H44" s="33">
        <f>VLOOKUP(lmic_raw[[#This Row],[num]],pop[[Country code]:[pop_20]],2,FALSE)*1000</f>
        <v>889955</v>
      </c>
      <c r="I44" s="117">
        <f>IFERROR(VLOOKUP(lmic_raw[[#This Row],[num]],pop[[Country code]:[pop_20]],2,FALSE)*VLOOKUP(lmic_raw[[#This Row],[num]],b_rate[[Country code]:[2015-2020]],2,FALSE),0)</f>
        <v>19110.003714999999</v>
      </c>
      <c r="J44">
        <f>IFERROR(MIN(VLOOKUP(lmic_raw[[#This Row],[iso3]],fac_b[],4,FALSE)/100,0.9999),0)</f>
        <v>0.98699999999999999</v>
      </c>
      <c r="K44" s="33">
        <f>VLOOKUP(lmic_raw[[#This Row],[iso3]],vax[[iso3]:[hbv3]],2,FALSE)/100</f>
        <v>0.99</v>
      </c>
      <c r="L44" s="33">
        <f>VLOOKUP(lmic_raw[[#This Row],[iso3]],vax[[iso3]:[hbv3]],3,FALSE)/100</f>
        <v>0.99</v>
      </c>
      <c r="M44">
        <f>IFERROR(VLOOKUP(lmic_raw[[#This Row],[iso3]], hbv_prev[[iso3]:[ub]],2,FALSE)/100,0)</f>
        <v>2.2200000000000001E-2</v>
      </c>
      <c r="N44">
        <f>IFERROR(VLOOKUP(lmic_raw[[#This Row],[setting]],hbe_prev[],3,FALSE),0)</f>
        <v>0.33599766658927327</v>
      </c>
      <c r="O44">
        <f>VLOOKUP(lmic_raw[[#This Row],[gbd_super]],hbe_risk[],2,FALSE)</f>
        <v>0.8</v>
      </c>
      <c r="P44" s="33">
        <f>VLOOKUP(lmic_raw[[#This Row],[gbd_super]],hbe_risk[],5,FALSE)</f>
        <v>0.17499999999999999</v>
      </c>
      <c r="Q44">
        <f>IFERROR(VLOOKUP(lmic_raw[[#This Row],[setting]],disease_costs!$A$4:$B$197,2,FALSE),0)</f>
        <v>6.2071102267289966</v>
      </c>
      <c r="R44">
        <f>IFERROR(VLOOKUP(lmic_raw[[#This Row],[gbd_super]],disease_costs!$G$4:$K$9,2,FALSE),0)</f>
        <v>73.084500000000006</v>
      </c>
      <c r="S44" s="33">
        <f>IFERROR(VLOOKUP(lmic_raw[[#This Row],[gbd_super]],disease_costs!$G$4:$K$9,3,FALSE),0)</f>
        <v>120.8265</v>
      </c>
      <c r="T44" s="33">
        <f>IFERROR(VLOOKUP(lmic_raw[[#This Row],[gbd_super]],disease_costs!$G$4:$K$9,4,FALSE),0)</f>
        <v>120.8265</v>
      </c>
      <c r="U44" s="33">
        <f>IFERROR(VLOOKUP(lmic_raw[[#This Row],[gbd_super]],disease_costs!$G$4:$K$9,5,FALSE),0)</f>
        <v>120.8265</v>
      </c>
      <c r="V44">
        <f>IFERROR(VLOOKUP(lmic_raw[[#This Row],[setting]],vcost[],3,FALSE),0)</f>
        <v>9.7028591736332643</v>
      </c>
      <c r="W44">
        <f>IFERROR(VLOOKUP(lmic_raw[[#This Row],[setting]],vcost[],4,FALSE),0)</f>
        <v>10.332859173633265</v>
      </c>
      <c r="X44">
        <f>IFERROR(VLOOKUP(lmic_raw[[#This Row],[setting]],vcost[],5,FALSE),0)</f>
        <v>9.2660707677027485</v>
      </c>
      <c r="Y44">
        <f>IFERROR(VLOOKUP(lmic_raw[[#This Row],[setting]],vcost[],6,FALSE),0)</f>
        <v>9.8960707677027493</v>
      </c>
      <c r="Z44">
        <f>IFERROR(VLOOKUP(lmic_raw[[#This Row],[setting]],vcost[],7,FALSE),0)</f>
        <v>9.8888163241599987</v>
      </c>
      <c r="AA44">
        <f>IFERROR(VLOOKUP(lmic_raw[[#This Row],[setting]],vcost[],8,FALSE),0)</f>
        <v>9.9485321980989383</v>
      </c>
      <c r="AB44">
        <f>IFERROR(VLOOKUP(lmic_raw[[#This Row],[setting]],vcost[],9,FALSE),0)</f>
        <v>10.578532198098939</v>
      </c>
      <c r="AC44" s="33">
        <f>IFERROR(INDEX(acm[],MATCH($C44,acm[[Country code]:[Country code]],0),MATCH(AC$1,acm[#Headers],0)),0)</f>
        <v>2.0327489999999962E-2</v>
      </c>
      <c r="AD44" s="33">
        <f>IFERROR(INDEX(acm[],MATCH($C44,acm[[Country code]:[Country code]],0),MATCH(AD$1,acm[#Headers],0)),0)</f>
        <v>1.0965807339025986E-3</v>
      </c>
      <c r="AE44" s="33">
        <f>IFERROR(INDEX(acm[],MATCH($C44,acm[[Country code]:[Country code]],0),MATCH(AE$1,acm[#Headers],0)),0)</f>
        <v>7.2825092411859626E-4</v>
      </c>
      <c r="AF44" s="33">
        <f>IFERROR(INDEX(acm[],MATCH($C44,acm[[Country code]:[Country code]],0),MATCH(AF$1,acm[#Headers],0)),0)</f>
        <v>6.7875887290512428E-4</v>
      </c>
      <c r="AG44" s="33">
        <f>IFERROR(INDEX(acm[],MATCH($C44,acm[[Country code]:[Country code]],0),MATCH(AG$1,acm[#Headers],0)),0)</f>
        <v>1.5185453179404377E-3</v>
      </c>
      <c r="AH44" s="33">
        <f>IFERROR(INDEX(acm[],MATCH($C44,acm[[Country code]:[Country code]],0),MATCH(AH$1,acm[#Headers],0)),0)</f>
        <v>2.1563365818124533E-3</v>
      </c>
      <c r="AI44" s="33">
        <f>IFERROR(INDEX(acm[],MATCH($C44,acm[[Country code]:[Country code]],0),MATCH(AI$1,acm[#Headers],0)),0)</f>
        <v>2.3915281641432853E-3</v>
      </c>
      <c r="AJ44" s="33">
        <f>IFERROR(INDEX(acm[],MATCH($C44,acm[[Country code]:[Country code]],0),MATCH(AJ$1,acm[#Headers],0)),0)</f>
        <v>2.8039936499999326E-3</v>
      </c>
      <c r="AK44" s="33">
        <f>IFERROR(INDEX(acm[],MATCH($C44,acm[[Country code]:[Country code]],0),MATCH(AK$1,acm[#Headers],0)),0)</f>
        <v>3.5914512687979555E-3</v>
      </c>
      <c r="AL44" s="33">
        <f>IFERROR(INDEX(acm[],MATCH($C44,acm[[Country code]:[Country code]],0),MATCH(AL$1,acm[#Headers],0)),0)</f>
        <v>4.8388408359874143E-3</v>
      </c>
      <c r="AM44" s="33">
        <f>IFERROR(INDEX(acm[],MATCH($C44,acm[[Country code]:[Country code]],0),MATCH(AM$1,acm[#Headers],0)),0)</f>
        <v>6.8665980996010702E-3</v>
      </c>
      <c r="AN44" s="33">
        <f>IFERROR(INDEX(acm[],MATCH($C44,acm[[Country code]:[Country code]],0),MATCH(AN$1,acm[#Headers],0)),0)</f>
        <v>9.9144025039840707E-3</v>
      </c>
      <c r="AO44" s="33">
        <f>IFERROR(INDEX(acm[],MATCH($C44,acm[[Country code]:[Country code]],0),MATCH(AO$1,acm[#Headers],0)),0)</f>
        <v>1.4400169866841899E-2</v>
      </c>
      <c r="AP44" s="33">
        <f>IFERROR(INDEX(acm[],MATCH($C44,acm[[Country code]:[Country code]],0),MATCH(AP$1,acm[#Headers],0)),0)</f>
        <v>2.2381014757687345E-2</v>
      </c>
      <c r="AQ44" s="33">
        <f>IFERROR(INDEX(acm[],MATCH($C44,acm[[Country code]:[Country code]],0),MATCH(AQ$1,acm[#Headers],0)),0)</f>
        <v>3.4740935896048833E-2</v>
      </c>
      <c r="AR44" s="33">
        <f>IFERROR(INDEX(acm[],MATCH($C44,acm[[Country code]:[Country code]],0),MATCH(AR$1,acm[#Headers],0)),0)</f>
        <v>5.2248719569785697E-2</v>
      </c>
      <c r="AS44" s="33">
        <f>IFERROR(INDEX(acm[],MATCH($C44,acm[[Country code]:[Country code]],0),MATCH(AS$1,acm[#Headers],0)),0)</f>
        <v>7.6233131228191808E-2</v>
      </c>
      <c r="AT44" s="33">
        <f>IFERROR(INDEX(acm[],MATCH($C44,acm[[Country code]:[Country code]],0),MATCH(AT$1,acm[#Headers],0)),0)</f>
        <v>0.1074735981205143</v>
      </c>
      <c r="AU44" s="33">
        <f>IFERROR(INDEX(acm[],MATCH($C44,acm[[Country code]:[Country code]],0),MATCH(AU$1,acm[#Headers],0)),0)</f>
        <v>0.14106182345401735</v>
      </c>
      <c r="AV44" s="33">
        <f>IFERROR(INDEX(acm[],MATCH($C44,acm[[Country code]:[Country code]],0),MATCH(AV$1,acm[#Headers],0)),0)</f>
        <v>0.16739284900489815</v>
      </c>
      <c r="AW44" s="33">
        <f>IFERROR(INDEX(acm[],MATCH($C44,acm[[Country code]:[Country code]],0),MATCH(AW$1,acm[#Headers],0)),0)</f>
        <v>0.18357140929969654</v>
      </c>
      <c r="AX44" s="33">
        <f>IFERROR(VLOOKUP(lmic_raw[[#This Row],[num]],life_exp[[Country code]:[2015-2020]],2,FALSE),0)</f>
        <v>67.272999999999996</v>
      </c>
    </row>
    <row r="45" spans="1:50" x14ac:dyDescent="0.25">
      <c r="A45" s="110" t="s">
        <v>129</v>
      </c>
      <c r="B45" s="104" t="s">
        <v>427</v>
      </c>
      <c r="C45" s="105">
        <v>266</v>
      </c>
      <c r="D45" s="84" t="s">
        <v>677</v>
      </c>
      <c r="E45" s="84" t="s">
        <v>582</v>
      </c>
      <c r="F45" s="84" t="s">
        <v>667</v>
      </c>
      <c r="G45" s="84" t="s">
        <v>676</v>
      </c>
      <c r="H45" s="33">
        <f>VLOOKUP(lmic_raw[[#This Row],[num]],pop[[Country code]:[pop_20]],2,FALSE)*1000</f>
        <v>2172578</v>
      </c>
      <c r="I45" s="117">
        <f>IFERROR(VLOOKUP(lmic_raw[[#This Row],[num]],pop[[Country code]:[pop_20]],2,FALSE)*VLOOKUP(lmic_raw[[#This Row],[num]],b_rate[[Country code]:[2015-2020]],2,FALSE),0)</f>
        <v>69513.805687999993</v>
      </c>
      <c r="J45">
        <f>IFERROR(MIN(VLOOKUP(lmic_raw[[#This Row],[iso3]],fac_b[],4,FALSE)/100,0.9999),0)</f>
        <v>0.90200000000000002</v>
      </c>
      <c r="K45" s="33">
        <f>VLOOKUP(lmic_raw[[#This Row],[iso3]],vax[[iso3]:[hbv3]],2,FALSE)/100</f>
        <v>0</v>
      </c>
      <c r="L45" s="33">
        <f>VLOOKUP(lmic_raw[[#This Row],[iso3]],vax[[iso3]:[hbv3]],3,FALSE)/100</f>
        <v>0.7</v>
      </c>
      <c r="M45">
        <f>IFERROR(VLOOKUP(lmic_raw[[#This Row],[iso3]], hbv_prev[[iso3]:[ub]],2,FALSE)/100,0)</f>
        <v>9.1300000000000006E-2</v>
      </c>
      <c r="N45">
        <f>IFERROR(VLOOKUP(lmic_raw[[#This Row],[setting]],hbe_prev[],3,FALSE),0)</f>
        <v>0.28132112561296718</v>
      </c>
      <c r="O45">
        <f>VLOOKUP(lmic_raw[[#This Row],[gbd_super]],hbe_risk[],2,FALSE)</f>
        <v>0.38300000000000001</v>
      </c>
      <c r="P45" s="33">
        <f>VLOOKUP(lmic_raw[[#This Row],[gbd_super]],hbe_risk[],5,FALSE)</f>
        <v>4.8000000000000001E-2</v>
      </c>
      <c r="Q45">
        <f>IFERROR(VLOOKUP(lmic_raw[[#This Row],[setting]],disease_costs!$A$4:$B$197,2,FALSE),0)</f>
        <v>14.634135838710044</v>
      </c>
      <c r="R45">
        <f>IFERROR(VLOOKUP(lmic_raw[[#This Row],[gbd_super]],disease_costs!$G$4:$K$9,2,FALSE),0)</f>
        <v>29.920500000000001</v>
      </c>
      <c r="S45" s="33">
        <f>IFERROR(VLOOKUP(lmic_raw[[#This Row],[gbd_super]],disease_costs!$G$4:$K$9,3,FALSE),0)</f>
        <v>77.662500000000009</v>
      </c>
      <c r="T45" s="33">
        <f>IFERROR(VLOOKUP(lmic_raw[[#This Row],[gbd_super]],disease_costs!$G$4:$K$9,4,FALSE),0)</f>
        <v>77.662500000000009</v>
      </c>
      <c r="U45" s="33">
        <f>IFERROR(VLOOKUP(lmic_raw[[#This Row],[gbd_super]],disease_costs!$G$4:$K$9,5,FALSE),0)</f>
        <v>77.662500000000009</v>
      </c>
      <c r="V45">
        <f>IFERROR(VLOOKUP(lmic_raw[[#This Row],[setting]],vcost[],3,FALSE),0)</f>
        <v>3.8408677667676834</v>
      </c>
      <c r="W45">
        <f>IFERROR(VLOOKUP(lmic_raw[[#This Row],[setting]],vcost[],4,FALSE),0)</f>
        <v>8.6708677667676834</v>
      </c>
      <c r="X45">
        <f>IFERROR(VLOOKUP(lmic_raw[[#This Row],[setting]],vcost[],5,FALSE),0)</f>
        <v>3.3992970212719822</v>
      </c>
      <c r="Y45">
        <f>IFERROR(VLOOKUP(lmic_raw[[#This Row],[setting]],vcost[],6,FALSE),0)</f>
        <v>8.2292970212719823</v>
      </c>
      <c r="Z45">
        <f>IFERROR(VLOOKUP(lmic_raw[[#This Row],[setting]],vcost[],7,FALSE),0)</f>
        <v>8.2202422982153625</v>
      </c>
      <c r="AA45">
        <f>IFERROR(VLOOKUP(lmic_raw[[#This Row],[setting]],vcost[],8,FALSE),0)</f>
        <v>4.0882646578208082</v>
      </c>
      <c r="AB45">
        <f>IFERROR(VLOOKUP(lmic_raw[[#This Row],[setting]],vcost[],9,FALSE),0)</f>
        <v>8.9182646578208082</v>
      </c>
      <c r="AC45" s="33">
        <f>IFERROR(INDEX(acm[],MATCH($C45,acm[[Country code]:[Country code]],0),MATCH(AC$1,acm[#Headers],0)),0)</f>
        <v>3.5289049999999988E-2</v>
      </c>
      <c r="AD45" s="33">
        <f>IFERROR(INDEX(acm[],MATCH($C45,acm[[Country code]:[Country code]],0),MATCH(AD$1,acm[#Headers],0)),0)</f>
        <v>3.2822266607422609E-3</v>
      </c>
      <c r="AE45" s="33">
        <f>IFERROR(INDEX(acm[],MATCH($C45,acm[[Country code]:[Country code]],0),MATCH(AE$1,acm[#Headers],0)),0)</f>
        <v>1.4246611256491133E-3</v>
      </c>
      <c r="AF45" s="33">
        <f>IFERROR(INDEX(acm[],MATCH($C45,acm[[Country code]:[Country code]],0),MATCH(AF$1,acm[#Headers],0)),0)</f>
        <v>1.0168697486343512E-3</v>
      </c>
      <c r="AG45" s="33">
        <f>IFERROR(INDEX(acm[],MATCH($C45,acm[[Country code]:[Country code]],0),MATCH(AG$1,acm[#Headers],0)),0)</f>
        <v>1.6831402253875375E-3</v>
      </c>
      <c r="AH45" s="33">
        <f>IFERROR(INDEX(acm[],MATCH($C45,acm[[Country code]:[Country code]],0),MATCH(AH$1,acm[#Headers],0)),0)</f>
        <v>2.4521700865733679E-3</v>
      </c>
      <c r="AI45" s="33">
        <f>IFERROR(INDEX(acm[],MATCH($C45,acm[[Country code]:[Country code]],0),MATCH(AI$1,acm[#Headers],0)),0)</f>
        <v>2.8030899832170719E-3</v>
      </c>
      <c r="AJ45" s="33">
        <f>IFERROR(INDEX(acm[],MATCH($C45,acm[[Country code]:[Country code]],0),MATCH(AJ$1,acm[#Headers],0)),0)</f>
        <v>3.2615302728932773E-3</v>
      </c>
      <c r="AK45" s="33">
        <f>IFERROR(INDEX(acm[],MATCH($C45,acm[[Country code]:[Country code]],0),MATCH(AK$1,acm[#Headers],0)),0)</f>
        <v>3.9674325463094733E-3</v>
      </c>
      <c r="AL45" s="33">
        <f>IFERROR(INDEX(acm[],MATCH($C45,acm[[Country code]:[Country code]],0),MATCH(AL$1,acm[#Headers],0)),0)</f>
        <v>5.0423508811659017E-3</v>
      </c>
      <c r="AM45" s="33">
        <f>IFERROR(INDEX(acm[],MATCH($C45,acm[[Country code]:[Country code]],0),MATCH(AM$1,acm[#Headers],0)),0)</f>
        <v>6.4192521777389194E-3</v>
      </c>
      <c r="AN45" s="33">
        <f>IFERROR(INDEX(acm[],MATCH($C45,acm[[Country code]:[Country code]],0),MATCH(AN$1,acm[#Headers],0)),0)</f>
        <v>9.1931682307958215E-3</v>
      </c>
      <c r="AO45" s="33">
        <f>IFERROR(INDEX(acm[],MATCH($C45,acm[[Country code]:[Country code]],0),MATCH(AO$1,acm[#Headers],0)),0)</f>
        <v>1.2376268022031546E-2</v>
      </c>
      <c r="AP45" s="33">
        <f>IFERROR(INDEX(acm[],MATCH($C45,acm[[Country code]:[Country code]],0),MATCH(AP$1,acm[#Headers],0)),0)</f>
        <v>1.8788781969380986E-2</v>
      </c>
      <c r="AQ45" s="33">
        <f>IFERROR(INDEX(acm[],MATCH($C45,acm[[Country code]:[Country code]],0),MATCH(AQ$1,acm[#Headers],0)),0)</f>
        <v>2.9231552200221736E-2</v>
      </c>
      <c r="AR45" s="33">
        <f>IFERROR(INDEX(acm[],MATCH($C45,acm[[Country code]:[Country code]],0),MATCH(AR$1,acm[#Headers],0)),0)</f>
        <v>4.547283590363508E-2</v>
      </c>
      <c r="AS45" s="33">
        <f>IFERROR(INDEX(acm[],MATCH($C45,acm[[Country code]:[Country code]],0),MATCH(AS$1,acm[#Headers],0)),0)</f>
        <v>6.9728157093137316E-2</v>
      </c>
      <c r="AT45" s="33">
        <f>IFERROR(INDEX(acm[],MATCH($C45,acm[[Country code]:[Country code]],0),MATCH(AT$1,acm[#Headers],0)),0)</f>
        <v>0.10415017804360961</v>
      </c>
      <c r="AU45" s="33">
        <f>IFERROR(INDEX(acm[],MATCH($C45,acm[[Country code]:[Country code]],0),MATCH(AU$1,acm[#Headers],0)),0)</f>
        <v>0.14414752105565432</v>
      </c>
      <c r="AV45" s="33">
        <f>IFERROR(INDEX(acm[],MATCH($C45,acm[[Country code]:[Country code]],0),MATCH(AV$1,acm[#Headers],0)),0)</f>
        <v>0.17836414951536853</v>
      </c>
      <c r="AW45" s="33">
        <f>IFERROR(INDEX(acm[],MATCH($C45,acm[[Country code]:[Country code]],0),MATCH(AW$1,acm[#Headers],0)),0)</f>
        <v>0.18954100115392675</v>
      </c>
      <c r="AX45" s="33">
        <f>IFERROR(VLOOKUP(lmic_raw[[#This Row],[num]],life_exp[[Country code]:[2015-2020]],2,FALSE),0)</f>
        <v>66.06</v>
      </c>
    </row>
    <row r="46" spans="1:50" x14ac:dyDescent="0.25">
      <c r="A46" s="109" t="s">
        <v>617</v>
      </c>
      <c r="B46" s="101" t="s">
        <v>428</v>
      </c>
      <c r="C46" s="102">
        <v>270</v>
      </c>
      <c r="D46" s="82" t="s">
        <v>677</v>
      </c>
      <c r="E46" s="82" t="s">
        <v>591</v>
      </c>
      <c r="F46" s="82" t="s">
        <v>667</v>
      </c>
      <c r="G46" s="82" t="s">
        <v>674</v>
      </c>
      <c r="H46" s="33">
        <f>VLOOKUP(lmic_raw[[#This Row],[num]],pop[[Country code]:[pop_20]],2,FALSE)*1000</f>
        <v>2347696</v>
      </c>
      <c r="I46" s="117">
        <f>IFERROR(VLOOKUP(lmic_raw[[#This Row],[num]],pop[[Country code]:[pop_20]],2,FALSE)*VLOOKUP(lmic_raw[[#This Row],[num]],b_rate[[Country code]:[2015-2020]],2,FALSE),0)</f>
        <v>90982.61078399999</v>
      </c>
      <c r="J46">
        <f>IFERROR(MIN(VLOOKUP(lmic_raw[[#This Row],[iso3]],fac_b[],4,FALSE)/100,0.9999),0)</f>
        <v>0.83700000000000008</v>
      </c>
      <c r="K46" s="33">
        <f>VLOOKUP(lmic_raw[[#This Row],[iso3]],vax[[iso3]:[hbv3]],2,FALSE)/100</f>
        <v>0</v>
      </c>
      <c r="L46" s="33">
        <f>VLOOKUP(lmic_raw[[#This Row],[iso3]],vax[[iso3]:[hbv3]],3,FALSE)/100</f>
        <v>0.88</v>
      </c>
      <c r="M46">
        <f>IFERROR(VLOOKUP(lmic_raw[[#This Row],[iso3]], hbv_prev[[iso3]:[ub]],2,FALSE)/100,0)</f>
        <v>5.7999999999999996E-2</v>
      </c>
      <c r="N46">
        <f>IFERROR(VLOOKUP(lmic_raw[[#This Row],[setting]],hbe_prev[],3,FALSE),0)</f>
        <v>0.28511757354019951</v>
      </c>
      <c r="O46">
        <f>VLOOKUP(lmic_raw[[#This Row],[gbd_super]],hbe_risk[],2,FALSE)</f>
        <v>0.38300000000000001</v>
      </c>
      <c r="P46" s="33">
        <f>VLOOKUP(lmic_raw[[#This Row],[gbd_super]],hbe_risk[],5,FALSE)</f>
        <v>4.8000000000000001E-2</v>
      </c>
      <c r="Q46">
        <f>IFERROR(VLOOKUP(lmic_raw[[#This Row],[setting]],disease_costs!$A$4:$B$197,2,FALSE),0)</f>
        <v>3.2161095869836105</v>
      </c>
      <c r="R46">
        <f>IFERROR(VLOOKUP(lmic_raw[[#This Row],[gbd_super]],disease_costs!$G$4:$K$9,2,FALSE),0)</f>
        <v>29.920500000000001</v>
      </c>
      <c r="S46" s="33">
        <f>IFERROR(VLOOKUP(lmic_raw[[#This Row],[gbd_super]],disease_costs!$G$4:$K$9,3,FALSE),0)</f>
        <v>77.662500000000009</v>
      </c>
      <c r="T46" s="33">
        <f>IFERROR(VLOOKUP(lmic_raw[[#This Row],[gbd_super]],disease_costs!$G$4:$K$9,4,FALSE),0)</f>
        <v>77.662500000000009</v>
      </c>
      <c r="U46" s="33">
        <f>IFERROR(VLOOKUP(lmic_raw[[#This Row],[gbd_super]],disease_costs!$G$4:$K$9,5,FALSE),0)</f>
        <v>77.662500000000009</v>
      </c>
      <c r="V46">
        <f>IFERROR(VLOOKUP(lmic_raw[[#This Row],[setting]],vcost[],3,FALSE),0)</f>
        <v>4.0458377038325519</v>
      </c>
      <c r="W46">
        <f>IFERROR(VLOOKUP(lmic_raw[[#This Row],[setting]],vcost[],4,FALSE),0)</f>
        <v>8.875837703832552</v>
      </c>
      <c r="X46">
        <f>IFERROR(VLOOKUP(lmic_raw[[#This Row],[setting]],vcost[],5,FALSE),0)</f>
        <v>3.6212174855740193</v>
      </c>
      <c r="Y46">
        <f>IFERROR(VLOOKUP(lmic_raw[[#This Row],[setting]],vcost[],6,FALSE),0)</f>
        <v>8.4512174855740199</v>
      </c>
      <c r="Z46">
        <f>IFERROR(VLOOKUP(lmic_raw[[#This Row],[setting]],vcost[],7,FALSE),0)</f>
        <v>8.4486753196805857</v>
      </c>
      <c r="AA46">
        <f>IFERROR(VLOOKUP(lmic_raw[[#This Row],[setting]],vcost[],8,FALSE),0)</f>
        <v>4.2871245211141398</v>
      </c>
      <c r="AB46">
        <f>IFERROR(VLOOKUP(lmic_raw[[#This Row],[setting]],vcost[],9,FALSE),0)</f>
        <v>9.117124521114139</v>
      </c>
      <c r="AC46" s="33">
        <f>IFERROR(INDEX(acm[],MATCH($C46,acm[[Country code]:[Country code]],0),MATCH(AC$1,acm[#Headers],0)),0)</f>
        <v>4.4846699999999982E-2</v>
      </c>
      <c r="AD46" s="33">
        <f>IFERROR(INDEX(acm[],MATCH($C46,acm[[Country code]:[Country code]],0),MATCH(AD$1,acm[#Headers],0)),0)</f>
        <v>6.0042168100136557E-3</v>
      </c>
      <c r="AE46" s="33">
        <f>IFERROR(INDEX(acm[],MATCH($C46,acm[[Country code]:[Country code]],0),MATCH(AE$1,acm[#Headers],0)),0)</f>
        <v>2.8182363501683258E-3</v>
      </c>
      <c r="AF46" s="33">
        <f>IFERROR(INDEX(acm[],MATCH($C46,acm[[Country code]:[Country code]],0),MATCH(AF$1,acm[#Headers],0)),0)</f>
        <v>1.6928909326386164E-3</v>
      </c>
      <c r="AG46" s="33">
        <f>IFERROR(INDEX(acm[],MATCH($C46,acm[[Country code]:[Country code]],0),MATCH(AG$1,acm[#Headers],0)),0)</f>
        <v>2.5842259310052498E-3</v>
      </c>
      <c r="AH46" s="33">
        <f>IFERROR(INDEX(acm[],MATCH($C46,acm[[Country code]:[Country code]],0),MATCH(AH$1,acm[#Headers],0)),0)</f>
        <v>3.6404715507950859E-3</v>
      </c>
      <c r="AI46" s="33">
        <f>IFERROR(INDEX(acm[],MATCH($C46,acm[[Country code]:[Country code]],0),MATCH(AI$1,acm[#Headers],0)),0)</f>
        <v>3.866848876643869E-3</v>
      </c>
      <c r="AJ46" s="33">
        <f>IFERROR(INDEX(acm[],MATCH($C46,acm[[Country code]:[Country code]],0),MATCH(AJ$1,acm[#Headers],0)),0)</f>
        <v>4.2444775193489276E-3</v>
      </c>
      <c r="AK46" s="33">
        <f>IFERROR(INDEX(acm[],MATCH($C46,acm[[Country code]:[Country code]],0),MATCH(AK$1,acm[#Headers],0)),0)</f>
        <v>4.8541267331024705E-3</v>
      </c>
      <c r="AL46" s="33">
        <f>IFERROR(INDEX(acm[],MATCH($C46,acm[[Country code]:[Country code]],0),MATCH(AL$1,acm[#Headers],0)),0)</f>
        <v>5.9551070629616102E-3</v>
      </c>
      <c r="AM46" s="33">
        <f>IFERROR(INDEX(acm[],MATCH($C46,acm[[Country code]:[Country code]],0),MATCH(AM$1,acm[#Headers],0)),0)</f>
        <v>7.431462649688041E-3</v>
      </c>
      <c r="AN46" s="33">
        <f>IFERROR(INDEX(acm[],MATCH($C46,acm[[Country code]:[Country code]],0),MATCH(AN$1,acm[#Headers],0)),0)</f>
        <v>1.0387347107233732E-2</v>
      </c>
      <c r="AO46" s="33">
        <f>IFERROR(INDEX(acm[],MATCH($C46,acm[[Country code]:[Country code]],0),MATCH(AO$1,acm[#Headers],0)),0)</f>
        <v>1.4813591881899082E-2</v>
      </c>
      <c r="AP46" s="33">
        <f>IFERROR(INDEX(acm[],MATCH($C46,acm[[Country code]:[Country code]],0),MATCH(AP$1,acm[#Headers],0)),0)</f>
        <v>2.2951012443546647E-2</v>
      </c>
      <c r="AQ46" s="33">
        <f>IFERROR(INDEX(acm[],MATCH($C46,acm[[Country code]:[Country code]],0),MATCH(AQ$1,acm[#Headers],0)),0)</f>
        <v>3.5087979162260245E-2</v>
      </c>
      <c r="AR46" s="33">
        <f>IFERROR(INDEX(acm[],MATCH($C46,acm[[Country code]:[Country code]],0),MATCH(AR$1,acm[#Headers],0)),0)</f>
        <v>5.5866513026930048E-2</v>
      </c>
      <c r="AS46" s="33">
        <f>IFERROR(INDEX(acm[],MATCH($C46,acm[[Country code]:[Country code]],0),MATCH(AS$1,acm[#Headers],0)),0)</f>
        <v>8.5511449355615179E-2</v>
      </c>
      <c r="AT46" s="33">
        <f>IFERROR(INDEX(acm[],MATCH($C46,acm[[Country code]:[Country code]],0),MATCH(AT$1,acm[#Headers],0)),0)</f>
        <v>0.12162201543909797</v>
      </c>
      <c r="AU46" s="33">
        <f>IFERROR(INDEX(acm[],MATCH($C46,acm[[Country code]:[Country code]],0),MATCH(AU$1,acm[#Headers],0)),0)</f>
        <v>0.15459474780737206</v>
      </c>
      <c r="AV46" s="33">
        <f>IFERROR(INDEX(acm[],MATCH($C46,acm[[Country code]:[Country code]],0),MATCH(AV$1,acm[#Headers],0)),0)</f>
        <v>0.17718941763536672</v>
      </c>
      <c r="AW46" s="33">
        <f>IFERROR(INDEX(acm[],MATCH($C46,acm[[Country code]:[Country code]],0),MATCH(AW$1,acm[#Headers],0)),0)</f>
        <v>0.18781110355425057</v>
      </c>
      <c r="AX46" s="33">
        <f>IFERROR(VLOOKUP(lmic_raw[[#This Row],[num]],life_exp[[Country code]:[2015-2020]],2,FALSE),0)</f>
        <v>61.536000000000001</v>
      </c>
    </row>
    <row r="47" spans="1:50" x14ac:dyDescent="0.25">
      <c r="A47" s="110" t="s">
        <v>169</v>
      </c>
      <c r="B47" s="104" t="s">
        <v>429</v>
      </c>
      <c r="C47" s="105">
        <v>268</v>
      </c>
      <c r="D47" s="84" t="s">
        <v>675</v>
      </c>
      <c r="E47" s="84" t="s">
        <v>184</v>
      </c>
      <c r="F47" s="84" t="s">
        <v>663</v>
      </c>
      <c r="G47" s="84" t="s">
        <v>676</v>
      </c>
      <c r="H47" s="33">
        <f>VLOOKUP(lmic_raw[[#This Row],[num]],pop[[Country code]:[pop_20]],2,FALSE)*1000</f>
        <v>3996762</v>
      </c>
      <c r="I47" s="117">
        <f>IFERROR(VLOOKUP(lmic_raw[[#This Row],[num]],pop[[Country code]:[pop_20]],2,FALSE)*VLOOKUP(lmic_raw[[#This Row],[num]],b_rate[[Country code]:[2015-2020]],2,FALSE),0)</f>
        <v>54339.976152000003</v>
      </c>
      <c r="J47">
        <f>IFERROR(MIN(VLOOKUP(lmic_raw[[#This Row],[iso3]],fac_b[],4,FALSE)/100,0.9999),0)</f>
        <v>0.99400000000000011</v>
      </c>
      <c r="K47" s="33">
        <f>VLOOKUP(lmic_raw[[#This Row],[iso3]],vax[[iso3]:[hbv3]],2,FALSE)/100</f>
        <v>0.94</v>
      </c>
      <c r="L47" s="33">
        <f>VLOOKUP(lmic_raw[[#This Row],[iso3]],vax[[iso3]:[hbv3]],3,FALSE)/100</f>
        <v>0.94</v>
      </c>
      <c r="M47">
        <f>IFERROR(VLOOKUP(lmic_raw[[#This Row],[iso3]], hbv_prev[[iso3]:[ub]],2,FALSE)/100,0)</f>
        <v>2.0899999999999998E-2</v>
      </c>
      <c r="N47">
        <f>IFERROR(VLOOKUP(lmic_raw[[#This Row],[setting]],hbe_prev[],3,FALSE),0)</f>
        <v>0.30226538426236971</v>
      </c>
      <c r="O47">
        <f>VLOOKUP(lmic_raw[[#This Row],[gbd_super]],hbe_risk[],2,FALSE)</f>
        <v>0.8</v>
      </c>
      <c r="P47" s="33">
        <f>VLOOKUP(lmic_raw[[#This Row],[gbd_super]],hbe_risk[],5,FALSE)</f>
        <v>0.17499999999999999</v>
      </c>
      <c r="Q47">
        <f>IFERROR(VLOOKUP(lmic_raw[[#This Row],[setting]],disease_costs!$A$4:$B$197,2,FALSE),0)</f>
        <v>5.957860173416881</v>
      </c>
      <c r="R47">
        <f>IFERROR(VLOOKUP(lmic_raw[[#This Row],[gbd_super]],disease_costs!$G$4:$K$9,2,FALSE),0)</f>
        <v>44.537400000000005</v>
      </c>
      <c r="S47" s="33">
        <f>IFERROR(VLOOKUP(lmic_raw[[#This Row],[gbd_super]],disease_costs!$G$4:$K$9,3,FALSE),0)</f>
        <v>92.27940000000001</v>
      </c>
      <c r="T47" s="33">
        <f>IFERROR(VLOOKUP(lmic_raw[[#This Row],[gbd_super]],disease_costs!$G$4:$K$9,4,FALSE),0)</f>
        <v>92.27940000000001</v>
      </c>
      <c r="U47" s="33">
        <f>IFERROR(VLOOKUP(lmic_raw[[#This Row],[gbd_super]],disease_costs!$G$4:$K$9,5,FALSE),0)</f>
        <v>92.27940000000001</v>
      </c>
      <c r="V47">
        <f>IFERROR(VLOOKUP(lmic_raw[[#This Row],[setting]],vcost[],3,FALSE),0)</f>
        <v>5.3603900229122363</v>
      </c>
      <c r="W47">
        <f>IFERROR(VLOOKUP(lmic_raw[[#This Row],[setting]],vcost[],4,FALSE),0)</f>
        <v>9.4303900229122366</v>
      </c>
      <c r="X47">
        <f>IFERROR(VLOOKUP(lmic_raw[[#This Row],[setting]],vcost[],5,FALSE),0)</f>
        <v>4.9268765982286862</v>
      </c>
      <c r="Y47">
        <f>IFERROR(VLOOKUP(lmic_raw[[#This Row],[setting]],vcost[],6,FALSE),0)</f>
        <v>8.9968765982286865</v>
      </c>
      <c r="Z47">
        <f>IFERROR(VLOOKUP(lmic_raw[[#This Row],[setting]],vcost[],7,FALSE),0)</f>
        <v>8.9902625495695005</v>
      </c>
      <c r="AA47">
        <f>IFERROR(VLOOKUP(lmic_raw[[#This Row],[setting]],vcost[],8,FALSE),0)</f>
        <v>5.6048825308819117</v>
      </c>
      <c r="AB47">
        <f>IFERROR(VLOOKUP(lmic_raw[[#This Row],[setting]],vcost[],9,FALSE),0)</f>
        <v>9.6748825308819129</v>
      </c>
      <c r="AC47" s="33">
        <f>IFERROR(INDEX(acm[],MATCH($C47,acm[[Country code]:[Country code]],0),MATCH(AC$1,acm[#Headers],0)),0)</f>
        <v>9.3725400000000073E-3</v>
      </c>
      <c r="AD47" s="33">
        <f>IFERROR(INDEX(acm[],MATCH($C47,acm[[Country code]:[Country code]],0),MATCH(AD$1,acm[#Headers],0)),0)</f>
        <v>1.9797553360777006E-4</v>
      </c>
      <c r="AE47" s="33">
        <f>IFERROR(INDEX(acm[],MATCH($C47,acm[[Country code]:[Country code]],0),MATCH(AE$1,acm[#Headers],0)),0)</f>
        <v>2.0735409973811434E-4</v>
      </c>
      <c r="AF47" s="33">
        <f>IFERROR(INDEX(acm[],MATCH($C47,acm[[Country code]:[Country code]],0),MATCH(AF$1,acm[#Headers],0)),0)</f>
        <v>2.4003638935156418E-4</v>
      </c>
      <c r="AG47" s="33">
        <f>IFERROR(INDEX(acm[],MATCH($C47,acm[[Country code]:[Country code]],0),MATCH(AG$1,acm[#Headers],0)),0)</f>
        <v>4.5753167598254051E-4</v>
      </c>
      <c r="AH47" s="33">
        <f>IFERROR(INDEX(acm[],MATCH($C47,acm[[Country code]:[Country code]],0),MATCH(AH$1,acm[#Headers],0)),0)</f>
        <v>7.6044483648193904E-4</v>
      </c>
      <c r="AI47" s="33">
        <f>IFERROR(INDEX(acm[],MATCH($C47,acm[[Country code]:[Country code]],0),MATCH(AI$1,acm[#Headers],0)),0)</f>
        <v>9.382859233619756E-4</v>
      </c>
      <c r="AJ47" s="33">
        <f>IFERROR(INDEX(acm[],MATCH($C47,acm[[Country code]:[Country code]],0),MATCH(AJ$1,acm[#Headers],0)),0)</f>
        <v>1.4003231053486603E-3</v>
      </c>
      <c r="AK47" s="33">
        <f>IFERROR(INDEX(acm[],MATCH($C47,acm[[Country code]:[Country code]],0),MATCH(AK$1,acm[#Headers],0)),0)</f>
        <v>1.9889461737895805E-3</v>
      </c>
      <c r="AL47" s="33">
        <f>IFERROR(INDEX(acm[],MATCH($C47,acm[[Country code]:[Country code]],0),MATCH(AL$1,acm[#Headers],0)),0)</f>
        <v>3.0774283108491989E-3</v>
      </c>
      <c r="AM47" s="33">
        <f>IFERROR(INDEX(acm[],MATCH($C47,acm[[Country code]:[Country code]],0),MATCH(AM$1,acm[#Headers],0)),0)</f>
        <v>5.0342282800873482E-3</v>
      </c>
      <c r="AN47" s="33">
        <f>IFERROR(INDEX(acm[],MATCH($C47,acm[[Country code]:[Country code]],0),MATCH(AN$1,acm[#Headers],0)),0)</f>
        <v>7.4128365925189869E-3</v>
      </c>
      <c r="AO47" s="33">
        <f>IFERROR(INDEX(acm[],MATCH($C47,acm[[Country code]:[Country code]],0),MATCH(AO$1,acm[#Headers],0)),0)</f>
        <v>1.0913221897763821E-2</v>
      </c>
      <c r="AP47" s="33">
        <f>IFERROR(INDEX(acm[],MATCH($C47,acm[[Country code]:[Country code]],0),MATCH(AP$1,acm[#Headers],0)),0)</f>
        <v>1.5735986414418947E-2</v>
      </c>
      <c r="AQ47" s="33">
        <f>IFERROR(INDEX(acm[],MATCH($C47,acm[[Country code]:[Country code]],0),MATCH(AQ$1,acm[#Headers],0)),0)</f>
        <v>2.2391947554543861E-2</v>
      </c>
      <c r="AR47" s="33">
        <f>IFERROR(INDEX(acm[],MATCH($C47,acm[[Country code]:[Country code]],0),MATCH(AR$1,acm[#Headers],0)),0)</f>
        <v>3.5964808161803266E-2</v>
      </c>
      <c r="AS47" s="33">
        <f>IFERROR(INDEX(acm[],MATCH($C47,acm[[Country code]:[Country code]],0),MATCH(AS$1,acm[#Headers],0)),0)</f>
        <v>5.749216665832782E-2</v>
      </c>
      <c r="AT47" s="33">
        <f>IFERROR(INDEX(acm[],MATCH($C47,acm[[Country code]:[Country code]],0),MATCH(AT$1,acm[#Headers],0)),0)</f>
        <v>8.5833556720407642E-2</v>
      </c>
      <c r="AU47" s="33">
        <f>IFERROR(INDEX(acm[],MATCH($C47,acm[[Country code]:[Country code]],0),MATCH(AU$1,acm[#Headers],0)),0)</f>
        <v>0.11840450151830864</v>
      </c>
      <c r="AV47" s="33">
        <f>IFERROR(INDEX(acm[],MATCH($C47,acm[[Country code]:[Country code]],0),MATCH(AV$1,acm[#Headers],0)),0)</f>
        <v>0.15124273128827495</v>
      </c>
      <c r="AW47" s="33">
        <f>IFERROR(INDEX(acm[],MATCH($C47,acm[[Country code]:[Country code]],0),MATCH(AW$1,acm[#Headers],0)),0)</f>
        <v>0.17455391798157871</v>
      </c>
      <c r="AX47" s="33">
        <f>IFERROR(VLOOKUP(lmic_raw[[#This Row],[num]],life_exp[[Country code]:[2015-2020]],2,FALSE),0)</f>
        <v>73.52</v>
      </c>
    </row>
    <row r="48" spans="1:50" x14ac:dyDescent="0.25">
      <c r="A48" s="109" t="s">
        <v>143</v>
      </c>
      <c r="B48" s="101" t="s">
        <v>431</v>
      </c>
      <c r="C48" s="102">
        <v>288</v>
      </c>
      <c r="D48" s="82" t="s">
        <v>677</v>
      </c>
      <c r="E48" s="82" t="s">
        <v>591</v>
      </c>
      <c r="F48" s="82" t="s">
        <v>667</v>
      </c>
      <c r="G48" s="82" t="s">
        <v>678</v>
      </c>
      <c r="H48" s="33">
        <f>VLOOKUP(lmic_raw[[#This Row],[num]],pop[[Country code]:[pop_20]],2,FALSE)*1000</f>
        <v>30417858</v>
      </c>
      <c r="I48" s="117">
        <f>IFERROR(VLOOKUP(lmic_raw[[#This Row],[num]],pop[[Country code]:[pop_20]],2,FALSE)*VLOOKUP(lmic_raw[[#This Row],[num]],b_rate[[Country code]:[2015-2020]],2,FALSE),0)</f>
        <v>899577.7324920001</v>
      </c>
      <c r="J48">
        <f>IFERROR(MIN(VLOOKUP(lmic_raw[[#This Row],[iso3]],fac_b[],4,FALSE)/100,0.9999),0)</f>
        <v>0.77900000000000003</v>
      </c>
      <c r="K48" s="33">
        <f>VLOOKUP(lmic_raw[[#This Row],[iso3]],vax[[iso3]:[hbv3]],2,FALSE)/100</f>
        <v>0</v>
      </c>
      <c r="L48" s="33">
        <f>VLOOKUP(lmic_raw[[#This Row],[iso3]],vax[[iso3]:[hbv3]],3,FALSE)/100</f>
        <v>0.97</v>
      </c>
      <c r="M48">
        <f>IFERROR(VLOOKUP(lmic_raw[[#This Row],[iso3]], hbv_prev[[iso3]:[ub]],2,FALSE)/100,0)</f>
        <v>8.6300000000000002E-2</v>
      </c>
      <c r="N48">
        <f>IFERROR(VLOOKUP(lmic_raw[[#This Row],[setting]],hbe_prev[],3,FALSE),0)</f>
        <v>0.28403638578377721</v>
      </c>
      <c r="O48">
        <f>VLOOKUP(lmic_raw[[#This Row],[gbd_super]],hbe_risk[],2,FALSE)</f>
        <v>0.38300000000000001</v>
      </c>
      <c r="P48" s="33">
        <f>VLOOKUP(lmic_raw[[#This Row],[gbd_super]],hbe_risk[],5,FALSE)</f>
        <v>4.8000000000000001E-2</v>
      </c>
      <c r="Q48">
        <f>IFERROR(VLOOKUP(lmic_raw[[#This Row],[setting]],disease_costs!$A$4:$B$197,2,FALSE),0)</f>
        <v>3.3466691387185286</v>
      </c>
      <c r="R48">
        <f>IFERROR(VLOOKUP(lmic_raw[[#This Row],[gbd_super]],disease_costs!$G$4:$K$9,2,FALSE),0)</f>
        <v>29.920500000000001</v>
      </c>
      <c r="S48" s="33">
        <f>IFERROR(VLOOKUP(lmic_raw[[#This Row],[gbd_super]],disease_costs!$G$4:$K$9,3,FALSE),0)</f>
        <v>77.662500000000009</v>
      </c>
      <c r="T48" s="33">
        <f>IFERROR(VLOOKUP(lmic_raw[[#This Row],[gbd_super]],disease_costs!$G$4:$K$9,4,FALSE),0)</f>
        <v>77.662500000000009</v>
      </c>
      <c r="U48" s="33">
        <f>IFERROR(VLOOKUP(lmic_raw[[#This Row],[gbd_super]],disease_costs!$G$4:$K$9,5,FALSE),0)</f>
        <v>77.662500000000009</v>
      </c>
      <c r="V48">
        <f>IFERROR(VLOOKUP(lmic_raw[[#This Row],[setting]],vcost[],3,FALSE),0)</f>
        <v>3.5724017372214236</v>
      </c>
      <c r="W48">
        <f>IFERROR(VLOOKUP(lmic_raw[[#This Row],[setting]],vcost[],4,FALSE),0)</f>
        <v>8.4024017372214246</v>
      </c>
      <c r="X48">
        <f>IFERROR(VLOOKUP(lmic_raw[[#This Row],[setting]],vcost[],5,FALSE),0)</f>
        <v>3.1421203654354652</v>
      </c>
      <c r="Y48">
        <f>IFERROR(VLOOKUP(lmic_raw[[#This Row],[setting]],vcost[],6,FALSE),0)</f>
        <v>7.9721203654354653</v>
      </c>
      <c r="Z48">
        <f>IFERROR(VLOOKUP(lmic_raw[[#This Row],[setting]],vcost[],7,FALSE),0)</f>
        <v>7.9673985475229978</v>
      </c>
      <c r="AA48">
        <f>IFERROR(VLOOKUP(lmic_raw[[#This Row],[setting]],vcost[],8,FALSE),0)</f>
        <v>3.8157292028675487</v>
      </c>
      <c r="AB48">
        <f>IFERROR(VLOOKUP(lmic_raw[[#This Row],[setting]],vcost[],9,FALSE),0)</f>
        <v>8.6457292028675496</v>
      </c>
      <c r="AC48" s="33">
        <f>IFERROR(INDEX(acm[],MATCH($C48,acm[[Country code]:[Country code]],0),MATCH(AC$1,acm[#Headers],0)),0)</f>
        <v>3.5642599999999948E-2</v>
      </c>
      <c r="AD48" s="33">
        <f>IFERROR(INDEX(acm[],MATCH($C48,acm[[Country code]:[Country code]],0),MATCH(AD$1,acm[#Headers],0)),0)</f>
        <v>4.149856681765509E-3</v>
      </c>
      <c r="AE48" s="33">
        <f>IFERROR(INDEX(acm[],MATCH($C48,acm[[Country code]:[Country code]],0),MATCH(AE$1,acm[#Headers],0)),0)</f>
        <v>2.4289206759000818E-3</v>
      </c>
      <c r="AF48" s="33">
        <f>IFERROR(INDEX(acm[],MATCH($C48,acm[[Country code]:[Country code]],0),MATCH(AF$1,acm[#Headers],0)),0)</f>
        <v>1.4780126761002475E-3</v>
      </c>
      <c r="AG48" s="33">
        <f>IFERROR(INDEX(acm[],MATCH($C48,acm[[Country code]:[Country code]],0),MATCH(AG$1,acm[#Headers],0)),0)</f>
        <v>2.2701080527187663E-3</v>
      </c>
      <c r="AH48" s="33">
        <f>IFERROR(INDEX(acm[],MATCH($C48,acm[[Country code]:[Country code]],0),MATCH(AH$1,acm[#Headers],0)),0)</f>
        <v>3.1965747429605808E-3</v>
      </c>
      <c r="AI48" s="33">
        <f>IFERROR(INDEX(acm[],MATCH($C48,acm[[Country code]:[Country code]],0),MATCH(AI$1,acm[#Headers],0)),0)</f>
        <v>3.4179442965405391E-3</v>
      </c>
      <c r="AJ48" s="33">
        <f>IFERROR(INDEX(acm[],MATCH($C48,acm[[Country code]:[Country code]],0),MATCH(AJ$1,acm[#Headers],0)),0)</f>
        <v>3.7990990910748736E-3</v>
      </c>
      <c r="AK48" s="33">
        <f>IFERROR(INDEX(acm[],MATCH($C48,acm[[Country code]:[Country code]],0),MATCH(AK$1,acm[#Headers],0)),0)</f>
        <v>4.3840796455411864E-3</v>
      </c>
      <c r="AL48" s="33">
        <f>IFERROR(INDEX(acm[],MATCH($C48,acm[[Country code]:[Country code]],0),MATCH(AL$1,acm[#Headers],0)),0)</f>
        <v>5.4620319673887507E-3</v>
      </c>
      <c r="AM48" s="33">
        <f>IFERROR(INDEX(acm[],MATCH($C48,acm[[Country code]:[Country code]],0),MATCH(AM$1,acm[#Headers],0)),0)</f>
        <v>6.9136575860238936E-3</v>
      </c>
      <c r="AN48" s="33">
        <f>IFERROR(INDEX(acm[],MATCH($C48,acm[[Country code]:[Country code]],0),MATCH(AN$1,acm[#Headers],0)),0)</f>
        <v>9.7826339431338512E-3</v>
      </c>
      <c r="AO48" s="33">
        <f>IFERROR(INDEX(acm[],MATCH($C48,acm[[Country code]:[Country code]],0),MATCH(AO$1,acm[#Headers],0)),0)</f>
        <v>1.3975423628321094E-2</v>
      </c>
      <c r="AP48" s="33">
        <f>IFERROR(INDEX(acm[],MATCH($C48,acm[[Country code]:[Country code]],0),MATCH(AP$1,acm[#Headers],0)),0)</f>
        <v>2.1658255532280242E-2</v>
      </c>
      <c r="AQ48" s="33">
        <f>IFERROR(INDEX(acm[],MATCH($C48,acm[[Country code]:[Country code]],0),MATCH(AQ$1,acm[#Headers],0)),0)</f>
        <v>3.3396493720368937E-2</v>
      </c>
      <c r="AR48" s="33">
        <f>IFERROR(INDEX(acm[],MATCH($C48,acm[[Country code]:[Country code]],0),MATCH(AR$1,acm[#Headers],0)),0)</f>
        <v>5.3643305615802127E-2</v>
      </c>
      <c r="AS48" s="33">
        <f>IFERROR(INDEX(acm[],MATCH($C48,acm[[Country code]:[Country code]],0),MATCH(AS$1,acm[#Headers],0)),0)</f>
        <v>8.2942202743849419E-2</v>
      </c>
      <c r="AT48" s="33">
        <f>IFERROR(INDEX(acm[],MATCH($C48,acm[[Country code]:[Country code]],0),MATCH(AT$1,acm[#Headers],0)),0)</f>
        <v>0.11649930948760615</v>
      </c>
      <c r="AU48" s="33">
        <f>IFERROR(INDEX(acm[],MATCH($C48,acm[[Country code]:[Country code]],0),MATCH(AU$1,acm[#Headers],0)),0)</f>
        <v>0.14710779935977858</v>
      </c>
      <c r="AV48" s="33">
        <f>IFERROR(INDEX(acm[],MATCH($C48,acm[[Country code]:[Country code]],0),MATCH(AV$1,acm[#Headers],0)),0)</f>
        <v>0.16969064515389221</v>
      </c>
      <c r="AW48" s="33">
        <f>IFERROR(INDEX(acm[],MATCH($C48,acm[[Country code]:[Country code]],0),MATCH(AW$1,acm[#Headers],0)),0)</f>
        <v>0.18507690604955032</v>
      </c>
      <c r="AX48" s="33">
        <f>IFERROR(VLOOKUP(lmic_raw[[#This Row],[num]],life_exp[[Country code]:[2015-2020]],2,FALSE),0)</f>
        <v>63.652000000000001</v>
      </c>
    </row>
    <row r="49" spans="1:50" x14ac:dyDescent="0.25">
      <c r="A49" s="110" t="s">
        <v>236</v>
      </c>
      <c r="B49" s="104" t="s">
        <v>619</v>
      </c>
      <c r="C49" s="105">
        <v>308</v>
      </c>
      <c r="D49" s="84" t="s">
        <v>679</v>
      </c>
      <c r="E49" s="84" t="s">
        <v>223</v>
      </c>
      <c r="F49" s="84" t="s">
        <v>665</v>
      </c>
      <c r="G49" s="84" t="s">
        <v>676</v>
      </c>
      <c r="H49" s="33">
        <f>VLOOKUP(lmic_raw[[#This Row],[num]],pop[[Country code]:[pop_20]],2,FALSE)*1000</f>
        <v>112002</v>
      </c>
      <c r="I49" s="117">
        <f>IFERROR(VLOOKUP(lmic_raw[[#This Row],[num]],pop[[Country code]:[pop_20]],2,FALSE)*VLOOKUP(lmic_raw[[#This Row],[num]],b_rate[[Country code]:[2015-2020]],2,FALSE),0)</f>
        <v>1858.7851919999998</v>
      </c>
      <c r="J49" s="118">
        <f>IFERROR(MIN(VLOOKUP(lmic_raw[[#This Row],[iso3]],fac_b[],4,FALSE)/100,0.9999),0)</f>
        <v>0</v>
      </c>
      <c r="K49" s="33">
        <f>VLOOKUP(lmic_raw[[#This Row],[iso3]],vax[[iso3]:[hbv3]],2,FALSE)/100</f>
        <v>0.96</v>
      </c>
      <c r="L49" s="33">
        <f>VLOOKUP(lmic_raw[[#This Row],[iso3]],vax[[iso3]:[hbv3]],3,FALSE)/100</f>
        <v>0.94</v>
      </c>
      <c r="M49">
        <f>IFERROR(VLOOKUP(lmic_raw[[#This Row],[iso3]], hbv_prev[[iso3]:[ub]],2,FALSE)/100,0)</f>
        <v>1.3600000000000001E-2</v>
      </c>
      <c r="N49">
        <f>IFERROR(VLOOKUP(lmic_raw[[#This Row],[setting]],hbe_prev[],3,FALSE),0)</f>
        <v>0.29613894314236111</v>
      </c>
      <c r="O49">
        <f>VLOOKUP(lmic_raw[[#This Row],[gbd_super]],hbe_risk[],2,FALSE)</f>
        <v>0.8</v>
      </c>
      <c r="P49" s="33">
        <f>VLOOKUP(lmic_raw[[#This Row],[gbd_super]],hbe_risk[],5,FALSE)</f>
        <v>0.17499999999999999</v>
      </c>
      <c r="Q49">
        <f>IFERROR(VLOOKUP(lmic_raw[[#This Row],[setting]],disease_costs!$A$4:$B$197,2,FALSE),0)</f>
        <v>13.340409371518588</v>
      </c>
      <c r="R49">
        <f>IFERROR(VLOOKUP(lmic_raw[[#This Row],[gbd_super]],disease_costs!$G$4:$K$9,2,FALSE),0)</f>
        <v>86.883899999999997</v>
      </c>
      <c r="S49" s="33">
        <f>IFERROR(VLOOKUP(lmic_raw[[#This Row],[gbd_super]],disease_costs!$G$4:$K$9,3,FALSE),0)</f>
        <v>134.6259</v>
      </c>
      <c r="T49" s="33">
        <f>IFERROR(VLOOKUP(lmic_raw[[#This Row],[gbd_super]],disease_costs!$G$4:$K$9,4,FALSE),0)</f>
        <v>134.6259</v>
      </c>
      <c r="U49" s="33">
        <f>IFERROR(VLOOKUP(lmic_raw[[#This Row],[gbd_super]],disease_costs!$G$4:$K$9,5,FALSE),0)</f>
        <v>134.6259</v>
      </c>
      <c r="V49">
        <f>IFERROR(VLOOKUP(lmic_raw[[#This Row],[setting]],vcost[],3,FALSE),0)</f>
        <v>16.506643500793057</v>
      </c>
      <c r="W49">
        <f>IFERROR(VLOOKUP(lmic_raw[[#This Row],[setting]],vcost[],4,FALSE),0)</f>
        <v>16.526643500793057</v>
      </c>
      <c r="X49">
        <f>IFERROR(VLOOKUP(lmic_raw[[#This Row],[setting]],vcost[],5,FALSE),0)</f>
        <v>16.055848600197468</v>
      </c>
      <c r="Y49">
        <f>IFERROR(VLOOKUP(lmic_raw[[#This Row],[setting]],vcost[],6,FALSE),0)</f>
        <v>16.075848600197467</v>
      </c>
      <c r="Z49">
        <f>IFERROR(VLOOKUP(lmic_raw[[#This Row],[setting]],vcost[],7,FALSE),0)</f>
        <v>16.063279888976453</v>
      </c>
      <c r="AA49">
        <f>IFERROR(VLOOKUP(lmic_raw[[#This Row],[setting]],vcost[],8,FALSE),0)</f>
        <v>16.757365377986844</v>
      </c>
      <c r="AB49">
        <f>IFERROR(VLOOKUP(lmic_raw[[#This Row],[setting]],vcost[],9,FALSE),0)</f>
        <v>16.777365377986843</v>
      </c>
      <c r="AC49" s="33">
        <f>IFERROR(INDEX(acm[],MATCH($C49,acm[[Country code]:[Country code]],0),MATCH(AC$1,acm[#Headers],0)),0)</f>
        <v>1.4997749999999942E-2</v>
      </c>
      <c r="AD49" s="33">
        <f>IFERROR(INDEX(acm[],MATCH($C49,acm[[Country code]:[Country code]],0),MATCH(AD$1,acm[#Headers],0)),0)</f>
        <v>3.6735449081464562E-4</v>
      </c>
      <c r="AE49" s="33">
        <f>IFERROR(INDEX(acm[],MATCH($C49,acm[[Country code]:[Country code]],0),MATCH(AE$1,acm[#Headers],0)),0)</f>
        <v>3.8824880202159074E-4</v>
      </c>
      <c r="AF49" s="33">
        <f>IFERROR(INDEX(acm[],MATCH($C49,acm[[Country code]:[Country code]],0),MATCH(AF$1,acm[#Headers],0)),0)</f>
        <v>3.6831624204885594E-4</v>
      </c>
      <c r="AG49" s="33">
        <f>IFERROR(INDEX(acm[],MATCH($C49,acm[[Country code]:[Country code]],0),MATCH(AG$1,acm[#Headers],0)),0)</f>
        <v>8.6481254953050981E-4</v>
      </c>
      <c r="AH49" s="33">
        <f>IFERROR(INDEX(acm[],MATCH($C49,acm[[Country code]:[Country code]],0),MATCH(AH$1,acm[#Headers],0)),0)</f>
        <v>1.1755032326795176E-3</v>
      </c>
      <c r="AI49" s="33">
        <f>IFERROR(INDEX(acm[],MATCH($C49,acm[[Country code]:[Country code]],0),MATCH(AI$1,acm[#Headers],0)),0)</f>
        <v>1.261220638983001E-3</v>
      </c>
      <c r="AJ49" s="33">
        <f>IFERROR(INDEX(acm[],MATCH($C49,acm[[Country code]:[Country code]],0),MATCH(AJ$1,acm[#Headers],0)),0)</f>
        <v>1.5091060374845919E-3</v>
      </c>
      <c r="AK49" s="33">
        <f>IFERROR(INDEX(acm[],MATCH($C49,acm[[Country code]:[Country code]],0),MATCH(AK$1,acm[#Headers],0)),0)</f>
        <v>2.0339689951691491E-3</v>
      </c>
      <c r="AL49" s="33">
        <f>IFERROR(INDEX(acm[],MATCH($C49,acm[[Country code]:[Country code]],0),MATCH(AL$1,acm[#Headers],0)),0)</f>
        <v>2.9493189580010646E-3</v>
      </c>
      <c r="AM49" s="33">
        <f>IFERROR(INDEX(acm[],MATCH($C49,acm[[Country code]:[Country code]],0),MATCH(AM$1,acm[#Headers],0)),0)</f>
        <v>4.5325803150417527E-3</v>
      </c>
      <c r="AN49" s="33">
        <f>IFERROR(INDEX(acm[],MATCH($C49,acm[[Country code]:[Country code]],0),MATCH(AN$1,acm[#Headers],0)),0)</f>
        <v>6.9671995741876248E-3</v>
      </c>
      <c r="AO49" s="33">
        <f>IFERROR(INDEX(acm[],MATCH($C49,acm[[Country code]:[Country code]],0),MATCH(AO$1,acm[#Headers],0)),0)</f>
        <v>1.0670981013797255E-2</v>
      </c>
      <c r="AP49" s="33">
        <f>IFERROR(INDEX(acm[],MATCH($C49,acm[[Country code]:[Country code]],0),MATCH(AP$1,acm[#Headers],0)),0)</f>
        <v>1.6546205211132935E-2</v>
      </c>
      <c r="AQ49" s="33">
        <f>IFERROR(INDEX(acm[],MATCH($C49,acm[[Country code]:[Country code]],0),MATCH(AQ$1,acm[#Headers],0)),0)</f>
        <v>2.5387032279184138E-2</v>
      </c>
      <c r="AR49" s="33">
        <f>IFERROR(INDEX(acm[],MATCH($C49,acm[[Country code]:[Country code]],0),MATCH(AR$1,acm[#Headers],0)),0)</f>
        <v>3.8551274376297302E-2</v>
      </c>
      <c r="AS49" s="33">
        <f>IFERROR(INDEX(acm[],MATCH($C49,acm[[Country code]:[Country code]],0),MATCH(AS$1,acm[#Headers],0)),0)</f>
        <v>5.9001782501401222E-2</v>
      </c>
      <c r="AT49" s="33">
        <f>IFERROR(INDEX(acm[],MATCH($C49,acm[[Country code]:[Country code]],0),MATCH(AT$1,acm[#Headers],0)),0)</f>
        <v>8.7282692380791893E-2</v>
      </c>
      <c r="AU49" s="33">
        <f>IFERROR(INDEX(acm[],MATCH($C49,acm[[Country code]:[Country code]],0),MATCH(AU$1,acm[#Headers],0)),0)</f>
        <v>0.12067409114223994</v>
      </c>
      <c r="AV49" s="33">
        <f>IFERROR(INDEX(acm[],MATCH($C49,acm[[Country code]:[Country code]],0),MATCH(AV$1,acm[#Headers],0)),0)</f>
        <v>0.15141543034416774</v>
      </c>
      <c r="AW49" s="33">
        <f>IFERROR(INDEX(acm[],MATCH($C49,acm[[Country code]:[Country code]],0),MATCH(AW$1,acm[#Headers],0)),0)</f>
        <v>0.17455656914973092</v>
      </c>
      <c r="AX49" s="33">
        <f>IFERROR(VLOOKUP(lmic_raw[[#This Row],[num]],life_exp[[Country code]:[2015-2020]],2,FALSE),0)</f>
        <v>72.393000000000001</v>
      </c>
    </row>
    <row r="50" spans="1:50" x14ac:dyDescent="0.25">
      <c r="A50" s="109" t="s">
        <v>256</v>
      </c>
      <c r="B50" s="101" t="s">
        <v>432</v>
      </c>
      <c r="C50" s="102">
        <v>320</v>
      </c>
      <c r="D50" s="82" t="s">
        <v>679</v>
      </c>
      <c r="E50" s="82" t="s">
        <v>604</v>
      </c>
      <c r="F50" s="82" t="s">
        <v>665</v>
      </c>
      <c r="G50" s="82" t="s">
        <v>676</v>
      </c>
      <c r="H50" s="33">
        <f>VLOOKUP(lmic_raw[[#This Row],[num]],pop[[Country code]:[pop_20]],2,FALSE)*1000</f>
        <v>17581476</v>
      </c>
      <c r="I50" s="117">
        <f>IFERROR(VLOOKUP(lmic_raw[[#This Row],[num]],pop[[Country code]:[pop_20]],2,FALSE)*VLOOKUP(lmic_raw[[#This Row],[num]],b_rate[[Country code]:[2015-2020]],2,FALSE),0)</f>
        <v>435352.50871199998</v>
      </c>
      <c r="J50">
        <f>IFERROR(MIN(VLOOKUP(lmic_raw[[#This Row],[iso3]],fac_b[],4,FALSE)/100,0.9999),0)</f>
        <v>0.65</v>
      </c>
      <c r="K50" s="33">
        <f>VLOOKUP(lmic_raw[[#This Row],[iso3]],vax[[iso3]:[hbv3]],2,FALSE)/100</f>
        <v>0.48</v>
      </c>
      <c r="L50" s="33">
        <f>VLOOKUP(lmic_raw[[#This Row],[iso3]],vax[[iso3]:[hbv3]],3,FALSE)/100</f>
        <v>0.86</v>
      </c>
      <c r="M50">
        <f>IFERROR(VLOOKUP(lmic_raw[[#This Row],[iso3]], hbv_prev[[iso3]:[ub]],2,FALSE)/100,0)</f>
        <v>1.5E-3</v>
      </c>
      <c r="N50">
        <f>IFERROR(VLOOKUP(lmic_raw[[#This Row],[setting]],hbe_prev[],3,FALSE),0)</f>
        <v>0.30839295792692983</v>
      </c>
      <c r="O50">
        <f>VLOOKUP(lmic_raw[[#This Row],[gbd_super]],hbe_risk[],2,FALSE)</f>
        <v>0.8</v>
      </c>
      <c r="P50" s="33">
        <f>VLOOKUP(lmic_raw[[#This Row],[gbd_super]],hbe_risk[],5,FALSE)</f>
        <v>0.17499999999999999</v>
      </c>
      <c r="Q50">
        <f>IFERROR(VLOOKUP(lmic_raw[[#This Row],[setting]],disease_costs!$A$4:$B$197,2,FALSE),0)</f>
        <v>5.5661815182121277</v>
      </c>
      <c r="R50">
        <f>IFERROR(VLOOKUP(lmic_raw[[#This Row],[gbd_super]],disease_costs!$G$4:$K$9,2,FALSE),0)</f>
        <v>86.883899999999997</v>
      </c>
      <c r="S50" s="33">
        <f>IFERROR(VLOOKUP(lmic_raw[[#This Row],[gbd_super]],disease_costs!$G$4:$K$9,3,FALSE),0)</f>
        <v>134.6259</v>
      </c>
      <c r="T50" s="33">
        <f>IFERROR(VLOOKUP(lmic_raw[[#This Row],[gbd_super]],disease_costs!$G$4:$K$9,4,FALSE),0)</f>
        <v>134.6259</v>
      </c>
      <c r="U50" s="33">
        <f>IFERROR(VLOOKUP(lmic_raw[[#This Row],[gbd_super]],disease_costs!$G$4:$K$9,5,FALSE),0)</f>
        <v>134.6259</v>
      </c>
      <c r="V50">
        <f>IFERROR(VLOOKUP(lmic_raw[[#This Row],[setting]],vcost[],3,FALSE),0)</f>
        <v>3.3424128659870345</v>
      </c>
      <c r="W50">
        <f>IFERROR(VLOOKUP(lmic_raw[[#This Row],[setting]],vcost[],4,FALSE),0)</f>
        <v>3.3624128659870345</v>
      </c>
      <c r="X50">
        <f>IFERROR(VLOOKUP(lmic_raw[[#This Row],[setting]],vcost[],5,FALSE),0)</f>
        <v>2.9084626233748878</v>
      </c>
      <c r="Y50">
        <f>IFERROR(VLOOKUP(lmic_raw[[#This Row],[setting]],vcost[],6,FALSE),0)</f>
        <v>2.9284626233748878</v>
      </c>
      <c r="Z50">
        <f>IFERROR(VLOOKUP(lmic_raw[[#This Row],[setting]],vcost[],7,FALSE),0)</f>
        <v>2.9213440515974094</v>
      </c>
      <c r="AA50">
        <f>IFERROR(VLOOKUP(lmic_raw[[#This Row],[setting]],vcost[],8,FALSE),0)</f>
        <v>3.5870628315821347</v>
      </c>
      <c r="AB50">
        <f>IFERROR(VLOOKUP(lmic_raw[[#This Row],[setting]],vcost[],9,FALSE),0)</f>
        <v>3.6070628315821347</v>
      </c>
      <c r="AC50" s="33">
        <f>IFERROR(INDEX(acm[],MATCH($C50,acm[[Country code]:[Country code]],0),MATCH(AC$1,acm[#Headers],0)),0)</f>
        <v>2.0742189999999973E-2</v>
      </c>
      <c r="AD50" s="33">
        <f>IFERROR(INDEX(acm[],MATCH($C50,acm[[Country code]:[Country code]],0),MATCH(AD$1,acm[#Headers],0)),0)</f>
        <v>1.368431771812982E-3</v>
      </c>
      <c r="AE50" s="33">
        <f>IFERROR(INDEX(acm[],MATCH($C50,acm[[Country code]:[Country code]],0),MATCH(AE$1,acm[#Headers],0)),0)</f>
        <v>3.6245288288105519E-4</v>
      </c>
      <c r="AF50" s="33">
        <f>IFERROR(INDEX(acm[],MATCH($C50,acm[[Country code]:[Country code]],0),MATCH(AF$1,acm[#Headers],0)),0)</f>
        <v>5.2137122931350153E-4</v>
      </c>
      <c r="AG50" s="33">
        <f>IFERROR(INDEX(acm[],MATCH($C50,acm[[Country code]:[Country code]],0),MATCH(AG$1,acm[#Headers],0)),0)</f>
        <v>1.1096552392384836E-3</v>
      </c>
      <c r="AH50" s="33">
        <f>IFERROR(INDEX(acm[],MATCH($C50,acm[[Country code]:[Country code]],0),MATCH(AH$1,acm[#Headers],0)),0)</f>
        <v>1.9003611057800845E-3</v>
      </c>
      <c r="AI50" s="33">
        <f>IFERROR(INDEX(acm[],MATCH($C50,acm[[Country code]:[Country code]],0),MATCH(AI$1,acm[#Headers],0)),0)</f>
        <v>2.5229613775001329E-3</v>
      </c>
      <c r="AJ50" s="33">
        <f>IFERROR(INDEX(acm[],MATCH($C50,acm[[Country code]:[Country code]],0),MATCH(AJ$1,acm[#Headers],0)),0)</f>
        <v>2.9107288532517787E-3</v>
      </c>
      <c r="AK50" s="33">
        <f>IFERROR(INDEX(acm[],MATCH($C50,acm[[Country code]:[Country code]],0),MATCH(AK$1,acm[#Headers],0)),0)</f>
        <v>3.2086735075177934E-3</v>
      </c>
      <c r="AL50" s="33">
        <f>IFERROR(INDEX(acm[],MATCH($C50,acm[[Country code]:[Country code]],0),MATCH(AL$1,acm[#Headers],0)),0)</f>
        <v>3.6432711183425706E-3</v>
      </c>
      <c r="AM50" s="33">
        <f>IFERROR(INDEX(acm[],MATCH($C50,acm[[Country code]:[Country code]],0),MATCH(AM$1,acm[#Headers],0)),0)</f>
        <v>4.4425458558329557E-3</v>
      </c>
      <c r="AN50" s="33">
        <f>IFERROR(INDEX(acm[],MATCH($C50,acm[[Country code]:[Country code]],0),MATCH(AN$1,acm[#Headers],0)),0)</f>
        <v>5.8420898780306516E-3</v>
      </c>
      <c r="AO50" s="33">
        <f>IFERROR(INDEX(acm[],MATCH($C50,acm[[Country code]:[Country code]],0),MATCH(AO$1,acm[#Headers],0)),0)</f>
        <v>8.1244104977409928E-3</v>
      </c>
      <c r="AP50" s="33">
        <f>IFERROR(INDEX(acm[],MATCH($C50,acm[[Country code]:[Country code]],0),MATCH(AP$1,acm[#Headers],0)),0)</f>
        <v>1.1786110862698037E-2</v>
      </c>
      <c r="AQ50" s="33">
        <f>IFERROR(INDEX(acm[],MATCH($C50,acm[[Country code]:[Country code]],0),MATCH(AQ$1,acm[#Headers],0)),0)</f>
        <v>1.5896801658864184E-2</v>
      </c>
      <c r="AR50" s="33">
        <f>IFERROR(INDEX(acm[],MATCH($C50,acm[[Country code]:[Country code]],0),MATCH(AR$1,acm[#Headers],0)),0)</f>
        <v>2.2905563498596741E-2</v>
      </c>
      <c r="AS50" s="33">
        <f>IFERROR(INDEX(acm[],MATCH($C50,acm[[Country code]:[Country code]],0),MATCH(AS$1,acm[#Headers],0)),0)</f>
        <v>3.8229745445683708E-2</v>
      </c>
      <c r="AT50" s="33">
        <f>IFERROR(INDEX(acm[],MATCH($C50,acm[[Country code]:[Country code]],0),MATCH(AT$1,acm[#Headers],0)),0)</f>
        <v>6.2634535527386723E-2</v>
      </c>
      <c r="AU50" s="33">
        <f>IFERROR(INDEX(acm[],MATCH($C50,acm[[Country code]:[Country code]],0),MATCH(AU$1,acm[#Headers],0)),0)</f>
        <v>9.3292937507748516E-2</v>
      </c>
      <c r="AV50" s="33">
        <f>IFERROR(INDEX(acm[],MATCH($C50,acm[[Country code]:[Country code]],0),MATCH(AV$1,acm[#Headers],0)),0)</f>
        <v>0.12614651709186733</v>
      </c>
      <c r="AW50" s="33">
        <f>IFERROR(INDEX(acm[],MATCH($C50,acm[[Country code]:[Country code]],0),MATCH(AW$1,acm[#Headers],0)),0)</f>
        <v>0.15412626562601031</v>
      </c>
      <c r="AX50" s="33">
        <f>IFERROR(VLOOKUP(lmic_raw[[#This Row],[num]],life_exp[[Country code]:[2015-2020]],2,FALSE),0)</f>
        <v>73.936000000000007</v>
      </c>
    </row>
    <row r="51" spans="1:50" x14ac:dyDescent="0.25">
      <c r="A51" s="110" t="s">
        <v>144</v>
      </c>
      <c r="B51" s="104" t="s">
        <v>433</v>
      </c>
      <c r="C51" s="105">
        <v>324</v>
      </c>
      <c r="D51" s="84" t="s">
        <v>677</v>
      </c>
      <c r="E51" s="84" t="s">
        <v>591</v>
      </c>
      <c r="F51" s="84" t="s">
        <v>667</v>
      </c>
      <c r="G51" s="84" t="s">
        <v>674</v>
      </c>
      <c r="H51" s="33">
        <f>VLOOKUP(lmic_raw[[#This Row],[num]],pop[[Country code]:[pop_20]],2,FALSE)*1000</f>
        <v>12771246</v>
      </c>
      <c r="I51" s="117">
        <f>IFERROR(VLOOKUP(lmic_raw[[#This Row],[num]],pop[[Country code]:[pop_20]],2,FALSE)*VLOOKUP(lmic_raw[[#This Row],[num]],b_rate[[Country code]:[2015-2020]],2,FALSE),0)</f>
        <v>466891.21126799996</v>
      </c>
      <c r="J51">
        <f>IFERROR(MIN(VLOOKUP(lmic_raw[[#This Row],[iso3]],fac_b[],4,FALSE)/100,0.9999),0)</f>
        <v>0.52600000000000002</v>
      </c>
      <c r="K51" s="33">
        <f>VLOOKUP(lmic_raw[[#This Row],[iso3]],vax[[iso3]:[hbv3]],2,FALSE)/100</f>
        <v>0</v>
      </c>
      <c r="L51" s="33">
        <f>VLOOKUP(lmic_raw[[#This Row],[iso3]],vax[[iso3]:[hbv3]],3,FALSE)/100</f>
        <v>0.47</v>
      </c>
      <c r="M51">
        <f>IFERROR(VLOOKUP(lmic_raw[[#This Row],[iso3]], hbv_prev[[iso3]:[ub]],2,FALSE)/100,0)</f>
        <v>0.13</v>
      </c>
      <c r="N51">
        <f>IFERROR(VLOOKUP(lmic_raw[[#This Row],[setting]],hbe_prev[],3,FALSE),0)</f>
        <v>0.30094942842571543</v>
      </c>
      <c r="O51">
        <f>VLOOKUP(lmic_raw[[#This Row],[gbd_super]],hbe_risk[],2,FALSE)</f>
        <v>0.38300000000000001</v>
      </c>
      <c r="P51" s="33">
        <f>VLOOKUP(lmic_raw[[#This Row],[gbd_super]],hbe_risk[],5,FALSE)</f>
        <v>4.8000000000000001E-2</v>
      </c>
      <c r="Q51">
        <f>IFERROR(VLOOKUP(lmic_raw[[#This Row],[setting]],disease_costs!$A$4:$B$197,2,FALSE),0)</f>
        <v>2.5989189787821818</v>
      </c>
      <c r="R51">
        <f>IFERROR(VLOOKUP(lmic_raw[[#This Row],[gbd_super]],disease_costs!$G$4:$K$9,2,FALSE),0)</f>
        <v>29.920500000000001</v>
      </c>
      <c r="S51" s="33">
        <f>IFERROR(VLOOKUP(lmic_raw[[#This Row],[gbd_super]],disease_costs!$G$4:$K$9,3,FALSE),0)</f>
        <v>77.662500000000009</v>
      </c>
      <c r="T51" s="33">
        <f>IFERROR(VLOOKUP(lmic_raw[[#This Row],[gbd_super]],disease_costs!$G$4:$K$9,4,FALSE),0)</f>
        <v>77.662500000000009</v>
      </c>
      <c r="U51" s="33">
        <f>IFERROR(VLOOKUP(lmic_raw[[#This Row],[gbd_super]],disease_costs!$G$4:$K$9,5,FALSE),0)</f>
        <v>77.662500000000009</v>
      </c>
      <c r="V51">
        <f>IFERROR(VLOOKUP(lmic_raw[[#This Row],[setting]],vcost[],3,FALSE),0)</f>
        <v>1.0938807865514109</v>
      </c>
      <c r="W51">
        <f>IFERROR(VLOOKUP(lmic_raw[[#This Row],[setting]],vcost[],4,FALSE),0)</f>
        <v>5.9238807865514111</v>
      </c>
      <c r="X51">
        <f>IFERROR(VLOOKUP(lmic_raw[[#This Row],[setting]],vcost[],5,FALSE),0)</f>
        <v>0.66706115401002708</v>
      </c>
      <c r="Y51">
        <f>IFERROR(VLOOKUP(lmic_raw[[#This Row],[setting]],vcost[],6,FALSE),0)</f>
        <v>5.4970611540100274</v>
      </c>
      <c r="Z51">
        <f>IFERROR(VLOOKUP(lmic_raw[[#This Row],[setting]],vcost[],7,FALSE),0)</f>
        <v>5.4933782497267734</v>
      </c>
      <c r="AA51">
        <f>IFERROR(VLOOKUP(lmic_raw[[#This Row],[setting]],vcost[],8,FALSE),0)</f>
        <v>1.3359604159582121</v>
      </c>
      <c r="AB51">
        <f>IFERROR(VLOOKUP(lmic_raw[[#This Row],[setting]],vcost[],9,FALSE),0)</f>
        <v>6.165960415958212</v>
      </c>
      <c r="AC51" s="33">
        <f>IFERROR(INDEX(acm[],MATCH($C51,acm[[Country code]:[Country code]],0),MATCH(AC$1,acm[#Headers],0)),0)</f>
        <v>5.1660929999999931E-2</v>
      </c>
      <c r="AD51" s="33">
        <f>IFERROR(INDEX(acm[],MATCH($C51,acm[[Country code]:[Country code]],0),MATCH(AD$1,acm[#Headers],0)),0)</f>
        <v>7.6682989555624109E-3</v>
      </c>
      <c r="AE51" s="33">
        <f>IFERROR(INDEX(acm[],MATCH($C51,acm[[Country code]:[Country code]],0),MATCH(AE$1,acm[#Headers],0)),0)</f>
        <v>2.753116865383637E-3</v>
      </c>
      <c r="AF51" s="33">
        <f>IFERROR(INDEX(acm[],MATCH($C51,acm[[Country code]:[Country code]],0),MATCH(AF$1,acm[#Headers],0)),0)</f>
        <v>1.6220182461334277E-3</v>
      </c>
      <c r="AG51" s="33">
        <f>IFERROR(INDEX(acm[],MATCH($C51,acm[[Country code]:[Country code]],0),MATCH(AG$1,acm[#Headers],0)),0)</f>
        <v>2.4728041518614608E-3</v>
      </c>
      <c r="AH51" s="33">
        <f>IFERROR(INDEX(acm[],MATCH($C51,acm[[Country code]:[Country code]],0),MATCH(AH$1,acm[#Headers],0)),0)</f>
        <v>3.4650976904044128E-3</v>
      </c>
      <c r="AI51" s="33">
        <f>IFERROR(INDEX(acm[],MATCH($C51,acm[[Country code]:[Country code]],0),MATCH(AI$1,acm[#Headers],0)),0)</f>
        <v>3.7158855391260254E-3</v>
      </c>
      <c r="AJ51" s="33">
        <f>IFERROR(INDEX(acm[],MATCH($C51,acm[[Country code]:[Country code]],0),MATCH(AJ$1,acm[#Headers],0)),0)</f>
        <v>4.1006094147431607E-3</v>
      </c>
      <c r="AK51" s="33">
        <f>IFERROR(INDEX(acm[],MATCH($C51,acm[[Country code]:[Country code]],0),MATCH(AK$1,acm[#Headers],0)),0)</f>
        <v>4.7097218029210465E-3</v>
      </c>
      <c r="AL51" s="33">
        <f>IFERROR(INDEX(acm[],MATCH($C51,acm[[Country code]:[Country code]],0),MATCH(AL$1,acm[#Headers],0)),0)</f>
        <v>5.7317350908536787E-3</v>
      </c>
      <c r="AM51" s="33">
        <f>IFERROR(INDEX(acm[],MATCH($C51,acm[[Country code]:[Country code]],0),MATCH(AM$1,acm[#Headers],0)),0)</f>
        <v>7.1089462516818339E-3</v>
      </c>
      <c r="AN51" s="33">
        <f>IFERROR(INDEX(acm[],MATCH($C51,acm[[Country code]:[Country code]],0),MATCH(AN$1,acm[#Headers],0)),0)</f>
        <v>9.9864252053493852E-3</v>
      </c>
      <c r="AO51" s="33">
        <f>IFERROR(INDEX(acm[],MATCH($C51,acm[[Country code]:[Country code]],0),MATCH(AO$1,acm[#Headers],0)),0)</f>
        <v>1.424243653612626E-2</v>
      </c>
      <c r="AP51" s="33">
        <f>IFERROR(INDEX(acm[],MATCH($C51,acm[[Country code]:[Country code]],0),MATCH(AP$1,acm[#Headers],0)),0)</f>
        <v>2.2379907387419087E-2</v>
      </c>
      <c r="AQ51" s="33">
        <f>IFERROR(INDEX(acm[],MATCH($C51,acm[[Country code]:[Country code]],0),MATCH(AQ$1,acm[#Headers],0)),0)</f>
        <v>3.4679884381574468E-2</v>
      </c>
      <c r="AR51" s="33">
        <f>IFERROR(INDEX(acm[],MATCH($C51,acm[[Country code]:[Country code]],0),MATCH(AR$1,acm[#Headers],0)),0)</f>
        <v>5.5650893957264136E-2</v>
      </c>
      <c r="AS51" s="33">
        <f>IFERROR(INDEX(acm[],MATCH($C51,acm[[Country code]:[Country code]],0),MATCH(AS$1,acm[#Headers],0)),0)</f>
        <v>8.5416908324498969E-2</v>
      </c>
      <c r="AT51" s="33">
        <f>IFERROR(INDEX(acm[],MATCH($C51,acm[[Country code]:[Country code]],0),MATCH(AT$1,acm[#Headers],0)),0)</f>
        <v>0.12175749905273563</v>
      </c>
      <c r="AU51" s="33">
        <f>IFERROR(INDEX(acm[],MATCH($C51,acm[[Country code]:[Country code]],0),MATCH(AU$1,acm[#Headers],0)),0)</f>
        <v>0.1547302136680318</v>
      </c>
      <c r="AV51" s="33">
        <f>IFERROR(INDEX(acm[],MATCH($C51,acm[[Country code]:[Country code]],0),MATCH(AV$1,acm[#Headers],0)),0)</f>
        <v>0.17719636261075544</v>
      </c>
      <c r="AW51" s="33">
        <f>IFERROR(INDEX(acm[],MATCH($C51,acm[[Country code]:[Country code]],0),MATCH(AW$1,acm[#Headers],0)),0)</f>
        <v>0.18801715411602082</v>
      </c>
      <c r="AX51" s="33">
        <f>IFERROR(VLOOKUP(lmic_raw[[#This Row],[num]],life_exp[[Country code]:[2015-2020]],2,FALSE),0)</f>
        <v>61.043999999999997</v>
      </c>
    </row>
    <row r="52" spans="1:50" x14ac:dyDescent="0.25">
      <c r="A52" s="109" t="s">
        <v>145</v>
      </c>
      <c r="B52" s="101" t="s">
        <v>434</v>
      </c>
      <c r="C52" s="102">
        <v>624</v>
      </c>
      <c r="D52" s="82" t="s">
        <v>677</v>
      </c>
      <c r="E52" s="82" t="s">
        <v>591</v>
      </c>
      <c r="F52" s="82" t="s">
        <v>667</v>
      </c>
      <c r="G52" s="82" t="s">
        <v>674</v>
      </c>
      <c r="H52" s="33">
        <f>VLOOKUP(lmic_raw[[#This Row],[num]],pop[[Country code]:[pop_20]],2,FALSE)*1000</f>
        <v>1920917</v>
      </c>
      <c r="I52" s="117">
        <f>IFERROR(VLOOKUP(lmic_raw[[#This Row],[num]],pop[[Country code]:[pop_20]],2,FALSE)*VLOOKUP(lmic_raw[[#This Row],[num]],b_rate[[Country code]:[2015-2020]],2,FALSE),0)</f>
        <v>67979.331713000007</v>
      </c>
      <c r="J52">
        <f>IFERROR(MIN(VLOOKUP(lmic_raw[[#This Row],[iso3]],fac_b[],4,FALSE)/100,0.9999),0)</f>
        <v>0.44</v>
      </c>
      <c r="K52" s="33">
        <f>VLOOKUP(lmic_raw[[#This Row],[iso3]],vax[[iso3]:[hbv3]],2,FALSE)/100</f>
        <v>0</v>
      </c>
      <c r="L52" s="33">
        <f>VLOOKUP(lmic_raw[[#This Row],[iso3]],vax[[iso3]:[hbv3]],3,FALSE)/100</f>
        <v>0.84</v>
      </c>
      <c r="M52">
        <f>IFERROR(VLOOKUP(lmic_raw[[#This Row],[iso3]], hbv_prev[[iso3]:[ub]],2,FALSE)/100,0)</f>
        <v>5.1100000000000007E-2</v>
      </c>
      <c r="N52">
        <f>IFERROR(VLOOKUP(lmic_raw[[#This Row],[setting]],hbe_prev[],3,FALSE),0)</f>
        <v>0.29135266850719183</v>
      </c>
      <c r="O52">
        <f>VLOOKUP(lmic_raw[[#This Row],[gbd_super]],hbe_risk[],2,FALSE)</f>
        <v>0.38300000000000001</v>
      </c>
      <c r="P52" s="33">
        <f>VLOOKUP(lmic_raw[[#This Row],[gbd_super]],hbe_risk[],5,FALSE)</f>
        <v>4.8000000000000001E-2</v>
      </c>
      <c r="Q52" s="118">
        <f>IFERROR(VLOOKUP(lmic_raw[[#This Row],[setting]],disease_costs!$A$4:$B$197,2,FALSE),0)</f>
        <v>0</v>
      </c>
      <c r="R52">
        <f>IFERROR(VLOOKUP(lmic_raw[[#This Row],[gbd_super]],disease_costs!$G$4:$K$9,2,FALSE),0)</f>
        <v>29.920500000000001</v>
      </c>
      <c r="S52" s="33">
        <f>IFERROR(VLOOKUP(lmic_raw[[#This Row],[gbd_super]],disease_costs!$G$4:$K$9,3,FALSE),0)</f>
        <v>77.662500000000009</v>
      </c>
      <c r="T52" s="33">
        <f>IFERROR(VLOOKUP(lmic_raw[[#This Row],[gbd_super]],disease_costs!$G$4:$K$9,4,FALSE),0)</f>
        <v>77.662500000000009</v>
      </c>
      <c r="U52" s="33">
        <f>IFERROR(VLOOKUP(lmic_raw[[#This Row],[gbd_super]],disease_costs!$G$4:$K$9,5,FALSE),0)</f>
        <v>77.662500000000009</v>
      </c>
      <c r="V52">
        <f>IFERROR(VLOOKUP(lmic_raw[[#This Row],[setting]],vcost[],3,FALSE),0)</f>
        <v>3.6121625438521474</v>
      </c>
      <c r="W52">
        <f>IFERROR(VLOOKUP(lmic_raw[[#This Row],[setting]],vcost[],4,FALSE),0)</f>
        <v>8.442162543852147</v>
      </c>
      <c r="X52">
        <f>IFERROR(VLOOKUP(lmic_raw[[#This Row],[setting]],vcost[],5,FALSE),0)</f>
        <v>3.1881130895338297</v>
      </c>
      <c r="Y52">
        <f>IFERROR(VLOOKUP(lmic_raw[[#This Row],[setting]],vcost[],6,FALSE),0)</f>
        <v>8.0181130895338306</v>
      </c>
      <c r="Z52">
        <f>IFERROR(VLOOKUP(lmic_raw[[#This Row],[setting]],vcost[],7,FALSE),0)</f>
        <v>8.0157259156393845</v>
      </c>
      <c r="AA52">
        <f>IFERROR(VLOOKUP(lmic_raw[[#This Row],[setting]],vcost[],8,FALSE),0)</f>
        <v>3.8532436206436578</v>
      </c>
      <c r="AB52">
        <f>IFERROR(VLOOKUP(lmic_raw[[#This Row],[setting]],vcost[],9,FALSE),0)</f>
        <v>8.6832436206436583</v>
      </c>
      <c r="AC52" s="33">
        <f>IFERROR(INDEX(acm[],MATCH($C52,acm[[Country code]:[Country code]],0),MATCH(AC$1,acm[#Headers],0)),0)</f>
        <v>5.7137039999999979E-2</v>
      </c>
      <c r="AD52" s="33">
        <f>IFERROR(INDEX(acm[],MATCH($C52,acm[[Country code]:[Country code]],0),MATCH(AD$1,acm[#Headers],0)),0)</f>
        <v>6.7141676665291852E-3</v>
      </c>
      <c r="AE52" s="33">
        <f>IFERROR(INDEX(acm[],MATCH($C52,acm[[Country code]:[Country code]],0),MATCH(AE$1,acm[#Headers],0)),0)</f>
        <v>2.6421517168500916E-3</v>
      </c>
      <c r="AF52" s="33">
        <f>IFERROR(INDEX(acm[],MATCH($C52,acm[[Country code]:[Country code]],0),MATCH(AF$1,acm[#Headers],0)),0)</f>
        <v>1.8582747603848101E-3</v>
      </c>
      <c r="AG52" s="33">
        <f>IFERROR(INDEX(acm[],MATCH($C52,acm[[Country code]:[Country code]],0),MATCH(AG$1,acm[#Headers],0)),0)</f>
        <v>2.7584406272059439E-3</v>
      </c>
      <c r="AH52" s="33">
        <f>IFERROR(INDEX(acm[],MATCH($C52,acm[[Country code]:[Country code]],0),MATCH(AH$1,acm[#Headers],0)),0)</f>
        <v>4.0673561336193754E-3</v>
      </c>
      <c r="AI52" s="33">
        <f>IFERROR(INDEX(acm[],MATCH($C52,acm[[Country code]:[Country code]],0),MATCH(AI$1,acm[#Headers],0)),0)</f>
        <v>5.1395770170898194E-3</v>
      </c>
      <c r="AJ52" s="33">
        <f>IFERROR(INDEX(acm[],MATCH($C52,acm[[Country code]:[Country code]],0),MATCH(AJ$1,acm[#Headers],0)),0)</f>
        <v>6.2796946479398499E-3</v>
      </c>
      <c r="AK52" s="33">
        <f>IFERROR(INDEX(acm[],MATCH($C52,acm[[Country code]:[Country code]],0),MATCH(AK$1,acm[#Headers],0)),0)</f>
        <v>7.8450079872936628E-3</v>
      </c>
      <c r="AL52" s="33">
        <f>IFERROR(INDEX(acm[],MATCH($C52,acm[[Country code]:[Country code]],0),MATCH(AL$1,acm[#Headers],0)),0)</f>
        <v>9.5087937050133096E-3</v>
      </c>
      <c r="AM52" s="33">
        <f>IFERROR(INDEX(acm[],MATCH($C52,acm[[Country code]:[Country code]],0),MATCH(AM$1,acm[#Headers],0)),0)</f>
        <v>1.1401948775644169E-2</v>
      </c>
      <c r="AN52" s="33">
        <f>IFERROR(INDEX(acm[],MATCH($C52,acm[[Country code]:[Country code]],0),MATCH(AN$1,acm[#Headers],0)),0)</f>
        <v>1.4843682585434316E-2</v>
      </c>
      <c r="AO52" s="33">
        <f>IFERROR(INDEX(acm[],MATCH($C52,acm[[Country code]:[Country code]],0),MATCH(AO$1,acm[#Headers],0)),0)</f>
        <v>1.8876475434659281E-2</v>
      </c>
      <c r="AP52" s="33">
        <f>IFERROR(INDEX(acm[],MATCH($C52,acm[[Country code]:[Country code]],0),MATCH(AP$1,acm[#Headers],0)),0)</f>
        <v>2.6573087528500995E-2</v>
      </c>
      <c r="AQ52" s="33">
        <f>IFERROR(INDEX(acm[],MATCH($C52,acm[[Country code]:[Country code]],0),MATCH(AQ$1,acm[#Headers],0)),0)</f>
        <v>3.8832694277057697E-2</v>
      </c>
      <c r="AR52" s="33">
        <f>IFERROR(INDEX(acm[],MATCH($C52,acm[[Country code]:[Country code]],0),MATCH(AR$1,acm[#Headers],0)),0)</f>
        <v>5.7800470461217432E-2</v>
      </c>
      <c r="AS52" s="33">
        <f>IFERROR(INDEX(acm[],MATCH($C52,acm[[Country code]:[Country code]],0),MATCH(AS$1,acm[#Headers],0)),0)</f>
        <v>8.4481990196540638E-2</v>
      </c>
      <c r="AT52" s="33">
        <f>IFERROR(INDEX(acm[],MATCH($C52,acm[[Country code]:[Country code]],0),MATCH(AT$1,acm[#Headers],0)),0)</f>
        <v>0.12076751482202236</v>
      </c>
      <c r="AU52" s="33">
        <f>IFERROR(INDEX(acm[],MATCH($C52,acm[[Country code]:[Country code]],0),MATCH(AU$1,acm[#Headers],0)),0)</f>
        <v>0.15842233373352008</v>
      </c>
      <c r="AV52" s="33">
        <f>IFERROR(INDEX(acm[],MATCH($C52,acm[[Country code]:[Country code]],0),MATCH(AV$1,acm[#Headers],0)),0)</f>
        <v>0.184292046722796</v>
      </c>
      <c r="AW52" s="33">
        <f>IFERROR(INDEX(acm[],MATCH($C52,acm[[Country code]:[Country code]],0),MATCH(AW$1,acm[#Headers],0)),0)</f>
        <v>0.18984142358814635</v>
      </c>
      <c r="AX52" s="33">
        <f>IFERROR(VLOOKUP(lmic_raw[[#This Row],[num]],life_exp[[Country code]:[2015-2020]],2,FALSE),0)</f>
        <v>57.819000000000003</v>
      </c>
    </row>
    <row r="53" spans="1:50" x14ac:dyDescent="0.25">
      <c r="A53" s="110" t="s">
        <v>270</v>
      </c>
      <c r="B53" s="104" t="s">
        <v>435</v>
      </c>
      <c r="C53" s="105">
        <v>328</v>
      </c>
      <c r="D53" s="84" t="s">
        <v>679</v>
      </c>
      <c r="E53" s="84" t="s">
        <v>223</v>
      </c>
      <c r="F53" s="84" t="s">
        <v>665</v>
      </c>
      <c r="G53" s="84" t="s">
        <v>676</v>
      </c>
      <c r="H53" s="33">
        <f>VLOOKUP(lmic_raw[[#This Row],[num]],pop[[Country code]:[pop_20]],2,FALSE)*1000</f>
        <v>782775</v>
      </c>
      <c r="I53" s="117">
        <f>IFERROR(VLOOKUP(lmic_raw[[#This Row],[num]],pop[[Country code]:[pop_20]],2,FALSE)*VLOOKUP(lmic_raw[[#This Row],[num]],b_rate[[Country code]:[2015-2020]],2,FALSE),0)</f>
        <v>15707.945925</v>
      </c>
      <c r="J53">
        <f>IFERROR(MIN(VLOOKUP(lmic_raw[[#This Row],[iso3]],fac_b[],4,FALSE)/100,0.9999),0)</f>
        <v>0.92700000000000005</v>
      </c>
      <c r="K53" s="33">
        <f>VLOOKUP(lmic_raw[[#This Row],[iso3]],vax[[iso3]:[hbv3]],2,FALSE)/100</f>
        <v>0</v>
      </c>
      <c r="L53" s="33">
        <f>VLOOKUP(lmic_raw[[#This Row],[iso3]],vax[[iso3]:[hbv3]],3,FALSE)/100</f>
        <v>0.99</v>
      </c>
      <c r="M53">
        <f>IFERROR(VLOOKUP(lmic_raw[[#This Row],[iso3]], hbv_prev[[iso3]:[ub]],2,FALSE)/100,0)</f>
        <v>2.7799999999999998E-2</v>
      </c>
      <c r="N53">
        <f>IFERROR(VLOOKUP(lmic_raw[[#This Row],[setting]],hbe_prev[],3,FALSE),0)</f>
        <v>0.31994720950218708</v>
      </c>
      <c r="O53">
        <f>VLOOKUP(lmic_raw[[#This Row],[gbd_super]],hbe_risk[],2,FALSE)</f>
        <v>0.8</v>
      </c>
      <c r="P53" s="33">
        <f>VLOOKUP(lmic_raw[[#This Row],[gbd_super]],hbe_risk[],5,FALSE)</f>
        <v>0.17499999999999999</v>
      </c>
      <c r="Q53">
        <f>IFERROR(VLOOKUP(lmic_raw[[#This Row],[setting]],disease_costs!$A$4:$B$197,2,FALSE),0)</f>
        <v>7.405884292658695</v>
      </c>
      <c r="R53">
        <f>IFERROR(VLOOKUP(lmic_raw[[#This Row],[gbd_super]],disease_costs!$G$4:$K$9,2,FALSE),0)</f>
        <v>86.883899999999997</v>
      </c>
      <c r="S53" s="33">
        <f>IFERROR(VLOOKUP(lmic_raw[[#This Row],[gbd_super]],disease_costs!$G$4:$K$9,3,FALSE),0)</f>
        <v>134.6259</v>
      </c>
      <c r="T53" s="33">
        <f>IFERROR(VLOOKUP(lmic_raw[[#This Row],[gbd_super]],disease_costs!$G$4:$K$9,4,FALSE),0)</f>
        <v>134.6259</v>
      </c>
      <c r="U53" s="33">
        <f>IFERROR(VLOOKUP(lmic_raw[[#This Row],[gbd_super]],disease_costs!$G$4:$K$9,5,FALSE),0)</f>
        <v>134.6259</v>
      </c>
      <c r="V53">
        <f>IFERROR(VLOOKUP(lmic_raw[[#This Row],[setting]],vcost[],3,FALSE),0)</f>
        <v>8.0901740784108647</v>
      </c>
      <c r="W53">
        <f>IFERROR(VLOOKUP(lmic_raw[[#This Row],[setting]],vcost[],4,FALSE),0)</f>
        <v>8.1101740784108642</v>
      </c>
      <c r="X53">
        <f>IFERROR(VLOOKUP(lmic_raw[[#This Row],[setting]],vcost[],5,FALSE),0)</f>
        <v>7.6510419575984132</v>
      </c>
      <c r="Y53">
        <f>IFERROR(VLOOKUP(lmic_raw[[#This Row],[setting]],vcost[],6,FALSE),0)</f>
        <v>7.6710419575984128</v>
      </c>
      <c r="Z53">
        <f>IFERROR(VLOOKUP(lmic_raw[[#This Row],[setting]],vcost[],7,FALSE),0)</f>
        <v>7.6623775793023663</v>
      </c>
      <c r="AA53">
        <f>IFERROR(VLOOKUP(lmic_raw[[#This Row],[setting]],vcost[],8,FALSE),0)</f>
        <v>8.3366919303339806</v>
      </c>
      <c r="AB53">
        <f>IFERROR(VLOOKUP(lmic_raw[[#This Row],[setting]],vcost[],9,FALSE),0)</f>
        <v>8.3566919303339802</v>
      </c>
      <c r="AC53" s="33">
        <f>IFERROR(INDEX(acm[],MATCH($C53,acm[[Country code]:[Country code]],0),MATCH(AC$1,acm[#Headers],0)),0)</f>
        <v>2.6771110000000046E-2</v>
      </c>
      <c r="AD53" s="33">
        <f>IFERROR(INDEX(acm[],MATCH($C53,acm[[Country code]:[Country code]],0),MATCH(AD$1,acm[#Headers],0)),0)</f>
        <v>1.4198715371057048E-3</v>
      </c>
      <c r="AE53" s="33">
        <f>IFERROR(INDEX(acm[],MATCH($C53,acm[[Country code]:[Country code]],0),MATCH(AE$1,acm[#Headers],0)),0)</f>
        <v>9.4566769534137896E-4</v>
      </c>
      <c r="AF53" s="33">
        <f>IFERROR(INDEX(acm[],MATCH($C53,acm[[Country code]:[Country code]],0),MATCH(AF$1,acm[#Headers],0)),0)</f>
        <v>7.7207149558016159E-4</v>
      </c>
      <c r="AG53" s="33">
        <f>IFERROR(INDEX(acm[],MATCH($C53,acm[[Country code]:[Country code]],0),MATCH(AG$1,acm[#Headers],0)),0)</f>
        <v>1.7255706754610489E-3</v>
      </c>
      <c r="AH53" s="33">
        <f>IFERROR(INDEX(acm[],MATCH($C53,acm[[Country code]:[Country code]],0),MATCH(AH$1,acm[#Headers],0)),0)</f>
        <v>2.81382930343111E-3</v>
      </c>
      <c r="AI53" s="33">
        <f>IFERROR(INDEX(acm[],MATCH($C53,acm[[Country code]:[Country code]],0),MATCH(AI$1,acm[#Headers],0)),0)</f>
        <v>3.515961527428555E-3</v>
      </c>
      <c r="AJ53" s="33">
        <f>IFERROR(INDEX(acm[],MATCH($C53,acm[[Country code]:[Country code]],0),MATCH(AJ$1,acm[#Headers],0)),0)</f>
        <v>3.7766081952088477E-3</v>
      </c>
      <c r="AK53" s="33">
        <f>IFERROR(INDEX(acm[],MATCH($C53,acm[[Country code]:[Country code]],0),MATCH(AK$1,acm[#Headers],0)),0)</f>
        <v>4.3904317727484999E-3</v>
      </c>
      <c r="AL53" s="33">
        <f>IFERROR(INDEX(acm[],MATCH($C53,acm[[Country code]:[Country code]],0),MATCH(AL$1,acm[#Headers],0)),0)</f>
        <v>5.0105637274453878E-3</v>
      </c>
      <c r="AM53" s="33">
        <f>IFERROR(INDEX(acm[],MATCH($C53,acm[[Country code]:[Country code]],0),MATCH(AM$1,acm[#Headers],0)),0)</f>
        <v>5.9847837354568721E-3</v>
      </c>
      <c r="AN53" s="33">
        <f>IFERROR(INDEX(acm[],MATCH($C53,acm[[Country code]:[Country code]],0),MATCH(AN$1,acm[#Headers],0)),0)</f>
        <v>1.0955838327829502E-2</v>
      </c>
      <c r="AO53" s="33">
        <f>IFERROR(INDEX(acm[],MATCH($C53,acm[[Country code]:[Country code]],0),MATCH(AO$1,acm[#Headers],0)),0)</f>
        <v>1.253980659148783E-2</v>
      </c>
      <c r="AP53" s="33">
        <f>IFERROR(INDEX(acm[],MATCH($C53,acm[[Country code]:[Country code]],0),MATCH(AP$1,acm[#Headers],0)),0)</f>
        <v>1.7388029464346286E-2</v>
      </c>
      <c r="AQ53" s="33">
        <f>IFERROR(INDEX(acm[],MATCH($C53,acm[[Country code]:[Country code]],0),MATCH(AQ$1,acm[#Headers],0)),0)</f>
        <v>2.2959833950200511E-2</v>
      </c>
      <c r="AR53" s="33">
        <f>IFERROR(INDEX(acm[],MATCH($C53,acm[[Country code]:[Country code]],0),MATCH(AR$1,acm[#Headers],0)),0)</f>
        <v>3.0883582504884172E-2</v>
      </c>
      <c r="AS53" s="33">
        <f>IFERROR(INDEX(acm[],MATCH($C53,acm[[Country code]:[Country code]],0),MATCH(AS$1,acm[#Headers],0)),0)</f>
        <v>4.6713681331453642E-2</v>
      </c>
      <c r="AT53" s="33">
        <f>IFERROR(INDEX(acm[],MATCH($C53,acm[[Country code]:[Country code]],0),MATCH(AT$1,acm[#Headers],0)),0)</f>
        <v>5.9747572996195611E-2</v>
      </c>
      <c r="AU53" s="33">
        <f>IFERROR(INDEX(acm[],MATCH($C53,acm[[Country code]:[Country code]],0),MATCH(AU$1,acm[#Headers],0)),0)</f>
        <v>7.8704938447834924E-2</v>
      </c>
      <c r="AV53" s="33">
        <f>IFERROR(INDEX(acm[],MATCH($C53,acm[[Country code]:[Country code]],0),MATCH(AV$1,acm[#Headers],0)),0)</f>
        <v>9.9134878394333367E-2</v>
      </c>
      <c r="AW53" s="33">
        <f>IFERROR(INDEX(acm[],MATCH($C53,acm[[Country code]:[Country code]],0),MATCH(AW$1,acm[#Headers],0)),0)</f>
        <v>0.11975067867203804</v>
      </c>
      <c r="AX53" s="33">
        <f>IFERROR(VLOOKUP(lmic_raw[[#This Row],[num]],life_exp[[Country code]:[2015-2020]],2,FALSE),0)</f>
        <v>69.712999999999994</v>
      </c>
    </row>
    <row r="54" spans="1:50" x14ac:dyDescent="0.25">
      <c r="A54" s="109" t="s">
        <v>238</v>
      </c>
      <c r="B54" s="101" t="s">
        <v>436</v>
      </c>
      <c r="C54" s="102">
        <v>332</v>
      </c>
      <c r="D54" s="82" t="s">
        <v>679</v>
      </c>
      <c r="E54" s="82" t="s">
        <v>223</v>
      </c>
      <c r="F54" s="82" t="s">
        <v>665</v>
      </c>
      <c r="G54" s="82" t="s">
        <v>674</v>
      </c>
      <c r="H54" s="33">
        <f>VLOOKUP(lmic_raw[[#This Row],[num]],pop[[Country code]:[pop_20]],2,FALSE)*1000</f>
        <v>11263079</v>
      </c>
      <c r="I54" s="117">
        <f>IFERROR(VLOOKUP(lmic_raw[[#This Row],[num]],pop[[Country code]:[pop_20]],2,FALSE)*VLOOKUP(lmic_raw[[#This Row],[num]],b_rate[[Country code]:[2015-2020]],2,FALSE),0)</f>
        <v>276317.11710700003</v>
      </c>
      <c r="J54">
        <f>IFERROR(MIN(VLOOKUP(lmic_raw[[#This Row],[iso3]],fac_b[],4,FALSE)/100,0.9999),0)</f>
        <v>0.39399999999999996</v>
      </c>
      <c r="K54" s="33">
        <f>VLOOKUP(lmic_raw[[#This Row],[iso3]],vax[[iso3]:[hbv3]],2,FALSE)/100</f>
        <v>0</v>
      </c>
      <c r="L54" s="33">
        <f>VLOOKUP(lmic_raw[[#This Row],[iso3]],vax[[iso3]:[hbv3]],3,FALSE)/100</f>
        <v>0.51</v>
      </c>
      <c r="M54">
        <f>IFERROR(VLOOKUP(lmic_raw[[#This Row],[iso3]], hbv_prev[[iso3]:[ub]],2,FALSE)/100,0)</f>
        <v>3.0699999999999998E-2</v>
      </c>
      <c r="N54">
        <f>IFERROR(VLOOKUP(lmic_raw[[#This Row],[setting]],hbe_prev[],3,FALSE),0)</f>
        <v>0.29443792053442375</v>
      </c>
      <c r="O54">
        <f>VLOOKUP(lmic_raw[[#This Row],[gbd_super]],hbe_risk[],2,FALSE)</f>
        <v>0.8</v>
      </c>
      <c r="P54" s="33">
        <f>VLOOKUP(lmic_raw[[#This Row],[gbd_super]],hbe_risk[],5,FALSE)</f>
        <v>0.17499999999999999</v>
      </c>
      <c r="Q54">
        <f>IFERROR(VLOOKUP(lmic_raw[[#This Row],[setting]],disease_costs!$A$4:$B$197,2,FALSE),0)</f>
        <v>3.299192938087649</v>
      </c>
      <c r="R54">
        <f>IFERROR(VLOOKUP(lmic_raw[[#This Row],[gbd_super]],disease_costs!$G$4:$K$9,2,FALSE),0)</f>
        <v>86.883899999999997</v>
      </c>
      <c r="S54" s="33">
        <f>IFERROR(VLOOKUP(lmic_raw[[#This Row],[gbd_super]],disease_costs!$G$4:$K$9,3,FALSE),0)</f>
        <v>134.6259</v>
      </c>
      <c r="T54" s="33">
        <f>IFERROR(VLOOKUP(lmic_raw[[#This Row],[gbd_super]],disease_costs!$G$4:$K$9,4,FALSE),0)</f>
        <v>134.6259</v>
      </c>
      <c r="U54" s="33">
        <f>IFERROR(VLOOKUP(lmic_raw[[#This Row],[gbd_super]],disease_costs!$G$4:$K$9,5,FALSE),0)</f>
        <v>134.6259</v>
      </c>
      <c r="V54">
        <f>IFERROR(VLOOKUP(lmic_raw[[#This Row],[setting]],vcost[],3,FALSE),0)</f>
        <v>1.5106242007893309</v>
      </c>
      <c r="W54">
        <f>IFERROR(VLOOKUP(lmic_raw[[#This Row],[setting]],vcost[],4,FALSE),0)</f>
        <v>1.5306242007893309</v>
      </c>
      <c r="X54">
        <f>IFERROR(VLOOKUP(lmic_raw[[#This Row],[setting]],vcost[],5,FALSE),0)</f>
        <v>1.0812864594549774</v>
      </c>
      <c r="Y54">
        <f>IFERROR(VLOOKUP(lmic_raw[[#This Row],[setting]],vcost[],6,FALSE),0)</f>
        <v>1.1012864594549774</v>
      </c>
      <c r="Z54">
        <f>IFERROR(VLOOKUP(lmic_raw[[#This Row],[setting]],vcost[],7,FALSE),0)</f>
        <v>1.0967219822225027</v>
      </c>
      <c r="AA54">
        <f>IFERROR(VLOOKUP(lmic_raw[[#This Row],[setting]],vcost[],8,FALSE),0)</f>
        <v>1.7536115205749938</v>
      </c>
      <c r="AB54">
        <f>IFERROR(VLOOKUP(lmic_raw[[#This Row],[setting]],vcost[],9,FALSE),0)</f>
        <v>1.7736115205749938</v>
      </c>
      <c r="AC54" s="33">
        <f>IFERROR(INDEX(acm[],MATCH($C54,acm[[Country code]:[Country code]],0),MATCH(AC$1,acm[#Headers],0)),0)</f>
        <v>5.4323950000000037E-2</v>
      </c>
      <c r="AD54" s="33">
        <f>IFERROR(INDEX(acm[],MATCH($C54,acm[[Country code]:[Country code]],0),MATCH(AD$1,acm[#Headers],0)),0)</f>
        <v>7.0672060479907532E-3</v>
      </c>
      <c r="AE54" s="33">
        <f>IFERROR(INDEX(acm[],MATCH($C54,acm[[Country code]:[Country code]],0),MATCH(AE$1,acm[#Headers],0)),0)</f>
        <v>2.5147090205495702E-3</v>
      </c>
      <c r="AF54" s="33">
        <f>IFERROR(INDEX(acm[],MATCH($C54,acm[[Country code]:[Country code]],0),MATCH(AF$1,acm[#Headers],0)),0)</f>
        <v>2.0463406122182312E-3</v>
      </c>
      <c r="AG54" s="33">
        <f>IFERROR(INDEX(acm[],MATCH($C54,acm[[Country code]:[Country code]],0),MATCH(AG$1,acm[#Headers],0)),0)</f>
        <v>2.5321978157550663E-3</v>
      </c>
      <c r="AH54" s="33">
        <f>IFERROR(INDEX(acm[],MATCH($C54,acm[[Country code]:[Country code]],0),MATCH(AH$1,acm[#Headers],0)),0)</f>
        <v>3.1994076777362313E-3</v>
      </c>
      <c r="AI54" s="33">
        <f>IFERROR(INDEX(acm[],MATCH($C54,acm[[Country code]:[Country code]],0),MATCH(AI$1,acm[#Headers],0)),0)</f>
        <v>3.8000275973229503E-3</v>
      </c>
      <c r="AJ54" s="33">
        <f>IFERROR(INDEX(acm[],MATCH($C54,acm[[Country code]:[Country code]],0),MATCH(AJ$1,acm[#Headers],0)),0)</f>
        <v>4.3188296372958738E-3</v>
      </c>
      <c r="AK54" s="33">
        <f>IFERROR(INDEX(acm[],MATCH($C54,acm[[Country code]:[Country code]],0),MATCH(AK$1,acm[#Headers],0)),0)</f>
        <v>4.8464719263578938E-3</v>
      </c>
      <c r="AL54" s="33">
        <f>IFERROR(INDEX(acm[],MATCH($C54,acm[[Country code]:[Country code]],0),MATCH(AL$1,acm[#Headers],0)),0)</f>
        <v>5.5476557359873113E-3</v>
      </c>
      <c r="AM54" s="33">
        <f>IFERROR(INDEX(acm[],MATCH($C54,acm[[Country code]:[Country code]],0),MATCH(AM$1,acm[#Headers],0)),0)</f>
        <v>6.6683811519541334E-3</v>
      </c>
      <c r="AN54" s="33">
        <f>IFERROR(INDEX(acm[],MATCH($C54,acm[[Country code]:[Country code]],0),MATCH(AN$1,acm[#Headers],0)),0)</f>
        <v>8.5753634458676023E-3</v>
      </c>
      <c r="AO54" s="33">
        <f>IFERROR(INDEX(acm[],MATCH($C54,acm[[Country code]:[Country code]],0),MATCH(AO$1,acm[#Headers],0)),0)</f>
        <v>1.1809821325573164E-2</v>
      </c>
      <c r="AP54" s="33">
        <f>IFERROR(INDEX(acm[],MATCH($C54,acm[[Country code]:[Country code]],0),MATCH(AP$1,acm[#Headers],0)),0)</f>
        <v>1.7189555412017703E-2</v>
      </c>
      <c r="AQ54" s="33">
        <f>IFERROR(INDEX(acm[],MATCH($C54,acm[[Country code]:[Country code]],0),MATCH(AQ$1,acm[#Headers],0)),0)</f>
        <v>2.5854649298542358E-2</v>
      </c>
      <c r="AR54" s="33">
        <f>IFERROR(INDEX(acm[],MATCH($C54,acm[[Country code]:[Country code]],0),MATCH(AR$1,acm[#Headers],0)),0)</f>
        <v>3.9417013017763521E-2</v>
      </c>
      <c r="AS54" s="33">
        <f>IFERROR(INDEX(acm[],MATCH($C54,acm[[Country code]:[Country code]],0),MATCH(AS$1,acm[#Headers],0)),0)</f>
        <v>5.940574491064482E-2</v>
      </c>
      <c r="AT54" s="33">
        <f>IFERROR(INDEX(acm[],MATCH($C54,acm[[Country code]:[Country code]],0),MATCH(AT$1,acm[#Headers],0)),0)</f>
        <v>8.1802999388428346E-2</v>
      </c>
      <c r="AU54" s="33">
        <f>IFERROR(INDEX(acm[],MATCH($C54,acm[[Country code]:[Country code]],0),MATCH(AU$1,acm[#Headers],0)),0)</f>
        <v>0.10584042768294169</v>
      </c>
      <c r="AV54" s="33">
        <f>IFERROR(INDEX(acm[],MATCH($C54,acm[[Country code]:[Country code]],0),MATCH(AV$1,acm[#Headers],0)),0)</f>
        <v>0.12856894104263286</v>
      </c>
      <c r="AW54" s="33">
        <f>IFERROR(INDEX(acm[],MATCH($C54,acm[[Country code]:[Country code]],0),MATCH(AW$1,acm[#Headers],0)),0)</f>
        <v>0.14823456044166194</v>
      </c>
      <c r="AX54" s="33">
        <f>IFERROR(VLOOKUP(lmic_raw[[#This Row],[num]],life_exp[[Country code]:[2015-2020]],2,FALSE),0)</f>
        <v>63.518999999999998</v>
      </c>
    </row>
    <row r="55" spans="1:50" x14ac:dyDescent="0.25">
      <c r="A55" s="110" t="s">
        <v>257</v>
      </c>
      <c r="B55" s="104" t="s">
        <v>437</v>
      </c>
      <c r="C55" s="105">
        <v>340</v>
      </c>
      <c r="D55" s="84" t="s">
        <v>679</v>
      </c>
      <c r="E55" s="84" t="s">
        <v>604</v>
      </c>
      <c r="F55" s="84" t="s">
        <v>665</v>
      </c>
      <c r="G55" s="84" t="s">
        <v>678</v>
      </c>
      <c r="H55" s="33">
        <f>VLOOKUP(lmic_raw[[#This Row],[num]],pop[[Country code]:[pop_20]],2,FALSE)*1000</f>
        <v>9746115</v>
      </c>
      <c r="I55" s="117">
        <f>IFERROR(VLOOKUP(lmic_raw[[#This Row],[num]],pop[[Country code]:[pop_20]],2,FALSE)*VLOOKUP(lmic_raw[[#This Row],[num]],b_rate[[Country code]:[2015-2020]],2,FALSE),0)</f>
        <v>212504.29145999998</v>
      </c>
      <c r="J55">
        <f>IFERROR(MIN(VLOOKUP(lmic_raw[[#This Row],[iso3]],fac_b[],4,FALSE)/100,0.9999),0)</f>
        <v>0.82700000000000007</v>
      </c>
      <c r="K55" s="33">
        <f>VLOOKUP(lmic_raw[[#This Row],[iso3]],vax[[iso3]:[hbv3]],2,FALSE)/100</f>
        <v>0.75</v>
      </c>
      <c r="L55" s="33">
        <f>VLOOKUP(lmic_raw[[#This Row],[iso3]],vax[[iso3]:[hbv3]],3,FALSE)/100</f>
        <v>0.87</v>
      </c>
      <c r="M55">
        <f>IFERROR(VLOOKUP(lmic_raw[[#This Row],[iso3]], hbv_prev[[iso3]:[ub]],2,FALSE)/100,0)</f>
        <v>1.2500000000000001E-2</v>
      </c>
      <c r="N55">
        <f>IFERROR(VLOOKUP(lmic_raw[[#This Row],[setting]],hbe_prev[],3,FALSE),0)</f>
        <v>0.31422832861627031</v>
      </c>
      <c r="O55">
        <f>VLOOKUP(lmic_raw[[#This Row],[gbd_super]],hbe_risk[],2,FALSE)</f>
        <v>0.8</v>
      </c>
      <c r="P55" s="33">
        <f>VLOOKUP(lmic_raw[[#This Row],[gbd_super]],hbe_risk[],5,FALSE)</f>
        <v>0.17499999999999999</v>
      </c>
      <c r="Q55">
        <f>IFERROR(VLOOKUP(lmic_raw[[#This Row],[setting]],disease_costs!$A$4:$B$197,2,FALSE),0)</f>
        <v>5.3762767156886113</v>
      </c>
      <c r="R55">
        <f>IFERROR(VLOOKUP(lmic_raw[[#This Row],[gbd_super]],disease_costs!$G$4:$K$9,2,FALSE),0)</f>
        <v>86.883899999999997</v>
      </c>
      <c r="S55" s="33">
        <f>IFERROR(VLOOKUP(lmic_raw[[#This Row],[gbd_super]],disease_costs!$G$4:$K$9,3,FALSE),0)</f>
        <v>134.6259</v>
      </c>
      <c r="T55" s="33">
        <f>IFERROR(VLOOKUP(lmic_raw[[#This Row],[gbd_super]],disease_costs!$G$4:$K$9,4,FALSE),0)</f>
        <v>134.6259</v>
      </c>
      <c r="U55" s="33">
        <f>IFERROR(VLOOKUP(lmic_raw[[#This Row],[gbd_super]],disease_costs!$G$4:$K$9,5,FALSE),0)</f>
        <v>134.6259</v>
      </c>
      <c r="V55">
        <f>IFERROR(VLOOKUP(lmic_raw[[#This Row],[setting]],vcost[],3,FALSE),0)</f>
        <v>3.6190738115805074</v>
      </c>
      <c r="W55">
        <f>IFERROR(VLOOKUP(lmic_raw[[#This Row],[setting]],vcost[],4,FALSE),0)</f>
        <v>3.6390738115805075</v>
      </c>
      <c r="X55">
        <f>IFERROR(VLOOKUP(lmic_raw[[#This Row],[setting]],vcost[],5,FALSE),0)</f>
        <v>3.1858875114310852</v>
      </c>
      <c r="Y55">
        <f>IFERROR(VLOOKUP(lmic_raw[[#This Row],[setting]],vcost[],6,FALSE),0)</f>
        <v>3.2058875114310852</v>
      </c>
      <c r="Z55">
        <f>IFERROR(VLOOKUP(lmic_raw[[#This Row],[setting]],vcost[],7,FALSE),0)</f>
        <v>3.1996479009811578</v>
      </c>
      <c r="AA55">
        <f>IFERROR(VLOOKUP(lmic_raw[[#This Row],[setting]],vcost[],8,FALSE),0)</f>
        <v>3.8634484025669513</v>
      </c>
      <c r="AB55">
        <f>IFERROR(VLOOKUP(lmic_raw[[#This Row],[setting]],vcost[],9,FALSE),0)</f>
        <v>3.8834484025669513</v>
      </c>
      <c r="AC55" s="33">
        <f>IFERROR(INDEX(acm[],MATCH($C55,acm[[Country code]:[Country code]],0),MATCH(AC$1,acm[#Headers],0)),0)</f>
        <v>1.5040069999999978E-2</v>
      </c>
      <c r="AD55" s="33">
        <f>IFERROR(INDEX(acm[],MATCH($C55,acm[[Country code]:[Country code]],0),MATCH(AD$1,acm[#Headers],0)),0)</f>
        <v>1.592156139793422E-3</v>
      </c>
      <c r="AE55" s="33">
        <f>IFERROR(INDEX(acm[],MATCH($C55,acm[[Country code]:[Country code]],0),MATCH(AE$1,acm[#Headers],0)),0)</f>
        <v>8.5894052204161684E-4</v>
      </c>
      <c r="AF55" s="33">
        <f>IFERROR(INDEX(acm[],MATCH($C55,acm[[Country code]:[Country code]],0),MATCH(AF$1,acm[#Headers],0)),0)</f>
        <v>6.946384502681366E-4</v>
      </c>
      <c r="AG55" s="33">
        <f>IFERROR(INDEX(acm[],MATCH($C55,acm[[Country code]:[Country code]],0),MATCH(AG$1,acm[#Headers],0)),0)</f>
        <v>9.9773107664010677E-4</v>
      </c>
      <c r="AH55" s="33">
        <f>IFERROR(INDEX(acm[],MATCH($C55,acm[[Country code]:[Country code]],0),MATCH(AH$1,acm[#Headers],0)),0)</f>
        <v>1.4592485313942006E-3</v>
      </c>
      <c r="AI55" s="33">
        <f>IFERROR(INDEX(acm[],MATCH($C55,acm[[Country code]:[Country code]],0),MATCH(AI$1,acm[#Headers],0)),0)</f>
        <v>1.9275132097957353E-3</v>
      </c>
      <c r="AJ55" s="33">
        <f>IFERROR(INDEX(acm[],MATCH($C55,acm[[Country code]:[Country code]],0),MATCH(AJ$1,acm[#Headers],0)),0)</f>
        <v>2.3727893342589956E-3</v>
      </c>
      <c r="AK55" s="33">
        <f>IFERROR(INDEX(acm[],MATCH($C55,acm[[Country code]:[Country code]],0),MATCH(AK$1,acm[#Headers],0)),0)</f>
        <v>2.8322039723949009E-3</v>
      </c>
      <c r="AL55" s="33">
        <f>IFERROR(INDEX(acm[],MATCH($C55,acm[[Country code]:[Country code]],0),MATCH(AL$1,acm[#Headers],0)),0)</f>
        <v>3.4012113823321507E-3</v>
      </c>
      <c r="AM55" s="33">
        <f>IFERROR(INDEX(acm[],MATCH($C55,acm[[Country code]:[Country code]],0),MATCH(AM$1,acm[#Headers],0)),0)</f>
        <v>4.2241871053381088E-3</v>
      </c>
      <c r="AN55" s="33">
        <f>IFERROR(INDEX(acm[],MATCH($C55,acm[[Country code]:[Country code]],0),MATCH(AN$1,acm[#Headers],0)),0)</f>
        <v>5.5211588533185313E-3</v>
      </c>
      <c r="AO55" s="33">
        <f>IFERROR(INDEX(acm[],MATCH($C55,acm[[Country code]:[Country code]],0),MATCH(AO$1,acm[#Headers],0)),0)</f>
        <v>7.6225523309263613E-3</v>
      </c>
      <c r="AP55" s="33">
        <f>IFERROR(INDEX(acm[],MATCH($C55,acm[[Country code]:[Country code]],0),MATCH(AP$1,acm[#Headers],0)),0)</f>
        <v>1.1032521485562581E-2</v>
      </c>
      <c r="AQ55" s="33">
        <f>IFERROR(INDEX(acm[],MATCH($C55,acm[[Country code]:[Country code]],0),MATCH(AQ$1,acm[#Headers],0)),0)</f>
        <v>1.6510135285567287E-2</v>
      </c>
      <c r="AR55" s="33">
        <f>IFERROR(INDEX(acm[],MATCH($C55,acm[[Country code]:[Country code]],0),MATCH(AR$1,acm[#Headers],0)),0)</f>
        <v>2.5137394862241397E-2</v>
      </c>
      <c r="AS55" s="33">
        <f>IFERROR(INDEX(acm[],MATCH($C55,acm[[Country code]:[Country code]],0),MATCH(AS$1,acm[#Headers],0)),0)</f>
        <v>3.8304070266972842E-2</v>
      </c>
      <c r="AT55" s="33">
        <f>IFERROR(INDEX(acm[],MATCH($C55,acm[[Country code]:[Country code]],0),MATCH(AT$1,acm[#Headers],0)),0)</f>
        <v>5.7440275631066996E-2</v>
      </c>
      <c r="AU55" s="33">
        <f>IFERROR(INDEX(acm[],MATCH($C55,acm[[Country code]:[Country code]],0),MATCH(AU$1,acm[#Headers],0)),0)</f>
        <v>8.3308930896146577E-2</v>
      </c>
      <c r="AV55" s="33">
        <f>IFERROR(INDEX(acm[],MATCH($C55,acm[[Country code]:[Country code]],0),MATCH(AV$1,acm[#Headers],0)),0)</f>
        <v>0.11473305560186088</v>
      </c>
      <c r="AW55" s="33">
        <f>IFERROR(INDEX(acm[],MATCH($C55,acm[[Country code]:[Country code]],0),MATCH(AW$1,acm[#Headers],0)),0)</f>
        <v>0.14934101990927171</v>
      </c>
      <c r="AX55" s="33">
        <f>IFERROR(VLOOKUP(lmic_raw[[#This Row],[num]],life_exp[[Country code]:[2015-2020]],2,FALSE),0)</f>
        <v>74.992000000000004</v>
      </c>
    </row>
    <row r="56" spans="1:50" x14ac:dyDescent="0.25">
      <c r="A56" s="109" t="s">
        <v>194</v>
      </c>
      <c r="B56" s="101" t="s">
        <v>438</v>
      </c>
      <c r="C56" s="102">
        <v>356</v>
      </c>
      <c r="D56" s="82" t="s">
        <v>680</v>
      </c>
      <c r="E56" s="82" t="s">
        <v>589</v>
      </c>
      <c r="F56" s="82" t="s">
        <v>589</v>
      </c>
      <c r="G56" s="82" t="s">
        <v>678</v>
      </c>
      <c r="H56" s="33">
        <f>VLOOKUP(lmic_raw[[#This Row],[num]],pop[[Country code]:[pop_20]],2,FALSE)*1000</f>
        <v>1366417756</v>
      </c>
      <c r="I56" s="117">
        <f>IFERROR(VLOOKUP(lmic_raw[[#This Row],[num]],pop[[Country code]:[pop_20]],2,FALSE)*VLOOKUP(lmic_raw[[#This Row],[num]],b_rate[[Country code]:[2015-2020]],2,FALSE),0)</f>
        <v>24622847.963119999</v>
      </c>
      <c r="J56">
        <f>IFERROR(MIN(VLOOKUP(lmic_raw[[#This Row],[iso3]],fac_b[],4,FALSE)/100,0.9999),0)</f>
        <v>0.78900000000000003</v>
      </c>
      <c r="K56" s="33">
        <f>VLOOKUP(lmic_raw[[#This Row],[iso3]],vax[[iso3]:[hbv3]],2,FALSE)/100</f>
        <v>0.56000000000000005</v>
      </c>
      <c r="L56" s="33">
        <f>VLOOKUP(lmic_raw[[#This Row],[iso3]],vax[[iso3]:[hbv3]],3,FALSE)/100</f>
        <v>0.91</v>
      </c>
      <c r="M56">
        <f>IFERROR(VLOOKUP(lmic_raw[[#This Row],[iso3]], hbv_prev[[iso3]:[ub]],2,FALSE)/100,0)</f>
        <v>1.6500000000000001E-2</v>
      </c>
      <c r="N56">
        <f>IFERROR(VLOOKUP(lmic_raw[[#This Row],[setting]],hbe_prev[],3,FALSE),0)</f>
        <v>0.26726619107184962</v>
      </c>
      <c r="O56">
        <f>VLOOKUP(lmic_raw[[#This Row],[gbd_super]],hbe_risk[],2,FALSE)</f>
        <v>0.8</v>
      </c>
      <c r="P56" s="33">
        <f>VLOOKUP(lmic_raw[[#This Row],[gbd_super]],hbe_risk[],5,FALSE)</f>
        <v>0.17499999999999999</v>
      </c>
      <c r="Q56">
        <f>IFERROR(VLOOKUP(lmic_raw[[#This Row],[setting]],disease_costs!$A$4:$B$197,2,FALSE),0)</f>
        <v>3.8570382955004794</v>
      </c>
      <c r="R56">
        <f>IFERROR(VLOOKUP(lmic_raw[[#This Row],[gbd_super]],disease_costs!$G$4:$K$9,2,FALSE),0)</f>
        <v>45.899900000000002</v>
      </c>
      <c r="S56" s="33">
        <f>IFERROR(VLOOKUP(lmic_raw[[#This Row],[gbd_super]],disease_costs!$G$4:$K$9,3,FALSE),0)</f>
        <v>93.641900000000007</v>
      </c>
      <c r="T56" s="33">
        <f>IFERROR(VLOOKUP(lmic_raw[[#This Row],[gbd_super]],disease_costs!$G$4:$K$9,4,FALSE),0)</f>
        <v>93.641900000000007</v>
      </c>
      <c r="U56" s="33">
        <f>IFERROR(VLOOKUP(lmic_raw[[#This Row],[gbd_super]],disease_costs!$G$4:$K$9,5,FALSE),0)</f>
        <v>93.641900000000007</v>
      </c>
      <c r="V56">
        <f>IFERROR(VLOOKUP(lmic_raw[[#This Row],[setting]],vcost[],3,FALSE),0)</f>
        <v>1.5230366832041071</v>
      </c>
      <c r="W56">
        <f>IFERROR(VLOOKUP(lmic_raw[[#This Row],[setting]],vcost[],4,FALSE),0)</f>
        <v>3.9730366832041071</v>
      </c>
      <c r="X56">
        <f>IFERROR(VLOOKUP(lmic_raw[[#This Row],[setting]],vcost[],5,FALSE),0)</f>
        <v>1.0925775005878353</v>
      </c>
      <c r="Y56">
        <f>IFERROR(VLOOKUP(lmic_raw[[#This Row],[setting]],vcost[],6,FALSE),0)</f>
        <v>3.5425775005878357</v>
      </c>
      <c r="Z56">
        <f>IFERROR(VLOOKUP(lmic_raw[[#This Row],[setting]],vcost[],7,FALSE),0)</f>
        <v>3.5374099825057872</v>
      </c>
      <c r="AA56">
        <f>IFERROR(VLOOKUP(lmic_raw[[#This Row],[setting]],vcost[],8,FALSE),0)</f>
        <v>1.7664282434518568</v>
      </c>
      <c r="AB56">
        <f>IFERROR(VLOOKUP(lmic_raw[[#This Row],[setting]],vcost[],9,FALSE),0)</f>
        <v>4.2164282434518565</v>
      </c>
      <c r="AC56" s="33">
        <f>IFERROR(INDEX(acm[],MATCH($C56,acm[[Country code]:[Country code]],0),MATCH(AC$1,acm[#Headers],0)),0)</f>
        <v>3.2000000000000001E-2</v>
      </c>
      <c r="AD56" s="33">
        <f>IFERROR(INDEX(acm[],MATCH($C56,acm[[Country code]:[Country code]],0),MATCH(AD$1,acm[#Headers],0)),0)</f>
        <v>1.9125568181818215E-3</v>
      </c>
      <c r="AE56" s="33">
        <f>IFERROR(INDEX(acm[],MATCH($C56,acm[[Country code]:[Country code]],0),MATCH(AE$1,acm[#Headers],0)),0)</f>
        <v>7.1535069456670386E-4</v>
      </c>
      <c r="AF56" s="33">
        <f>IFERROR(INDEX(acm[],MATCH($C56,acm[[Country code]:[Country code]],0),MATCH(AF$1,acm[#Headers],0)),0)</f>
        <v>6.0160552047179691E-4</v>
      </c>
      <c r="AG56" s="33">
        <f>IFERROR(INDEX(acm[],MATCH($C56,acm[[Country code]:[Country code]],0),MATCH(AG$1,acm[#Headers],0)),0)</f>
        <v>9.4642282045615737E-4</v>
      </c>
      <c r="AH56" s="33">
        <f>IFERROR(INDEX(acm[],MATCH($C56,acm[[Country code]:[Country code]],0),MATCH(AH$1,acm[#Headers],0)),0)</f>
        <v>1.3732150365588049E-3</v>
      </c>
      <c r="AI56" s="33">
        <f>IFERROR(INDEX(acm[],MATCH($C56,acm[[Country code]:[Country code]],0),MATCH(AI$1,acm[#Headers],0)),0)</f>
        <v>1.5526608369193016E-3</v>
      </c>
      <c r="AJ56" s="33">
        <f>IFERROR(INDEX(acm[],MATCH($C56,acm[[Country code]:[Country code]],0),MATCH(AJ$1,acm[#Headers],0)),0)</f>
        <v>1.9815753059753876E-3</v>
      </c>
      <c r="AK56" s="33">
        <f>IFERROR(INDEX(acm[],MATCH($C56,acm[[Country code]:[Country code]],0),MATCH(AK$1,acm[#Headers],0)),0)</f>
        <v>2.7437178237789267E-3</v>
      </c>
      <c r="AL56" s="33">
        <f>IFERROR(INDEX(acm[],MATCH($C56,acm[[Country code]:[Country code]],0),MATCH(AL$1,acm[#Headers],0)),0)</f>
        <v>3.6892655629956312E-3</v>
      </c>
      <c r="AM56" s="33">
        <f>IFERROR(INDEX(acm[],MATCH($C56,acm[[Country code]:[Country code]],0),MATCH(AM$1,acm[#Headers],0)),0)</f>
        <v>5.2984072107780398E-3</v>
      </c>
      <c r="AN56" s="33">
        <f>IFERROR(INDEX(acm[],MATCH($C56,acm[[Country code]:[Country code]],0),MATCH(AN$1,acm[#Headers],0)),0)</f>
        <v>8.4786050471113063E-3</v>
      </c>
      <c r="AO56" s="33">
        <f>IFERROR(INDEX(acm[],MATCH($C56,acm[[Country code]:[Country code]],0),MATCH(AO$1,acm[#Headers],0)),0)</f>
        <v>1.2597229022773913E-2</v>
      </c>
      <c r="AP56" s="33">
        <f>IFERROR(INDEX(acm[],MATCH($C56,acm[[Country code]:[Country code]],0),MATCH(AP$1,acm[#Headers],0)),0)</f>
        <v>1.8597386074553211E-2</v>
      </c>
      <c r="AQ56" s="33">
        <f>IFERROR(INDEX(acm[],MATCH($C56,acm[[Country code]:[Country code]],0),MATCH(AQ$1,acm[#Headers],0)),0)</f>
        <v>2.7897493448943371E-2</v>
      </c>
      <c r="AR56" s="33">
        <f>IFERROR(INDEX(acm[],MATCH($C56,acm[[Country code]:[Country code]],0),MATCH(AR$1,acm[#Headers],0)),0)</f>
        <v>4.2849663503968405E-2</v>
      </c>
      <c r="AS56" s="33">
        <f>IFERROR(INDEX(acm[],MATCH($C56,acm[[Country code]:[Country code]],0),MATCH(AS$1,acm[#Headers],0)),0)</f>
        <v>6.0679978133540674E-2</v>
      </c>
      <c r="AT56" s="33">
        <f>IFERROR(INDEX(acm[],MATCH($C56,acm[[Country code]:[Country code]],0),MATCH(AT$1,acm[#Headers],0)),0)</f>
        <v>8.6620117768741622E-2</v>
      </c>
      <c r="AU56" s="33">
        <f>IFERROR(INDEX(acm[],MATCH($C56,acm[[Country code]:[Country code]],0),MATCH(AU$1,acm[#Headers],0)),0)</f>
        <v>0.11600615643086354</v>
      </c>
      <c r="AV56" s="33">
        <f>IFERROR(INDEX(acm[],MATCH($C56,acm[[Country code]:[Country code]],0),MATCH(AV$1,acm[#Headers],0)),0)</f>
        <v>0.14310718338796444</v>
      </c>
      <c r="AW56" s="33">
        <f>IFERROR(INDEX(acm[],MATCH($C56,acm[[Country code]:[Country code]],0),MATCH(AW$1,acm[#Headers],0)),0)</f>
        <v>0.13800656426699495</v>
      </c>
      <c r="AX56" s="33">
        <f>IFERROR(VLOOKUP(lmic_raw[[#This Row],[num]],life_exp[[Country code]:[2015-2020]],2,FALSE),0)</f>
        <v>69.272000000000006</v>
      </c>
    </row>
    <row r="57" spans="1:50" x14ac:dyDescent="0.25">
      <c r="A57" s="110" t="s">
        <v>213</v>
      </c>
      <c r="B57" s="104" t="s">
        <v>439</v>
      </c>
      <c r="C57" s="105">
        <v>360</v>
      </c>
      <c r="D57" s="84" t="s">
        <v>680</v>
      </c>
      <c r="E57" s="84" t="s">
        <v>598</v>
      </c>
      <c r="F57" s="84" t="s">
        <v>666</v>
      </c>
      <c r="G57" s="84" t="s">
        <v>678</v>
      </c>
      <c r="H57" s="33">
        <f>VLOOKUP(lmic_raw[[#This Row],[num]],pop[[Country code]:[pop_20]],2,FALSE)*1000</f>
        <v>270625567</v>
      </c>
      <c r="I57" s="117">
        <f>IFERROR(VLOOKUP(lmic_raw[[#This Row],[num]],pop[[Country code]:[pop_20]],2,FALSE)*VLOOKUP(lmic_raw[[#This Row],[num]],b_rate[[Country code]:[2015-2020]],2,FALSE),0)</f>
        <v>4926738.4472349994</v>
      </c>
      <c r="J57">
        <f>IFERROR(MIN(VLOOKUP(lmic_raw[[#This Row],[iso3]],fac_b[],4,FALSE)/100,0.9999),0)</f>
        <v>0.79</v>
      </c>
      <c r="K57" s="33">
        <f>VLOOKUP(lmic_raw[[#This Row],[iso3]],vax[[iso3]:[hbv3]],2,FALSE)/100</f>
        <v>0.84</v>
      </c>
      <c r="L57" s="33">
        <f>VLOOKUP(lmic_raw[[#This Row],[iso3]],vax[[iso3]:[hbv3]],3,FALSE)/100</f>
        <v>0.85</v>
      </c>
      <c r="M57">
        <f>IFERROR(VLOOKUP(lmic_raw[[#This Row],[iso3]], hbv_prev[[iso3]:[ub]],2,FALSE)/100,0)</f>
        <v>2.4300000000000002E-2</v>
      </c>
      <c r="N57">
        <f>IFERROR(VLOOKUP(lmic_raw[[#This Row],[setting]],hbe_prev[],3,FALSE),0)</f>
        <v>0.33277106999049344</v>
      </c>
      <c r="O57">
        <f>VLOOKUP(lmic_raw[[#This Row],[gbd_super]],hbe_risk[],2,FALSE)</f>
        <v>0.8</v>
      </c>
      <c r="P57" s="33">
        <f>VLOOKUP(lmic_raw[[#This Row],[gbd_super]],hbe_risk[],5,FALSE)</f>
        <v>0.17499999999999999</v>
      </c>
      <c r="Q57">
        <f>IFERROR(VLOOKUP(lmic_raw[[#This Row],[setting]],disease_costs!$A$4:$B$197,2,FALSE),0)</f>
        <v>4.7946932579603416</v>
      </c>
      <c r="R57">
        <f>IFERROR(VLOOKUP(lmic_raw[[#This Row],[gbd_super]],disease_costs!$G$4:$K$9,2,FALSE),0)</f>
        <v>73.084500000000006</v>
      </c>
      <c r="S57" s="33">
        <f>IFERROR(VLOOKUP(lmic_raw[[#This Row],[gbd_super]],disease_costs!$G$4:$K$9,3,FALSE),0)</f>
        <v>120.8265</v>
      </c>
      <c r="T57" s="33">
        <f>IFERROR(VLOOKUP(lmic_raw[[#This Row],[gbd_super]],disease_costs!$G$4:$K$9,4,FALSE),0)</f>
        <v>120.8265</v>
      </c>
      <c r="U57" s="33">
        <f>IFERROR(VLOOKUP(lmic_raw[[#This Row],[gbd_super]],disease_costs!$G$4:$K$9,5,FALSE),0)</f>
        <v>120.8265</v>
      </c>
      <c r="V57">
        <f>IFERROR(VLOOKUP(lmic_raw[[#This Row],[setting]],vcost[],3,FALSE),0)</f>
        <v>1.8017456399268974</v>
      </c>
      <c r="W57">
        <f>IFERROR(VLOOKUP(lmic_raw[[#This Row],[setting]],vcost[],4,FALSE),0)</f>
        <v>2.4317456399268975</v>
      </c>
      <c r="X57">
        <f>IFERROR(VLOOKUP(lmic_raw[[#This Row],[setting]],vcost[],5,FALSE),0)</f>
        <v>1.3600273815195147</v>
      </c>
      <c r="Y57">
        <f>IFERROR(VLOOKUP(lmic_raw[[#This Row],[setting]],vcost[],6,FALSE),0)</f>
        <v>1.9900273815195146</v>
      </c>
      <c r="Z57">
        <f>IFERROR(VLOOKUP(lmic_raw[[#This Row],[setting]],vcost[],7,FALSE),0)</f>
        <v>1.9806408616286659</v>
      </c>
      <c r="AA57">
        <f>IFERROR(VLOOKUP(lmic_raw[[#This Row],[setting]],vcost[],8,FALSE),0)</f>
        <v>2.0491957042388842</v>
      </c>
      <c r="AB57">
        <f>IFERROR(VLOOKUP(lmic_raw[[#This Row],[setting]],vcost[],9,FALSE),0)</f>
        <v>2.6791957042388841</v>
      </c>
      <c r="AC57" s="33">
        <f>IFERROR(INDEX(acm[],MATCH($C57,acm[[Country code]:[Country code]],0),MATCH(AC$1,acm[#Headers],0)),0)</f>
        <v>1.8922880000000003E-2</v>
      </c>
      <c r="AD57" s="33">
        <f>IFERROR(INDEX(acm[],MATCH($C57,acm[[Country code]:[Country code]],0),MATCH(AD$1,acm[#Headers],0)),0)</f>
        <v>1.5222172340539479E-3</v>
      </c>
      <c r="AE57" s="33">
        <f>IFERROR(INDEX(acm[],MATCH($C57,acm[[Country code]:[Country code]],0),MATCH(AE$1,acm[#Headers],0)),0)</f>
        <v>5.0644471606688178E-4</v>
      </c>
      <c r="AF57" s="33">
        <f>IFERROR(INDEX(acm[],MATCH($C57,acm[[Country code]:[Country code]],0),MATCH(AF$1,acm[#Headers],0)),0)</f>
        <v>4.4754539756151283E-4</v>
      </c>
      <c r="AG57" s="33">
        <f>IFERROR(INDEX(acm[],MATCH($C57,acm[[Country code]:[Country code]],0),MATCH(AG$1,acm[#Headers],0)),0)</f>
        <v>9.3833652529765749E-4</v>
      </c>
      <c r="AH57" s="33">
        <f>IFERROR(INDEX(acm[],MATCH($C57,acm[[Country code]:[Country code]],0),MATCH(AH$1,acm[#Headers],0)),0)</f>
        <v>1.2329000732080504E-3</v>
      </c>
      <c r="AI57" s="33">
        <f>IFERROR(INDEX(acm[],MATCH($C57,acm[[Country code]:[Country code]],0),MATCH(AI$1,acm[#Headers],0)),0)</f>
        <v>1.3065425046960614E-3</v>
      </c>
      <c r="AJ57" s="33">
        <f>IFERROR(INDEX(acm[],MATCH($C57,acm[[Country code]:[Country code]],0),MATCH(AJ$1,acm[#Headers],0)),0)</f>
        <v>1.5542100671743552E-3</v>
      </c>
      <c r="AK57" s="33">
        <f>IFERROR(INDEX(acm[],MATCH($C57,acm[[Country code]:[Country code]],0),MATCH(AK$1,acm[#Headers],0)),0)</f>
        <v>2.0910096495578398E-3</v>
      </c>
      <c r="AL57" s="33">
        <f>IFERROR(INDEX(acm[],MATCH($C57,acm[[Country code]:[Country code]],0),MATCH(AL$1,acm[#Headers],0)),0)</f>
        <v>2.9997705513160125E-3</v>
      </c>
      <c r="AM57" s="33">
        <f>IFERROR(INDEX(acm[],MATCH($C57,acm[[Country code]:[Country code]],0),MATCH(AM$1,acm[#Headers],0)),0)</f>
        <v>4.5961967641964313E-3</v>
      </c>
      <c r="AN57" s="33">
        <f>IFERROR(INDEX(acm[],MATCH($C57,acm[[Country code]:[Country code]],0),MATCH(AN$1,acm[#Headers],0)),0)</f>
        <v>7.1074352798496023E-3</v>
      </c>
      <c r="AO57" s="33">
        <f>IFERROR(INDEX(acm[],MATCH($C57,acm[[Country code]:[Country code]],0),MATCH(AO$1,acm[#Headers],0)),0)</f>
        <v>1.103758984314274E-2</v>
      </c>
      <c r="AP57" s="33">
        <f>IFERROR(INDEX(acm[],MATCH($C57,acm[[Country code]:[Country code]],0),MATCH(AP$1,acm[#Headers],0)),0)</f>
        <v>1.7008872501062953E-2</v>
      </c>
      <c r="AQ57" s="33">
        <f>IFERROR(INDEX(acm[],MATCH($C57,acm[[Country code]:[Country code]],0),MATCH(AQ$1,acm[#Headers],0)),0)</f>
        <v>2.5792433130569472E-2</v>
      </c>
      <c r="AR57" s="33">
        <f>IFERROR(INDEX(acm[],MATCH($C57,acm[[Country code]:[Country code]],0),MATCH(AR$1,acm[#Headers],0)),0)</f>
        <v>3.948314467635939E-2</v>
      </c>
      <c r="AS57" s="33">
        <f>IFERROR(INDEX(acm[],MATCH($C57,acm[[Country code]:[Country code]],0),MATCH(AS$1,acm[#Headers],0)),0)</f>
        <v>6.1004167044676857E-2</v>
      </c>
      <c r="AT57" s="33">
        <f>IFERROR(INDEX(acm[],MATCH($C57,acm[[Country code]:[Country code]],0),MATCH(AT$1,acm[#Headers],0)),0)</f>
        <v>8.9419563865003923E-2</v>
      </c>
      <c r="AU57" s="33">
        <f>IFERROR(INDEX(acm[],MATCH($C57,acm[[Country code]:[Country code]],0),MATCH(AU$1,acm[#Headers],0)),0)</f>
        <v>0.12285940751319926</v>
      </c>
      <c r="AV57" s="33">
        <f>IFERROR(INDEX(acm[],MATCH($C57,acm[[Country code]:[Country code]],0),MATCH(AV$1,acm[#Headers],0)),0)</f>
        <v>0.1523510213088739</v>
      </c>
      <c r="AW57" s="33">
        <f>IFERROR(INDEX(acm[],MATCH($C57,acm[[Country code]:[Country code]],0),MATCH(AW$1,acm[#Headers],0)),0)</f>
        <v>0.17417010285041848</v>
      </c>
      <c r="AX57" s="33">
        <f>IFERROR(VLOOKUP(lmic_raw[[#This Row],[num]],life_exp[[Country code]:[2015-2020]],2,FALSE),0)</f>
        <v>71.409000000000006</v>
      </c>
    </row>
    <row r="58" spans="1:50" x14ac:dyDescent="0.25">
      <c r="A58" s="82" t="s">
        <v>195</v>
      </c>
      <c r="B58" s="101" t="s">
        <v>440</v>
      </c>
      <c r="C58" s="102">
        <v>364</v>
      </c>
      <c r="D58" s="82" t="s">
        <v>673</v>
      </c>
      <c r="E58" s="82" t="s">
        <v>579</v>
      </c>
      <c r="F58" s="82" t="s">
        <v>579</v>
      </c>
      <c r="G58" s="82" t="s">
        <v>676</v>
      </c>
      <c r="H58" s="33">
        <f>VLOOKUP(lmic_raw[[#This Row],[num]],pop[[Country code]:[pop_20]],2,FALSE)*1000</f>
        <v>82913893</v>
      </c>
      <c r="I58" s="117">
        <f>IFERROR(VLOOKUP(lmic_raw[[#This Row],[num]],pop[[Country code]:[pop_20]],2,FALSE)*VLOOKUP(lmic_raw[[#This Row],[num]],b_rate[[Country code]:[2015-2020]],2,FALSE),0)</f>
        <v>1583406.6146210001</v>
      </c>
      <c r="J58">
        <f>IFERROR(MIN(VLOOKUP(lmic_raw[[#This Row],[iso3]],fac_b[],4,FALSE)/100,0.9999),0)</f>
        <v>0.95299999999999996</v>
      </c>
      <c r="K58" s="33">
        <f>VLOOKUP(lmic_raw[[#This Row],[iso3]],vax[[iso3]:[hbv3]],2,FALSE)/100</f>
        <v>0.95</v>
      </c>
      <c r="L58" s="33">
        <f>VLOOKUP(lmic_raw[[#This Row],[iso3]],vax[[iso3]:[hbv3]],3,FALSE)/100</f>
        <v>0.99</v>
      </c>
      <c r="M58">
        <f>IFERROR(VLOOKUP(lmic_raw[[#This Row],[iso3]], hbv_prev[[iso3]:[ub]],2,FALSE)/100,0)</f>
        <v>1.5E-3</v>
      </c>
      <c r="N58">
        <f>IFERROR(VLOOKUP(lmic_raw[[#This Row],[setting]],hbe_prev[],3,FALSE),0)</f>
        <v>0.25455968916822264</v>
      </c>
      <c r="O58">
        <f>VLOOKUP(lmic_raw[[#This Row],[gbd_super]],hbe_risk[],2,FALSE)</f>
        <v>0.8</v>
      </c>
      <c r="P58" s="33">
        <f>VLOOKUP(lmic_raw[[#This Row],[gbd_super]],hbe_risk[],5,FALSE)</f>
        <v>0.17499999999999999</v>
      </c>
      <c r="Q58">
        <f>IFERROR(VLOOKUP(lmic_raw[[#This Row],[setting]],disease_costs!$A$4:$B$197,2,FALSE),0)</f>
        <v>10.515575433981278</v>
      </c>
      <c r="R58">
        <f>IFERROR(VLOOKUP(lmic_raw[[#This Row],[gbd_super]],disease_costs!$G$4:$K$9,2,FALSE),0)</f>
        <v>46.335900000000002</v>
      </c>
      <c r="S58" s="33">
        <f>IFERROR(VLOOKUP(lmic_raw[[#This Row],[gbd_super]],disease_costs!$G$4:$K$9,3,FALSE),0)</f>
        <v>94.077900000000014</v>
      </c>
      <c r="T58" s="33">
        <f>IFERROR(VLOOKUP(lmic_raw[[#This Row],[gbd_super]],disease_costs!$G$4:$K$9,4,FALSE),0)</f>
        <v>94.077900000000014</v>
      </c>
      <c r="U58" s="33">
        <f>IFERROR(VLOOKUP(lmic_raw[[#This Row],[gbd_super]],disease_costs!$G$4:$K$9,5,FALSE),0)</f>
        <v>94.077900000000014</v>
      </c>
      <c r="V58">
        <f>IFERROR(VLOOKUP(lmic_raw[[#This Row],[setting]],vcost[],3,FALSE),0)</f>
        <v>3.6777708232529673</v>
      </c>
      <c r="W58">
        <f>IFERROR(VLOOKUP(lmic_raw[[#This Row],[setting]],vcost[],4,FALSE),0)</f>
        <v>4.1577708232529673</v>
      </c>
      <c r="X58">
        <f>IFERROR(VLOOKUP(lmic_raw[[#This Row],[setting]],vcost[],5,FALSE),0)</f>
        <v>3.2407638872774243</v>
      </c>
      <c r="Y58">
        <f>IFERROR(VLOOKUP(lmic_raw[[#This Row],[setting]],vcost[],6,FALSE),0)</f>
        <v>3.7207638872774242</v>
      </c>
      <c r="Z58">
        <f>IFERROR(VLOOKUP(lmic_raw[[#This Row],[setting]],vcost[],7,FALSE),0)</f>
        <v>3.7123621299776706</v>
      </c>
      <c r="AA58">
        <f>IFERROR(VLOOKUP(lmic_raw[[#This Row],[setting]],vcost[],8,FALSE),0)</f>
        <v>3.9235226201767337</v>
      </c>
      <c r="AB58">
        <f>IFERROR(VLOOKUP(lmic_raw[[#This Row],[setting]],vcost[],9,FALSE),0)</f>
        <v>4.4035226201767337</v>
      </c>
      <c r="AC58" s="33">
        <f>IFERROR(INDEX(acm[],MATCH($C58,acm[[Country code]:[Country code]],0),MATCH(AC$1,acm[#Headers],0)),0)</f>
        <v>1.2817449999999954E-2</v>
      </c>
      <c r="AD58" s="33">
        <f>IFERROR(INDEX(acm[],MATCH($C58,acm[[Country code]:[Country code]],0),MATCH(AD$1,acm[#Headers],0)),0)</f>
        <v>5.3182159672496157E-4</v>
      </c>
      <c r="AE58" s="33">
        <f>IFERROR(INDEX(acm[],MATCH($C58,acm[[Country code]:[Country code]],0),MATCH(AE$1,acm[#Headers],0)),0)</f>
        <v>1.7592028558257154E-4</v>
      </c>
      <c r="AF58" s="33">
        <f>IFERROR(INDEX(acm[],MATCH($C58,acm[[Country code]:[Country code]],0),MATCH(AF$1,acm[#Headers],0)),0)</f>
        <v>1.9594478265212644E-4</v>
      </c>
      <c r="AG58" s="33">
        <f>IFERROR(INDEX(acm[],MATCH($C58,acm[[Country code]:[Country code]],0),MATCH(AG$1,acm[#Headers],0)),0)</f>
        <v>4.2671877566580852E-4</v>
      </c>
      <c r="AH58" s="33">
        <f>IFERROR(INDEX(acm[],MATCH($C58,acm[[Country code]:[Country code]],0),MATCH(AH$1,acm[#Headers],0)),0)</f>
        <v>7.5940989198300228E-4</v>
      </c>
      <c r="AI58" s="33">
        <f>IFERROR(INDEX(acm[],MATCH($C58,acm[[Country code]:[Country code]],0),MATCH(AI$1,acm[#Headers],0)),0)</f>
        <v>5.9178552242656799E-4</v>
      </c>
      <c r="AJ58" s="33">
        <f>IFERROR(INDEX(acm[],MATCH($C58,acm[[Country code]:[Country code]],0),MATCH(AJ$1,acm[#Headers],0)),0)</f>
        <v>6.4505960424462386E-4</v>
      </c>
      <c r="AK58" s="33">
        <f>IFERROR(INDEX(acm[],MATCH($C58,acm[[Country code]:[Country code]],0),MATCH(AK$1,acm[#Headers],0)),0)</f>
        <v>7.0583163378969431E-4</v>
      </c>
      <c r="AL58" s="33">
        <f>IFERROR(INDEX(acm[],MATCH($C58,acm[[Country code]:[Country code]],0),MATCH(AL$1,acm[#Headers],0)),0)</f>
        <v>1.0396719641485451E-3</v>
      </c>
      <c r="AM58" s="33">
        <f>IFERROR(INDEX(acm[],MATCH($C58,acm[[Country code]:[Country code]],0),MATCH(AM$1,acm[#Headers],0)),0)</f>
        <v>1.7397054894052362E-3</v>
      </c>
      <c r="AN58" s="33">
        <f>IFERROR(INDEX(acm[],MATCH($C58,acm[[Country code]:[Country code]],0),MATCH(AN$1,acm[#Headers],0)),0)</f>
        <v>3.2391255839095967E-3</v>
      </c>
      <c r="AO58" s="33">
        <f>IFERROR(INDEX(acm[],MATCH($C58,acm[[Country code]:[Country code]],0),MATCH(AO$1,acm[#Headers],0)),0)</f>
        <v>4.7982650573979374E-3</v>
      </c>
      <c r="AP58" s="33">
        <f>IFERROR(INDEX(acm[],MATCH($C58,acm[[Country code]:[Country code]],0),MATCH(AP$1,acm[#Headers],0)),0)</f>
        <v>8.8699861339129743E-3</v>
      </c>
      <c r="AQ58" s="33">
        <f>IFERROR(INDEX(acm[],MATCH($C58,acm[[Country code]:[Country code]],0),MATCH(AQ$1,acm[#Headers],0)),0)</f>
        <v>1.6162894890085929E-2</v>
      </c>
      <c r="AR58" s="33">
        <f>IFERROR(INDEX(acm[],MATCH($C58,acm[[Country code]:[Country code]],0),MATCH(AR$1,acm[#Headers],0)),0)</f>
        <v>3.2220010103701673E-2</v>
      </c>
      <c r="AS58" s="33">
        <f>IFERROR(INDEX(acm[],MATCH($C58,acm[[Country code]:[Country code]],0),MATCH(AS$1,acm[#Headers],0)),0)</f>
        <v>6.4028553202138627E-2</v>
      </c>
      <c r="AT58" s="33">
        <f>IFERROR(INDEX(acm[],MATCH($C58,acm[[Country code]:[Country code]],0),MATCH(AT$1,acm[#Headers],0)),0)</f>
        <v>9.215112094519777E-2</v>
      </c>
      <c r="AU58" s="33">
        <f>IFERROR(INDEX(acm[],MATCH($C58,acm[[Country code]:[Country code]],0),MATCH(AU$1,acm[#Headers],0)),0)</f>
        <v>0.12562970555941547</v>
      </c>
      <c r="AV58" s="33">
        <f>IFERROR(INDEX(acm[],MATCH($C58,acm[[Country code]:[Country code]],0),MATCH(AV$1,acm[#Headers],0)),0)</f>
        <v>0.1577032486213901</v>
      </c>
      <c r="AW58" s="33">
        <f>IFERROR(INDEX(acm[],MATCH($C58,acm[[Country code]:[Country code]],0),MATCH(AW$1,acm[#Headers],0)),0)</f>
        <v>0.17881396894351279</v>
      </c>
      <c r="AX58" s="33">
        <f>IFERROR(VLOOKUP(lmic_raw[[#This Row],[num]],life_exp[[Country code]:[2015-2020]],2,FALSE),0)</f>
        <v>76.346000000000004</v>
      </c>
    </row>
    <row r="59" spans="1:50" x14ac:dyDescent="0.25">
      <c r="A59" s="110" t="s">
        <v>170</v>
      </c>
      <c r="B59" s="104" t="s">
        <v>441</v>
      </c>
      <c r="C59" s="105">
        <v>368</v>
      </c>
      <c r="D59" s="84" t="s">
        <v>673</v>
      </c>
      <c r="E59" s="84" t="s">
        <v>579</v>
      </c>
      <c r="F59" s="84" t="s">
        <v>579</v>
      </c>
      <c r="G59" s="84" t="s">
        <v>676</v>
      </c>
      <c r="H59" s="33">
        <f>VLOOKUP(lmic_raw[[#This Row],[num]],pop[[Country code]:[pop_20]],2,FALSE)*1000</f>
        <v>39309789</v>
      </c>
      <c r="I59" s="117">
        <f>IFERROR(VLOOKUP(lmic_raw[[#This Row],[num]],pop[[Country code]:[pop_20]],2,FALSE)*VLOOKUP(lmic_raw[[#This Row],[num]],b_rate[[Country code]:[2015-2020]],2,FALSE),0)</f>
        <v>1145133.4633589999</v>
      </c>
      <c r="J59">
        <f>IFERROR(MIN(VLOOKUP(lmic_raw[[#This Row],[iso3]],fac_b[],4,FALSE)/100,0.9999),0)</f>
        <v>0.86599999999999999</v>
      </c>
      <c r="K59" s="33">
        <f>VLOOKUP(lmic_raw[[#This Row],[iso3]],vax[[iso3]:[hbv3]],2,FALSE)/100</f>
        <v>0.41</v>
      </c>
      <c r="L59" s="33">
        <f>VLOOKUP(lmic_raw[[#This Row],[iso3]],vax[[iso3]:[hbv3]],3,FALSE)/100</f>
        <v>0.84</v>
      </c>
      <c r="M59">
        <f>IFERROR(VLOOKUP(lmic_raw[[#This Row],[iso3]], hbv_prev[[iso3]:[ub]],2,FALSE)/100,0)</f>
        <v>1.4000000000000002E-3</v>
      </c>
      <c r="N59">
        <f>IFERROR(VLOOKUP(lmic_raw[[#This Row],[setting]],hbe_prev[],3,FALSE),0)</f>
        <v>0.26929919897622001</v>
      </c>
      <c r="O59">
        <f>VLOOKUP(lmic_raw[[#This Row],[gbd_super]],hbe_risk[],2,FALSE)</f>
        <v>0.8</v>
      </c>
      <c r="P59" s="33">
        <f>VLOOKUP(lmic_raw[[#This Row],[gbd_super]],hbe_risk[],5,FALSE)</f>
        <v>0.17499999999999999</v>
      </c>
      <c r="Q59">
        <f>IFERROR(VLOOKUP(lmic_raw[[#This Row],[setting]],disease_costs!$A$4:$B$197,2,FALSE),0)</f>
        <v>4.4148836529133089</v>
      </c>
      <c r="R59">
        <f>IFERROR(VLOOKUP(lmic_raw[[#This Row],[gbd_super]],disease_costs!$G$4:$K$9,2,FALSE),0)</f>
        <v>46.335900000000002</v>
      </c>
      <c r="S59" s="33">
        <f>IFERROR(VLOOKUP(lmic_raw[[#This Row],[gbd_super]],disease_costs!$G$4:$K$9,3,FALSE),0)</f>
        <v>94.077900000000014</v>
      </c>
      <c r="T59" s="33">
        <f>IFERROR(VLOOKUP(lmic_raw[[#This Row],[gbd_super]],disease_costs!$G$4:$K$9,4,FALSE),0)</f>
        <v>94.077900000000014</v>
      </c>
      <c r="U59" s="33">
        <f>IFERROR(VLOOKUP(lmic_raw[[#This Row],[gbd_super]],disease_costs!$G$4:$K$9,5,FALSE),0)</f>
        <v>94.077900000000014</v>
      </c>
      <c r="V59">
        <f>IFERROR(VLOOKUP(lmic_raw[[#This Row],[setting]],vcost[],3,FALSE),0)</f>
        <v>2.9554915896649456</v>
      </c>
      <c r="W59">
        <f>IFERROR(VLOOKUP(lmic_raw[[#This Row],[setting]],vcost[],4,FALSE),0)</f>
        <v>3.4354915896649456</v>
      </c>
      <c r="X59">
        <f>IFERROR(VLOOKUP(lmic_raw[[#This Row],[setting]],vcost[],5,FALSE),0)</f>
        <v>2.5191637530015623</v>
      </c>
      <c r="Y59">
        <f>IFERROR(VLOOKUP(lmic_raw[[#This Row],[setting]],vcost[],6,FALSE),0)</f>
        <v>2.9991637530015622</v>
      </c>
      <c r="Z59">
        <f>IFERROR(VLOOKUP(lmic_raw[[#This Row],[setting]],vcost[],7,FALSE),0)</f>
        <v>2.9919797032442035</v>
      </c>
      <c r="AA59">
        <f>IFERROR(VLOOKUP(lmic_raw[[#This Row],[setting]],vcost[],8,FALSE),0)</f>
        <v>3.200998594976189</v>
      </c>
      <c r="AB59">
        <f>IFERROR(VLOOKUP(lmic_raw[[#This Row],[setting]],vcost[],9,FALSE),0)</f>
        <v>3.680998594976189</v>
      </c>
      <c r="AC59" s="33">
        <f>IFERROR(INDEX(acm[],MATCH($C59,acm[[Country code]:[Country code]],0),MATCH(AC$1,acm[#Headers],0)),0)</f>
        <v>2.4110800000000019E-2</v>
      </c>
      <c r="AD59" s="33">
        <f>IFERROR(INDEX(acm[],MATCH($C59,acm[[Country code]:[Country code]],0),MATCH(AD$1,acm[#Headers],0)),0)</f>
        <v>1.0799817233349974E-3</v>
      </c>
      <c r="AE59" s="33">
        <f>IFERROR(INDEX(acm[],MATCH($C59,acm[[Country code]:[Country code]],0),MATCH(AE$1,acm[#Headers],0)),0)</f>
        <v>6.7821551938492984E-4</v>
      </c>
      <c r="AF59" s="33">
        <f>IFERROR(INDEX(acm[],MATCH($C59,acm[[Country code]:[Country code]],0),MATCH(AF$1,acm[#Headers],0)),0)</f>
        <v>5.6557849116027745E-4</v>
      </c>
      <c r="AG59" s="33">
        <f>IFERROR(INDEX(acm[],MATCH($C59,acm[[Country code]:[Country code]],0),MATCH(AG$1,acm[#Headers],0)),0)</f>
        <v>1.0004142952082203E-3</v>
      </c>
      <c r="AH59" s="33">
        <f>IFERROR(INDEX(acm[],MATCH($C59,acm[[Country code]:[Country code]],0),MATCH(AH$1,acm[#Headers],0)),0)</f>
        <v>1.4151251214418346E-3</v>
      </c>
      <c r="AI59" s="33">
        <f>IFERROR(INDEX(acm[],MATCH($C59,acm[[Country code]:[Country code]],0),MATCH(AI$1,acm[#Headers],0)),0)</f>
        <v>1.5242081853088043E-3</v>
      </c>
      <c r="AJ59" s="33">
        <f>IFERROR(INDEX(acm[],MATCH($C59,acm[[Country code]:[Country code]],0),MATCH(AJ$1,acm[#Headers],0)),0)</f>
        <v>1.7479123246873808E-3</v>
      </c>
      <c r="AK59" s="33">
        <f>IFERROR(INDEX(acm[],MATCH($C59,acm[[Country code]:[Country code]],0),MATCH(AK$1,acm[#Headers],0)),0)</f>
        <v>2.2037392374316925E-3</v>
      </c>
      <c r="AL59" s="33">
        <f>IFERROR(INDEX(acm[],MATCH($C59,acm[[Country code]:[Country code]],0),MATCH(AL$1,acm[#Headers],0)),0)</f>
        <v>3.0908236420942241E-3</v>
      </c>
      <c r="AM59" s="33">
        <f>IFERROR(INDEX(acm[],MATCH($C59,acm[[Country code]:[Country code]],0),MATCH(AM$1,acm[#Headers],0)),0)</f>
        <v>4.6923737995915194E-3</v>
      </c>
      <c r="AN59" s="33">
        <f>IFERROR(INDEX(acm[],MATCH($C59,acm[[Country code]:[Country code]],0),MATCH(AN$1,acm[#Headers],0)),0)</f>
        <v>7.1647330039273649E-3</v>
      </c>
      <c r="AO59" s="33">
        <f>IFERROR(INDEX(acm[],MATCH($C59,acm[[Country code]:[Country code]],0),MATCH(AO$1,acm[#Headers],0)),0)</f>
        <v>1.1076525869839116E-2</v>
      </c>
      <c r="AP59" s="33">
        <f>IFERROR(INDEX(acm[],MATCH($C59,acm[[Country code]:[Country code]],0),MATCH(AP$1,acm[#Headers],0)),0)</f>
        <v>1.7215447490337803E-2</v>
      </c>
      <c r="AQ59" s="33">
        <f>IFERROR(INDEX(acm[],MATCH($C59,acm[[Country code]:[Country code]],0),MATCH(AQ$1,acm[#Headers],0)),0)</f>
        <v>2.7241255375288469E-2</v>
      </c>
      <c r="AR59" s="33">
        <f>IFERROR(INDEX(acm[],MATCH($C59,acm[[Country code]:[Country code]],0),MATCH(AR$1,acm[#Headers],0)),0)</f>
        <v>4.3058974571024498E-2</v>
      </c>
      <c r="AS59" s="33">
        <f>IFERROR(INDEX(acm[],MATCH($C59,acm[[Country code]:[Country code]],0),MATCH(AS$1,acm[#Headers],0)),0)</f>
        <v>6.5942761472422159E-2</v>
      </c>
      <c r="AT59" s="33">
        <f>IFERROR(INDEX(acm[],MATCH($C59,acm[[Country code]:[Country code]],0),MATCH(AT$1,acm[#Headers],0)),0)</f>
        <v>9.7172606369998721E-2</v>
      </c>
      <c r="AU59" s="33">
        <f>IFERROR(INDEX(acm[],MATCH($C59,acm[[Country code]:[Country code]],0),MATCH(AU$1,acm[#Headers],0)),0)</f>
        <v>0.13079294681675191</v>
      </c>
      <c r="AV59" s="33">
        <f>IFERROR(INDEX(acm[],MATCH($C59,acm[[Country code]:[Country code]],0),MATCH(AV$1,acm[#Headers],0)),0)</f>
        <v>0.15974497508907906</v>
      </c>
      <c r="AW59" s="33">
        <f>IFERROR(INDEX(acm[],MATCH($C59,acm[[Country code]:[Country code]],0),MATCH(AW$1,acm[#Headers],0)),0)</f>
        <v>0.17784872588826692</v>
      </c>
      <c r="AX59" s="33">
        <f>IFERROR(VLOOKUP(lmic_raw[[#This Row],[num]],life_exp[[Country code]:[2015-2020]],2,FALSE),0)</f>
        <v>70.367999999999995</v>
      </c>
    </row>
    <row r="60" spans="1:50" x14ac:dyDescent="0.25">
      <c r="A60" s="109" t="s">
        <v>239</v>
      </c>
      <c r="B60" s="101" t="s">
        <v>444</v>
      </c>
      <c r="C60" s="102">
        <v>388</v>
      </c>
      <c r="D60" s="82" t="s">
        <v>679</v>
      </c>
      <c r="E60" s="82" t="s">
        <v>223</v>
      </c>
      <c r="F60" s="82" t="s">
        <v>665</v>
      </c>
      <c r="G60" s="82" t="s">
        <v>676</v>
      </c>
      <c r="H60" s="33">
        <f>VLOOKUP(lmic_raw[[#This Row],[num]],pop[[Country code]:[pop_20]],2,FALSE)*1000</f>
        <v>2948277</v>
      </c>
      <c r="I60" s="117">
        <f>IFERROR(VLOOKUP(lmic_raw[[#This Row],[num]],pop[[Country code]:[pop_20]],2,FALSE)*VLOOKUP(lmic_raw[[#This Row],[num]],b_rate[[Country code]:[2015-2020]],2,FALSE),0)</f>
        <v>47847.587433000001</v>
      </c>
      <c r="J60">
        <f>IFERROR(MIN(VLOOKUP(lmic_raw[[#This Row],[iso3]],fac_b[],4,FALSE)/100,0.9999),0)</f>
        <v>0.98599999999999999</v>
      </c>
      <c r="K60" s="33">
        <f>VLOOKUP(lmic_raw[[#This Row],[iso3]],vax[[iso3]:[hbv3]],2,FALSE)/100</f>
        <v>0</v>
      </c>
      <c r="L60" s="33">
        <f>VLOOKUP(lmic_raw[[#This Row],[iso3]],vax[[iso3]:[hbv3]],3,FALSE)/100</f>
        <v>0.96</v>
      </c>
      <c r="M60">
        <f>IFERROR(VLOOKUP(lmic_raw[[#This Row],[iso3]], hbv_prev[[iso3]:[ub]],2,FALSE)/100,0)</f>
        <v>4.8999999999999998E-3</v>
      </c>
      <c r="N60">
        <f>IFERROR(VLOOKUP(lmic_raw[[#This Row],[setting]],hbe_prev[],3,FALSE),0)</f>
        <v>0.307859973382413</v>
      </c>
      <c r="O60">
        <f>VLOOKUP(lmic_raw[[#This Row],[gbd_super]],hbe_risk[],2,FALSE)</f>
        <v>0.8</v>
      </c>
      <c r="P60" s="33">
        <f>VLOOKUP(lmic_raw[[#This Row],[gbd_super]],hbe_risk[],5,FALSE)</f>
        <v>0.17499999999999999</v>
      </c>
      <c r="Q60">
        <f>IFERROR(VLOOKUP(lmic_raw[[#This Row],[setting]],disease_costs!$A$4:$B$197,2,FALSE),0)</f>
        <v>9.4592299699442179</v>
      </c>
      <c r="R60">
        <f>IFERROR(VLOOKUP(lmic_raw[[#This Row],[gbd_super]],disease_costs!$G$4:$K$9,2,FALSE),0)</f>
        <v>86.883899999999997</v>
      </c>
      <c r="S60" s="33">
        <f>IFERROR(VLOOKUP(lmic_raw[[#This Row],[gbd_super]],disease_costs!$G$4:$K$9,3,FALSE),0)</f>
        <v>134.6259</v>
      </c>
      <c r="T60" s="33">
        <f>IFERROR(VLOOKUP(lmic_raw[[#This Row],[gbd_super]],disease_costs!$G$4:$K$9,4,FALSE),0)</f>
        <v>134.6259</v>
      </c>
      <c r="U60" s="33">
        <f>IFERROR(VLOOKUP(lmic_raw[[#This Row],[gbd_super]],disease_costs!$G$4:$K$9,5,FALSE),0)</f>
        <v>134.6259</v>
      </c>
      <c r="V60">
        <f>IFERROR(VLOOKUP(lmic_raw[[#This Row],[setting]],vcost[],3,FALSE),0)</f>
        <v>6.7050394138935978</v>
      </c>
      <c r="W60">
        <f>IFERROR(VLOOKUP(lmic_raw[[#This Row],[setting]],vcost[],4,FALSE),0)</f>
        <v>6.7250394138935974</v>
      </c>
      <c r="X60">
        <f>IFERROR(VLOOKUP(lmic_raw[[#This Row],[setting]],vcost[],5,FALSE),0)</f>
        <v>6.2685269298001893</v>
      </c>
      <c r="Y60">
        <f>IFERROR(VLOOKUP(lmic_raw[[#This Row],[setting]],vcost[],6,FALSE),0)</f>
        <v>6.2885269298001889</v>
      </c>
      <c r="Z60">
        <f>IFERROR(VLOOKUP(lmic_raw[[#This Row],[setting]],vcost[],7,FALSE),0)</f>
        <v>6.2806112293398479</v>
      </c>
      <c r="AA60">
        <f>IFERROR(VLOOKUP(lmic_raw[[#This Row],[setting]],vcost[],8,FALSE),0)</f>
        <v>6.9506129781621748</v>
      </c>
      <c r="AB60">
        <f>IFERROR(VLOOKUP(lmic_raw[[#This Row],[setting]],vcost[],9,FALSE),0)</f>
        <v>6.9706129781621744</v>
      </c>
      <c r="AC60" s="33">
        <f>IFERROR(INDEX(acm[],MATCH($C60,acm[[Country code]:[Country code]],0),MATCH(AC$1,acm[#Headers],0)),0)</f>
        <v>1.1772590000000055E-2</v>
      </c>
      <c r="AD60" s="33">
        <f>IFERROR(INDEX(acm[],MATCH($C60,acm[[Country code]:[Country code]],0),MATCH(AD$1,acm[#Headers],0)),0)</f>
        <v>8.0799974977416777E-4</v>
      </c>
      <c r="AE60" s="33">
        <f>IFERROR(INDEX(acm[],MATCH($C60,acm[[Country code]:[Country code]],0),MATCH(AE$1,acm[#Headers],0)),0)</f>
        <v>3.4310915692144765E-4</v>
      </c>
      <c r="AF60" s="33">
        <f>IFERROR(INDEX(acm[],MATCH($C60,acm[[Country code]:[Country code]],0),MATCH(AF$1,acm[#Headers],0)),0)</f>
        <v>3.2715319779528731E-4</v>
      </c>
      <c r="AG60" s="33">
        <f>IFERROR(INDEX(acm[],MATCH($C60,acm[[Country code]:[Country code]],0),MATCH(AG$1,acm[#Headers],0)),0)</f>
        <v>7.8892363496803233E-4</v>
      </c>
      <c r="AH60" s="33">
        <f>IFERROR(INDEX(acm[],MATCH($C60,acm[[Country code]:[Country code]],0),MATCH(AH$1,acm[#Headers],0)),0)</f>
        <v>1.0780534073041913E-3</v>
      </c>
      <c r="AI60" s="33">
        <f>IFERROR(INDEX(acm[],MATCH($C60,acm[[Country code]:[Country code]],0),MATCH(AI$1,acm[#Headers],0)),0)</f>
        <v>1.1480297032394698E-3</v>
      </c>
      <c r="AJ60" s="33">
        <f>IFERROR(INDEX(acm[],MATCH($C60,acm[[Country code]:[Country code]],0),MATCH(AJ$1,acm[#Headers],0)),0)</f>
        <v>1.3736876876624586E-3</v>
      </c>
      <c r="AK60" s="33">
        <f>IFERROR(INDEX(acm[],MATCH($C60,acm[[Country code]:[Country code]],0),MATCH(AK$1,acm[#Headers],0)),0)</f>
        <v>1.8588291620629529E-3</v>
      </c>
      <c r="AL60" s="33">
        <f>IFERROR(INDEX(acm[],MATCH($C60,acm[[Country code]:[Country code]],0),MATCH(AL$1,acm[#Headers],0)),0)</f>
        <v>2.71750082356649E-3</v>
      </c>
      <c r="AM60" s="33">
        <f>IFERROR(INDEX(acm[],MATCH($C60,acm[[Country code]:[Country code]],0),MATCH(AM$1,acm[#Headers],0)),0)</f>
        <v>4.2168369679111565E-3</v>
      </c>
      <c r="AN60" s="33">
        <f>IFERROR(INDEX(acm[],MATCH($C60,acm[[Country code]:[Country code]],0),MATCH(AN$1,acm[#Headers],0)),0)</f>
        <v>6.5686598199869517E-3</v>
      </c>
      <c r="AO60" s="33">
        <f>IFERROR(INDEX(acm[],MATCH($C60,acm[[Country code]:[Country code]],0),MATCH(AO$1,acm[#Headers],0)),0)</f>
        <v>1.0107070536801569E-2</v>
      </c>
      <c r="AP60" s="33">
        <f>IFERROR(INDEX(acm[],MATCH($C60,acm[[Country code]:[Country code]],0),MATCH(AP$1,acm[#Headers],0)),0)</f>
        <v>1.4161193888885175E-2</v>
      </c>
      <c r="AQ60" s="33">
        <f>IFERROR(INDEX(acm[],MATCH($C60,acm[[Country code]:[Country code]],0),MATCH(AQ$1,acm[#Headers],0)),0)</f>
        <v>2.0022560666233091E-2</v>
      </c>
      <c r="AR60" s="33">
        <f>IFERROR(INDEX(acm[],MATCH($C60,acm[[Country code]:[Country code]],0),MATCH(AR$1,acm[#Headers],0)),0)</f>
        <v>3.0245210004194729E-2</v>
      </c>
      <c r="AS60" s="33">
        <f>IFERROR(INDEX(acm[],MATCH($C60,acm[[Country code]:[Country code]],0),MATCH(AS$1,acm[#Headers],0)),0)</f>
        <v>4.8588944964654886E-2</v>
      </c>
      <c r="AT60" s="33">
        <f>IFERROR(INDEX(acm[],MATCH($C60,acm[[Country code]:[Country code]],0),MATCH(AT$1,acm[#Headers],0)),0)</f>
        <v>7.4875270638348451E-2</v>
      </c>
      <c r="AU60" s="33">
        <f>IFERROR(INDEX(acm[],MATCH($C60,acm[[Country code]:[Country code]],0),MATCH(AU$1,acm[#Headers],0)),0)</f>
        <v>0.10766867269478904</v>
      </c>
      <c r="AV60" s="33">
        <f>IFERROR(INDEX(acm[],MATCH($C60,acm[[Country code]:[Country code]],0),MATCH(AV$1,acm[#Headers],0)),0)</f>
        <v>0.13925038964471201</v>
      </c>
      <c r="AW60" s="33">
        <f>IFERROR(INDEX(acm[],MATCH($C60,acm[[Country code]:[Country code]],0),MATCH(AW$1,acm[#Headers],0)),0)</f>
        <v>0.16398700606550246</v>
      </c>
      <c r="AX60" s="33">
        <f>IFERROR(VLOOKUP(lmic_raw[[#This Row],[num]],life_exp[[Country code]:[2015-2020]],2,FALSE),0)</f>
        <v>74.331999999999994</v>
      </c>
    </row>
    <row r="61" spans="1:50" x14ac:dyDescent="0.25">
      <c r="A61" s="110" t="s">
        <v>172</v>
      </c>
      <c r="B61" s="104" t="s">
        <v>446</v>
      </c>
      <c r="C61" s="105">
        <v>400</v>
      </c>
      <c r="D61" s="84" t="s">
        <v>673</v>
      </c>
      <c r="E61" s="84" t="s">
        <v>579</v>
      </c>
      <c r="F61" s="84" t="s">
        <v>579</v>
      </c>
      <c r="G61" s="84" t="s">
        <v>676</v>
      </c>
      <c r="H61" s="33">
        <f>VLOOKUP(lmic_raw[[#This Row],[num]],pop[[Country code]:[pop_20]],2,FALSE)*1000</f>
        <v>10101697</v>
      </c>
      <c r="I61" s="117">
        <f>IFERROR(VLOOKUP(lmic_raw[[#This Row],[num]],pop[[Country code]:[pop_20]],2,FALSE)*VLOOKUP(lmic_raw[[#This Row],[num]],b_rate[[Country code]:[2015-2020]],2,FALSE),0)</f>
        <v>222732.31715300001</v>
      </c>
      <c r="J61">
        <f>IFERROR(MIN(VLOOKUP(lmic_raw[[#This Row],[iso3]],fac_b[],4,FALSE)/100,0.9999),0)</f>
        <v>0.98099999999999998</v>
      </c>
      <c r="K61" s="33">
        <f>VLOOKUP(lmic_raw[[#This Row],[iso3]],vax[[iso3]:[hbv3]],2,FALSE)/100</f>
        <v>0</v>
      </c>
      <c r="L61" s="33">
        <f>VLOOKUP(lmic_raw[[#This Row],[iso3]],vax[[iso3]:[hbv3]],3,FALSE)/100</f>
        <v>0.89</v>
      </c>
      <c r="M61">
        <f>IFERROR(VLOOKUP(lmic_raw[[#This Row],[iso3]], hbv_prev[[iso3]:[ub]],2,FALSE)/100,0)</f>
        <v>2.5899999999999999E-2</v>
      </c>
      <c r="N61">
        <f>IFERROR(VLOOKUP(lmic_raw[[#This Row],[setting]],hbe_prev[],3,FALSE),0)</f>
        <v>0.25738483729519801</v>
      </c>
      <c r="O61">
        <f>VLOOKUP(lmic_raw[[#This Row],[gbd_super]],hbe_risk[],2,FALSE)</f>
        <v>0.8</v>
      </c>
      <c r="P61" s="33">
        <f>VLOOKUP(lmic_raw[[#This Row],[gbd_super]],hbe_risk[],5,FALSE)</f>
        <v>0.17499999999999999</v>
      </c>
      <c r="Q61" s="118">
        <f>IFERROR(VLOOKUP(lmic_raw[[#This Row],[setting]],disease_costs!$A$4:$B$197,2,FALSE),0)</f>
        <v>0</v>
      </c>
      <c r="R61">
        <f>IFERROR(VLOOKUP(lmic_raw[[#This Row],[gbd_super]],disease_costs!$G$4:$K$9,2,FALSE),0)</f>
        <v>46.335900000000002</v>
      </c>
      <c r="S61" s="33">
        <f>IFERROR(VLOOKUP(lmic_raw[[#This Row],[gbd_super]],disease_costs!$G$4:$K$9,3,FALSE),0)</f>
        <v>94.077900000000014</v>
      </c>
      <c r="T61" s="33">
        <f>IFERROR(VLOOKUP(lmic_raw[[#This Row],[gbd_super]],disease_costs!$G$4:$K$9,4,FALSE),0)</f>
        <v>94.077900000000014</v>
      </c>
      <c r="U61" s="33">
        <f>IFERROR(VLOOKUP(lmic_raw[[#This Row],[gbd_super]],disease_costs!$G$4:$K$9,5,FALSE),0)</f>
        <v>94.077900000000014</v>
      </c>
      <c r="V61">
        <f>IFERROR(VLOOKUP(lmic_raw[[#This Row],[setting]],vcost[],3,FALSE),0)</f>
        <v>4.8530417550702749</v>
      </c>
      <c r="W61">
        <f>IFERROR(VLOOKUP(lmic_raw[[#This Row],[setting]],vcost[],4,FALSE),0)</f>
        <v>5.3330417550702744</v>
      </c>
      <c r="X61">
        <f>IFERROR(VLOOKUP(lmic_raw[[#This Row],[setting]],vcost[],5,FALSE),0)</f>
        <v>4.4209342009694943</v>
      </c>
      <c r="Y61">
        <f>IFERROR(VLOOKUP(lmic_raw[[#This Row],[setting]],vcost[],6,FALSE),0)</f>
        <v>4.9009342009694947</v>
      </c>
      <c r="Z61">
        <f>IFERROR(VLOOKUP(lmic_raw[[#This Row],[setting]],vcost[],7,FALSE),0)</f>
        <v>4.8951170101101251</v>
      </c>
      <c r="AA61">
        <f>IFERROR(VLOOKUP(lmic_raw[[#This Row],[setting]],vcost[],8,FALSE),0)</f>
        <v>5.0970274957368584</v>
      </c>
      <c r="AB61">
        <f>IFERROR(VLOOKUP(lmic_raw[[#This Row],[setting]],vcost[],9,FALSE),0)</f>
        <v>5.5770274957368589</v>
      </c>
      <c r="AC61" s="33">
        <f>IFERROR(INDEX(acm[],MATCH($C61,acm[[Country code]:[Country code]],0),MATCH(AC$1,acm[#Headers],0)),0)</f>
        <v>1.4632749999999941E-2</v>
      </c>
      <c r="AD61" s="33">
        <f>IFERROR(INDEX(acm[],MATCH($C61,acm[[Country code]:[Country code]],0),MATCH(AD$1,acm[#Headers],0)),0)</f>
        <v>6.0964833162461E-4</v>
      </c>
      <c r="AE61" s="33">
        <f>IFERROR(INDEX(acm[],MATCH($C61,acm[[Country code]:[Country code]],0),MATCH(AE$1,acm[#Headers],0)),0)</f>
        <v>3.2828657853446503E-4</v>
      </c>
      <c r="AF61" s="33">
        <f>IFERROR(INDEX(acm[],MATCH($C61,acm[[Country code]:[Country code]],0),MATCH(AF$1,acm[#Headers],0)),0)</f>
        <v>2.7577292513125776E-4</v>
      </c>
      <c r="AG61" s="33">
        <f>IFERROR(INDEX(acm[],MATCH($C61,acm[[Country code]:[Country code]],0),MATCH(AG$1,acm[#Headers],0)),0)</f>
        <v>5.1201955857610687E-4</v>
      </c>
      <c r="AH61" s="33">
        <f>IFERROR(INDEX(acm[],MATCH($C61,acm[[Country code]:[Country code]],0),MATCH(AH$1,acm[#Headers],0)),0)</f>
        <v>7.1612071515947645E-4</v>
      </c>
      <c r="AI61" s="33">
        <f>IFERROR(INDEX(acm[],MATCH($C61,acm[[Country code]:[Country code]],0),MATCH(AI$1,acm[#Headers],0)),0)</f>
        <v>7.7178297825039046E-4</v>
      </c>
      <c r="AJ61" s="33">
        <f>IFERROR(INDEX(acm[],MATCH($C61,acm[[Country code]:[Country code]],0),MATCH(AJ$1,acm[#Headers],0)),0)</f>
        <v>9.1062710482887714E-4</v>
      </c>
      <c r="AK61" s="33">
        <f>IFERROR(INDEX(acm[],MATCH($C61,acm[[Country code]:[Country code]],0),MATCH(AK$1,acm[#Headers],0)),0)</f>
        <v>1.2224606282356869E-3</v>
      </c>
      <c r="AL61" s="33">
        <f>IFERROR(INDEX(acm[],MATCH($C61,acm[[Country code]:[Country code]],0),MATCH(AL$1,acm[#Headers],0)),0)</f>
        <v>1.8512747911948806E-3</v>
      </c>
      <c r="AM61" s="33">
        <f>IFERROR(INDEX(acm[],MATCH($C61,acm[[Country code]:[Country code]],0),MATCH(AM$1,acm[#Headers],0)),0)</f>
        <v>3.1122471683366691E-3</v>
      </c>
      <c r="AN61" s="33">
        <f>IFERROR(INDEX(acm[],MATCH($C61,acm[[Country code]:[Country code]],0),MATCH(AN$1,acm[#Headers],0)),0)</f>
        <v>5.0729302808490678E-3</v>
      </c>
      <c r="AO61" s="33">
        <f>IFERROR(INDEX(acm[],MATCH($C61,acm[[Country code]:[Country code]],0),MATCH(AO$1,acm[#Headers],0)),0)</f>
        <v>8.369964446812107E-3</v>
      </c>
      <c r="AP61" s="33">
        <f>IFERROR(INDEX(acm[],MATCH($C61,acm[[Country code]:[Country code]],0),MATCH(AP$1,acm[#Headers],0)),0)</f>
        <v>1.3391899499446925E-2</v>
      </c>
      <c r="AQ61" s="33">
        <f>IFERROR(INDEX(acm[],MATCH($C61,acm[[Country code]:[Country code]],0),MATCH(AQ$1,acm[#Headers],0)),0)</f>
        <v>2.212427567931665E-2</v>
      </c>
      <c r="AR61" s="33">
        <f>IFERROR(INDEX(acm[],MATCH($C61,acm[[Country code]:[Country code]],0),MATCH(AR$1,acm[#Headers],0)),0)</f>
        <v>3.618751162717259E-2</v>
      </c>
      <c r="AS61" s="33">
        <f>IFERROR(INDEX(acm[],MATCH($C61,acm[[Country code]:[Country code]],0),MATCH(AS$1,acm[#Headers],0)),0)</f>
        <v>5.7640347386947753E-2</v>
      </c>
      <c r="AT61" s="33">
        <f>IFERROR(INDEX(acm[],MATCH($C61,acm[[Country code]:[Country code]],0),MATCH(AT$1,acm[#Headers],0)),0)</f>
        <v>8.8864944342642305E-2</v>
      </c>
      <c r="AU61" s="33">
        <f>IFERROR(INDEX(acm[],MATCH($C61,acm[[Country code]:[Country code]],0),MATCH(AU$1,acm[#Headers],0)),0)</f>
        <v>0.1233822091096403</v>
      </c>
      <c r="AV61" s="33">
        <f>IFERROR(INDEX(acm[],MATCH($C61,acm[[Country code]:[Country code]],0),MATCH(AV$1,acm[#Headers],0)),0)</f>
        <v>0.15471847178241849</v>
      </c>
      <c r="AW61" s="33">
        <f>IFERROR(INDEX(acm[],MATCH($C61,acm[[Country code]:[Country code]],0),MATCH(AW$1,acm[#Headers],0)),0)</f>
        <v>0.17654961686173334</v>
      </c>
      <c r="AX61" s="33">
        <f>IFERROR(VLOOKUP(lmic_raw[[#This Row],[num]],life_exp[[Country code]:[2015-2020]],2,FALSE),0)</f>
        <v>74.326999999999998</v>
      </c>
    </row>
    <row r="62" spans="1:50" x14ac:dyDescent="0.25">
      <c r="A62" s="109" t="s">
        <v>185</v>
      </c>
      <c r="B62" s="101" t="s">
        <v>447</v>
      </c>
      <c r="C62" s="102">
        <v>398</v>
      </c>
      <c r="D62" s="82" t="s">
        <v>675</v>
      </c>
      <c r="E62" s="82" t="s">
        <v>184</v>
      </c>
      <c r="F62" s="82" t="s">
        <v>663</v>
      </c>
      <c r="G62" s="82" t="s">
        <v>676</v>
      </c>
      <c r="H62" s="33">
        <f>VLOOKUP(lmic_raw[[#This Row],[num]],pop[[Country code]:[pop_20]],2,FALSE)*1000</f>
        <v>18551428</v>
      </c>
      <c r="I62" s="117">
        <f>IFERROR(VLOOKUP(lmic_raw[[#This Row],[num]],pop[[Country code]:[pop_20]],2,FALSE)*VLOOKUP(lmic_raw[[#This Row],[num]],b_rate[[Country code]:[2015-2020]],2,FALSE),0)</f>
        <v>396573.87635599996</v>
      </c>
      <c r="J62">
        <f>IFERROR(MIN(VLOOKUP(lmic_raw[[#This Row],[iso3]],fac_b[],4,FALSE)/100,0.9999),0)</f>
        <v>0.99299999999999999</v>
      </c>
      <c r="K62" s="33">
        <f>VLOOKUP(lmic_raw[[#This Row],[iso3]],vax[[iso3]:[hbv3]],2,FALSE)/100</f>
        <v>0.93</v>
      </c>
      <c r="L62" s="33">
        <f>VLOOKUP(lmic_raw[[#This Row],[iso3]],vax[[iso3]:[hbv3]],3,FALSE)/100</f>
        <v>0.97</v>
      </c>
      <c r="M62">
        <f>IFERROR(VLOOKUP(lmic_raw[[#This Row],[iso3]], hbv_prev[[iso3]:[ub]],2,FALSE)/100,0)</f>
        <v>1.5700000000000002E-2</v>
      </c>
      <c r="N62">
        <f>IFERROR(VLOOKUP(lmic_raw[[#This Row],[setting]],hbe_prev[],3,FALSE),0)</f>
        <v>0.29237590740285052</v>
      </c>
      <c r="O62">
        <f>VLOOKUP(lmic_raw[[#This Row],[gbd_super]],hbe_risk[],2,FALSE)</f>
        <v>0.8</v>
      </c>
      <c r="P62" s="33">
        <f>VLOOKUP(lmic_raw[[#This Row],[gbd_super]],hbe_risk[],5,FALSE)</f>
        <v>0.17499999999999999</v>
      </c>
      <c r="Q62">
        <f>IFERROR(VLOOKUP(lmic_raw[[#This Row],[setting]],disease_costs!$A$4:$B$197,2,FALSE),0)</f>
        <v>11.239587493602185</v>
      </c>
      <c r="R62">
        <f>IFERROR(VLOOKUP(lmic_raw[[#This Row],[gbd_super]],disease_costs!$G$4:$K$9,2,FALSE),0)</f>
        <v>44.537400000000005</v>
      </c>
      <c r="S62" s="33">
        <f>IFERROR(VLOOKUP(lmic_raw[[#This Row],[gbd_super]],disease_costs!$G$4:$K$9,3,FALSE),0)</f>
        <v>92.27940000000001</v>
      </c>
      <c r="T62" s="33">
        <f>IFERROR(VLOOKUP(lmic_raw[[#This Row],[gbd_super]],disease_costs!$G$4:$K$9,4,FALSE),0)</f>
        <v>92.27940000000001</v>
      </c>
      <c r="U62" s="33">
        <f>IFERROR(VLOOKUP(lmic_raw[[#This Row],[gbd_super]],disease_costs!$G$4:$K$9,5,FALSE),0)</f>
        <v>92.27940000000001</v>
      </c>
      <c r="V62">
        <f>IFERROR(VLOOKUP(lmic_raw[[#This Row],[setting]],vcost[],3,FALSE),0)</f>
        <v>5.6777222829324607</v>
      </c>
      <c r="W62">
        <f>IFERROR(VLOOKUP(lmic_raw[[#This Row],[setting]],vcost[],4,FALSE),0)</f>
        <v>9.747722282932461</v>
      </c>
      <c r="X62">
        <f>IFERROR(VLOOKUP(lmic_raw[[#This Row],[setting]],vcost[],5,FALSE),0)</f>
        <v>5.2288497572505195</v>
      </c>
      <c r="Y62">
        <f>IFERROR(VLOOKUP(lmic_raw[[#This Row],[setting]],vcost[],6,FALSE),0)</f>
        <v>9.2988497572505189</v>
      </c>
      <c r="Z62">
        <f>IFERROR(VLOOKUP(lmic_raw[[#This Row],[setting]],vcost[],7,FALSE),0)</f>
        <v>9.2864608668080635</v>
      </c>
      <c r="AA62">
        <f>IFERROR(VLOOKUP(lmic_raw[[#This Row],[setting]],vcost[],8,FALSE),0)</f>
        <v>5.927751211029463</v>
      </c>
      <c r="AB62">
        <f>IFERROR(VLOOKUP(lmic_raw[[#This Row],[setting]],vcost[],9,FALSE),0)</f>
        <v>9.9977512110294633</v>
      </c>
      <c r="AC62" s="33">
        <f>IFERROR(INDEX(acm[],MATCH($C62,acm[[Country code]:[Country code]],0),MATCH(AC$1,acm[#Headers],0)),0)</f>
        <v>7.6736500000000527E-3</v>
      </c>
      <c r="AD62" s="33">
        <f>IFERROR(INDEX(acm[],MATCH($C62,acm[[Country code]:[Country code]],0),MATCH(AD$1,acm[#Headers],0)),0)</f>
        <v>5.5877282710469801E-4</v>
      </c>
      <c r="AE62" s="33">
        <f>IFERROR(INDEX(acm[],MATCH($C62,acm[[Country code]:[Country code]],0),MATCH(AE$1,acm[#Headers],0)),0)</f>
        <v>2.7353974298632871E-4</v>
      </c>
      <c r="AF62" s="33">
        <f>IFERROR(INDEX(acm[],MATCH($C62,acm[[Country code]:[Country code]],0),MATCH(AF$1,acm[#Headers],0)),0)</f>
        <v>2.9288976803779922E-4</v>
      </c>
      <c r="AG62" s="33">
        <f>IFERROR(INDEX(acm[],MATCH($C62,acm[[Country code]:[Country code]],0),MATCH(AG$1,acm[#Headers],0)),0)</f>
        <v>5.9057460042845128E-4</v>
      </c>
      <c r="AH62" s="33">
        <f>IFERROR(INDEX(acm[],MATCH($C62,acm[[Country code]:[Country code]],0),MATCH(AH$1,acm[#Headers],0)),0)</f>
        <v>8.6802308517955622E-4</v>
      </c>
      <c r="AI62" s="33">
        <f>IFERROR(INDEX(acm[],MATCH($C62,acm[[Country code]:[Country code]],0),MATCH(AI$1,acm[#Headers],0)),0)</f>
        <v>1.1322508451784348E-3</v>
      </c>
      <c r="AJ62" s="33">
        <f>IFERROR(INDEX(acm[],MATCH($C62,acm[[Country code]:[Country code]],0),MATCH(AJ$1,acm[#Headers],0)),0)</f>
        <v>1.7362060675387271E-3</v>
      </c>
      <c r="AK62" s="33">
        <f>IFERROR(INDEX(acm[],MATCH($C62,acm[[Country code]:[Country code]],0),MATCH(AK$1,acm[#Headers],0)),0)</f>
        <v>2.7651398905049469E-3</v>
      </c>
      <c r="AL62" s="33">
        <f>IFERROR(INDEX(acm[],MATCH($C62,acm[[Country code]:[Country code]],0),MATCH(AL$1,acm[#Headers],0)),0)</f>
        <v>3.8116304279226295E-3</v>
      </c>
      <c r="AM62" s="33">
        <f>IFERROR(INDEX(acm[],MATCH($C62,acm[[Country code]:[Country code]],0),MATCH(AM$1,acm[#Headers],0)),0)</f>
        <v>5.1108571994989476E-3</v>
      </c>
      <c r="AN62" s="33">
        <f>IFERROR(INDEX(acm[],MATCH($C62,acm[[Country code]:[Country code]],0),MATCH(AN$1,acm[#Headers],0)),0)</f>
        <v>7.1501039862457566E-3</v>
      </c>
      <c r="AO62" s="33">
        <f>IFERROR(INDEX(acm[],MATCH($C62,acm[[Country code]:[Country code]],0),MATCH(AO$1,acm[#Headers],0)),0)</f>
        <v>1.0725561526911859E-2</v>
      </c>
      <c r="AP62" s="33">
        <f>IFERROR(INDEX(acm[],MATCH($C62,acm[[Country code]:[Country code]],0),MATCH(AP$1,acm[#Headers],0)),0)</f>
        <v>1.6538686927187084E-2</v>
      </c>
      <c r="AQ62" s="33">
        <f>IFERROR(INDEX(acm[],MATCH($C62,acm[[Country code]:[Country code]],0),MATCH(AQ$1,acm[#Headers],0)),0)</f>
        <v>2.4728424144013106E-2</v>
      </c>
      <c r="AR62" s="33">
        <f>IFERROR(INDEX(acm[],MATCH($C62,acm[[Country code]:[Country code]],0),MATCH(AR$1,acm[#Headers],0)),0)</f>
        <v>3.4583943415142905E-2</v>
      </c>
      <c r="AS62" s="33">
        <f>IFERROR(INDEX(acm[],MATCH($C62,acm[[Country code]:[Country code]],0),MATCH(AS$1,acm[#Headers],0)),0)</f>
        <v>5.4274969562793166E-2</v>
      </c>
      <c r="AT62" s="33">
        <f>IFERROR(INDEX(acm[],MATCH($C62,acm[[Country code]:[Country code]],0),MATCH(AT$1,acm[#Headers],0)),0)</f>
        <v>7.9683684738573041E-2</v>
      </c>
      <c r="AU62" s="33">
        <f>IFERROR(INDEX(acm[],MATCH($C62,acm[[Country code]:[Country code]],0),MATCH(AU$1,acm[#Headers],0)),0)</f>
        <v>0.11119078253863507</v>
      </c>
      <c r="AV62" s="33">
        <f>IFERROR(INDEX(acm[],MATCH($C62,acm[[Country code]:[Country code]],0),MATCH(AV$1,acm[#Headers],0)),0)</f>
        <v>0.14423617153627075</v>
      </c>
      <c r="AW62" s="33">
        <f>IFERROR(INDEX(acm[],MATCH($C62,acm[[Country code]:[Country code]],0),MATCH(AW$1,acm[#Headers],0)),0)</f>
        <v>0.16970912047030279</v>
      </c>
      <c r="AX62" s="33">
        <f>IFERROR(VLOOKUP(lmic_raw[[#This Row],[num]],life_exp[[Country code]:[2015-2020]],2,FALSE),0)</f>
        <v>73.224999999999994</v>
      </c>
    </row>
    <row r="63" spans="1:50" x14ac:dyDescent="0.25">
      <c r="A63" s="110" t="s">
        <v>106</v>
      </c>
      <c r="B63" s="104" t="s">
        <v>448</v>
      </c>
      <c r="C63" s="105">
        <v>404</v>
      </c>
      <c r="D63" s="84" t="s">
        <v>677</v>
      </c>
      <c r="E63" s="84" t="s">
        <v>597</v>
      </c>
      <c r="F63" s="84" t="s">
        <v>667</v>
      </c>
      <c r="G63" s="84" t="s">
        <v>678</v>
      </c>
      <c r="H63" s="33">
        <f>VLOOKUP(lmic_raw[[#This Row],[num]],pop[[Country code]:[pop_20]],2,FALSE)*1000</f>
        <v>52573967</v>
      </c>
      <c r="I63" s="117">
        <f>IFERROR(VLOOKUP(lmic_raw[[#This Row],[num]],pop[[Country code]:[pop_20]],2,FALSE)*VLOOKUP(lmic_raw[[#This Row],[num]],b_rate[[Country code]:[2015-2020]],2,FALSE),0)</f>
        <v>1519650.5161349999</v>
      </c>
      <c r="J63">
        <f>IFERROR(MIN(VLOOKUP(lmic_raw[[#This Row],[iso3]],fac_b[],4,FALSE)/100,0.9999),0)</f>
        <v>0.61199999999999999</v>
      </c>
      <c r="K63" s="33">
        <f>VLOOKUP(lmic_raw[[#This Row],[iso3]],vax[[iso3]:[hbv3]],2,FALSE)/100</f>
        <v>0</v>
      </c>
      <c r="L63" s="33">
        <f>VLOOKUP(lmic_raw[[#This Row],[iso3]],vax[[iso3]:[hbv3]],3,FALSE)/100</f>
        <v>0.92</v>
      </c>
      <c r="M63">
        <f>IFERROR(VLOOKUP(lmic_raw[[#This Row],[iso3]], hbv_prev[[iso3]:[ub]],2,FALSE)/100,0)</f>
        <v>2.1700000000000001E-2</v>
      </c>
      <c r="N63">
        <f>IFERROR(VLOOKUP(lmic_raw[[#This Row],[setting]],hbe_prev[],3,FALSE),0)</f>
        <v>0.29029165014939401</v>
      </c>
      <c r="O63">
        <f>VLOOKUP(lmic_raw[[#This Row],[gbd_super]],hbe_risk[],2,FALSE)</f>
        <v>0.38300000000000001</v>
      </c>
      <c r="P63" s="33">
        <f>VLOOKUP(lmic_raw[[#This Row],[gbd_super]],hbe_risk[],5,FALSE)</f>
        <v>4.8000000000000001E-2</v>
      </c>
      <c r="Q63">
        <f>IFERROR(VLOOKUP(lmic_raw[[#This Row],[setting]],disease_costs!$A$4:$B$197,2,FALSE),0)</f>
        <v>3.1448952860372916</v>
      </c>
      <c r="R63">
        <f>IFERROR(VLOOKUP(lmic_raw[[#This Row],[gbd_super]],disease_costs!$G$4:$K$9,2,FALSE),0)</f>
        <v>29.920500000000001</v>
      </c>
      <c r="S63" s="33">
        <f>IFERROR(VLOOKUP(lmic_raw[[#This Row],[gbd_super]],disease_costs!$G$4:$K$9,3,FALSE),0)</f>
        <v>77.662500000000009</v>
      </c>
      <c r="T63" s="33">
        <f>IFERROR(VLOOKUP(lmic_raw[[#This Row],[gbd_super]],disease_costs!$G$4:$K$9,4,FALSE),0)</f>
        <v>77.662500000000009</v>
      </c>
      <c r="U63" s="33">
        <f>IFERROR(VLOOKUP(lmic_raw[[#This Row],[gbd_super]],disease_costs!$G$4:$K$9,5,FALSE),0)</f>
        <v>77.662500000000009</v>
      </c>
      <c r="V63">
        <f>IFERROR(VLOOKUP(lmic_raw[[#This Row],[setting]],vcost[],3,FALSE),0)</f>
        <v>2.6107828891683753</v>
      </c>
      <c r="W63">
        <f>IFERROR(VLOOKUP(lmic_raw[[#This Row],[setting]],vcost[],4,FALSE),0)</f>
        <v>7.4407828891683749</v>
      </c>
      <c r="X63">
        <f>IFERROR(VLOOKUP(lmic_raw[[#This Row],[setting]],vcost[],5,FALSE),0)</f>
        <v>2.1824757206698377</v>
      </c>
      <c r="Y63">
        <f>IFERROR(VLOOKUP(lmic_raw[[#This Row],[setting]],vcost[],6,FALSE),0)</f>
        <v>7.0124757206698378</v>
      </c>
      <c r="Z63">
        <f>IFERROR(VLOOKUP(lmic_raw[[#This Row],[setting]],vcost[],7,FALSE),0)</f>
        <v>7.0084132431721979</v>
      </c>
      <c r="AA63">
        <f>IFERROR(VLOOKUP(lmic_raw[[#This Row],[setting]],vcost[],8,FALSE),0)</f>
        <v>2.8533987233969422</v>
      </c>
      <c r="AB63">
        <f>IFERROR(VLOOKUP(lmic_raw[[#This Row],[setting]],vcost[],9,FALSE),0)</f>
        <v>7.6833987233969427</v>
      </c>
      <c r="AC63" s="33">
        <f>IFERROR(INDEX(acm[],MATCH($C63,acm[[Country code]:[Country code]],0),MATCH(AC$1,acm[#Headers],0)),0)</f>
        <v>3.6371680000000052E-2</v>
      </c>
      <c r="AD63" s="33">
        <f>IFERROR(INDEX(acm[],MATCH($C63,acm[[Country code]:[Country code]],0),MATCH(AD$1,acm[#Headers],0)),0)</f>
        <v>2.8778575125313626E-3</v>
      </c>
      <c r="AE63" s="33">
        <f>IFERROR(INDEX(acm[],MATCH($C63,acm[[Country code]:[Country code]],0),MATCH(AE$1,acm[#Headers],0)),0)</f>
        <v>8.8878149832473396E-4</v>
      </c>
      <c r="AF63" s="33">
        <f>IFERROR(INDEX(acm[],MATCH($C63,acm[[Country code]:[Country code]],0),MATCH(AF$1,acm[#Headers],0)),0)</f>
        <v>7.2191935359029714E-4</v>
      </c>
      <c r="AG63" s="33">
        <f>IFERROR(INDEX(acm[],MATCH($C63,acm[[Country code]:[Country code]],0),MATCH(AG$1,acm[#Headers],0)),0)</f>
        <v>1.2535671078773741E-3</v>
      </c>
      <c r="AH63" s="33">
        <f>IFERROR(INDEX(acm[],MATCH($C63,acm[[Country code]:[Country code]],0),MATCH(AH$1,acm[#Headers],0)),0)</f>
        <v>2.0151098251266352E-3</v>
      </c>
      <c r="AI63" s="33">
        <f>IFERROR(INDEX(acm[],MATCH($C63,acm[[Country code]:[Country code]],0),MATCH(AI$1,acm[#Headers],0)),0)</f>
        <v>2.7743378338870063E-3</v>
      </c>
      <c r="AJ63" s="33">
        <f>IFERROR(INDEX(acm[],MATCH($C63,acm[[Country code]:[Country code]],0),MATCH(AJ$1,acm[#Headers],0)),0)</f>
        <v>3.6171295347846425E-3</v>
      </c>
      <c r="AK63" s="33">
        <f>IFERROR(INDEX(acm[],MATCH($C63,acm[[Country code]:[Country code]],0),MATCH(AK$1,acm[#Headers],0)),0)</f>
        <v>4.8349930451986167E-3</v>
      </c>
      <c r="AL63" s="33">
        <f>IFERROR(INDEX(acm[],MATCH($C63,acm[[Country code]:[Country code]],0),MATCH(AL$1,acm[#Headers],0)),0)</f>
        <v>6.0774118722196563E-3</v>
      </c>
      <c r="AM63" s="33">
        <f>IFERROR(INDEX(acm[],MATCH($C63,acm[[Country code]:[Country code]],0),MATCH(AM$1,acm[#Headers],0)),0)</f>
        <v>7.6402037982026281E-3</v>
      </c>
      <c r="AN63" s="33">
        <f>IFERROR(INDEX(acm[],MATCH($C63,acm[[Country code]:[Country code]],0),MATCH(AN$1,acm[#Headers],0)),0)</f>
        <v>1.0285721443846717E-2</v>
      </c>
      <c r="AO63" s="33">
        <f>IFERROR(INDEX(acm[],MATCH($C63,acm[[Country code]:[Country code]],0),MATCH(AO$1,acm[#Headers],0)),0)</f>
        <v>1.3317102527833061E-2</v>
      </c>
      <c r="AP63" s="33">
        <f>IFERROR(INDEX(acm[],MATCH($C63,acm[[Country code]:[Country code]],0),MATCH(AP$1,acm[#Headers],0)),0)</f>
        <v>1.9017377283509957E-2</v>
      </c>
      <c r="AQ63" s="33">
        <f>IFERROR(INDEX(acm[],MATCH($C63,acm[[Country code]:[Country code]],0),MATCH(AQ$1,acm[#Headers],0)),0)</f>
        <v>2.8329205279911861E-2</v>
      </c>
      <c r="AR63" s="33">
        <f>IFERROR(INDEX(acm[],MATCH($C63,acm[[Country code]:[Country code]],0),MATCH(AR$1,acm[#Headers],0)),0)</f>
        <v>4.2834133912262096E-2</v>
      </c>
      <c r="AS63" s="33">
        <f>IFERROR(INDEX(acm[],MATCH($C63,acm[[Country code]:[Country code]],0),MATCH(AS$1,acm[#Headers],0)),0)</f>
        <v>6.4664908087092451E-2</v>
      </c>
      <c r="AT63" s="33">
        <f>IFERROR(INDEX(acm[],MATCH($C63,acm[[Country code]:[Country code]],0),MATCH(AT$1,acm[#Headers],0)),0)</f>
        <v>9.7217163228875234E-2</v>
      </c>
      <c r="AU63" s="33">
        <f>IFERROR(INDEX(acm[],MATCH($C63,acm[[Country code]:[Country code]],0),MATCH(AU$1,acm[#Headers],0)),0)</f>
        <v>0.1368826401817643</v>
      </c>
      <c r="AV63" s="33">
        <f>IFERROR(INDEX(acm[],MATCH($C63,acm[[Country code]:[Country code]],0),MATCH(AV$1,acm[#Headers],0)),0)</f>
        <v>0.17226761766858911</v>
      </c>
      <c r="AW63" s="33">
        <f>IFERROR(INDEX(acm[],MATCH($C63,acm[[Country code]:[Country code]],0),MATCH(AW$1,acm[#Headers],0)),0)</f>
        <v>0.18675635071800664</v>
      </c>
      <c r="AX63" s="33">
        <f>IFERROR(VLOOKUP(lmic_raw[[#This Row],[num]],life_exp[[Country code]:[2015-2020]],2,FALSE),0)</f>
        <v>66.177999999999997</v>
      </c>
    </row>
    <row r="64" spans="1:50" x14ac:dyDescent="0.25">
      <c r="A64" s="109" t="s">
        <v>288</v>
      </c>
      <c r="B64" s="101" t="s">
        <v>449</v>
      </c>
      <c r="C64" s="102">
        <v>296</v>
      </c>
      <c r="D64" s="82" t="s">
        <v>681</v>
      </c>
      <c r="E64" s="82" t="s">
        <v>98</v>
      </c>
      <c r="F64" s="82" t="s">
        <v>666</v>
      </c>
      <c r="G64" s="82" t="s">
        <v>678</v>
      </c>
      <c r="H64" s="33">
        <f>VLOOKUP(lmic_raw[[#This Row],[num]],pop[[Country code]:[pop_20]],2,FALSE)*1000</f>
        <v>117608</v>
      </c>
      <c r="I64" s="117">
        <f>IFERROR(VLOOKUP(lmic_raw[[#This Row],[num]],pop[[Country code]:[pop_20]],2,FALSE)*VLOOKUP(lmic_raw[[#This Row],[num]],b_rate[[Country code]:[2015-2020]],2,FALSE),0)</f>
        <v>3301.6093840000003</v>
      </c>
      <c r="J64">
        <f>IFERROR(MIN(VLOOKUP(lmic_raw[[#This Row],[iso3]],fac_b[],4,FALSE)/100,0.9999),0)</f>
        <v>0.86099999999999999</v>
      </c>
      <c r="K64" s="33">
        <f>VLOOKUP(lmic_raw[[#This Row],[iso3]],vax[[iso3]:[hbv3]],2,FALSE)/100</f>
        <v>0.99</v>
      </c>
      <c r="L64" s="33">
        <f>VLOOKUP(lmic_raw[[#This Row],[iso3]],vax[[iso3]:[hbv3]],3,FALSE)/100</f>
        <v>0.94</v>
      </c>
      <c r="M64">
        <f>IFERROR(VLOOKUP(lmic_raw[[#This Row],[iso3]], hbv_prev[[iso3]:[ub]],2,FALSE)/100,0)</f>
        <v>0.152</v>
      </c>
      <c r="N64">
        <f>IFERROR(VLOOKUP(lmic_raw[[#This Row],[setting]],hbe_prev[],3,FALSE),0)</f>
        <v>0.31472755890902343</v>
      </c>
      <c r="O64">
        <f>VLOOKUP(lmic_raw[[#This Row],[gbd_super]],hbe_risk[],2,FALSE)</f>
        <v>0.8</v>
      </c>
      <c r="P64" s="33">
        <f>VLOOKUP(lmic_raw[[#This Row],[gbd_super]],hbe_risk[],5,FALSE)</f>
        <v>0.17499999999999999</v>
      </c>
      <c r="Q64">
        <f>IFERROR(VLOOKUP(lmic_raw[[#This Row],[setting]],disease_costs!$A$4:$B$197,2,FALSE),0)</f>
        <v>6.0528125746786392</v>
      </c>
      <c r="R64">
        <f>IFERROR(VLOOKUP(lmic_raw[[#This Row],[gbd_super]],disease_costs!$G$4:$K$9,2,FALSE),0)</f>
        <v>73.084500000000006</v>
      </c>
      <c r="S64" s="33">
        <f>IFERROR(VLOOKUP(lmic_raw[[#This Row],[gbd_super]],disease_costs!$G$4:$K$9,3,FALSE),0)</f>
        <v>120.8265</v>
      </c>
      <c r="T64" s="33">
        <f>IFERROR(VLOOKUP(lmic_raw[[#This Row],[gbd_super]],disease_costs!$G$4:$K$9,4,FALSE),0)</f>
        <v>120.8265</v>
      </c>
      <c r="U64" s="33">
        <f>IFERROR(VLOOKUP(lmic_raw[[#This Row],[gbd_super]],disease_costs!$G$4:$K$9,5,FALSE),0)</f>
        <v>120.8265</v>
      </c>
      <c r="V64">
        <f>IFERROR(VLOOKUP(lmic_raw[[#This Row],[setting]],vcost[],3,FALSE),0)</f>
        <v>9.9011905770047139</v>
      </c>
      <c r="W64">
        <f>IFERROR(VLOOKUP(lmic_raw[[#This Row],[setting]],vcost[],4,FALSE),0)</f>
        <v>10.531190577004715</v>
      </c>
      <c r="X64">
        <f>IFERROR(VLOOKUP(lmic_raw[[#This Row],[setting]],vcost[],5,FALSE),0)</f>
        <v>9.4739410557041683</v>
      </c>
      <c r="Y64">
        <f>IFERROR(VLOOKUP(lmic_raw[[#This Row],[setting]],vcost[],6,FALSE),0)</f>
        <v>10.103941055704169</v>
      </c>
      <c r="Z64">
        <f>IFERROR(VLOOKUP(lmic_raw[[#This Row],[setting]],vcost[],7,FALSE),0)</f>
        <v>10.100358740435873</v>
      </c>
      <c r="AA64">
        <f>IFERROR(VLOOKUP(lmic_raw[[#This Row],[setting]],vcost[],8,FALSE),0)</f>
        <v>10.143425166313072</v>
      </c>
      <c r="AB64">
        <f>IFERROR(VLOOKUP(lmic_raw[[#This Row],[setting]],vcost[],9,FALSE),0)</f>
        <v>10.773425166313073</v>
      </c>
      <c r="AC64" s="33">
        <f>IFERROR(INDEX(acm[],MATCH($C64,acm[[Country code]:[Country code]],0),MATCH(AC$1,acm[#Headers],0)),0)</f>
        <v>4.2810580000000042E-2</v>
      </c>
      <c r="AD64" s="33">
        <f>IFERROR(INDEX(acm[],MATCH($C64,acm[[Country code]:[Country code]],0),MATCH(AD$1,acm[#Headers],0)),0)</f>
        <v>2.9734736307469594E-3</v>
      </c>
      <c r="AE64" s="33">
        <f>IFERROR(INDEX(acm[],MATCH($C64,acm[[Country code]:[Country code]],0),MATCH(AE$1,acm[#Headers],0)),0)</f>
        <v>1.0102677539002773E-3</v>
      </c>
      <c r="AF64" s="33">
        <f>IFERROR(INDEX(acm[],MATCH($C64,acm[[Country code]:[Country code]],0),MATCH(AF$1,acm[#Headers],0)),0)</f>
        <v>7.7028172397112474E-4</v>
      </c>
      <c r="AG64" s="33">
        <f>IFERROR(INDEX(acm[],MATCH($C64,acm[[Country code]:[Country code]],0),MATCH(AG$1,acm[#Headers],0)),0)</f>
        <v>1.3611415838985282E-3</v>
      </c>
      <c r="AH64" s="33">
        <f>IFERROR(INDEX(acm[],MATCH($C64,acm[[Country code]:[Country code]],0),MATCH(AH$1,acm[#Headers],0)),0)</f>
        <v>1.8087283671869372E-3</v>
      </c>
      <c r="AI64" s="33">
        <f>IFERROR(INDEX(acm[],MATCH($C64,acm[[Country code]:[Country code]],0),MATCH(AI$1,acm[#Headers],0)),0)</f>
        <v>1.9320481092567449E-3</v>
      </c>
      <c r="AJ64" s="33">
        <f>IFERROR(INDEX(acm[],MATCH($C64,acm[[Country code]:[Country code]],0),MATCH(AJ$1,acm[#Headers],0)),0)</f>
        <v>2.2648100574510369E-3</v>
      </c>
      <c r="AK64" s="33">
        <f>IFERROR(INDEX(acm[],MATCH($C64,acm[[Country code]:[Country code]],0),MATCH(AK$1,acm[#Headers],0)),0)</f>
        <v>2.9664223068404175E-3</v>
      </c>
      <c r="AL64" s="33">
        <f>IFERROR(INDEX(acm[],MATCH($C64,acm[[Country code]:[Country code]],0),MATCH(AL$1,acm[#Headers],0)),0)</f>
        <v>4.090306331880492E-3</v>
      </c>
      <c r="AM64" s="33">
        <f>IFERROR(INDEX(acm[],MATCH($C64,acm[[Country code]:[Country code]],0),MATCH(AM$1,acm[#Headers],0)),0)</f>
        <v>5.9454738142292783E-3</v>
      </c>
      <c r="AN64" s="33">
        <f>IFERROR(INDEX(acm[],MATCH($C64,acm[[Country code]:[Country code]],0),MATCH(AN$1,acm[#Headers],0)),0)</f>
        <v>8.8883732613264464E-3</v>
      </c>
      <c r="AO64" s="33">
        <f>IFERROR(INDEX(acm[],MATCH($C64,acm[[Country code]:[Country code]],0),MATCH(AO$1,acm[#Headers],0)),0)</f>
        <v>1.3344731434740999E-2</v>
      </c>
      <c r="AP64" s="33">
        <f>IFERROR(INDEX(acm[],MATCH($C64,acm[[Country code]:[Country code]],0),MATCH(AP$1,acm[#Headers],0)),0)</f>
        <v>1.8650319566401743E-2</v>
      </c>
      <c r="AQ64" s="33">
        <f>IFERROR(INDEX(acm[],MATCH($C64,acm[[Country code]:[Country code]],0),MATCH(AQ$1,acm[#Headers],0)),0)</f>
        <v>2.5792278768542693E-2</v>
      </c>
      <c r="AR64" s="33">
        <f>IFERROR(INDEX(acm[],MATCH($C64,acm[[Country code]:[Country code]],0),MATCH(AR$1,acm[#Headers],0)),0)</f>
        <v>3.7261687144411811E-2</v>
      </c>
      <c r="AS64" s="33">
        <f>IFERROR(INDEX(acm[],MATCH($C64,acm[[Country code]:[Country code]],0),MATCH(AS$1,acm[#Headers],0)),0)</f>
        <v>5.6245524282747067E-2</v>
      </c>
      <c r="AT64" s="33">
        <f>IFERROR(INDEX(acm[],MATCH($C64,acm[[Country code]:[Country code]],0),MATCH(AT$1,acm[#Headers],0)),0)</f>
        <v>8.1681558971999441E-2</v>
      </c>
      <c r="AU64" s="33">
        <f>IFERROR(INDEX(acm[],MATCH($C64,acm[[Country code]:[Country code]],0),MATCH(AU$1,acm[#Headers],0)),0)</f>
        <v>0.10897725065418802</v>
      </c>
      <c r="AV64" s="33">
        <f>IFERROR(INDEX(acm[],MATCH($C64,acm[[Country code]:[Country code]],0),MATCH(AV$1,acm[#Headers],0)),0)</f>
        <v>0.13173376074294296</v>
      </c>
      <c r="AW64" s="33">
        <f>IFERROR(INDEX(acm[],MATCH($C64,acm[[Country code]:[Country code]],0),MATCH(AW$1,acm[#Headers],0)),0)</f>
        <v>0.15341759745752365</v>
      </c>
      <c r="AX64" s="33">
        <f>IFERROR(VLOOKUP(lmic_raw[[#This Row],[num]],life_exp[[Country code]:[2015-2020]],2,FALSE),0)</f>
        <v>67.989999999999995</v>
      </c>
    </row>
    <row r="65" spans="1:50" x14ac:dyDescent="0.25">
      <c r="A65" s="82" t="s">
        <v>610</v>
      </c>
      <c r="B65" s="104" t="s">
        <v>410</v>
      </c>
      <c r="C65" s="105">
        <v>408</v>
      </c>
      <c r="D65" s="84" t="s">
        <v>680</v>
      </c>
      <c r="E65" s="84" t="s">
        <v>603</v>
      </c>
      <c r="F65" s="84" t="s">
        <v>666</v>
      </c>
      <c r="G65" s="84" t="s">
        <v>674</v>
      </c>
      <c r="H65" s="33">
        <f>VLOOKUP(lmic_raw[[#This Row],[num]],pop[[Country code]:[pop_20]],2,FALSE)*1000</f>
        <v>25666158</v>
      </c>
      <c r="I65" s="117">
        <f>IFERROR(VLOOKUP(lmic_raw[[#This Row],[num]],pop[[Country code]:[pop_20]],2,FALSE)*VLOOKUP(lmic_raw[[#This Row],[num]],b_rate[[Country code]:[2015-2020]],2,FALSE),0)</f>
        <v>357760.57636200002</v>
      </c>
      <c r="J65">
        <f>IFERROR(MIN(VLOOKUP(lmic_raw[[#This Row],[iso3]],fac_b[],4,FALSE)/100,0.9999),0)</f>
        <v>0.92200000000000004</v>
      </c>
      <c r="K65" s="33">
        <f>VLOOKUP(lmic_raw[[#This Row],[iso3]],vax[[iso3]:[hbv3]],2,FALSE)/100</f>
        <v>0.98</v>
      </c>
      <c r="L65" s="33">
        <f>VLOOKUP(lmic_raw[[#This Row],[iso3]],vax[[iso3]:[hbv3]],3,FALSE)/100</f>
        <v>0.97</v>
      </c>
      <c r="M65">
        <f>IFERROR(VLOOKUP(lmic_raw[[#This Row],[iso3]], hbv_prev[[iso3]:[ub]],2,FALSE)/100,0)</f>
        <v>4.4000000000000004E-2</v>
      </c>
      <c r="N65">
        <f>IFERROR(VLOOKUP(lmic_raw[[#This Row],[setting]],hbe_prev[],3,FALSE),0)</f>
        <v>0.328432494471814</v>
      </c>
      <c r="O65">
        <f>VLOOKUP(lmic_raw[[#This Row],[gbd_super]],hbe_risk[],2,FALSE)</f>
        <v>0.8</v>
      </c>
      <c r="P65" s="33">
        <f>VLOOKUP(lmic_raw[[#This Row],[gbd_super]],hbe_risk[],5,FALSE)</f>
        <v>0.17499999999999999</v>
      </c>
      <c r="Q65" s="118">
        <f>IFERROR(VLOOKUP(lmic_raw[[#This Row],[setting]],disease_costs!$A$4:$B$197,2,FALSE),0)</f>
        <v>0</v>
      </c>
      <c r="R65">
        <f>IFERROR(VLOOKUP(lmic_raw[[#This Row],[gbd_super]],disease_costs!$G$4:$K$9,2,FALSE),0)</f>
        <v>73.084500000000006</v>
      </c>
      <c r="S65" s="33">
        <f>IFERROR(VLOOKUP(lmic_raw[[#This Row],[gbd_super]],disease_costs!$G$4:$K$9,3,FALSE),0)</f>
        <v>120.8265</v>
      </c>
      <c r="T65" s="33">
        <f>IFERROR(VLOOKUP(lmic_raw[[#This Row],[gbd_super]],disease_costs!$G$4:$K$9,4,FALSE),0)</f>
        <v>120.8265</v>
      </c>
      <c r="U65" s="33">
        <f>IFERROR(VLOOKUP(lmic_raw[[#This Row],[gbd_super]],disease_costs!$G$4:$K$9,5,FALSE),0)</f>
        <v>120.8265</v>
      </c>
      <c r="V65" s="118">
        <f>IFERROR(VLOOKUP(lmic_raw[[#This Row],[setting]],vcost[],3,FALSE),0)</f>
        <v>3.0547241161616161</v>
      </c>
      <c r="W65" s="118">
        <f>IFERROR(VLOOKUP(lmic_raw[[#This Row],[setting]],vcost[],4,FALSE),0)</f>
        <v>3.684724116161616</v>
      </c>
      <c r="X65" s="118">
        <f>IFERROR(VLOOKUP(lmic_raw[[#This Row],[setting]],vcost[],5,FALSE),0)</f>
        <v>2.6368</v>
      </c>
      <c r="Y65" s="118">
        <f>IFERROR(VLOOKUP(lmic_raw[[#This Row],[setting]],vcost[],6,FALSE),0)</f>
        <v>3.2667999999999999</v>
      </c>
      <c r="Z65" s="118">
        <f>IFERROR(VLOOKUP(lmic_raw[[#This Row],[setting]],vcost[],7,FALSE),0)</f>
        <v>3.2667999999999999</v>
      </c>
      <c r="AA65" s="118">
        <f>IFERROR(VLOOKUP(lmic_raw[[#This Row],[setting]],vcost[],8,FALSE),0)</f>
        <v>3.2935972222222225</v>
      </c>
      <c r="AB65" s="118">
        <f>IFERROR(VLOOKUP(lmic_raw[[#This Row],[setting]],vcost[],9,FALSE),0)</f>
        <v>3.9235972222222224</v>
      </c>
      <c r="AC65" s="33">
        <f>IFERROR(INDEX(acm[],MATCH($C65,acm[[Country code]:[Country code]],0),MATCH(AC$1,acm[#Headers],0)),0)</f>
        <v>1.3898110000000016E-2</v>
      </c>
      <c r="AD65" s="33">
        <f>IFERROR(INDEX(acm[],MATCH($C65,acm[[Country code]:[Country code]],0),MATCH(AD$1,acm[#Headers],0)),0)</f>
        <v>1.1525710593658816E-3</v>
      </c>
      <c r="AE65" s="33">
        <f>IFERROR(INDEX(acm[],MATCH($C65,acm[[Country code]:[Country code]],0),MATCH(AE$1,acm[#Headers],0)),0)</f>
        <v>6.4473978694718382E-4</v>
      </c>
      <c r="AF65" s="33">
        <f>IFERROR(INDEX(acm[],MATCH($C65,acm[[Country code]:[Country code]],0),MATCH(AF$1,acm[#Headers],0)),0)</f>
        <v>5.9891366179574187E-4</v>
      </c>
      <c r="AG65" s="33">
        <f>IFERROR(INDEX(acm[],MATCH($C65,acm[[Country code]:[Country code]],0),MATCH(AG$1,acm[#Headers],0)),0)</f>
        <v>8.6491156320066926E-4</v>
      </c>
      <c r="AH65" s="33">
        <f>IFERROR(INDEX(acm[],MATCH($C65,acm[[Country code]:[Country code]],0),MATCH(AH$1,acm[#Headers],0)),0)</f>
        <v>1.2403650027324735E-3</v>
      </c>
      <c r="AI65" s="33">
        <f>IFERROR(INDEX(acm[],MATCH($C65,acm[[Country code]:[Country code]],0),MATCH(AI$1,acm[#Headers],0)),0)</f>
        <v>1.5396702549552246E-3</v>
      </c>
      <c r="AJ65" s="33">
        <f>IFERROR(INDEX(acm[],MATCH($C65,acm[[Country code]:[Country code]],0),MATCH(AJ$1,acm[#Headers],0)),0)</f>
        <v>1.7486773131445052E-3</v>
      </c>
      <c r="AK65" s="33">
        <f>IFERROR(INDEX(acm[],MATCH($C65,acm[[Country code]:[Country code]],0),MATCH(AK$1,acm[#Headers],0)),0)</f>
        <v>2.0164190836135585E-3</v>
      </c>
      <c r="AL65" s="33">
        <f>IFERROR(INDEX(acm[],MATCH($C65,acm[[Country code]:[Country code]],0),MATCH(AL$1,acm[#Headers],0)),0)</f>
        <v>2.4495057763126563E-3</v>
      </c>
      <c r="AM65" s="33">
        <f>IFERROR(INDEX(acm[],MATCH($C65,acm[[Country code]:[Country code]],0),MATCH(AM$1,acm[#Headers],0)),0)</f>
        <v>3.3431663826267301E-3</v>
      </c>
      <c r="AN65" s="33">
        <f>IFERROR(INDEX(acm[],MATCH($C65,acm[[Country code]:[Country code]],0),MATCH(AN$1,acm[#Headers],0)),0)</f>
        <v>4.7975882404791299E-3</v>
      </c>
      <c r="AO65" s="33">
        <f>IFERROR(INDEX(acm[],MATCH($C65,acm[[Country code]:[Country code]],0),MATCH(AO$1,acm[#Headers],0)),0)</f>
        <v>9.6814078851944693E-3</v>
      </c>
      <c r="AP65" s="33">
        <f>IFERROR(INDEX(acm[],MATCH($C65,acm[[Country code]:[Country code]],0),MATCH(AP$1,acm[#Headers],0)),0)</f>
        <v>1.9800397704221529E-2</v>
      </c>
      <c r="AQ65" s="33">
        <f>IFERROR(INDEX(acm[],MATCH($C65,acm[[Country code]:[Country code]],0),MATCH(AQ$1,acm[#Headers],0)),0)</f>
        <v>2.8866401546664689E-2</v>
      </c>
      <c r="AR65" s="33">
        <f>IFERROR(INDEX(acm[],MATCH($C65,acm[[Country code]:[Country code]],0),MATCH(AR$1,acm[#Headers],0)),0)</f>
        <v>4.0468624095642045E-2</v>
      </c>
      <c r="AS65" s="33">
        <f>IFERROR(INDEX(acm[],MATCH($C65,acm[[Country code]:[Country code]],0),MATCH(AS$1,acm[#Headers],0)),0)</f>
        <v>6.3035874753407231E-2</v>
      </c>
      <c r="AT65" s="33">
        <f>IFERROR(INDEX(acm[],MATCH($C65,acm[[Country code]:[Country code]],0),MATCH(AT$1,acm[#Headers],0)),0)</f>
        <v>8.8046589269959522E-2</v>
      </c>
      <c r="AU65" s="33">
        <f>IFERROR(INDEX(acm[],MATCH($C65,acm[[Country code]:[Country code]],0),MATCH(AU$1,acm[#Headers],0)),0)</f>
        <v>0.11891714167014793</v>
      </c>
      <c r="AV65" s="33">
        <f>IFERROR(INDEX(acm[],MATCH($C65,acm[[Country code]:[Country code]],0),MATCH(AV$1,acm[#Headers],0)),0)</f>
        <v>0.14850683038408077</v>
      </c>
      <c r="AW65" s="33">
        <f>IFERROR(INDEX(acm[],MATCH($C65,acm[[Country code]:[Country code]],0),MATCH(AW$1,acm[#Headers],0)),0)</f>
        <v>0.1703078733072366</v>
      </c>
      <c r="AX65" s="33">
        <f>IFERROR(VLOOKUP(lmic_raw[[#This Row],[num]],life_exp[[Country code]:[2015-2020]],2,FALSE),0)</f>
        <v>71.963999999999999</v>
      </c>
    </row>
    <row r="66" spans="1:50" x14ac:dyDescent="0.25">
      <c r="A66" s="82" t="s">
        <v>186</v>
      </c>
      <c r="B66" s="101" t="s">
        <v>453</v>
      </c>
      <c r="C66" s="102">
        <v>417</v>
      </c>
      <c r="D66" s="82" t="s">
        <v>675</v>
      </c>
      <c r="E66" s="82" t="s">
        <v>184</v>
      </c>
      <c r="F66" s="82" t="s">
        <v>663</v>
      </c>
      <c r="G66" s="82" t="s">
        <v>678</v>
      </c>
      <c r="H66" s="33">
        <f>VLOOKUP(lmic_raw[[#This Row],[num]],pop[[Country code]:[pop_20]],2,FALSE)*1000</f>
        <v>6415851</v>
      </c>
      <c r="I66" s="117">
        <f>IFERROR(VLOOKUP(lmic_raw[[#This Row],[num]],pop[[Country code]:[pop_20]],2,FALSE)*VLOOKUP(lmic_raw[[#This Row],[num]],b_rate[[Country code]:[2015-2020]],2,FALSE),0)</f>
        <v>159190.09501200001</v>
      </c>
      <c r="J66">
        <f>IFERROR(MIN(VLOOKUP(lmic_raw[[#This Row],[iso3]],fac_b[],4,FALSE)/100,0.9999),0)</f>
        <v>0.996</v>
      </c>
      <c r="K66" s="33">
        <f>VLOOKUP(lmic_raw[[#This Row],[iso3]],vax[[iso3]:[hbv3]],2,FALSE)/100</f>
        <v>0.96</v>
      </c>
      <c r="L66" s="33">
        <f>VLOOKUP(lmic_raw[[#This Row],[iso3]],vax[[iso3]:[hbv3]],3,FALSE)/100</f>
        <v>0.95</v>
      </c>
      <c r="M66">
        <f>IFERROR(VLOOKUP(lmic_raw[[#This Row],[iso3]], hbv_prev[[iso3]:[ub]],2,FALSE)/100,0)</f>
        <v>3.39E-2</v>
      </c>
      <c r="N66">
        <f>IFERROR(VLOOKUP(lmic_raw[[#This Row],[setting]],hbe_prev[],3,FALSE),0)</f>
        <v>0.29813171303082237</v>
      </c>
      <c r="O66">
        <f>VLOOKUP(lmic_raw[[#This Row],[gbd_super]],hbe_risk[],2,FALSE)</f>
        <v>0.8</v>
      </c>
      <c r="P66" s="33">
        <f>VLOOKUP(lmic_raw[[#This Row],[gbd_super]],hbe_risk[],5,FALSE)</f>
        <v>0.17499999999999999</v>
      </c>
      <c r="Q66">
        <f>IFERROR(VLOOKUP(lmic_raw[[#This Row],[setting]],disease_costs!$A$4:$B$197,2,FALSE),0)</f>
        <v>3.2873238879299294</v>
      </c>
      <c r="R66">
        <f>IFERROR(VLOOKUP(lmic_raw[[#This Row],[gbd_super]],disease_costs!$G$4:$K$9,2,FALSE),0)</f>
        <v>44.537400000000005</v>
      </c>
      <c r="S66" s="33">
        <f>IFERROR(VLOOKUP(lmic_raw[[#This Row],[gbd_super]],disease_costs!$G$4:$K$9,3,FALSE),0)</f>
        <v>92.27940000000001</v>
      </c>
      <c r="T66" s="33">
        <f>IFERROR(VLOOKUP(lmic_raw[[#This Row],[gbd_super]],disease_costs!$G$4:$K$9,4,FALSE),0)</f>
        <v>92.27940000000001</v>
      </c>
      <c r="U66" s="33">
        <f>IFERROR(VLOOKUP(lmic_raw[[#This Row],[gbd_super]],disease_costs!$G$4:$K$9,5,FALSE),0)</f>
        <v>92.27940000000001</v>
      </c>
      <c r="V66">
        <f>IFERROR(VLOOKUP(lmic_raw[[#This Row],[setting]],vcost[],3,FALSE),0)</f>
        <v>3.769671932945863</v>
      </c>
      <c r="W66">
        <f>IFERROR(VLOOKUP(lmic_raw[[#This Row],[setting]],vcost[],4,FALSE),0)</f>
        <v>7.8396719329458637</v>
      </c>
      <c r="X66">
        <f>IFERROR(VLOOKUP(lmic_raw[[#This Row],[setting]],vcost[],5,FALSE),0)</f>
        <v>3.3440249017012516</v>
      </c>
      <c r="Y66">
        <f>IFERROR(VLOOKUP(lmic_raw[[#This Row],[setting]],vcost[],6,FALSE),0)</f>
        <v>7.4140249017012518</v>
      </c>
      <c r="Z66">
        <f>IFERROR(VLOOKUP(lmic_raw[[#This Row],[setting]],vcost[],7,FALSE),0)</f>
        <v>7.4108856987913256</v>
      </c>
      <c r="AA66">
        <f>IFERROR(VLOOKUP(lmic_raw[[#This Row],[setting]],vcost[],8,FALSE),0)</f>
        <v>4.0113288804898746</v>
      </c>
      <c r="AB66">
        <f>IFERROR(VLOOKUP(lmic_raw[[#This Row],[setting]],vcost[],9,FALSE),0)</f>
        <v>8.081328880489874</v>
      </c>
      <c r="AC66" s="33">
        <f>IFERROR(INDEX(acm[],MATCH($C66,acm[[Country code]:[Country code]],0),MATCH(AC$1,acm[#Headers],0)),0)</f>
        <v>1.5506239999999961E-2</v>
      </c>
      <c r="AD66" s="33">
        <f>IFERROR(INDEX(acm[],MATCH($C66,acm[[Country code]:[Country code]],0),MATCH(AD$1,acm[#Headers],0)),0)</f>
        <v>7.1685827648111742E-4</v>
      </c>
      <c r="AE66" s="33">
        <f>IFERROR(INDEX(acm[],MATCH($C66,acm[[Country code]:[Country code]],0),MATCH(AE$1,acm[#Headers],0)),0)</f>
        <v>3.0037972302301221E-4</v>
      </c>
      <c r="AF66" s="33">
        <f>IFERROR(INDEX(acm[],MATCH($C66,acm[[Country code]:[Country code]],0),MATCH(AF$1,acm[#Headers],0)),0)</f>
        <v>3.6101335689432674E-4</v>
      </c>
      <c r="AG66" s="33">
        <f>IFERROR(INDEX(acm[],MATCH($C66,acm[[Country code]:[Country code]],0),MATCH(AG$1,acm[#Headers],0)),0)</f>
        <v>5.6671978934353512E-4</v>
      </c>
      <c r="AH66" s="33">
        <f>IFERROR(INDEX(acm[],MATCH($C66,acm[[Country code]:[Country code]],0),MATCH(AH$1,acm[#Headers],0)),0)</f>
        <v>7.7358931817911216E-4</v>
      </c>
      <c r="AI66" s="33">
        <f>IFERROR(INDEX(acm[],MATCH($C66,acm[[Country code]:[Country code]],0),MATCH(AI$1,acm[#Headers],0)),0)</f>
        <v>9.9358270100702176E-4</v>
      </c>
      <c r="AJ66" s="33">
        <f>IFERROR(INDEX(acm[],MATCH($C66,acm[[Country code]:[Country code]],0),MATCH(AJ$1,acm[#Headers],0)),0)</f>
        <v>1.5947136196713724E-3</v>
      </c>
      <c r="AK66" s="33">
        <f>IFERROR(INDEX(acm[],MATCH($C66,acm[[Country code]:[Country code]],0),MATCH(AK$1,acm[#Headers],0)),0)</f>
        <v>2.3740632079430881E-3</v>
      </c>
      <c r="AL66" s="33">
        <f>IFERROR(INDEX(acm[],MATCH($C66,acm[[Country code]:[Country code]],0),MATCH(AL$1,acm[#Headers],0)),0)</f>
        <v>3.6025352620456053E-3</v>
      </c>
      <c r="AM66" s="33">
        <f>IFERROR(INDEX(acm[],MATCH($C66,acm[[Country code]:[Country code]],0),MATCH(AM$1,acm[#Headers],0)),0)</f>
        <v>5.013988446982612E-3</v>
      </c>
      <c r="AN66" s="33">
        <f>IFERROR(INDEX(acm[],MATCH($C66,acm[[Country code]:[Country code]],0),MATCH(AN$1,acm[#Headers],0)),0)</f>
        <v>7.2274466341115369E-3</v>
      </c>
      <c r="AO66" s="33">
        <f>IFERROR(INDEX(acm[],MATCH($C66,acm[[Country code]:[Country code]],0),MATCH(AO$1,acm[#Headers],0)),0)</f>
        <v>1.0588233088434732E-2</v>
      </c>
      <c r="AP66" s="33">
        <f>IFERROR(INDEX(acm[],MATCH($C66,acm[[Country code]:[Country code]],0),MATCH(AP$1,acm[#Headers],0)),0)</f>
        <v>1.6698751635160103E-2</v>
      </c>
      <c r="AQ66" s="33">
        <f>IFERROR(INDEX(acm[],MATCH($C66,acm[[Country code]:[Country code]],0),MATCH(AQ$1,acm[#Headers],0)),0)</f>
        <v>2.4245073689476284E-2</v>
      </c>
      <c r="AR66" s="33">
        <f>IFERROR(INDEX(acm[],MATCH($C66,acm[[Country code]:[Country code]],0),MATCH(AR$1,acm[#Headers],0)),0)</f>
        <v>4.8767202109432098E-2</v>
      </c>
      <c r="AS66" s="33">
        <f>IFERROR(INDEX(acm[],MATCH($C66,acm[[Country code]:[Country code]],0),MATCH(AS$1,acm[#Headers],0)),0)</f>
        <v>8.2569526074183053E-2</v>
      </c>
      <c r="AT66" s="33">
        <f>IFERROR(INDEX(acm[],MATCH($C66,acm[[Country code]:[Country code]],0),MATCH(AT$1,acm[#Headers],0)),0)</f>
        <v>0.10646327196220833</v>
      </c>
      <c r="AU66" s="33">
        <f>IFERROR(INDEX(acm[],MATCH($C66,acm[[Country code]:[Country code]],0),MATCH(AU$1,acm[#Headers],0)),0)</f>
        <v>0.12628511928546515</v>
      </c>
      <c r="AV66" s="33">
        <f>IFERROR(INDEX(acm[],MATCH($C66,acm[[Country code]:[Country code]],0),MATCH(AV$1,acm[#Headers],0)),0)</f>
        <v>0.14146019066301066</v>
      </c>
      <c r="AW66" s="33">
        <f>IFERROR(INDEX(acm[],MATCH($C66,acm[[Country code]:[Country code]],0),MATCH(AW$1,acm[#Headers],0)),0)</f>
        <v>0.15891810353796404</v>
      </c>
      <c r="AX66" s="33">
        <f>IFERROR(VLOOKUP(lmic_raw[[#This Row],[num]],life_exp[[Country code]:[2015-2020]],2,FALSE),0)</f>
        <v>71.182000000000002</v>
      </c>
    </row>
    <row r="67" spans="1:50" x14ac:dyDescent="0.25">
      <c r="A67" s="82" t="s">
        <v>628</v>
      </c>
      <c r="B67" s="104" t="s">
        <v>454</v>
      </c>
      <c r="C67" s="105">
        <v>418</v>
      </c>
      <c r="D67" s="84" t="s">
        <v>681</v>
      </c>
      <c r="E67" s="84" t="s">
        <v>598</v>
      </c>
      <c r="F67" s="84" t="s">
        <v>666</v>
      </c>
      <c r="G67" s="84" t="s">
        <v>678</v>
      </c>
      <c r="H67" s="33">
        <f>VLOOKUP(lmic_raw[[#This Row],[num]],pop[[Country code]:[pop_20]],2,FALSE)*1000</f>
        <v>7169456</v>
      </c>
      <c r="I67" s="117">
        <f>IFERROR(VLOOKUP(lmic_raw[[#This Row],[num]],pop[[Country code]:[pop_20]],2,FALSE)*VLOOKUP(lmic_raw[[#This Row],[num]],b_rate[[Country code]:[2015-2020]],2,FALSE),0)</f>
        <v>170833.79756800001</v>
      </c>
      <c r="J67">
        <f>IFERROR(MIN(VLOOKUP(lmic_raw[[#This Row],[iso3]],fac_b[],4,FALSE)/100,0.9999),0)</f>
        <v>0.64500000000000002</v>
      </c>
      <c r="K67" s="33">
        <f>VLOOKUP(lmic_raw[[#This Row],[iso3]],vax[[iso3]:[hbv3]],2,FALSE)/100</f>
        <v>0.55000000000000004</v>
      </c>
      <c r="L67" s="33">
        <f>VLOOKUP(lmic_raw[[#This Row],[iso3]],vax[[iso3]:[hbv3]],3,FALSE)/100</f>
        <v>0.68</v>
      </c>
      <c r="M67">
        <f>IFERROR(VLOOKUP(lmic_raw[[#This Row],[iso3]], hbv_prev[[iso3]:[ub]],2,FALSE)/100,0)</f>
        <v>4.8099999999999997E-2</v>
      </c>
      <c r="N67">
        <f>IFERROR(VLOOKUP(lmic_raw[[#This Row],[setting]],hbe_prev[],3,FALSE),0)</f>
        <v>0.34832736416125437</v>
      </c>
      <c r="O67">
        <f>VLOOKUP(lmic_raw[[#This Row],[gbd_super]],hbe_risk[],2,FALSE)</f>
        <v>0.8</v>
      </c>
      <c r="P67" s="33">
        <f>VLOOKUP(lmic_raw[[#This Row],[gbd_super]],hbe_risk[],5,FALSE)</f>
        <v>0.17499999999999999</v>
      </c>
      <c r="Q67" s="118">
        <f>IFERROR(VLOOKUP(lmic_raw[[#This Row],[setting]],disease_costs!$A$4:$B$197,2,FALSE),0)</f>
        <v>0</v>
      </c>
      <c r="R67">
        <f>IFERROR(VLOOKUP(lmic_raw[[#This Row],[gbd_super]],disease_costs!$G$4:$K$9,2,FALSE),0)</f>
        <v>73.084500000000006</v>
      </c>
      <c r="S67" s="33">
        <f>IFERROR(VLOOKUP(lmic_raw[[#This Row],[gbd_super]],disease_costs!$G$4:$K$9,3,FALSE),0)</f>
        <v>120.8265</v>
      </c>
      <c r="T67" s="33">
        <f>IFERROR(VLOOKUP(lmic_raw[[#This Row],[gbd_super]],disease_costs!$G$4:$K$9,4,FALSE),0)</f>
        <v>120.8265</v>
      </c>
      <c r="U67" s="33">
        <f>IFERROR(VLOOKUP(lmic_raw[[#This Row],[gbd_super]],disease_costs!$G$4:$K$9,5,FALSE),0)</f>
        <v>120.8265</v>
      </c>
      <c r="V67">
        <f>IFERROR(VLOOKUP(lmic_raw[[#This Row],[setting]],vcost[],3,FALSE),0)</f>
        <v>2.2177461431055265</v>
      </c>
      <c r="W67">
        <f>IFERROR(VLOOKUP(lmic_raw[[#This Row],[setting]],vcost[],4,FALSE),0)</f>
        <v>2.8477461431055264</v>
      </c>
      <c r="X67">
        <f>IFERROR(VLOOKUP(lmic_raw[[#This Row],[setting]],vcost[],5,FALSE),0)</f>
        <v>1.7848399632576368</v>
      </c>
      <c r="Y67">
        <f>IFERROR(VLOOKUP(lmic_raw[[#This Row],[setting]],vcost[],6,FALSE),0)</f>
        <v>2.4148399632576369</v>
      </c>
      <c r="Z67">
        <f>IFERROR(VLOOKUP(lmic_raw[[#This Row],[setting]],vcost[],7,FALSE),0)</f>
        <v>2.4087352692323427</v>
      </c>
      <c r="AA67">
        <f>IFERROR(VLOOKUP(lmic_raw[[#This Row],[setting]],vcost[],8,FALSE),0)</f>
        <v>2.4620197604949055</v>
      </c>
      <c r="AB67">
        <f>IFERROR(VLOOKUP(lmic_raw[[#This Row],[setting]],vcost[],9,FALSE),0)</f>
        <v>3.0920197604949053</v>
      </c>
      <c r="AC67" s="33">
        <f>IFERROR(INDEX(acm[],MATCH($C67,acm[[Country code]:[Country code]],0),MATCH(AC$1,acm[#Headers],0)),0)</f>
        <v>3.8777789999999951E-2</v>
      </c>
      <c r="AD67" s="33">
        <f>IFERROR(INDEX(acm[],MATCH($C67,acm[[Country code]:[Country code]],0),MATCH(AD$1,acm[#Headers],0)),0)</f>
        <v>2.4870862066326935E-3</v>
      </c>
      <c r="AE67" s="33">
        <f>IFERROR(INDEX(acm[],MATCH($C67,acm[[Country code]:[Country code]],0),MATCH(AE$1,acm[#Headers],0)),0)</f>
        <v>8.9982170516343662E-4</v>
      </c>
      <c r="AF67" s="33">
        <f>IFERROR(INDEX(acm[],MATCH($C67,acm[[Country code]:[Country code]],0),MATCH(AF$1,acm[#Headers],0)),0)</f>
        <v>7.2067114244427197E-4</v>
      </c>
      <c r="AG67" s="33">
        <f>IFERROR(INDEX(acm[],MATCH($C67,acm[[Country code]:[Country code]],0),MATCH(AG$1,acm[#Headers],0)),0)</f>
        <v>1.2190482461900062E-3</v>
      </c>
      <c r="AH67" s="33">
        <f>IFERROR(INDEX(acm[],MATCH($C67,acm[[Country code]:[Country code]],0),MATCH(AH$1,acm[#Headers],0)),0)</f>
        <v>1.7133573391022912E-3</v>
      </c>
      <c r="AI67" s="33">
        <f>IFERROR(INDEX(acm[],MATCH($C67,acm[[Country code]:[Country code]],0),MATCH(AI$1,acm[#Headers],0)),0)</f>
        <v>1.8585034609793296E-3</v>
      </c>
      <c r="AJ67" s="33">
        <f>IFERROR(INDEX(acm[],MATCH($C67,acm[[Country code]:[Country code]],0),MATCH(AJ$1,acm[#Headers],0)),0)</f>
        <v>2.1439161974078557E-3</v>
      </c>
      <c r="AK67" s="33">
        <f>IFERROR(INDEX(acm[],MATCH($C67,acm[[Country code]:[Country code]],0),MATCH(AK$1,acm[#Headers],0)),0)</f>
        <v>2.7328262475156515E-3</v>
      </c>
      <c r="AL67" s="33">
        <f>IFERROR(INDEX(acm[],MATCH($C67,acm[[Country code]:[Country code]],0),MATCH(AL$1,acm[#Headers],0)),0)</f>
        <v>3.7683474278791974E-3</v>
      </c>
      <c r="AM67" s="33">
        <f>IFERROR(INDEX(acm[],MATCH($C67,acm[[Country code]:[Country code]],0),MATCH(AM$1,acm[#Headers],0)),0)</f>
        <v>5.5663928498959694E-3</v>
      </c>
      <c r="AN67" s="33">
        <f>IFERROR(INDEX(acm[],MATCH($C67,acm[[Country code]:[Country code]],0),MATCH(AN$1,acm[#Headers],0)),0)</f>
        <v>8.3716908971744435E-3</v>
      </c>
      <c r="AO67" s="33">
        <f>IFERROR(INDEX(acm[],MATCH($C67,acm[[Country code]:[Country code]],0),MATCH(AO$1,acm[#Headers],0)),0)</f>
        <v>1.2747389066357426E-2</v>
      </c>
      <c r="AP67" s="33">
        <f>IFERROR(INDEX(acm[],MATCH($C67,acm[[Country code]:[Country code]],0),MATCH(AP$1,acm[#Headers],0)),0)</f>
        <v>1.9536607225944226E-2</v>
      </c>
      <c r="AQ67" s="33">
        <f>IFERROR(INDEX(acm[],MATCH($C67,acm[[Country code]:[Country code]],0),MATCH(AQ$1,acm[#Headers],0)),0)</f>
        <v>3.0001178093193585E-2</v>
      </c>
      <c r="AR67" s="33">
        <f>IFERROR(INDEX(acm[],MATCH($C67,acm[[Country code]:[Country code]],0),MATCH(AR$1,acm[#Headers],0)),0)</f>
        <v>4.6408078320223686E-2</v>
      </c>
      <c r="AS67" s="33">
        <f>IFERROR(INDEX(acm[],MATCH($C67,acm[[Country code]:[Country code]],0),MATCH(AS$1,acm[#Headers],0)),0)</f>
        <v>7.0293631090044384E-2</v>
      </c>
      <c r="AT67" s="33">
        <f>IFERROR(INDEX(acm[],MATCH($C67,acm[[Country code]:[Country code]],0),MATCH(AT$1,acm[#Headers],0)),0)</f>
        <v>0.10184859739279212</v>
      </c>
      <c r="AU67" s="33">
        <f>IFERROR(INDEX(acm[],MATCH($C67,acm[[Country code]:[Country code]],0),MATCH(AU$1,acm[#Headers],0)),0)</f>
        <v>0.13523986958288475</v>
      </c>
      <c r="AV67" s="33">
        <f>IFERROR(INDEX(acm[],MATCH($C67,acm[[Country code]:[Country code]],0),MATCH(AV$1,acm[#Headers],0)),0)</f>
        <v>0.1623042397327624</v>
      </c>
      <c r="AW67" s="33">
        <f>IFERROR(INDEX(acm[],MATCH($C67,acm[[Country code]:[Country code]],0),MATCH(AW$1,acm[#Headers],0)),0)</f>
        <v>0.17970482443827956</v>
      </c>
      <c r="AX67" s="33">
        <f>IFERROR(VLOOKUP(lmic_raw[[#This Row],[num]],life_exp[[Country code]:[2015-2020]],2,FALSE),0)</f>
        <v>67.441000000000003</v>
      </c>
    </row>
    <row r="68" spans="1:50" x14ac:dyDescent="0.25">
      <c r="A68" s="109" t="s">
        <v>174</v>
      </c>
      <c r="B68" s="101" t="s">
        <v>456</v>
      </c>
      <c r="C68" s="102">
        <v>422</v>
      </c>
      <c r="D68" s="82" t="s">
        <v>673</v>
      </c>
      <c r="E68" s="82" t="s">
        <v>579</v>
      </c>
      <c r="F68" s="82" t="s">
        <v>579</v>
      </c>
      <c r="G68" s="82" t="s">
        <v>676</v>
      </c>
      <c r="H68" s="33">
        <f>VLOOKUP(lmic_raw[[#This Row],[num]],pop[[Country code]:[pop_20]],2,FALSE)*1000</f>
        <v>6855709</v>
      </c>
      <c r="I68" s="117">
        <f>IFERROR(VLOOKUP(lmic_raw[[#This Row],[num]],pop[[Country code]:[pop_20]],2,FALSE)*VLOOKUP(lmic_raw[[#This Row],[num]],b_rate[[Country code]:[2015-2020]],2,FALSE),0)</f>
        <v>120441.09571200001</v>
      </c>
      <c r="J68">
        <f>IFERROR(MIN(VLOOKUP(lmic_raw[[#This Row],[iso3]],fac_b[],4,FALSE)/100,0.9999),0)</f>
        <v>0.99900000000000011</v>
      </c>
      <c r="K68" s="33">
        <f>VLOOKUP(lmic_raw[[#This Row],[iso3]],vax[[iso3]:[hbv3]],2,FALSE)/100</f>
        <v>0.8</v>
      </c>
      <c r="L68" s="33">
        <f>VLOOKUP(lmic_raw[[#This Row],[iso3]],vax[[iso3]:[hbv3]],3,FALSE)/100</f>
        <v>0.8</v>
      </c>
      <c r="M68">
        <f>IFERROR(VLOOKUP(lmic_raw[[#This Row],[iso3]], hbv_prev[[iso3]:[ub]],2,FALSE)/100,0)</f>
        <v>1.3100000000000001E-2</v>
      </c>
      <c r="N68">
        <f>IFERROR(VLOOKUP(lmic_raw[[#This Row],[setting]],hbe_prev[],3,FALSE),0)</f>
        <v>0.25404672198349698</v>
      </c>
      <c r="O68">
        <f>VLOOKUP(lmic_raw[[#This Row],[gbd_super]],hbe_risk[],2,FALSE)</f>
        <v>0.8</v>
      </c>
      <c r="P68" s="33">
        <f>VLOOKUP(lmic_raw[[#This Row],[gbd_super]],hbe_risk[],5,FALSE)</f>
        <v>0.17499999999999999</v>
      </c>
      <c r="Q68">
        <f>IFERROR(VLOOKUP(lmic_raw[[#This Row],[setting]],disease_costs!$A$4:$B$197,2,FALSE),0)</f>
        <v>13.7083499264079</v>
      </c>
      <c r="R68">
        <f>IFERROR(VLOOKUP(lmic_raw[[#This Row],[gbd_super]],disease_costs!$G$4:$K$9,2,FALSE),0)</f>
        <v>46.335900000000002</v>
      </c>
      <c r="S68" s="33">
        <f>IFERROR(VLOOKUP(lmic_raw[[#This Row],[gbd_super]],disease_costs!$G$4:$K$9,3,FALSE),0)</f>
        <v>94.077900000000014</v>
      </c>
      <c r="T68" s="33">
        <f>IFERROR(VLOOKUP(lmic_raw[[#This Row],[gbd_super]],disease_costs!$G$4:$K$9,4,FALSE),0)</f>
        <v>94.077900000000014</v>
      </c>
      <c r="U68" s="33">
        <f>IFERROR(VLOOKUP(lmic_raw[[#This Row],[gbd_super]],disease_costs!$G$4:$K$9,5,FALSE),0)</f>
        <v>94.077900000000014</v>
      </c>
      <c r="V68">
        <f>IFERROR(VLOOKUP(lmic_raw[[#This Row],[setting]],vcost[],3,FALSE),0)</f>
        <v>4.3686137164105379</v>
      </c>
      <c r="W68">
        <f>IFERROR(VLOOKUP(lmic_raw[[#This Row],[setting]],vcost[],4,FALSE),0)</f>
        <v>4.8486137164105383</v>
      </c>
      <c r="X68">
        <f>IFERROR(VLOOKUP(lmic_raw[[#This Row],[setting]],vcost[],5,FALSE),0)</f>
        <v>3.9257445038204821</v>
      </c>
      <c r="Y68">
        <f>IFERROR(VLOOKUP(lmic_raw[[#This Row],[setting]],vcost[],6,FALSE),0)</f>
        <v>4.4057445038204825</v>
      </c>
      <c r="Z68">
        <f>IFERROR(VLOOKUP(lmic_raw[[#This Row],[setting]],vcost[],7,FALSE),0)</f>
        <v>4.3952627938040836</v>
      </c>
      <c r="AA68">
        <f>IFERROR(VLOOKUP(lmic_raw[[#This Row],[setting]],vcost[],8,FALSE),0)</f>
        <v>4.6164786595558152</v>
      </c>
      <c r="AB68">
        <f>IFERROR(VLOOKUP(lmic_raw[[#This Row],[setting]],vcost[],9,FALSE),0)</f>
        <v>5.0964786595558156</v>
      </c>
      <c r="AC68" s="33">
        <f>IFERROR(INDEX(acm[],MATCH($C68,acm[[Country code]:[Country code]],0),MATCH(AC$1,acm[#Headers],0)),0)</f>
        <v>9.4147199999999424E-3</v>
      </c>
      <c r="AD68" s="33">
        <f>IFERROR(INDEX(acm[],MATCH($C68,acm[[Country code]:[Country code]],0),MATCH(AD$1,acm[#Headers],0)),0)</f>
        <v>3.7654506636725825E-4</v>
      </c>
      <c r="AE68" s="33">
        <f>IFERROR(INDEX(acm[],MATCH($C68,acm[[Country code]:[Country code]],0),MATCH(AE$1,acm[#Headers],0)),0)</f>
        <v>1.8321426670696398E-4</v>
      </c>
      <c r="AF68" s="33">
        <f>IFERROR(INDEX(acm[],MATCH($C68,acm[[Country code]:[Country code]],0),MATCH(AF$1,acm[#Headers],0)),0)</f>
        <v>1.5346484957506218E-4</v>
      </c>
      <c r="AG68" s="33">
        <f>IFERROR(INDEX(acm[],MATCH($C68,acm[[Country code]:[Country code]],0),MATCH(AG$1,acm[#Headers],0)),0)</f>
        <v>2.8772095741896333E-4</v>
      </c>
      <c r="AH68" s="33">
        <f>IFERROR(INDEX(acm[],MATCH($C68,acm[[Country code]:[Country code]],0),MATCH(AH$1,acm[#Headers],0)),0)</f>
        <v>4.0111422172237402E-4</v>
      </c>
      <c r="AI68" s="33">
        <f>IFERROR(INDEX(acm[],MATCH($C68,acm[[Country code]:[Country code]],0),MATCH(AI$1,acm[#Headers],0)),0)</f>
        <v>4.2937675606144276E-4</v>
      </c>
      <c r="AJ68" s="33">
        <f>IFERROR(INDEX(acm[],MATCH($C68,acm[[Country code]:[Country code]],0),MATCH(AJ$1,acm[#Headers],0)),0)</f>
        <v>5.0556751508178588E-4</v>
      </c>
      <c r="AK68" s="33">
        <f>IFERROR(INDEX(acm[],MATCH($C68,acm[[Country code]:[Country code]],0),MATCH(AK$1,acm[#Headers],0)),0)</f>
        <v>6.8056297450641372E-4</v>
      </c>
      <c r="AL68" s="33">
        <f>IFERROR(INDEX(acm[],MATCH($C68,acm[[Country code]:[Country code]],0),MATCH(AL$1,acm[#Headers],0)),0)</f>
        <v>1.0466309847889622E-3</v>
      </c>
      <c r="AM68" s="33">
        <f>IFERROR(INDEX(acm[],MATCH($C68,acm[[Country code]:[Country code]],0),MATCH(AM$1,acm[#Headers],0)),0)</f>
        <v>1.825483717098368E-3</v>
      </c>
      <c r="AN68" s="33">
        <f>IFERROR(INDEX(acm[],MATCH($C68,acm[[Country code]:[Country code]],0),MATCH(AN$1,acm[#Headers],0)),0)</f>
        <v>3.1195015372933455E-3</v>
      </c>
      <c r="AO68" s="33">
        <f>IFERROR(INDEX(acm[],MATCH($C68,acm[[Country code]:[Country code]],0),MATCH(AO$1,acm[#Headers],0)),0)</f>
        <v>5.4403402361517779E-3</v>
      </c>
      <c r="AP68" s="33">
        <f>IFERROR(INDEX(acm[],MATCH($C68,acm[[Country code]:[Country code]],0),MATCH(AP$1,acm[#Headers],0)),0)</f>
        <v>8.641925489763367E-3</v>
      </c>
      <c r="AQ68" s="33">
        <f>IFERROR(INDEX(acm[],MATCH($C68,acm[[Country code]:[Country code]],0),MATCH(AQ$1,acm[#Headers],0)),0)</f>
        <v>1.4734147857251618E-2</v>
      </c>
      <c r="AR68" s="33">
        <f>IFERROR(INDEX(acm[],MATCH($C68,acm[[Country code]:[Country code]],0),MATCH(AR$1,acm[#Headers],0)),0)</f>
        <v>2.550437110398128E-2</v>
      </c>
      <c r="AS68" s="33">
        <f>IFERROR(INDEX(acm[],MATCH($C68,acm[[Country code]:[Country code]],0),MATCH(AS$1,acm[#Headers],0)),0)</f>
        <v>4.216949255502267E-2</v>
      </c>
      <c r="AT68" s="33">
        <f>IFERROR(INDEX(acm[],MATCH($C68,acm[[Country code]:[Country code]],0),MATCH(AT$1,acm[#Headers],0)),0)</f>
        <v>6.8128564206291431E-2</v>
      </c>
      <c r="AU68" s="33">
        <f>IFERROR(INDEX(acm[],MATCH($C68,acm[[Country code]:[Country code]],0),MATCH(AU$1,acm[#Headers],0)),0)</f>
        <v>0.10198240505659194</v>
      </c>
      <c r="AV68" s="33">
        <f>IFERROR(INDEX(acm[],MATCH($C68,acm[[Country code]:[Country code]],0),MATCH(AV$1,acm[#Headers],0)),0)</f>
        <v>0.13605351302737792</v>
      </c>
      <c r="AW68" s="33">
        <f>IFERROR(INDEX(acm[],MATCH($C68,acm[[Country code]:[Country code]],0),MATCH(AW$1,acm[#Headers],0)),0)</f>
        <v>0.1630731895776322</v>
      </c>
      <c r="AX68" s="33">
        <f>IFERROR(VLOOKUP(lmic_raw[[#This Row],[num]],life_exp[[Country code]:[2015-2020]],2,FALSE),0)</f>
        <v>78.822999999999993</v>
      </c>
    </row>
    <row r="69" spans="1:50" x14ac:dyDescent="0.25">
      <c r="A69" s="110" t="s">
        <v>134</v>
      </c>
      <c r="B69" s="104" t="s">
        <v>457</v>
      </c>
      <c r="C69" s="105">
        <v>426</v>
      </c>
      <c r="D69" s="84" t="s">
        <v>677</v>
      </c>
      <c r="E69" s="84" t="s">
        <v>594</v>
      </c>
      <c r="F69" s="84" t="s">
        <v>667</v>
      </c>
      <c r="G69" s="84" t="s">
        <v>678</v>
      </c>
      <c r="H69" s="33">
        <f>VLOOKUP(lmic_raw[[#This Row],[num]],pop[[Country code]:[pop_20]],2,FALSE)*1000</f>
        <v>2125267</v>
      </c>
      <c r="I69" s="117">
        <f>IFERROR(VLOOKUP(lmic_raw[[#This Row],[num]],pop[[Country code]:[pop_20]],2,FALSE)*VLOOKUP(lmic_raw[[#This Row],[num]],b_rate[[Country code]:[2015-2020]],2,FALSE),0)</f>
        <v>57454.468077999991</v>
      </c>
      <c r="J69">
        <f>IFERROR(MIN(VLOOKUP(lmic_raw[[#This Row],[iso3]],fac_b[],4,FALSE)/100,0.9999),0)</f>
        <v>0.89400000000000002</v>
      </c>
      <c r="K69" s="33">
        <f>VLOOKUP(lmic_raw[[#This Row],[iso3]],vax[[iso3]:[hbv3]],2,FALSE)/100</f>
        <v>0</v>
      </c>
      <c r="L69" s="33">
        <f>VLOOKUP(lmic_raw[[#This Row],[iso3]],vax[[iso3]:[hbv3]],3,FALSE)/100</f>
        <v>0.87</v>
      </c>
      <c r="M69">
        <f>IFERROR(VLOOKUP(lmic_raw[[#This Row],[iso3]], hbv_prev[[iso3]:[ub]],2,FALSE)/100,0)</f>
        <v>4.4600000000000001E-2</v>
      </c>
      <c r="N69">
        <f>IFERROR(VLOOKUP(lmic_raw[[#This Row],[setting]],hbe_prev[],3,FALSE),0)</f>
        <v>0.26721730975121849</v>
      </c>
      <c r="O69">
        <f>VLOOKUP(lmic_raw[[#This Row],[gbd_super]],hbe_risk[],2,FALSE)</f>
        <v>0.38300000000000001</v>
      </c>
      <c r="P69" s="33">
        <f>VLOOKUP(lmic_raw[[#This Row],[gbd_super]],hbe_risk[],5,FALSE)</f>
        <v>4.8000000000000001E-2</v>
      </c>
      <c r="Q69">
        <f>IFERROR(VLOOKUP(lmic_raw[[#This Row],[setting]],disease_costs!$A$4:$B$197,2,FALSE),0)</f>
        <v>3.6433953926615228</v>
      </c>
      <c r="R69">
        <f>IFERROR(VLOOKUP(lmic_raw[[#This Row],[gbd_super]],disease_costs!$G$4:$K$9,2,FALSE),0)</f>
        <v>29.920500000000001</v>
      </c>
      <c r="S69" s="33">
        <f>IFERROR(VLOOKUP(lmic_raw[[#This Row],[gbd_super]],disease_costs!$G$4:$K$9,3,FALSE),0)</f>
        <v>77.662500000000009</v>
      </c>
      <c r="T69" s="33">
        <f>IFERROR(VLOOKUP(lmic_raw[[#This Row],[gbd_super]],disease_costs!$G$4:$K$9,4,FALSE),0)</f>
        <v>77.662500000000009</v>
      </c>
      <c r="U69" s="33">
        <f>IFERROR(VLOOKUP(lmic_raw[[#This Row],[gbd_super]],disease_costs!$G$4:$K$9,5,FALSE),0)</f>
        <v>77.662500000000009</v>
      </c>
      <c r="V69">
        <f>IFERROR(VLOOKUP(lmic_raw[[#This Row],[setting]],vcost[],3,FALSE),0)</f>
        <v>4.5703166864280105</v>
      </c>
      <c r="W69">
        <f>IFERROR(VLOOKUP(lmic_raw[[#This Row],[setting]],vcost[],4,FALSE),0)</f>
        <v>9.4003166864280097</v>
      </c>
      <c r="X69">
        <f>IFERROR(VLOOKUP(lmic_raw[[#This Row],[setting]],vcost[],5,FALSE),0)</f>
        <v>4.1461323169150983</v>
      </c>
      <c r="Y69">
        <f>IFERROR(VLOOKUP(lmic_raw[[#This Row],[setting]],vcost[],6,FALSE),0)</f>
        <v>8.9761323169150984</v>
      </c>
      <c r="Z69">
        <f>IFERROR(VLOOKUP(lmic_raw[[#This Row],[setting]],vcost[],7,FALSE),0)</f>
        <v>8.9737473325025547</v>
      </c>
      <c r="AA69">
        <f>IFERROR(VLOOKUP(lmic_raw[[#This Row],[setting]],vcost[],8,FALSE),0)</f>
        <v>4.8114463954408269</v>
      </c>
      <c r="AB69">
        <f>IFERROR(VLOOKUP(lmic_raw[[#This Row],[setting]],vcost[],9,FALSE),0)</f>
        <v>9.6414463954408269</v>
      </c>
      <c r="AC69" s="33">
        <f>IFERROR(INDEX(acm[],MATCH($C69,acm[[Country code]:[Country code]],0),MATCH(AC$1,acm[#Headers],0)),0)</f>
        <v>6.2258699999999952E-2</v>
      </c>
      <c r="AD69" s="33">
        <f>IFERROR(INDEX(acm[],MATCH($C69,acm[[Country code]:[Country code]],0),MATCH(AD$1,acm[#Headers],0)),0)</f>
        <v>6.6132311758051116E-3</v>
      </c>
      <c r="AE69" s="33">
        <f>IFERROR(INDEX(acm[],MATCH($C69,acm[[Country code]:[Country code]],0),MATCH(AE$1,acm[#Headers],0)),0)</f>
        <v>1.7266721968139435E-3</v>
      </c>
      <c r="AF69" s="33">
        <f>IFERROR(INDEX(acm[],MATCH($C69,acm[[Country code]:[Country code]],0),MATCH(AF$1,acm[#Headers],0)),0)</f>
        <v>1.4284612535655375E-3</v>
      </c>
      <c r="AG69" s="33">
        <f>IFERROR(INDEX(acm[],MATCH($C69,acm[[Country code]:[Country code]],0),MATCH(AG$1,acm[#Headers],0)),0)</f>
        <v>2.1940209111963459E-3</v>
      </c>
      <c r="AH69" s="33">
        <f>IFERROR(INDEX(acm[],MATCH($C69,acm[[Country code]:[Country code]],0),MATCH(AH$1,acm[#Headers],0)),0)</f>
        <v>4.0249037558360802E-3</v>
      </c>
      <c r="AI69" s="33">
        <f>IFERROR(INDEX(acm[],MATCH($C69,acm[[Country code]:[Country code]],0),MATCH(AI$1,acm[#Headers],0)),0)</f>
        <v>7.4365963756345427E-3</v>
      </c>
      <c r="AJ69" s="33">
        <f>IFERROR(INDEX(acm[],MATCH($C69,acm[[Country code]:[Country code]],0),MATCH(AJ$1,acm[#Headers],0)),0)</f>
        <v>1.1221237110864302E-2</v>
      </c>
      <c r="AK69" s="33">
        <f>IFERROR(INDEX(acm[],MATCH($C69,acm[[Country code]:[Country code]],0),MATCH(AK$1,acm[#Headers],0)),0)</f>
        <v>1.6457366803924959E-2</v>
      </c>
      <c r="AL69" s="33">
        <f>IFERROR(INDEX(acm[],MATCH($C69,acm[[Country code]:[Country code]],0),MATCH(AL$1,acm[#Headers],0)),0)</f>
        <v>1.8570149582324235E-2</v>
      </c>
      <c r="AM69" s="33">
        <f>IFERROR(INDEX(acm[],MATCH($C69,acm[[Country code]:[Country code]],0),MATCH(AM$1,acm[#Headers],0)),0)</f>
        <v>2.0615706205023586E-2</v>
      </c>
      <c r="AN69" s="33">
        <f>IFERROR(INDEX(acm[],MATCH($C69,acm[[Country code]:[Country code]],0),MATCH(AN$1,acm[#Headers],0)),0)</f>
        <v>2.2196201470808335E-2</v>
      </c>
      <c r="AO69" s="33">
        <f>IFERROR(INDEX(acm[],MATCH($C69,acm[[Country code]:[Country code]],0),MATCH(AO$1,acm[#Headers],0)),0)</f>
        <v>2.4970791637420244E-2</v>
      </c>
      <c r="AP69" s="33">
        <f>IFERROR(INDEX(acm[],MATCH($C69,acm[[Country code]:[Country code]],0),MATCH(AP$1,acm[#Headers],0)),0)</f>
        <v>3.0223653779950108E-2</v>
      </c>
      <c r="AQ69" s="33">
        <f>IFERROR(INDEX(acm[],MATCH($C69,acm[[Country code]:[Country code]],0),MATCH(AQ$1,acm[#Headers],0)),0)</f>
        <v>3.964174022607498E-2</v>
      </c>
      <c r="AR69" s="33">
        <f>IFERROR(INDEX(acm[],MATCH($C69,acm[[Country code]:[Country code]],0),MATCH(AR$1,acm[#Headers],0)),0)</f>
        <v>5.4468780684668913E-2</v>
      </c>
      <c r="AS69" s="33">
        <f>IFERROR(INDEX(acm[],MATCH($C69,acm[[Country code]:[Country code]],0),MATCH(AS$1,acm[#Headers],0)),0)</f>
        <v>7.4592118098832871E-2</v>
      </c>
      <c r="AT69" s="33">
        <f>IFERROR(INDEX(acm[],MATCH($C69,acm[[Country code]:[Country code]],0),MATCH(AT$1,acm[#Headers],0)),0)</f>
        <v>0.10574099679242542</v>
      </c>
      <c r="AU69" s="33">
        <f>IFERROR(INDEX(acm[],MATCH($C69,acm[[Country code]:[Country code]],0),MATCH(AU$1,acm[#Headers],0)),0)</f>
        <v>0.14301837354200442</v>
      </c>
      <c r="AV69" s="33">
        <f>IFERROR(INDEX(acm[],MATCH($C69,acm[[Country code]:[Country code]],0),MATCH(AV$1,acm[#Headers],0)),0)</f>
        <v>0.17102403238973332</v>
      </c>
      <c r="AW69" s="33">
        <f>IFERROR(INDEX(acm[],MATCH($C69,acm[[Country code]:[Country code]],0),MATCH(AW$1,acm[#Headers],0)),0)</f>
        <v>0.18239025525443139</v>
      </c>
      <c r="AX69" s="33">
        <f>IFERROR(VLOOKUP(lmic_raw[[#This Row],[num]],life_exp[[Country code]:[2015-2020]],2,FALSE),0)</f>
        <v>53.511000000000003</v>
      </c>
    </row>
    <row r="70" spans="1:50" x14ac:dyDescent="0.25">
      <c r="A70" s="109" t="s">
        <v>146</v>
      </c>
      <c r="B70" s="101" t="s">
        <v>458</v>
      </c>
      <c r="C70" s="102">
        <v>430</v>
      </c>
      <c r="D70" s="82" t="s">
        <v>677</v>
      </c>
      <c r="E70" s="82" t="s">
        <v>591</v>
      </c>
      <c r="F70" s="82" t="s">
        <v>667</v>
      </c>
      <c r="G70" s="82" t="s">
        <v>674</v>
      </c>
      <c r="H70" s="33">
        <f>VLOOKUP(lmic_raw[[#This Row],[num]],pop[[Country code]:[pop_20]],2,FALSE)*1000</f>
        <v>4937374</v>
      </c>
      <c r="I70" s="117">
        <f>IFERROR(VLOOKUP(lmic_raw[[#This Row],[num]],pop[[Country code]:[pop_20]],2,FALSE)*VLOOKUP(lmic_raw[[#This Row],[num]],b_rate[[Country code]:[2015-2020]],2,FALSE),0)</f>
        <v>164024.50165399996</v>
      </c>
      <c r="J70">
        <f>IFERROR(MIN(VLOOKUP(lmic_raw[[#This Row],[iso3]],fac_b[],4,FALSE)/100,0.9999),0)</f>
        <v>0.79799999999999993</v>
      </c>
      <c r="K70" s="33">
        <f>VLOOKUP(lmic_raw[[#This Row],[iso3]],vax[[iso3]:[hbv3]],2,FALSE)/100</f>
        <v>0</v>
      </c>
      <c r="L70" s="33">
        <f>VLOOKUP(lmic_raw[[#This Row],[iso3]],vax[[iso3]:[hbv3]],3,FALSE)/100</f>
        <v>0.74</v>
      </c>
      <c r="M70">
        <f>IFERROR(VLOOKUP(lmic_raw[[#This Row],[iso3]], hbv_prev[[iso3]:[ub]],2,FALSE)/100,0)</f>
        <v>0.14899999999999999</v>
      </c>
      <c r="N70">
        <f>IFERROR(VLOOKUP(lmic_raw[[#This Row],[setting]],hbe_prev[],3,FALSE),0)</f>
        <v>0.30108171495787017</v>
      </c>
      <c r="O70">
        <f>VLOOKUP(lmic_raw[[#This Row],[gbd_super]],hbe_risk[],2,FALSE)</f>
        <v>0.38300000000000001</v>
      </c>
      <c r="P70" s="33">
        <f>VLOOKUP(lmic_raw[[#This Row],[gbd_super]],hbe_risk[],5,FALSE)</f>
        <v>4.8000000000000001E-2</v>
      </c>
      <c r="Q70">
        <f>IFERROR(VLOOKUP(lmic_raw[[#This Row],[setting]],disease_costs!$A$4:$B$197,2,FALSE),0)</f>
        <v>2.4564903768895445</v>
      </c>
      <c r="R70">
        <f>IFERROR(VLOOKUP(lmic_raw[[#This Row],[gbd_super]],disease_costs!$G$4:$K$9,2,FALSE),0)</f>
        <v>29.920500000000001</v>
      </c>
      <c r="S70" s="33">
        <f>IFERROR(VLOOKUP(lmic_raw[[#This Row],[gbd_super]],disease_costs!$G$4:$K$9,3,FALSE),0)</f>
        <v>77.662500000000009</v>
      </c>
      <c r="T70" s="33">
        <f>IFERROR(VLOOKUP(lmic_raw[[#This Row],[gbd_super]],disease_costs!$G$4:$K$9,4,FALSE),0)</f>
        <v>77.662500000000009</v>
      </c>
      <c r="U70" s="33">
        <f>IFERROR(VLOOKUP(lmic_raw[[#This Row],[gbd_super]],disease_costs!$G$4:$K$9,5,FALSE),0)</f>
        <v>77.662500000000009</v>
      </c>
      <c r="V70">
        <f>IFERROR(VLOOKUP(lmic_raw[[#This Row],[setting]],vcost[],3,FALSE),0)</f>
        <v>2.6116195117754248</v>
      </c>
      <c r="W70">
        <f>IFERROR(VLOOKUP(lmic_raw[[#This Row],[setting]],vcost[],4,FALSE),0)</f>
        <v>7.4416195117754249</v>
      </c>
      <c r="X70">
        <f>IFERROR(VLOOKUP(lmic_raw[[#This Row],[setting]],vcost[],5,FALSE),0)</f>
        <v>2.1883361115225277</v>
      </c>
      <c r="Y70">
        <f>IFERROR(VLOOKUP(lmic_raw[[#This Row],[setting]],vcost[],6,FALSE),0)</f>
        <v>7.0183361115225278</v>
      </c>
      <c r="Z70">
        <f>IFERROR(VLOOKUP(lmic_raw[[#This Row],[setting]],vcost[],7,FALSE),0)</f>
        <v>7.0162987083110915</v>
      </c>
      <c r="AA70">
        <f>IFERROR(VLOOKUP(lmic_raw[[#This Row],[setting]],vcost[],8,FALSE),0)</f>
        <v>2.8524244527991676</v>
      </c>
      <c r="AB70">
        <f>IFERROR(VLOOKUP(lmic_raw[[#This Row],[setting]],vcost[],9,FALSE),0)</f>
        <v>7.6824244527991681</v>
      </c>
      <c r="AC70" s="33">
        <f>IFERROR(INDEX(acm[],MATCH($C70,acm[[Country code]:[Country code]],0),MATCH(AC$1,acm[#Headers],0)),0)</f>
        <v>5.4073959999999935E-2</v>
      </c>
      <c r="AD70" s="33">
        <f>IFERROR(INDEX(acm[],MATCH($C70,acm[[Country code]:[Country code]],0),MATCH(AD$1,acm[#Headers],0)),0)</f>
        <v>5.2957549408408616E-3</v>
      </c>
      <c r="AE70" s="33">
        <f>IFERROR(INDEX(acm[],MATCH($C70,acm[[Country code]:[Country code]],0),MATCH(AE$1,acm[#Headers],0)),0)</f>
        <v>1.52445790798108E-3</v>
      </c>
      <c r="AF70" s="33">
        <f>IFERROR(INDEX(acm[],MATCH($C70,acm[[Country code]:[Country code]],0),MATCH(AF$1,acm[#Headers],0)),0)</f>
        <v>1.0831044156668853E-3</v>
      </c>
      <c r="AG70" s="33">
        <f>IFERROR(INDEX(acm[],MATCH($C70,acm[[Country code]:[Country code]],0),MATCH(AG$1,acm[#Headers],0)),0)</f>
        <v>1.7024033119997914E-3</v>
      </c>
      <c r="AH70" s="33">
        <f>IFERROR(INDEX(acm[],MATCH($C70,acm[[Country code]:[Country code]],0),MATCH(AH$1,acm[#Headers],0)),0)</f>
        <v>2.505124347243223E-3</v>
      </c>
      <c r="AI70" s="33">
        <f>IFERROR(INDEX(acm[],MATCH($C70,acm[[Country code]:[Country code]],0),MATCH(AI$1,acm[#Headers],0)),0)</f>
        <v>3.0446352469821686E-3</v>
      </c>
      <c r="AJ70" s="33">
        <f>IFERROR(INDEX(acm[],MATCH($C70,acm[[Country code]:[Country code]],0),MATCH(AJ$1,acm[#Headers],0)),0)</f>
        <v>3.6660693798895804E-3</v>
      </c>
      <c r="AK70" s="33">
        <f>IFERROR(INDEX(acm[],MATCH($C70,acm[[Country code]:[Country code]],0),MATCH(AK$1,acm[#Headers],0)),0)</f>
        <v>4.5674204120736001E-3</v>
      </c>
      <c r="AL70" s="33">
        <f>IFERROR(INDEX(acm[],MATCH($C70,acm[[Country code]:[Country code]],0),MATCH(AL$1,acm[#Headers],0)),0)</f>
        <v>5.7264048718262961E-3</v>
      </c>
      <c r="AM70" s="33">
        <f>IFERROR(INDEX(acm[],MATCH($C70,acm[[Country code]:[Country code]],0),MATCH(AM$1,acm[#Headers],0)),0)</f>
        <v>7.1244541232867295E-3</v>
      </c>
      <c r="AN70" s="33">
        <f>IFERROR(INDEX(acm[],MATCH($C70,acm[[Country code]:[Country code]],0),MATCH(AN$1,acm[#Headers],0)),0)</f>
        <v>9.8491366116745579E-3</v>
      </c>
      <c r="AO70" s="33">
        <f>IFERROR(INDEX(acm[],MATCH($C70,acm[[Country code]:[Country code]],0),MATCH(AO$1,acm[#Headers],0)),0)</f>
        <v>1.3062631100648247E-2</v>
      </c>
      <c r="AP70" s="33">
        <f>IFERROR(INDEX(acm[],MATCH($C70,acm[[Country code]:[Country code]],0),MATCH(AP$1,acm[#Headers],0)),0)</f>
        <v>1.9392439955066558E-2</v>
      </c>
      <c r="AQ70" s="33">
        <f>IFERROR(INDEX(acm[],MATCH($C70,acm[[Country code]:[Country code]],0),MATCH(AQ$1,acm[#Headers],0)),0)</f>
        <v>2.9772070140555093E-2</v>
      </c>
      <c r="AR70" s="33">
        <f>IFERROR(INDEX(acm[],MATCH($C70,acm[[Country code]:[Country code]],0),MATCH(AR$1,acm[#Headers],0)),0)</f>
        <v>4.6267125748531791E-2</v>
      </c>
      <c r="AS70" s="33">
        <f>IFERROR(INDEX(acm[],MATCH($C70,acm[[Country code]:[Country code]],0),MATCH(AS$1,acm[#Headers],0)),0)</f>
        <v>7.0807722608555682E-2</v>
      </c>
      <c r="AT70" s="33">
        <f>IFERROR(INDEX(acm[],MATCH($C70,acm[[Country code]:[Country code]],0),MATCH(AT$1,acm[#Headers],0)),0)</f>
        <v>0.10575373670824074</v>
      </c>
      <c r="AU70" s="33">
        <f>IFERROR(INDEX(acm[],MATCH($C70,acm[[Country code]:[Country code]],0),MATCH(AU$1,acm[#Headers],0)),0)</f>
        <v>0.14561767613240678</v>
      </c>
      <c r="AV70" s="33">
        <f>IFERROR(INDEX(acm[],MATCH($C70,acm[[Country code]:[Country code]],0),MATCH(AV$1,acm[#Headers],0)),0)</f>
        <v>0.17837986369653361</v>
      </c>
      <c r="AW70" s="33">
        <f>IFERROR(INDEX(acm[],MATCH($C70,acm[[Country code]:[Country code]],0),MATCH(AW$1,acm[#Headers],0)),0)</f>
        <v>0.18904660956397684</v>
      </c>
      <c r="AX70" s="33">
        <f>IFERROR(VLOOKUP(lmic_raw[[#This Row],[num]],life_exp[[Country code]:[2015-2020]],2,FALSE),0)</f>
        <v>63.595999999999997</v>
      </c>
    </row>
    <row r="71" spans="1:50" x14ac:dyDescent="0.25">
      <c r="A71" s="110" t="s">
        <v>159</v>
      </c>
      <c r="B71" s="104" t="s">
        <v>459</v>
      </c>
      <c r="C71" s="105">
        <v>434</v>
      </c>
      <c r="D71" s="84" t="s">
        <v>673</v>
      </c>
      <c r="E71" s="84" t="s">
        <v>579</v>
      </c>
      <c r="F71" s="84" t="s">
        <v>579</v>
      </c>
      <c r="G71" s="84" t="s">
        <v>676</v>
      </c>
      <c r="H71" s="33">
        <f>VLOOKUP(lmic_raw[[#This Row],[num]],pop[[Country code]:[pop_20]],2,FALSE)*1000</f>
        <v>6777453</v>
      </c>
      <c r="I71" s="117">
        <f>IFERROR(VLOOKUP(lmic_raw[[#This Row],[num]],pop[[Country code]:[pop_20]],2,FALSE)*VLOOKUP(lmic_raw[[#This Row],[num]],b_rate[[Country code]:[2015-2020]],2,FALSE),0)</f>
        <v>128805.494265</v>
      </c>
      <c r="J71">
        <f>IFERROR(MIN(VLOOKUP(lmic_raw[[#This Row],[iso3]],fac_b[],4,FALSE)/100,0.9999),0)</f>
        <v>0.99900000000000011</v>
      </c>
      <c r="K71" s="33">
        <f>VLOOKUP(lmic_raw[[#This Row],[iso3]],vax[[iso3]:[hbv3]],2,FALSE)/100</f>
        <v>0</v>
      </c>
      <c r="L71" s="33">
        <f>VLOOKUP(lmic_raw[[#This Row],[iso3]],vax[[iso3]:[hbv3]],3,FALSE)/100</f>
        <v>0.73</v>
      </c>
      <c r="M71">
        <f>IFERROR(VLOOKUP(lmic_raw[[#This Row],[iso3]], hbv_prev[[iso3]:[ub]],2,FALSE)/100,0)</f>
        <v>1.84E-2</v>
      </c>
      <c r="N71">
        <f>IFERROR(VLOOKUP(lmic_raw[[#This Row],[setting]],hbe_prev[],3,FALSE),0)</f>
        <v>0.23149406092069991</v>
      </c>
      <c r="O71">
        <f>VLOOKUP(lmic_raw[[#This Row],[gbd_super]],hbe_risk[],2,FALSE)</f>
        <v>0.8</v>
      </c>
      <c r="P71" s="33">
        <f>VLOOKUP(lmic_raw[[#This Row],[gbd_super]],hbe_risk[],5,FALSE)</f>
        <v>0.17499999999999999</v>
      </c>
      <c r="Q71">
        <f>IFERROR(VLOOKUP(lmic_raw[[#This Row],[setting]],disease_costs!$A$4:$B$197,2,FALSE),0)</f>
        <v>12.972468816629274</v>
      </c>
      <c r="R71">
        <f>IFERROR(VLOOKUP(lmic_raw[[#This Row],[gbd_super]],disease_costs!$G$4:$K$9,2,FALSE),0)</f>
        <v>46.335900000000002</v>
      </c>
      <c r="S71" s="33">
        <f>IFERROR(VLOOKUP(lmic_raw[[#This Row],[gbd_super]],disease_costs!$G$4:$K$9,3,FALSE),0)</f>
        <v>94.077900000000014</v>
      </c>
      <c r="T71" s="33">
        <f>IFERROR(VLOOKUP(lmic_raw[[#This Row],[gbd_super]],disease_costs!$G$4:$K$9,4,FALSE),0)</f>
        <v>94.077900000000014</v>
      </c>
      <c r="U71" s="33">
        <f>IFERROR(VLOOKUP(lmic_raw[[#This Row],[gbd_super]],disease_costs!$G$4:$K$9,5,FALSE),0)</f>
        <v>94.077900000000014</v>
      </c>
      <c r="V71">
        <f>IFERROR(VLOOKUP(lmic_raw[[#This Row],[setting]],vcost[],3,FALSE),0)</f>
        <v>6.240826824357339</v>
      </c>
      <c r="W71">
        <f>IFERROR(VLOOKUP(lmic_raw[[#This Row],[setting]],vcost[],4,FALSE),0)</f>
        <v>6.7208268243573386</v>
      </c>
      <c r="X71">
        <f>IFERROR(VLOOKUP(lmic_raw[[#This Row],[setting]],vcost[],5,FALSE),0)</f>
        <v>5.7992247273016977</v>
      </c>
      <c r="Y71">
        <f>IFERROR(VLOOKUP(lmic_raw[[#This Row],[setting]],vcost[],6,FALSE),0)</f>
        <v>6.2792247273016972</v>
      </c>
      <c r="Z71">
        <f>IFERROR(VLOOKUP(lmic_raw[[#This Row],[setting]],vcost[],7,FALSE),0)</f>
        <v>6.2700187004248953</v>
      </c>
      <c r="AA71">
        <f>IFERROR(VLOOKUP(lmic_raw[[#This Row],[setting]],vcost[],8,FALSE),0)</f>
        <v>6.4882350165541629</v>
      </c>
      <c r="AB71">
        <f>IFERROR(VLOOKUP(lmic_raw[[#This Row],[setting]],vcost[],9,FALSE),0)</f>
        <v>6.9682350165541624</v>
      </c>
      <c r="AC71" s="33">
        <f>IFERROR(INDEX(acm[],MATCH($C71,acm[[Country code]:[Country code]],0),MATCH(AC$1,acm[#Headers],0)),0)</f>
        <v>1.0531420000000071E-2</v>
      </c>
      <c r="AD71" s="33">
        <f>IFERROR(INDEX(acm[],MATCH($C71,acm[[Country code]:[Country code]],0),MATCH(AD$1,acm[#Headers],0)),0)</f>
        <v>5.4867836227803454E-4</v>
      </c>
      <c r="AE71" s="33">
        <f>IFERROR(INDEX(acm[],MATCH($C71,acm[[Country code]:[Country code]],0),MATCH(AE$1,acm[#Headers],0)),0)</f>
        <v>3.8625662564065156E-4</v>
      </c>
      <c r="AF71" s="33">
        <f>IFERROR(INDEX(acm[],MATCH($C71,acm[[Country code]:[Country code]],0),MATCH(AF$1,acm[#Headers],0)),0)</f>
        <v>3.9330408218071127E-4</v>
      </c>
      <c r="AG71" s="33">
        <f>IFERROR(INDEX(acm[],MATCH($C71,acm[[Country code]:[Country code]],0),MATCH(AG$1,acm[#Headers],0)),0)</f>
        <v>9.9041495082366417E-4</v>
      </c>
      <c r="AH71" s="33">
        <f>IFERROR(INDEX(acm[],MATCH($C71,acm[[Country code]:[Country code]],0),MATCH(AH$1,acm[#Headers],0)),0)</f>
        <v>1.3402306444718099E-3</v>
      </c>
      <c r="AI71" s="33">
        <f>IFERROR(INDEX(acm[],MATCH($C71,acm[[Country code]:[Country code]],0),MATCH(AI$1,acm[#Headers],0)),0)</f>
        <v>1.4241984061556954E-3</v>
      </c>
      <c r="AJ71" s="33">
        <f>IFERROR(INDEX(acm[],MATCH($C71,acm[[Country code]:[Country code]],0),MATCH(AJ$1,acm[#Headers],0)),0)</f>
        <v>1.5695632040894076E-3</v>
      </c>
      <c r="AK71" s="33">
        <f>IFERROR(INDEX(acm[],MATCH($C71,acm[[Country code]:[Country code]],0),MATCH(AK$1,acm[#Headers],0)),0)</f>
        <v>1.9703487816216912E-3</v>
      </c>
      <c r="AL71" s="33">
        <f>IFERROR(INDEX(acm[],MATCH($C71,acm[[Country code]:[Country code]],0),MATCH(AL$1,acm[#Headers],0)),0)</f>
        <v>2.7760638742324495E-3</v>
      </c>
      <c r="AM71" s="33">
        <f>IFERROR(INDEX(acm[],MATCH($C71,acm[[Country code]:[Country code]],0),MATCH(AM$1,acm[#Headers],0)),0)</f>
        <v>3.9573649847061505E-3</v>
      </c>
      <c r="AN71" s="33">
        <f>IFERROR(INDEX(acm[],MATCH($C71,acm[[Country code]:[Country code]],0),MATCH(AN$1,acm[#Headers],0)),0)</f>
        <v>6.2185748766793924E-3</v>
      </c>
      <c r="AO71" s="33">
        <f>IFERROR(INDEX(acm[],MATCH($C71,acm[[Country code]:[Country code]],0),MATCH(AO$1,acm[#Headers],0)),0)</f>
        <v>9.9276112384405254E-3</v>
      </c>
      <c r="AP71" s="33">
        <f>IFERROR(INDEX(acm[],MATCH($C71,acm[[Country code]:[Country code]],0),MATCH(AP$1,acm[#Headers],0)),0)</f>
        <v>1.565021934762157E-2</v>
      </c>
      <c r="AQ71" s="33">
        <f>IFERROR(INDEX(acm[],MATCH($C71,acm[[Country code]:[Country code]],0),MATCH(AQ$1,acm[#Headers],0)),0)</f>
        <v>2.5204190475132573E-2</v>
      </c>
      <c r="AR71" s="33">
        <f>IFERROR(INDEX(acm[],MATCH($C71,acm[[Country code]:[Country code]],0),MATCH(AR$1,acm[#Headers],0)),0)</f>
        <v>3.8848447158774044E-2</v>
      </c>
      <c r="AS71" s="33">
        <f>IFERROR(INDEX(acm[],MATCH($C71,acm[[Country code]:[Country code]],0),MATCH(AS$1,acm[#Headers],0)),0)</f>
        <v>6.0941664647692489E-2</v>
      </c>
      <c r="AT71" s="33">
        <f>IFERROR(INDEX(acm[],MATCH($C71,acm[[Country code]:[Country code]],0),MATCH(AT$1,acm[#Headers],0)),0)</f>
        <v>9.2200239498518771E-2</v>
      </c>
      <c r="AU71" s="33">
        <f>IFERROR(INDEX(acm[],MATCH($C71,acm[[Country code]:[Country code]],0),MATCH(AU$1,acm[#Headers],0)),0)</f>
        <v>0.12696757676055212</v>
      </c>
      <c r="AV71" s="33">
        <f>IFERROR(INDEX(acm[],MATCH($C71,acm[[Country code]:[Country code]],0),MATCH(AV$1,acm[#Headers],0)),0)</f>
        <v>0.15770097164571453</v>
      </c>
      <c r="AW71" s="33">
        <f>IFERROR(INDEX(acm[],MATCH($C71,acm[[Country code]:[Country code]],0),MATCH(AW$1,acm[#Headers],0)),0)</f>
        <v>0.17638925653713555</v>
      </c>
      <c r="AX71" s="33">
        <f>IFERROR(VLOOKUP(lmic_raw[[#This Row],[num]],life_exp[[Country code]:[2015-2020]],2,FALSE),0)</f>
        <v>72.700999999999993</v>
      </c>
    </row>
    <row r="72" spans="1:50" x14ac:dyDescent="0.25">
      <c r="A72" s="109" t="s">
        <v>107</v>
      </c>
      <c r="B72" s="101" t="s">
        <v>461</v>
      </c>
      <c r="C72" s="102">
        <v>450</v>
      </c>
      <c r="D72" s="82" t="s">
        <v>677</v>
      </c>
      <c r="E72" s="82" t="s">
        <v>597</v>
      </c>
      <c r="F72" s="82" t="s">
        <v>667</v>
      </c>
      <c r="G72" s="82" t="s">
        <v>674</v>
      </c>
      <c r="H72" s="33">
        <f>VLOOKUP(lmic_raw[[#This Row],[num]],pop[[Country code]:[pop_20]],2,FALSE)*1000</f>
        <v>26969306</v>
      </c>
      <c r="I72" s="117">
        <f>IFERROR(VLOOKUP(lmic_raw[[#This Row],[num]],pop[[Country code]:[pop_20]],2,FALSE)*VLOOKUP(lmic_raw[[#This Row],[num]],b_rate[[Country code]:[2015-2020]],2,FALSE),0)</f>
        <v>885024.74569600006</v>
      </c>
      <c r="J72">
        <f>IFERROR(MIN(VLOOKUP(lmic_raw[[#This Row],[iso3]],fac_b[],4,FALSE)/100,0.9999),0)</f>
        <v>0.38700000000000001</v>
      </c>
      <c r="K72" s="33">
        <f>VLOOKUP(lmic_raw[[#This Row],[iso3]],vax[[iso3]:[hbv3]],2,FALSE)/100</f>
        <v>0</v>
      </c>
      <c r="L72" s="33">
        <f>VLOOKUP(lmic_raw[[#This Row],[iso3]],vax[[iso3]:[hbv3]],3,FALSE)/100</f>
        <v>0.79</v>
      </c>
      <c r="M72">
        <f>IFERROR(VLOOKUP(lmic_raw[[#This Row],[iso3]], hbv_prev[[iso3]:[ub]],2,FALSE)/100,0)</f>
        <v>8.1600000000000006E-2</v>
      </c>
      <c r="N72">
        <f>IFERROR(VLOOKUP(lmic_raw[[#This Row],[setting]],hbe_prev[],3,FALSE),0)</f>
        <v>0.29788552997961965</v>
      </c>
      <c r="O72">
        <f>VLOOKUP(lmic_raw[[#This Row],[gbd_super]],hbe_risk[],2,FALSE)</f>
        <v>0.38300000000000001</v>
      </c>
      <c r="P72" s="33">
        <f>VLOOKUP(lmic_raw[[#This Row],[gbd_super]],hbe_risk[],5,FALSE)</f>
        <v>4.8000000000000001E-2</v>
      </c>
      <c r="Q72">
        <f>IFERROR(VLOOKUP(lmic_raw[[#This Row],[setting]],disease_costs!$A$4:$B$197,2,FALSE),0)</f>
        <v>2.4446213267318244</v>
      </c>
      <c r="R72">
        <f>IFERROR(VLOOKUP(lmic_raw[[#This Row],[gbd_super]],disease_costs!$G$4:$K$9,2,FALSE),0)</f>
        <v>29.920500000000001</v>
      </c>
      <c r="S72" s="33">
        <f>IFERROR(VLOOKUP(lmic_raw[[#This Row],[gbd_super]],disease_costs!$G$4:$K$9,3,FALSE),0)</f>
        <v>77.662500000000009</v>
      </c>
      <c r="T72" s="33">
        <f>IFERROR(VLOOKUP(lmic_raw[[#This Row],[gbd_super]],disease_costs!$G$4:$K$9,4,FALSE),0)</f>
        <v>77.662500000000009</v>
      </c>
      <c r="U72" s="33">
        <f>IFERROR(VLOOKUP(lmic_raw[[#This Row],[gbd_super]],disease_costs!$G$4:$K$9,5,FALSE),0)</f>
        <v>77.662500000000009</v>
      </c>
      <c r="V72">
        <f>IFERROR(VLOOKUP(lmic_raw[[#This Row],[setting]],vcost[],3,FALSE),0)</f>
        <v>1.4779117693499806</v>
      </c>
      <c r="W72">
        <f>IFERROR(VLOOKUP(lmic_raw[[#This Row],[setting]],vcost[],4,FALSE),0)</f>
        <v>6.3079117693499809</v>
      </c>
      <c r="X72">
        <f>IFERROR(VLOOKUP(lmic_raw[[#This Row],[setting]],vcost[],5,FALSE),0)</f>
        <v>1.0550040842118251</v>
      </c>
      <c r="Y72">
        <f>IFERROR(VLOOKUP(lmic_raw[[#This Row],[setting]],vcost[],6,FALSE),0)</f>
        <v>5.8850040842118254</v>
      </c>
      <c r="Z72">
        <f>IFERROR(VLOOKUP(lmic_raw[[#This Row],[setting]],vcost[],7,FALSE),0)</f>
        <v>5.8828711198908392</v>
      </c>
      <c r="AA72">
        <f>IFERROR(VLOOKUP(lmic_raw[[#This Row],[setting]],vcost[],8,FALSE),0)</f>
        <v>1.7185812781811993</v>
      </c>
      <c r="AB72">
        <f>IFERROR(VLOOKUP(lmic_raw[[#This Row],[setting]],vcost[],9,FALSE),0)</f>
        <v>6.5485812781811994</v>
      </c>
      <c r="AC72" s="33">
        <f>IFERROR(INDEX(acm[],MATCH($C72,acm[[Country code]:[Country code]],0),MATCH(AC$1,acm[#Headers],0)),0)</f>
        <v>2.9042229999999981E-2</v>
      </c>
      <c r="AD72" s="33">
        <f>IFERROR(INDEX(acm[],MATCH($C72,acm[[Country code]:[Country code]],0),MATCH(AD$1,acm[#Headers],0)),0)</f>
        <v>3.6439664106091983E-3</v>
      </c>
      <c r="AE72" s="33">
        <f>IFERROR(INDEX(acm[],MATCH($C72,acm[[Country code]:[Country code]],0),MATCH(AE$1,acm[#Headers],0)),0)</f>
        <v>1.6834523540747452E-3</v>
      </c>
      <c r="AF72" s="33">
        <f>IFERROR(INDEX(acm[],MATCH($C72,acm[[Country code]:[Country code]],0),MATCH(AF$1,acm[#Headers],0)),0)</f>
        <v>1.3235498937898972E-3</v>
      </c>
      <c r="AG72" s="33">
        <f>IFERROR(INDEX(acm[],MATCH($C72,acm[[Country code]:[Country code]],0),MATCH(AG$1,acm[#Headers],0)),0)</f>
        <v>1.8405557617388985E-3</v>
      </c>
      <c r="AH72" s="33">
        <f>IFERROR(INDEX(acm[],MATCH($C72,acm[[Country code]:[Country code]],0),MATCH(AH$1,acm[#Headers],0)),0)</f>
        <v>2.1297075559801354E-3</v>
      </c>
      <c r="AI72" s="33">
        <f>IFERROR(INDEX(acm[],MATCH($C72,acm[[Country code]:[Country code]],0),MATCH(AI$1,acm[#Headers],0)),0)</f>
        <v>2.3597552765719457E-3</v>
      </c>
      <c r="AJ72" s="33">
        <f>IFERROR(INDEX(acm[],MATCH($C72,acm[[Country code]:[Country code]],0),MATCH(AJ$1,acm[#Headers],0)),0)</f>
        <v>3.0462817687957611E-3</v>
      </c>
      <c r="AK72" s="33">
        <f>IFERROR(INDEX(acm[],MATCH($C72,acm[[Country code]:[Country code]],0),MATCH(AK$1,acm[#Headers],0)),0)</f>
        <v>3.9158378288193249E-3</v>
      </c>
      <c r="AL72" s="33">
        <f>IFERROR(INDEX(acm[],MATCH($C72,acm[[Country code]:[Country code]],0),MATCH(AL$1,acm[#Headers],0)),0)</f>
        <v>5.0560933686190791E-3</v>
      </c>
      <c r="AM72" s="33">
        <f>IFERROR(INDEX(acm[],MATCH($C72,acm[[Country code]:[Country code]],0),MATCH(AM$1,acm[#Headers],0)),0)</f>
        <v>6.6609453681324626E-3</v>
      </c>
      <c r="AN72" s="33">
        <f>IFERROR(INDEX(acm[],MATCH($C72,acm[[Country code]:[Country code]],0),MATCH(AN$1,acm[#Headers],0)),0)</f>
        <v>8.909147653546251E-3</v>
      </c>
      <c r="AO72" s="33">
        <f>IFERROR(INDEX(acm[],MATCH($C72,acm[[Country code]:[Country code]],0),MATCH(AO$1,acm[#Headers],0)),0)</f>
        <v>1.2539945384315312E-2</v>
      </c>
      <c r="AP72" s="33">
        <f>IFERROR(INDEX(acm[],MATCH($C72,acm[[Country code]:[Country code]],0),MATCH(AP$1,acm[#Headers],0)),0)</f>
        <v>1.9163802476953571E-2</v>
      </c>
      <c r="AQ72" s="33">
        <f>IFERROR(INDEX(acm[],MATCH($C72,acm[[Country code]:[Country code]],0),MATCH(AQ$1,acm[#Headers],0)),0)</f>
        <v>3.0868734941865806E-2</v>
      </c>
      <c r="AR72" s="33">
        <f>IFERROR(INDEX(acm[],MATCH($C72,acm[[Country code]:[Country code]],0),MATCH(AR$1,acm[#Headers],0)),0)</f>
        <v>4.7153798553579193E-2</v>
      </c>
      <c r="AS72" s="33">
        <f>IFERROR(INDEX(acm[],MATCH($C72,acm[[Country code]:[Country code]],0),MATCH(AS$1,acm[#Headers],0)),0)</f>
        <v>6.8597014102592987E-2</v>
      </c>
      <c r="AT72" s="33">
        <f>IFERROR(INDEX(acm[],MATCH($C72,acm[[Country code]:[Country code]],0),MATCH(AT$1,acm[#Headers],0)),0)</f>
        <v>9.4966000440041484E-2</v>
      </c>
      <c r="AU72" s="33">
        <f>IFERROR(INDEX(acm[],MATCH($C72,acm[[Country code]:[Country code]],0),MATCH(AU$1,acm[#Headers],0)),0)</f>
        <v>0.1235420902524004</v>
      </c>
      <c r="AV72" s="33">
        <f>IFERROR(INDEX(acm[],MATCH($C72,acm[[Country code]:[Country code]],0),MATCH(AV$1,acm[#Headers],0)),0)</f>
        <v>0.14990314803508961</v>
      </c>
      <c r="AW72" s="33">
        <f>IFERROR(INDEX(acm[],MATCH($C72,acm[[Country code]:[Country code]],0),MATCH(AW$1,acm[#Headers],0)),0)</f>
        <v>0.16978520436301245</v>
      </c>
      <c r="AX72" s="33">
        <f>IFERROR(VLOOKUP(lmic_raw[[#This Row],[num]],life_exp[[Country code]:[2015-2020]],2,FALSE),0)</f>
        <v>66.486999999999995</v>
      </c>
    </row>
    <row r="73" spans="1:50" x14ac:dyDescent="0.25">
      <c r="A73" s="110" t="s">
        <v>108</v>
      </c>
      <c r="B73" s="104" t="s">
        <v>462</v>
      </c>
      <c r="C73" s="105">
        <v>454</v>
      </c>
      <c r="D73" s="84" t="s">
        <v>677</v>
      </c>
      <c r="E73" s="84" t="s">
        <v>597</v>
      </c>
      <c r="F73" s="84" t="s">
        <v>667</v>
      </c>
      <c r="G73" s="84" t="s">
        <v>674</v>
      </c>
      <c r="H73" s="33">
        <f>VLOOKUP(lmic_raw[[#This Row],[num]],pop[[Country code]:[pop_20]],2,FALSE)*1000</f>
        <v>18628749</v>
      </c>
      <c r="I73" s="117">
        <f>IFERROR(VLOOKUP(lmic_raw[[#This Row],[num]],pop[[Country code]:[pop_20]],2,FALSE)*VLOOKUP(lmic_raw[[#This Row],[num]],b_rate[[Country code]:[2015-2020]],2,FALSE),0)</f>
        <v>638127.7969950001</v>
      </c>
      <c r="J73">
        <f>IFERROR(MIN(VLOOKUP(lmic_raw[[#This Row],[iso3]],fac_b[],4,FALSE)/100,0.9999),0)</f>
        <v>0.91400000000000003</v>
      </c>
      <c r="K73" s="33">
        <f>VLOOKUP(lmic_raw[[#This Row],[iso3]],vax[[iso3]:[hbv3]],2,FALSE)/100</f>
        <v>0</v>
      </c>
      <c r="L73" s="33">
        <f>VLOOKUP(lmic_raw[[#This Row],[iso3]],vax[[iso3]:[hbv3]],3,FALSE)/100</f>
        <v>0.95</v>
      </c>
      <c r="M73">
        <f>IFERROR(VLOOKUP(lmic_raw[[#This Row],[iso3]], hbv_prev[[iso3]:[ub]],2,FALSE)/100,0)</f>
        <v>6.9099999999999995E-2</v>
      </c>
      <c r="N73">
        <f>IFERROR(VLOOKUP(lmic_raw[[#This Row],[setting]],hbe_prev[],3,FALSE),0)</f>
        <v>0.30116230649348613</v>
      </c>
      <c r="O73">
        <f>VLOOKUP(lmic_raw[[#This Row],[gbd_super]],hbe_risk[],2,FALSE)</f>
        <v>0.38300000000000001</v>
      </c>
      <c r="P73" s="33">
        <f>VLOOKUP(lmic_raw[[#This Row],[gbd_super]],hbe_risk[],5,FALSE)</f>
        <v>4.8000000000000001E-2</v>
      </c>
      <c r="Q73">
        <f>IFERROR(VLOOKUP(lmic_raw[[#This Row],[setting]],disease_costs!$A$4:$B$197,2,FALSE),0)</f>
        <v>2.7888237813056982</v>
      </c>
      <c r="R73">
        <f>IFERROR(VLOOKUP(lmic_raw[[#This Row],[gbd_super]],disease_costs!$G$4:$K$9,2,FALSE),0)</f>
        <v>29.920500000000001</v>
      </c>
      <c r="S73" s="33">
        <f>IFERROR(VLOOKUP(lmic_raw[[#This Row],[gbd_super]],disease_costs!$G$4:$K$9,3,FALSE),0)</f>
        <v>77.662500000000009</v>
      </c>
      <c r="T73" s="33">
        <f>IFERROR(VLOOKUP(lmic_raw[[#This Row],[gbd_super]],disease_costs!$G$4:$K$9,4,FALSE),0)</f>
        <v>77.662500000000009</v>
      </c>
      <c r="U73" s="33">
        <f>IFERROR(VLOOKUP(lmic_raw[[#This Row],[gbd_super]],disease_costs!$G$4:$K$9,5,FALSE),0)</f>
        <v>77.662500000000009</v>
      </c>
      <c r="V73">
        <f>IFERROR(VLOOKUP(lmic_raw[[#This Row],[setting]],vcost[],3,FALSE),0)</f>
        <v>2.3507181232818537</v>
      </c>
      <c r="W73">
        <f>IFERROR(VLOOKUP(lmic_raw[[#This Row],[setting]],vcost[],4,FALSE),0)</f>
        <v>7.1807181232818538</v>
      </c>
      <c r="X73">
        <f>IFERROR(VLOOKUP(lmic_raw[[#This Row],[setting]],vcost[],5,FALSE),0)</f>
        <v>1.9292403984020867</v>
      </c>
      <c r="Y73">
        <f>IFERROR(VLOOKUP(lmic_raw[[#This Row],[setting]],vcost[],6,FALSE),0)</f>
        <v>6.7592403984020866</v>
      </c>
      <c r="Z73">
        <f>IFERROR(VLOOKUP(lmic_raw[[#This Row],[setting]],vcost[],7,FALSE),0)</f>
        <v>6.757885933921715</v>
      </c>
      <c r="AA73">
        <f>IFERROR(VLOOKUP(lmic_raw[[#This Row],[setting]],vcost[],8,FALSE),0)</f>
        <v>2.5908721813222582</v>
      </c>
      <c r="AB73">
        <f>IFERROR(VLOOKUP(lmic_raw[[#This Row],[setting]],vcost[],9,FALSE),0)</f>
        <v>7.4208721813222578</v>
      </c>
      <c r="AC73" s="33">
        <f>IFERROR(INDEX(acm[],MATCH($C73,acm[[Country code]:[Country code]],0),MATCH(AC$1,acm[#Headers],0)),0)</f>
        <v>4.1335470000000062E-2</v>
      </c>
      <c r="AD73" s="33">
        <f>IFERROR(INDEX(acm[],MATCH($C73,acm[[Country code]:[Country code]],0),MATCH(AD$1,acm[#Headers],0)),0)</f>
        <v>3.6814390118303196E-3</v>
      </c>
      <c r="AE73" s="33">
        <f>IFERROR(INDEX(acm[],MATCH($C73,acm[[Country code]:[Country code]],0),MATCH(AE$1,acm[#Headers],0)),0)</f>
        <v>1.2469653854453703E-3</v>
      </c>
      <c r="AF73" s="33">
        <f>IFERROR(INDEX(acm[],MATCH($C73,acm[[Country code]:[Country code]],0),MATCH(AF$1,acm[#Headers],0)),0)</f>
        <v>9.7263713769861254E-4</v>
      </c>
      <c r="AG73" s="33">
        <f>IFERROR(INDEX(acm[],MATCH($C73,acm[[Country code]:[Country code]],0),MATCH(AG$1,acm[#Headers],0)),0)</f>
        <v>1.5993880527014931E-3</v>
      </c>
      <c r="AH73" s="33">
        <f>IFERROR(INDEX(acm[],MATCH($C73,acm[[Country code]:[Country code]],0),MATCH(AH$1,acm[#Headers],0)),0)</f>
        <v>2.5275224475715141E-3</v>
      </c>
      <c r="AI73" s="33">
        <f>IFERROR(INDEX(acm[],MATCH($C73,acm[[Country code]:[Country code]],0),MATCH(AI$1,acm[#Headers],0)),0)</f>
        <v>3.4714392776732262E-3</v>
      </c>
      <c r="AJ73" s="33">
        <f>IFERROR(INDEX(acm[],MATCH($C73,acm[[Country code]:[Country code]],0),MATCH(AJ$1,acm[#Headers],0)),0)</f>
        <v>4.5261698853361057E-3</v>
      </c>
      <c r="AK73" s="33">
        <f>IFERROR(INDEX(acm[],MATCH($C73,acm[[Country code]:[Country code]],0),MATCH(AK$1,acm[#Headers],0)),0)</f>
        <v>6.0382154238977888E-3</v>
      </c>
      <c r="AL73" s="33">
        <f>IFERROR(INDEX(acm[],MATCH($C73,acm[[Country code]:[Country code]],0),MATCH(AL$1,acm[#Headers],0)),0)</f>
        <v>7.4980385986603525E-3</v>
      </c>
      <c r="AM73" s="33">
        <f>IFERROR(INDEX(acm[],MATCH($C73,acm[[Country code]:[Country code]],0),MATCH(AM$1,acm[#Headers],0)),0)</f>
        <v>9.2345457449363785E-3</v>
      </c>
      <c r="AN73" s="33">
        <f>IFERROR(INDEX(acm[],MATCH($C73,acm[[Country code]:[Country code]],0),MATCH(AN$1,acm[#Headers],0)),0)</f>
        <v>1.2100708896732088E-2</v>
      </c>
      <c r="AO73" s="33">
        <f>IFERROR(INDEX(acm[],MATCH($C73,acm[[Country code]:[Country code]],0),MATCH(AO$1,acm[#Headers],0)),0)</f>
        <v>1.5460726609726467E-2</v>
      </c>
      <c r="AP73" s="33">
        <f>IFERROR(INDEX(acm[],MATCH($C73,acm[[Country code]:[Country code]],0),MATCH(AP$1,acm[#Headers],0)),0)</f>
        <v>2.1799763345410259E-2</v>
      </c>
      <c r="AQ73" s="33">
        <f>IFERROR(INDEX(acm[],MATCH($C73,acm[[Country code]:[Country code]],0),MATCH(AQ$1,acm[#Headers],0)),0)</f>
        <v>3.2008626279088702E-2</v>
      </c>
      <c r="AR73" s="33">
        <f>IFERROR(INDEX(acm[],MATCH($C73,acm[[Country code]:[Country code]],0),MATCH(AR$1,acm[#Headers],0)),0)</f>
        <v>4.7779408597282184E-2</v>
      </c>
      <c r="AS73" s="33">
        <f>IFERROR(INDEX(acm[],MATCH($C73,acm[[Country code]:[Country code]],0),MATCH(AS$1,acm[#Headers],0)),0)</f>
        <v>7.1035709828626961E-2</v>
      </c>
      <c r="AT73" s="33">
        <f>IFERROR(INDEX(acm[],MATCH($C73,acm[[Country code]:[Country code]],0),MATCH(AT$1,acm[#Headers],0)),0)</f>
        <v>0.10510650114198765</v>
      </c>
      <c r="AU73" s="33">
        <f>IFERROR(INDEX(acm[],MATCH($C73,acm[[Country code]:[Country code]],0),MATCH(AU$1,acm[#Headers],0)),0)</f>
        <v>0.1447171061326458</v>
      </c>
      <c r="AV73" s="33">
        <f>IFERROR(INDEX(acm[],MATCH($C73,acm[[Country code]:[Country code]],0),MATCH(AV$1,acm[#Headers],0)),0)</f>
        <v>0.17720147949830714</v>
      </c>
      <c r="AW73" s="33">
        <f>IFERROR(INDEX(acm[],MATCH($C73,acm[[Country code]:[Country code]],0),MATCH(AW$1,acm[#Headers],0)),0)</f>
        <v>0.18855382590770395</v>
      </c>
      <c r="AX73" s="33">
        <f>IFERROR(VLOOKUP(lmic_raw[[#This Row],[num]],life_exp[[Country code]:[2015-2020]],2,FALSE),0)</f>
        <v>63.432000000000002</v>
      </c>
    </row>
    <row r="74" spans="1:50" x14ac:dyDescent="0.25">
      <c r="A74" s="109" t="s">
        <v>215</v>
      </c>
      <c r="B74" s="101" t="s">
        <v>463</v>
      </c>
      <c r="C74" s="102">
        <v>458</v>
      </c>
      <c r="D74" s="82" t="s">
        <v>681</v>
      </c>
      <c r="E74" s="82" t="s">
        <v>598</v>
      </c>
      <c r="F74" s="82" t="s">
        <v>666</v>
      </c>
      <c r="G74" s="82" t="s">
        <v>676</v>
      </c>
      <c r="H74" s="33">
        <f>VLOOKUP(lmic_raw[[#This Row],[num]],pop[[Country code]:[pop_20]],2,FALSE)*1000</f>
        <v>31949789</v>
      </c>
      <c r="I74" s="117">
        <f>IFERROR(VLOOKUP(lmic_raw[[#This Row],[num]],pop[[Country code]:[pop_20]],2,FALSE)*VLOOKUP(lmic_raw[[#This Row],[num]],b_rate[[Country code]:[2015-2020]],2,FALSE),0)</f>
        <v>537906.64760399994</v>
      </c>
      <c r="J74">
        <f>IFERROR(MIN(VLOOKUP(lmic_raw[[#This Row],[iso3]],fac_b[],4,FALSE)/100,0.9999),0)</f>
        <v>0.9890000000000001</v>
      </c>
      <c r="K74" s="33">
        <f>VLOOKUP(lmic_raw[[#This Row],[iso3]],vax[[iso3]:[hbv3]],2,FALSE)/100</f>
        <v>0.99</v>
      </c>
      <c r="L74" s="33">
        <f>VLOOKUP(lmic_raw[[#This Row],[iso3]],vax[[iso3]:[hbv3]],3,FALSE)/100</f>
        <v>0.97</v>
      </c>
      <c r="M74">
        <f>IFERROR(VLOOKUP(lmic_raw[[#This Row],[iso3]], hbv_prev[[iso3]:[ub]],2,FALSE)/100,0)</f>
        <v>1.0800000000000001E-2</v>
      </c>
      <c r="N74">
        <f>IFERROR(VLOOKUP(lmic_raw[[#This Row],[setting]],hbe_prev[],3,FALSE),0)</f>
        <v>0.30970485984598067</v>
      </c>
      <c r="O74">
        <f>VLOOKUP(lmic_raw[[#This Row],[gbd_super]],hbe_risk[],2,FALSE)</f>
        <v>0.8</v>
      </c>
      <c r="P74" s="33">
        <f>VLOOKUP(lmic_raw[[#This Row],[gbd_super]],hbe_risk[],5,FALSE)</f>
        <v>0.17499999999999999</v>
      </c>
      <c r="Q74">
        <f>IFERROR(VLOOKUP(lmic_raw[[#This Row],[setting]],disease_costs!$A$4:$B$197,2,FALSE),0)</f>
        <v>12.272194857323807</v>
      </c>
      <c r="R74">
        <f>IFERROR(VLOOKUP(lmic_raw[[#This Row],[gbd_super]],disease_costs!$G$4:$K$9,2,FALSE),0)</f>
        <v>73.084500000000006</v>
      </c>
      <c r="S74" s="33">
        <f>IFERROR(VLOOKUP(lmic_raw[[#This Row],[gbd_super]],disease_costs!$G$4:$K$9,3,FALSE),0)</f>
        <v>120.8265</v>
      </c>
      <c r="T74" s="33">
        <f>IFERROR(VLOOKUP(lmic_raw[[#This Row],[gbd_super]],disease_costs!$G$4:$K$9,4,FALSE),0)</f>
        <v>120.8265</v>
      </c>
      <c r="U74" s="33">
        <f>IFERROR(VLOOKUP(lmic_raw[[#This Row],[gbd_super]],disease_costs!$G$4:$K$9,5,FALSE),0)</f>
        <v>120.8265</v>
      </c>
      <c r="V74">
        <f>IFERROR(VLOOKUP(lmic_raw[[#This Row],[setting]],vcost[],3,FALSE),0)</f>
        <v>5.5526818063699945</v>
      </c>
      <c r="W74">
        <f>IFERROR(VLOOKUP(lmic_raw[[#This Row],[setting]],vcost[],4,FALSE),0)</f>
        <v>6.1826818063699944</v>
      </c>
      <c r="X74">
        <f>IFERROR(VLOOKUP(lmic_raw[[#This Row],[setting]],vcost[],5,FALSE),0)</f>
        <v>5.0991060768878809</v>
      </c>
      <c r="Y74">
        <f>IFERROR(VLOOKUP(lmic_raw[[#This Row],[setting]],vcost[],6,FALSE),0)</f>
        <v>5.7291060768878808</v>
      </c>
      <c r="Z74">
        <f>IFERROR(VLOOKUP(lmic_raw[[#This Row],[setting]],vcost[],7,FALSE),0)</f>
        <v>5.7150031427358057</v>
      </c>
      <c r="AA74">
        <f>IFERROR(VLOOKUP(lmic_raw[[#This Row],[setting]],vcost[],8,FALSE),0)</f>
        <v>5.8044060753717099</v>
      </c>
      <c r="AB74">
        <f>IFERROR(VLOOKUP(lmic_raw[[#This Row],[setting]],vcost[],9,FALSE),0)</f>
        <v>6.4344060753717098</v>
      </c>
      <c r="AC74" s="33">
        <f>IFERROR(INDEX(acm[],MATCH($C74,acm[[Country code]:[Country code]],0),MATCH(AC$1,acm[#Headers],0)),0)</f>
        <v>5.8979700000000596E-3</v>
      </c>
      <c r="AD74" s="33">
        <f>IFERROR(INDEX(acm[],MATCH($C74,acm[[Country code]:[Country code]],0),MATCH(AD$1,acm[#Headers],0)),0)</f>
        <v>2.6909712678084167E-4</v>
      </c>
      <c r="AE74" s="33">
        <f>IFERROR(INDEX(acm[],MATCH($C74,acm[[Country code]:[Country code]],0),MATCH(AE$1,acm[#Headers],0)),0)</f>
        <v>1.7400849291871552E-4</v>
      </c>
      <c r="AF74" s="33">
        <f>IFERROR(INDEX(acm[],MATCH($C74,acm[[Country code]:[Country code]],0),MATCH(AF$1,acm[#Headers],0)),0)</f>
        <v>2.4153772101562508E-4</v>
      </c>
      <c r="AG74" s="33">
        <f>IFERROR(INDEX(acm[],MATCH($C74,acm[[Country code]:[Country code]],0),MATCH(AG$1,acm[#Headers],0)),0)</f>
        <v>5.646226668990904E-4</v>
      </c>
      <c r="AH74" s="33">
        <f>IFERROR(INDEX(acm[],MATCH($C74,acm[[Country code]:[Country code]],0),MATCH(AH$1,acm[#Headers],0)),0)</f>
        <v>5.9202841739643076E-4</v>
      </c>
      <c r="AI74" s="33">
        <f>IFERROR(INDEX(acm[],MATCH($C74,acm[[Country code]:[Country code]],0),MATCH(AI$1,acm[#Headers],0)),0)</f>
        <v>6.2242664157026385E-4</v>
      </c>
      <c r="AJ74" s="33">
        <f>IFERROR(INDEX(acm[],MATCH($C74,acm[[Country code]:[Country code]],0),MATCH(AJ$1,acm[#Headers],0)),0)</f>
        <v>1.0762478651970475E-3</v>
      </c>
      <c r="AK74" s="33">
        <f>IFERROR(INDEX(acm[],MATCH($C74,acm[[Country code]:[Country code]],0),MATCH(AK$1,acm[#Headers],0)),0)</f>
        <v>1.6023413600468642E-3</v>
      </c>
      <c r="AL74" s="33">
        <f>IFERROR(INDEX(acm[],MATCH($C74,acm[[Country code]:[Country code]],0),MATCH(AL$1,acm[#Headers],0)),0)</f>
        <v>2.3803138200106798E-3</v>
      </c>
      <c r="AM74" s="33">
        <f>IFERROR(INDEX(acm[],MATCH($C74,acm[[Country code]:[Country code]],0),MATCH(AM$1,acm[#Headers],0)),0)</f>
        <v>4.156809154903132E-3</v>
      </c>
      <c r="AN74" s="33">
        <f>IFERROR(INDEX(acm[],MATCH($C74,acm[[Country code]:[Country code]],0),MATCH(AN$1,acm[#Headers],0)),0)</f>
        <v>6.3012350789853847E-3</v>
      </c>
      <c r="AO74" s="33">
        <f>IFERROR(INDEX(acm[],MATCH($C74,acm[[Country code]:[Country code]],0),MATCH(AO$1,acm[#Headers],0)),0)</f>
        <v>9.1705967903937639E-3</v>
      </c>
      <c r="AP74" s="33">
        <f>IFERROR(INDEX(acm[],MATCH($C74,acm[[Country code]:[Country code]],0),MATCH(AP$1,acm[#Headers],0)),0)</f>
        <v>1.2626792371675308E-2</v>
      </c>
      <c r="AQ74" s="33">
        <f>IFERROR(INDEX(acm[],MATCH($C74,acm[[Country code]:[Country code]],0),MATCH(AQ$1,acm[#Headers],0)),0)</f>
        <v>2.027641545913441E-2</v>
      </c>
      <c r="AR74" s="33">
        <f>IFERROR(INDEX(acm[],MATCH($C74,acm[[Country code]:[Country code]],0),MATCH(AR$1,acm[#Headers],0)),0)</f>
        <v>3.4072207188760729E-2</v>
      </c>
      <c r="AS74" s="33">
        <f>IFERROR(INDEX(acm[],MATCH($C74,acm[[Country code]:[Country code]],0),MATCH(AS$1,acm[#Headers],0)),0)</f>
        <v>4.8375820325353806E-2</v>
      </c>
      <c r="AT74" s="33">
        <f>IFERROR(INDEX(acm[],MATCH($C74,acm[[Country code]:[Country code]],0),MATCH(AT$1,acm[#Headers],0)),0)</f>
        <v>7.0341666492662908E-2</v>
      </c>
      <c r="AU74" s="33">
        <f>IFERROR(INDEX(acm[],MATCH($C74,acm[[Country code]:[Country code]],0),MATCH(AU$1,acm[#Headers],0)),0)</f>
        <v>9.6056109352087651E-2</v>
      </c>
      <c r="AV74" s="33">
        <f>IFERROR(INDEX(acm[],MATCH($C74,acm[[Country code]:[Country code]],0),MATCH(AV$1,acm[#Headers],0)),0)</f>
        <v>0.1214232580964457</v>
      </c>
      <c r="AW74" s="33">
        <f>IFERROR(INDEX(acm[],MATCH($C74,acm[[Country code]:[Country code]],0),MATCH(AW$1,acm[#Headers],0)),0)</f>
        <v>0.14118617022765484</v>
      </c>
      <c r="AX74" s="33">
        <f>IFERROR(VLOOKUP(lmic_raw[[#This Row],[num]],life_exp[[Country code]:[2015-2020]],2,FALSE),0)</f>
        <v>75.927000000000007</v>
      </c>
    </row>
    <row r="75" spans="1:50" x14ac:dyDescent="0.25">
      <c r="A75" s="110" t="s">
        <v>196</v>
      </c>
      <c r="B75" s="104" t="s">
        <v>464</v>
      </c>
      <c r="C75" s="105">
        <v>462</v>
      </c>
      <c r="D75" s="84" t="s">
        <v>680</v>
      </c>
      <c r="E75" s="84" t="s">
        <v>598</v>
      </c>
      <c r="F75" s="84" t="s">
        <v>666</v>
      </c>
      <c r="G75" s="84" t="s">
        <v>676</v>
      </c>
      <c r="H75" s="33">
        <f>VLOOKUP(lmic_raw[[#This Row],[num]],pop[[Country code]:[pop_20]],2,FALSE)*1000</f>
        <v>530957</v>
      </c>
      <c r="I75" s="117">
        <f>IFERROR(VLOOKUP(lmic_raw[[#This Row],[num]],pop[[Country code]:[pop_20]],2,FALSE)*VLOOKUP(lmic_raw[[#This Row],[num]],b_rate[[Country code]:[2015-2020]],2,FALSE),0)</f>
        <v>7646.3117569999995</v>
      </c>
      <c r="J75">
        <f>IFERROR(MIN(VLOOKUP(lmic_raw[[#This Row],[iso3]],fac_b[],4,FALSE)/100,0.9999),0)</f>
        <v>0.94499999999999995</v>
      </c>
      <c r="K75" s="33">
        <f>VLOOKUP(lmic_raw[[#This Row],[iso3]],vax[[iso3]:[hbv3]],2,FALSE)/100</f>
        <v>0.99</v>
      </c>
      <c r="L75" s="33">
        <f>VLOOKUP(lmic_raw[[#This Row],[iso3]],vax[[iso3]:[hbv3]],3,FALSE)/100</f>
        <v>0.99</v>
      </c>
      <c r="M75">
        <f>IFERROR(VLOOKUP(lmic_raw[[#This Row],[iso3]], hbv_prev[[iso3]:[ub]],2,FALSE)/100,0)</f>
        <v>1.43E-2</v>
      </c>
      <c r="N75">
        <f>IFERROR(VLOOKUP(lmic_raw[[#This Row],[setting]],hbe_prev[],3,FALSE),0)</f>
        <v>0.31966093082954322</v>
      </c>
      <c r="O75">
        <f>VLOOKUP(lmic_raw[[#This Row],[gbd_super]],hbe_risk[],2,FALSE)</f>
        <v>0.8</v>
      </c>
      <c r="P75" s="33">
        <f>VLOOKUP(lmic_raw[[#This Row],[gbd_super]],hbe_risk[],5,FALSE)</f>
        <v>0.17499999999999999</v>
      </c>
      <c r="Q75" s="118">
        <f>IFERROR(VLOOKUP(lmic_raw[[#This Row],[setting]],disease_costs!$A$4:$B$197,2,FALSE),0)</f>
        <v>0</v>
      </c>
      <c r="R75">
        <f>IFERROR(VLOOKUP(lmic_raw[[#This Row],[gbd_super]],disease_costs!$G$4:$K$9,2,FALSE),0)</f>
        <v>73.084500000000006</v>
      </c>
      <c r="S75" s="33">
        <f>IFERROR(VLOOKUP(lmic_raw[[#This Row],[gbd_super]],disease_costs!$G$4:$K$9,3,FALSE),0)</f>
        <v>120.8265</v>
      </c>
      <c r="T75" s="33">
        <f>IFERROR(VLOOKUP(lmic_raw[[#This Row],[gbd_super]],disease_costs!$G$4:$K$9,4,FALSE),0)</f>
        <v>120.8265</v>
      </c>
      <c r="U75" s="33">
        <f>IFERROR(VLOOKUP(lmic_raw[[#This Row],[gbd_super]],disease_costs!$G$4:$K$9,5,FALSE),0)</f>
        <v>120.8265</v>
      </c>
      <c r="V75">
        <f>IFERROR(VLOOKUP(lmic_raw[[#This Row],[setting]],vcost[],3,FALSE),0)</f>
        <v>12.491684540530652</v>
      </c>
      <c r="W75">
        <f>IFERROR(VLOOKUP(lmic_raw[[#This Row],[setting]],vcost[],4,FALSE),0)</f>
        <v>13.121684540530653</v>
      </c>
      <c r="X75">
        <f>IFERROR(VLOOKUP(lmic_raw[[#This Row],[setting]],vcost[],5,FALSE),0)</f>
        <v>12.039806125012634</v>
      </c>
      <c r="Y75">
        <f>IFERROR(VLOOKUP(lmic_raw[[#This Row],[setting]],vcost[],6,FALSE),0)</f>
        <v>12.669806125012634</v>
      </c>
      <c r="Z75">
        <f>IFERROR(VLOOKUP(lmic_raw[[#This Row],[setting]],vcost[],7,FALSE),0)</f>
        <v>12.656002153150329</v>
      </c>
      <c r="AA75">
        <f>IFERROR(VLOOKUP(lmic_raw[[#This Row],[setting]],vcost[],8,FALSE),0)</f>
        <v>12.742796987056938</v>
      </c>
      <c r="AB75">
        <f>IFERROR(VLOOKUP(lmic_raw[[#This Row],[setting]],vcost[],9,FALSE),0)</f>
        <v>13.372796987056939</v>
      </c>
      <c r="AC75" s="33">
        <f>IFERROR(INDEX(acm[],MATCH($C75,acm[[Country code]:[Country code]],0),MATCH(AC$1,acm[#Headers],0)),0)</f>
        <v>6.7649199999999833E-3</v>
      </c>
      <c r="AD75" s="33">
        <f>IFERROR(INDEX(acm[],MATCH($C75,acm[[Country code]:[Country code]],0),MATCH(AD$1,acm[#Headers],0)),0)</f>
        <v>2.9123014865724918E-4</v>
      </c>
      <c r="AE75" s="33">
        <f>IFERROR(INDEX(acm[],MATCH($C75,acm[[Country code]:[Country code]],0),MATCH(AE$1,acm[#Headers],0)),0)</f>
        <v>2.5260512771759484E-4</v>
      </c>
      <c r="AF75" s="33">
        <f>IFERROR(INDEX(acm[],MATCH($C75,acm[[Country code]:[Country code]],0),MATCH(AF$1,acm[#Headers],0)),0)</f>
        <v>3.3917391387631318E-4</v>
      </c>
      <c r="AG75" s="33">
        <f>IFERROR(INDEX(acm[],MATCH($C75,acm[[Country code]:[Country code]],0),MATCH(AG$1,acm[#Headers],0)),0)</f>
        <v>3.4635377062271487E-4</v>
      </c>
      <c r="AH75" s="33">
        <f>IFERROR(INDEX(acm[],MATCH($C75,acm[[Country code]:[Country code]],0),MATCH(AH$1,acm[#Headers],0)),0)</f>
        <v>5.0681376719770885E-4</v>
      </c>
      <c r="AI75" s="33">
        <f>IFERROR(INDEX(acm[],MATCH($C75,acm[[Country code]:[Country code]],0),MATCH(AI$1,acm[#Headers],0)),0)</f>
        <v>4.7059813985474115E-4</v>
      </c>
      <c r="AJ75" s="33">
        <f>IFERROR(INDEX(acm[],MATCH($C75,acm[[Country code]:[Country code]],0),MATCH(AJ$1,acm[#Headers],0)),0)</f>
        <v>5.2614053691732215E-4</v>
      </c>
      <c r="AK75" s="33">
        <f>IFERROR(INDEX(acm[],MATCH($C75,acm[[Country code]:[Country code]],0),MATCH(AK$1,acm[#Headers],0)),0)</f>
        <v>5.8598587836906652E-4</v>
      </c>
      <c r="AL75" s="33">
        <f>IFERROR(INDEX(acm[],MATCH($C75,acm[[Country code]:[Country code]],0),MATCH(AL$1,acm[#Headers],0)),0)</f>
        <v>9.3398019856857613E-4</v>
      </c>
      <c r="AM75" s="33">
        <f>IFERROR(INDEX(acm[],MATCH($C75,acm[[Country code]:[Country code]],0),MATCH(AM$1,acm[#Headers],0)),0)</f>
        <v>1.6451496022383042E-3</v>
      </c>
      <c r="AN75" s="33">
        <f>IFERROR(INDEX(acm[],MATCH($C75,acm[[Country code]:[Country code]],0),MATCH(AN$1,acm[#Headers],0)),0)</f>
        <v>2.391987245178574E-3</v>
      </c>
      <c r="AO75" s="33">
        <f>IFERROR(INDEX(acm[],MATCH($C75,acm[[Country code]:[Country code]],0),MATCH(AO$1,acm[#Headers],0)),0)</f>
        <v>4.6062935003459019E-3</v>
      </c>
      <c r="AP75" s="33">
        <f>IFERROR(INDEX(acm[],MATCH($C75,acm[[Country code]:[Country code]],0),MATCH(AP$1,acm[#Headers],0)),0)</f>
        <v>8.6002253429168663E-3</v>
      </c>
      <c r="AQ75" s="33">
        <f>IFERROR(INDEX(acm[],MATCH($C75,acm[[Country code]:[Country code]],0),MATCH(AQ$1,acm[#Headers],0)),0)</f>
        <v>1.6108011387115002E-2</v>
      </c>
      <c r="AR75" s="33">
        <f>IFERROR(INDEX(acm[],MATCH($C75,acm[[Country code]:[Country code]],0),MATCH(AR$1,acm[#Headers],0)),0)</f>
        <v>2.9711186944390157E-2</v>
      </c>
      <c r="AS75" s="33">
        <f>IFERROR(INDEX(acm[],MATCH($C75,acm[[Country code]:[Country code]],0),MATCH(AS$1,acm[#Headers],0)),0)</f>
        <v>5.3190452689782043E-2</v>
      </c>
      <c r="AT75" s="33">
        <f>IFERROR(INDEX(acm[],MATCH($C75,acm[[Country code]:[Country code]],0),MATCH(AT$1,acm[#Headers],0)),0)</f>
        <v>7.2476092400483749E-2</v>
      </c>
      <c r="AU75" s="33">
        <f>IFERROR(INDEX(acm[],MATCH($C75,acm[[Country code]:[Country code]],0),MATCH(AU$1,acm[#Headers],0)),0)</f>
        <v>9.8242350837951881E-2</v>
      </c>
      <c r="AV75" s="33">
        <f>IFERROR(INDEX(acm[],MATCH($C75,acm[[Country code]:[Country code]],0),MATCH(AV$1,acm[#Headers],0)),0)</f>
        <v>0.12436013823733552</v>
      </c>
      <c r="AW75" s="33">
        <f>IFERROR(INDEX(acm[],MATCH($C75,acm[[Country code]:[Country code]],0),MATCH(AW$1,acm[#Headers],0)),0)</f>
        <v>0.14743768263290524</v>
      </c>
      <c r="AX75" s="33">
        <f>IFERROR(VLOOKUP(lmic_raw[[#This Row],[num]],life_exp[[Country code]:[2015-2020]],2,FALSE),0)</f>
        <v>78.465999999999994</v>
      </c>
    </row>
    <row r="76" spans="1:50" x14ac:dyDescent="0.25">
      <c r="A76" s="109" t="s">
        <v>147</v>
      </c>
      <c r="B76" s="101" t="s">
        <v>465</v>
      </c>
      <c r="C76" s="102">
        <v>466</v>
      </c>
      <c r="D76" s="82" t="s">
        <v>677</v>
      </c>
      <c r="E76" s="82" t="s">
        <v>591</v>
      </c>
      <c r="F76" s="82" t="s">
        <v>667</v>
      </c>
      <c r="G76" s="82" t="s">
        <v>674</v>
      </c>
      <c r="H76" s="33">
        <f>VLOOKUP(lmic_raw[[#This Row],[num]],pop[[Country code]:[pop_20]],2,FALSE)*1000</f>
        <v>19658023</v>
      </c>
      <c r="I76" s="117">
        <f>IFERROR(VLOOKUP(lmic_raw[[#This Row],[num]],pop[[Country code]:[pop_20]],2,FALSE)*VLOOKUP(lmic_raw[[#This Row],[num]],b_rate[[Country code]:[2015-2020]],2,FALSE),0)</f>
        <v>821469.46512399998</v>
      </c>
      <c r="J76">
        <f>IFERROR(MIN(VLOOKUP(lmic_raw[[#This Row],[iso3]],fac_b[],4,FALSE)/100,0.9999),0)</f>
        <v>0.66799999999999993</v>
      </c>
      <c r="K76" s="33">
        <f>VLOOKUP(lmic_raw[[#This Row],[iso3]],vax[[iso3]:[hbv3]],2,FALSE)/100</f>
        <v>0</v>
      </c>
      <c r="L76" s="33">
        <f>VLOOKUP(lmic_raw[[#This Row],[iso3]],vax[[iso3]:[hbv3]],3,FALSE)/100</f>
        <v>0.77</v>
      </c>
      <c r="M76">
        <f>IFERROR(VLOOKUP(lmic_raw[[#This Row],[iso3]], hbv_prev[[iso3]:[ub]],2,FALSE)/100,0)</f>
        <v>8.539999999999999E-2</v>
      </c>
      <c r="N76">
        <f>IFERROR(VLOOKUP(lmic_raw[[#This Row],[setting]],hbe_prev[],3,FALSE),0)</f>
        <v>0.3018127770078266</v>
      </c>
      <c r="O76">
        <f>VLOOKUP(lmic_raw[[#This Row],[gbd_super]],hbe_risk[],2,FALSE)</f>
        <v>0.38300000000000001</v>
      </c>
      <c r="P76" s="33">
        <f>VLOOKUP(lmic_raw[[#This Row],[gbd_super]],hbe_risk[],5,FALSE)</f>
        <v>4.8000000000000001E-2</v>
      </c>
      <c r="Q76">
        <f>IFERROR(VLOOKUP(lmic_raw[[#This Row],[setting]],disease_costs!$A$4:$B$197,2,FALSE),0)</f>
        <v>2.9075142828828962</v>
      </c>
      <c r="R76">
        <f>IFERROR(VLOOKUP(lmic_raw[[#This Row],[gbd_super]],disease_costs!$G$4:$K$9,2,FALSE),0)</f>
        <v>29.920500000000001</v>
      </c>
      <c r="S76" s="33">
        <f>IFERROR(VLOOKUP(lmic_raw[[#This Row],[gbd_super]],disease_costs!$G$4:$K$9,3,FALSE),0)</f>
        <v>77.662500000000009</v>
      </c>
      <c r="T76" s="33">
        <f>IFERROR(VLOOKUP(lmic_raw[[#This Row],[gbd_super]],disease_costs!$G$4:$K$9,4,FALSE),0)</f>
        <v>77.662500000000009</v>
      </c>
      <c r="U76" s="33">
        <f>IFERROR(VLOOKUP(lmic_raw[[#This Row],[gbd_super]],disease_costs!$G$4:$K$9,5,FALSE),0)</f>
        <v>77.662500000000009</v>
      </c>
      <c r="V76">
        <f>IFERROR(VLOOKUP(lmic_raw[[#This Row],[setting]],vcost[],3,FALSE),0)</f>
        <v>1.5967015068630179</v>
      </c>
      <c r="W76">
        <f>IFERROR(VLOOKUP(lmic_raw[[#This Row],[setting]],vcost[],4,FALSE),0)</f>
        <v>6.4267015068630178</v>
      </c>
      <c r="X76">
        <f>IFERROR(VLOOKUP(lmic_raw[[#This Row],[setting]],vcost[],5,FALSE),0)</f>
        <v>1.1708795166253489</v>
      </c>
      <c r="Y76">
        <f>IFERROR(VLOOKUP(lmic_raw[[#This Row],[setting]],vcost[],6,FALSE),0)</f>
        <v>6.000879516625349</v>
      </c>
      <c r="Z76">
        <f>IFERROR(VLOOKUP(lmic_raw[[#This Row],[setting]],vcost[],7,FALSE),0)</f>
        <v>5.997714460687309</v>
      </c>
      <c r="AA76">
        <f>IFERROR(VLOOKUP(lmic_raw[[#This Row],[setting]],vcost[],8,FALSE),0)</f>
        <v>1.8384215210208061</v>
      </c>
      <c r="AB76">
        <f>IFERROR(VLOOKUP(lmic_raw[[#This Row],[setting]],vcost[],9,FALSE),0)</f>
        <v>6.6684215210208064</v>
      </c>
      <c r="AC76" s="33">
        <f>IFERROR(INDEX(acm[],MATCH($C76,acm[[Country code]:[Country code]],0),MATCH(AC$1,acm[#Headers],0)),0)</f>
        <v>6.5820209999999935E-2</v>
      </c>
      <c r="AD76" s="33">
        <f>IFERROR(INDEX(acm[],MATCH($C76,acm[[Country code]:[Country code]],0),MATCH(AD$1,acm[#Headers],0)),0)</f>
        <v>1.0607112363242202E-2</v>
      </c>
      <c r="AE76" s="33">
        <f>IFERROR(INDEX(acm[],MATCH($C76,acm[[Country code]:[Country code]],0),MATCH(AE$1,acm[#Headers],0)),0)</f>
        <v>3.4703022262773438E-3</v>
      </c>
      <c r="AF76" s="33">
        <f>IFERROR(INDEX(acm[],MATCH($C76,acm[[Country code]:[Country code]],0),MATCH(AF$1,acm[#Headers],0)),0)</f>
        <v>1.9653858610867866E-3</v>
      </c>
      <c r="AG76" s="33">
        <f>IFERROR(INDEX(acm[],MATCH($C76,acm[[Country code]:[Country code]],0),MATCH(AG$1,acm[#Headers],0)),0)</f>
        <v>2.9691163629910031E-3</v>
      </c>
      <c r="AH76" s="33">
        <f>IFERROR(INDEX(acm[],MATCH($C76,acm[[Country code]:[Country code]],0),MATCH(AH$1,acm[#Headers],0)),0)</f>
        <v>3.8241260248184535E-3</v>
      </c>
      <c r="AI76" s="33">
        <f>IFERROR(INDEX(acm[],MATCH($C76,acm[[Country code]:[Country code]],0),MATCH(AI$1,acm[#Headers],0)),0)</f>
        <v>4.2938973206458871E-3</v>
      </c>
      <c r="AJ76" s="33">
        <f>IFERROR(INDEX(acm[],MATCH($C76,acm[[Country code]:[Country code]],0),MATCH(AJ$1,acm[#Headers],0)),0)</f>
        <v>4.5580472847770673E-3</v>
      </c>
      <c r="AK76" s="33">
        <f>IFERROR(INDEX(acm[],MATCH($C76,acm[[Country code]:[Country code]],0),MATCH(AK$1,acm[#Headers],0)),0)</f>
        <v>5.1152115887606936E-3</v>
      </c>
      <c r="AL76" s="33">
        <f>IFERROR(INDEX(acm[],MATCH($C76,acm[[Country code]:[Country code]],0),MATCH(AL$1,acm[#Headers],0)),0)</f>
        <v>6.0793858913226109E-3</v>
      </c>
      <c r="AM76" s="33">
        <f>IFERROR(INDEX(acm[],MATCH($C76,acm[[Country code]:[Country code]],0),MATCH(AM$1,acm[#Headers],0)),0)</f>
        <v>7.1063830627251783E-3</v>
      </c>
      <c r="AN76" s="33">
        <f>IFERROR(INDEX(acm[],MATCH($C76,acm[[Country code]:[Country code]],0),MATCH(AN$1,acm[#Headers],0)),0)</f>
        <v>1.0012216060043849E-2</v>
      </c>
      <c r="AO76" s="33">
        <f>IFERROR(INDEX(acm[],MATCH($C76,acm[[Country code]:[Country code]],0),MATCH(AO$1,acm[#Headers],0)),0)</f>
        <v>1.4303370555237076E-2</v>
      </c>
      <c r="AP76" s="33">
        <f>IFERROR(INDEX(acm[],MATCH($C76,acm[[Country code]:[Country code]],0),MATCH(AP$1,acm[#Headers],0)),0)</f>
        <v>2.2385161086559677E-2</v>
      </c>
      <c r="AQ76" s="33">
        <f>IFERROR(INDEX(acm[],MATCH($C76,acm[[Country code]:[Country code]],0),MATCH(AQ$1,acm[#Headers],0)),0)</f>
        <v>3.4614265354564314E-2</v>
      </c>
      <c r="AR76" s="33">
        <f>IFERROR(INDEX(acm[],MATCH($C76,acm[[Country code]:[Country code]],0),MATCH(AR$1,acm[#Headers],0)),0)</f>
        <v>5.5505357625352705E-2</v>
      </c>
      <c r="AS76" s="33">
        <f>IFERROR(INDEX(acm[],MATCH($C76,acm[[Country code]:[Country code]],0),MATCH(AS$1,acm[#Headers],0)),0)</f>
        <v>8.530363770997372E-2</v>
      </c>
      <c r="AT76" s="33">
        <f>IFERROR(INDEX(acm[],MATCH($C76,acm[[Country code]:[Country code]],0),MATCH(AT$1,acm[#Headers],0)),0)</f>
        <v>0.12167185659091227</v>
      </c>
      <c r="AU76" s="33">
        <f>IFERROR(INDEX(acm[],MATCH($C76,acm[[Country code]:[Country code]],0),MATCH(AU$1,acm[#Headers],0)),0)</f>
        <v>0.15478682778459321</v>
      </c>
      <c r="AV76" s="33">
        <f>IFERROR(INDEX(acm[],MATCH($C76,acm[[Country code]:[Country code]],0),MATCH(AV$1,acm[#Headers],0)),0)</f>
        <v>0.17749594498829036</v>
      </c>
      <c r="AW76" s="33">
        <f>IFERROR(INDEX(acm[],MATCH($C76,acm[[Country code]:[Country code]],0),MATCH(AW$1,acm[#Headers],0)),0)</f>
        <v>0.1879903301036718</v>
      </c>
      <c r="AX76" s="33">
        <f>IFERROR(VLOOKUP(lmic_raw[[#This Row],[num]],life_exp[[Country code]:[2015-2020]],2,FALSE),0)</f>
        <v>58.71</v>
      </c>
    </row>
    <row r="77" spans="1:50" x14ac:dyDescent="0.25">
      <c r="A77" s="110" t="s">
        <v>682</v>
      </c>
      <c r="B77" s="104" t="s">
        <v>467</v>
      </c>
      <c r="C77" s="105">
        <v>584</v>
      </c>
      <c r="D77" s="84" t="s">
        <v>681</v>
      </c>
      <c r="E77" s="84" t="s">
        <v>98</v>
      </c>
      <c r="F77" s="84" t="s">
        <v>666</v>
      </c>
      <c r="G77" s="84" t="s">
        <v>676</v>
      </c>
      <c r="H77" s="33">
        <f>VLOOKUP(lmic_raw[[#This Row],[num]],pop[[Country code]:[pop_20]],2,FALSE)*1000</f>
        <v>58791</v>
      </c>
      <c r="I77" s="119">
        <f>IFERROR(VLOOKUP(lmic_raw[[#This Row],[num]],pop[[Country code]:[pop_20]],2,FALSE)*VLOOKUP(lmic_raw[[#This Row],[num]],b_rate[[Country code]:[2015-2020]],2,FALSE),0)</f>
        <v>1706.70273</v>
      </c>
      <c r="J77">
        <f>IFERROR(MIN(VLOOKUP(lmic_raw[[#This Row],[iso3]],fac_b[],4,FALSE)/100,0.9999),0)</f>
        <v>0.85099999999999998</v>
      </c>
      <c r="K77" s="33">
        <f>VLOOKUP(lmic_raw[[#This Row],[iso3]],vax[[iso3]:[hbv3]],2,FALSE)/100</f>
        <v>0.98</v>
      </c>
      <c r="L77" s="33">
        <f>VLOOKUP(lmic_raw[[#This Row],[iso3]],vax[[iso3]:[hbv3]],3,FALSE)/100</f>
        <v>0.82</v>
      </c>
      <c r="M77">
        <f>IFERROR(VLOOKUP(lmic_raw[[#This Row],[iso3]], hbv_prev[[iso3]:[ub]],2,FALSE)/100,0)</f>
        <v>8.8200000000000001E-2</v>
      </c>
      <c r="N77" s="118">
        <f>IFERROR(VLOOKUP(lmic_raw[[#This Row],[setting]],hbe_prev[],3,FALSE),0)</f>
        <v>0</v>
      </c>
      <c r="O77">
        <f>VLOOKUP(lmic_raw[[#This Row],[gbd_super]],hbe_risk[],2,FALSE)</f>
        <v>0.8</v>
      </c>
      <c r="P77" s="33">
        <f>VLOOKUP(lmic_raw[[#This Row],[gbd_super]],hbe_risk[],5,FALSE)</f>
        <v>0.17499999999999999</v>
      </c>
      <c r="Q77">
        <f>IFERROR(VLOOKUP(lmic_raw[[#This Row],[setting]],disease_costs!$A$4:$B$197,2,FALSE),0)</f>
        <v>6.3376697784639138</v>
      </c>
      <c r="R77">
        <f>IFERROR(VLOOKUP(lmic_raw[[#This Row],[gbd_super]],disease_costs!$G$4:$K$9,2,FALSE),0)</f>
        <v>73.084500000000006</v>
      </c>
      <c r="S77" s="33">
        <f>IFERROR(VLOOKUP(lmic_raw[[#This Row],[gbd_super]],disease_costs!$G$4:$K$9,3,FALSE),0)</f>
        <v>120.8265</v>
      </c>
      <c r="T77" s="33">
        <f>IFERROR(VLOOKUP(lmic_raw[[#This Row],[gbd_super]],disease_costs!$G$4:$K$9,4,FALSE),0)</f>
        <v>120.8265</v>
      </c>
      <c r="U77" s="33">
        <f>IFERROR(VLOOKUP(lmic_raw[[#This Row],[gbd_super]],disease_costs!$G$4:$K$9,5,FALSE),0)</f>
        <v>120.8265</v>
      </c>
      <c r="V77">
        <f>IFERROR(VLOOKUP(lmic_raw[[#This Row],[setting]],vcost[],3,FALSE),0)</f>
        <v>9.0603914432264361</v>
      </c>
      <c r="W77">
        <f>IFERROR(VLOOKUP(lmic_raw[[#This Row],[setting]],vcost[],4,FALSE),0)</f>
        <v>9.6903914432264369</v>
      </c>
      <c r="X77">
        <f>IFERROR(VLOOKUP(lmic_raw[[#This Row],[setting]],vcost[],5,FALSE),0)</f>
        <v>8.6311241781291752</v>
      </c>
      <c r="Y77">
        <f>IFERROR(VLOOKUP(lmic_raw[[#This Row],[setting]],vcost[],6,FALSE),0)</f>
        <v>9.261124178129176</v>
      </c>
      <c r="Z77">
        <f>IFERROR(VLOOKUP(lmic_raw[[#This Row],[setting]],vcost[],7,FALSE),0)</f>
        <v>9.2568757802941306</v>
      </c>
      <c r="AA77">
        <f>IFERROR(VLOOKUP(lmic_raw[[#This Row],[setting]],vcost[],8,FALSE),0)</f>
        <v>9.3033533587871009</v>
      </c>
      <c r="AB77">
        <f>IFERROR(VLOOKUP(lmic_raw[[#This Row],[setting]],vcost[],9,FALSE),0)</f>
        <v>9.9333533587871017</v>
      </c>
      <c r="AC77" s="118">
        <f>IFERROR(INDEX(acm[],MATCH($C77,acm[[Country code]:[Country code]],0),MATCH(AC$1,acm[#Headers],0)),0)</f>
        <v>0</v>
      </c>
      <c r="AD77" s="118">
        <f>IFERROR(INDEX(acm[],MATCH($C77,acm[[Country code]:[Country code]],0),MATCH(AD$1,acm[#Headers],0)),0)</f>
        <v>0</v>
      </c>
      <c r="AE77" s="118">
        <f>IFERROR(INDEX(acm[],MATCH($C77,acm[[Country code]:[Country code]],0),MATCH(AE$1,acm[#Headers],0)),0)</f>
        <v>0</v>
      </c>
      <c r="AF77" s="118">
        <f>IFERROR(INDEX(acm[],MATCH($C77,acm[[Country code]:[Country code]],0),MATCH(AF$1,acm[#Headers],0)),0)</f>
        <v>0</v>
      </c>
      <c r="AG77" s="118">
        <f>IFERROR(INDEX(acm[],MATCH($C77,acm[[Country code]:[Country code]],0),MATCH(AG$1,acm[#Headers],0)),0)</f>
        <v>0</v>
      </c>
      <c r="AH77" s="118">
        <f>IFERROR(INDEX(acm[],MATCH($C77,acm[[Country code]:[Country code]],0),MATCH(AH$1,acm[#Headers],0)),0)</f>
        <v>0</v>
      </c>
      <c r="AI77" s="118">
        <f>IFERROR(INDEX(acm[],MATCH($C77,acm[[Country code]:[Country code]],0),MATCH(AI$1,acm[#Headers],0)),0)</f>
        <v>0</v>
      </c>
      <c r="AJ77" s="118">
        <f>IFERROR(INDEX(acm[],MATCH($C77,acm[[Country code]:[Country code]],0),MATCH(AJ$1,acm[#Headers],0)),0)</f>
        <v>0</v>
      </c>
      <c r="AK77" s="118">
        <f>IFERROR(INDEX(acm[],MATCH($C77,acm[[Country code]:[Country code]],0),MATCH(AK$1,acm[#Headers],0)),0)</f>
        <v>0</v>
      </c>
      <c r="AL77" s="118">
        <f>IFERROR(INDEX(acm[],MATCH($C77,acm[[Country code]:[Country code]],0),MATCH(AL$1,acm[#Headers],0)),0)</f>
        <v>0</v>
      </c>
      <c r="AM77" s="118">
        <f>IFERROR(INDEX(acm[],MATCH($C77,acm[[Country code]:[Country code]],0),MATCH(AM$1,acm[#Headers],0)),0)</f>
        <v>0</v>
      </c>
      <c r="AN77" s="118">
        <f>IFERROR(INDEX(acm[],MATCH($C77,acm[[Country code]:[Country code]],0),MATCH(AN$1,acm[#Headers],0)),0)</f>
        <v>0</v>
      </c>
      <c r="AO77" s="118">
        <f>IFERROR(INDEX(acm[],MATCH($C77,acm[[Country code]:[Country code]],0),MATCH(AO$1,acm[#Headers],0)),0)</f>
        <v>0</v>
      </c>
      <c r="AP77" s="118">
        <f>IFERROR(INDEX(acm[],MATCH($C77,acm[[Country code]:[Country code]],0),MATCH(AP$1,acm[#Headers],0)),0)</f>
        <v>0</v>
      </c>
      <c r="AQ77" s="118">
        <f>IFERROR(INDEX(acm[],MATCH($C77,acm[[Country code]:[Country code]],0),MATCH(AQ$1,acm[#Headers],0)),0)</f>
        <v>0</v>
      </c>
      <c r="AR77" s="118">
        <f>IFERROR(INDEX(acm[],MATCH($C77,acm[[Country code]:[Country code]],0),MATCH(AR$1,acm[#Headers],0)),0)</f>
        <v>0</v>
      </c>
      <c r="AS77" s="118">
        <f>IFERROR(INDEX(acm[],MATCH($C77,acm[[Country code]:[Country code]],0),MATCH(AS$1,acm[#Headers],0)),0)</f>
        <v>0</v>
      </c>
      <c r="AT77" s="118">
        <f>IFERROR(INDEX(acm[],MATCH($C77,acm[[Country code]:[Country code]],0),MATCH(AT$1,acm[#Headers],0)),0)</f>
        <v>0</v>
      </c>
      <c r="AU77" s="118">
        <f>IFERROR(INDEX(acm[],MATCH($C77,acm[[Country code]:[Country code]],0),MATCH(AU$1,acm[#Headers],0)),0)</f>
        <v>0</v>
      </c>
      <c r="AV77" s="118">
        <f>IFERROR(INDEX(acm[],MATCH($C77,acm[[Country code]:[Country code]],0),MATCH(AV$1,acm[#Headers],0)),0)</f>
        <v>0</v>
      </c>
      <c r="AW77" s="118">
        <f>IFERROR(INDEX(acm[],MATCH($C77,acm[[Country code]:[Country code]],0),MATCH(AW$1,acm[#Headers],0)),0)</f>
        <v>0</v>
      </c>
      <c r="AX77" s="118">
        <f>IFERROR(VLOOKUP(lmic_raw[[#This Row],[num]],life_exp[[Country code]:[2015-2020]],2,FALSE),0)</f>
        <v>0</v>
      </c>
    </row>
    <row r="78" spans="1:50" x14ac:dyDescent="0.25">
      <c r="A78" s="109" t="s">
        <v>148</v>
      </c>
      <c r="B78" s="101" t="s">
        <v>468</v>
      </c>
      <c r="C78" s="102">
        <v>478</v>
      </c>
      <c r="D78" s="82" t="s">
        <v>677</v>
      </c>
      <c r="E78" s="82" t="s">
        <v>591</v>
      </c>
      <c r="F78" s="82" t="s">
        <v>667</v>
      </c>
      <c r="G78" s="82" t="s">
        <v>678</v>
      </c>
      <c r="H78" s="33">
        <f>VLOOKUP(lmic_raw[[#This Row],[num]],pop[[Country code]:[pop_20]],2,FALSE)*1000</f>
        <v>4525698</v>
      </c>
      <c r="I78" s="117">
        <f>IFERROR(VLOOKUP(lmic_raw[[#This Row],[num]],pop[[Country code]:[pop_20]],2,FALSE)*VLOOKUP(lmic_raw[[#This Row],[num]],b_rate[[Country code]:[2015-2020]],2,FALSE),0)</f>
        <v>153294.442656</v>
      </c>
      <c r="J78">
        <f>IFERROR(MIN(VLOOKUP(lmic_raw[[#This Row],[iso3]],fac_b[],4,FALSE)/100,0.9999),0)</f>
        <v>0.69299999999999995</v>
      </c>
      <c r="K78" s="33">
        <f>VLOOKUP(lmic_raw[[#This Row],[iso3]],vax[[iso3]:[hbv3]],2,FALSE)/100</f>
        <v>0</v>
      </c>
      <c r="L78" s="33">
        <f>VLOOKUP(lmic_raw[[#This Row],[iso3]],vax[[iso3]:[hbv3]],3,FALSE)/100</f>
        <v>0.81</v>
      </c>
      <c r="M78">
        <f>IFERROR(VLOOKUP(lmic_raw[[#This Row],[iso3]], hbv_prev[[iso3]:[ub]],2,FALSE)/100,0)</f>
        <v>0.10220000000000001</v>
      </c>
      <c r="N78">
        <f>IFERROR(VLOOKUP(lmic_raw[[#This Row],[setting]],hbe_prev[],3,FALSE),0)</f>
        <v>0.27954724098923228</v>
      </c>
      <c r="O78">
        <f>VLOOKUP(lmic_raw[[#This Row],[gbd_super]],hbe_risk[],2,FALSE)</f>
        <v>0.38300000000000001</v>
      </c>
      <c r="P78" s="33">
        <f>VLOOKUP(lmic_raw[[#This Row],[gbd_super]],hbe_risk[],5,FALSE)</f>
        <v>4.8000000000000001E-2</v>
      </c>
      <c r="Q78">
        <f>IFERROR(VLOOKUP(lmic_raw[[#This Row],[setting]],disease_costs!$A$4:$B$197,2,FALSE),0)</f>
        <v>3.4890977406111654</v>
      </c>
      <c r="R78">
        <f>IFERROR(VLOOKUP(lmic_raw[[#This Row],[gbd_super]],disease_costs!$G$4:$K$9,2,FALSE),0)</f>
        <v>29.920500000000001</v>
      </c>
      <c r="S78" s="33">
        <f>IFERROR(VLOOKUP(lmic_raw[[#This Row],[gbd_super]],disease_costs!$G$4:$K$9,3,FALSE),0)</f>
        <v>77.662500000000009</v>
      </c>
      <c r="T78" s="33">
        <f>IFERROR(VLOOKUP(lmic_raw[[#This Row],[gbd_super]],disease_costs!$G$4:$K$9,4,FALSE),0)</f>
        <v>77.662500000000009</v>
      </c>
      <c r="U78" s="33">
        <f>IFERROR(VLOOKUP(lmic_raw[[#This Row],[gbd_super]],disease_costs!$G$4:$K$9,5,FALSE),0)</f>
        <v>77.662500000000009</v>
      </c>
      <c r="V78">
        <f>IFERROR(VLOOKUP(lmic_raw[[#This Row],[setting]],vcost[],3,FALSE),0)</f>
        <v>2.8051937427511051</v>
      </c>
      <c r="W78">
        <f>IFERROR(VLOOKUP(lmic_raw[[#This Row],[setting]],vcost[],4,FALSE),0)</f>
        <v>7.6351937427511052</v>
      </c>
      <c r="X78">
        <f>IFERROR(VLOOKUP(lmic_raw[[#This Row],[setting]],vcost[],5,FALSE),0)</f>
        <v>2.3775709359308714</v>
      </c>
      <c r="Y78">
        <f>IFERROR(VLOOKUP(lmic_raw[[#This Row],[setting]],vcost[],6,FALSE),0)</f>
        <v>7.2075709359308711</v>
      </c>
      <c r="Z78">
        <f>IFERROR(VLOOKUP(lmic_raw[[#This Row],[setting]],vcost[],7,FALSE),0)</f>
        <v>7.2037273263091963</v>
      </c>
      <c r="AA78">
        <f>IFERROR(VLOOKUP(lmic_raw[[#This Row],[setting]],vcost[],8,FALSE),0)</f>
        <v>3.0475628884677248</v>
      </c>
      <c r="AB78">
        <f>IFERROR(VLOOKUP(lmic_raw[[#This Row],[setting]],vcost[],9,FALSE),0)</f>
        <v>7.8775628884677253</v>
      </c>
      <c r="AC78" s="33">
        <f>IFERROR(INDEX(acm[],MATCH($C78,acm[[Country code]:[Country code]],0),MATCH(AC$1,acm[#Headers],0)),0)</f>
        <v>5.3461619999999967E-2</v>
      </c>
      <c r="AD78" s="33">
        <f>IFERROR(INDEX(acm[],MATCH($C78,acm[[Country code]:[Country code]],0),MATCH(AD$1,acm[#Headers],0)),0)</f>
        <v>6.7054280461400981E-3</v>
      </c>
      <c r="AE78" s="33">
        <f>IFERROR(INDEX(acm[],MATCH($C78,acm[[Country code]:[Country code]],0),MATCH(AE$1,acm[#Headers],0)),0)</f>
        <v>1.0852579371928835E-3</v>
      </c>
      <c r="AF78" s="33">
        <f>IFERROR(INDEX(acm[],MATCH($C78,acm[[Country code]:[Country code]],0),MATCH(AF$1,acm[#Headers],0)),0)</f>
        <v>8.5631189412564181E-4</v>
      </c>
      <c r="AG78" s="33">
        <f>IFERROR(INDEX(acm[],MATCH($C78,acm[[Country code]:[Country code]],0),MATCH(AG$1,acm[#Headers],0)),0)</f>
        <v>1.4103050217806428E-3</v>
      </c>
      <c r="AH78" s="33">
        <f>IFERROR(INDEX(acm[],MATCH($C78,acm[[Country code]:[Country code]],0),MATCH(AH$1,acm[#Headers],0)),0)</f>
        <v>1.9744181091348187E-3</v>
      </c>
      <c r="AI78" s="33">
        <f>IFERROR(INDEX(acm[],MATCH($C78,acm[[Country code]:[Country code]],0),MATCH(AI$1,acm[#Headers],0)),0)</f>
        <v>2.1424246234527287E-3</v>
      </c>
      <c r="AJ78" s="33">
        <f>IFERROR(INDEX(acm[],MATCH($C78,acm[[Country code]:[Country code]],0),MATCH(AJ$1,acm[#Headers],0)),0)</f>
        <v>2.4583011866348469E-3</v>
      </c>
      <c r="AK78" s="33">
        <f>IFERROR(INDEX(acm[],MATCH($C78,acm[[Country code]:[Country code]],0),MATCH(AK$1,acm[#Headers],0)),0)</f>
        <v>3.0904941387841366E-3</v>
      </c>
      <c r="AL78" s="33">
        <f>IFERROR(INDEX(acm[],MATCH($C78,acm[[Country code]:[Country code]],0),MATCH(AL$1,acm[#Headers],0)),0)</f>
        <v>4.1692771101024245E-3</v>
      </c>
      <c r="AM78" s="33">
        <f>IFERROR(INDEX(acm[],MATCH($C78,acm[[Country code]:[Country code]],0),MATCH(AM$1,acm[#Headers],0)),0)</f>
        <v>6.0061991860126812E-3</v>
      </c>
      <c r="AN78" s="33">
        <f>IFERROR(INDEX(acm[],MATCH($C78,acm[[Country code]:[Country code]],0),MATCH(AN$1,acm[#Headers],0)),0)</f>
        <v>8.8874458499904312E-3</v>
      </c>
      <c r="AO78" s="33">
        <f>IFERROR(INDEX(acm[],MATCH($C78,acm[[Country code]:[Country code]],0),MATCH(AO$1,acm[#Headers],0)),0)</f>
        <v>1.3311420499959795E-2</v>
      </c>
      <c r="AP78" s="33">
        <f>IFERROR(INDEX(acm[],MATCH($C78,acm[[Country code]:[Country code]],0),MATCH(AP$1,acm[#Headers],0)),0)</f>
        <v>2.026088885971385E-2</v>
      </c>
      <c r="AQ78" s="33">
        <f>IFERROR(INDEX(acm[],MATCH($C78,acm[[Country code]:[Country code]],0),MATCH(AQ$1,acm[#Headers],0)),0)</f>
        <v>3.0943043035614036E-2</v>
      </c>
      <c r="AR78" s="33">
        <f>IFERROR(INDEX(acm[],MATCH($C78,acm[[Country code]:[Country code]],0),MATCH(AR$1,acm[#Headers],0)),0)</f>
        <v>4.758385707572544E-2</v>
      </c>
      <c r="AS78" s="33">
        <f>IFERROR(INDEX(acm[],MATCH($C78,acm[[Country code]:[Country code]],0),MATCH(AS$1,acm[#Headers],0)),0)</f>
        <v>7.1525134862436793E-2</v>
      </c>
      <c r="AT78" s="33">
        <f>IFERROR(INDEX(acm[],MATCH($C78,acm[[Country code]:[Country code]],0),MATCH(AT$1,acm[#Headers],0)),0)</f>
        <v>0.10295590327127407</v>
      </c>
      <c r="AU78" s="33">
        <f>IFERROR(INDEX(acm[],MATCH($C78,acm[[Country code]:[Country code]],0),MATCH(AU$1,acm[#Headers],0)),0)</f>
        <v>0.13599244093972368</v>
      </c>
      <c r="AV78" s="33">
        <f>IFERROR(INDEX(acm[],MATCH($C78,acm[[Country code]:[Country code]],0),MATCH(AV$1,acm[#Headers],0)),0)</f>
        <v>0.16264165996755808</v>
      </c>
      <c r="AW78" s="33">
        <f>IFERROR(INDEX(acm[],MATCH($C78,acm[[Country code]:[Country code]],0),MATCH(AW$1,acm[#Headers],0)),0)</f>
        <v>0.17975411502979896</v>
      </c>
      <c r="AX78" s="33">
        <f>IFERROR(VLOOKUP(lmic_raw[[#This Row],[num]],life_exp[[Country code]:[2015-2020]],2,FALSE),0)</f>
        <v>64.606999999999999</v>
      </c>
    </row>
    <row r="79" spans="1:50" x14ac:dyDescent="0.25">
      <c r="A79" s="110" t="s">
        <v>109</v>
      </c>
      <c r="B79" s="104" t="s">
        <v>469</v>
      </c>
      <c r="C79" s="105">
        <v>480</v>
      </c>
      <c r="D79" s="84" t="s">
        <v>677</v>
      </c>
      <c r="E79" s="84" t="s">
        <v>598</v>
      </c>
      <c r="F79" s="84" t="s">
        <v>666</v>
      </c>
      <c r="G79" s="84" t="s">
        <v>676</v>
      </c>
      <c r="H79" s="33">
        <f>VLOOKUP(lmic_raw[[#This Row],[num]],pop[[Country code]:[pop_20]],2,FALSE)*1000</f>
        <v>1269670</v>
      </c>
      <c r="I79" s="117">
        <f>IFERROR(VLOOKUP(lmic_raw[[#This Row],[num]],pop[[Country code]:[pop_20]],2,FALSE)*VLOOKUP(lmic_raw[[#This Row],[num]],b_rate[[Country code]:[2015-2020]],2,FALSE),0)</f>
        <v>13006.49948</v>
      </c>
      <c r="J79">
        <f>IFERROR(MIN(VLOOKUP(lmic_raw[[#This Row],[iso3]],fac_b[],4,FALSE)/100,0.9999),0)</f>
        <v>0.9840000000000001</v>
      </c>
      <c r="K79" s="33">
        <f>VLOOKUP(lmic_raw[[#This Row],[iso3]],vax[[iso3]:[hbv3]],2,FALSE)/100</f>
        <v>0</v>
      </c>
      <c r="L79" s="33">
        <f>VLOOKUP(lmic_raw[[#This Row],[iso3]],vax[[iso3]:[hbv3]],3,FALSE)/100</f>
        <v>0.97</v>
      </c>
      <c r="M79">
        <f>IFERROR(VLOOKUP(lmic_raw[[#This Row],[iso3]], hbv_prev[[iso3]:[ub]],2,FALSE)/100,0)</f>
        <v>1.8600000000000002E-2</v>
      </c>
      <c r="N79">
        <f>IFERROR(VLOOKUP(lmic_raw[[#This Row],[setting]],hbe_prev[],3,FALSE),0)</f>
        <v>0.33273537315274737</v>
      </c>
      <c r="O79">
        <f>VLOOKUP(lmic_raw[[#This Row],[gbd_super]],hbe_risk[],2,FALSE)</f>
        <v>0.8</v>
      </c>
      <c r="P79" s="33">
        <f>VLOOKUP(lmic_raw[[#This Row],[gbd_super]],hbe_risk[],5,FALSE)</f>
        <v>0.17499999999999999</v>
      </c>
      <c r="Q79" s="118">
        <f>IFERROR(VLOOKUP(lmic_raw[[#This Row],[setting]],disease_costs!$A$4:$B$197,2,FALSE),0)</f>
        <v>0</v>
      </c>
      <c r="R79">
        <f>IFERROR(VLOOKUP(lmic_raw[[#This Row],[gbd_super]],disease_costs!$G$4:$K$9,2,FALSE),0)</f>
        <v>73.084500000000006</v>
      </c>
      <c r="S79" s="33">
        <f>IFERROR(VLOOKUP(lmic_raw[[#This Row],[gbd_super]],disease_costs!$G$4:$K$9,3,FALSE),0)</f>
        <v>120.8265</v>
      </c>
      <c r="T79" s="33">
        <f>IFERROR(VLOOKUP(lmic_raw[[#This Row],[gbd_super]],disease_costs!$G$4:$K$9,4,FALSE),0)</f>
        <v>120.8265</v>
      </c>
      <c r="U79" s="33">
        <f>IFERROR(VLOOKUP(lmic_raw[[#This Row],[gbd_super]],disease_costs!$G$4:$K$9,5,FALSE),0)</f>
        <v>120.8265</v>
      </c>
      <c r="V79">
        <f>IFERROR(VLOOKUP(lmic_raw[[#This Row],[setting]],vcost[],3,FALSE),0)</f>
        <v>9.8165806139030991</v>
      </c>
      <c r="W79">
        <f>IFERROR(VLOOKUP(lmic_raw[[#This Row],[setting]],vcost[],4,FALSE),0)</f>
        <v>10.4465806139031</v>
      </c>
      <c r="X79">
        <f>IFERROR(VLOOKUP(lmic_raw[[#This Row],[setting]],vcost[],5,FALSE),0)</f>
        <v>9.3631647767182269</v>
      </c>
      <c r="Y79">
        <f>IFERROR(VLOOKUP(lmic_raw[[#This Row],[setting]],vcost[],6,FALSE),0)</f>
        <v>9.9931647767182277</v>
      </c>
      <c r="Z79">
        <f>IFERROR(VLOOKUP(lmic_raw[[#This Row],[setting]],vcost[],7,FALSE),0)</f>
        <v>9.9787229157409989</v>
      </c>
      <c r="AA79">
        <f>IFERROR(VLOOKUP(lmic_raw[[#This Row],[setting]],vcost[],8,FALSE),0)</f>
        <v>10.068247247309298</v>
      </c>
      <c r="AB79">
        <f>IFERROR(VLOOKUP(lmic_raw[[#This Row],[setting]],vcost[],9,FALSE),0)</f>
        <v>10.698247247309299</v>
      </c>
      <c r="AC79" s="33">
        <f>IFERROR(INDEX(acm[],MATCH($C79,acm[[Country code]:[Country code]],0),MATCH(AC$1,acm[#Headers],0)),0)</f>
        <v>1.1219750000000058E-2</v>
      </c>
      <c r="AD79" s="33">
        <f>IFERROR(INDEX(acm[],MATCH($C79,acm[[Country code]:[Country code]],0),MATCH(AD$1,acm[#Headers],0)),0)</f>
        <v>4.9551202099758717E-4</v>
      </c>
      <c r="AE79" s="33">
        <f>IFERROR(INDEX(acm[],MATCH($C79,acm[[Country code]:[Country code]],0),MATCH(AE$1,acm[#Headers],0)),0)</f>
        <v>1.4383974454358547E-4</v>
      </c>
      <c r="AF79" s="33">
        <f>IFERROR(INDEX(acm[],MATCH($C79,acm[[Country code]:[Country code]],0),MATCH(AF$1,acm[#Headers],0)),0)</f>
        <v>1.9375106276098254E-4</v>
      </c>
      <c r="AG79" s="33">
        <f>IFERROR(INDEX(acm[],MATCH($C79,acm[[Country code]:[Country code]],0),MATCH(AG$1,acm[#Headers],0)),0)</f>
        <v>5.5103995672075288E-4</v>
      </c>
      <c r="AH79" s="33">
        <f>IFERROR(INDEX(acm[],MATCH($C79,acm[[Country code]:[Country code]],0),MATCH(AH$1,acm[#Headers],0)),0)</f>
        <v>8.8368451027373129E-4</v>
      </c>
      <c r="AI79" s="33">
        <f>IFERROR(INDEX(acm[],MATCH($C79,acm[[Country code]:[Country code]],0),MATCH(AI$1,acm[#Headers],0)),0)</f>
        <v>1.2165092111005393E-3</v>
      </c>
      <c r="AJ79" s="33">
        <f>IFERROR(INDEX(acm[],MATCH($C79,acm[[Country code]:[Country code]],0),MATCH(AJ$1,acm[#Headers],0)),0)</f>
        <v>1.5102263852154534E-3</v>
      </c>
      <c r="AK79" s="33">
        <f>IFERROR(INDEX(acm[],MATCH($C79,acm[[Country code]:[Country code]],0),MATCH(AK$1,acm[#Headers],0)),0)</f>
        <v>2.2255136010703083E-3</v>
      </c>
      <c r="AL79" s="33">
        <f>IFERROR(INDEX(acm[],MATCH($C79,acm[[Country code]:[Country code]],0),MATCH(AL$1,acm[#Headers],0)),0)</f>
        <v>3.1821406410451622E-3</v>
      </c>
      <c r="AM79" s="33">
        <f>IFERROR(INDEX(acm[],MATCH($C79,acm[[Country code]:[Country code]],0),MATCH(AM$1,acm[#Headers],0)),0)</f>
        <v>4.6283429701317168E-3</v>
      </c>
      <c r="AN79" s="33">
        <f>IFERROR(INDEX(acm[],MATCH($C79,acm[[Country code]:[Country code]],0),MATCH(AN$1,acm[#Headers],0)),0)</f>
        <v>6.8349836152977669E-3</v>
      </c>
      <c r="AO79" s="33">
        <f>IFERROR(INDEX(acm[],MATCH($C79,acm[[Country code]:[Country code]],0),MATCH(AO$1,acm[#Headers],0)),0)</f>
        <v>9.5098542381649477E-3</v>
      </c>
      <c r="AP79" s="33">
        <f>IFERROR(INDEX(acm[],MATCH($C79,acm[[Country code]:[Country code]],0),MATCH(AP$1,acm[#Headers],0)),0)</f>
        <v>1.4750863515586436E-2</v>
      </c>
      <c r="AQ79" s="33">
        <f>IFERROR(INDEX(acm[],MATCH($C79,acm[[Country code]:[Country code]],0),MATCH(AQ$1,acm[#Headers],0)),0)</f>
        <v>2.1124357164764424E-2</v>
      </c>
      <c r="AR79" s="33">
        <f>IFERROR(INDEX(acm[],MATCH($C79,acm[[Country code]:[Country code]],0),MATCH(AR$1,acm[#Headers],0)),0)</f>
        <v>3.1919984282365248E-2</v>
      </c>
      <c r="AS79" s="33">
        <f>IFERROR(INDEX(acm[],MATCH($C79,acm[[Country code]:[Country code]],0),MATCH(AS$1,acm[#Headers],0)),0)</f>
        <v>4.5199317054123091E-2</v>
      </c>
      <c r="AT79" s="33">
        <f>IFERROR(INDEX(acm[],MATCH($C79,acm[[Country code]:[Country code]],0),MATCH(AT$1,acm[#Headers],0)),0)</f>
        <v>6.7566756051371968E-2</v>
      </c>
      <c r="AU79" s="33">
        <f>IFERROR(INDEX(acm[],MATCH($C79,acm[[Country code]:[Country code]],0),MATCH(AU$1,acm[#Headers],0)),0)</f>
        <v>9.4718066154717978E-2</v>
      </c>
      <c r="AV79" s="33">
        <f>IFERROR(INDEX(acm[],MATCH($C79,acm[[Country code]:[Country code]],0),MATCH(AV$1,acm[#Headers],0)),0)</f>
        <v>0.12235017582128284</v>
      </c>
      <c r="AW79" s="33">
        <f>IFERROR(INDEX(acm[],MATCH($C79,acm[[Country code]:[Country code]],0),MATCH(AW$1,acm[#Headers],0)),0)</f>
        <v>0.14773933517431959</v>
      </c>
      <c r="AX79" s="33">
        <f>IFERROR(VLOOKUP(lmic_raw[[#This Row],[num]],life_exp[[Country code]:[2015-2020]],2,FALSE),0)</f>
        <v>74.763000000000005</v>
      </c>
    </row>
    <row r="80" spans="1:50" x14ac:dyDescent="0.25">
      <c r="A80" s="109" t="s">
        <v>258</v>
      </c>
      <c r="B80" s="101" t="s">
        <v>470</v>
      </c>
      <c r="C80" s="102">
        <v>484</v>
      </c>
      <c r="D80" s="82" t="s">
        <v>679</v>
      </c>
      <c r="E80" s="82" t="s">
        <v>604</v>
      </c>
      <c r="F80" s="82" t="s">
        <v>665</v>
      </c>
      <c r="G80" s="82" t="s">
        <v>676</v>
      </c>
      <c r="H80" s="33">
        <f>VLOOKUP(lmic_raw[[#This Row],[num]],pop[[Country code]:[pop_20]],2,FALSE)*1000</f>
        <v>127575529</v>
      </c>
      <c r="I80" s="117">
        <f>IFERROR(VLOOKUP(lmic_raw[[#This Row],[num]],pop[[Country code]:[pop_20]],2,FALSE)*VLOOKUP(lmic_raw[[#This Row],[num]],b_rate[[Country code]:[2015-2020]],2,FALSE),0)</f>
        <v>2262679.5823439998</v>
      </c>
      <c r="J80">
        <f>IFERROR(MIN(VLOOKUP(lmic_raw[[#This Row],[iso3]],fac_b[],4,FALSE)/100,0.9999),0)</f>
        <v>0.96900000000000008</v>
      </c>
      <c r="K80" s="33">
        <f>VLOOKUP(lmic_raw[[#This Row],[iso3]],vax[[iso3]:[hbv3]],2,FALSE)/100</f>
        <v>0</v>
      </c>
      <c r="L80" s="33">
        <f>VLOOKUP(lmic_raw[[#This Row],[iso3]],vax[[iso3]:[hbv3]],3,FALSE)/100</f>
        <v>0.56000000000000005</v>
      </c>
      <c r="M80">
        <f>IFERROR(VLOOKUP(lmic_raw[[#This Row],[iso3]], hbv_prev[[iso3]:[ub]],2,FALSE)/100,0)</f>
        <v>2.8000000000000004E-3</v>
      </c>
      <c r="N80">
        <f>IFERROR(VLOOKUP(lmic_raw[[#This Row],[setting]],hbe_prev[],3,FALSE),0)</f>
        <v>0.31318377193893543</v>
      </c>
      <c r="O80">
        <f>VLOOKUP(lmic_raw[[#This Row],[gbd_super]],hbe_risk[],2,FALSE)</f>
        <v>0.8</v>
      </c>
      <c r="P80" s="33">
        <f>VLOOKUP(lmic_raw[[#This Row],[gbd_super]],hbe_risk[],5,FALSE)</f>
        <v>0.17499999999999999</v>
      </c>
      <c r="Q80">
        <f>IFERROR(VLOOKUP(lmic_raw[[#This Row],[setting]],disease_costs!$A$4:$B$197,2,FALSE),0)</f>
        <v>16.651874365522406</v>
      </c>
      <c r="R80">
        <f>IFERROR(VLOOKUP(lmic_raw[[#This Row],[gbd_super]],disease_costs!$G$4:$K$9,2,FALSE),0)</f>
        <v>86.883899999999997</v>
      </c>
      <c r="S80" s="33">
        <f>IFERROR(VLOOKUP(lmic_raw[[#This Row],[gbd_super]],disease_costs!$G$4:$K$9,3,FALSE),0)</f>
        <v>134.6259</v>
      </c>
      <c r="T80" s="33">
        <f>IFERROR(VLOOKUP(lmic_raw[[#This Row],[gbd_super]],disease_costs!$G$4:$K$9,4,FALSE),0)</f>
        <v>134.6259</v>
      </c>
      <c r="U80" s="33">
        <f>IFERROR(VLOOKUP(lmic_raw[[#This Row],[gbd_super]],disease_costs!$G$4:$K$9,5,FALSE),0)</f>
        <v>134.6259</v>
      </c>
      <c r="V80">
        <f>IFERROR(VLOOKUP(lmic_raw[[#This Row],[setting]],vcost[],3,FALSE),0)</f>
        <v>3.0744266636486213</v>
      </c>
      <c r="W80">
        <f>IFERROR(VLOOKUP(lmic_raw[[#This Row],[setting]],vcost[],4,FALSE),0)</f>
        <v>3.0944266636486213</v>
      </c>
      <c r="X80">
        <f>IFERROR(VLOOKUP(lmic_raw[[#This Row],[setting]],vcost[],5,FALSE),0)</f>
        <v>2.6241715654877309</v>
      </c>
      <c r="Y80">
        <f>IFERROR(VLOOKUP(lmic_raw[[#This Row],[setting]],vcost[],6,FALSE),0)</f>
        <v>2.6441715654877309</v>
      </c>
      <c r="Z80">
        <f>IFERROR(VLOOKUP(lmic_raw[[#This Row],[setting]],vcost[],7,FALSE),0)</f>
        <v>2.6307646318253806</v>
      </c>
      <c r="AA80">
        <f>IFERROR(VLOOKUP(lmic_raw[[#This Row],[setting]],vcost[],8,FALSE),0)</f>
        <v>3.3249539608950127</v>
      </c>
      <c r="AB80">
        <f>IFERROR(VLOOKUP(lmic_raw[[#This Row],[setting]],vcost[],9,FALSE),0)</f>
        <v>3.3449539608950127</v>
      </c>
      <c r="AC80" s="33">
        <f>IFERROR(INDEX(acm[],MATCH($C80,acm[[Country code]:[Country code]],0),MATCH(AC$1,acm[#Headers],0)),0)</f>
        <v>1.3512949999999982E-2</v>
      </c>
      <c r="AD80" s="33">
        <f>IFERROR(INDEX(acm[],MATCH($C80,acm[[Country code]:[Country code]],0),MATCH(AD$1,acm[#Headers],0)),0)</f>
        <v>5.2048326432669505E-4</v>
      </c>
      <c r="AE80" s="33">
        <f>IFERROR(INDEX(acm[],MATCH($C80,acm[[Country code]:[Country code]],0),MATCH(AE$1,acm[#Headers],0)),0)</f>
        <v>2.5512141122823124E-4</v>
      </c>
      <c r="AF80" s="33">
        <f>IFERROR(INDEX(acm[],MATCH($C80,acm[[Country code]:[Country code]],0),MATCH(AF$1,acm[#Headers],0)),0)</f>
        <v>3.6238420834488225E-4</v>
      </c>
      <c r="AG80" s="33">
        <f>IFERROR(INDEX(acm[],MATCH($C80,acm[[Country code]:[Country code]],0),MATCH(AG$1,acm[#Headers],0)),0)</f>
        <v>7.665508663240487E-4</v>
      </c>
      <c r="AH80" s="33">
        <f>IFERROR(INDEX(acm[],MATCH($C80,acm[[Country code]:[Country code]],0),MATCH(AH$1,acm[#Headers],0)),0)</f>
        <v>1.2482475431183713E-3</v>
      </c>
      <c r="AI80" s="33">
        <f>IFERROR(INDEX(acm[],MATCH($C80,acm[[Country code]:[Country code]],0),MATCH(AI$1,acm[#Headers],0)),0)</f>
        <v>1.5675062635033927E-3</v>
      </c>
      <c r="AJ80" s="33">
        <f>IFERROR(INDEX(acm[],MATCH($C80,acm[[Country code]:[Country code]],0),MATCH(AJ$1,acm[#Headers],0)),0)</f>
        <v>1.805884966171544E-3</v>
      </c>
      <c r="AK80" s="33">
        <f>IFERROR(INDEX(acm[],MATCH($C80,acm[[Country code]:[Country code]],0),MATCH(AK$1,acm[#Headers],0)),0)</f>
        <v>2.1867916613655036E-3</v>
      </c>
      <c r="AL80" s="33">
        <f>IFERROR(INDEX(acm[],MATCH($C80,acm[[Country code]:[Country code]],0),MATCH(AL$1,acm[#Headers],0)),0)</f>
        <v>2.9009136323384387E-3</v>
      </c>
      <c r="AM80" s="33">
        <f>IFERROR(INDEX(acm[],MATCH($C80,acm[[Country code]:[Country code]],0),MATCH(AM$1,acm[#Headers],0)),0)</f>
        <v>4.1225920614060153E-3</v>
      </c>
      <c r="AN80" s="33">
        <f>IFERROR(INDEX(acm[],MATCH($C80,acm[[Country code]:[Country code]],0),MATCH(AN$1,acm[#Headers],0)),0)</f>
        <v>6.0784860347484725E-3</v>
      </c>
      <c r="AO80" s="33">
        <f>IFERROR(INDEX(acm[],MATCH($C80,acm[[Country code]:[Country code]],0),MATCH(AO$1,acm[#Headers],0)),0)</f>
        <v>9.0887769205922671E-3</v>
      </c>
      <c r="AP80" s="33">
        <f>IFERROR(INDEX(acm[],MATCH($C80,acm[[Country code]:[Country code]],0),MATCH(AP$1,acm[#Headers],0)),0)</f>
        <v>1.3602529193538508E-2</v>
      </c>
      <c r="AQ80" s="33">
        <f>IFERROR(INDEX(acm[],MATCH($C80,acm[[Country code]:[Country code]],0),MATCH(AQ$1,acm[#Headers],0)),0)</f>
        <v>2.0289766374395436E-2</v>
      </c>
      <c r="AR80" s="33">
        <f>IFERROR(INDEX(acm[],MATCH($C80,acm[[Country code]:[Country code]],0),MATCH(AR$1,acm[#Headers],0)),0)</f>
        <v>2.999065893376187E-2</v>
      </c>
      <c r="AS80" s="33">
        <f>IFERROR(INDEX(acm[],MATCH($C80,acm[[Country code]:[Country code]],0),MATCH(AS$1,acm[#Headers],0)),0)</f>
        <v>4.3632283426271401E-2</v>
      </c>
      <c r="AT80" s="33">
        <f>IFERROR(INDEX(acm[],MATCH($C80,acm[[Country code]:[Country code]],0),MATCH(AT$1,acm[#Headers],0)),0)</f>
        <v>6.2085984793593195E-2</v>
      </c>
      <c r="AU80" s="33">
        <f>IFERROR(INDEX(acm[],MATCH($C80,acm[[Country code]:[Country code]],0),MATCH(AU$1,acm[#Headers],0)),0)</f>
        <v>8.625858645970115E-2</v>
      </c>
      <c r="AV80" s="33">
        <f>IFERROR(INDEX(acm[],MATCH($C80,acm[[Country code]:[Country code]],0),MATCH(AV$1,acm[#Headers],0)),0)</f>
        <v>0.11671433425367923</v>
      </c>
      <c r="AW80" s="33">
        <f>IFERROR(INDEX(acm[],MATCH($C80,acm[[Country code]:[Country code]],0),MATCH(AW$1,acm[#Headers],0)),0)</f>
        <v>0.15014208419615915</v>
      </c>
      <c r="AX80" s="33">
        <f>IFERROR(VLOOKUP(lmic_raw[[#This Row],[num]],life_exp[[Country code]:[2015-2020]],2,FALSE),0)</f>
        <v>74.977000000000004</v>
      </c>
    </row>
    <row r="81" spans="1:50" x14ac:dyDescent="0.25">
      <c r="A81" s="82" t="s">
        <v>472</v>
      </c>
      <c r="B81" s="104" t="s">
        <v>471</v>
      </c>
      <c r="C81" s="105">
        <v>583</v>
      </c>
      <c r="D81" s="84" t="s">
        <v>681</v>
      </c>
      <c r="E81" s="84" t="s">
        <v>98</v>
      </c>
      <c r="F81" s="84" t="s">
        <v>666</v>
      </c>
      <c r="G81" s="84" t="s">
        <v>678</v>
      </c>
      <c r="H81" s="33">
        <f>VLOOKUP(lmic_raw[[#This Row],[num]],pop[[Country code]:[pop_20]],2,FALSE)*1000</f>
        <v>113811</v>
      </c>
      <c r="I81" s="117">
        <f>IFERROR(VLOOKUP(lmic_raw[[#This Row],[num]],pop[[Country code]:[pop_20]],2,FALSE)*VLOOKUP(lmic_raw[[#This Row],[num]],b_rate[[Country code]:[2015-2020]],2,FALSE),0)</f>
        <v>2601.3780270000002</v>
      </c>
      <c r="J81">
        <f>IFERROR(MIN(VLOOKUP(lmic_raw[[#This Row],[iso3]],fac_b[],4,FALSE)/100,0.9999),0)</f>
        <v>0.87</v>
      </c>
      <c r="K81" s="33">
        <f>VLOOKUP(lmic_raw[[#This Row],[iso3]],vax[[iso3]:[hbv3]],2,FALSE)/100</f>
        <v>0.7</v>
      </c>
      <c r="L81" s="33">
        <f>VLOOKUP(lmic_raw[[#This Row],[iso3]],vax[[iso3]:[hbv3]],3,FALSE)/100</f>
        <v>0.84</v>
      </c>
      <c r="M81">
        <f>IFERROR(VLOOKUP(lmic_raw[[#This Row],[iso3]], hbv_prev[[iso3]:[ub]],2,FALSE)/100,0)</f>
        <v>3.5200000000000002E-2</v>
      </c>
      <c r="N81">
        <f>IFERROR(VLOOKUP(lmic_raw[[#This Row],[setting]],hbe_prev[],3,FALSE),0)</f>
        <v>0.3179561234857366</v>
      </c>
      <c r="O81">
        <f>VLOOKUP(lmic_raw[[#This Row],[gbd_super]],hbe_risk[],2,FALSE)</f>
        <v>0.8</v>
      </c>
      <c r="P81" s="33">
        <f>VLOOKUP(lmic_raw[[#This Row],[gbd_super]],hbe_risk[],5,FALSE)</f>
        <v>0.17499999999999999</v>
      </c>
      <c r="Q81">
        <f>IFERROR(VLOOKUP(lmic_raw[[#This Row],[setting]],disease_costs!$A$4:$B$197,2,FALSE),0)</f>
        <v>7.6432652958130909</v>
      </c>
      <c r="R81">
        <f>IFERROR(VLOOKUP(lmic_raw[[#This Row],[gbd_super]],disease_costs!$G$4:$K$9,2,FALSE),0)</f>
        <v>73.084500000000006</v>
      </c>
      <c r="S81" s="33">
        <f>IFERROR(VLOOKUP(lmic_raw[[#This Row],[gbd_super]],disease_costs!$G$4:$K$9,3,FALSE),0)</f>
        <v>120.8265</v>
      </c>
      <c r="T81" s="33">
        <f>IFERROR(VLOOKUP(lmic_raw[[#This Row],[gbd_super]],disease_costs!$G$4:$K$9,4,FALSE),0)</f>
        <v>120.8265</v>
      </c>
      <c r="U81" s="33">
        <f>IFERROR(VLOOKUP(lmic_raw[[#This Row],[gbd_super]],disease_costs!$G$4:$K$9,5,FALSE),0)</f>
        <v>120.8265</v>
      </c>
      <c r="V81">
        <f>IFERROR(VLOOKUP(lmic_raw[[#This Row],[setting]],vcost[],3,FALSE),0)</f>
        <v>6.2858874431838911</v>
      </c>
      <c r="W81">
        <f>IFERROR(VLOOKUP(lmic_raw[[#This Row],[setting]],vcost[],4,FALSE),0)</f>
        <v>6.915887443183891</v>
      </c>
      <c r="X81">
        <f>IFERROR(VLOOKUP(lmic_raw[[#This Row],[setting]],vcost[],5,FALSE),0)</f>
        <v>5.8477037830474874</v>
      </c>
      <c r="Y81">
        <f>IFERROR(VLOOKUP(lmic_raw[[#This Row],[setting]],vcost[],6,FALSE),0)</f>
        <v>6.4777037830474873</v>
      </c>
      <c r="Z81">
        <f>IFERROR(VLOOKUP(lmic_raw[[#This Row],[setting]],vcost[],7,FALSE),0)</f>
        <v>6.4698440784143525</v>
      </c>
      <c r="AA81">
        <f>IFERROR(VLOOKUP(lmic_raw[[#This Row],[setting]],vcost[],8,FALSE),0)</f>
        <v>6.5320634081191296</v>
      </c>
      <c r="AB81">
        <f>IFERROR(VLOOKUP(lmic_raw[[#This Row],[setting]],vcost[],9,FALSE),0)</f>
        <v>7.1620634081191294</v>
      </c>
      <c r="AC81" s="33">
        <f>IFERROR(INDEX(acm[],MATCH($C81,acm[[Country code]:[Country code]],0),MATCH(AC$1,acm[#Headers],0)),0)</f>
        <v>2.3440869999999996E-2</v>
      </c>
      <c r="AD81" s="33">
        <f>IFERROR(INDEX(acm[],MATCH($C81,acm[[Country code]:[Country code]],0),MATCH(AD$1,acm[#Headers],0)),0)</f>
        <v>2.1648868307646732E-3</v>
      </c>
      <c r="AE81" s="33">
        <f>IFERROR(INDEX(acm[],MATCH($C81,acm[[Country code]:[Country code]],0),MATCH(AE$1,acm[#Headers],0)),0)</f>
        <v>6.4018629761514146E-4</v>
      </c>
      <c r="AF81" s="33">
        <f>IFERROR(INDEX(acm[],MATCH($C81,acm[[Country code]:[Country code]],0),MATCH(AF$1,acm[#Headers],0)),0)</f>
        <v>5.4743414776815629E-4</v>
      </c>
      <c r="AG81" s="33">
        <f>IFERROR(INDEX(acm[],MATCH($C81,acm[[Country code]:[Country code]],0),MATCH(AG$1,acm[#Headers],0)),0)</f>
        <v>1.0747219997257551E-3</v>
      </c>
      <c r="AH81" s="33">
        <f>IFERROR(INDEX(acm[],MATCH($C81,acm[[Country code]:[Country code]],0),MATCH(AH$1,acm[#Headers],0)),0)</f>
        <v>1.3907297498618539E-3</v>
      </c>
      <c r="AI81" s="33">
        <f>IFERROR(INDEX(acm[],MATCH($C81,acm[[Country code]:[Country code]],0),MATCH(AI$1,acm[#Headers],0)),0)</f>
        <v>1.4766862405901995E-3</v>
      </c>
      <c r="AJ81" s="33">
        <f>IFERROR(INDEX(acm[],MATCH($C81,acm[[Country code]:[Country code]],0),MATCH(AJ$1,acm[#Headers],0)),0)</f>
        <v>1.7383537476311204E-3</v>
      </c>
      <c r="AK81" s="33">
        <f>IFERROR(INDEX(acm[],MATCH($C81,acm[[Country code]:[Country code]],0),MATCH(AK$1,acm[#Headers],0)),0)</f>
        <v>2.3014617765703032E-3</v>
      </c>
      <c r="AL81" s="33">
        <f>IFERROR(INDEX(acm[],MATCH($C81,acm[[Country code]:[Country code]],0),MATCH(AL$1,acm[#Headers],0)),0)</f>
        <v>3.2324636179329146E-3</v>
      </c>
      <c r="AM81" s="33">
        <f>IFERROR(INDEX(acm[],MATCH($C81,acm[[Country code]:[Country code]],0),MATCH(AM$1,acm[#Headers],0)),0)</f>
        <v>4.8579253902303852E-3</v>
      </c>
      <c r="AN81" s="33">
        <f>IFERROR(INDEX(acm[],MATCH($C81,acm[[Country code]:[Country code]],0),MATCH(AN$1,acm[#Headers],0)),0)</f>
        <v>7.4483614104042797E-3</v>
      </c>
      <c r="AO81" s="33">
        <f>IFERROR(INDEX(acm[],MATCH($C81,acm[[Country code]:[Country code]],0),MATCH(AO$1,acm[#Headers],0)),0)</f>
        <v>1.1546852725601551E-2</v>
      </c>
      <c r="AP81" s="33">
        <f>IFERROR(INDEX(acm[],MATCH($C81,acm[[Country code]:[Country code]],0),MATCH(AP$1,acm[#Headers],0)),0)</f>
        <v>2.1899808913202371E-2</v>
      </c>
      <c r="AQ81" s="33">
        <f>IFERROR(INDEX(acm[],MATCH($C81,acm[[Country code]:[Country code]],0),MATCH(AQ$1,acm[#Headers],0)),0)</f>
        <v>4.0487706625867939E-2</v>
      </c>
      <c r="AR81" s="33">
        <f>IFERROR(INDEX(acm[],MATCH($C81,acm[[Country code]:[Country code]],0),MATCH(AR$1,acm[#Headers],0)),0)</f>
        <v>6.4035401977734774E-2</v>
      </c>
      <c r="AS81" s="33">
        <f>IFERROR(INDEX(acm[],MATCH($C81,acm[[Country code]:[Country code]],0),MATCH(AS$1,acm[#Headers],0)),0)</f>
        <v>9.1371027832408427E-2</v>
      </c>
      <c r="AT81" s="33">
        <f>IFERROR(INDEX(acm[],MATCH($C81,acm[[Country code]:[Country code]],0),MATCH(AT$1,acm[#Headers],0)),0)</f>
        <v>0.12448796858623369</v>
      </c>
      <c r="AU81" s="33">
        <f>IFERROR(INDEX(acm[],MATCH($C81,acm[[Country code]:[Country code]],0),MATCH(AU$1,acm[#Headers],0)),0)</f>
        <v>0.15754479641058214</v>
      </c>
      <c r="AV81" s="33">
        <f>IFERROR(INDEX(acm[],MATCH($C81,acm[[Country code]:[Country code]],0),MATCH(AV$1,acm[#Headers],0)),0)</f>
        <v>0.17929461044094072</v>
      </c>
      <c r="AW81" s="33">
        <f>IFERROR(INDEX(acm[],MATCH($C81,acm[[Country code]:[Country code]],0),MATCH(AW$1,acm[#Headers],0)),0)</f>
        <v>0.18928679973190748</v>
      </c>
      <c r="AX81" s="33">
        <f>IFERROR(VLOOKUP(lmic_raw[[#This Row],[num]],life_exp[[Country code]:[2015-2020]],2,FALSE),0)</f>
        <v>67.695999999999998</v>
      </c>
    </row>
    <row r="82" spans="1:50" x14ac:dyDescent="0.25">
      <c r="A82" s="82" t="s">
        <v>639</v>
      </c>
      <c r="B82" s="101" t="s">
        <v>499</v>
      </c>
      <c r="C82" s="102">
        <v>498</v>
      </c>
      <c r="D82" s="82" t="s">
        <v>675</v>
      </c>
      <c r="E82" s="82" t="s">
        <v>306</v>
      </c>
      <c r="F82" s="82" t="s">
        <v>663</v>
      </c>
      <c r="G82" s="82" t="s">
        <v>678</v>
      </c>
      <c r="H82" s="33">
        <f>VLOOKUP(lmic_raw[[#This Row],[num]],pop[[Country code]:[pop_20]],2,FALSE)*1000</f>
        <v>4043258</v>
      </c>
      <c r="I82" s="117">
        <f>IFERROR(VLOOKUP(lmic_raw[[#This Row],[num]],pop[[Country code]:[pop_20]],2,FALSE)*VLOOKUP(lmic_raw[[#This Row],[num]],b_rate[[Country code]:[2015-2020]],2,FALSE),0)</f>
        <v>41039.068699999996</v>
      </c>
      <c r="J82">
        <f>IFERROR(MIN(VLOOKUP(lmic_raw[[#This Row],[iso3]],fac_b[],4,FALSE)/100,0.9999),0)</f>
        <v>0.99400000000000011</v>
      </c>
      <c r="K82" s="33">
        <f>VLOOKUP(lmic_raw[[#This Row],[iso3]],vax[[iso3]:[hbv3]],2,FALSE)/100</f>
        <v>0.93</v>
      </c>
      <c r="L82" s="33">
        <f>VLOOKUP(lmic_raw[[#This Row],[iso3]],vax[[iso3]:[hbv3]],3,FALSE)/100</f>
        <v>0.94</v>
      </c>
      <c r="M82">
        <f>IFERROR(VLOOKUP(lmic_raw[[#This Row],[iso3]], hbv_prev[[iso3]:[ub]],2,FALSE)/100,0)</f>
        <v>4.9100000000000005E-2</v>
      </c>
      <c r="N82">
        <f>IFERROR(VLOOKUP(lmic_raw[[#This Row],[setting]],hbe_prev[],3,FALSE),0)</f>
        <v>0.29822610488439383</v>
      </c>
      <c r="O82">
        <f>VLOOKUP(lmic_raw[[#This Row],[gbd_super]],hbe_risk[],2,FALSE)</f>
        <v>0.8</v>
      </c>
      <c r="P82" s="33">
        <f>VLOOKUP(lmic_raw[[#This Row],[gbd_super]],hbe_risk[],5,FALSE)</f>
        <v>0.17499999999999999</v>
      </c>
      <c r="Q82" s="118">
        <f>IFERROR(VLOOKUP(lmic_raw[[#This Row],[setting]],disease_costs!$A$4:$B$197,2,FALSE),0)</f>
        <v>0</v>
      </c>
      <c r="R82">
        <f>IFERROR(VLOOKUP(lmic_raw[[#This Row],[gbd_super]],disease_costs!$G$4:$K$9,2,FALSE),0)</f>
        <v>44.537400000000005</v>
      </c>
      <c r="S82" s="33">
        <f>IFERROR(VLOOKUP(lmic_raw[[#This Row],[gbd_super]],disease_costs!$G$4:$K$9,3,FALSE),0)</f>
        <v>92.27940000000001</v>
      </c>
      <c r="T82" s="33">
        <f>IFERROR(VLOOKUP(lmic_raw[[#This Row],[gbd_super]],disease_costs!$G$4:$K$9,4,FALSE),0)</f>
        <v>92.27940000000001</v>
      </c>
      <c r="U82" s="33">
        <f>IFERROR(VLOOKUP(lmic_raw[[#This Row],[gbd_super]],disease_costs!$G$4:$K$9,5,FALSE),0)</f>
        <v>92.27940000000001</v>
      </c>
      <c r="V82">
        <f>IFERROR(VLOOKUP(lmic_raw[[#This Row],[setting]],vcost[],3,FALSE),0)</f>
        <v>5.1351076319743525</v>
      </c>
      <c r="W82">
        <f>IFERROR(VLOOKUP(lmic_raw[[#This Row],[setting]],vcost[],4,FALSE),0)</f>
        <v>9.2051076319743537</v>
      </c>
      <c r="X82">
        <f>IFERROR(VLOOKUP(lmic_raw[[#This Row],[setting]],vcost[],5,FALSE),0)</f>
        <v>4.6899589333442471</v>
      </c>
      <c r="Y82">
        <f>IFERROR(VLOOKUP(lmic_raw[[#This Row],[setting]],vcost[],6,FALSE),0)</f>
        <v>8.7599589333442474</v>
      </c>
      <c r="Z82">
        <f>IFERROR(VLOOKUP(lmic_raw[[#This Row],[setting]],vcost[],7,FALSE),0)</f>
        <v>8.7485765663292412</v>
      </c>
      <c r="AA82">
        <f>IFERROR(VLOOKUP(lmic_raw[[#This Row],[setting]],vcost[],8,FALSE),0)</f>
        <v>5.3837942503201113</v>
      </c>
      <c r="AB82">
        <f>IFERROR(VLOOKUP(lmic_raw[[#This Row],[setting]],vcost[],9,FALSE),0)</f>
        <v>9.4537942503201116</v>
      </c>
      <c r="AC82" s="33">
        <f>IFERROR(INDEX(acm[],MATCH($C82,acm[[Country code]:[Country code]],0),MATCH(AC$1,acm[#Headers],0)),0)</f>
        <v>1.2356070000000037E-2</v>
      </c>
      <c r="AD82" s="33">
        <f>IFERROR(INDEX(acm[],MATCH($C82,acm[[Country code]:[Country code]],0),MATCH(AD$1,acm[#Headers],0)),0)</f>
        <v>5.1653230937185452E-4</v>
      </c>
      <c r="AE82" s="33">
        <f>IFERROR(INDEX(acm[],MATCH($C82,acm[[Country code]:[Country code]],0),MATCH(AE$1,acm[#Headers],0)),0)</f>
        <v>2.2573381524593341E-4</v>
      </c>
      <c r="AF82" s="33">
        <f>IFERROR(INDEX(acm[],MATCH($C82,acm[[Country code]:[Country code]],0),MATCH(AF$1,acm[#Headers],0)),0)</f>
        <v>1.7649731270754883E-4</v>
      </c>
      <c r="AG82" s="33">
        <f>IFERROR(INDEX(acm[],MATCH($C82,acm[[Country code]:[Country code]],0),MATCH(AG$1,acm[#Headers],0)),0)</f>
        <v>4.1222334865976097E-4</v>
      </c>
      <c r="AH82" s="33">
        <f>IFERROR(INDEX(acm[],MATCH($C82,acm[[Country code]:[Country code]],0),MATCH(AH$1,acm[#Headers],0)),0)</f>
        <v>5.5838521956235755E-4</v>
      </c>
      <c r="AI82" s="33">
        <f>IFERROR(INDEX(acm[],MATCH($C82,acm[[Country code]:[Country code]],0),MATCH(AI$1,acm[#Headers],0)),0)</f>
        <v>8.3978185065986986E-4</v>
      </c>
      <c r="AJ82" s="33">
        <f>IFERROR(INDEX(acm[],MATCH($C82,acm[[Country code]:[Country code]],0),MATCH(AJ$1,acm[#Headers],0)),0)</f>
        <v>1.2911409393618447E-3</v>
      </c>
      <c r="AK82" s="33">
        <f>IFERROR(INDEX(acm[],MATCH($C82,acm[[Country code]:[Country code]],0),MATCH(AK$1,acm[#Headers],0)),0)</f>
        <v>2.3089872457516974E-3</v>
      </c>
      <c r="AL82" s="33">
        <f>IFERROR(INDEX(acm[],MATCH($C82,acm[[Country code]:[Country code]],0),MATCH(AL$1,acm[#Headers],0)),0)</f>
        <v>3.2472068089578732E-3</v>
      </c>
      <c r="AM82" s="33">
        <f>IFERROR(INDEX(acm[],MATCH($C82,acm[[Country code]:[Country code]],0),MATCH(AM$1,acm[#Headers],0)),0)</f>
        <v>5.7588767309607655E-3</v>
      </c>
      <c r="AN82" s="33">
        <f>IFERROR(INDEX(acm[],MATCH($C82,acm[[Country code]:[Country code]],0),MATCH(AN$1,acm[#Headers],0)),0)</f>
        <v>8.5519787927547056E-3</v>
      </c>
      <c r="AO82" s="33">
        <f>IFERROR(INDEX(acm[],MATCH($C82,acm[[Country code]:[Country code]],0),MATCH(AO$1,acm[#Headers],0)),0)</f>
        <v>1.2821928563051331E-2</v>
      </c>
      <c r="AP82" s="33">
        <f>IFERROR(INDEX(acm[],MATCH($C82,acm[[Country code]:[Country code]],0),MATCH(AP$1,acm[#Headers],0)),0)</f>
        <v>2.1091767696511721E-2</v>
      </c>
      <c r="AQ82" s="33">
        <f>IFERROR(INDEX(acm[],MATCH($C82,acm[[Country code]:[Country code]],0),MATCH(AQ$1,acm[#Headers],0)),0)</f>
        <v>2.7372341396522927E-2</v>
      </c>
      <c r="AR82" s="33">
        <f>IFERROR(INDEX(acm[],MATCH($C82,acm[[Country code]:[Country code]],0),MATCH(AR$1,acm[#Headers],0)),0)</f>
        <v>4.2432166669116665E-2</v>
      </c>
      <c r="AS82" s="33">
        <f>IFERROR(INDEX(acm[],MATCH($C82,acm[[Country code]:[Country code]],0),MATCH(AS$1,acm[#Headers],0)),0)</f>
        <v>6.3749925590814951E-2</v>
      </c>
      <c r="AT82" s="33">
        <f>IFERROR(INDEX(acm[],MATCH($C82,acm[[Country code]:[Country code]],0),MATCH(AT$1,acm[#Headers],0)),0)</f>
        <v>9.2125842449112899E-2</v>
      </c>
      <c r="AU82" s="33">
        <f>IFERROR(INDEX(acm[],MATCH($C82,acm[[Country code]:[Country code]],0),MATCH(AU$1,acm[#Headers],0)),0)</f>
        <v>0.12388987526553405</v>
      </c>
      <c r="AV82" s="33">
        <f>IFERROR(INDEX(acm[],MATCH($C82,acm[[Country code]:[Country code]],0),MATCH(AV$1,acm[#Headers],0)),0)</f>
        <v>0.15013067830054949</v>
      </c>
      <c r="AW82" s="33">
        <f>IFERROR(INDEX(acm[],MATCH($C82,acm[[Country code]:[Country code]],0),MATCH(AW$1,acm[#Headers],0)),0)</f>
        <v>0.17315483450424698</v>
      </c>
      <c r="AX82" s="33">
        <f>IFERROR(VLOOKUP(lmic_raw[[#This Row],[num]],life_exp[[Country code]:[2015-2020]],2,FALSE),0)</f>
        <v>71.683999999999997</v>
      </c>
    </row>
    <row r="83" spans="1:50" x14ac:dyDescent="0.25">
      <c r="A83" s="110" t="s">
        <v>208</v>
      </c>
      <c r="B83" s="104" t="s">
        <v>473</v>
      </c>
      <c r="C83" s="105">
        <v>496</v>
      </c>
      <c r="D83" s="84" t="s">
        <v>681</v>
      </c>
      <c r="E83" s="84" t="s">
        <v>184</v>
      </c>
      <c r="F83" s="84" t="s">
        <v>663</v>
      </c>
      <c r="G83" s="84" t="s">
        <v>678</v>
      </c>
      <c r="H83" s="33">
        <f>VLOOKUP(lmic_raw[[#This Row],[num]],pop[[Country code]:[pop_20]],2,FALSE)*1000</f>
        <v>3225166</v>
      </c>
      <c r="I83" s="117">
        <f>IFERROR(VLOOKUP(lmic_raw[[#This Row],[num]],pop[[Country code]:[pop_20]],2,FALSE)*VLOOKUP(lmic_raw[[#This Row],[num]],b_rate[[Country code]:[2015-2020]],2,FALSE),0)</f>
        <v>78826.282206000003</v>
      </c>
      <c r="J83">
        <f>IFERROR(MIN(VLOOKUP(lmic_raw[[#This Row],[iso3]],fac_b[],4,FALSE)/100,0.9999),0)</f>
        <v>0.9840000000000001</v>
      </c>
      <c r="K83" s="33">
        <f>VLOOKUP(lmic_raw[[#This Row],[iso3]],vax[[iso3]:[hbv3]],2,FALSE)/100</f>
        <v>0.98</v>
      </c>
      <c r="L83" s="33">
        <f>VLOOKUP(lmic_raw[[#This Row],[iso3]],vax[[iso3]:[hbv3]],3,FALSE)/100</f>
        <v>0.98</v>
      </c>
      <c r="M83">
        <f>IFERROR(VLOOKUP(lmic_raw[[#This Row],[iso3]], hbv_prev[[iso3]:[ub]],2,FALSE)/100,0)</f>
        <v>0.10800000000000001</v>
      </c>
      <c r="N83">
        <f>IFERROR(VLOOKUP(lmic_raw[[#This Row],[setting]],hbe_prev[],3,FALSE),0)</f>
        <v>0.28953580197018131</v>
      </c>
      <c r="O83">
        <f>VLOOKUP(lmic_raw[[#This Row],[gbd_super]],hbe_risk[],2,FALSE)</f>
        <v>0.8</v>
      </c>
      <c r="P83" s="33">
        <f>VLOOKUP(lmic_raw[[#This Row],[gbd_super]],hbe_risk[],5,FALSE)</f>
        <v>0.17499999999999999</v>
      </c>
      <c r="Q83">
        <f>IFERROR(VLOOKUP(lmic_raw[[#This Row],[setting]],disease_costs!$A$4:$B$197,2,FALSE),0)</f>
        <v>4.5454432046482269</v>
      </c>
      <c r="R83">
        <f>IFERROR(VLOOKUP(lmic_raw[[#This Row],[gbd_super]],disease_costs!$G$4:$K$9,2,FALSE),0)</f>
        <v>44.537400000000005</v>
      </c>
      <c r="S83" s="33">
        <f>IFERROR(VLOOKUP(lmic_raw[[#This Row],[gbd_super]],disease_costs!$G$4:$K$9,3,FALSE),0)</f>
        <v>92.27940000000001</v>
      </c>
      <c r="T83" s="33">
        <f>IFERROR(VLOOKUP(lmic_raw[[#This Row],[gbd_super]],disease_costs!$G$4:$K$9,4,FALSE),0)</f>
        <v>92.27940000000001</v>
      </c>
      <c r="U83" s="33">
        <f>IFERROR(VLOOKUP(lmic_raw[[#This Row],[gbd_super]],disease_costs!$G$4:$K$9,5,FALSE),0)</f>
        <v>92.27940000000001</v>
      </c>
      <c r="V83">
        <f>IFERROR(VLOOKUP(lmic_raw[[#This Row],[setting]],vcost[],3,FALSE),0)</f>
        <v>6.6785265038907387</v>
      </c>
      <c r="W83">
        <f>IFERROR(VLOOKUP(lmic_raw[[#This Row],[setting]],vcost[],4,FALSE),0)</f>
        <v>10.748526503890739</v>
      </c>
      <c r="X83">
        <f>IFERROR(VLOOKUP(lmic_raw[[#This Row],[setting]],vcost[],5,FALSE),0)</f>
        <v>6.2342171695519344</v>
      </c>
      <c r="Y83">
        <f>IFERROR(VLOOKUP(lmic_raw[[#This Row],[setting]],vcost[],6,FALSE),0)</f>
        <v>10.304217169551935</v>
      </c>
      <c r="Z83">
        <f>IFERROR(VLOOKUP(lmic_raw[[#This Row],[setting]],vcost[],7,FALSE),0)</f>
        <v>10.293115855156408</v>
      </c>
      <c r="AA83">
        <f>IFERROR(VLOOKUP(lmic_raw[[#This Row],[setting]],vcost[],8,FALSE),0)</f>
        <v>6.9269105606896328</v>
      </c>
      <c r="AB83">
        <f>IFERROR(VLOOKUP(lmic_raw[[#This Row],[setting]],vcost[],9,FALSE),0)</f>
        <v>10.996910560689633</v>
      </c>
      <c r="AC83" s="33">
        <f>IFERROR(INDEX(acm[],MATCH($C83,acm[[Country code]:[Country code]],0),MATCH(AC$1,acm[#Headers],0)),0)</f>
        <v>1.8091659999999975E-2</v>
      </c>
      <c r="AD83" s="33">
        <f>IFERROR(INDEX(acm[],MATCH($C83,acm[[Country code]:[Country code]],0),MATCH(AD$1,acm[#Headers],0)),0)</f>
        <v>1.089134246481696E-3</v>
      </c>
      <c r="AE83" s="33">
        <f>IFERROR(INDEX(acm[],MATCH($C83,acm[[Country code]:[Country code]],0),MATCH(AE$1,acm[#Headers],0)),0)</f>
        <v>3.6072929057807485E-4</v>
      </c>
      <c r="AF83" s="33">
        <f>IFERROR(INDEX(acm[],MATCH($C83,acm[[Country code]:[Country code]],0),MATCH(AF$1,acm[#Headers],0)),0)</f>
        <v>3.3589812188814335E-4</v>
      </c>
      <c r="AG83" s="33">
        <f>IFERROR(INDEX(acm[],MATCH($C83,acm[[Country code]:[Country code]],0),MATCH(AG$1,acm[#Headers],0)),0)</f>
        <v>5.2098873409926738E-4</v>
      </c>
      <c r="AH83" s="33">
        <f>IFERROR(INDEX(acm[],MATCH($C83,acm[[Country code]:[Country code]],0),MATCH(AH$1,acm[#Headers],0)),0)</f>
        <v>9.0125812173430834E-4</v>
      </c>
      <c r="AI83" s="33">
        <f>IFERROR(INDEX(acm[],MATCH($C83,acm[[Country code]:[Country code]],0),MATCH(AI$1,acm[#Headers],0)),0)</f>
        <v>1.2885255419651149E-3</v>
      </c>
      <c r="AJ83" s="33">
        <f>IFERROR(INDEX(acm[],MATCH($C83,acm[[Country code]:[Country code]],0),MATCH(AJ$1,acm[#Headers],0)),0)</f>
        <v>1.9471744177746583E-3</v>
      </c>
      <c r="AK83" s="33">
        <f>IFERROR(INDEX(acm[],MATCH($C83,acm[[Country code]:[Country code]],0),MATCH(AK$1,acm[#Headers],0)),0)</f>
        <v>2.8349576770170136E-3</v>
      </c>
      <c r="AL83" s="33">
        <f>IFERROR(INDEX(acm[],MATCH($C83,acm[[Country code]:[Country code]],0),MATCH(AL$1,acm[#Headers],0)),0)</f>
        <v>4.345514061239268E-3</v>
      </c>
      <c r="AM83" s="33">
        <f>IFERROR(INDEX(acm[],MATCH($C83,acm[[Country code]:[Country code]],0),MATCH(AM$1,acm[#Headers],0)),0)</f>
        <v>7.4750551799561129E-3</v>
      </c>
      <c r="AN83" s="33">
        <f>IFERROR(INDEX(acm[],MATCH($C83,acm[[Country code]:[Country code]],0),MATCH(AN$1,acm[#Headers],0)),0)</f>
        <v>1.117685746018055E-2</v>
      </c>
      <c r="AO83" s="33">
        <f>IFERROR(INDEX(acm[],MATCH($C83,acm[[Country code]:[Country code]],0),MATCH(AO$1,acm[#Headers],0)),0)</f>
        <v>1.5155314954888392E-2</v>
      </c>
      <c r="AP83" s="33">
        <f>IFERROR(INDEX(acm[],MATCH($C83,acm[[Country code]:[Country code]],0),MATCH(AP$1,acm[#Headers],0)),0)</f>
        <v>2.128058637037436E-2</v>
      </c>
      <c r="AQ83" s="33">
        <f>IFERROR(INDEX(acm[],MATCH($C83,acm[[Country code]:[Country code]],0),MATCH(AQ$1,acm[#Headers],0)),0)</f>
        <v>2.9015889101694226E-2</v>
      </c>
      <c r="AR83" s="33">
        <f>IFERROR(INDEX(acm[],MATCH($C83,acm[[Country code]:[Country code]],0),MATCH(AR$1,acm[#Headers],0)),0)</f>
        <v>4.6152979981666467E-2</v>
      </c>
      <c r="AS83" s="33">
        <f>IFERROR(INDEX(acm[],MATCH($C83,acm[[Country code]:[Country code]],0),MATCH(AS$1,acm[#Headers],0)),0)</f>
        <v>6.588315657394142E-2</v>
      </c>
      <c r="AT83" s="33">
        <f>IFERROR(INDEX(acm[],MATCH($C83,acm[[Country code]:[Country code]],0),MATCH(AT$1,acm[#Headers],0)),0)</f>
        <v>9.0022095675955552E-2</v>
      </c>
      <c r="AU83" s="33">
        <f>IFERROR(INDEX(acm[],MATCH($C83,acm[[Country code]:[Country code]],0),MATCH(AU$1,acm[#Headers],0)),0)</f>
        <v>0.11735601180715931</v>
      </c>
      <c r="AV83" s="33">
        <f>IFERROR(INDEX(acm[],MATCH($C83,acm[[Country code]:[Country code]],0),MATCH(AV$1,acm[#Headers],0)),0)</f>
        <v>0.1436109653144062</v>
      </c>
      <c r="AW83" s="33">
        <f>IFERROR(INDEX(acm[],MATCH($C83,acm[[Country code]:[Country code]],0),MATCH(AW$1,acm[#Headers],0)),0)</f>
        <v>0.16511405527935535</v>
      </c>
      <c r="AX83" s="33">
        <f>IFERROR(VLOOKUP(lmic_raw[[#This Row],[num]],life_exp[[Country code]:[2015-2020]],2,FALSE),0)</f>
        <v>69.549000000000007</v>
      </c>
    </row>
    <row r="84" spans="1:50" x14ac:dyDescent="0.25">
      <c r="A84" s="109" t="s">
        <v>341</v>
      </c>
      <c r="B84" s="101" t="s">
        <v>474</v>
      </c>
      <c r="C84" s="102">
        <v>499</v>
      </c>
      <c r="D84" s="82" t="s">
        <v>675</v>
      </c>
      <c r="E84" s="82" t="s">
        <v>580</v>
      </c>
      <c r="F84" s="82" t="s">
        <v>663</v>
      </c>
      <c r="G84" s="82" t="s">
        <v>676</v>
      </c>
      <c r="H84" s="33">
        <f>VLOOKUP(lmic_raw[[#This Row],[num]],pop[[Country code]:[pop_20]],2,FALSE)*1000</f>
        <v>627988</v>
      </c>
      <c r="I84" s="117">
        <f>IFERROR(VLOOKUP(lmic_raw[[#This Row],[num]],pop[[Country code]:[pop_20]],2,FALSE)*VLOOKUP(lmic_raw[[#This Row],[num]],b_rate[[Country code]:[2015-2020]],2,FALSE),0)</f>
        <v>7423.4461480000009</v>
      </c>
      <c r="J84">
        <f>IFERROR(MIN(VLOOKUP(lmic_raw[[#This Row],[iso3]],fac_b[],4,FALSE)/100,0.9999),0)</f>
        <v>0.98599999999999999</v>
      </c>
      <c r="K84" s="33">
        <f>VLOOKUP(lmic_raw[[#This Row],[iso3]],vax[[iso3]:[hbv3]],2,FALSE)/100</f>
        <v>0</v>
      </c>
      <c r="L84" s="33">
        <f>VLOOKUP(lmic_raw[[#This Row],[iso3]],vax[[iso3]:[hbv3]],3,FALSE)/100</f>
        <v>0.72</v>
      </c>
      <c r="M84">
        <f>IFERROR(VLOOKUP(lmic_raw[[#This Row],[iso3]], hbv_prev[[iso3]:[ub]],2,FALSE)/100,0)</f>
        <v>1.8700000000000001E-2</v>
      </c>
      <c r="N84">
        <f>IFERROR(VLOOKUP(lmic_raw[[#This Row],[setting]],hbe_prev[],3,FALSE),0)</f>
        <v>0.28213738136324418</v>
      </c>
      <c r="O84">
        <f>VLOOKUP(lmic_raw[[#This Row],[gbd_super]],hbe_risk[],2,FALSE)</f>
        <v>0.8</v>
      </c>
      <c r="P84" s="33">
        <f>VLOOKUP(lmic_raw[[#This Row],[gbd_super]],hbe_risk[],5,FALSE)</f>
        <v>0.17499999999999999</v>
      </c>
      <c r="Q84" s="118">
        <f>IFERROR(VLOOKUP(lmic_raw[[#This Row],[setting]],disease_costs!$A$4:$B$197,2,FALSE),0)</f>
        <v>0</v>
      </c>
      <c r="R84">
        <f>IFERROR(VLOOKUP(lmic_raw[[#This Row],[gbd_super]],disease_costs!$G$4:$K$9,2,FALSE),0)</f>
        <v>44.537400000000005</v>
      </c>
      <c r="S84" s="33">
        <f>IFERROR(VLOOKUP(lmic_raw[[#This Row],[gbd_super]],disease_costs!$G$4:$K$9,3,FALSE),0)</f>
        <v>92.27940000000001</v>
      </c>
      <c r="T84" s="33">
        <f>IFERROR(VLOOKUP(lmic_raw[[#This Row],[gbd_super]],disease_costs!$G$4:$K$9,4,FALSE),0)</f>
        <v>92.27940000000001</v>
      </c>
      <c r="U84" s="33">
        <f>IFERROR(VLOOKUP(lmic_raw[[#This Row],[gbd_super]],disease_costs!$G$4:$K$9,5,FALSE),0)</f>
        <v>92.27940000000001</v>
      </c>
      <c r="V84">
        <f>IFERROR(VLOOKUP(lmic_raw[[#This Row],[setting]],vcost[],3,FALSE),0)</f>
        <v>8.0309668743467455</v>
      </c>
      <c r="W84">
        <f>IFERROR(VLOOKUP(lmic_raw[[#This Row],[setting]],vcost[],4,FALSE),0)</f>
        <v>12.100966874346746</v>
      </c>
      <c r="X84">
        <f>IFERROR(VLOOKUP(lmic_raw[[#This Row],[setting]],vcost[],5,FALSE),0)</f>
        <v>7.5849904297658624</v>
      </c>
      <c r="Y84">
        <f>IFERROR(VLOOKUP(lmic_raw[[#This Row],[setting]],vcost[],6,FALSE),0)</f>
        <v>11.654990429765864</v>
      </c>
      <c r="Z84">
        <f>IFERROR(VLOOKUP(lmic_raw[[#This Row],[setting]],vcost[],7,FALSE),0)</f>
        <v>11.643783375887281</v>
      </c>
      <c r="AA84">
        <f>IFERROR(VLOOKUP(lmic_raw[[#This Row],[setting]],vcost[],8,FALSE),0)</f>
        <v>8.2799518662328992</v>
      </c>
      <c r="AB84">
        <f>IFERROR(VLOOKUP(lmic_raw[[#This Row],[setting]],vcost[],9,FALSE),0)</f>
        <v>12.3499518662329</v>
      </c>
      <c r="AC84" s="33">
        <f>IFERROR(INDEX(acm[],MATCH($C84,acm[[Country code]:[Country code]],0),MATCH(AC$1,acm[#Headers],0)),0)</f>
        <v>2.7589900000000488E-3</v>
      </c>
      <c r="AD84" s="33">
        <f>IFERROR(INDEX(acm[],MATCH($C84,acm[[Country code]:[Country code]],0),MATCH(AD$1,acm[#Headers],0)),0)</f>
        <v>1.0978288989539571E-4</v>
      </c>
      <c r="AE84" s="33">
        <f>IFERROR(INDEX(acm[],MATCH($C84,acm[[Country code]:[Country code]],0),MATCH(AE$1,acm[#Headers],0)),0)</f>
        <v>1.2963041677568015E-4</v>
      </c>
      <c r="AF84" s="33">
        <f>IFERROR(INDEX(acm[],MATCH($C84,acm[[Country code]:[Country code]],0),MATCH(AF$1,acm[#Headers],0)),0)</f>
        <v>1.4090750613701859E-4</v>
      </c>
      <c r="AG84" s="33">
        <f>IFERROR(INDEX(acm[],MATCH($C84,acm[[Country code]:[Country code]],0),MATCH(AG$1,acm[#Headers],0)),0)</f>
        <v>2.598449485189175E-4</v>
      </c>
      <c r="AH84" s="33">
        <f>IFERROR(INDEX(acm[],MATCH($C84,acm[[Country code]:[Country code]],0),MATCH(AH$1,acm[#Headers],0)),0)</f>
        <v>3.8511837498975804E-4</v>
      </c>
      <c r="AI84" s="33">
        <f>IFERROR(INDEX(acm[],MATCH($C84,acm[[Country code]:[Country code]],0),MATCH(AI$1,acm[#Headers],0)),0)</f>
        <v>5.8594049785019419E-4</v>
      </c>
      <c r="AJ84" s="33">
        <f>IFERROR(INDEX(acm[],MATCH($C84,acm[[Country code]:[Country code]],0),MATCH(AJ$1,acm[#Headers],0)),0)</f>
        <v>5.8344926577957336E-4</v>
      </c>
      <c r="AK84" s="33">
        <f>IFERROR(INDEX(acm[],MATCH($C84,acm[[Country code]:[Country code]],0),MATCH(AK$1,acm[#Headers],0)),0)</f>
        <v>9.7097040585871115E-4</v>
      </c>
      <c r="AL84" s="33">
        <f>IFERROR(INDEX(acm[],MATCH($C84,acm[[Country code]:[Country code]],0),MATCH(AL$1,acm[#Headers],0)),0)</f>
        <v>1.506992281523925E-3</v>
      </c>
      <c r="AM84" s="33">
        <f>IFERROR(INDEX(acm[],MATCH($C84,acm[[Country code]:[Country code]],0),MATCH(AM$1,acm[#Headers],0)),0)</f>
        <v>2.5610333053270123E-3</v>
      </c>
      <c r="AN84" s="33">
        <f>IFERROR(INDEX(acm[],MATCH($C84,acm[[Country code]:[Country code]],0),MATCH(AN$1,acm[#Headers],0)),0)</f>
        <v>4.7821152331354623E-3</v>
      </c>
      <c r="AO84" s="33">
        <f>IFERROR(INDEX(acm[],MATCH($C84,acm[[Country code]:[Country code]],0),MATCH(AO$1,acm[#Headers],0)),0)</f>
        <v>8.5308074137273905E-3</v>
      </c>
      <c r="AP84" s="33">
        <f>IFERROR(INDEX(acm[],MATCH($C84,acm[[Country code]:[Country code]],0),MATCH(AP$1,acm[#Headers],0)),0)</f>
        <v>1.2795081982261316E-2</v>
      </c>
      <c r="AQ84" s="33">
        <f>IFERROR(INDEX(acm[],MATCH($C84,acm[[Country code]:[Country code]],0),MATCH(AQ$1,acm[#Headers],0)),0)</f>
        <v>2.1186155006874843E-2</v>
      </c>
      <c r="AR84" s="33">
        <f>IFERROR(INDEX(acm[],MATCH($C84,acm[[Country code]:[Country code]],0),MATCH(AR$1,acm[#Headers],0)),0)</f>
        <v>3.0975367630566662E-2</v>
      </c>
      <c r="AS84" s="33">
        <f>IFERROR(INDEX(acm[],MATCH($C84,acm[[Country code]:[Country code]],0),MATCH(AS$1,acm[#Headers],0)),0)</f>
        <v>5.1451402750234264E-2</v>
      </c>
      <c r="AT84" s="33">
        <f>IFERROR(INDEX(acm[],MATCH($C84,acm[[Country code]:[Country code]],0),MATCH(AT$1,acm[#Headers],0)),0)</f>
        <v>8.1119943211650655E-2</v>
      </c>
      <c r="AU84" s="33">
        <f>IFERROR(INDEX(acm[],MATCH($C84,acm[[Country code]:[Country code]],0),MATCH(AU$1,acm[#Headers],0)),0)</f>
        <v>0.11760632921694675</v>
      </c>
      <c r="AV84" s="33">
        <f>IFERROR(INDEX(acm[],MATCH($C84,acm[[Country code]:[Country code]],0),MATCH(AV$1,acm[#Headers],0)),0)</f>
        <v>0.15578243420900695</v>
      </c>
      <c r="AW84" s="33">
        <f>IFERROR(INDEX(acm[],MATCH($C84,acm[[Country code]:[Country code]],0),MATCH(AW$1,acm[#Headers],0)),0)</f>
        <v>0.17912229417993825</v>
      </c>
      <c r="AX84" s="33">
        <f>IFERROR(VLOOKUP(lmic_raw[[#This Row],[num]],life_exp[[Country code]:[2015-2020]],2,FALSE),0)</f>
        <v>76.652000000000001</v>
      </c>
    </row>
    <row r="85" spans="1:50" x14ac:dyDescent="0.25">
      <c r="A85" s="110" t="s">
        <v>160</v>
      </c>
      <c r="B85" s="104" t="s">
        <v>475</v>
      </c>
      <c r="C85" s="105">
        <v>504</v>
      </c>
      <c r="D85" s="84" t="s">
        <v>673</v>
      </c>
      <c r="E85" s="84" t="s">
        <v>579</v>
      </c>
      <c r="F85" s="84" t="s">
        <v>579</v>
      </c>
      <c r="G85" s="84" t="s">
        <v>678</v>
      </c>
      <c r="H85" s="33">
        <f>VLOOKUP(lmic_raw[[#This Row],[num]],pop[[Country code]:[pop_20]],2,FALSE)*1000</f>
        <v>36471766</v>
      </c>
      <c r="I85" s="117">
        <f>IFERROR(VLOOKUP(lmic_raw[[#This Row],[num]],pop[[Country code]:[pop_20]],2,FALSE)*VLOOKUP(lmic_raw[[#This Row],[num]],b_rate[[Country code]:[2015-2020]],2,FALSE),0)</f>
        <v>694896.55759800004</v>
      </c>
      <c r="J85">
        <f>IFERROR(MIN(VLOOKUP(lmic_raw[[#This Row],[iso3]],fac_b[],4,FALSE)/100,0.9999),0)</f>
        <v>0.86099999999999999</v>
      </c>
      <c r="K85" s="33">
        <f>VLOOKUP(lmic_raw[[#This Row],[iso3]],vax[[iso3]:[hbv3]],2,FALSE)/100</f>
        <v>0.41</v>
      </c>
      <c r="L85" s="33">
        <f>VLOOKUP(lmic_raw[[#This Row],[iso3]],vax[[iso3]:[hbv3]],3,FALSE)/100</f>
        <v>0.99</v>
      </c>
      <c r="M85">
        <f>IFERROR(VLOOKUP(lmic_raw[[#This Row],[iso3]], hbv_prev[[iso3]:[ub]],2,FALSE)/100,0)</f>
        <v>1.52E-2</v>
      </c>
      <c r="N85">
        <f>IFERROR(VLOOKUP(lmic_raw[[#This Row],[setting]],hbe_prev[],3,FALSE),0)</f>
        <v>0.25084579049460559</v>
      </c>
      <c r="O85">
        <f>VLOOKUP(lmic_raw[[#This Row],[gbd_super]],hbe_risk[],2,FALSE)</f>
        <v>0.8</v>
      </c>
      <c r="P85" s="33">
        <f>VLOOKUP(lmic_raw[[#This Row],[gbd_super]],hbe_risk[],5,FALSE)</f>
        <v>0.17499999999999999</v>
      </c>
      <c r="Q85">
        <f>IFERROR(VLOOKUP(lmic_raw[[#This Row],[setting]],disease_costs!$A$4:$B$197,2,FALSE),0)</f>
        <v>7.0498127879271015</v>
      </c>
      <c r="R85">
        <f>IFERROR(VLOOKUP(lmic_raw[[#This Row],[gbd_super]],disease_costs!$G$4:$K$9,2,FALSE),0)</f>
        <v>46.335900000000002</v>
      </c>
      <c r="S85" s="33">
        <f>IFERROR(VLOOKUP(lmic_raw[[#This Row],[gbd_super]],disease_costs!$G$4:$K$9,3,FALSE),0)</f>
        <v>94.077900000000014</v>
      </c>
      <c r="T85" s="33">
        <f>IFERROR(VLOOKUP(lmic_raw[[#This Row],[gbd_super]],disease_costs!$G$4:$K$9,4,FALSE),0)</f>
        <v>94.077900000000014</v>
      </c>
      <c r="U85" s="33">
        <f>IFERROR(VLOOKUP(lmic_raw[[#This Row],[gbd_super]],disease_costs!$G$4:$K$9,5,FALSE),0)</f>
        <v>94.077900000000014</v>
      </c>
      <c r="V85">
        <f>IFERROR(VLOOKUP(lmic_raw[[#This Row],[setting]],vcost[],3,FALSE),0)</f>
        <v>3.9045529322116841</v>
      </c>
      <c r="W85">
        <f>IFERROR(VLOOKUP(lmic_raw[[#This Row],[setting]],vcost[],4,FALSE),0)</f>
        <v>4.3845529322116841</v>
      </c>
      <c r="X85">
        <f>IFERROR(VLOOKUP(lmic_raw[[#This Row],[setting]],vcost[],5,FALSE),0)</f>
        <v>3.4674493211099087</v>
      </c>
      <c r="Y85">
        <f>IFERROR(VLOOKUP(lmic_raw[[#This Row],[setting]],vcost[],6,FALSE),0)</f>
        <v>3.9474493211099086</v>
      </c>
      <c r="Z85">
        <f>IFERROR(VLOOKUP(lmic_raw[[#This Row],[setting]],vcost[],7,FALSE),0)</f>
        <v>3.9395189340828933</v>
      </c>
      <c r="AA85">
        <f>IFERROR(VLOOKUP(lmic_raw[[#This Row],[setting]],vcost[],8,FALSE),0)</f>
        <v>4.1503395771460685</v>
      </c>
      <c r="AB85">
        <f>IFERROR(VLOOKUP(lmic_raw[[#This Row],[setting]],vcost[],9,FALSE),0)</f>
        <v>4.6303395771460689</v>
      </c>
      <c r="AC85" s="33">
        <f>IFERROR(INDEX(acm[],MATCH($C85,acm[[Country code]:[Country code]],0),MATCH(AC$1,acm[#Headers],0)),0)</f>
        <v>1.9868730000000067E-2</v>
      </c>
      <c r="AD85" s="33">
        <f>IFERROR(INDEX(acm[],MATCH($C85,acm[[Country code]:[Country code]],0),MATCH(AD$1,acm[#Headers],0)),0)</f>
        <v>9.0158331546751264E-4</v>
      </c>
      <c r="AE85" s="33">
        <f>IFERROR(INDEX(acm[],MATCH($C85,acm[[Country code]:[Country code]],0),MATCH(AE$1,acm[#Headers],0)),0)</f>
        <v>4.2089231542369684E-4</v>
      </c>
      <c r="AF85" s="33">
        <f>IFERROR(INDEX(acm[],MATCH($C85,acm[[Country code]:[Country code]],0),MATCH(AF$1,acm[#Headers],0)),0)</f>
        <v>2.557510692876066E-4</v>
      </c>
      <c r="AG85" s="33">
        <f>IFERROR(INDEX(acm[],MATCH($C85,acm[[Country code]:[Country code]],0),MATCH(AG$1,acm[#Headers],0)),0)</f>
        <v>4.1495325190041841E-4</v>
      </c>
      <c r="AH85" s="33">
        <f>IFERROR(INDEX(acm[],MATCH($C85,acm[[Country code]:[Country code]],0),MATCH(AH$1,acm[#Headers],0)),0)</f>
        <v>6.0455741603860887E-4</v>
      </c>
      <c r="AI85" s="33">
        <f>IFERROR(INDEX(acm[],MATCH($C85,acm[[Country code]:[Country code]],0),MATCH(AI$1,acm[#Headers],0)),0)</f>
        <v>6.6897173890994818E-4</v>
      </c>
      <c r="AJ85" s="33">
        <f>IFERROR(INDEX(acm[],MATCH($C85,acm[[Country code]:[Country code]],0),MATCH(AJ$1,acm[#Headers],0)),0)</f>
        <v>7.4289019935636503E-4</v>
      </c>
      <c r="AK85" s="33">
        <f>IFERROR(INDEX(acm[],MATCH($C85,acm[[Country code]:[Country code]],0),MATCH(AK$1,acm[#Headers],0)),0)</f>
        <v>1.0014434703993515E-3</v>
      </c>
      <c r="AL85" s="33">
        <f>IFERROR(INDEX(acm[],MATCH($C85,acm[[Country code]:[Country code]],0),MATCH(AL$1,acm[#Headers],0)),0)</f>
        <v>1.330799544217336E-3</v>
      </c>
      <c r="AM85" s="33">
        <f>IFERROR(INDEX(acm[],MATCH($C85,acm[[Country code]:[Country code]],0),MATCH(AM$1,acm[#Headers],0)),0)</f>
        <v>1.9004295608519065E-3</v>
      </c>
      <c r="AN85" s="33">
        <f>IFERROR(INDEX(acm[],MATCH($C85,acm[[Country code]:[Country code]],0),MATCH(AN$1,acm[#Headers],0)),0)</f>
        <v>2.9029344608908036E-3</v>
      </c>
      <c r="AO85" s="33">
        <f>IFERROR(INDEX(acm[],MATCH($C85,acm[[Country code]:[Country code]],0),MATCH(AO$1,acm[#Headers],0)),0)</f>
        <v>4.509322393201615E-3</v>
      </c>
      <c r="AP85" s="33">
        <f>IFERROR(INDEX(acm[],MATCH($C85,acm[[Country code]:[Country code]],0),MATCH(AP$1,acm[#Headers],0)),0)</f>
        <v>7.8232346542924831E-3</v>
      </c>
      <c r="AQ85" s="33">
        <f>IFERROR(INDEX(acm[],MATCH($C85,acm[[Country code]:[Country code]],0),MATCH(AQ$1,acm[#Headers],0)),0)</f>
        <v>1.3908841127627395E-2</v>
      </c>
      <c r="AR85" s="33">
        <f>IFERROR(INDEX(acm[],MATCH($C85,acm[[Country code]:[Country code]],0),MATCH(AR$1,acm[#Headers],0)),0)</f>
        <v>2.7730057229789273E-2</v>
      </c>
      <c r="AS85" s="33">
        <f>IFERROR(INDEX(acm[],MATCH($C85,acm[[Country code]:[Country code]],0),MATCH(AS$1,acm[#Headers],0)),0)</f>
        <v>4.7021934675716137E-2</v>
      </c>
      <c r="AT85" s="33">
        <f>IFERROR(INDEX(acm[],MATCH($C85,acm[[Country code]:[Country code]],0),MATCH(AT$1,acm[#Headers],0)),0)</f>
        <v>9.1999086836662095E-2</v>
      </c>
      <c r="AU85" s="33">
        <f>IFERROR(INDEX(acm[],MATCH($C85,acm[[Country code]:[Country code]],0),MATCH(AU$1,acm[#Headers],0)),0)</f>
        <v>0.13935901987725235</v>
      </c>
      <c r="AV85" s="33">
        <f>IFERROR(INDEX(acm[],MATCH($C85,acm[[Country code]:[Country code]],0),MATCH(AV$1,acm[#Headers],0)),0)</f>
        <v>0.17321863769084356</v>
      </c>
      <c r="AW85" s="33">
        <f>IFERROR(INDEX(acm[],MATCH($C85,acm[[Country code]:[Country code]],0),MATCH(AW$1,acm[#Headers],0)),0)</f>
        <v>0.18438535373189555</v>
      </c>
      <c r="AX85" s="33">
        <f>IFERROR(VLOOKUP(lmic_raw[[#This Row],[num]],life_exp[[Country code]:[2015-2020]],2,FALSE),0)</f>
        <v>76.33</v>
      </c>
    </row>
    <row r="86" spans="1:50" x14ac:dyDescent="0.25">
      <c r="A86" s="109" t="s">
        <v>111</v>
      </c>
      <c r="B86" s="101" t="s">
        <v>476</v>
      </c>
      <c r="C86" s="102">
        <v>508</v>
      </c>
      <c r="D86" s="82" t="s">
        <v>677</v>
      </c>
      <c r="E86" s="82" t="s">
        <v>597</v>
      </c>
      <c r="F86" s="82" t="s">
        <v>667</v>
      </c>
      <c r="G86" s="82" t="s">
        <v>674</v>
      </c>
      <c r="H86" s="33">
        <f>VLOOKUP(lmic_raw[[#This Row],[num]],pop[[Country code]:[pop_20]],2,FALSE)*1000</f>
        <v>30366043</v>
      </c>
      <c r="I86" s="117">
        <f>IFERROR(VLOOKUP(lmic_raw[[#This Row],[num]],pop[[Country code]:[pop_20]],2,FALSE)*VLOOKUP(lmic_raw[[#This Row],[num]],b_rate[[Country code]:[2015-2020]],2,FALSE),0)</f>
        <v>1144921.2852720001</v>
      </c>
      <c r="J86">
        <f>IFERROR(MIN(VLOOKUP(lmic_raw[[#This Row],[iso3]],fac_b[],4,FALSE)/100,0.9999),0)</f>
        <v>0.54799999999999993</v>
      </c>
      <c r="K86" s="33">
        <f>VLOOKUP(lmic_raw[[#This Row],[iso3]],vax[[iso3]:[hbv3]],2,FALSE)/100</f>
        <v>0</v>
      </c>
      <c r="L86" s="33">
        <f>VLOOKUP(lmic_raw[[#This Row],[iso3]],vax[[iso3]:[hbv3]],3,FALSE)/100</f>
        <v>0.88</v>
      </c>
      <c r="M86">
        <f>IFERROR(VLOOKUP(lmic_raw[[#This Row],[iso3]], hbv_prev[[iso3]:[ub]],2,FALSE)/100,0)</f>
        <v>7.2400000000000006E-2</v>
      </c>
      <c r="N86">
        <f>IFERROR(VLOOKUP(lmic_raw[[#This Row],[setting]],hbe_prev[],3,FALSE),0)</f>
        <v>0.29825928137599328</v>
      </c>
      <c r="O86">
        <f>VLOOKUP(lmic_raw[[#This Row],[gbd_super]],hbe_risk[],2,FALSE)</f>
        <v>0.38300000000000001</v>
      </c>
      <c r="P86" s="33">
        <f>VLOOKUP(lmic_raw[[#This Row],[gbd_super]],hbe_risk[],5,FALSE)</f>
        <v>4.8000000000000001E-2</v>
      </c>
      <c r="Q86">
        <f>IFERROR(VLOOKUP(lmic_raw[[#This Row],[setting]],disease_costs!$A$4:$B$197,2,FALSE),0)</f>
        <v>2.7176094803593798</v>
      </c>
      <c r="R86">
        <f>IFERROR(VLOOKUP(lmic_raw[[#This Row],[gbd_super]],disease_costs!$G$4:$K$9,2,FALSE),0)</f>
        <v>29.920500000000001</v>
      </c>
      <c r="S86" s="33">
        <f>IFERROR(VLOOKUP(lmic_raw[[#This Row],[gbd_super]],disease_costs!$G$4:$K$9,3,FALSE),0)</f>
        <v>77.662500000000009</v>
      </c>
      <c r="T86" s="33">
        <f>IFERROR(VLOOKUP(lmic_raw[[#This Row],[gbd_super]],disease_costs!$G$4:$K$9,4,FALSE),0)</f>
        <v>77.662500000000009</v>
      </c>
      <c r="U86" s="33">
        <f>IFERROR(VLOOKUP(lmic_raw[[#This Row],[gbd_super]],disease_costs!$G$4:$K$9,5,FALSE),0)</f>
        <v>77.662500000000009</v>
      </c>
      <c r="V86">
        <f>IFERROR(VLOOKUP(lmic_raw[[#This Row],[setting]],vcost[],3,FALSE),0)</f>
        <v>1.6312737710304879</v>
      </c>
      <c r="W86">
        <f>IFERROR(VLOOKUP(lmic_raw[[#This Row],[setting]],vcost[],4,FALSE),0)</f>
        <v>6.4612737710304877</v>
      </c>
      <c r="X86">
        <f>IFERROR(VLOOKUP(lmic_raw[[#This Row],[setting]],vcost[],5,FALSE),0)</f>
        <v>1.2089702084570015</v>
      </c>
      <c r="Y86">
        <f>IFERROR(VLOOKUP(lmic_raw[[#This Row],[setting]],vcost[],6,FALSE),0)</f>
        <v>6.0389702084570018</v>
      </c>
      <c r="Z86">
        <f>IFERROR(VLOOKUP(lmic_raw[[#This Row],[setting]],vcost[],7,FALSE),0)</f>
        <v>6.0372852484764854</v>
      </c>
      <c r="AA86">
        <f>IFERROR(VLOOKUP(lmic_raw[[#This Row],[setting]],vcost[],8,FALSE),0)</f>
        <v>1.8717255147511864</v>
      </c>
      <c r="AB86">
        <f>IFERROR(VLOOKUP(lmic_raw[[#This Row],[setting]],vcost[],9,FALSE),0)</f>
        <v>6.7017255147511863</v>
      </c>
      <c r="AC86" s="33">
        <f>IFERROR(INDEX(acm[],MATCH($C86,acm[[Country code]:[Country code]],0),MATCH(AC$1,acm[#Headers],0)),0)</f>
        <v>5.3915810000000057E-2</v>
      </c>
      <c r="AD86" s="33">
        <f>IFERROR(INDEX(acm[],MATCH($C86,acm[[Country code]:[Country code]],0),MATCH(AD$1,acm[#Headers],0)),0)</f>
        <v>5.1119604905352041E-3</v>
      </c>
      <c r="AE86" s="33">
        <f>IFERROR(INDEX(acm[],MATCH($C86,acm[[Country code]:[Country code]],0),MATCH(AE$1,acm[#Headers],0)),0)</f>
        <v>1.4012858703953376E-3</v>
      </c>
      <c r="AF86" s="33">
        <f>IFERROR(INDEX(acm[],MATCH($C86,acm[[Country code]:[Country code]],0),MATCH(AF$1,acm[#Headers],0)),0)</f>
        <v>1.0949032653975483E-3</v>
      </c>
      <c r="AG86" s="33">
        <f>IFERROR(INDEX(acm[],MATCH($C86,acm[[Country code]:[Country code]],0),MATCH(AG$1,acm[#Headers],0)),0)</f>
        <v>1.7263139961507059E-3</v>
      </c>
      <c r="AH86" s="33">
        <f>IFERROR(INDEX(acm[],MATCH($C86,acm[[Country code]:[Country code]],0),MATCH(AH$1,acm[#Headers],0)),0)</f>
        <v>2.8654566183196031E-3</v>
      </c>
      <c r="AI86" s="33">
        <f>IFERROR(INDEX(acm[],MATCH($C86,acm[[Country code]:[Country code]],0),MATCH(AI$1,acm[#Headers],0)),0)</f>
        <v>4.3902395060748927E-3</v>
      </c>
      <c r="AJ86" s="33">
        <f>IFERROR(INDEX(acm[],MATCH($C86,acm[[Country code]:[Country code]],0),MATCH(AJ$1,acm[#Headers],0)),0)</f>
        <v>6.0677207852414625E-3</v>
      </c>
      <c r="AK86" s="33">
        <f>IFERROR(INDEX(acm[],MATCH($C86,acm[[Country code]:[Country code]],0),MATCH(AK$1,acm[#Headers],0)),0)</f>
        <v>8.4157379504231199E-3</v>
      </c>
      <c r="AL86" s="33">
        <f>IFERROR(INDEX(acm[],MATCH($C86,acm[[Country code]:[Country code]],0),MATCH(AL$1,acm[#Headers],0)),0)</f>
        <v>1.00823270263227E-2</v>
      </c>
      <c r="AM86" s="33">
        <f>IFERROR(INDEX(acm[],MATCH($C86,acm[[Country code]:[Country code]],0),MATCH(AM$1,acm[#Headers],0)),0)</f>
        <v>1.1863253219921731E-2</v>
      </c>
      <c r="AN86" s="33">
        <f>IFERROR(INDEX(acm[],MATCH($C86,acm[[Country code]:[Country code]],0),MATCH(AN$1,acm[#Headers],0)),0)</f>
        <v>1.451859108063718E-2</v>
      </c>
      <c r="AO86" s="33">
        <f>IFERROR(INDEX(acm[],MATCH($C86,acm[[Country code]:[Country code]],0),MATCH(AO$1,acm[#Headers],0)),0)</f>
        <v>1.7957334558640816E-2</v>
      </c>
      <c r="AP86" s="33">
        <f>IFERROR(INDEX(acm[],MATCH($C86,acm[[Country code]:[Country code]],0),MATCH(AP$1,acm[#Headers],0)),0)</f>
        <v>2.4208696828590972E-2</v>
      </c>
      <c r="AQ86" s="33">
        <f>IFERROR(INDEX(acm[],MATCH($C86,acm[[Country code]:[Country code]],0),MATCH(AQ$1,acm[#Headers],0)),0)</f>
        <v>3.4343923387346431E-2</v>
      </c>
      <c r="AR86" s="33">
        <f>IFERROR(INDEX(acm[],MATCH($C86,acm[[Country code]:[Country code]],0),MATCH(AR$1,acm[#Headers],0)),0)</f>
        <v>5.0274413363338988E-2</v>
      </c>
      <c r="AS86" s="33">
        <f>IFERROR(INDEX(acm[],MATCH($C86,acm[[Country code]:[Country code]],0),MATCH(AS$1,acm[#Headers],0)),0)</f>
        <v>7.3556760455677939E-2</v>
      </c>
      <c r="AT86" s="33">
        <f>IFERROR(INDEX(acm[],MATCH($C86,acm[[Country code]:[Country code]],0),MATCH(AT$1,acm[#Headers],0)),0)</f>
        <v>0.10832193217593584</v>
      </c>
      <c r="AU86" s="33">
        <f>IFERROR(INDEX(acm[],MATCH($C86,acm[[Country code]:[Country code]],0),MATCH(AU$1,acm[#Headers],0)),0)</f>
        <v>0.14802703390099389</v>
      </c>
      <c r="AV86" s="33">
        <f>IFERROR(INDEX(acm[],MATCH($C86,acm[[Country code]:[Country code]],0),MATCH(AV$1,acm[#Headers],0)),0)</f>
        <v>0.17815638978603338</v>
      </c>
      <c r="AW86" s="33">
        <f>IFERROR(INDEX(acm[],MATCH($C86,acm[[Country code]:[Country code]],0),MATCH(AW$1,acm[#Headers],0)),0)</f>
        <v>0.18810932311897274</v>
      </c>
      <c r="AX86" s="33">
        <f>IFERROR(VLOOKUP(lmic_raw[[#This Row],[num]],life_exp[[Country code]:[2015-2020]],2,FALSE),0)</f>
        <v>60.054000000000002</v>
      </c>
    </row>
    <row r="87" spans="1:50" x14ac:dyDescent="0.25">
      <c r="A87" s="110" t="s">
        <v>216</v>
      </c>
      <c r="B87" s="104" t="s">
        <v>477</v>
      </c>
      <c r="C87" s="105">
        <v>104</v>
      </c>
      <c r="D87" s="84" t="s">
        <v>680</v>
      </c>
      <c r="E87" s="84" t="s">
        <v>598</v>
      </c>
      <c r="F87" s="84" t="s">
        <v>666</v>
      </c>
      <c r="G87" s="84" t="s">
        <v>678</v>
      </c>
      <c r="H87" s="33">
        <f>VLOOKUP(lmic_raw[[#This Row],[num]],pop[[Country code]:[pop_20]],2,FALSE)*1000</f>
        <v>54045422</v>
      </c>
      <c r="I87" s="117">
        <f>IFERROR(VLOOKUP(lmic_raw[[#This Row],[num]],pop[[Country code]:[pop_20]],2,FALSE)*VLOOKUP(lmic_raw[[#This Row],[num]],b_rate[[Country code]:[2015-2020]],2,FALSE),0)</f>
        <v>956549.92397800006</v>
      </c>
      <c r="J87">
        <f>IFERROR(MIN(VLOOKUP(lmic_raw[[#This Row],[iso3]],fac_b[],4,FALSE)/100,0.9999),0)</f>
        <v>0.371</v>
      </c>
      <c r="K87" s="33">
        <f>VLOOKUP(lmic_raw[[#This Row],[iso3]],vax[[iso3]:[hbv3]],2,FALSE)/100</f>
        <v>0.17</v>
      </c>
      <c r="L87" s="33">
        <f>VLOOKUP(lmic_raw[[#This Row],[iso3]],vax[[iso3]:[hbv3]],3,FALSE)/100</f>
        <v>0.9</v>
      </c>
      <c r="M87">
        <f>IFERROR(VLOOKUP(lmic_raw[[#This Row],[iso3]], hbv_prev[[iso3]:[ub]],2,FALSE)/100,0)</f>
        <v>4.1799999999999997E-2</v>
      </c>
      <c r="N87">
        <f>IFERROR(VLOOKUP(lmic_raw[[#This Row],[setting]],hbe_prev[],3,FALSE),0)</f>
        <v>0.32130963051350597</v>
      </c>
      <c r="O87">
        <f>VLOOKUP(lmic_raw[[#This Row],[gbd_super]],hbe_risk[],2,FALSE)</f>
        <v>0.8</v>
      </c>
      <c r="P87" s="33">
        <f>VLOOKUP(lmic_raw[[#This Row],[gbd_super]],hbe_risk[],5,FALSE)</f>
        <v>0.17499999999999999</v>
      </c>
      <c r="Q87">
        <f>IFERROR(VLOOKUP(lmic_raw[[#This Row],[setting]],disease_costs!$A$4:$B$197,2,FALSE),0)</f>
        <v>3.0736809850909732</v>
      </c>
      <c r="R87">
        <f>IFERROR(VLOOKUP(lmic_raw[[#This Row],[gbd_super]],disease_costs!$G$4:$K$9,2,FALSE),0)</f>
        <v>73.084500000000006</v>
      </c>
      <c r="S87" s="33">
        <f>IFERROR(VLOOKUP(lmic_raw[[#This Row],[gbd_super]],disease_costs!$G$4:$K$9,3,FALSE),0)</f>
        <v>120.8265</v>
      </c>
      <c r="T87" s="33">
        <f>IFERROR(VLOOKUP(lmic_raw[[#This Row],[gbd_super]],disease_costs!$G$4:$K$9,4,FALSE),0)</f>
        <v>120.8265</v>
      </c>
      <c r="U87" s="33">
        <f>IFERROR(VLOOKUP(lmic_raw[[#This Row],[gbd_super]],disease_costs!$G$4:$K$9,5,FALSE),0)</f>
        <v>120.8265</v>
      </c>
      <c r="V87">
        <f>IFERROR(VLOOKUP(lmic_raw[[#This Row],[setting]],vcost[],3,FALSE),0)</f>
        <v>2.3394856597585356</v>
      </c>
      <c r="W87">
        <f>IFERROR(VLOOKUP(lmic_raw[[#This Row],[setting]],vcost[],4,FALSE),0)</f>
        <v>2.9694856597585355</v>
      </c>
      <c r="X87">
        <f>IFERROR(VLOOKUP(lmic_raw[[#This Row],[setting]],vcost[],5,FALSE),0)</f>
        <v>1.9130350451442339</v>
      </c>
      <c r="Y87">
        <f>IFERROR(VLOOKUP(lmic_raw[[#This Row],[setting]],vcost[],6,FALSE),0)</f>
        <v>2.5430350451442338</v>
      </c>
      <c r="Z87">
        <f>IFERROR(VLOOKUP(lmic_raw[[#This Row],[setting]],vcost[],7,FALSE),0)</f>
        <v>2.539462733292563</v>
      </c>
      <c r="AA87">
        <f>IFERROR(VLOOKUP(lmic_raw[[#This Row],[setting]],vcost[],8,FALSE),0)</f>
        <v>2.5814322710753426</v>
      </c>
      <c r="AB87">
        <f>IFERROR(VLOOKUP(lmic_raw[[#This Row],[setting]],vcost[],9,FALSE),0)</f>
        <v>3.2114322710753425</v>
      </c>
      <c r="AC87" s="33">
        <f>IFERROR(INDEX(acm[],MATCH($C87,acm[[Country code]:[Country code]],0),MATCH(AC$1,acm[#Headers],0)),0)</f>
        <v>3.8420489999999988E-2</v>
      </c>
      <c r="AD87" s="33">
        <f>IFERROR(INDEX(acm[],MATCH($C87,acm[[Country code]:[Country code]],0),MATCH(AD$1,acm[#Headers],0)),0)</f>
        <v>2.5121089570637632E-3</v>
      </c>
      <c r="AE87" s="33">
        <f>IFERROR(INDEX(acm[],MATCH($C87,acm[[Country code]:[Country code]],0),MATCH(AE$1,acm[#Headers],0)),0)</f>
        <v>1.072942126034219E-3</v>
      </c>
      <c r="AF87" s="33">
        <f>IFERROR(INDEX(acm[],MATCH($C87,acm[[Country code]:[Country code]],0),MATCH(AF$1,acm[#Headers],0)),0)</f>
        <v>8.7112479692080282E-4</v>
      </c>
      <c r="AG87" s="33">
        <f>IFERROR(INDEX(acm[],MATCH($C87,acm[[Country code]:[Country code]],0),MATCH(AG$1,acm[#Headers],0)),0)</f>
        <v>1.4119117000549067E-3</v>
      </c>
      <c r="AH87" s="33">
        <f>IFERROR(INDEX(acm[],MATCH($C87,acm[[Country code]:[Country code]],0),MATCH(AH$1,acm[#Headers],0)),0)</f>
        <v>1.9952469974620956E-3</v>
      </c>
      <c r="AI87" s="33">
        <f>IFERROR(INDEX(acm[],MATCH($C87,acm[[Country code]:[Country code]],0),MATCH(AI$1,acm[#Headers],0)),0)</f>
        <v>2.1617354546634828E-3</v>
      </c>
      <c r="AJ87" s="33">
        <f>IFERROR(INDEX(acm[],MATCH($C87,acm[[Country code]:[Country code]],0),MATCH(AJ$1,acm[#Headers],0)),0)</f>
        <v>2.4882808240389428E-3</v>
      </c>
      <c r="AK87" s="33">
        <f>IFERROR(INDEX(acm[],MATCH($C87,acm[[Country code]:[Country code]],0),MATCH(AK$1,acm[#Headers],0)),0)</f>
        <v>3.1455396410933912E-3</v>
      </c>
      <c r="AL87" s="33">
        <f>IFERROR(INDEX(acm[],MATCH($C87,acm[[Country code]:[Country code]],0),MATCH(AL$1,acm[#Headers],0)),0)</f>
        <v>4.2459501679441188E-3</v>
      </c>
      <c r="AM87" s="33">
        <f>IFERROR(INDEX(acm[],MATCH($C87,acm[[Country code]:[Country code]],0),MATCH(AM$1,acm[#Headers],0)),0)</f>
        <v>6.0693848277694161E-3</v>
      </c>
      <c r="AN87" s="33">
        <f>IFERROR(INDEX(acm[],MATCH($C87,acm[[Country code]:[Country code]],0),MATCH(AN$1,acm[#Headers],0)),0)</f>
        <v>8.8967903272355962E-3</v>
      </c>
      <c r="AO87" s="33">
        <f>IFERROR(INDEX(acm[],MATCH($C87,acm[[Country code]:[Country code]],0),MATCH(AO$1,acm[#Headers],0)),0)</f>
        <v>1.3179930547476956E-2</v>
      </c>
      <c r="AP87" s="33">
        <f>IFERROR(INDEX(acm[],MATCH($C87,acm[[Country code]:[Country code]],0),MATCH(AP$1,acm[#Headers],0)),0)</f>
        <v>1.9910283306697023E-2</v>
      </c>
      <c r="AQ87" s="33">
        <f>IFERROR(INDEX(acm[],MATCH($C87,acm[[Country code]:[Country code]],0),MATCH(AQ$1,acm[#Headers],0)),0)</f>
        <v>3.0515748414164622E-2</v>
      </c>
      <c r="AR87" s="33">
        <f>IFERROR(INDEX(acm[],MATCH($C87,acm[[Country code]:[Country code]],0),MATCH(AR$1,acm[#Headers],0)),0)</f>
        <v>4.7180281289428097E-2</v>
      </c>
      <c r="AS87" s="33">
        <f>IFERROR(INDEX(acm[],MATCH($C87,acm[[Country code]:[Country code]],0),MATCH(AS$1,acm[#Headers],0)),0)</f>
        <v>7.0924878976329722E-2</v>
      </c>
      <c r="AT87" s="33">
        <f>IFERROR(INDEX(acm[],MATCH($C87,acm[[Country code]:[Country code]],0),MATCH(AT$1,acm[#Headers],0)),0)</f>
        <v>0.1021432707507926</v>
      </c>
      <c r="AU87" s="33">
        <f>IFERROR(INDEX(acm[],MATCH($C87,acm[[Country code]:[Country code]],0),MATCH(AU$1,acm[#Headers],0)),0)</f>
        <v>0.13520896153602316</v>
      </c>
      <c r="AV87" s="33">
        <f>IFERROR(INDEX(acm[],MATCH($C87,acm[[Country code]:[Country code]],0),MATCH(AV$1,acm[#Headers],0)),0)</f>
        <v>0.16209297935634789</v>
      </c>
      <c r="AW87" s="33">
        <f>IFERROR(INDEX(acm[],MATCH($C87,acm[[Country code]:[Country code]],0),MATCH(AW$1,acm[#Headers],0)),0)</f>
        <v>0.17949869669630888</v>
      </c>
      <c r="AX87" s="33">
        <f>IFERROR(VLOOKUP(lmic_raw[[#This Row],[num]],life_exp[[Country code]:[2015-2020]],2,FALSE),0)</f>
        <v>66.759</v>
      </c>
    </row>
    <row r="88" spans="1:50" x14ac:dyDescent="0.25">
      <c r="A88" s="109" t="s">
        <v>135</v>
      </c>
      <c r="B88" s="101" t="s">
        <v>478</v>
      </c>
      <c r="C88" s="102">
        <v>516</v>
      </c>
      <c r="D88" s="82" t="s">
        <v>677</v>
      </c>
      <c r="E88" s="82" t="s">
        <v>594</v>
      </c>
      <c r="F88" s="82" t="s">
        <v>667</v>
      </c>
      <c r="G88" s="82" t="s">
        <v>676</v>
      </c>
      <c r="H88" s="33">
        <f>VLOOKUP(lmic_raw[[#This Row],[num]],pop[[Country code]:[pop_20]],2,FALSE)*1000</f>
        <v>2494524</v>
      </c>
      <c r="I88" s="117">
        <f>IFERROR(VLOOKUP(lmic_raw[[#This Row],[num]],pop[[Country code]:[pop_20]],2,FALSE)*VLOOKUP(lmic_raw[[#This Row],[num]],b_rate[[Country code]:[2015-2020]],2,FALSE),0)</f>
        <v>71929.599539999996</v>
      </c>
      <c r="J88">
        <f>IFERROR(MIN(VLOOKUP(lmic_raw[[#This Row],[iso3]],fac_b[],4,FALSE)/100,0.9999),0)</f>
        <v>0.87400000000000011</v>
      </c>
      <c r="K88" s="33">
        <f>VLOOKUP(lmic_raw[[#This Row],[iso3]],vax[[iso3]:[hbv3]],2,FALSE)/100</f>
        <v>0.81</v>
      </c>
      <c r="L88" s="33">
        <f>VLOOKUP(lmic_raw[[#This Row],[iso3]],vax[[iso3]:[hbv3]],3,FALSE)/100</f>
        <v>0.87</v>
      </c>
      <c r="M88">
        <f>IFERROR(VLOOKUP(lmic_raw[[#This Row],[iso3]], hbv_prev[[iso3]:[ub]],2,FALSE)/100,0)</f>
        <v>2.2200000000000001E-2</v>
      </c>
      <c r="N88">
        <f>IFERROR(VLOOKUP(lmic_raw[[#This Row],[setting]],hbe_prev[],3,FALSE),0)</f>
        <v>0.25809873416998286</v>
      </c>
      <c r="O88">
        <f>VLOOKUP(lmic_raw[[#This Row],[gbd_super]],hbe_risk[],2,FALSE)</f>
        <v>0.38300000000000001</v>
      </c>
      <c r="P88" s="33">
        <f>VLOOKUP(lmic_raw[[#This Row],[gbd_super]],hbe_risk[],5,FALSE)</f>
        <v>4.8000000000000001E-2</v>
      </c>
      <c r="Q88">
        <f>IFERROR(VLOOKUP(lmic_raw[[#This Row],[setting]],disease_costs!$A$4:$B$197,2,FALSE),0)</f>
        <v>9.1268965655280638</v>
      </c>
      <c r="R88">
        <f>IFERROR(VLOOKUP(lmic_raw[[#This Row],[gbd_super]],disease_costs!$G$4:$K$9,2,FALSE),0)</f>
        <v>29.920500000000001</v>
      </c>
      <c r="S88" s="33">
        <f>IFERROR(VLOOKUP(lmic_raw[[#This Row],[gbd_super]],disease_costs!$G$4:$K$9,3,FALSE),0)</f>
        <v>77.662500000000009</v>
      </c>
      <c r="T88" s="33">
        <f>IFERROR(VLOOKUP(lmic_raw[[#This Row],[gbd_super]],disease_costs!$G$4:$K$9,4,FALSE),0)</f>
        <v>77.662500000000009</v>
      </c>
      <c r="U88" s="33">
        <f>IFERROR(VLOOKUP(lmic_raw[[#This Row],[gbd_super]],disease_costs!$G$4:$K$9,5,FALSE),0)</f>
        <v>77.662500000000009</v>
      </c>
      <c r="V88">
        <f>IFERROR(VLOOKUP(lmic_raw[[#This Row],[setting]],vcost[],3,FALSE),0)</f>
        <v>5.7198821565869071</v>
      </c>
      <c r="W88">
        <f>IFERROR(VLOOKUP(lmic_raw[[#This Row],[setting]],vcost[],4,FALSE),0)</f>
        <v>10.549882156586907</v>
      </c>
      <c r="X88">
        <f>IFERROR(VLOOKUP(lmic_raw[[#This Row],[setting]],vcost[],5,FALSE),0)</f>
        <v>5.286903772051371</v>
      </c>
      <c r="Y88">
        <f>IFERROR(VLOOKUP(lmic_raw[[#This Row],[setting]],vcost[],6,FALSE),0)</f>
        <v>10.116903772051371</v>
      </c>
      <c r="Z88">
        <f>IFERROR(VLOOKUP(lmic_raw[[#This Row],[setting]],vcost[],7,FALSE),0)</f>
        <v>10.111158593709256</v>
      </c>
      <c r="AA88">
        <f>IFERROR(VLOOKUP(lmic_raw[[#This Row],[setting]],vcost[],8,FALSE),0)</f>
        <v>5.9641818012474141</v>
      </c>
      <c r="AB88">
        <f>IFERROR(VLOOKUP(lmic_raw[[#This Row],[setting]],vcost[],9,FALSE),0)</f>
        <v>10.794181801247415</v>
      </c>
      <c r="AC88" s="33">
        <f>IFERROR(INDEX(acm[],MATCH($C88,acm[[Country code]:[Country code]],0),MATCH(AC$1,acm[#Headers],0)),0)</f>
        <v>3.3393899999999997E-2</v>
      </c>
      <c r="AD88" s="33">
        <f>IFERROR(INDEX(acm[],MATCH($C88,acm[[Country code]:[Country code]],0),MATCH(AD$1,acm[#Headers],0)),0)</f>
        <v>2.8889689398815268E-3</v>
      </c>
      <c r="AE88" s="33">
        <f>IFERROR(INDEX(acm[],MATCH($C88,acm[[Country code]:[Country code]],0),MATCH(AE$1,acm[#Headers],0)),0)</f>
        <v>1.2247495939341124E-3</v>
      </c>
      <c r="AF88" s="33">
        <f>IFERROR(INDEX(acm[],MATCH($C88,acm[[Country code]:[Country code]],0),MATCH(AF$1,acm[#Headers],0)),0)</f>
        <v>9.8845046322171433E-4</v>
      </c>
      <c r="AG88" s="33">
        <f>IFERROR(INDEX(acm[],MATCH($C88,acm[[Country code]:[Country code]],0),MATCH(AG$1,acm[#Headers],0)),0)</f>
        <v>1.6652249148680479E-3</v>
      </c>
      <c r="AH88" s="33">
        <f>IFERROR(INDEX(acm[],MATCH($C88,acm[[Country code]:[Country code]],0),MATCH(AH$1,acm[#Headers],0)),0)</f>
        <v>2.7220194759180897E-3</v>
      </c>
      <c r="AI88" s="33">
        <f>IFERROR(INDEX(acm[],MATCH($C88,acm[[Country code]:[Country code]],0),MATCH(AI$1,acm[#Headers],0)),0)</f>
        <v>3.9220450597063951E-3</v>
      </c>
      <c r="AJ88" s="33">
        <f>IFERROR(INDEX(acm[],MATCH($C88,acm[[Country code]:[Country code]],0),MATCH(AJ$1,acm[#Headers],0)),0)</f>
        <v>5.2208256651949912E-3</v>
      </c>
      <c r="AK88" s="33">
        <f>IFERROR(INDEX(acm[],MATCH($C88,acm[[Country code]:[Country code]],0),MATCH(AK$1,acm[#Headers],0)),0)</f>
        <v>7.0471598547450515E-3</v>
      </c>
      <c r="AL88" s="33">
        <f>IFERROR(INDEX(acm[],MATCH($C88,acm[[Country code]:[Country code]],0),MATCH(AL$1,acm[#Headers],0)),0)</f>
        <v>8.6251844776423607E-3</v>
      </c>
      <c r="AM88" s="33">
        <f>IFERROR(INDEX(acm[],MATCH($C88,acm[[Country code]:[Country code]],0),MATCH(AM$1,acm[#Headers],0)),0)</f>
        <v>1.0517787157439704E-2</v>
      </c>
      <c r="AN88" s="33">
        <f>IFERROR(INDEX(acm[],MATCH($C88,acm[[Country code]:[Country code]],0),MATCH(AN$1,acm[#Headers],0)),0)</f>
        <v>1.3459122969743957E-2</v>
      </c>
      <c r="AO88" s="33">
        <f>IFERROR(INDEX(acm[],MATCH($C88,acm[[Country code]:[Country code]],0),MATCH(AO$1,acm[#Headers],0)),0)</f>
        <v>1.6834064564422793E-2</v>
      </c>
      <c r="AP88" s="33">
        <f>IFERROR(INDEX(acm[],MATCH($C88,acm[[Country code]:[Country code]],0),MATCH(AP$1,acm[#Headers],0)),0)</f>
        <v>2.3067933845764395E-2</v>
      </c>
      <c r="AQ88" s="33">
        <f>IFERROR(INDEX(acm[],MATCH($C88,acm[[Country code]:[Country code]],0),MATCH(AQ$1,acm[#Headers],0)),0)</f>
        <v>3.3447044006558589E-2</v>
      </c>
      <c r="AR88" s="33">
        <f>IFERROR(INDEX(acm[],MATCH($C88,acm[[Country code]:[Country code]],0),MATCH(AR$1,acm[#Headers],0)),0)</f>
        <v>4.9744492042142194E-2</v>
      </c>
      <c r="AS88" s="33">
        <f>IFERROR(INDEX(acm[],MATCH($C88,acm[[Country code]:[Country code]],0),MATCH(AS$1,acm[#Headers],0)),0)</f>
        <v>7.3212362235861556E-2</v>
      </c>
      <c r="AT88" s="33">
        <f>IFERROR(INDEX(acm[],MATCH($C88,acm[[Country code]:[Country code]],0),MATCH(AT$1,acm[#Headers],0)),0)</f>
        <v>0.10734102805361607</v>
      </c>
      <c r="AU88" s="33">
        <f>IFERROR(INDEX(acm[],MATCH($C88,acm[[Country code]:[Country code]],0),MATCH(AU$1,acm[#Headers],0)),0)</f>
        <v>0.1468365107010475</v>
      </c>
      <c r="AV88" s="33">
        <f>IFERROR(INDEX(acm[],MATCH($C88,acm[[Country code]:[Country code]],0),MATCH(AV$1,acm[#Headers],0)),0)</f>
        <v>0.17801596342792059</v>
      </c>
      <c r="AW88" s="33">
        <f>IFERROR(INDEX(acm[],MATCH($C88,acm[[Country code]:[Country code]],0),MATCH(AW$1,acm[#Headers],0)),0)</f>
        <v>0.18853484881129942</v>
      </c>
      <c r="AX88" s="33">
        <f>IFERROR(VLOOKUP(lmic_raw[[#This Row],[num]],life_exp[[Country code]:[2015-2020]],2,FALSE),0)</f>
        <v>63.024000000000001</v>
      </c>
    </row>
    <row r="89" spans="1:50" x14ac:dyDescent="0.25">
      <c r="A89" s="110" t="s">
        <v>291</v>
      </c>
      <c r="B89" s="104" t="s">
        <v>479</v>
      </c>
      <c r="C89" s="105">
        <v>520</v>
      </c>
      <c r="D89" s="84" t="s">
        <v>681</v>
      </c>
      <c r="E89" s="84" t="s">
        <v>98</v>
      </c>
      <c r="F89" s="84" t="s">
        <v>666</v>
      </c>
      <c r="G89" s="84" t="s">
        <v>676</v>
      </c>
      <c r="H89" s="33">
        <f>VLOOKUP(lmic_raw[[#This Row],[num]],pop[[Country code]:[pop_20]],2,FALSE)*1000</f>
        <v>10764</v>
      </c>
      <c r="I89" s="119">
        <f>IFERROR(VLOOKUP(lmic_raw[[#This Row],[num]],pop[[Country code]:[pop_20]],2,FALSE)*VLOOKUP(lmic_raw[[#This Row],[num]],b_rate[[Country code]:[2015-2020]],2,FALSE),0)</f>
        <v>231.31835999999996</v>
      </c>
      <c r="J89">
        <f>IFERROR(MIN(VLOOKUP(lmic_raw[[#This Row],[iso3]],fac_b[],4,FALSE)/100,0.9999),0)</f>
        <v>0.98699999999999999</v>
      </c>
      <c r="K89" s="33">
        <f>VLOOKUP(lmic_raw[[#This Row],[iso3]],vax[[iso3]:[hbv3]],2,FALSE)/100</f>
        <v>0.99</v>
      </c>
      <c r="L89" s="33">
        <f>VLOOKUP(lmic_raw[[#This Row],[iso3]],vax[[iso3]:[hbv3]],3,FALSE)/100</f>
        <v>0.96</v>
      </c>
      <c r="M89">
        <f>IFERROR(VLOOKUP(lmic_raw[[#This Row],[iso3]], hbv_prev[[iso3]:[ub]],2,FALSE)/100,0)</f>
        <v>0.12179999999999999</v>
      </c>
      <c r="N89" s="118">
        <f>IFERROR(VLOOKUP(lmic_raw[[#This Row],[setting]],hbe_prev[],3,FALSE),0)</f>
        <v>0</v>
      </c>
      <c r="O89">
        <f>VLOOKUP(lmic_raw[[#This Row],[gbd_super]],hbe_risk[],2,FALSE)</f>
        <v>0.8</v>
      </c>
      <c r="P89" s="33">
        <f>VLOOKUP(lmic_raw[[#This Row],[gbd_super]],hbe_risk[],5,FALSE)</f>
        <v>0.17499999999999999</v>
      </c>
      <c r="Q89">
        <f>IFERROR(VLOOKUP(lmic_raw[[#This Row],[setting]],disease_costs!$A$4:$B$197,2,FALSE),0)</f>
        <v>6.0765506749940794</v>
      </c>
      <c r="R89">
        <f>IFERROR(VLOOKUP(lmic_raw[[#This Row],[gbd_super]],disease_costs!$G$4:$K$9,2,FALSE),0)</f>
        <v>73.084500000000006</v>
      </c>
      <c r="S89" s="33">
        <f>IFERROR(VLOOKUP(lmic_raw[[#This Row],[gbd_super]],disease_costs!$G$4:$K$9,3,FALSE),0)</f>
        <v>120.8265</v>
      </c>
      <c r="T89" s="33">
        <f>IFERROR(VLOOKUP(lmic_raw[[#This Row],[gbd_super]],disease_costs!$G$4:$K$9,4,FALSE),0)</f>
        <v>120.8265</v>
      </c>
      <c r="U89" s="33">
        <f>IFERROR(VLOOKUP(lmic_raw[[#This Row],[gbd_super]],disease_costs!$G$4:$K$9,5,FALSE),0)</f>
        <v>120.8265</v>
      </c>
      <c r="V89">
        <f>IFERROR(VLOOKUP(lmic_raw[[#This Row],[setting]],vcost[],3,FALSE),0)</f>
        <v>0.47136228081471987</v>
      </c>
      <c r="W89">
        <f>IFERROR(VLOOKUP(lmic_raw[[#This Row],[setting]],vcost[],4,FALSE),0)</f>
        <v>1.1013622808147199</v>
      </c>
      <c r="X89">
        <f>IFERROR(VLOOKUP(lmic_raw[[#This Row],[setting]],vcost[],5,FALSE),0)</f>
        <v>2.5069756257011615E-2</v>
      </c>
      <c r="Y89">
        <f>IFERROR(VLOOKUP(lmic_raw[[#This Row],[setting]],vcost[],6,FALSE),0)</f>
        <v>0.65506975625701158</v>
      </c>
      <c r="Z89">
        <f>IFERROR(VLOOKUP(lmic_raw[[#This Row],[setting]],vcost[],7,FALSE),0)</f>
        <v>0.64432749719631022</v>
      </c>
      <c r="AA89">
        <f>IFERROR(VLOOKUP(lmic_raw[[#This Row],[setting]],vcost[],8,FALSE),0)</f>
        <v>0.72046120850647555</v>
      </c>
      <c r="AB89">
        <f>IFERROR(VLOOKUP(lmic_raw[[#This Row],[setting]],vcost[],9,FALSE),0)</f>
        <v>1.3504612085064756</v>
      </c>
      <c r="AC89" s="118">
        <f>IFERROR(INDEX(acm[],MATCH($C89,acm[[Country code]:[Country code]],0),MATCH(AC$1,acm[#Headers],0)),0)</f>
        <v>0</v>
      </c>
      <c r="AD89" s="118">
        <f>IFERROR(INDEX(acm[],MATCH($C89,acm[[Country code]:[Country code]],0),MATCH(AD$1,acm[#Headers],0)),0)</f>
        <v>0</v>
      </c>
      <c r="AE89" s="118">
        <f>IFERROR(INDEX(acm[],MATCH($C89,acm[[Country code]:[Country code]],0),MATCH(AE$1,acm[#Headers],0)),0)</f>
        <v>0</v>
      </c>
      <c r="AF89" s="118">
        <f>IFERROR(INDEX(acm[],MATCH($C89,acm[[Country code]:[Country code]],0),MATCH(AF$1,acm[#Headers],0)),0)</f>
        <v>0</v>
      </c>
      <c r="AG89" s="118">
        <f>IFERROR(INDEX(acm[],MATCH($C89,acm[[Country code]:[Country code]],0),MATCH(AG$1,acm[#Headers],0)),0)</f>
        <v>0</v>
      </c>
      <c r="AH89" s="118">
        <f>IFERROR(INDEX(acm[],MATCH($C89,acm[[Country code]:[Country code]],0),MATCH(AH$1,acm[#Headers],0)),0)</f>
        <v>0</v>
      </c>
      <c r="AI89" s="118">
        <f>IFERROR(INDEX(acm[],MATCH($C89,acm[[Country code]:[Country code]],0),MATCH(AI$1,acm[#Headers],0)),0)</f>
        <v>0</v>
      </c>
      <c r="AJ89" s="118">
        <f>IFERROR(INDEX(acm[],MATCH($C89,acm[[Country code]:[Country code]],0),MATCH(AJ$1,acm[#Headers],0)),0)</f>
        <v>0</v>
      </c>
      <c r="AK89" s="118">
        <f>IFERROR(INDEX(acm[],MATCH($C89,acm[[Country code]:[Country code]],0),MATCH(AK$1,acm[#Headers],0)),0)</f>
        <v>0</v>
      </c>
      <c r="AL89" s="118">
        <f>IFERROR(INDEX(acm[],MATCH($C89,acm[[Country code]:[Country code]],0),MATCH(AL$1,acm[#Headers],0)),0)</f>
        <v>0</v>
      </c>
      <c r="AM89" s="118">
        <f>IFERROR(INDEX(acm[],MATCH($C89,acm[[Country code]:[Country code]],0),MATCH(AM$1,acm[#Headers],0)),0)</f>
        <v>0</v>
      </c>
      <c r="AN89" s="118">
        <f>IFERROR(INDEX(acm[],MATCH($C89,acm[[Country code]:[Country code]],0),MATCH(AN$1,acm[#Headers],0)),0)</f>
        <v>0</v>
      </c>
      <c r="AO89" s="118">
        <f>IFERROR(INDEX(acm[],MATCH($C89,acm[[Country code]:[Country code]],0),MATCH(AO$1,acm[#Headers],0)),0)</f>
        <v>0</v>
      </c>
      <c r="AP89" s="118">
        <f>IFERROR(INDEX(acm[],MATCH($C89,acm[[Country code]:[Country code]],0),MATCH(AP$1,acm[#Headers],0)),0)</f>
        <v>0</v>
      </c>
      <c r="AQ89" s="118">
        <f>IFERROR(INDEX(acm[],MATCH($C89,acm[[Country code]:[Country code]],0),MATCH(AQ$1,acm[#Headers],0)),0)</f>
        <v>0</v>
      </c>
      <c r="AR89" s="118">
        <f>IFERROR(INDEX(acm[],MATCH($C89,acm[[Country code]:[Country code]],0),MATCH(AR$1,acm[#Headers],0)),0)</f>
        <v>0</v>
      </c>
      <c r="AS89" s="118">
        <f>IFERROR(INDEX(acm[],MATCH($C89,acm[[Country code]:[Country code]],0),MATCH(AS$1,acm[#Headers],0)),0)</f>
        <v>0</v>
      </c>
      <c r="AT89" s="118">
        <f>IFERROR(INDEX(acm[],MATCH($C89,acm[[Country code]:[Country code]],0),MATCH(AT$1,acm[#Headers],0)),0)</f>
        <v>0</v>
      </c>
      <c r="AU89" s="118">
        <f>IFERROR(INDEX(acm[],MATCH($C89,acm[[Country code]:[Country code]],0),MATCH(AU$1,acm[#Headers],0)),0)</f>
        <v>0</v>
      </c>
      <c r="AV89" s="118">
        <f>IFERROR(INDEX(acm[],MATCH($C89,acm[[Country code]:[Country code]],0),MATCH(AV$1,acm[#Headers],0)),0)</f>
        <v>0</v>
      </c>
      <c r="AW89" s="118">
        <f>IFERROR(INDEX(acm[],MATCH($C89,acm[[Country code]:[Country code]],0),MATCH(AW$1,acm[#Headers],0)),0)</f>
        <v>0</v>
      </c>
      <c r="AX89" s="118">
        <f>IFERROR(VLOOKUP(lmic_raw[[#This Row],[num]],life_exp[[Country code]:[2015-2020]],2,FALSE),0)</f>
        <v>0</v>
      </c>
    </row>
    <row r="90" spans="1:50" x14ac:dyDescent="0.25">
      <c r="A90" s="109" t="s">
        <v>197</v>
      </c>
      <c r="B90" s="101" t="s">
        <v>480</v>
      </c>
      <c r="C90" s="102">
        <v>524</v>
      </c>
      <c r="D90" s="82" t="s">
        <v>680</v>
      </c>
      <c r="E90" s="82" t="s">
        <v>589</v>
      </c>
      <c r="F90" s="82" t="s">
        <v>589</v>
      </c>
      <c r="G90" s="82" t="s">
        <v>674</v>
      </c>
      <c r="H90" s="33">
        <f>VLOOKUP(lmic_raw[[#This Row],[num]],pop[[Country code]:[pop_20]],2,FALSE)*1000</f>
        <v>28608715</v>
      </c>
      <c r="I90" s="117">
        <f>IFERROR(VLOOKUP(lmic_raw[[#This Row],[num]],pop[[Country code]:[pop_20]],2,FALSE)*VLOOKUP(lmic_raw[[#This Row],[num]],b_rate[[Country code]:[2015-2020]],2,FALSE),0)</f>
        <v>572717.8655849999</v>
      </c>
      <c r="J90">
        <f>IFERROR(MIN(VLOOKUP(lmic_raw[[#This Row],[iso3]],fac_b[],4,FALSE)/100,0.9999),0)</f>
        <v>0.57399999999999995</v>
      </c>
      <c r="K90" s="33">
        <f>VLOOKUP(lmic_raw[[#This Row],[iso3]],vax[[iso3]:[hbv3]],2,FALSE)/100</f>
        <v>0</v>
      </c>
      <c r="L90" s="33">
        <f>VLOOKUP(lmic_raw[[#This Row],[iso3]],vax[[iso3]:[hbv3]],3,FALSE)/100</f>
        <v>0.93</v>
      </c>
      <c r="M90">
        <f>IFERROR(VLOOKUP(lmic_raw[[#This Row],[iso3]], hbv_prev[[iso3]:[ub]],2,FALSE)/100,0)</f>
        <v>8.6999999999999994E-3</v>
      </c>
      <c r="N90">
        <f>IFERROR(VLOOKUP(lmic_raw[[#This Row],[setting]],hbe_prev[],3,FALSE),0)</f>
        <v>0.28656959412598437</v>
      </c>
      <c r="O90">
        <f>VLOOKUP(lmic_raw[[#This Row],[gbd_super]],hbe_risk[],2,FALSE)</f>
        <v>0.8</v>
      </c>
      <c r="P90" s="33">
        <f>VLOOKUP(lmic_raw[[#This Row],[gbd_super]],hbe_risk[],5,FALSE)</f>
        <v>0.17499999999999999</v>
      </c>
      <c r="Q90">
        <f>IFERROR(VLOOKUP(lmic_raw[[#This Row],[setting]],disease_costs!$A$4:$B$197,2,FALSE),0)</f>
        <v>2.7057404302016597</v>
      </c>
      <c r="R90">
        <f>IFERROR(VLOOKUP(lmic_raw[[#This Row],[gbd_super]],disease_costs!$G$4:$K$9,2,FALSE),0)</f>
        <v>45.899900000000002</v>
      </c>
      <c r="S90" s="33">
        <f>IFERROR(VLOOKUP(lmic_raw[[#This Row],[gbd_super]],disease_costs!$G$4:$K$9,3,FALSE),0)</f>
        <v>93.641900000000007</v>
      </c>
      <c r="T90" s="33">
        <f>IFERROR(VLOOKUP(lmic_raw[[#This Row],[gbd_super]],disease_costs!$G$4:$K$9,4,FALSE),0)</f>
        <v>93.641900000000007</v>
      </c>
      <c r="U90" s="33">
        <f>IFERROR(VLOOKUP(lmic_raw[[#This Row],[gbd_super]],disease_costs!$G$4:$K$9,5,FALSE),0)</f>
        <v>93.641900000000007</v>
      </c>
      <c r="V90">
        <f>IFERROR(VLOOKUP(lmic_raw[[#This Row],[setting]],vcost[],3,FALSE),0)</f>
        <v>2.4957888929581169</v>
      </c>
      <c r="W90">
        <f>IFERROR(VLOOKUP(lmic_raw[[#This Row],[setting]],vcost[],4,FALSE),0)</f>
        <v>4.9457888929581166</v>
      </c>
      <c r="X90">
        <f>IFERROR(VLOOKUP(lmic_raw[[#This Row],[setting]],vcost[],5,FALSE),0)</f>
        <v>2.0683810063983583</v>
      </c>
      <c r="Y90">
        <f>IFERROR(VLOOKUP(lmic_raw[[#This Row],[setting]],vcost[],6,FALSE),0)</f>
        <v>4.5183810063983589</v>
      </c>
      <c r="Z90">
        <f>IFERROR(VLOOKUP(lmic_raw[[#This Row],[setting]],vcost[],7,FALSE),0)</f>
        <v>4.5146478313868492</v>
      </c>
      <c r="AA90">
        <f>IFERROR(VLOOKUP(lmic_raw[[#This Row],[setting]],vcost[],8,FALSE),0)</f>
        <v>2.7380805674180535</v>
      </c>
      <c r="AB90">
        <f>IFERROR(VLOOKUP(lmic_raw[[#This Row],[setting]],vcost[],9,FALSE),0)</f>
        <v>5.1880805674180532</v>
      </c>
      <c r="AC90" s="33">
        <f>IFERROR(INDEX(acm[],MATCH($C90,acm[[Country code]:[Country code]],0),MATCH(AC$1,acm[#Headers],0)),0)</f>
        <v>2.7942580000000015E-2</v>
      </c>
      <c r="AD90" s="33">
        <f>IFERROR(INDEX(acm[],MATCH($C90,acm[[Country code]:[Country code]],0),MATCH(AD$1,acm[#Headers],0)),0)</f>
        <v>1.4641933395251625E-3</v>
      </c>
      <c r="AE90" s="33">
        <f>IFERROR(INDEX(acm[],MATCH($C90,acm[[Country code]:[Country code]],0),MATCH(AE$1,acm[#Headers],0)),0)</f>
        <v>5.9734201687707217E-4</v>
      </c>
      <c r="AF90" s="33">
        <f>IFERROR(INDEX(acm[],MATCH($C90,acm[[Country code]:[Country code]],0),MATCH(AF$1,acm[#Headers],0)),0)</f>
        <v>4.8948909630063052E-4</v>
      </c>
      <c r="AG90" s="33">
        <f>IFERROR(INDEX(acm[],MATCH($C90,acm[[Country code]:[Country code]],0),MATCH(AG$1,acm[#Headers],0)),0)</f>
        <v>8.5947021037404889E-4</v>
      </c>
      <c r="AH90" s="33">
        <f>IFERROR(INDEX(acm[],MATCH($C90,acm[[Country code]:[Country code]],0),MATCH(AH$1,acm[#Headers],0)),0)</f>
        <v>1.187279211316897E-3</v>
      </c>
      <c r="AI90" s="33">
        <f>IFERROR(INDEX(acm[],MATCH($C90,acm[[Country code]:[Country code]],0),MATCH(AI$1,acm[#Headers],0)),0)</f>
        <v>1.2900965422736341E-3</v>
      </c>
      <c r="AJ90" s="33">
        <f>IFERROR(INDEX(acm[],MATCH($C90,acm[[Country code]:[Country code]],0),MATCH(AJ$1,acm[#Headers],0)),0)</f>
        <v>1.5188384974273346E-3</v>
      </c>
      <c r="AK90" s="33">
        <f>IFERROR(INDEX(acm[],MATCH($C90,acm[[Country code]:[Country code]],0),MATCH(AK$1,acm[#Headers],0)),0)</f>
        <v>1.9839414185007548E-3</v>
      </c>
      <c r="AL90" s="33">
        <f>IFERROR(INDEX(acm[],MATCH($C90,acm[[Country code]:[Country code]],0),MATCH(AL$1,acm[#Headers],0)),0)</f>
        <v>2.8502541968265169E-3</v>
      </c>
      <c r="AM90" s="33">
        <f>IFERROR(INDEX(acm[],MATCH($C90,acm[[Country code]:[Country code]],0),MATCH(AM$1,acm[#Headers],0)),0)</f>
        <v>4.4543849074185305E-3</v>
      </c>
      <c r="AN90" s="33">
        <f>IFERROR(INDEX(acm[],MATCH($C90,acm[[Country code]:[Country code]],0),MATCH(AN$1,acm[#Headers],0)),0)</f>
        <v>6.9522169793429268E-3</v>
      </c>
      <c r="AO90" s="33">
        <f>IFERROR(INDEX(acm[],MATCH($C90,acm[[Country code]:[Country code]],0),MATCH(AO$1,acm[#Headers],0)),0)</f>
        <v>1.0951608108868135E-2</v>
      </c>
      <c r="AP90" s="33">
        <f>IFERROR(INDEX(acm[],MATCH($C90,acm[[Country code]:[Country code]],0),MATCH(AP$1,acm[#Headers],0)),0)</f>
        <v>1.718090029554491E-2</v>
      </c>
      <c r="AQ90" s="33">
        <f>IFERROR(INDEX(acm[],MATCH($C90,acm[[Country code]:[Country code]],0),MATCH(AQ$1,acm[#Headers],0)),0)</f>
        <v>2.7261169312703379E-2</v>
      </c>
      <c r="AR90" s="33">
        <f>IFERROR(INDEX(acm[],MATCH($C90,acm[[Country code]:[Country code]],0),MATCH(AR$1,acm[#Headers],0)),0)</f>
        <v>4.320931980586707E-2</v>
      </c>
      <c r="AS90" s="33">
        <f>IFERROR(INDEX(acm[],MATCH($C90,acm[[Country code]:[Country code]],0),MATCH(AS$1,acm[#Headers],0)),0)</f>
        <v>6.6773009751530027E-2</v>
      </c>
      <c r="AT90" s="33">
        <f>IFERROR(INDEX(acm[],MATCH($C90,acm[[Country code]:[Country code]],0),MATCH(AT$1,acm[#Headers],0)),0)</f>
        <v>9.8636927081093451E-2</v>
      </c>
      <c r="AU90" s="33">
        <f>IFERROR(INDEX(acm[],MATCH($C90,acm[[Country code]:[Country code]],0),MATCH(AU$1,acm[#Headers],0)),0)</f>
        <v>0.13300884083462092</v>
      </c>
      <c r="AV90" s="33">
        <f>IFERROR(INDEX(acm[],MATCH($C90,acm[[Country code]:[Country code]],0),MATCH(AV$1,acm[#Headers],0)),0)</f>
        <v>0.16119652230409756</v>
      </c>
      <c r="AW90" s="33">
        <f>IFERROR(INDEX(acm[],MATCH($C90,acm[[Country code]:[Country code]],0),MATCH(AW$1,acm[#Headers],0)),0)</f>
        <v>0.17936089322120757</v>
      </c>
      <c r="AX90" s="33">
        <f>IFERROR(VLOOKUP(lmic_raw[[#This Row],[num]],life_exp[[Country code]:[2015-2020]],2,FALSE),0)</f>
        <v>70.305999999999997</v>
      </c>
    </row>
    <row r="91" spans="1:50" x14ac:dyDescent="0.25">
      <c r="A91" s="110" t="s">
        <v>259</v>
      </c>
      <c r="B91" s="104" t="s">
        <v>482</v>
      </c>
      <c r="C91" s="105">
        <v>558</v>
      </c>
      <c r="D91" s="84" t="s">
        <v>679</v>
      </c>
      <c r="E91" s="84" t="s">
        <v>604</v>
      </c>
      <c r="F91" s="84" t="s">
        <v>665</v>
      </c>
      <c r="G91" s="84" t="s">
        <v>678</v>
      </c>
      <c r="H91" s="33">
        <f>VLOOKUP(lmic_raw[[#This Row],[num]],pop[[Country code]:[pop_20]],2,FALSE)*1000</f>
        <v>6545503</v>
      </c>
      <c r="I91" s="117">
        <f>IFERROR(VLOOKUP(lmic_raw[[#This Row],[num]],pop[[Country code]:[pop_20]],2,FALSE)*VLOOKUP(lmic_raw[[#This Row],[num]],b_rate[[Country code]:[2015-2020]],2,FALSE),0)</f>
        <v>136585.01110100001</v>
      </c>
      <c r="J91">
        <f>IFERROR(MIN(VLOOKUP(lmic_raw[[#This Row],[iso3]],fac_b[],4,FALSE)/100,0.9999),0)</f>
        <v>0.71</v>
      </c>
      <c r="K91" s="33">
        <f>VLOOKUP(lmic_raw[[#This Row],[iso3]],vax[[iso3]:[hbv3]],2,FALSE)/100</f>
        <v>0</v>
      </c>
      <c r="L91" s="33">
        <f>VLOOKUP(lmic_raw[[#This Row],[iso3]],vax[[iso3]:[hbv3]],3,FALSE)/100</f>
        <v>0.98</v>
      </c>
      <c r="M91">
        <f>IFERROR(VLOOKUP(lmic_raw[[#This Row],[iso3]], hbv_prev[[iso3]:[ub]],2,FALSE)/100,0)</f>
        <v>4.0999999999999995E-3</v>
      </c>
      <c r="N91">
        <f>IFERROR(VLOOKUP(lmic_raw[[#This Row],[setting]],hbe_prev[],3,FALSE),0)</f>
        <v>0.3156059062343336</v>
      </c>
      <c r="O91">
        <f>VLOOKUP(lmic_raw[[#This Row],[gbd_super]],hbe_risk[],2,FALSE)</f>
        <v>0.8</v>
      </c>
      <c r="P91" s="33">
        <f>VLOOKUP(lmic_raw[[#This Row],[gbd_super]],hbe_risk[],5,FALSE)</f>
        <v>0.17499999999999999</v>
      </c>
      <c r="Q91" s="118">
        <f>IFERROR(VLOOKUP(lmic_raw[[#This Row],[setting]],disease_costs!$A$4:$B$197,2,FALSE),0)</f>
        <v>0</v>
      </c>
      <c r="R91">
        <f>IFERROR(VLOOKUP(lmic_raw[[#This Row],[gbd_super]],disease_costs!$G$4:$K$9,2,FALSE),0)</f>
        <v>86.883899999999997</v>
      </c>
      <c r="S91" s="33">
        <f>IFERROR(VLOOKUP(lmic_raw[[#This Row],[gbd_super]],disease_costs!$G$4:$K$9,3,FALSE),0)</f>
        <v>134.6259</v>
      </c>
      <c r="T91" s="33">
        <f>IFERROR(VLOOKUP(lmic_raw[[#This Row],[gbd_super]],disease_costs!$G$4:$K$9,4,FALSE),0)</f>
        <v>134.6259</v>
      </c>
      <c r="U91" s="33">
        <f>IFERROR(VLOOKUP(lmic_raw[[#This Row],[gbd_super]],disease_costs!$G$4:$K$9,5,FALSE),0)</f>
        <v>134.6259</v>
      </c>
      <c r="V91">
        <f>IFERROR(VLOOKUP(lmic_raw[[#This Row],[setting]],vcost[],3,FALSE),0)</f>
        <v>4.7244859673724848</v>
      </c>
      <c r="W91">
        <f>IFERROR(VLOOKUP(lmic_raw[[#This Row],[setting]],vcost[],4,FALSE),0)</f>
        <v>4.7444859673724844</v>
      </c>
      <c r="X91">
        <f>IFERROR(VLOOKUP(lmic_raw[[#This Row],[setting]],vcost[],5,FALSE),0)</f>
        <v>4.2950092635310249</v>
      </c>
      <c r="Y91">
        <f>IFERROR(VLOOKUP(lmic_raw[[#This Row],[setting]],vcost[],6,FALSE),0)</f>
        <v>4.3150092635310244</v>
      </c>
      <c r="Z91">
        <f>IFERROR(VLOOKUP(lmic_raw[[#This Row],[setting]],vcost[],7,FALSE),0)</f>
        <v>4.3101844698018068</v>
      </c>
      <c r="AA91">
        <f>IFERROR(VLOOKUP(lmic_raw[[#This Row],[setting]],vcost[],8,FALSE),0)</f>
        <v>4.9675233782944286</v>
      </c>
      <c r="AB91">
        <f>IFERROR(VLOOKUP(lmic_raw[[#This Row],[setting]],vcost[],9,FALSE),0)</f>
        <v>4.9875233782944282</v>
      </c>
      <c r="AC91" s="33">
        <f>IFERROR(INDEX(acm[],MATCH($C91,acm[[Country code]:[Country code]],0),MATCH(AC$1,acm[#Headers],0)),0)</f>
        <v>1.6784030000000057E-2</v>
      </c>
      <c r="AD91" s="33">
        <f>IFERROR(INDEX(acm[],MATCH($C91,acm[[Country code]:[Country code]],0),MATCH(AD$1,acm[#Headers],0)),0)</f>
        <v>8.8147724044798431E-4</v>
      </c>
      <c r="AE91" s="33">
        <f>IFERROR(INDEX(acm[],MATCH($C91,acm[[Country code]:[Country code]],0),MATCH(AE$1,acm[#Headers],0)),0)</f>
        <v>4.6097509603578243E-4</v>
      </c>
      <c r="AF91" s="33">
        <f>IFERROR(INDEX(acm[],MATCH($C91,acm[[Country code]:[Country code]],0),MATCH(AF$1,acm[#Headers],0)),0)</f>
        <v>4.6068964478693019E-4</v>
      </c>
      <c r="AG91" s="33">
        <f>IFERROR(INDEX(acm[],MATCH($C91,acm[[Country code]:[Country code]],0),MATCH(AG$1,acm[#Headers],0)),0)</f>
        <v>1.1313016626973249E-3</v>
      </c>
      <c r="AH91" s="33">
        <f>IFERROR(INDEX(acm[],MATCH($C91,acm[[Country code]:[Country code]],0),MATCH(AH$1,acm[#Headers],0)),0)</f>
        <v>1.5077006682083468E-3</v>
      </c>
      <c r="AI91" s="33">
        <f>IFERROR(INDEX(acm[],MATCH($C91,acm[[Country code]:[Country code]],0),MATCH(AI$1,acm[#Headers],0)),0)</f>
        <v>1.7689583137579586E-3</v>
      </c>
      <c r="AJ91" s="33">
        <f>IFERROR(INDEX(acm[],MATCH($C91,acm[[Country code]:[Country code]],0),MATCH(AJ$1,acm[#Headers],0)),0)</f>
        <v>2.1274003253107052E-3</v>
      </c>
      <c r="AK91" s="33">
        <f>IFERROR(INDEX(acm[],MATCH($C91,acm[[Country code]:[Country code]],0),MATCH(AK$1,acm[#Headers],0)),0)</f>
        <v>2.6992125859102468E-3</v>
      </c>
      <c r="AL91" s="33">
        <f>IFERROR(INDEX(acm[],MATCH($C91,acm[[Country code]:[Country code]],0),MATCH(AL$1,acm[#Headers],0)),0)</f>
        <v>3.435031499270829E-3</v>
      </c>
      <c r="AM91" s="33">
        <f>IFERROR(INDEX(acm[],MATCH($C91,acm[[Country code]:[Country code]],0),MATCH(AM$1,acm[#Headers],0)),0)</f>
        <v>4.5176356272025875E-3</v>
      </c>
      <c r="AN91" s="33">
        <f>IFERROR(INDEX(acm[],MATCH($C91,acm[[Country code]:[Country code]],0),MATCH(AN$1,acm[#Headers],0)),0)</f>
        <v>6.3558040790504715E-3</v>
      </c>
      <c r="AO91" s="33">
        <f>IFERROR(INDEX(acm[],MATCH($C91,acm[[Country code]:[Country code]],0),MATCH(AO$1,acm[#Headers],0)),0)</f>
        <v>9.0428108391956679E-3</v>
      </c>
      <c r="AP91" s="33">
        <f>IFERROR(INDEX(acm[],MATCH($C91,acm[[Country code]:[Country code]],0),MATCH(AP$1,acm[#Headers],0)),0)</f>
        <v>1.3025627257113315E-2</v>
      </c>
      <c r="AQ91" s="33">
        <f>IFERROR(INDEX(acm[],MATCH($C91,acm[[Country code]:[Country code]],0),MATCH(AQ$1,acm[#Headers],0)),0)</f>
        <v>1.9025422928980271E-2</v>
      </c>
      <c r="AR91" s="33">
        <f>IFERROR(INDEX(acm[],MATCH($C91,acm[[Country code]:[Country code]],0),MATCH(AR$1,acm[#Headers],0)),0)</f>
        <v>2.753133862434114E-2</v>
      </c>
      <c r="AS91" s="33">
        <f>IFERROR(INDEX(acm[],MATCH($C91,acm[[Country code]:[Country code]],0),MATCH(AS$1,acm[#Headers],0)),0)</f>
        <v>4.0388362115475675E-2</v>
      </c>
      <c r="AT91" s="33">
        <f>IFERROR(INDEX(acm[],MATCH($C91,acm[[Country code]:[Country code]],0),MATCH(AT$1,acm[#Headers],0)),0)</f>
        <v>6.5754084012881131E-2</v>
      </c>
      <c r="AU91" s="33">
        <f>IFERROR(INDEX(acm[],MATCH($C91,acm[[Country code]:[Country code]],0),MATCH(AU$1,acm[#Headers],0)),0)</f>
        <v>9.2723844812142964E-2</v>
      </c>
      <c r="AV91" s="33">
        <f>IFERROR(INDEX(acm[],MATCH($C91,acm[[Country code]:[Country code]],0),MATCH(AV$1,acm[#Headers],0)),0)</f>
        <v>0.12102861703819505</v>
      </c>
      <c r="AW91" s="33">
        <f>IFERROR(INDEX(acm[],MATCH($C91,acm[[Country code]:[Country code]],0),MATCH(AW$1,acm[#Headers],0)),0)</f>
        <v>0.14543309127054091</v>
      </c>
      <c r="AX91" s="33">
        <f>IFERROR(VLOOKUP(lmic_raw[[#This Row],[num]],life_exp[[Country code]:[2015-2020]],2,FALSE),0)</f>
        <v>74.153999999999996</v>
      </c>
    </row>
    <row r="92" spans="1:50" x14ac:dyDescent="0.25">
      <c r="A92" s="109" t="s">
        <v>633</v>
      </c>
      <c r="B92" s="101" t="s">
        <v>483</v>
      </c>
      <c r="C92" s="102">
        <v>562</v>
      </c>
      <c r="D92" s="82" t="s">
        <v>677</v>
      </c>
      <c r="E92" s="82" t="s">
        <v>591</v>
      </c>
      <c r="F92" s="82" t="s">
        <v>667</v>
      </c>
      <c r="G92" s="82" t="s">
        <v>674</v>
      </c>
      <c r="H92" s="33">
        <f>VLOOKUP(lmic_raw[[#This Row],[num]],pop[[Country code]:[pop_20]],2,FALSE)*1000</f>
        <v>23310719</v>
      </c>
      <c r="I92" s="117">
        <f>IFERROR(VLOOKUP(lmic_raw[[#This Row],[num]],pop[[Country code]:[pop_20]],2,FALSE)*VLOOKUP(lmic_raw[[#This Row],[num]],b_rate[[Country code]:[2015-2020]],2,FALSE),0)</f>
        <v>1078656.9002870002</v>
      </c>
      <c r="J92">
        <f>IFERROR(MIN(VLOOKUP(lmic_raw[[#This Row],[iso3]],fac_b[],4,FALSE)/100,0.9999),0)</f>
        <v>0.58799999999999997</v>
      </c>
      <c r="K92" s="33">
        <f>VLOOKUP(lmic_raw[[#This Row],[iso3]],vax[[iso3]:[hbv3]],2,FALSE)/100</f>
        <v>0</v>
      </c>
      <c r="L92" s="33">
        <f>VLOOKUP(lmic_raw[[#This Row],[iso3]],vax[[iso3]:[hbv3]],3,FALSE)/100</f>
        <v>0.81</v>
      </c>
      <c r="M92">
        <f>IFERROR(VLOOKUP(lmic_raw[[#This Row],[iso3]], hbv_prev[[iso3]:[ub]],2,FALSE)/100,0)</f>
        <v>0.11609999999999999</v>
      </c>
      <c r="N92">
        <f>IFERROR(VLOOKUP(lmic_raw[[#This Row],[setting]],hbe_prev[],3,FALSE),0)</f>
        <v>0.30212641158390346</v>
      </c>
      <c r="O92">
        <f>VLOOKUP(lmic_raw[[#This Row],[gbd_super]],hbe_risk[],2,FALSE)</f>
        <v>0.38300000000000001</v>
      </c>
      <c r="P92" s="33">
        <f>VLOOKUP(lmic_raw[[#This Row],[gbd_super]],hbe_risk[],5,FALSE)</f>
        <v>4.8000000000000001E-2</v>
      </c>
      <c r="Q92">
        <f>IFERROR(VLOOKUP(lmic_raw[[#This Row],[setting]],disease_costs!$A$4:$B$197,2,FALSE),0)</f>
        <v>2.4564903768895445</v>
      </c>
      <c r="R92">
        <f>IFERROR(VLOOKUP(lmic_raw[[#This Row],[gbd_super]],disease_costs!$G$4:$K$9,2,FALSE),0)</f>
        <v>29.920500000000001</v>
      </c>
      <c r="S92" s="33">
        <f>IFERROR(VLOOKUP(lmic_raw[[#This Row],[gbd_super]],disease_costs!$G$4:$K$9,3,FALSE),0)</f>
        <v>77.662500000000009</v>
      </c>
      <c r="T92" s="33">
        <f>IFERROR(VLOOKUP(lmic_raw[[#This Row],[gbd_super]],disease_costs!$G$4:$K$9,4,FALSE),0)</f>
        <v>77.662500000000009</v>
      </c>
      <c r="U92" s="33">
        <f>IFERROR(VLOOKUP(lmic_raw[[#This Row],[gbd_super]],disease_costs!$G$4:$K$9,5,FALSE),0)</f>
        <v>77.662500000000009</v>
      </c>
      <c r="V92">
        <f>IFERROR(VLOOKUP(lmic_raw[[#This Row],[setting]],vcost[],3,FALSE),0)</f>
        <v>1.6218527666964158</v>
      </c>
      <c r="W92">
        <f>IFERROR(VLOOKUP(lmic_raw[[#This Row],[setting]],vcost[],4,FALSE),0)</f>
        <v>6.4518527666964154</v>
      </c>
      <c r="X92">
        <f>IFERROR(VLOOKUP(lmic_raw[[#This Row],[setting]],vcost[],5,FALSE),0)</f>
        <v>1.1990825767941036</v>
      </c>
      <c r="Y92">
        <f>IFERROR(VLOOKUP(lmic_raw[[#This Row],[setting]],vcost[],6,FALSE),0)</f>
        <v>6.0290825767941039</v>
      </c>
      <c r="Z92">
        <f>IFERROR(VLOOKUP(lmic_raw[[#This Row],[setting]],vcost[],7,FALSE),0)</f>
        <v>6.0272036309902353</v>
      </c>
      <c r="AA92">
        <f>IFERROR(VLOOKUP(lmic_raw[[#This Row],[setting]],vcost[],8,FALSE),0)</f>
        <v>1.8624727132914591</v>
      </c>
      <c r="AB92">
        <f>IFERROR(VLOOKUP(lmic_raw[[#This Row],[setting]],vcost[],9,FALSE),0)</f>
        <v>6.6924727132914592</v>
      </c>
      <c r="AC92" s="33">
        <f>IFERROR(INDEX(acm[],MATCH($C92,acm[[Country code]:[Country code]],0),MATCH(AC$1,acm[#Headers],0)),0)</f>
        <v>4.6318139999999987E-2</v>
      </c>
      <c r="AD92" s="33">
        <f>IFERROR(INDEX(acm[],MATCH($C92,acm[[Country code]:[Country code]],0),MATCH(AD$1,acm[#Headers],0)),0)</f>
        <v>1.004996834059527E-2</v>
      </c>
      <c r="AE92" s="33">
        <f>IFERROR(INDEX(acm[],MATCH($C92,acm[[Country code]:[Country code]],0),MATCH(AE$1,acm[#Headers],0)),0)</f>
        <v>2.2241474972517555E-3</v>
      </c>
      <c r="AF92" s="33">
        <f>IFERROR(INDEX(acm[],MATCH($C92,acm[[Country code]:[Country code]],0),MATCH(AF$1,acm[#Headers],0)),0)</f>
        <v>1.3309644531309406E-3</v>
      </c>
      <c r="AG92" s="33">
        <f>IFERROR(INDEX(acm[],MATCH($C92,acm[[Country code]:[Country code]],0),MATCH(AG$1,acm[#Headers],0)),0)</f>
        <v>2.2191158992467762E-3</v>
      </c>
      <c r="AH92" s="33">
        <f>IFERROR(INDEX(acm[],MATCH($C92,acm[[Country code]:[Country code]],0),MATCH(AH$1,acm[#Headers],0)),0)</f>
        <v>2.9005837356501554E-3</v>
      </c>
      <c r="AI92" s="33">
        <f>IFERROR(INDEX(acm[],MATCH($C92,acm[[Country code]:[Country code]],0),MATCH(AI$1,acm[#Headers],0)),0)</f>
        <v>3.6375382860461599E-3</v>
      </c>
      <c r="AJ92" s="33">
        <f>IFERROR(INDEX(acm[],MATCH($C92,acm[[Country code]:[Country code]],0),MATCH(AJ$1,acm[#Headers],0)),0)</f>
        <v>3.890945873340402E-3</v>
      </c>
      <c r="AK92" s="33">
        <f>IFERROR(INDEX(acm[],MATCH($C92,acm[[Country code]:[Country code]],0),MATCH(AK$1,acm[#Headers],0)),0)</f>
        <v>4.473169894869837E-3</v>
      </c>
      <c r="AL92" s="33">
        <f>IFERROR(INDEX(acm[],MATCH($C92,acm[[Country code]:[Country code]],0),MATCH(AL$1,acm[#Headers],0)),0)</f>
        <v>5.4126018946936633E-3</v>
      </c>
      <c r="AM92" s="33">
        <f>IFERROR(INDEX(acm[],MATCH($C92,acm[[Country code]:[Country code]],0),MATCH(AM$1,acm[#Headers],0)),0)</f>
        <v>6.9628515647821715E-3</v>
      </c>
      <c r="AN92" s="33">
        <f>IFERROR(INDEX(acm[],MATCH($C92,acm[[Country code]:[Country code]],0),MATCH(AN$1,acm[#Headers],0)),0)</f>
        <v>1.005699782334199E-2</v>
      </c>
      <c r="AO92" s="33">
        <f>IFERROR(INDEX(acm[],MATCH($C92,acm[[Country code]:[Country code]],0),MATCH(AO$1,acm[#Headers],0)),0)</f>
        <v>1.4480361016608233E-2</v>
      </c>
      <c r="AP92" s="33">
        <f>IFERROR(INDEX(acm[],MATCH($C92,acm[[Country code]:[Country code]],0),MATCH(AP$1,acm[#Headers],0)),0)</f>
        <v>2.0521814795574696E-2</v>
      </c>
      <c r="AQ92" s="33">
        <f>IFERROR(INDEX(acm[],MATCH($C92,acm[[Country code]:[Country code]],0),MATCH(AQ$1,acm[#Headers],0)),0)</f>
        <v>3.1036167623641205E-2</v>
      </c>
      <c r="AR92" s="33">
        <f>IFERROR(INDEX(acm[],MATCH($C92,acm[[Country code]:[Country code]],0),MATCH(AR$1,acm[#Headers],0)),0)</f>
        <v>5.0489738733381799E-2</v>
      </c>
      <c r="AS92" s="33">
        <f>IFERROR(INDEX(acm[],MATCH($C92,acm[[Country code]:[Country code]],0),MATCH(AS$1,acm[#Headers],0)),0)</f>
        <v>7.9389329796988248E-2</v>
      </c>
      <c r="AT92" s="33">
        <f>IFERROR(INDEX(acm[],MATCH($C92,acm[[Country code]:[Country code]],0),MATCH(AT$1,acm[#Headers],0)),0)</f>
        <v>0.11621435000409117</v>
      </c>
      <c r="AU92" s="33">
        <f>IFERROR(INDEX(acm[],MATCH($C92,acm[[Country code]:[Country code]],0),MATCH(AU$1,acm[#Headers],0)),0)</f>
        <v>0.15114298296929471</v>
      </c>
      <c r="AV92" s="33">
        <f>IFERROR(INDEX(acm[],MATCH($C92,acm[[Country code]:[Country code]],0),MATCH(AV$1,acm[#Headers],0)),0)</f>
        <v>0.17523559165317509</v>
      </c>
      <c r="AW92" s="33">
        <f>IFERROR(INDEX(acm[],MATCH($C92,acm[[Country code]:[Country code]],0),MATCH(AW$1,acm[#Headers],0)),0)</f>
        <v>0.18628638500862074</v>
      </c>
      <c r="AX92" s="33">
        <f>IFERROR(VLOOKUP(lmic_raw[[#This Row],[num]],life_exp[[Country code]:[2015-2020]],2,FALSE),0)</f>
        <v>61.798999999999999</v>
      </c>
    </row>
    <row r="93" spans="1:50" x14ac:dyDescent="0.25">
      <c r="A93" s="110" t="s">
        <v>150</v>
      </c>
      <c r="B93" s="104" t="s">
        <v>484</v>
      </c>
      <c r="C93" s="105">
        <v>566</v>
      </c>
      <c r="D93" s="84" t="s">
        <v>677</v>
      </c>
      <c r="E93" s="84" t="s">
        <v>591</v>
      </c>
      <c r="F93" s="84" t="s">
        <v>667</v>
      </c>
      <c r="G93" s="84" t="s">
        <v>678</v>
      </c>
      <c r="H93" s="33">
        <f>VLOOKUP(lmic_raw[[#This Row],[num]],pop[[Country code]:[pop_20]],2,FALSE)*1000</f>
        <v>200963603</v>
      </c>
      <c r="I93" s="117">
        <f>IFERROR(VLOOKUP(lmic_raw[[#This Row],[num]],pop[[Country code]:[pop_20]],2,FALSE)*VLOOKUP(lmic_raw[[#This Row],[num]],b_rate[[Country code]:[2015-2020]],2,FALSE),0)</f>
        <v>7656311.3470940003</v>
      </c>
      <c r="J93">
        <f>IFERROR(MIN(VLOOKUP(lmic_raw[[#This Row],[iso3]],fac_b[],4,FALSE)/100,0.9999),0)</f>
        <v>0.39399999999999996</v>
      </c>
      <c r="K93" s="33">
        <f>VLOOKUP(lmic_raw[[#This Row],[iso3]],vax[[iso3]:[hbv3]],2,FALSE)/100</f>
        <v>0</v>
      </c>
      <c r="L93" s="33">
        <f>VLOOKUP(lmic_raw[[#This Row],[iso3]],vax[[iso3]:[hbv3]],3,FALSE)/100</f>
        <v>0.56999999999999995</v>
      </c>
      <c r="M93">
        <f>IFERROR(VLOOKUP(lmic_raw[[#This Row],[iso3]], hbv_prev[[iso3]:[ub]],2,FALSE)/100,0)</f>
        <v>5.4699999999999999E-2</v>
      </c>
      <c r="N93">
        <f>IFERROR(VLOOKUP(lmic_raw[[#This Row],[setting]],hbe_prev[],3,FALSE),0)</f>
        <v>0.28911156143757499</v>
      </c>
      <c r="O93">
        <f>VLOOKUP(lmic_raw[[#This Row],[gbd_super]],hbe_risk[],2,FALSE)</f>
        <v>0.38300000000000001</v>
      </c>
      <c r="P93" s="33">
        <f>VLOOKUP(lmic_raw[[#This Row],[gbd_super]],hbe_risk[],5,FALSE)</f>
        <v>4.8000000000000001E-2</v>
      </c>
      <c r="Q93">
        <f>IFERROR(VLOOKUP(lmic_raw[[#This Row],[setting]],disease_costs!$A$4:$B$197,2,FALSE),0)</f>
        <v>3.9875978472353966</v>
      </c>
      <c r="R93">
        <f>IFERROR(VLOOKUP(lmic_raw[[#This Row],[gbd_super]],disease_costs!$G$4:$K$9,2,FALSE),0)</f>
        <v>29.920500000000001</v>
      </c>
      <c r="S93" s="33">
        <f>IFERROR(VLOOKUP(lmic_raw[[#This Row],[gbd_super]],disease_costs!$G$4:$K$9,3,FALSE),0)</f>
        <v>77.662500000000009</v>
      </c>
      <c r="T93" s="33">
        <f>IFERROR(VLOOKUP(lmic_raw[[#This Row],[gbd_super]],disease_costs!$G$4:$K$9,4,FALSE),0)</f>
        <v>77.662500000000009</v>
      </c>
      <c r="U93" s="33">
        <f>IFERROR(VLOOKUP(lmic_raw[[#This Row],[gbd_super]],disease_costs!$G$4:$K$9,5,FALSE),0)</f>
        <v>77.662500000000009</v>
      </c>
      <c r="V93">
        <f>IFERROR(VLOOKUP(lmic_raw[[#This Row],[setting]],vcost[],3,FALSE),0)</f>
        <v>1.0811629827076694</v>
      </c>
      <c r="W93">
        <f>IFERROR(VLOOKUP(lmic_raw[[#This Row],[setting]],vcost[],4,FALSE),0)</f>
        <v>5.911162982707669</v>
      </c>
      <c r="X93">
        <f>IFERROR(VLOOKUP(lmic_raw[[#This Row],[setting]],vcost[],5,FALSE),0)</f>
        <v>0.6501589744290126</v>
      </c>
      <c r="Y93">
        <f>IFERROR(VLOOKUP(lmic_raw[[#This Row],[setting]],vcost[],6,FALSE),0)</f>
        <v>5.4801589744290125</v>
      </c>
      <c r="Z93">
        <f>IFERROR(VLOOKUP(lmic_raw[[#This Row],[setting]],vcost[],7,FALSE),0)</f>
        <v>5.4748766392931332</v>
      </c>
      <c r="AA93">
        <f>IFERROR(VLOOKUP(lmic_raw[[#This Row],[setting]],vcost[],8,FALSE),0)</f>
        <v>1.324750933601162</v>
      </c>
      <c r="AB93">
        <f>IFERROR(VLOOKUP(lmic_raw[[#This Row],[setting]],vcost[],9,FALSE),0)</f>
        <v>6.1547509336011625</v>
      </c>
      <c r="AC93" s="33">
        <f>IFERROR(INDEX(acm[],MATCH($C93,acm[[Country code]:[Country code]],0),MATCH(AC$1,acm[#Headers],0)),0)</f>
        <v>6.215649000000005E-2</v>
      </c>
      <c r="AD93" s="33">
        <f>IFERROR(INDEX(acm[],MATCH($C93,acm[[Country code]:[Country code]],0),MATCH(AD$1,acm[#Headers],0)),0)</f>
        <v>1.0555281765504772E-2</v>
      </c>
      <c r="AE93" s="33">
        <f>IFERROR(INDEX(acm[],MATCH($C93,acm[[Country code]:[Country code]],0),MATCH(AE$1,acm[#Headers],0)),0)</f>
        <v>5.9101558625263987E-3</v>
      </c>
      <c r="AF93" s="33">
        <f>IFERROR(INDEX(acm[],MATCH($C93,acm[[Country code]:[Country code]],0),MATCH(AF$1,acm[#Headers],0)),0)</f>
        <v>3.2158941876073606E-3</v>
      </c>
      <c r="AG93" s="33">
        <f>IFERROR(INDEX(acm[],MATCH($C93,acm[[Country code]:[Country code]],0),MATCH(AG$1,acm[#Headers],0)),0)</f>
        <v>5.0626435919828025E-3</v>
      </c>
      <c r="AH93" s="33">
        <f>IFERROR(INDEX(acm[],MATCH($C93,acm[[Country code]:[Country code]],0),MATCH(AH$1,acm[#Headers],0)),0)</f>
        <v>6.1061216041154503E-3</v>
      </c>
      <c r="AI93" s="33">
        <f>IFERROR(INDEX(acm[],MATCH($C93,acm[[Country code]:[Country code]],0),MATCH(AI$1,acm[#Headers],0)),0)</f>
        <v>6.7146600112912083E-3</v>
      </c>
      <c r="AJ93" s="33">
        <f>IFERROR(INDEX(acm[],MATCH($C93,acm[[Country code]:[Country code]],0),MATCH(AJ$1,acm[#Headers],0)),0)</f>
        <v>7.034360265270395E-3</v>
      </c>
      <c r="AK93" s="33">
        <f>IFERROR(INDEX(acm[],MATCH($C93,acm[[Country code]:[Country code]],0),MATCH(AK$1,acm[#Headers],0)),0)</f>
        <v>7.7019431423796317E-3</v>
      </c>
      <c r="AL93" s="33">
        <f>IFERROR(INDEX(acm[],MATCH($C93,acm[[Country code]:[Country code]],0),MATCH(AL$1,acm[#Headers],0)),0)</f>
        <v>8.7502968131791831E-3</v>
      </c>
      <c r="AM93" s="33">
        <f>IFERROR(INDEX(acm[],MATCH($C93,acm[[Country code]:[Country code]],0),MATCH(AM$1,acm[#Headers],0)),0)</f>
        <v>1.013224062784799E-2</v>
      </c>
      <c r="AN93" s="33">
        <f>IFERROR(INDEX(acm[],MATCH($C93,acm[[Country code]:[Country code]],0),MATCH(AN$1,acm[#Headers],0)),0)</f>
        <v>1.3380716895601642E-2</v>
      </c>
      <c r="AO93" s="33">
        <f>IFERROR(INDEX(acm[],MATCH($C93,acm[[Country code]:[Country code]],0),MATCH(AO$1,acm[#Headers],0)),0)</f>
        <v>1.8313369924512542E-2</v>
      </c>
      <c r="AP93" s="33">
        <f>IFERROR(INDEX(acm[],MATCH($C93,acm[[Country code]:[Country code]],0),MATCH(AP$1,acm[#Headers],0)),0)</f>
        <v>2.8183308143927499E-2</v>
      </c>
      <c r="AQ93" s="33">
        <f>IFERROR(INDEX(acm[],MATCH($C93,acm[[Country code]:[Country code]],0),MATCH(AQ$1,acm[#Headers],0)),0)</f>
        <v>4.241118343083778E-2</v>
      </c>
      <c r="AR93" s="33">
        <f>IFERROR(INDEX(acm[],MATCH($C93,acm[[Country code]:[Country code]],0),MATCH(AR$1,acm[#Headers],0)),0)</f>
        <v>6.5708830847072533E-2</v>
      </c>
      <c r="AS93" s="33">
        <f>IFERROR(INDEX(acm[],MATCH($C93,acm[[Country code]:[Country code]],0),MATCH(AS$1,acm[#Headers],0)),0)</f>
        <v>9.6904467648308887E-2</v>
      </c>
      <c r="AT93" s="33">
        <f>IFERROR(INDEX(acm[],MATCH($C93,acm[[Country code]:[Country code]],0),MATCH(AT$1,acm[#Headers],0)),0)</f>
        <v>0.13262526670478461</v>
      </c>
      <c r="AU93" s="33">
        <f>IFERROR(INDEX(acm[],MATCH($C93,acm[[Country code]:[Country code]],0),MATCH(AU$1,acm[#Headers],0)),0)</f>
        <v>0.16254099182753556</v>
      </c>
      <c r="AV93" s="33">
        <f>IFERROR(INDEX(acm[],MATCH($C93,acm[[Country code]:[Country code]],0),MATCH(AV$1,acm[#Headers],0)),0)</f>
        <v>0.18085950585047419</v>
      </c>
      <c r="AW93" s="33">
        <f>IFERROR(INDEX(acm[],MATCH($C93,acm[[Country code]:[Country code]],0),MATCH(AW$1,acm[#Headers],0)),0)</f>
        <v>0.18640937296393495</v>
      </c>
      <c r="AX93" s="33">
        <f>IFERROR(VLOOKUP(lmic_raw[[#This Row],[num]],life_exp[[Country code]:[2015-2020]],2,FALSE),0)</f>
        <v>54.176000000000002</v>
      </c>
    </row>
    <row r="94" spans="1:50" x14ac:dyDescent="0.25">
      <c r="A94" s="109" t="s">
        <v>342</v>
      </c>
      <c r="B94" s="101" t="s">
        <v>485</v>
      </c>
      <c r="C94" s="102">
        <v>807</v>
      </c>
      <c r="D94" s="82" t="s">
        <v>675</v>
      </c>
      <c r="E94" s="82" t="s">
        <v>580</v>
      </c>
      <c r="F94" s="82" t="s">
        <v>663</v>
      </c>
      <c r="G94" s="82" t="s">
        <v>676</v>
      </c>
      <c r="H94" s="33">
        <f>VLOOKUP(lmic_raw[[#This Row],[num]],pop[[Country code]:[pop_20]],2,FALSE)*1000</f>
        <v>2083458</v>
      </c>
      <c r="I94" s="117">
        <f>IFERROR(VLOOKUP(lmic_raw[[#This Row],[num]],pop[[Country code]:[pop_20]],2,FALSE)*VLOOKUP(lmic_raw[[#This Row],[num]],b_rate[[Country code]:[2015-2020]],2,FALSE),0)</f>
        <v>22680.523787999999</v>
      </c>
      <c r="J94">
        <f>IFERROR(MIN(VLOOKUP(lmic_raw[[#This Row],[iso3]],fac_b[],4,FALSE)/100,0.9999),0)</f>
        <v>0.99099999999999999</v>
      </c>
      <c r="K94" s="33">
        <f>VLOOKUP(lmic_raw[[#This Row],[iso3]],vax[[iso3]:[hbv3]],2,FALSE)/100</f>
        <v>0.98</v>
      </c>
      <c r="L94" s="33">
        <f>VLOOKUP(lmic_raw[[#This Row],[iso3]],vax[[iso3]:[hbv3]],3,FALSE)/100</f>
        <v>0.92</v>
      </c>
      <c r="M94">
        <f>IFERROR(VLOOKUP(lmic_raw[[#This Row],[iso3]], hbv_prev[[iso3]:[ub]],2,FALSE)/100,0)</f>
        <v>1.9400000000000001E-2</v>
      </c>
      <c r="N94">
        <f>IFERROR(VLOOKUP(lmic_raw[[#This Row],[setting]],hbe_prev[],3,FALSE),0)</f>
        <v>0.28785778546712798</v>
      </c>
      <c r="O94">
        <f>VLOOKUP(lmic_raw[[#This Row],[gbd_super]],hbe_risk[],2,FALSE)</f>
        <v>0.8</v>
      </c>
      <c r="P94" s="33">
        <f>VLOOKUP(lmic_raw[[#This Row],[gbd_super]],hbe_risk[],5,FALSE)</f>
        <v>0.17499999999999999</v>
      </c>
      <c r="Q94">
        <f>IFERROR(VLOOKUP(lmic_raw[[#This Row],[setting]],disease_costs!$A$4:$B$197,2,FALSE),0)</f>
        <v>8.9132536626891081</v>
      </c>
      <c r="R94">
        <f>IFERROR(VLOOKUP(lmic_raw[[#This Row],[gbd_super]],disease_costs!$G$4:$K$9,2,FALSE),0)</f>
        <v>44.537400000000005</v>
      </c>
      <c r="S94" s="33">
        <f>IFERROR(VLOOKUP(lmic_raw[[#This Row],[gbd_super]],disease_costs!$G$4:$K$9,3,FALSE),0)</f>
        <v>92.27940000000001</v>
      </c>
      <c r="T94" s="33">
        <f>IFERROR(VLOOKUP(lmic_raw[[#This Row],[gbd_super]],disease_costs!$G$4:$K$9,4,FALSE),0)</f>
        <v>92.27940000000001</v>
      </c>
      <c r="U94" s="33">
        <f>IFERROR(VLOOKUP(lmic_raw[[#This Row],[gbd_super]],disease_costs!$G$4:$K$9,5,FALSE),0)</f>
        <v>92.27940000000001</v>
      </c>
      <c r="V94">
        <f>IFERROR(VLOOKUP(lmic_raw[[#This Row],[setting]],vcost[],3,FALSE),0)</f>
        <v>6.2325918514465952</v>
      </c>
      <c r="W94">
        <f>IFERROR(VLOOKUP(lmic_raw[[#This Row],[setting]],vcost[],4,FALSE),0)</f>
        <v>10.302591851446596</v>
      </c>
      <c r="X94">
        <f>IFERROR(VLOOKUP(lmic_raw[[#This Row],[setting]],vcost[],5,FALSE),0)</f>
        <v>5.7953614066769044</v>
      </c>
      <c r="Y94">
        <f>IFERROR(VLOOKUP(lmic_raw[[#This Row],[setting]],vcost[],6,FALSE),0)</f>
        <v>9.8653614066769038</v>
      </c>
      <c r="Z94">
        <f>IFERROR(VLOOKUP(lmic_raw[[#This Row],[setting]],vcost[],7,FALSE),0)</f>
        <v>9.8574820209648824</v>
      </c>
      <c r="AA94">
        <f>IFERROR(VLOOKUP(lmic_raw[[#This Row],[setting]],vcost[],8,FALSE),0)</f>
        <v>6.478424215493833</v>
      </c>
      <c r="AB94">
        <f>IFERROR(VLOOKUP(lmic_raw[[#This Row],[setting]],vcost[],9,FALSE),0)</f>
        <v>10.548424215493833</v>
      </c>
      <c r="AC94" s="33">
        <f>IFERROR(INDEX(acm[],MATCH($C94,acm[[Country code]:[Country code]],0),MATCH(AC$1,acm[#Headers],0)),0)</f>
        <v>1.0689299999999929E-2</v>
      </c>
      <c r="AD94" s="33">
        <f>IFERROR(INDEX(acm[],MATCH($C94,acm[[Country code]:[Country code]],0),MATCH(AD$1,acm[#Headers],0)),0)</f>
        <v>2.8470833278163265E-4</v>
      </c>
      <c r="AE94" s="33">
        <f>IFERROR(INDEX(acm[],MATCH($C94,acm[[Country code]:[Country code]],0),MATCH(AE$1,acm[#Headers],0)),0)</f>
        <v>1.3947401943468035E-4</v>
      </c>
      <c r="AF94" s="33">
        <f>IFERROR(INDEX(acm[],MATCH($C94,acm[[Country code]:[Country code]],0),MATCH(AF$1,acm[#Headers],0)),0)</f>
        <v>1.8519791661506717E-4</v>
      </c>
      <c r="AG94" s="33">
        <f>IFERROR(INDEX(acm[],MATCH($C94,acm[[Country code]:[Country code]],0),MATCH(AG$1,acm[#Headers],0)),0)</f>
        <v>2.9154437980480287E-4</v>
      </c>
      <c r="AH94" s="33">
        <f>IFERROR(INDEX(acm[],MATCH($C94,acm[[Country code]:[Country code]],0),MATCH(AH$1,acm[#Headers],0)),0)</f>
        <v>3.1370898138433545E-4</v>
      </c>
      <c r="AI94" s="33">
        <f>IFERROR(INDEX(acm[],MATCH($C94,acm[[Country code]:[Country code]],0),MATCH(AI$1,acm[#Headers],0)),0)</f>
        <v>4.6769149685376116E-4</v>
      </c>
      <c r="AJ94" s="33">
        <f>IFERROR(INDEX(acm[],MATCH($C94,acm[[Country code]:[Country code]],0),MATCH(AJ$1,acm[#Headers],0)),0)</f>
        <v>5.5872788768333251E-4</v>
      </c>
      <c r="AK94" s="33">
        <f>IFERROR(INDEX(acm[],MATCH($C94,acm[[Country code]:[Country code]],0),MATCH(AK$1,acm[#Headers],0)),0)</f>
        <v>8.9107250634433259E-4</v>
      </c>
      <c r="AL94" s="33">
        <f>IFERROR(INDEX(acm[],MATCH($C94,acm[[Country code]:[Country code]],0),MATCH(AL$1,acm[#Headers],0)),0)</f>
        <v>1.6274428777812763E-3</v>
      </c>
      <c r="AM94" s="33">
        <f>IFERROR(INDEX(acm[],MATCH($C94,acm[[Country code]:[Country code]],0),MATCH(AM$1,acm[#Headers],0)),0)</f>
        <v>2.5136345377276231E-3</v>
      </c>
      <c r="AN94" s="33">
        <f>IFERROR(INDEX(acm[],MATCH($C94,acm[[Country code]:[Country code]],0),MATCH(AN$1,acm[#Headers],0)),0)</f>
        <v>4.6889487105831202E-3</v>
      </c>
      <c r="AO94" s="33">
        <f>IFERROR(INDEX(acm[],MATCH($C94,acm[[Country code]:[Country code]],0),MATCH(AO$1,acm[#Headers],0)),0)</f>
        <v>7.9706071269026232E-3</v>
      </c>
      <c r="AP94" s="33">
        <f>IFERROR(INDEX(acm[],MATCH($C94,acm[[Country code]:[Country code]],0),MATCH(AP$1,acm[#Headers],0)),0)</f>
        <v>1.3170471970922691E-2</v>
      </c>
      <c r="AQ94" s="33">
        <f>IFERROR(INDEX(acm[],MATCH($C94,acm[[Country code]:[Country code]],0),MATCH(AQ$1,acm[#Headers],0)),0)</f>
        <v>2.0383363398228289E-2</v>
      </c>
      <c r="AR94" s="33">
        <f>IFERROR(INDEX(acm[],MATCH($C94,acm[[Country code]:[Country code]],0),MATCH(AR$1,acm[#Headers],0)),0)</f>
        <v>3.2018214713456158E-2</v>
      </c>
      <c r="AS94" s="33">
        <f>IFERROR(INDEX(acm[],MATCH($C94,acm[[Country code]:[Country code]],0),MATCH(AS$1,acm[#Headers],0)),0)</f>
        <v>5.6817453075315598E-2</v>
      </c>
      <c r="AT94" s="33">
        <f>IFERROR(INDEX(acm[],MATCH($C94,acm[[Country code]:[Country code]],0),MATCH(AT$1,acm[#Headers],0)),0)</f>
        <v>9.1528949975634752E-2</v>
      </c>
      <c r="AU94" s="33">
        <f>IFERROR(INDEX(acm[],MATCH($C94,acm[[Country code]:[Country code]],0),MATCH(AU$1,acm[#Headers],0)),0)</f>
        <v>0.12972083487733699</v>
      </c>
      <c r="AV94" s="33">
        <f>IFERROR(INDEX(acm[],MATCH($C94,acm[[Country code]:[Country code]],0),MATCH(AV$1,acm[#Headers],0)),0)</f>
        <v>0.16675336952493727</v>
      </c>
      <c r="AW94" s="33">
        <f>IFERROR(INDEX(acm[],MATCH($C94,acm[[Country code]:[Country code]],0),MATCH(AW$1,acm[#Headers],0)),0)</f>
        <v>0.18624753508657874</v>
      </c>
      <c r="AX94" s="33">
        <f>IFERROR(VLOOKUP(lmic_raw[[#This Row],[num]],life_exp[[Country code]:[2015-2020]],2,FALSE),0)</f>
        <v>75.602999999999994</v>
      </c>
    </row>
    <row r="95" spans="1:50" x14ac:dyDescent="0.25">
      <c r="A95" s="110" t="s">
        <v>198</v>
      </c>
      <c r="B95" s="104" t="s">
        <v>488</v>
      </c>
      <c r="C95" s="105">
        <v>586</v>
      </c>
      <c r="D95" s="84" t="s">
        <v>673</v>
      </c>
      <c r="E95" s="84" t="s">
        <v>589</v>
      </c>
      <c r="F95" s="84" t="s">
        <v>589</v>
      </c>
      <c r="G95" s="84" t="s">
        <v>678</v>
      </c>
      <c r="H95" s="33">
        <f>VLOOKUP(lmic_raw[[#This Row],[num]],pop[[Country code]:[pop_20]],2,FALSE)*1000</f>
        <v>216565317</v>
      </c>
      <c r="I95" s="117">
        <f>IFERROR(VLOOKUP(lmic_raw[[#This Row],[num]],pop[[Country code]:[pop_20]],2,FALSE)*VLOOKUP(lmic_raw[[#This Row],[num]],b_rate[[Country code]:[2015-2020]],2,FALSE),0)</f>
        <v>6176875.9714740003</v>
      </c>
      <c r="J95">
        <f>IFERROR(MIN(VLOOKUP(lmic_raw[[#This Row],[iso3]],fac_b[],4,FALSE)/100,0.9999),0)</f>
        <v>0.66200000000000003</v>
      </c>
      <c r="K95" s="33">
        <f>VLOOKUP(lmic_raw[[#This Row],[iso3]],vax[[iso3]:[hbv3]],2,FALSE)/100</f>
        <v>0</v>
      </c>
      <c r="L95" s="33">
        <f>VLOOKUP(lmic_raw[[#This Row],[iso3]],vax[[iso3]:[hbv3]],3,FALSE)/100</f>
        <v>0.75</v>
      </c>
      <c r="M95">
        <f>IFERROR(VLOOKUP(lmic_raw[[#This Row],[iso3]], hbv_prev[[iso3]:[ub]],2,FALSE)/100,0)</f>
        <v>5.6299999999999996E-2</v>
      </c>
      <c r="N95">
        <f>IFERROR(VLOOKUP(lmic_raw[[#This Row],[setting]],hbe_prev[],3,FALSE),0)</f>
        <v>0.26507967012826261</v>
      </c>
      <c r="O95">
        <f>VLOOKUP(lmic_raw[[#This Row],[gbd_super]],hbe_risk[],2,FALSE)</f>
        <v>0.8</v>
      </c>
      <c r="P95" s="33">
        <f>VLOOKUP(lmic_raw[[#This Row],[gbd_super]],hbe_risk[],5,FALSE)</f>
        <v>0.17499999999999999</v>
      </c>
      <c r="Q95">
        <f>IFERROR(VLOOKUP(lmic_raw[[#This Row],[setting]],disease_costs!$A$4:$B$197,2,FALSE),0)</f>
        <v>3.0855500352486933</v>
      </c>
      <c r="R95">
        <f>IFERROR(VLOOKUP(lmic_raw[[#This Row],[gbd_super]],disease_costs!$G$4:$K$9,2,FALSE),0)</f>
        <v>45.899900000000002</v>
      </c>
      <c r="S95" s="33">
        <f>IFERROR(VLOOKUP(lmic_raw[[#This Row],[gbd_super]],disease_costs!$G$4:$K$9,3,FALSE),0)</f>
        <v>93.641900000000007</v>
      </c>
      <c r="T95" s="33">
        <f>IFERROR(VLOOKUP(lmic_raw[[#This Row],[gbd_super]],disease_costs!$G$4:$K$9,4,FALSE),0)</f>
        <v>93.641900000000007</v>
      </c>
      <c r="U95" s="33">
        <f>IFERROR(VLOOKUP(lmic_raw[[#This Row],[gbd_super]],disease_costs!$G$4:$K$9,5,FALSE),0)</f>
        <v>93.641900000000007</v>
      </c>
      <c r="V95">
        <f>IFERROR(VLOOKUP(lmic_raw[[#This Row],[setting]],vcost[],3,FALSE),0)</f>
        <v>1.3601324002125419</v>
      </c>
      <c r="W95">
        <f>IFERROR(VLOOKUP(lmic_raw[[#This Row],[setting]],vcost[],4,FALSE),0)</f>
        <v>3.8101324002125421</v>
      </c>
      <c r="X95">
        <f>IFERROR(VLOOKUP(lmic_raw[[#This Row],[setting]],vcost[],5,FALSE),0)</f>
        <v>0.93413475054240969</v>
      </c>
      <c r="Y95">
        <f>IFERROR(VLOOKUP(lmic_raw[[#This Row],[setting]],vcost[],6,FALSE),0)</f>
        <v>3.38413475054241</v>
      </c>
      <c r="Z95">
        <f>IFERROR(VLOOKUP(lmic_raw[[#This Row],[setting]],vcost[],7,FALSE),0)</f>
        <v>3.3806161983373495</v>
      </c>
      <c r="AA95">
        <f>IFERROR(VLOOKUP(lmic_raw[[#This Row],[setting]],vcost[],8,FALSE),0)</f>
        <v>1.6019157334680785</v>
      </c>
      <c r="AB95">
        <f>IFERROR(VLOOKUP(lmic_raw[[#This Row],[setting]],vcost[],9,FALSE),0)</f>
        <v>4.0519157334680784</v>
      </c>
      <c r="AC95" s="33">
        <f>IFERROR(INDEX(acm[],MATCH($C95,acm[[Country code]:[Country code]],0),MATCH(AC$1,acm[#Headers],0)),0)</f>
        <v>6.1333549999999959E-2</v>
      </c>
      <c r="AD95" s="33">
        <f>IFERROR(INDEX(acm[],MATCH($C95,acm[[Country code]:[Country code]],0),MATCH(AD$1,acm[#Headers],0)),0)</f>
        <v>3.6129553794108892E-3</v>
      </c>
      <c r="AE95" s="33">
        <f>IFERROR(INDEX(acm[],MATCH($C95,acm[[Country code]:[Country code]],0),MATCH(AE$1,acm[#Headers],0)),0)</f>
        <v>1.0619705193057707E-3</v>
      </c>
      <c r="AF95" s="33">
        <f>IFERROR(INDEX(acm[],MATCH($C95,acm[[Country code]:[Country code]],0),MATCH(AF$1,acm[#Headers],0)),0)</f>
        <v>6.8420954367996202E-4</v>
      </c>
      <c r="AG95" s="33">
        <f>IFERROR(INDEX(acm[],MATCH($C95,acm[[Country code]:[Country code]],0),MATCH(AG$1,acm[#Headers],0)),0)</f>
        <v>9.0135788389363882E-4</v>
      </c>
      <c r="AH95" s="33">
        <f>IFERROR(INDEX(acm[],MATCH($C95,acm[[Country code]:[Country code]],0),MATCH(AH$1,acm[#Headers],0)),0)</f>
        <v>1.2077077563812004E-3</v>
      </c>
      <c r="AI95" s="33">
        <f>IFERROR(INDEX(acm[],MATCH($C95,acm[[Country code]:[Country code]],0),MATCH(AI$1,acm[#Headers],0)),0)</f>
        <v>1.3477014775401645E-3</v>
      </c>
      <c r="AJ95" s="33">
        <f>IFERROR(INDEX(acm[],MATCH($C95,acm[[Country code]:[Country code]],0),MATCH(AJ$1,acm[#Headers],0)),0)</f>
        <v>1.6936719012837615E-3</v>
      </c>
      <c r="AK95" s="33">
        <f>IFERROR(INDEX(acm[],MATCH($C95,acm[[Country code]:[Country code]],0),MATCH(AK$1,acm[#Headers],0)),0)</f>
        <v>2.2590628339365332E-3</v>
      </c>
      <c r="AL95" s="33">
        <f>IFERROR(INDEX(acm[],MATCH($C95,acm[[Country code]:[Country code]],0),MATCH(AL$1,acm[#Headers],0)),0)</f>
        <v>3.1841570458575586E-3</v>
      </c>
      <c r="AM95" s="33">
        <f>IFERROR(INDEX(acm[],MATCH($C95,acm[[Country code]:[Country code]],0),MATCH(AM$1,acm[#Headers],0)),0)</f>
        <v>4.6948988446102128E-3</v>
      </c>
      <c r="AN95" s="33">
        <f>IFERROR(INDEX(acm[],MATCH($C95,acm[[Country code]:[Country code]],0),MATCH(AN$1,acm[#Headers],0)),0)</f>
        <v>7.1550045387534346E-3</v>
      </c>
      <c r="AO95" s="33">
        <f>IFERROR(INDEX(acm[],MATCH($C95,acm[[Country code]:[Country code]],0),MATCH(AO$1,acm[#Headers],0)),0)</f>
        <v>1.1082944675981268E-2</v>
      </c>
      <c r="AP95" s="33">
        <f>IFERROR(INDEX(acm[],MATCH($C95,acm[[Country code]:[Country code]],0),MATCH(AP$1,acm[#Headers],0)),0)</f>
        <v>1.7741453448018207E-2</v>
      </c>
      <c r="AQ95" s="33">
        <f>IFERROR(INDEX(acm[],MATCH($C95,acm[[Country code]:[Country code]],0),MATCH(AQ$1,acm[#Headers],0)),0)</f>
        <v>2.7639274904056904E-2</v>
      </c>
      <c r="AR95" s="33">
        <f>IFERROR(INDEX(acm[],MATCH($C95,acm[[Country code]:[Country code]],0),MATCH(AR$1,acm[#Headers],0)),0)</f>
        <v>4.2169339516370995E-2</v>
      </c>
      <c r="AS95" s="33">
        <f>IFERROR(INDEX(acm[],MATCH($C95,acm[[Country code]:[Country code]],0),MATCH(AS$1,acm[#Headers],0)),0)</f>
        <v>6.3864951916216758E-2</v>
      </c>
      <c r="AT95" s="33">
        <f>IFERROR(INDEX(acm[],MATCH($C95,acm[[Country code]:[Country code]],0),MATCH(AT$1,acm[#Headers],0)),0)</f>
        <v>9.4417697921603955E-2</v>
      </c>
      <c r="AU95" s="33">
        <f>IFERROR(INDEX(acm[],MATCH($C95,acm[[Country code]:[Country code]],0),MATCH(AU$1,acm[#Headers],0)),0)</f>
        <v>0.13203036500012194</v>
      </c>
      <c r="AV95" s="33">
        <f>IFERROR(INDEX(acm[],MATCH($C95,acm[[Country code]:[Country code]],0),MATCH(AV$1,acm[#Headers],0)),0)</f>
        <v>0.16360120386365906</v>
      </c>
      <c r="AW95" s="33">
        <f>IFERROR(INDEX(acm[],MATCH($C95,acm[[Country code]:[Country code]],0),MATCH(AW$1,acm[#Headers],0)),0)</f>
        <v>0.18117845350801109</v>
      </c>
      <c r="AX95" s="33">
        <f>IFERROR(VLOOKUP(lmic_raw[[#This Row],[num]],life_exp[[Country code]:[2015-2020]],2,FALSE),0)</f>
        <v>67.016999999999996</v>
      </c>
    </row>
    <row r="96" spans="1:50" x14ac:dyDescent="0.25">
      <c r="A96" s="82" t="s">
        <v>683</v>
      </c>
      <c r="B96" s="101" t="s">
        <v>517</v>
      </c>
      <c r="C96" s="106">
        <v>275</v>
      </c>
      <c r="D96" s="82" t="s">
        <v>673</v>
      </c>
      <c r="E96" s="82" t="s">
        <v>579</v>
      </c>
      <c r="F96" s="82" t="s">
        <v>579</v>
      </c>
      <c r="G96" s="82" t="s">
        <v>678</v>
      </c>
      <c r="H96" s="33">
        <f>VLOOKUP(lmic_raw[[#This Row],[num]],pop[[Country code]:[pop_20]],2,FALSE)*1000</f>
        <v>4981422</v>
      </c>
      <c r="I96" s="117">
        <f>IFERROR(VLOOKUP(lmic_raw[[#This Row],[num]],pop[[Country code]:[pop_20]],2,FALSE)*VLOOKUP(lmic_raw[[#This Row],[num]],b_rate[[Country code]:[2015-2020]],2,FALSE),0)</f>
        <v>146583.32377199997</v>
      </c>
      <c r="J96">
        <f>IFERROR(MIN(VLOOKUP(lmic_raw[[#This Row],[iso3]],fac_b[],4,FALSE)/100,0.9999),0)</f>
        <v>0.99299999999999999</v>
      </c>
      <c r="K96" s="33">
        <f>VLOOKUP(lmic_raw[[#This Row],[iso3]],vax[[iso3]:[hbv3]],2,FALSE)/100</f>
        <v>0.99</v>
      </c>
      <c r="L96" s="33">
        <f>VLOOKUP(lmic_raw[[#This Row],[iso3]],vax[[iso3]:[hbv3]],3,FALSE)/100</f>
        <v>0.99</v>
      </c>
      <c r="M96" s="118">
        <f>IFERROR(VLOOKUP(lmic_raw[[#This Row],[iso3]], hbv_prev[[iso3]:[ub]],2,FALSE)/100,0)</f>
        <v>0</v>
      </c>
      <c r="N96" s="118">
        <f>IFERROR(VLOOKUP(lmic_raw[[#This Row],[setting]],hbe_prev[],3,FALSE),0)</f>
        <v>0</v>
      </c>
      <c r="O96">
        <f>VLOOKUP(lmic_raw[[#This Row],[gbd_super]],hbe_risk[],2,FALSE)</f>
        <v>0.8</v>
      </c>
      <c r="P96" s="33">
        <f>VLOOKUP(lmic_raw[[#This Row],[gbd_super]],hbe_risk[],5,FALSE)</f>
        <v>0.17499999999999999</v>
      </c>
      <c r="Q96" s="118">
        <f>IFERROR(VLOOKUP(lmic_raw[[#This Row],[setting]],disease_costs!$A$4:$B$197,2,FALSE),0)</f>
        <v>0</v>
      </c>
      <c r="R96">
        <f>IFERROR(VLOOKUP(lmic_raw[[#This Row],[gbd_super]],disease_costs!$G$4:$K$9,2,FALSE),0)</f>
        <v>46.335900000000002</v>
      </c>
      <c r="S96" s="33">
        <f>IFERROR(VLOOKUP(lmic_raw[[#This Row],[gbd_super]],disease_costs!$G$4:$K$9,3,FALSE),0)</f>
        <v>94.077900000000014</v>
      </c>
      <c r="T96" s="33">
        <f>IFERROR(VLOOKUP(lmic_raw[[#This Row],[gbd_super]],disease_costs!$G$4:$K$9,4,FALSE),0)</f>
        <v>94.077900000000014</v>
      </c>
      <c r="U96" s="33">
        <f>IFERROR(VLOOKUP(lmic_raw[[#This Row],[gbd_super]],disease_costs!$G$4:$K$9,5,FALSE),0)</f>
        <v>94.077900000000014</v>
      </c>
      <c r="V96" s="118">
        <f>IFERROR(VLOOKUP(lmic_raw[[#This Row],[setting]],vcost[],3,FALSE),0)</f>
        <v>0.41792411616161618</v>
      </c>
      <c r="W96" s="118">
        <f>IFERROR(VLOOKUP(lmic_raw[[#This Row],[setting]],vcost[],4,FALSE),0)</f>
        <v>0.89792411616161616</v>
      </c>
      <c r="X96" s="118">
        <f>IFERROR(VLOOKUP(lmic_raw[[#This Row],[setting]],vcost[],5,FALSE),0)</f>
        <v>0</v>
      </c>
      <c r="Y96" s="118">
        <f>IFERROR(VLOOKUP(lmic_raw[[#This Row],[setting]],vcost[],6,FALSE),0)</f>
        <v>0.48</v>
      </c>
      <c r="Z96" s="118">
        <f>IFERROR(VLOOKUP(lmic_raw[[#This Row],[setting]],vcost[],7,FALSE),0)</f>
        <v>0.48</v>
      </c>
      <c r="AA96" s="118">
        <f>IFERROR(VLOOKUP(lmic_raw[[#This Row],[setting]],vcost[],8,FALSE),0)</f>
        <v>0.65679722222222237</v>
      </c>
      <c r="AB96" s="118">
        <f>IFERROR(VLOOKUP(lmic_raw[[#This Row],[setting]],vcost[],9,FALSE),0)</f>
        <v>1.1367972222222225</v>
      </c>
      <c r="AC96" s="33">
        <f>IFERROR(INDEX(acm[],MATCH($C96,acm[[Country code]:[Country code]],0),MATCH(AC$1,acm[#Headers],0)),0)</f>
        <v>1.7460470000000058E-2</v>
      </c>
      <c r="AD96" s="33">
        <f>IFERROR(INDEX(acm[],MATCH($C96,acm[[Country code]:[Country code]],0),MATCH(AD$1,acm[#Headers],0)),0)</f>
        <v>7.4073864488685887E-4</v>
      </c>
      <c r="AE96" s="33">
        <f>IFERROR(INDEX(acm[],MATCH($C96,acm[[Country code]:[Country code]],0),MATCH(AE$1,acm[#Headers],0)),0)</f>
        <v>3.4575358484691089E-4</v>
      </c>
      <c r="AF96" s="33">
        <f>IFERROR(INDEX(acm[],MATCH($C96,acm[[Country code]:[Country code]],0),MATCH(AF$1,acm[#Headers],0)),0)</f>
        <v>2.8989254866038777E-4</v>
      </c>
      <c r="AG96" s="33">
        <f>IFERROR(INDEX(acm[],MATCH($C96,acm[[Country code]:[Country code]],0),MATCH(AG$1,acm[#Headers],0)),0)</f>
        <v>5.3542933720537921E-4</v>
      </c>
      <c r="AH96" s="33">
        <f>IFERROR(INDEX(acm[],MATCH($C96,acm[[Country code]:[Country code]],0),MATCH(AH$1,acm[#Headers],0)),0)</f>
        <v>7.4845441486471589E-4</v>
      </c>
      <c r="AI96" s="33">
        <f>IFERROR(INDEX(acm[],MATCH($C96,acm[[Country code]:[Country code]],0),MATCH(AI$1,acm[#Headers],0)),0)</f>
        <v>8.0682837486210641E-4</v>
      </c>
      <c r="AJ96" s="33">
        <f>IFERROR(INDEX(acm[],MATCH($C96,acm[[Country code]:[Country code]],0),MATCH(AJ$1,acm[#Headers],0)),0)</f>
        <v>9.5173952660739143E-4</v>
      </c>
      <c r="AK96" s="33">
        <f>IFERROR(INDEX(acm[],MATCH($C96,acm[[Country code]:[Country code]],0),MATCH(AK$1,acm[#Headers],0)),0)</f>
        <v>1.2720951211125267E-3</v>
      </c>
      <c r="AL96" s="33">
        <f>IFERROR(INDEX(acm[],MATCH($C96,acm[[Country code]:[Country code]],0),MATCH(AL$1,acm[#Headers],0)),0)</f>
        <v>1.9246599931460912E-3</v>
      </c>
      <c r="AM96" s="33">
        <f>IFERROR(INDEX(acm[],MATCH($C96,acm[[Country code]:[Country code]],0),MATCH(AM$1,acm[#Headers],0)),0)</f>
        <v>3.212954825090839E-3</v>
      </c>
      <c r="AN96" s="33">
        <f>IFERROR(INDEX(acm[],MATCH($C96,acm[[Country code]:[Country code]],0),MATCH(AN$1,acm[#Headers],0)),0)</f>
        <v>5.2190032385301894E-3</v>
      </c>
      <c r="AO96" s="33">
        <f>IFERROR(INDEX(acm[],MATCH($C96,acm[[Country code]:[Country code]],0),MATCH(AO$1,acm[#Headers],0)),0)</f>
        <v>8.5994648304891976E-3</v>
      </c>
      <c r="AP96" s="33">
        <f>IFERROR(INDEX(acm[],MATCH($C96,acm[[Country code]:[Country code]],0),MATCH(AP$1,acm[#Headers],0)),0)</f>
        <v>1.3737244480887655E-2</v>
      </c>
      <c r="AQ96" s="33">
        <f>IFERROR(INDEX(acm[],MATCH($C96,acm[[Country code]:[Country code]],0),MATCH(AQ$1,acm[#Headers],0)),0)</f>
        <v>2.272003479426319E-2</v>
      </c>
      <c r="AR96" s="33">
        <f>IFERROR(INDEX(acm[],MATCH($C96,acm[[Country code]:[Country code]],0),MATCH(AR$1,acm[#Headers],0)),0)</f>
        <v>3.7139162675311227E-2</v>
      </c>
      <c r="AS96" s="33">
        <f>IFERROR(INDEX(acm[],MATCH($C96,acm[[Country code]:[Country code]],0),MATCH(AS$1,acm[#Headers],0)),0)</f>
        <v>5.8500772115384979E-2</v>
      </c>
      <c r="AT96" s="33">
        <f>IFERROR(INDEX(acm[],MATCH($C96,acm[[Country code]:[Country code]],0),MATCH(AT$1,acm[#Headers],0)),0)</f>
        <v>8.9398134198135609E-2</v>
      </c>
      <c r="AU96" s="33">
        <f>IFERROR(INDEX(acm[],MATCH($C96,acm[[Country code]:[Country code]],0),MATCH(AU$1,acm[#Headers],0)),0)</f>
        <v>0.12462482607452673</v>
      </c>
      <c r="AV96" s="33">
        <f>IFERROR(INDEX(acm[],MATCH($C96,acm[[Country code]:[Country code]],0),MATCH(AV$1,acm[#Headers],0)),0)</f>
        <v>0.15492547024658945</v>
      </c>
      <c r="AW96" s="33">
        <f>IFERROR(INDEX(acm[],MATCH($C96,acm[[Country code]:[Country code]],0),MATCH(AW$1,acm[#Headers],0)),0)</f>
        <v>0.17603319334635315</v>
      </c>
      <c r="AX96" s="33">
        <f>IFERROR(VLOOKUP(lmic_raw[[#This Row],[num]],life_exp[[Country code]:[2015-2020]],2,FALSE),0)</f>
        <v>73.816000000000003</v>
      </c>
    </row>
    <row r="97" spans="1:50" x14ac:dyDescent="0.25">
      <c r="A97" s="110" t="s">
        <v>283</v>
      </c>
      <c r="B97" s="104" t="s">
        <v>491</v>
      </c>
      <c r="C97" s="105">
        <v>598</v>
      </c>
      <c r="D97" s="84" t="s">
        <v>681</v>
      </c>
      <c r="E97" s="84" t="s">
        <v>98</v>
      </c>
      <c r="F97" s="84" t="s">
        <v>666</v>
      </c>
      <c r="G97" s="84" t="s">
        <v>678</v>
      </c>
      <c r="H97" s="33">
        <f>VLOOKUP(lmic_raw[[#This Row],[num]],pop[[Country code]:[pop_20]],2,FALSE)*1000</f>
        <v>8776119</v>
      </c>
      <c r="I97" s="117">
        <f>IFERROR(VLOOKUP(lmic_raw[[#This Row],[num]],pop[[Country code]:[pop_20]],2,FALSE)*VLOOKUP(lmic_raw[[#This Row],[num]],b_rate[[Country code]:[2015-2020]],2,FALSE),0)</f>
        <v>238964.94425100001</v>
      </c>
      <c r="J97">
        <f>IFERROR(MIN(VLOOKUP(lmic_raw[[#This Row],[iso3]],fac_b[],4,FALSE)/100,0.9999),0)</f>
        <v>0.54700000000000004</v>
      </c>
      <c r="K97" s="33">
        <f>VLOOKUP(lmic_raw[[#This Row],[iso3]],vax[[iso3]:[hbv3]],2,FALSE)/100</f>
        <v>0.25</v>
      </c>
      <c r="L97" s="33">
        <f>VLOOKUP(lmic_raw[[#This Row],[iso3]],vax[[iso3]:[hbv3]],3,FALSE)/100</f>
        <v>0.35</v>
      </c>
      <c r="M97">
        <f>IFERROR(VLOOKUP(lmic_raw[[#This Row],[iso3]], hbv_prev[[iso3]:[ub]],2,FALSE)/100,0)</f>
        <v>5.4000000000000006E-2</v>
      </c>
      <c r="N97">
        <f>IFERROR(VLOOKUP(lmic_raw[[#This Row],[setting]],hbe_prev[],3,FALSE),0)</f>
        <v>0.32942031694951168</v>
      </c>
      <c r="O97">
        <f>VLOOKUP(lmic_raw[[#This Row],[gbd_super]],hbe_risk[],2,FALSE)</f>
        <v>0.8</v>
      </c>
      <c r="P97" s="33">
        <f>VLOOKUP(lmic_raw[[#This Row],[gbd_super]],hbe_risk[],5,FALSE)</f>
        <v>0.17499999999999999</v>
      </c>
      <c r="Q97">
        <f>IFERROR(VLOOKUP(lmic_raw[[#This Row],[setting]],disease_costs!$A$4:$B$197,2,FALSE),0)</f>
        <v>5.0914195119033367</v>
      </c>
      <c r="R97">
        <f>IFERROR(VLOOKUP(lmic_raw[[#This Row],[gbd_super]],disease_costs!$G$4:$K$9,2,FALSE),0)</f>
        <v>73.084500000000006</v>
      </c>
      <c r="S97" s="33">
        <f>IFERROR(VLOOKUP(lmic_raw[[#This Row],[gbd_super]],disease_costs!$G$4:$K$9,3,FALSE),0)</f>
        <v>120.8265</v>
      </c>
      <c r="T97" s="33">
        <f>IFERROR(VLOOKUP(lmic_raw[[#This Row],[gbd_super]],disease_costs!$G$4:$K$9,4,FALSE),0)</f>
        <v>120.8265</v>
      </c>
      <c r="U97" s="33">
        <f>IFERROR(VLOOKUP(lmic_raw[[#This Row],[gbd_super]],disease_costs!$G$4:$K$9,5,FALSE),0)</f>
        <v>120.8265</v>
      </c>
      <c r="V97">
        <f>IFERROR(VLOOKUP(lmic_raw[[#This Row],[setting]],vcost[],3,FALSE),0)</f>
        <v>1.8492791554984747</v>
      </c>
      <c r="W97">
        <f>IFERROR(VLOOKUP(lmic_raw[[#This Row],[setting]],vcost[],4,FALSE),0)</f>
        <v>2.4792791554984746</v>
      </c>
      <c r="X97">
        <f>IFERROR(VLOOKUP(lmic_raw[[#This Row],[setting]],vcost[],5,FALSE),0)</f>
        <v>1.4151344628987732</v>
      </c>
      <c r="Y97">
        <f>IFERROR(VLOOKUP(lmic_raw[[#This Row],[setting]],vcost[],6,FALSE),0)</f>
        <v>2.0451344628987731</v>
      </c>
      <c r="Z97">
        <f>IFERROR(VLOOKUP(lmic_raw[[#This Row],[setting]],vcost[],7,FALSE),0)</f>
        <v>2.0387635904993182</v>
      </c>
      <c r="AA97">
        <f>IFERROR(VLOOKUP(lmic_raw[[#This Row],[setting]],vcost[],8,FALSE),0)</f>
        <v>2.0939992135309486</v>
      </c>
      <c r="AB97">
        <f>IFERROR(VLOOKUP(lmic_raw[[#This Row],[setting]],vcost[],9,FALSE),0)</f>
        <v>2.7239992135309485</v>
      </c>
      <c r="AC97" s="33">
        <f>IFERROR(INDEX(acm[],MATCH($C97,acm[[Country code]:[Country code]],0),MATCH(AC$1,acm[#Headers],0)),0)</f>
        <v>4.1960449999999982E-2</v>
      </c>
      <c r="AD97" s="33">
        <f>IFERROR(INDEX(acm[],MATCH($C97,acm[[Country code]:[Country code]],0),MATCH(AD$1,acm[#Headers],0)),0)</f>
        <v>2.8868510699793046E-3</v>
      </c>
      <c r="AE97" s="33">
        <f>IFERROR(INDEX(acm[],MATCH($C97,acm[[Country code]:[Country code]],0),MATCH(AE$1,acm[#Headers],0)),0)</f>
        <v>1.1712305312523608E-3</v>
      </c>
      <c r="AF97" s="33">
        <f>IFERROR(INDEX(acm[],MATCH($C97,acm[[Country code]:[Country code]],0),MATCH(AF$1,acm[#Headers],0)),0)</f>
        <v>9.248048587818115E-4</v>
      </c>
      <c r="AG97" s="33">
        <f>IFERROR(INDEX(acm[],MATCH($C97,acm[[Country code]:[Country code]],0),MATCH(AG$1,acm[#Headers],0)),0)</f>
        <v>1.6757583340141643E-3</v>
      </c>
      <c r="AH97" s="33">
        <f>IFERROR(INDEX(acm[],MATCH($C97,acm[[Country code]:[Country code]],0),MATCH(AH$1,acm[#Headers],0)),0)</f>
        <v>2.2605603074540904E-3</v>
      </c>
      <c r="AI97" s="33">
        <f>IFERROR(INDEX(acm[],MATCH($C97,acm[[Country code]:[Country code]],0),MATCH(AI$1,acm[#Headers],0)),0)</f>
        <v>2.4566479965569413E-3</v>
      </c>
      <c r="AJ97" s="33">
        <f>IFERROR(INDEX(acm[],MATCH($C97,acm[[Country code]:[Country code]],0),MATCH(AJ$1,acm[#Headers],0)),0)</f>
        <v>2.8560635238641728E-3</v>
      </c>
      <c r="AK97" s="33">
        <f>IFERROR(INDEX(acm[],MATCH($C97,acm[[Country code]:[Country code]],0),MATCH(AK$1,acm[#Headers],0)),0)</f>
        <v>3.6425364864785927E-3</v>
      </c>
      <c r="AL97" s="33">
        <f>IFERROR(INDEX(acm[],MATCH($C97,acm[[Country code]:[Country code]],0),MATCH(AL$1,acm[#Headers],0)),0)</f>
        <v>4.8603904915195039E-3</v>
      </c>
      <c r="AM97" s="33">
        <f>IFERROR(INDEX(acm[],MATCH($C97,acm[[Country code]:[Country code]],0),MATCH(AM$1,acm[#Headers],0)),0)</f>
        <v>6.8645362056300981E-3</v>
      </c>
      <c r="AN97" s="33">
        <f>IFERROR(INDEX(acm[],MATCH($C97,acm[[Country code]:[Country code]],0),MATCH(AN$1,acm[#Headers],0)),0)</f>
        <v>9.99024337893069E-3</v>
      </c>
      <c r="AO97" s="33">
        <f>IFERROR(INDEX(acm[],MATCH($C97,acm[[Country code]:[Country code]],0),MATCH(AO$1,acm[#Headers],0)),0)</f>
        <v>1.4667525481532696E-2</v>
      </c>
      <c r="AP97" s="33">
        <f>IFERROR(INDEX(acm[],MATCH($C97,acm[[Country code]:[Country code]],0),MATCH(AP$1,acm[#Headers],0)),0)</f>
        <v>2.42748708132936E-2</v>
      </c>
      <c r="AQ97" s="33">
        <f>IFERROR(INDEX(acm[],MATCH($C97,acm[[Country code]:[Country code]],0),MATCH(AQ$1,acm[#Headers],0)),0)</f>
        <v>3.9886843246269926E-2</v>
      </c>
      <c r="AR97" s="33">
        <f>IFERROR(INDEX(acm[],MATCH($C97,acm[[Country code]:[Country code]],0),MATCH(AR$1,acm[#Headers],0)),0)</f>
        <v>6.1973035660190877E-2</v>
      </c>
      <c r="AS97" s="33">
        <f>IFERROR(INDEX(acm[],MATCH($C97,acm[[Country code]:[Country code]],0),MATCH(AS$1,acm[#Headers],0)),0)</f>
        <v>8.9624425079758457E-2</v>
      </c>
      <c r="AT97" s="33">
        <f>IFERROR(INDEX(acm[],MATCH($C97,acm[[Country code]:[Country code]],0),MATCH(AT$1,acm[#Headers],0)),0)</f>
        <v>0.12175499341576297</v>
      </c>
      <c r="AU97" s="33">
        <f>IFERROR(INDEX(acm[],MATCH($C97,acm[[Country code]:[Country code]],0),MATCH(AU$1,acm[#Headers],0)),0)</f>
        <v>0.15312804646691991</v>
      </c>
      <c r="AV97" s="33">
        <f>IFERROR(INDEX(acm[],MATCH($C97,acm[[Country code]:[Country code]],0),MATCH(AV$1,acm[#Headers],0)),0)</f>
        <v>0.17494144093367678</v>
      </c>
      <c r="AW97" s="33">
        <f>IFERROR(INDEX(acm[],MATCH($C97,acm[[Country code]:[Country code]],0),MATCH(AW$1,acm[#Headers],0)),0)</f>
        <v>0.18642112453012549</v>
      </c>
      <c r="AX97" s="33">
        <f>IFERROR(VLOOKUP(lmic_raw[[#This Row],[num]],life_exp[[Country code]:[2015-2020]],2,FALSE),0)</f>
        <v>64.150999999999996</v>
      </c>
    </row>
    <row r="98" spans="1:50" x14ac:dyDescent="0.25">
      <c r="A98" s="109" t="s">
        <v>271</v>
      </c>
      <c r="B98" s="101" t="s">
        <v>492</v>
      </c>
      <c r="C98" s="102">
        <v>600</v>
      </c>
      <c r="D98" s="82" t="s">
        <v>679</v>
      </c>
      <c r="E98" s="82" t="s">
        <v>595</v>
      </c>
      <c r="F98" s="82" t="s">
        <v>665</v>
      </c>
      <c r="G98" s="82" t="s">
        <v>676</v>
      </c>
      <c r="H98" s="33">
        <f>VLOOKUP(lmic_raw[[#This Row],[num]],pop[[Country code]:[pop_20]],2,FALSE)*1000</f>
        <v>7044639</v>
      </c>
      <c r="I98" s="117">
        <f>IFERROR(VLOOKUP(lmic_raw[[#This Row],[num]],pop[[Country code]:[pop_20]],2,FALSE)*VLOOKUP(lmic_raw[[#This Row],[num]],b_rate[[Country code]:[2015-2020]],2,FALSE),0)</f>
        <v>145936.74152400001</v>
      </c>
      <c r="J98">
        <f>IFERROR(MIN(VLOOKUP(lmic_raw[[#This Row],[iso3]],fac_b[],4,FALSE)/100,0.9999),0)</f>
        <v>0.93200000000000005</v>
      </c>
      <c r="K98" s="33">
        <f>VLOOKUP(lmic_raw[[#This Row],[iso3]],vax[[iso3]:[hbv3]],2,FALSE)/100</f>
        <v>0</v>
      </c>
      <c r="L98" s="33">
        <f>VLOOKUP(lmic_raw[[#This Row],[iso3]],vax[[iso3]:[hbv3]],3,FALSE)/100</f>
        <v>0.86</v>
      </c>
      <c r="M98">
        <f>IFERROR(VLOOKUP(lmic_raw[[#This Row],[iso3]], hbv_prev[[iso3]:[ub]],2,FALSE)/100,0)</f>
        <v>1.7500000000000002E-2</v>
      </c>
      <c r="N98">
        <f>IFERROR(VLOOKUP(lmic_raw[[#This Row],[setting]],hbe_prev[],3,FALSE),0)</f>
        <v>0.30916794199950548</v>
      </c>
      <c r="O98">
        <f>VLOOKUP(lmic_raw[[#This Row],[gbd_super]],hbe_risk[],2,FALSE)</f>
        <v>0.8</v>
      </c>
      <c r="P98" s="33">
        <f>VLOOKUP(lmic_raw[[#This Row],[gbd_super]],hbe_risk[],5,FALSE)</f>
        <v>0.17499999999999999</v>
      </c>
      <c r="Q98">
        <f>IFERROR(VLOOKUP(lmic_raw[[#This Row],[setting]],disease_costs!$A$4:$B$197,2,FALSE),0)</f>
        <v>6.5394436311451507</v>
      </c>
      <c r="R98">
        <f>IFERROR(VLOOKUP(lmic_raw[[#This Row],[gbd_super]],disease_costs!$G$4:$K$9,2,FALSE),0)</f>
        <v>86.883899999999997</v>
      </c>
      <c r="S98" s="33">
        <f>IFERROR(VLOOKUP(lmic_raw[[#This Row],[gbd_super]],disease_costs!$G$4:$K$9,3,FALSE),0)</f>
        <v>134.6259</v>
      </c>
      <c r="T98" s="33">
        <f>IFERROR(VLOOKUP(lmic_raw[[#This Row],[gbd_super]],disease_costs!$G$4:$K$9,4,FALSE),0)</f>
        <v>134.6259</v>
      </c>
      <c r="U98" s="33">
        <f>IFERROR(VLOOKUP(lmic_raw[[#This Row],[gbd_super]],disease_costs!$G$4:$K$9,5,FALSE),0)</f>
        <v>134.6259</v>
      </c>
      <c r="V98">
        <f>IFERROR(VLOOKUP(lmic_raw[[#This Row],[setting]],vcost[],3,FALSE),0)</f>
        <v>4.508946170856527</v>
      </c>
      <c r="W98">
        <f>IFERROR(VLOOKUP(lmic_raw[[#This Row],[setting]],vcost[],4,FALSE),0)</f>
        <v>4.5289461708565266</v>
      </c>
      <c r="X98">
        <f>IFERROR(VLOOKUP(lmic_raw[[#This Row],[setting]],vcost[],5,FALSE),0)</f>
        <v>4.0735980009679826</v>
      </c>
      <c r="Y98">
        <f>IFERROR(VLOOKUP(lmic_raw[[#This Row],[setting]],vcost[],6,FALSE),0)</f>
        <v>4.0935980009679822</v>
      </c>
      <c r="Z98">
        <f>IFERROR(VLOOKUP(lmic_raw[[#This Row],[setting]],vcost[],7,FALSE),0)</f>
        <v>4.086455897451045</v>
      </c>
      <c r="AA98">
        <f>IFERROR(VLOOKUP(lmic_raw[[#This Row],[setting]],vcost[],8,FALSE),0)</f>
        <v>4.7541000404698623</v>
      </c>
      <c r="AB98">
        <f>IFERROR(VLOOKUP(lmic_raw[[#This Row],[setting]],vcost[],9,FALSE),0)</f>
        <v>4.7741000404698619</v>
      </c>
      <c r="AC98" s="33">
        <f>IFERROR(INDEX(acm[],MATCH($C98,acm[[Country code]:[Country code]],0),MATCH(AC$1,acm[#Headers],0)),0)</f>
        <v>1.9024909999999947E-2</v>
      </c>
      <c r="AD98" s="33">
        <f>IFERROR(INDEX(acm[],MATCH($C98,acm[[Country code]:[Country code]],0),MATCH(AD$1,acm[#Headers],0)),0)</f>
        <v>6.278472371811307E-4</v>
      </c>
      <c r="AE98" s="33">
        <f>IFERROR(INDEX(acm[],MATCH($C98,acm[[Country code]:[Country code]],0),MATCH(AE$1,acm[#Headers],0)),0)</f>
        <v>5.5158882755264598E-4</v>
      </c>
      <c r="AF98" s="33">
        <f>IFERROR(INDEX(acm[],MATCH($C98,acm[[Country code]:[Country code]],0),MATCH(AF$1,acm[#Headers],0)),0)</f>
        <v>4.4901030197594676E-4</v>
      </c>
      <c r="AG98" s="33">
        <f>IFERROR(INDEX(acm[],MATCH($C98,acm[[Country code]:[Country code]],0),MATCH(AG$1,acm[#Headers],0)),0)</f>
        <v>1.0518106076171873E-3</v>
      </c>
      <c r="AH98" s="33">
        <f>IFERROR(INDEX(acm[],MATCH($C98,acm[[Country code]:[Country code]],0),MATCH(AH$1,acm[#Headers],0)),0)</f>
        <v>1.5998030442320856E-3</v>
      </c>
      <c r="AI98" s="33">
        <f>IFERROR(INDEX(acm[],MATCH($C98,acm[[Country code]:[Country code]],0),MATCH(AI$1,acm[#Headers],0)),0)</f>
        <v>1.9494092279500465E-3</v>
      </c>
      <c r="AJ98" s="33">
        <f>IFERROR(INDEX(acm[],MATCH($C98,acm[[Country code]:[Country code]],0),MATCH(AJ$1,acm[#Headers],0)),0)</f>
        <v>1.9855513743289219E-3</v>
      </c>
      <c r="AK98" s="33">
        <f>IFERROR(INDEX(acm[],MATCH($C98,acm[[Country code]:[Country code]],0),MATCH(AK$1,acm[#Headers],0)),0)</f>
        <v>2.3511564587472703E-3</v>
      </c>
      <c r="AL98" s="33">
        <f>IFERROR(INDEX(acm[],MATCH($C98,acm[[Country code]:[Country code]],0),MATCH(AL$1,acm[#Headers],0)),0)</f>
        <v>2.8780787796453219E-3</v>
      </c>
      <c r="AM98" s="33">
        <f>IFERROR(INDEX(acm[],MATCH($C98,acm[[Country code]:[Country code]],0),MATCH(AM$1,acm[#Headers],0)),0)</f>
        <v>4.2017750305114133E-3</v>
      </c>
      <c r="AN98" s="33">
        <f>IFERROR(INDEX(acm[],MATCH($C98,acm[[Country code]:[Country code]],0),MATCH(AN$1,acm[#Headers],0)),0)</f>
        <v>6.0993079365806143E-3</v>
      </c>
      <c r="AO98" s="33">
        <f>IFERROR(INDEX(acm[],MATCH($C98,acm[[Country code]:[Country code]],0),MATCH(AO$1,acm[#Headers],0)),0)</f>
        <v>8.5341548530337569E-3</v>
      </c>
      <c r="AP98" s="33">
        <f>IFERROR(INDEX(acm[],MATCH($C98,acm[[Country code]:[Country code]],0),MATCH(AP$1,acm[#Headers],0)),0)</f>
        <v>1.3219074302824709E-2</v>
      </c>
      <c r="AQ98" s="33">
        <f>IFERROR(INDEX(acm[],MATCH($C98,acm[[Country code]:[Country code]],0),MATCH(AQ$1,acm[#Headers],0)),0)</f>
        <v>1.9267994677544E-2</v>
      </c>
      <c r="AR98" s="33">
        <f>IFERROR(INDEX(acm[],MATCH($C98,acm[[Country code]:[Country code]],0),MATCH(AR$1,acm[#Headers],0)),0)</f>
        <v>2.770434970007523E-2</v>
      </c>
      <c r="AS98" s="33">
        <f>IFERROR(INDEX(acm[],MATCH($C98,acm[[Country code]:[Country code]],0),MATCH(AS$1,acm[#Headers],0)),0)</f>
        <v>3.8953956844954209E-2</v>
      </c>
      <c r="AT98" s="33">
        <f>IFERROR(INDEX(acm[],MATCH($C98,acm[[Country code]:[Country code]],0),MATCH(AT$1,acm[#Headers],0)),0)</f>
        <v>6.9897340351625897E-2</v>
      </c>
      <c r="AU98" s="33">
        <f>IFERROR(INDEX(acm[],MATCH($C98,acm[[Country code]:[Country code]],0),MATCH(AU$1,acm[#Headers],0)),0)</f>
        <v>9.9908909951128749E-2</v>
      </c>
      <c r="AV98" s="33">
        <f>IFERROR(INDEX(acm[],MATCH($C98,acm[[Country code]:[Country code]],0),MATCH(AV$1,acm[#Headers],0)),0)</f>
        <v>0.12902920587158662</v>
      </c>
      <c r="AW98" s="33">
        <f>IFERROR(INDEX(acm[],MATCH($C98,acm[[Country code]:[Country code]],0),MATCH(AW$1,acm[#Headers],0)),0)</f>
        <v>0.15310330880431902</v>
      </c>
      <c r="AX98" s="33">
        <f>IFERROR(VLOOKUP(lmic_raw[[#This Row],[num]],life_exp[[Country code]:[2015-2020]],2,FALSE),0)</f>
        <v>74.081999999999994</v>
      </c>
    </row>
    <row r="99" spans="1:50" x14ac:dyDescent="0.25">
      <c r="A99" s="110" t="s">
        <v>272</v>
      </c>
      <c r="B99" s="104" t="s">
        <v>493</v>
      </c>
      <c r="C99" s="105">
        <v>604</v>
      </c>
      <c r="D99" s="84" t="s">
        <v>679</v>
      </c>
      <c r="E99" s="84" t="s">
        <v>593</v>
      </c>
      <c r="F99" s="84" t="s">
        <v>665</v>
      </c>
      <c r="G99" s="84" t="s">
        <v>676</v>
      </c>
      <c r="H99" s="33">
        <f>VLOOKUP(lmic_raw[[#This Row],[num]],pop[[Country code]:[pop_20]],2,FALSE)*1000</f>
        <v>32510462</v>
      </c>
      <c r="I99" s="117">
        <f>IFERROR(VLOOKUP(lmic_raw[[#This Row],[num]],pop[[Country code]:[pop_20]],2,FALSE)*VLOOKUP(lmic_raw[[#This Row],[num]],b_rate[[Country code]:[2015-2020]],2,FALSE),0)</f>
        <v>588374.3412759999</v>
      </c>
      <c r="J99">
        <f>IFERROR(MIN(VLOOKUP(lmic_raw[[#This Row],[iso3]],fac_b[],4,FALSE)/100,0.9999),0)</f>
        <v>0.91</v>
      </c>
      <c r="K99" s="33">
        <f>VLOOKUP(lmic_raw[[#This Row],[iso3]],vax[[iso3]:[hbv3]],2,FALSE)/100</f>
        <v>0.82</v>
      </c>
      <c r="L99" s="33">
        <f>VLOOKUP(lmic_raw[[#This Row],[iso3]],vax[[iso3]:[hbv3]],3,FALSE)/100</f>
        <v>0.88</v>
      </c>
      <c r="M99">
        <f>IFERROR(VLOOKUP(lmic_raw[[#This Row],[iso3]], hbv_prev[[iso3]:[ub]],2,FALSE)/100,0)</f>
        <v>1.5100000000000001E-2</v>
      </c>
      <c r="N99">
        <f>IFERROR(VLOOKUP(lmic_raw[[#This Row],[setting]],hbe_prev[],3,FALSE),0)</f>
        <v>0.29833830716733062</v>
      </c>
      <c r="O99">
        <f>VLOOKUP(lmic_raw[[#This Row],[gbd_super]],hbe_risk[],2,FALSE)</f>
        <v>0.8</v>
      </c>
      <c r="P99" s="33">
        <f>VLOOKUP(lmic_raw[[#This Row],[gbd_super]],hbe_risk[],5,FALSE)</f>
        <v>0.17499999999999999</v>
      </c>
      <c r="Q99">
        <f>IFERROR(VLOOKUP(lmic_raw[[#This Row],[setting]],disease_costs!$A$4:$B$197,2,FALSE),0)</f>
        <v>10.040813427672488</v>
      </c>
      <c r="R99">
        <f>IFERROR(VLOOKUP(lmic_raw[[#This Row],[gbd_super]],disease_costs!$G$4:$K$9,2,FALSE),0)</f>
        <v>86.883899999999997</v>
      </c>
      <c r="S99" s="33">
        <f>IFERROR(VLOOKUP(lmic_raw[[#This Row],[gbd_super]],disease_costs!$G$4:$K$9,3,FALSE),0)</f>
        <v>134.6259</v>
      </c>
      <c r="T99" s="33">
        <f>IFERROR(VLOOKUP(lmic_raw[[#This Row],[gbd_super]],disease_costs!$G$4:$K$9,4,FALSE),0)</f>
        <v>134.6259</v>
      </c>
      <c r="U99" s="33">
        <f>IFERROR(VLOOKUP(lmic_raw[[#This Row],[gbd_super]],disease_costs!$G$4:$K$9,5,FALSE),0)</f>
        <v>134.6259</v>
      </c>
      <c r="V99">
        <f>IFERROR(VLOOKUP(lmic_raw[[#This Row],[setting]],vcost[],3,FALSE),0)</f>
        <v>3.2094407931038518</v>
      </c>
      <c r="W99">
        <f>IFERROR(VLOOKUP(lmic_raw[[#This Row],[setting]],vcost[],4,FALSE),0)</f>
        <v>3.2294407931038518</v>
      </c>
      <c r="X99">
        <f>IFERROR(VLOOKUP(lmic_raw[[#This Row],[setting]],vcost[],5,FALSE),0)</f>
        <v>2.7695300459729006</v>
      </c>
      <c r="Y99">
        <f>IFERROR(VLOOKUP(lmic_raw[[#This Row],[setting]],vcost[],6,FALSE),0)</f>
        <v>2.7895300459729007</v>
      </c>
      <c r="Z99">
        <f>IFERROR(VLOOKUP(lmic_raw[[#This Row],[setting]],vcost[],7,FALSE),0)</f>
        <v>2.7807388324601101</v>
      </c>
      <c r="AA99">
        <f>IFERROR(VLOOKUP(lmic_raw[[#This Row],[setting]],vcost[],8,FALSE),0)</f>
        <v>3.4562393126534046</v>
      </c>
      <c r="AB99">
        <f>IFERROR(VLOOKUP(lmic_raw[[#This Row],[setting]],vcost[],9,FALSE),0)</f>
        <v>3.4762393126534046</v>
      </c>
      <c r="AC99" s="33">
        <f>IFERROR(INDEX(acm[],MATCH($C99,acm[[Country code]:[Country code]],0),MATCH(AC$1,acm[#Headers],0)),0)</f>
        <v>1.2787390000000015E-2</v>
      </c>
      <c r="AD99" s="33">
        <f>IFERROR(INDEX(acm[],MATCH($C99,acm[[Country code]:[Country code]],0),MATCH(AD$1,acm[#Headers],0)),0)</f>
        <v>8.7522433490795247E-4</v>
      </c>
      <c r="AE99" s="33">
        <f>IFERROR(INDEX(acm[],MATCH($C99,acm[[Country code]:[Country code]],0),MATCH(AE$1,acm[#Headers],0)),0)</f>
        <v>4.9495175879300042E-4</v>
      </c>
      <c r="AF99" s="33">
        <f>IFERROR(INDEX(acm[],MATCH($C99,acm[[Country code]:[Country code]],0),MATCH(AF$1,acm[#Headers],0)),0)</f>
        <v>3.3588977610933221E-4</v>
      </c>
      <c r="AG99" s="33">
        <f>IFERROR(INDEX(acm[],MATCH($C99,acm[[Country code]:[Country code]],0),MATCH(AG$1,acm[#Headers],0)),0)</f>
        <v>7.9450728213790762E-4</v>
      </c>
      <c r="AH99" s="33">
        <f>IFERROR(INDEX(acm[],MATCH($C99,acm[[Country code]:[Country code]],0),MATCH(AH$1,acm[#Headers],0)),0)</f>
        <v>1.1802881596356459E-3</v>
      </c>
      <c r="AI99" s="33">
        <f>IFERROR(INDEX(acm[],MATCH($C99,acm[[Country code]:[Country code]],0),MATCH(AI$1,acm[#Headers],0)),0)</f>
        <v>1.5314102741404792E-3</v>
      </c>
      <c r="AJ99" s="33">
        <f>IFERROR(INDEX(acm[],MATCH($C99,acm[[Country code]:[Country code]],0),MATCH(AJ$1,acm[#Headers],0)),0)</f>
        <v>1.6834351931294556E-3</v>
      </c>
      <c r="AK99" s="33">
        <f>IFERROR(INDEX(acm[],MATCH($C99,acm[[Country code]:[Country code]],0),MATCH(AK$1,acm[#Headers],0)),0)</f>
        <v>2.0130924493192257E-3</v>
      </c>
      <c r="AL99" s="33">
        <f>IFERROR(INDEX(acm[],MATCH($C99,acm[[Country code]:[Country code]],0),MATCH(AL$1,acm[#Headers],0)),0)</f>
        <v>2.5656252273752395E-3</v>
      </c>
      <c r="AM99" s="33">
        <f>IFERROR(INDEX(acm[],MATCH($C99,acm[[Country code]:[Country code]],0),MATCH(AM$1,acm[#Headers],0)),0)</f>
        <v>3.422439258637406E-3</v>
      </c>
      <c r="AN99" s="33">
        <f>IFERROR(INDEX(acm[],MATCH($C99,acm[[Country code]:[Country code]],0),MATCH(AN$1,acm[#Headers],0)),0)</f>
        <v>4.7595238704757313E-3</v>
      </c>
      <c r="AO99" s="33">
        <f>IFERROR(INDEX(acm[],MATCH($C99,acm[[Country code]:[Country code]],0),MATCH(AO$1,acm[#Headers],0)),0)</f>
        <v>6.7924367911430502E-3</v>
      </c>
      <c r="AP99" s="33">
        <f>IFERROR(INDEX(acm[],MATCH($C99,acm[[Country code]:[Country code]],0),MATCH(AP$1,acm[#Headers],0)),0)</f>
        <v>1.0242694670813113E-2</v>
      </c>
      <c r="AQ99" s="33">
        <f>IFERROR(INDEX(acm[],MATCH($C99,acm[[Country code]:[Country code]],0),MATCH(AQ$1,acm[#Headers],0)),0)</f>
        <v>1.5274182462903733E-2</v>
      </c>
      <c r="AR99" s="33">
        <f>IFERROR(INDEX(acm[],MATCH($C99,acm[[Country code]:[Country code]],0),MATCH(AR$1,acm[#Headers],0)),0)</f>
        <v>2.5769485758631069E-2</v>
      </c>
      <c r="AS99" s="33">
        <f>IFERROR(INDEX(acm[],MATCH($C99,acm[[Country code]:[Country code]],0),MATCH(AS$1,acm[#Headers],0)),0)</f>
        <v>3.9878393519136877E-2</v>
      </c>
      <c r="AT99" s="33">
        <f>IFERROR(INDEX(acm[],MATCH($C99,acm[[Country code]:[Country code]],0),MATCH(AT$1,acm[#Headers],0)),0)</f>
        <v>6.2565796568882795E-2</v>
      </c>
      <c r="AU99" s="33">
        <f>IFERROR(INDEX(acm[],MATCH($C99,acm[[Country code]:[Country code]],0),MATCH(AU$1,acm[#Headers],0)),0)</f>
        <v>9.315916672397026E-2</v>
      </c>
      <c r="AV99" s="33">
        <f>IFERROR(INDEX(acm[],MATCH($C99,acm[[Country code]:[Country code]],0),MATCH(AV$1,acm[#Headers],0)),0)</f>
        <v>0.12365207423575721</v>
      </c>
      <c r="AW99" s="33">
        <f>IFERROR(INDEX(acm[],MATCH($C99,acm[[Country code]:[Country code]],0),MATCH(AW$1,acm[#Headers],0)),0)</f>
        <v>0.14992852678644919</v>
      </c>
      <c r="AX99" s="33">
        <f>IFERROR(VLOOKUP(lmic_raw[[#This Row],[num]],life_exp[[Country code]:[2015-2020]],2,FALSE),0)</f>
        <v>76.409000000000006</v>
      </c>
    </row>
    <row r="100" spans="1:50" x14ac:dyDescent="0.25">
      <c r="A100" s="109" t="s">
        <v>654</v>
      </c>
      <c r="B100" s="101" t="s">
        <v>494</v>
      </c>
      <c r="C100" s="102">
        <v>608</v>
      </c>
      <c r="D100" s="82" t="s">
        <v>681</v>
      </c>
      <c r="E100" s="82" t="s">
        <v>598</v>
      </c>
      <c r="F100" s="82" t="s">
        <v>666</v>
      </c>
      <c r="G100" s="82" t="s">
        <v>678</v>
      </c>
      <c r="H100" s="33">
        <f>VLOOKUP(lmic_raw[[#This Row],[num]],pop[[Country code]:[pop_20]],2,FALSE)*1000</f>
        <v>108116622</v>
      </c>
      <c r="I100" s="117">
        <f>IFERROR(VLOOKUP(lmic_raw[[#This Row],[num]],pop[[Country code]:[pop_20]],2,FALSE)*VLOOKUP(lmic_raw[[#This Row],[num]],b_rate[[Country code]:[2015-2020]],2,FALSE),0)</f>
        <v>2224607.6142720003</v>
      </c>
      <c r="J100">
        <f>IFERROR(MIN(VLOOKUP(lmic_raw[[#This Row],[iso3]],fac_b[],4,FALSE)/100,0.9999),0)</f>
        <v>0.77700000000000002</v>
      </c>
      <c r="K100" s="33">
        <f>VLOOKUP(lmic_raw[[#This Row],[iso3]],vax[[iso3]:[hbv3]],2,FALSE)/100</f>
        <v>0.5</v>
      </c>
      <c r="L100" s="33">
        <f>VLOOKUP(lmic_raw[[#This Row],[iso3]],vax[[iso3]:[hbv3]],3,FALSE)/100</f>
        <v>0.65</v>
      </c>
      <c r="M100">
        <f>IFERROR(VLOOKUP(lmic_raw[[#This Row],[iso3]], hbv_prev[[iso3]:[ub]],2,FALSE)/100,0)</f>
        <v>3.6400000000000002E-2</v>
      </c>
      <c r="N100">
        <f>IFERROR(VLOOKUP(lmic_raw[[#This Row],[setting]],hbe_prev[],3,FALSE),0)</f>
        <v>0.3337</v>
      </c>
      <c r="O100">
        <f>VLOOKUP(lmic_raw[[#This Row],[gbd_super]],hbe_risk[],2,FALSE)</f>
        <v>0.8</v>
      </c>
      <c r="P100" s="33">
        <f>VLOOKUP(lmic_raw[[#This Row],[gbd_super]],hbe_risk[],5,FALSE)</f>
        <v>0.17499999999999999</v>
      </c>
      <c r="Q100">
        <f>IFERROR(VLOOKUP(lmic_raw[[#This Row],[setting]],disease_costs!$A$4:$B$197,2,FALSE),0)</f>
        <v>4.6760027563831441</v>
      </c>
      <c r="R100">
        <f>IFERROR(VLOOKUP(lmic_raw[[#This Row],[gbd_super]],disease_costs!$G$4:$K$9,2,FALSE),0)</f>
        <v>73.084500000000006</v>
      </c>
      <c r="S100" s="33">
        <f>IFERROR(VLOOKUP(lmic_raw[[#This Row],[gbd_super]],disease_costs!$G$4:$K$9,3,FALSE),0)</f>
        <v>120.8265</v>
      </c>
      <c r="T100" s="33">
        <f>IFERROR(VLOOKUP(lmic_raw[[#This Row],[gbd_super]],disease_costs!$G$4:$K$9,4,FALSE),0)</f>
        <v>120.8265</v>
      </c>
      <c r="U100" s="33">
        <f>IFERROR(VLOOKUP(lmic_raw[[#This Row],[gbd_super]],disease_costs!$G$4:$K$9,5,FALSE),0)</f>
        <v>120.8265</v>
      </c>
      <c r="V100">
        <f>IFERROR(VLOOKUP(lmic_raw[[#This Row],[setting]],vcost[],3,FALSE),0)</f>
        <v>1.4441675209954445</v>
      </c>
      <c r="W100">
        <f>IFERROR(VLOOKUP(lmic_raw[[#This Row],[setting]],vcost[],4,FALSE),0)</f>
        <v>2.0741675209954447</v>
      </c>
      <c r="X100">
        <f>IFERROR(VLOOKUP(lmic_raw[[#This Row],[setting]],vcost[],5,FALSE),0)</f>
        <v>1.0063660417738949</v>
      </c>
      <c r="Y100">
        <f>IFERROR(VLOOKUP(lmic_raw[[#This Row],[setting]],vcost[],6,FALSE),0)</f>
        <v>1.6363660417738948</v>
      </c>
      <c r="Z100">
        <f>IFERROR(VLOOKUP(lmic_raw[[#This Row],[setting]],vcost[],7,FALSE),0)</f>
        <v>1.6286098666887132</v>
      </c>
      <c r="AA100">
        <f>IFERROR(VLOOKUP(lmic_raw[[#This Row],[setting]],vcost[],8,FALSE),0)</f>
        <v>1.6902057230427712</v>
      </c>
      <c r="AB100">
        <f>IFERROR(VLOOKUP(lmic_raw[[#This Row],[setting]],vcost[],9,FALSE),0)</f>
        <v>2.3202057230427711</v>
      </c>
      <c r="AC100" s="33">
        <f>IFERROR(INDEX(acm[],MATCH($C100,acm[[Country code]:[Country code]],0),MATCH(AC$1,acm[#Headers],0)),0)</f>
        <v>1.9655559999999968E-2</v>
      </c>
      <c r="AD100" s="33">
        <f>IFERROR(INDEX(acm[],MATCH($C100,acm[[Country code]:[Country code]],0),MATCH(AD$1,acm[#Headers],0)),0)</f>
        <v>2.0443376003642061E-3</v>
      </c>
      <c r="AE100" s="33">
        <f>IFERROR(INDEX(acm[],MATCH($C100,acm[[Country code]:[Country code]],0),MATCH(AE$1,acm[#Headers],0)),0)</f>
        <v>6.1298667768243517E-4</v>
      </c>
      <c r="AF100" s="33">
        <f>IFERROR(INDEX(acm[],MATCH($C100,acm[[Country code]:[Country code]],0),MATCH(AF$1,acm[#Headers],0)),0)</f>
        <v>5.320691429917348E-4</v>
      </c>
      <c r="AG100" s="33">
        <f>IFERROR(INDEX(acm[],MATCH($C100,acm[[Country code]:[Country code]],0),MATCH(AG$1,acm[#Headers],0)),0)</f>
        <v>1.1381458381625571E-3</v>
      </c>
      <c r="AH100" s="33">
        <f>IFERROR(INDEX(acm[],MATCH($C100,acm[[Country code]:[Country code]],0),MATCH(AH$1,acm[#Headers],0)),0)</f>
        <v>1.5920150741009446E-3</v>
      </c>
      <c r="AI100" s="33">
        <f>IFERROR(INDEX(acm[],MATCH($C100,acm[[Country code]:[Country code]],0),MATCH(AI$1,acm[#Headers],0)),0)</f>
        <v>1.7398898876981228E-3</v>
      </c>
      <c r="AJ100" s="33">
        <f>IFERROR(INDEX(acm[],MATCH($C100,acm[[Country code]:[Country code]],0),MATCH(AJ$1,acm[#Headers],0)),0)</f>
        <v>2.0763306089954213E-3</v>
      </c>
      <c r="AK100" s="33">
        <f>IFERROR(INDEX(acm[],MATCH($C100,acm[[Country code]:[Country code]],0),MATCH(AK$1,acm[#Headers],0)),0)</f>
        <v>2.7556563770900324E-3</v>
      </c>
      <c r="AL100" s="33">
        <f>IFERROR(INDEX(acm[],MATCH($C100,acm[[Country code]:[Country code]],0),MATCH(AL$1,acm[#Headers],0)),0)</f>
        <v>3.8685630787111411E-3</v>
      </c>
      <c r="AM100" s="33">
        <f>IFERROR(INDEX(acm[],MATCH($C100,acm[[Country code]:[Country code]],0),MATCH(AM$1,acm[#Headers],0)),0)</f>
        <v>5.7316624437884853E-3</v>
      </c>
      <c r="AN100" s="33">
        <f>IFERROR(INDEX(acm[],MATCH($C100,acm[[Country code]:[Country code]],0),MATCH(AN$1,acm[#Headers],0)),0)</f>
        <v>8.5754099849576666E-3</v>
      </c>
      <c r="AO100" s="33">
        <f>IFERROR(INDEX(acm[],MATCH($C100,acm[[Country code]:[Country code]],0),MATCH(AO$1,acm[#Headers],0)),0)</f>
        <v>1.2794705988173357E-2</v>
      </c>
      <c r="AP100" s="33">
        <f>IFERROR(INDEX(acm[],MATCH($C100,acm[[Country code]:[Country code]],0),MATCH(AP$1,acm[#Headers],0)),0)</f>
        <v>1.7438643523268835E-2</v>
      </c>
      <c r="AQ100" s="33">
        <f>IFERROR(INDEX(acm[],MATCH($C100,acm[[Country code]:[Country code]],0),MATCH(AQ$1,acm[#Headers],0)),0)</f>
        <v>2.3532339127382024E-2</v>
      </c>
      <c r="AR100" s="33">
        <f>IFERROR(INDEX(acm[],MATCH($C100,acm[[Country code]:[Country code]],0),MATCH(AR$1,acm[#Headers],0)),0)</f>
        <v>3.3756875691732344E-2</v>
      </c>
      <c r="AS100" s="33">
        <f>IFERROR(INDEX(acm[],MATCH($C100,acm[[Country code]:[Country code]],0),MATCH(AS$1,acm[#Headers],0)),0)</f>
        <v>5.1734961024254754E-2</v>
      </c>
      <c r="AT100" s="33">
        <f>IFERROR(INDEX(acm[],MATCH($C100,acm[[Country code]:[Country code]],0),MATCH(AT$1,acm[#Headers],0)),0)</f>
        <v>7.5994633645582468E-2</v>
      </c>
      <c r="AU100" s="33">
        <f>IFERROR(INDEX(acm[],MATCH($C100,acm[[Country code]:[Country code]],0),MATCH(AU$1,acm[#Headers],0)),0)</f>
        <v>0.10475854851534883</v>
      </c>
      <c r="AV100" s="33">
        <f>IFERROR(INDEX(acm[],MATCH($C100,acm[[Country code]:[Country code]],0),MATCH(AV$1,acm[#Headers],0)),0)</f>
        <v>0.13224402180451308</v>
      </c>
      <c r="AW100" s="33">
        <f>IFERROR(INDEX(acm[],MATCH($C100,acm[[Country code]:[Country code]],0),MATCH(AW$1,acm[#Headers],0)),0)</f>
        <v>0.15679146956316309</v>
      </c>
      <c r="AX100" s="33">
        <f>IFERROR(VLOOKUP(lmic_raw[[#This Row],[num]],life_exp[[Country code]:[2015-2020]],2,FALSE),0)</f>
        <v>71.034999999999997</v>
      </c>
    </row>
    <row r="101" spans="1:50" x14ac:dyDescent="0.25">
      <c r="A101" s="110" t="s">
        <v>313</v>
      </c>
      <c r="B101" s="104" t="s">
        <v>500</v>
      </c>
      <c r="C101" s="105">
        <v>642</v>
      </c>
      <c r="D101" s="84" t="s">
        <v>675</v>
      </c>
      <c r="E101" s="84" t="s">
        <v>580</v>
      </c>
      <c r="F101" s="84" t="s">
        <v>663</v>
      </c>
      <c r="G101" s="84" t="s">
        <v>676</v>
      </c>
      <c r="H101" s="33">
        <f>VLOOKUP(lmic_raw[[#This Row],[num]],pop[[Country code]:[pop_20]],2,FALSE)*1000</f>
        <v>19364558</v>
      </c>
      <c r="I101" s="117">
        <f>IFERROR(VLOOKUP(lmic_raw[[#This Row],[num]],pop[[Country code]:[pop_20]],2,FALSE)*VLOOKUP(lmic_raw[[#This Row],[num]],b_rate[[Country code]:[2015-2020]],2,FALSE),0)</f>
        <v>189462.83547200004</v>
      </c>
      <c r="J101">
        <f>IFERROR(MIN(VLOOKUP(lmic_raw[[#This Row],[iso3]],fac_b[],4,FALSE)/100,0.9999),0)</f>
        <v>0.94900000000000007</v>
      </c>
      <c r="K101" s="33">
        <f>VLOOKUP(lmic_raw[[#This Row],[iso3]],vax[[iso3]:[hbv3]],2,FALSE)/100</f>
        <v>0.99</v>
      </c>
      <c r="L101" s="33">
        <f>VLOOKUP(lmic_raw[[#This Row],[iso3]],vax[[iso3]:[hbv3]],3,FALSE)/100</f>
        <v>0.9</v>
      </c>
      <c r="M101">
        <f>IFERROR(VLOOKUP(lmic_raw[[#This Row],[iso3]], hbv_prev[[iso3]:[ub]],2,FALSE)/100,0)</f>
        <v>4.7899999999999998E-2</v>
      </c>
      <c r="N101">
        <f>IFERROR(VLOOKUP(lmic_raw[[#This Row],[setting]],hbe_prev[],3,FALSE),0)</f>
        <v>0.29652203627996709</v>
      </c>
      <c r="O101">
        <f>VLOOKUP(lmic_raw[[#This Row],[gbd_super]],hbe_risk[],2,FALSE)</f>
        <v>0.8</v>
      </c>
      <c r="P101" s="33">
        <f>VLOOKUP(lmic_raw[[#This Row],[gbd_super]],hbe_risk[],5,FALSE)</f>
        <v>0.17499999999999999</v>
      </c>
      <c r="Q101">
        <f>IFERROR(VLOOKUP(lmic_raw[[#This Row],[setting]],disease_costs!$A$4:$B$197,2,FALSE),0)</f>
        <v>13.470968923253505</v>
      </c>
      <c r="R101">
        <f>IFERROR(VLOOKUP(lmic_raw[[#This Row],[gbd_super]],disease_costs!$G$4:$K$9,2,FALSE),0)</f>
        <v>44.537400000000005</v>
      </c>
      <c r="S101" s="33">
        <f>IFERROR(VLOOKUP(lmic_raw[[#This Row],[gbd_super]],disease_costs!$G$4:$K$9,3,FALSE),0)</f>
        <v>92.27940000000001</v>
      </c>
      <c r="T101" s="33">
        <f>IFERROR(VLOOKUP(lmic_raw[[#This Row],[gbd_super]],disease_costs!$G$4:$K$9,4,FALSE),0)</f>
        <v>92.27940000000001</v>
      </c>
      <c r="U101" s="33">
        <f>IFERROR(VLOOKUP(lmic_raw[[#This Row],[gbd_super]],disease_costs!$G$4:$K$9,5,FALSE),0)</f>
        <v>92.27940000000001</v>
      </c>
      <c r="V101">
        <f>IFERROR(VLOOKUP(lmic_raw[[#This Row],[setting]],vcost[],3,FALSE),0)</f>
        <v>4.3870239011754144</v>
      </c>
      <c r="W101">
        <f>IFERROR(VLOOKUP(lmic_raw[[#This Row],[setting]],vcost[],4,FALSE),0)</f>
        <v>8.4570239011754147</v>
      </c>
      <c r="X101">
        <f>IFERROR(VLOOKUP(lmic_raw[[#This Row],[setting]],vcost[],5,FALSE),0)</f>
        <v>3.9289134793891893</v>
      </c>
      <c r="Y101">
        <f>IFERROR(VLOOKUP(lmic_raw[[#This Row],[setting]],vcost[],6,FALSE),0)</f>
        <v>7.9989134793891896</v>
      </c>
      <c r="Z101">
        <f>IFERROR(VLOOKUP(lmic_raw[[#This Row],[setting]],vcost[],7,FALSE),0)</f>
        <v>7.983098295198241</v>
      </c>
      <c r="AA101">
        <f>IFERROR(VLOOKUP(lmic_raw[[#This Row],[setting]],vcost[],8,FALSE),0)</f>
        <v>4.6403827685658214</v>
      </c>
      <c r="AB101">
        <f>IFERROR(VLOOKUP(lmic_raw[[#This Row],[setting]],vcost[],9,FALSE),0)</f>
        <v>8.7103827685658217</v>
      </c>
      <c r="AC101" s="33">
        <f>IFERROR(INDEX(acm[],MATCH($C101,acm[[Country code]:[Country code]],0),MATCH(AC$1,acm[#Headers],0)),0)</f>
        <v>6.6842399999999906E-3</v>
      </c>
      <c r="AD101" s="33">
        <f>IFERROR(INDEX(acm[],MATCH($C101,acm[[Country code]:[Country code]],0),MATCH(AD$1,acm[#Headers],0)),0)</f>
        <v>3.0318405498771953E-4</v>
      </c>
      <c r="AE101" s="33">
        <f>IFERROR(INDEX(acm[],MATCH($C101,acm[[Country code]:[Country code]],0),MATCH(AE$1,acm[#Headers],0)),0)</f>
        <v>1.425041970852647E-4</v>
      </c>
      <c r="AF101" s="33">
        <f>IFERROR(INDEX(acm[],MATCH($C101,acm[[Country code]:[Country code]],0),MATCH(AF$1,acm[#Headers],0)),0)</f>
        <v>1.9484080676153404E-4</v>
      </c>
      <c r="AG101" s="33">
        <f>IFERROR(INDEX(acm[],MATCH($C101,acm[[Country code]:[Country code]],0),MATCH(AG$1,acm[#Headers],0)),0)</f>
        <v>3.6115118315283815E-4</v>
      </c>
      <c r="AH101" s="33">
        <f>IFERROR(INDEX(acm[],MATCH($C101,acm[[Country code]:[Country code]],0),MATCH(AH$1,acm[#Headers],0)),0)</f>
        <v>4.6925407599540003E-4</v>
      </c>
      <c r="AI101" s="33">
        <f>IFERROR(INDEX(acm[],MATCH($C101,acm[[Country code]:[Country code]],0),MATCH(AI$1,acm[#Headers],0)),0)</f>
        <v>6.5122811246581824E-4</v>
      </c>
      <c r="AJ101" s="33">
        <f>IFERROR(INDEX(acm[],MATCH($C101,acm[[Country code]:[Country code]],0),MATCH(AJ$1,acm[#Headers],0)),0)</f>
        <v>7.452833973323812E-4</v>
      </c>
      <c r="AK101" s="33">
        <f>IFERROR(INDEX(acm[],MATCH($C101,acm[[Country code]:[Country code]],0),MATCH(AK$1,acm[#Headers],0)),0)</f>
        <v>1.2024848958624565E-3</v>
      </c>
      <c r="AL101" s="33">
        <f>IFERROR(INDEX(acm[],MATCH($C101,acm[[Country code]:[Country code]],0),MATCH(AL$1,acm[#Headers],0)),0)</f>
        <v>2.244420495152142E-3</v>
      </c>
      <c r="AM101" s="33">
        <f>IFERROR(INDEX(acm[],MATCH($C101,acm[[Country code]:[Country code]],0),MATCH(AM$1,acm[#Headers],0)),0)</f>
        <v>3.5371117722346442E-3</v>
      </c>
      <c r="AN101" s="33">
        <f>IFERROR(INDEX(acm[],MATCH($C101,acm[[Country code]:[Country code]],0),MATCH(AN$1,acm[#Headers],0)),0)</f>
        <v>6.3403521554464513E-3</v>
      </c>
      <c r="AO101" s="33">
        <f>IFERROR(INDEX(acm[],MATCH($C101,acm[[Country code]:[Country code]],0),MATCH(AO$1,acm[#Headers],0)),0)</f>
        <v>1.0636469267600703E-2</v>
      </c>
      <c r="AP101" s="33">
        <f>IFERROR(INDEX(acm[],MATCH($C101,acm[[Country code]:[Country code]],0),MATCH(AP$1,acm[#Headers],0)),0)</f>
        <v>1.5360327551154048E-2</v>
      </c>
      <c r="AQ101" s="33">
        <f>IFERROR(INDEX(acm[],MATCH($C101,acm[[Country code]:[Country code]],0),MATCH(AQ$1,acm[#Headers],0)),0)</f>
        <v>1.9967948167314984E-2</v>
      </c>
      <c r="AR101" s="33">
        <f>IFERROR(INDEX(acm[],MATCH($C101,acm[[Country code]:[Country code]],0),MATCH(AR$1,acm[#Headers],0)),0)</f>
        <v>2.892221027925896E-2</v>
      </c>
      <c r="AS101" s="33">
        <f>IFERROR(INDEX(acm[],MATCH($C101,acm[[Country code]:[Country code]],0),MATCH(AS$1,acm[#Headers],0)),0)</f>
        <v>4.6247457209238875E-2</v>
      </c>
      <c r="AT101" s="33">
        <f>IFERROR(INDEX(acm[],MATCH($C101,acm[[Country code]:[Country code]],0),MATCH(AT$1,acm[#Headers],0)),0)</f>
        <v>7.3521818180244697E-2</v>
      </c>
      <c r="AU101" s="33">
        <f>IFERROR(INDEX(acm[],MATCH($C101,acm[[Country code]:[Country code]],0),MATCH(AU$1,acm[#Headers],0)),0)</f>
        <v>0.10865451213048771</v>
      </c>
      <c r="AV101" s="33">
        <f>IFERROR(INDEX(acm[],MATCH($C101,acm[[Country code]:[Country code]],0),MATCH(AV$1,acm[#Headers],0)),0)</f>
        <v>0.1428225858078819</v>
      </c>
      <c r="AW101" s="33">
        <f>IFERROR(INDEX(acm[],MATCH($C101,acm[[Country code]:[Country code]],0),MATCH(AW$1,acm[#Headers],0)),0)</f>
        <v>0.16836792437782133</v>
      </c>
      <c r="AX101" s="33">
        <f>IFERROR(VLOOKUP(lmic_raw[[#This Row],[num]],life_exp[[Country code]:[2015-2020]],2,FALSE),0)</f>
        <v>75.826999999999998</v>
      </c>
    </row>
    <row r="102" spans="1:50" x14ac:dyDescent="0.25">
      <c r="A102" s="109" t="s">
        <v>641</v>
      </c>
      <c r="B102" s="101" t="s">
        <v>501</v>
      </c>
      <c r="C102" s="102">
        <v>643</v>
      </c>
      <c r="D102" s="82" t="s">
        <v>675</v>
      </c>
      <c r="E102" s="82" t="s">
        <v>306</v>
      </c>
      <c r="F102" s="82" t="s">
        <v>663</v>
      </c>
      <c r="G102" s="82" t="s">
        <v>676</v>
      </c>
      <c r="H102" s="33">
        <f>VLOOKUP(lmic_raw[[#This Row],[num]],pop[[Country code]:[pop_20]],2,FALSE)*1000</f>
        <v>145872260</v>
      </c>
      <c r="I102" s="117">
        <f>IFERROR(VLOOKUP(lmic_raw[[#This Row],[num]],pop[[Country code]:[pop_20]],2,FALSE)*VLOOKUP(lmic_raw[[#This Row],[num]],b_rate[[Country code]:[2015-2020]],2,FALSE),0)</f>
        <v>1862788.7602000001</v>
      </c>
      <c r="J102">
        <f>IFERROR(MIN(VLOOKUP(lmic_raw[[#This Row],[iso3]],fac_b[],4,FALSE)/100,0.9999),0)</f>
        <v>0.98699999999999999</v>
      </c>
      <c r="K102" s="33">
        <f>VLOOKUP(lmic_raw[[#This Row],[iso3]],vax[[iso3]:[hbv3]],2,FALSE)/100</f>
        <v>0</v>
      </c>
      <c r="L102" s="33">
        <f>VLOOKUP(lmic_raw[[#This Row],[iso3]],vax[[iso3]:[hbv3]],3,FALSE)/100</f>
        <v>0.97</v>
      </c>
      <c r="M102">
        <f>IFERROR(VLOOKUP(lmic_raw[[#This Row],[iso3]], hbv_prev[[iso3]:[ub]],2,FALSE)/100,0)</f>
        <v>2.8500000000000001E-2</v>
      </c>
      <c r="N102">
        <f>IFERROR(VLOOKUP(lmic_raw[[#This Row],[setting]],hbe_prev[],3,FALSE),0)</f>
        <v>0.28539878311890399</v>
      </c>
      <c r="O102">
        <f>VLOOKUP(lmic_raw[[#This Row],[gbd_super]],hbe_risk[],2,FALSE)</f>
        <v>0.8</v>
      </c>
      <c r="P102" s="33">
        <f>VLOOKUP(lmic_raw[[#This Row],[gbd_super]],hbe_risk[],5,FALSE)</f>
        <v>0.17499999999999999</v>
      </c>
      <c r="Q102">
        <f>IFERROR(VLOOKUP(lmic_raw[[#This Row],[setting]],disease_costs!$A$4:$B$197,2,FALSE),0)</f>
        <v>17.767565080348064</v>
      </c>
      <c r="R102">
        <f>IFERROR(VLOOKUP(lmic_raw[[#This Row],[gbd_super]],disease_costs!$G$4:$K$9,2,FALSE),0)</f>
        <v>44.537400000000005</v>
      </c>
      <c r="S102" s="33">
        <f>IFERROR(VLOOKUP(lmic_raw[[#This Row],[gbd_super]],disease_costs!$G$4:$K$9,3,FALSE),0)</f>
        <v>92.27940000000001</v>
      </c>
      <c r="T102" s="33">
        <f>IFERROR(VLOOKUP(lmic_raw[[#This Row],[gbd_super]],disease_costs!$G$4:$K$9,4,FALSE),0)</f>
        <v>92.27940000000001</v>
      </c>
      <c r="U102" s="33">
        <f>IFERROR(VLOOKUP(lmic_raw[[#This Row],[gbd_super]],disease_costs!$G$4:$K$9,5,FALSE),0)</f>
        <v>92.27940000000001</v>
      </c>
      <c r="V102">
        <f>IFERROR(VLOOKUP(lmic_raw[[#This Row],[setting]],vcost[],3,FALSE),0)</f>
        <v>4.1116582995694033</v>
      </c>
      <c r="W102">
        <f>IFERROR(VLOOKUP(lmic_raw[[#This Row],[setting]],vcost[],4,FALSE),0)</f>
        <v>8.1816582995694027</v>
      </c>
      <c r="X102">
        <f>IFERROR(VLOOKUP(lmic_raw[[#This Row],[setting]],vcost[],5,FALSE),0)</f>
        <v>3.6575641848085914</v>
      </c>
      <c r="Y102">
        <f>IFERROR(VLOOKUP(lmic_raw[[#This Row],[setting]],vcost[],6,FALSE),0)</f>
        <v>7.7275641848085916</v>
      </c>
      <c r="Z102">
        <f>IFERROR(VLOOKUP(lmic_raw[[#This Row],[setting]],vcost[],7,FALSE),0)</f>
        <v>7.7132635423426219</v>
      </c>
      <c r="AA102">
        <f>IFERROR(VLOOKUP(lmic_raw[[#This Row],[setting]],vcost[],8,FALSE),0)</f>
        <v>4.3635694283808819</v>
      </c>
      <c r="AB102">
        <f>IFERROR(VLOOKUP(lmic_raw[[#This Row],[setting]],vcost[],9,FALSE),0)</f>
        <v>8.4335694283808813</v>
      </c>
      <c r="AC102" s="33">
        <f>IFERROR(INDEX(acm[],MATCH($C102,acm[[Country code]:[Country code]],0),MATCH(AC$1,acm[#Headers],0)),0)</f>
        <v>5.7585300000000282E-3</v>
      </c>
      <c r="AD102" s="33">
        <f>IFERROR(INDEX(acm[],MATCH($C102,acm[[Country code]:[Country code]],0),MATCH(AD$1,acm[#Headers],0)),0)</f>
        <v>3.4070948579522677E-4</v>
      </c>
      <c r="AE102" s="33">
        <f>IFERROR(INDEX(acm[],MATCH($C102,acm[[Country code]:[Country code]],0),MATCH(AE$1,acm[#Headers],0)),0)</f>
        <v>1.9714841922312582E-4</v>
      </c>
      <c r="AF102" s="33">
        <f>IFERROR(INDEX(acm[],MATCH($C102,acm[[Country code]:[Country code]],0),MATCH(AF$1,acm[#Headers],0)),0)</f>
        <v>2.5998183802878542E-4</v>
      </c>
      <c r="AG102" s="33">
        <f>IFERROR(INDEX(acm[],MATCH($C102,acm[[Country code]:[Country code]],0),MATCH(AG$1,acm[#Headers],0)),0)</f>
        <v>6.2632596472367275E-4</v>
      </c>
      <c r="AH102" s="33">
        <f>IFERROR(INDEX(acm[],MATCH($C102,acm[[Country code]:[Country code]],0),MATCH(AH$1,acm[#Headers],0)),0)</f>
        <v>1.1106532732919165E-3</v>
      </c>
      <c r="AI102" s="33">
        <f>IFERROR(INDEX(acm[],MATCH($C102,acm[[Country code]:[Country code]],0),MATCH(AI$1,acm[#Headers],0)),0)</f>
        <v>1.7836849479177434E-3</v>
      </c>
      <c r="AJ102" s="33">
        <f>IFERROR(INDEX(acm[],MATCH($C102,acm[[Country code]:[Country code]],0),MATCH(AJ$1,acm[#Headers],0)),0)</f>
        <v>2.9934016833225176E-3</v>
      </c>
      <c r="AK102" s="33">
        <f>IFERROR(INDEX(acm[],MATCH($C102,acm[[Country code]:[Country code]],0),MATCH(AK$1,acm[#Headers],0)),0)</f>
        <v>4.3898125745385399E-3</v>
      </c>
      <c r="AL102" s="33">
        <f>IFERROR(INDEX(acm[],MATCH($C102,acm[[Country code]:[Country code]],0),MATCH(AL$1,acm[#Headers],0)),0)</f>
        <v>5.2677703075963362E-3</v>
      </c>
      <c r="AM102" s="33">
        <f>IFERROR(INDEX(acm[],MATCH($C102,acm[[Country code]:[Country code]],0),MATCH(AM$1,acm[#Headers],0)),0)</f>
        <v>6.4730403752590159E-3</v>
      </c>
      <c r="AN102" s="33">
        <f>IFERROR(INDEX(acm[],MATCH($C102,acm[[Country code]:[Country code]],0),MATCH(AN$1,acm[#Headers],0)),0)</f>
        <v>8.8325844058803841E-3</v>
      </c>
      <c r="AO102" s="33">
        <f>IFERROR(INDEX(acm[],MATCH($C102,acm[[Country code]:[Country code]],0),MATCH(AO$1,acm[#Headers],0)),0)</f>
        <v>1.233125297976251E-2</v>
      </c>
      <c r="AP102" s="33">
        <f>IFERROR(INDEX(acm[],MATCH($C102,acm[[Country code]:[Country code]],0),MATCH(AP$1,acm[#Headers],0)),0)</f>
        <v>1.7735855405113039E-2</v>
      </c>
      <c r="AQ102" s="33">
        <f>IFERROR(INDEX(acm[],MATCH($C102,acm[[Country code]:[Country code]],0),MATCH(AQ$1,acm[#Headers],0)),0)</f>
        <v>2.3978999371009283E-2</v>
      </c>
      <c r="AR102" s="33">
        <f>IFERROR(INDEX(acm[],MATCH($C102,acm[[Country code]:[Country code]],0),MATCH(AR$1,acm[#Headers],0)),0)</f>
        <v>3.3078415956344559E-2</v>
      </c>
      <c r="AS102" s="33">
        <f>IFERROR(INDEX(acm[],MATCH($C102,acm[[Country code]:[Country code]],0),MATCH(AS$1,acm[#Headers],0)),0)</f>
        <v>4.968099062017043E-2</v>
      </c>
      <c r="AT102" s="33">
        <f>IFERROR(INDEX(acm[],MATCH($C102,acm[[Country code]:[Country code]],0),MATCH(AT$1,acm[#Headers],0)),0)</f>
        <v>7.4722581691289675E-2</v>
      </c>
      <c r="AU102" s="33">
        <f>IFERROR(INDEX(acm[],MATCH($C102,acm[[Country code]:[Country code]],0),MATCH(AU$1,acm[#Headers],0)),0)</f>
        <v>0.10067078718006313</v>
      </c>
      <c r="AV102" s="33">
        <f>IFERROR(INDEX(acm[],MATCH($C102,acm[[Country code]:[Country code]],0),MATCH(AV$1,acm[#Headers],0)),0)</f>
        <v>0.13171700181276355</v>
      </c>
      <c r="AW102" s="33">
        <f>IFERROR(INDEX(acm[],MATCH($C102,acm[[Country code]:[Country code]],0),MATCH(AW$1,acm[#Headers],0)),0)</f>
        <v>0.15851054982588345</v>
      </c>
      <c r="AX102" s="33">
        <f>IFERROR(VLOOKUP(lmic_raw[[#This Row],[num]],life_exp[[Country code]:[2015-2020]],2,FALSE),0)</f>
        <v>72.289000000000001</v>
      </c>
    </row>
    <row r="103" spans="1:50" x14ac:dyDescent="0.25">
      <c r="A103" s="110" t="s">
        <v>113</v>
      </c>
      <c r="B103" s="104" t="s">
        <v>502</v>
      </c>
      <c r="C103" s="105">
        <v>646</v>
      </c>
      <c r="D103" s="84" t="s">
        <v>677</v>
      </c>
      <c r="E103" s="84" t="s">
        <v>597</v>
      </c>
      <c r="F103" s="84" t="s">
        <v>667</v>
      </c>
      <c r="G103" s="84" t="s">
        <v>674</v>
      </c>
      <c r="H103" s="33">
        <f>VLOOKUP(lmic_raw[[#This Row],[num]],pop[[Country code]:[pop_20]],2,FALSE)*1000</f>
        <v>12626938</v>
      </c>
      <c r="I103" s="117">
        <f>IFERROR(VLOOKUP(lmic_raw[[#This Row],[num]],pop[[Country code]:[pop_20]],2,FALSE)*VLOOKUP(lmic_raw[[#This Row],[num]],b_rate[[Country code]:[2015-2020]],2,FALSE),0)</f>
        <v>405248.948172</v>
      </c>
      <c r="J103">
        <f>IFERROR(MIN(VLOOKUP(lmic_raw[[#This Row],[iso3]],fac_b[],4,FALSE)/100,0.9999),0)</f>
        <v>0.90700000000000003</v>
      </c>
      <c r="K103" s="33">
        <f>VLOOKUP(lmic_raw[[#This Row],[iso3]],vax[[iso3]:[hbv3]],2,FALSE)/100</f>
        <v>0</v>
      </c>
      <c r="L103" s="33">
        <f>VLOOKUP(lmic_raw[[#This Row],[iso3]],vax[[iso3]:[hbv3]],3,FALSE)/100</f>
        <v>0.98</v>
      </c>
      <c r="M103">
        <f>IFERROR(VLOOKUP(lmic_raw[[#This Row],[iso3]], hbv_prev[[iso3]:[ub]],2,FALSE)/100,0)</f>
        <v>4.5199999999999997E-2</v>
      </c>
      <c r="N103">
        <f>IFERROR(VLOOKUP(lmic_raw[[#This Row],[setting]],hbe_prev[],3,FALSE),0)</f>
        <v>0.27387499123711445</v>
      </c>
      <c r="O103">
        <f>VLOOKUP(lmic_raw[[#This Row],[gbd_super]],hbe_risk[],2,FALSE)</f>
        <v>0.38300000000000001</v>
      </c>
      <c r="P103" s="33">
        <f>VLOOKUP(lmic_raw[[#This Row],[gbd_super]],hbe_risk[],5,FALSE)</f>
        <v>4.8000000000000001E-2</v>
      </c>
      <c r="Q103">
        <f>IFERROR(VLOOKUP(lmic_raw[[#This Row],[setting]],disease_costs!$A$4:$B$197,2,FALSE),0)</f>
        <v>2.8837761825674564</v>
      </c>
      <c r="R103">
        <f>IFERROR(VLOOKUP(lmic_raw[[#This Row],[gbd_super]],disease_costs!$G$4:$K$9,2,FALSE),0)</f>
        <v>29.920500000000001</v>
      </c>
      <c r="S103" s="33">
        <f>IFERROR(VLOOKUP(lmic_raw[[#This Row],[gbd_super]],disease_costs!$G$4:$K$9,3,FALSE),0)</f>
        <v>77.662500000000009</v>
      </c>
      <c r="T103" s="33">
        <f>IFERROR(VLOOKUP(lmic_raw[[#This Row],[gbd_super]],disease_costs!$G$4:$K$9,4,FALSE),0)</f>
        <v>77.662500000000009</v>
      </c>
      <c r="U103" s="33">
        <f>IFERROR(VLOOKUP(lmic_raw[[#This Row],[gbd_super]],disease_costs!$G$4:$K$9,5,FALSE),0)</f>
        <v>77.662500000000009</v>
      </c>
      <c r="V103">
        <f>IFERROR(VLOOKUP(lmic_raw[[#This Row],[setting]],vcost[],3,FALSE),0)</f>
        <v>3.2638319578744377</v>
      </c>
      <c r="W103">
        <f>IFERROR(VLOOKUP(lmic_raw[[#This Row],[setting]],vcost[],4,FALSE),0)</f>
        <v>8.0938319578744373</v>
      </c>
      <c r="X103">
        <f>IFERROR(VLOOKUP(lmic_raw[[#This Row],[setting]],vcost[],5,FALSE),0)</f>
        <v>2.8387900985813239</v>
      </c>
      <c r="Y103">
        <f>IFERROR(VLOOKUP(lmic_raw[[#This Row],[setting]],vcost[],6,FALSE),0)</f>
        <v>7.668790098581324</v>
      </c>
      <c r="Z103">
        <f>IFERROR(VLOOKUP(lmic_raw[[#This Row],[setting]],vcost[],7,FALSE),0)</f>
        <v>7.6660585045980598</v>
      </c>
      <c r="AA103">
        <f>IFERROR(VLOOKUP(lmic_raw[[#This Row],[setting]],vcost[],8,FALSE),0)</f>
        <v>3.5052707620405843</v>
      </c>
      <c r="AB103">
        <f>IFERROR(VLOOKUP(lmic_raw[[#This Row],[setting]],vcost[],9,FALSE),0)</f>
        <v>8.3352707620405848</v>
      </c>
      <c r="AC103" s="33">
        <f>IFERROR(INDEX(acm[],MATCH($C103,acm[[Country code]:[Country code]],0),MATCH(AC$1,acm[#Headers],0)),0)</f>
        <v>2.9194640000000074E-2</v>
      </c>
      <c r="AD103" s="33">
        <f>IFERROR(INDEX(acm[],MATCH($C103,acm[[Country code]:[Country code]],0),MATCH(AD$1,acm[#Headers],0)),0)</f>
        <v>2.372331875052668E-3</v>
      </c>
      <c r="AE103" s="33">
        <f>IFERROR(INDEX(acm[],MATCH($C103,acm[[Country code]:[Country code]],0),MATCH(AE$1,acm[#Headers],0)),0)</f>
        <v>9.4840741728722004E-4</v>
      </c>
      <c r="AF103" s="33">
        <f>IFERROR(INDEX(acm[],MATCH($C103,acm[[Country code]:[Country code]],0),MATCH(AF$1,acm[#Headers],0)),0)</f>
        <v>7.3420026532832936E-4</v>
      </c>
      <c r="AG103" s="33">
        <f>IFERROR(INDEX(acm[],MATCH($C103,acm[[Country code]:[Country code]],0),MATCH(AG$1,acm[#Headers],0)),0)</f>
        <v>1.2829936877352555E-3</v>
      </c>
      <c r="AH103" s="33">
        <f>IFERROR(INDEX(acm[],MATCH($C103,acm[[Country code]:[Country code]],0),MATCH(AH$1,acm[#Headers],0)),0)</f>
        <v>1.9313447668826878E-3</v>
      </c>
      <c r="AI103" s="33">
        <f>IFERROR(INDEX(acm[],MATCH($C103,acm[[Country code]:[Country code]],0),MATCH(AI$1,acm[#Headers],0)),0)</f>
        <v>2.3316237896617836E-3</v>
      </c>
      <c r="AJ103" s="33">
        <f>IFERROR(INDEX(acm[],MATCH($C103,acm[[Country code]:[Country code]],0),MATCH(AJ$1,acm[#Headers],0)),0)</f>
        <v>2.8054859400679106E-3</v>
      </c>
      <c r="AK103" s="33">
        <f>IFERROR(INDEX(acm[],MATCH($C103,acm[[Country code]:[Country code]],0),MATCH(AK$1,acm[#Headers],0)),0)</f>
        <v>3.5180393340914426E-3</v>
      </c>
      <c r="AL103" s="33">
        <f>IFERROR(INDEX(acm[],MATCH($C103,acm[[Country code]:[Country code]],0),MATCH(AL$1,acm[#Headers],0)),0)</f>
        <v>4.5168423672066116E-3</v>
      </c>
      <c r="AM103" s="33">
        <f>IFERROR(INDEX(acm[],MATCH($C103,acm[[Country code]:[Country code]],0),MATCH(AM$1,acm[#Headers],0)),0)</f>
        <v>5.8228290131631779E-3</v>
      </c>
      <c r="AN103" s="33">
        <f>IFERROR(INDEX(acm[],MATCH($C103,acm[[Country code]:[Country code]],0),MATCH(AN$1,acm[#Headers],0)),0)</f>
        <v>8.4163911525236435E-3</v>
      </c>
      <c r="AO103" s="33">
        <f>IFERROR(INDEX(acm[],MATCH($C103,acm[[Country code]:[Country code]],0),MATCH(AO$1,acm[#Headers],0)),0)</f>
        <v>1.1338638347218911E-2</v>
      </c>
      <c r="AP103" s="33">
        <f>IFERROR(INDEX(acm[],MATCH($C103,acm[[Country code]:[Country code]],0),MATCH(AP$1,acm[#Headers],0)),0)</f>
        <v>1.6950235219521562E-2</v>
      </c>
      <c r="AQ103" s="33">
        <f>IFERROR(INDEX(acm[],MATCH($C103,acm[[Country code]:[Country code]],0),MATCH(AQ$1,acm[#Headers],0)),0)</f>
        <v>2.6078831522361286E-2</v>
      </c>
      <c r="AR103" s="33">
        <f>IFERROR(INDEX(acm[],MATCH($C103,acm[[Country code]:[Country code]],0),MATCH(AR$1,acm[#Headers],0)),0)</f>
        <v>4.0339279421102249E-2</v>
      </c>
      <c r="AS103" s="33">
        <f>IFERROR(INDEX(acm[],MATCH($C103,acm[[Country code]:[Country code]],0),MATCH(AS$1,acm[#Headers],0)),0)</f>
        <v>6.2420072920420594E-2</v>
      </c>
      <c r="AT103" s="33">
        <f>IFERROR(INDEX(acm[],MATCH($C103,acm[[Country code]:[Country code]],0),MATCH(AT$1,acm[#Headers],0)),0)</f>
        <v>9.5041719036765657E-2</v>
      </c>
      <c r="AU103" s="33">
        <f>IFERROR(INDEX(acm[],MATCH($C103,acm[[Country code]:[Country code]],0),MATCH(AU$1,acm[#Headers],0)),0)</f>
        <v>0.13453710787544573</v>
      </c>
      <c r="AV103" s="33">
        <f>IFERROR(INDEX(acm[],MATCH($C103,acm[[Country code]:[Country code]],0),MATCH(AV$1,acm[#Headers],0)),0)</f>
        <v>0.17174648395894626</v>
      </c>
      <c r="AW103" s="33">
        <f>IFERROR(INDEX(acm[],MATCH($C103,acm[[Country code]:[Country code]],0),MATCH(AW$1,acm[#Headers],0)),0)</f>
        <v>0.18710533626254214</v>
      </c>
      <c r="AX103" s="33">
        <f>IFERROR(VLOOKUP(lmic_raw[[#This Row],[num]],life_exp[[Country code]:[2015-2020]],2,FALSE),0)</f>
        <v>68.438000000000002</v>
      </c>
    </row>
    <row r="104" spans="1:50" x14ac:dyDescent="0.25">
      <c r="A104" s="109" t="s">
        <v>245</v>
      </c>
      <c r="B104" s="101" t="s">
        <v>503</v>
      </c>
      <c r="C104" s="102">
        <v>662</v>
      </c>
      <c r="D104" s="82" t="s">
        <v>679</v>
      </c>
      <c r="E104" s="82" t="s">
        <v>223</v>
      </c>
      <c r="F104" s="82" t="s">
        <v>665</v>
      </c>
      <c r="G104" s="82" t="s">
        <v>676</v>
      </c>
      <c r="H104" s="33">
        <f>VLOOKUP(lmic_raw[[#This Row],[num]],pop[[Country code]:[pop_20]],2,FALSE)*1000</f>
        <v>182795</v>
      </c>
      <c r="I104" s="117">
        <f>IFERROR(VLOOKUP(lmic_raw[[#This Row],[num]],pop[[Country code]:[pop_20]],2,FALSE)*VLOOKUP(lmic_raw[[#This Row],[num]],b_rate[[Country code]:[2015-2020]],2,FALSE),0)</f>
        <v>2212.9162699999997</v>
      </c>
      <c r="J104">
        <f>IFERROR(MIN(VLOOKUP(lmic_raw[[#This Row],[iso3]],fac_b[],4,FALSE)/100,0.9999),0)</f>
        <v>0.99990000000000001</v>
      </c>
      <c r="K104" s="33">
        <f>VLOOKUP(lmic_raw[[#This Row],[iso3]],vax[[iso3]:[hbv3]],2,FALSE)/100</f>
        <v>0.85</v>
      </c>
      <c r="L104" s="33">
        <f>VLOOKUP(lmic_raw[[#This Row],[iso3]],vax[[iso3]:[hbv3]],3,FALSE)/100</f>
        <v>0.92</v>
      </c>
      <c r="M104">
        <f>IFERROR(VLOOKUP(lmic_raw[[#This Row],[iso3]], hbv_prev[[iso3]:[ub]],2,FALSE)/100,0)</f>
        <v>1.2500000000000001E-2</v>
      </c>
      <c r="N104">
        <f>IFERROR(VLOOKUP(lmic_raw[[#This Row],[setting]],hbe_prev[],3,FALSE),0)</f>
        <v>0.30422186902267961</v>
      </c>
      <c r="O104">
        <f>VLOOKUP(lmic_raw[[#This Row],[gbd_super]],hbe_risk[],2,FALSE)</f>
        <v>0.8</v>
      </c>
      <c r="P104" s="33">
        <f>VLOOKUP(lmic_raw[[#This Row],[gbd_super]],hbe_risk[],5,FALSE)</f>
        <v>0.17499999999999999</v>
      </c>
      <c r="Q104">
        <f>IFERROR(VLOOKUP(lmic_raw[[#This Row],[setting]],disease_costs!$A$4:$B$197,2,FALSE),0)</f>
        <v>14.135635732085813</v>
      </c>
      <c r="R104">
        <f>IFERROR(VLOOKUP(lmic_raw[[#This Row],[gbd_super]],disease_costs!$G$4:$K$9,2,FALSE),0)</f>
        <v>86.883899999999997</v>
      </c>
      <c r="S104" s="33">
        <f>IFERROR(VLOOKUP(lmic_raw[[#This Row],[gbd_super]],disease_costs!$G$4:$K$9,3,FALSE),0)</f>
        <v>134.6259</v>
      </c>
      <c r="T104" s="33">
        <f>IFERROR(VLOOKUP(lmic_raw[[#This Row],[gbd_super]],disease_costs!$G$4:$K$9,4,FALSE),0)</f>
        <v>134.6259</v>
      </c>
      <c r="U104" s="33">
        <f>IFERROR(VLOOKUP(lmic_raw[[#This Row],[gbd_super]],disease_costs!$G$4:$K$9,5,FALSE),0)</f>
        <v>134.6259</v>
      </c>
      <c r="V104">
        <f>IFERROR(VLOOKUP(lmic_raw[[#This Row],[setting]],vcost[],3,FALSE),0)</f>
        <v>14.131737809085214</v>
      </c>
      <c r="W104">
        <f>IFERROR(VLOOKUP(lmic_raw[[#This Row],[setting]],vcost[],4,FALSE),0)</f>
        <v>14.151737809085214</v>
      </c>
      <c r="X104">
        <f>IFERROR(VLOOKUP(lmic_raw[[#This Row],[setting]],vcost[],5,FALSE),0)</f>
        <v>13.678610127544404</v>
      </c>
      <c r="Y104">
        <f>IFERROR(VLOOKUP(lmic_raw[[#This Row],[setting]],vcost[],6,FALSE),0)</f>
        <v>13.698610127544404</v>
      </c>
      <c r="Z104">
        <f>IFERROR(VLOOKUP(lmic_raw[[#This Row],[setting]],vcost[],7,FALSE),0)</f>
        <v>13.685203824787081</v>
      </c>
      <c r="AA104">
        <f>IFERROR(VLOOKUP(lmic_raw[[#This Row],[setting]],vcost[],8,FALSE),0)</f>
        <v>14.383300572433669</v>
      </c>
      <c r="AB104">
        <f>IFERROR(VLOOKUP(lmic_raw[[#This Row],[setting]],vcost[],9,FALSE),0)</f>
        <v>14.403300572433668</v>
      </c>
      <c r="AC104" s="33">
        <f>IFERROR(INDEX(acm[],MATCH($C104,acm[[Country code]:[Country code]],0),MATCH(AC$1,acm[#Headers],0)),0)</f>
        <v>1.2490420000000012E-2</v>
      </c>
      <c r="AD104" s="33">
        <f>IFERROR(INDEX(acm[],MATCH($C104,acm[[Country code]:[Country code]],0),MATCH(AD$1,acm[#Headers],0)),0)</f>
        <v>9.2312775335302464E-4</v>
      </c>
      <c r="AE104" s="33">
        <f>IFERROR(INDEX(acm[],MATCH($C104,acm[[Country code]:[Country code]],0),MATCH(AE$1,acm[#Headers],0)),0)</f>
        <v>3.3742292970631696E-4</v>
      </c>
      <c r="AF104" s="33">
        <f>IFERROR(INDEX(acm[],MATCH($C104,acm[[Country code]:[Country code]],0),MATCH(AF$1,acm[#Headers],0)),0)</f>
        <v>3.1346870856574597E-4</v>
      </c>
      <c r="AG104" s="33">
        <f>IFERROR(INDEX(acm[],MATCH($C104,acm[[Country code]:[Country code]],0),MATCH(AG$1,acm[#Headers],0)),0)</f>
        <v>7.4059424133965563E-4</v>
      </c>
      <c r="AH104" s="33">
        <f>IFERROR(INDEX(acm[],MATCH($C104,acm[[Country code]:[Country code]],0),MATCH(AH$1,acm[#Headers],0)),0)</f>
        <v>1.0104761307423585E-3</v>
      </c>
      <c r="AI104" s="33">
        <f>IFERROR(INDEX(acm[],MATCH($C104,acm[[Country code]:[Country code]],0),MATCH(AI$1,acm[#Headers],0)),0)</f>
        <v>1.0727766082889746E-3</v>
      </c>
      <c r="AJ104" s="33">
        <f>IFERROR(INDEX(acm[],MATCH($C104,acm[[Country code]:[Country code]],0),MATCH(AJ$1,acm[#Headers],0)),0)</f>
        <v>1.2882669138309208E-3</v>
      </c>
      <c r="AK104" s="33">
        <f>IFERROR(INDEX(acm[],MATCH($C104,acm[[Country code]:[Country code]],0),MATCH(AK$1,acm[#Headers],0)),0)</f>
        <v>1.7721116466167417E-3</v>
      </c>
      <c r="AL104" s="33">
        <f>IFERROR(INDEX(acm[],MATCH($C104,acm[[Country code]:[Country code]],0),MATCH(AL$1,acm[#Headers],0)),0)</f>
        <v>2.6183216643979705E-3</v>
      </c>
      <c r="AM104" s="33">
        <f>IFERROR(INDEX(acm[],MATCH($C104,acm[[Country code]:[Country code]],0),MATCH(AM$1,acm[#Headers],0)),0)</f>
        <v>4.0960461176379557E-3</v>
      </c>
      <c r="AN104" s="33">
        <f>IFERROR(INDEX(acm[],MATCH($C104,acm[[Country code]:[Country code]],0),MATCH(AN$1,acm[#Headers],0)),0)</f>
        <v>6.43236570231818E-3</v>
      </c>
      <c r="AO104" s="33">
        <f>IFERROR(INDEX(acm[],MATCH($C104,acm[[Country code]:[Country code]],0),MATCH(AO$1,acm[#Headers],0)),0)</f>
        <v>9.9748084184115276E-3</v>
      </c>
      <c r="AP104" s="33">
        <f>IFERROR(INDEX(acm[],MATCH($C104,acm[[Country code]:[Country code]],0),MATCH(AP$1,acm[#Headers],0)),0)</f>
        <v>1.2586773384993059E-2</v>
      </c>
      <c r="AQ104" s="33">
        <f>IFERROR(INDEX(acm[],MATCH($C104,acm[[Country code]:[Country code]],0),MATCH(AQ$1,acm[#Headers],0)),0)</f>
        <v>1.6071267253651128E-2</v>
      </c>
      <c r="AR104" s="33">
        <f>IFERROR(INDEX(acm[],MATCH($C104,acm[[Country code]:[Country code]],0),MATCH(AR$1,acm[#Headers],0)),0)</f>
        <v>2.3499034000018664E-2</v>
      </c>
      <c r="AS104" s="33">
        <f>IFERROR(INDEX(acm[],MATCH($C104,acm[[Country code]:[Country code]],0),MATCH(AS$1,acm[#Headers],0)),0)</f>
        <v>3.9290589182046941E-2</v>
      </c>
      <c r="AT104" s="33">
        <f>IFERROR(INDEX(acm[],MATCH($C104,acm[[Country code]:[Country code]],0),MATCH(AT$1,acm[#Headers],0)),0)</f>
        <v>6.2232041134619775E-2</v>
      </c>
      <c r="AU104" s="33">
        <f>IFERROR(INDEX(acm[],MATCH($C104,acm[[Country code]:[Country code]],0),MATCH(AU$1,acm[#Headers],0)),0)</f>
        <v>9.2049360282274645E-2</v>
      </c>
      <c r="AV104" s="33">
        <f>IFERROR(INDEX(acm[],MATCH($C104,acm[[Country code]:[Country code]],0),MATCH(AV$1,acm[#Headers],0)),0)</f>
        <v>0.12202210839818785</v>
      </c>
      <c r="AW104" s="33">
        <f>IFERROR(INDEX(acm[],MATCH($C104,acm[[Country code]:[Country code]],0),MATCH(AW$1,acm[#Headers],0)),0)</f>
        <v>0.14660362315352721</v>
      </c>
      <c r="AX104" s="33">
        <f>IFERROR(VLOOKUP(lmic_raw[[#This Row],[num]],life_exp[[Country code]:[2015-2020]],2,FALSE),0)</f>
        <v>75.992000000000004</v>
      </c>
    </row>
    <row r="105" spans="1:50" x14ac:dyDescent="0.25">
      <c r="A105" s="110" t="s">
        <v>247</v>
      </c>
      <c r="B105" s="104" t="s">
        <v>624</v>
      </c>
      <c r="C105" s="105">
        <v>670</v>
      </c>
      <c r="D105" s="84" t="s">
        <v>679</v>
      </c>
      <c r="E105" s="84" t="s">
        <v>223</v>
      </c>
      <c r="F105" s="84" t="s">
        <v>665</v>
      </c>
      <c r="G105" s="84" t="s">
        <v>676</v>
      </c>
      <c r="H105" s="33">
        <f>VLOOKUP(lmic_raw[[#This Row],[num]],pop[[Country code]:[pop_20]],2,FALSE)*1000</f>
        <v>110593</v>
      </c>
      <c r="I105" s="117">
        <f>IFERROR(VLOOKUP(lmic_raw[[#This Row],[num]],pop[[Country code]:[pop_20]],2,FALSE)*VLOOKUP(lmic_raw[[#This Row],[num]],b_rate[[Country code]:[2015-2020]],2,FALSE),0)</f>
        <v>1585.4612480000001</v>
      </c>
      <c r="J105" s="118">
        <f>IFERROR(MIN(VLOOKUP(lmic_raw[[#This Row],[iso3]],fac_b[],4,FALSE)/100,0.9999),0)</f>
        <v>0</v>
      </c>
      <c r="K105" s="33">
        <f>VLOOKUP(lmic_raw[[#This Row],[iso3]],vax[[iso3]:[hbv3]],2,FALSE)/100</f>
        <v>0.99</v>
      </c>
      <c r="L105" s="33">
        <f>VLOOKUP(lmic_raw[[#This Row],[iso3]],vax[[iso3]:[hbv3]],3,FALSE)/100</f>
        <v>0.97</v>
      </c>
      <c r="M105">
        <f>IFERROR(VLOOKUP(lmic_raw[[#This Row],[iso3]], hbv_prev[[iso3]:[ub]],2,FALSE)/100,0)</f>
        <v>1.3300000000000001E-2</v>
      </c>
      <c r="N105">
        <f>IFERROR(VLOOKUP(lmic_raw[[#This Row],[setting]],hbe_prev[],3,FALSE),0)</f>
        <v>0.3100986815415821</v>
      </c>
      <c r="O105">
        <f>VLOOKUP(lmic_raw[[#This Row],[gbd_super]],hbe_risk[],2,FALSE)</f>
        <v>0.8</v>
      </c>
      <c r="P105" s="33">
        <f>VLOOKUP(lmic_raw[[#This Row],[gbd_super]],hbe_risk[],5,FALSE)</f>
        <v>0.17499999999999999</v>
      </c>
      <c r="Q105">
        <f>IFERROR(VLOOKUP(lmic_raw[[#This Row],[setting]],disease_costs!$A$4:$B$197,2,FALSE),0)</f>
        <v>12.818171164578915</v>
      </c>
      <c r="R105">
        <f>IFERROR(VLOOKUP(lmic_raw[[#This Row],[gbd_super]],disease_costs!$G$4:$K$9,2,FALSE),0)</f>
        <v>86.883899999999997</v>
      </c>
      <c r="S105" s="33">
        <f>IFERROR(VLOOKUP(lmic_raw[[#This Row],[gbd_super]],disease_costs!$G$4:$K$9,3,FALSE),0)</f>
        <v>134.6259</v>
      </c>
      <c r="T105" s="33">
        <f>IFERROR(VLOOKUP(lmic_raw[[#This Row],[gbd_super]],disease_costs!$G$4:$K$9,4,FALSE),0)</f>
        <v>134.6259</v>
      </c>
      <c r="U105" s="33">
        <f>IFERROR(VLOOKUP(lmic_raw[[#This Row],[gbd_super]],disease_costs!$G$4:$K$9,5,FALSE),0)</f>
        <v>134.6259</v>
      </c>
      <c r="V105">
        <f>IFERROR(VLOOKUP(lmic_raw[[#This Row],[setting]],vcost[],3,FALSE),0)</f>
        <v>15.415347587023158</v>
      </c>
      <c r="W105">
        <f>IFERROR(VLOOKUP(lmic_raw[[#This Row],[setting]],vcost[],4,FALSE),0)</f>
        <v>15.435347587023157</v>
      </c>
      <c r="X105">
        <f>IFERROR(VLOOKUP(lmic_raw[[#This Row],[setting]],vcost[],5,FALSE),0)</f>
        <v>14.975220887564674</v>
      </c>
      <c r="Y105">
        <f>IFERROR(VLOOKUP(lmic_raw[[#This Row],[setting]],vcost[],6,FALSE),0)</f>
        <v>14.995220887564674</v>
      </c>
      <c r="Z105">
        <f>IFERROR(VLOOKUP(lmic_raw[[#This Row],[setting]],vcost[],7,FALSE),0)</f>
        <v>14.986970400292869</v>
      </c>
      <c r="AA105">
        <f>IFERROR(VLOOKUP(lmic_raw[[#This Row],[setting]],vcost[],8,FALSE),0)</f>
        <v>15.662223949853564</v>
      </c>
      <c r="AB105">
        <f>IFERROR(VLOOKUP(lmic_raw[[#This Row],[setting]],vcost[],9,FALSE),0)</f>
        <v>15.682223949853563</v>
      </c>
      <c r="AC105" s="33">
        <f>IFERROR(INDEX(acm[],MATCH($C105,acm[[Country code]:[Country code]],0),MATCH(AC$1,acm[#Headers],0)),0)</f>
        <v>1.4663530000000029E-2</v>
      </c>
      <c r="AD105" s="33">
        <f>IFERROR(INDEX(acm[],MATCH($C105,acm[[Country code]:[Country code]],0),MATCH(AD$1,acm[#Headers],0)),0)</f>
        <v>3.4021119709491893E-4</v>
      </c>
      <c r="AE105" s="33">
        <f>IFERROR(INDEX(acm[],MATCH($C105,acm[[Country code]:[Country code]],0),MATCH(AE$1,acm[#Headers],0)),0)</f>
        <v>4.2637996402383369E-4</v>
      </c>
      <c r="AF105" s="33">
        <f>IFERROR(INDEX(acm[],MATCH($C105,acm[[Country code]:[Country code]],0),MATCH(AF$1,acm[#Headers],0)),0)</f>
        <v>4.1149089039611527E-4</v>
      </c>
      <c r="AG105" s="33">
        <f>IFERROR(INDEX(acm[],MATCH($C105,acm[[Country code]:[Country code]],0),MATCH(AG$1,acm[#Headers],0)),0)</f>
        <v>9.9843491675323634E-4</v>
      </c>
      <c r="AH105" s="33">
        <f>IFERROR(INDEX(acm[],MATCH($C105,acm[[Country code]:[Country code]],0),MATCH(AH$1,acm[#Headers],0)),0)</f>
        <v>1.4048347182713413E-3</v>
      </c>
      <c r="AI105" s="33">
        <f>IFERROR(INDEX(acm[],MATCH($C105,acm[[Country code]:[Country code]],0),MATCH(AI$1,acm[#Headers],0)),0)</f>
        <v>1.5309211275176661E-3</v>
      </c>
      <c r="AJ105" s="33">
        <f>IFERROR(INDEX(acm[],MATCH($C105,acm[[Country code]:[Country code]],0),MATCH(AJ$1,acm[#Headers],0)),0)</f>
        <v>1.8245563678469204E-3</v>
      </c>
      <c r="AK105" s="33">
        <f>IFERROR(INDEX(acm[],MATCH($C105,acm[[Country code]:[Country code]],0),MATCH(AK$1,acm[#Headers],0)),0)</f>
        <v>2.4303381208869196E-3</v>
      </c>
      <c r="AL105" s="33">
        <f>IFERROR(INDEX(acm[],MATCH($C105,acm[[Country code]:[Country code]],0),MATCH(AL$1,acm[#Headers],0)),0)</f>
        <v>3.4715823014823954E-3</v>
      </c>
      <c r="AM105" s="33">
        <f>IFERROR(INDEX(acm[],MATCH($C105,acm[[Country code]:[Country code]],0),MATCH(AM$1,acm[#Headers],0)),0)</f>
        <v>5.2094440885795262E-3</v>
      </c>
      <c r="AN105" s="33">
        <f>IFERROR(INDEX(acm[],MATCH($C105,acm[[Country code]:[Country code]],0),MATCH(AN$1,acm[#Headers],0)),0)</f>
        <v>7.8502048685519903E-3</v>
      </c>
      <c r="AO105" s="33">
        <f>IFERROR(INDEX(acm[],MATCH($C105,acm[[Country code]:[Country code]],0),MATCH(AO$1,acm[#Headers],0)),0)</f>
        <v>1.1806079853077847E-2</v>
      </c>
      <c r="AP105" s="33">
        <f>IFERROR(INDEX(acm[],MATCH($C105,acm[[Country code]:[Country code]],0),MATCH(AP$1,acm[#Headers],0)),0)</f>
        <v>1.6595125843905906E-2</v>
      </c>
      <c r="AQ105" s="33">
        <f>IFERROR(INDEX(acm[],MATCH($C105,acm[[Country code]:[Country code]],0),MATCH(AQ$1,acm[#Headers],0)),0)</f>
        <v>2.3201225558910875E-2</v>
      </c>
      <c r="AR105" s="33">
        <f>IFERROR(INDEX(acm[],MATCH($C105,acm[[Country code]:[Country code]],0),MATCH(AR$1,acm[#Headers],0)),0)</f>
        <v>3.4377183914039114E-2</v>
      </c>
      <c r="AS105" s="33">
        <f>IFERROR(INDEX(acm[],MATCH($C105,acm[[Country code]:[Country code]],0),MATCH(AS$1,acm[#Headers],0)),0)</f>
        <v>5.3208603413858246E-2</v>
      </c>
      <c r="AT105" s="33">
        <f>IFERROR(INDEX(acm[],MATCH($C105,acm[[Country code]:[Country code]],0),MATCH(AT$1,acm[#Headers],0)),0)</f>
        <v>7.9564291851780072E-2</v>
      </c>
      <c r="AU105" s="33">
        <f>IFERROR(INDEX(acm[],MATCH($C105,acm[[Country code]:[Country code]],0),MATCH(AU$1,acm[#Headers],0)),0)</f>
        <v>0.11207246301287309</v>
      </c>
      <c r="AV105" s="33">
        <f>IFERROR(INDEX(acm[],MATCH($C105,acm[[Country code]:[Country code]],0),MATCH(AV$1,acm[#Headers],0)),0)</f>
        <v>0.14369697243231228</v>
      </c>
      <c r="AW105" s="33">
        <f>IFERROR(INDEX(acm[],MATCH($C105,acm[[Country code]:[Country code]],0),MATCH(AW$1,acm[#Headers],0)),0)</f>
        <v>0.1687400645780878</v>
      </c>
      <c r="AX105" s="33">
        <f>IFERROR(VLOOKUP(lmic_raw[[#This Row],[num]],life_exp[[Country code]:[2015-2020]],2,FALSE),0)</f>
        <v>72.36</v>
      </c>
    </row>
    <row r="106" spans="1:50" x14ac:dyDescent="0.25">
      <c r="A106" s="109" t="s">
        <v>299</v>
      </c>
      <c r="B106" s="101" t="s">
        <v>504</v>
      </c>
      <c r="C106" s="102">
        <v>882</v>
      </c>
      <c r="D106" s="82" t="s">
        <v>681</v>
      </c>
      <c r="E106" s="82" t="s">
        <v>98</v>
      </c>
      <c r="F106" s="82" t="s">
        <v>666</v>
      </c>
      <c r="G106" s="82" t="s">
        <v>676</v>
      </c>
      <c r="H106" s="33">
        <f>VLOOKUP(lmic_raw[[#This Row],[num]],pop[[Country code]:[pop_20]],2,FALSE)*1000</f>
        <v>197093</v>
      </c>
      <c r="I106" s="117">
        <f>IFERROR(VLOOKUP(lmic_raw[[#This Row],[num]],pop[[Country code]:[pop_20]],2,FALSE)*VLOOKUP(lmic_raw[[#This Row],[num]],b_rate[[Country code]:[2015-2020]],2,FALSE),0)</f>
        <v>4836.0709409999999</v>
      </c>
      <c r="J106">
        <f>IFERROR(MIN(VLOOKUP(lmic_raw[[#This Row],[iso3]],fac_b[],4,FALSE)/100,0.9999),0)</f>
        <v>0.81900000000000006</v>
      </c>
      <c r="K106" s="33">
        <f>VLOOKUP(lmic_raw[[#This Row],[iso3]],vax[[iso3]:[hbv3]],2,FALSE)/100</f>
        <v>0.65</v>
      </c>
      <c r="L106" s="33">
        <f>VLOOKUP(lmic_raw[[#This Row],[iso3]],vax[[iso3]:[hbv3]],3,FALSE)/100</f>
        <v>0.57999999999999996</v>
      </c>
      <c r="M106">
        <f>IFERROR(VLOOKUP(lmic_raw[[#This Row],[iso3]], hbv_prev[[iso3]:[ub]],2,FALSE)/100,0)</f>
        <v>3.3300000000000003E-2</v>
      </c>
      <c r="N106">
        <f>IFERROR(VLOOKUP(lmic_raw[[#This Row],[setting]],hbe_prev[],3,FALSE),0)</f>
        <v>0.32058968887779721</v>
      </c>
      <c r="O106">
        <f>VLOOKUP(lmic_raw[[#This Row],[gbd_super]],hbe_risk[],2,FALSE)</f>
        <v>0.8</v>
      </c>
      <c r="P106" s="33">
        <f>VLOOKUP(lmic_raw[[#This Row],[gbd_super]],hbe_risk[],5,FALSE)</f>
        <v>0.17499999999999999</v>
      </c>
      <c r="Q106">
        <f>IFERROR(VLOOKUP(lmic_raw[[#This Row],[setting]],disease_costs!$A$4:$B$197,2,FALSE),0)</f>
        <v>7.0735508882425417</v>
      </c>
      <c r="R106">
        <f>IFERROR(VLOOKUP(lmic_raw[[#This Row],[gbd_super]],disease_costs!$G$4:$K$9,2,FALSE),0)</f>
        <v>73.084500000000006</v>
      </c>
      <c r="S106" s="33">
        <f>IFERROR(VLOOKUP(lmic_raw[[#This Row],[gbd_super]],disease_costs!$G$4:$K$9,3,FALSE),0)</f>
        <v>120.8265</v>
      </c>
      <c r="T106" s="33">
        <f>IFERROR(VLOOKUP(lmic_raw[[#This Row],[gbd_super]],disease_costs!$G$4:$K$9,4,FALSE),0)</f>
        <v>120.8265</v>
      </c>
      <c r="U106" s="33">
        <f>IFERROR(VLOOKUP(lmic_raw[[#This Row],[gbd_super]],disease_costs!$G$4:$K$9,5,FALSE),0)</f>
        <v>120.8265</v>
      </c>
      <c r="V106">
        <f>IFERROR(VLOOKUP(lmic_raw[[#This Row],[setting]],vcost[],3,FALSE),0)</f>
        <v>2.4508641788116901</v>
      </c>
      <c r="W106">
        <f>IFERROR(VLOOKUP(lmic_raw[[#This Row],[setting]],vcost[],4,FALSE),0)</f>
        <v>3.0808641788116899</v>
      </c>
      <c r="X106">
        <f>IFERROR(VLOOKUP(lmic_raw[[#This Row],[setting]],vcost[],5,FALSE),0)</f>
        <v>2.0199657084037383</v>
      </c>
      <c r="Y106">
        <f>IFERROR(VLOOKUP(lmic_raw[[#This Row],[setting]],vcost[],6,FALSE),0)</f>
        <v>2.6499657084037382</v>
      </c>
      <c r="Z106">
        <f>IFERROR(VLOOKUP(lmic_raw[[#This Row],[setting]],vcost[],7,FALSE),0)</f>
        <v>2.6450927868058391</v>
      </c>
      <c r="AA106">
        <f>IFERROR(VLOOKUP(lmic_raw[[#This Row],[setting]],vcost[],8,FALSE),0)</f>
        <v>2.6944140869843474</v>
      </c>
      <c r="AB106">
        <f>IFERROR(VLOOKUP(lmic_raw[[#This Row],[setting]],vcost[],9,FALSE),0)</f>
        <v>3.3244140869843473</v>
      </c>
      <c r="AC106" s="33">
        <f>IFERROR(INDEX(acm[],MATCH($C106,acm[[Country code]:[Country code]],0),MATCH(AC$1,acm[#Headers],0)),0)</f>
        <v>1.3451919999999954E-2</v>
      </c>
      <c r="AD106" s="33">
        <f>IFERROR(INDEX(acm[],MATCH($C106,acm[[Country code]:[Country code]],0),MATCH(AD$1,acm[#Headers],0)),0)</f>
        <v>6.925258016821634E-4</v>
      </c>
      <c r="AE106" s="33">
        <f>IFERROR(INDEX(acm[],MATCH($C106,acm[[Country code]:[Country code]],0),MATCH(AE$1,acm[#Headers],0)),0)</f>
        <v>2.7272193913159863E-4</v>
      </c>
      <c r="AF106" s="33">
        <f>IFERROR(INDEX(acm[],MATCH($C106,acm[[Country code]:[Country code]],0),MATCH(AF$1,acm[#Headers],0)),0)</f>
        <v>2.4867230542658183E-4</v>
      </c>
      <c r="AG106" s="33">
        <f>IFERROR(INDEX(acm[],MATCH($C106,acm[[Country code]:[Country code]],0),MATCH(AG$1,acm[#Headers],0)),0)</f>
        <v>5.7632282540880791E-4</v>
      </c>
      <c r="AH106" s="33">
        <f>IFERROR(INDEX(acm[],MATCH($C106,acm[[Country code]:[Country code]],0),MATCH(AH$1,acm[#Headers],0)),0)</f>
        <v>7.4883444767236248E-4</v>
      </c>
      <c r="AI106" s="33">
        <f>IFERROR(INDEX(acm[],MATCH($C106,acm[[Country code]:[Country code]],0),MATCH(AI$1,acm[#Headers],0)),0)</f>
        <v>7.6641544443991705E-4</v>
      </c>
      <c r="AJ106" s="33">
        <f>IFERROR(INDEX(acm[],MATCH($C106,acm[[Country code]:[Country code]],0),MATCH(AJ$1,acm[#Headers],0)),0)</f>
        <v>9.1812391512278697E-4</v>
      </c>
      <c r="AK106" s="33">
        <f>IFERROR(INDEX(acm[],MATCH($C106,acm[[Country code]:[Country code]],0),MATCH(AK$1,acm[#Headers],0)),0)</f>
        <v>1.2856951280974299E-3</v>
      </c>
      <c r="AL106" s="33">
        <f>IFERROR(INDEX(acm[],MATCH($C106,acm[[Country code]:[Country code]],0),MATCH(AL$1,acm[#Headers],0)),0)</f>
        <v>1.9815388611344529E-3</v>
      </c>
      <c r="AM106" s="33">
        <f>IFERROR(INDEX(acm[],MATCH($C106,acm[[Country code]:[Country code]],0),MATCH(AM$1,acm[#Headers],0)),0)</f>
        <v>3.2649687793858671E-3</v>
      </c>
      <c r="AN106" s="33">
        <f>IFERROR(INDEX(acm[],MATCH($C106,acm[[Country code]:[Country code]],0),MATCH(AN$1,acm[#Headers],0)),0)</f>
        <v>5.3189558398148307E-3</v>
      </c>
      <c r="AO106" s="33">
        <f>IFERROR(INDEX(acm[],MATCH($C106,acm[[Country code]:[Country code]],0),MATCH(AO$1,acm[#Headers],0)),0)</f>
        <v>8.6035405736889538E-3</v>
      </c>
      <c r="AP106" s="33">
        <f>IFERROR(INDEX(acm[],MATCH($C106,acm[[Country code]:[Country code]],0),MATCH(AP$1,acm[#Headers],0)),0)</f>
        <v>1.5215103235341637E-2</v>
      </c>
      <c r="AQ106" s="33">
        <f>IFERROR(INDEX(acm[],MATCH($C106,acm[[Country code]:[Country code]],0),MATCH(AQ$1,acm[#Headers],0)),0)</f>
        <v>2.6465545199367089E-2</v>
      </c>
      <c r="AR106" s="33">
        <f>IFERROR(INDEX(acm[],MATCH($C106,acm[[Country code]:[Country code]],0),MATCH(AR$1,acm[#Headers],0)),0)</f>
        <v>4.328396945983462E-2</v>
      </c>
      <c r="AS106" s="33">
        <f>IFERROR(INDEX(acm[],MATCH($C106,acm[[Country code]:[Country code]],0),MATCH(AS$1,acm[#Headers],0)),0)</f>
        <v>6.7514354289343895E-2</v>
      </c>
      <c r="AT106" s="33">
        <f>IFERROR(INDEX(acm[],MATCH($C106,acm[[Country code]:[Country code]],0),MATCH(AT$1,acm[#Headers],0)),0)</f>
        <v>9.9671727651561334E-2</v>
      </c>
      <c r="AU106" s="33">
        <f>IFERROR(INDEX(acm[],MATCH($C106,acm[[Country code]:[Country code]],0),MATCH(AU$1,acm[#Headers],0)),0)</f>
        <v>0.13589694453866549</v>
      </c>
      <c r="AV106" s="33">
        <f>IFERROR(INDEX(acm[],MATCH($C106,acm[[Country code]:[Country code]],0),MATCH(AV$1,acm[#Headers],0)),0)</f>
        <v>0.16605347519569352</v>
      </c>
      <c r="AW106" s="33">
        <f>IFERROR(INDEX(acm[],MATCH($C106,acm[[Country code]:[Country code]],0),MATCH(AW$1,acm[#Headers],0)),0)</f>
        <v>0.18409343663613717</v>
      </c>
      <c r="AX106" s="33">
        <f>IFERROR(VLOOKUP(lmic_raw[[#This Row],[num]],life_exp[[Country code]:[2015-2020]],2,FALSE),0)</f>
        <v>73.111000000000004</v>
      </c>
    </row>
    <row r="107" spans="1:50" x14ac:dyDescent="0.25">
      <c r="A107" s="110" t="s">
        <v>684</v>
      </c>
      <c r="B107" s="104" t="s">
        <v>505</v>
      </c>
      <c r="C107" s="105">
        <v>678</v>
      </c>
      <c r="D107" s="84" t="s">
        <v>677</v>
      </c>
      <c r="E107" s="84" t="s">
        <v>591</v>
      </c>
      <c r="F107" s="84" t="s">
        <v>667</v>
      </c>
      <c r="G107" s="84" t="s">
        <v>678</v>
      </c>
      <c r="H107" s="33">
        <f>VLOOKUP(lmic_raw[[#This Row],[num]],pop[[Country code]:[pop_20]],2,FALSE)*1000</f>
        <v>215048</v>
      </c>
      <c r="I107" s="117">
        <f>IFERROR(VLOOKUP(lmic_raw[[#This Row],[num]],pop[[Country code]:[pop_20]],2,FALSE)*VLOOKUP(lmic_raw[[#This Row],[num]],b_rate[[Country code]:[2015-2020]],2,FALSE),0)</f>
        <v>6827.7740000000003</v>
      </c>
      <c r="J107">
        <f>IFERROR(MIN(VLOOKUP(lmic_raw[[#This Row],[iso3]],fac_b[],4,FALSE)/100,0.9999),0)</f>
        <v>0.91</v>
      </c>
      <c r="K107" s="33">
        <f>VLOOKUP(lmic_raw[[#This Row],[iso3]],vax[[iso3]:[hbv3]],2,FALSE)/100</f>
        <v>0.95</v>
      </c>
      <c r="L107" s="33">
        <f>VLOOKUP(lmic_raw[[#This Row],[iso3]],vax[[iso3]:[hbv3]],3,FALSE)/100</f>
        <v>0.95</v>
      </c>
      <c r="M107">
        <f>IFERROR(VLOOKUP(lmic_raw[[#This Row],[iso3]], hbv_prev[[iso3]:[ub]],2,FALSE)/100,0)</f>
        <v>3.5400000000000001E-2</v>
      </c>
      <c r="N107" s="118">
        <f>IFERROR(VLOOKUP(lmic_raw[[#This Row],[setting]],hbe_prev[],3,FALSE),0)</f>
        <v>0</v>
      </c>
      <c r="O107">
        <f>VLOOKUP(lmic_raw[[#This Row],[gbd_super]],hbe_risk[],2,FALSE)</f>
        <v>0.38300000000000001</v>
      </c>
      <c r="P107" s="33">
        <f>VLOOKUP(lmic_raw[[#This Row],[gbd_super]],hbe_risk[],5,FALSE)</f>
        <v>4.8000000000000001E-2</v>
      </c>
      <c r="Q107">
        <f>IFERROR(VLOOKUP(lmic_raw[[#This Row],[setting]],disease_costs!$A$4:$B$197,2,FALSE),0)</f>
        <v>3.417883439664847</v>
      </c>
      <c r="R107">
        <f>IFERROR(VLOOKUP(lmic_raw[[#This Row],[gbd_super]],disease_costs!$G$4:$K$9,2,FALSE),0)</f>
        <v>29.920500000000001</v>
      </c>
      <c r="S107" s="33">
        <f>IFERROR(VLOOKUP(lmic_raw[[#This Row],[gbd_super]],disease_costs!$G$4:$K$9,3,FALSE),0)</f>
        <v>77.662500000000009</v>
      </c>
      <c r="T107" s="33">
        <f>IFERROR(VLOOKUP(lmic_raw[[#This Row],[gbd_super]],disease_costs!$G$4:$K$9,4,FALSE),0)</f>
        <v>77.662500000000009</v>
      </c>
      <c r="U107" s="33">
        <f>IFERROR(VLOOKUP(lmic_raw[[#This Row],[gbd_super]],disease_costs!$G$4:$K$9,5,FALSE),0)</f>
        <v>77.662500000000009</v>
      </c>
      <c r="V107">
        <f>IFERROR(VLOOKUP(lmic_raw[[#This Row],[setting]],vcost[],3,FALSE),0)</f>
        <v>8.8123812930487908</v>
      </c>
      <c r="W107">
        <f>IFERROR(VLOOKUP(lmic_raw[[#This Row],[setting]],vcost[],4,FALSE),0)</f>
        <v>13.642381293048791</v>
      </c>
      <c r="X107">
        <f>IFERROR(VLOOKUP(lmic_raw[[#This Row],[setting]],vcost[],5,FALSE),0)</f>
        <v>8.3835441076754655</v>
      </c>
      <c r="Y107">
        <f>IFERROR(VLOOKUP(lmic_raw[[#This Row],[setting]],vcost[],6,FALSE),0)</f>
        <v>13.213544107675466</v>
      </c>
      <c r="Z107">
        <f>IFERROR(VLOOKUP(lmic_raw[[#This Row],[setting]],vcost[],7,FALSE),0)</f>
        <v>13.20937944128301</v>
      </c>
      <c r="AA107">
        <f>IFERROR(VLOOKUP(lmic_raw[[#This Row],[setting]],vcost[],8,FALSE),0)</f>
        <v>9.0551881798717577</v>
      </c>
      <c r="AB107">
        <f>IFERROR(VLOOKUP(lmic_raw[[#This Row],[setting]],vcost[],9,FALSE),0)</f>
        <v>13.885188179871758</v>
      </c>
      <c r="AC107" s="33">
        <f>IFERROR(INDEX(acm[],MATCH($C107,acm[[Country code]:[Country code]],0),MATCH(AC$1,acm[#Headers],0)),0)</f>
        <v>2.6431950000000069E-2</v>
      </c>
      <c r="AD107" s="33">
        <f>IFERROR(INDEX(acm[],MATCH($C107,acm[[Country code]:[Country code]],0),MATCH(AD$1,acm[#Headers],0)),0)</f>
        <v>1.519919434496609E-3</v>
      </c>
      <c r="AE107" s="33">
        <f>IFERROR(INDEX(acm[],MATCH($C107,acm[[Country code]:[Country code]],0),MATCH(AE$1,acm[#Headers],0)),0)</f>
        <v>5.9194187000047012E-4</v>
      </c>
      <c r="AF107" s="33">
        <f>IFERROR(INDEX(acm[],MATCH($C107,acm[[Country code]:[Country code]],0),MATCH(AF$1,acm[#Headers],0)),0)</f>
        <v>4.9393175232565563E-4</v>
      </c>
      <c r="AG107" s="33">
        <f>IFERROR(INDEX(acm[],MATCH($C107,acm[[Country code]:[Country code]],0),MATCH(AG$1,acm[#Headers],0)),0)</f>
        <v>9.7025317122540584E-4</v>
      </c>
      <c r="AH107" s="33">
        <f>IFERROR(INDEX(acm[],MATCH($C107,acm[[Country code]:[Country code]],0),MATCH(AH$1,acm[#Headers],0)),0)</f>
        <v>1.2724896188506768E-3</v>
      </c>
      <c r="AI107" s="33">
        <f>IFERROR(INDEX(acm[],MATCH($C107,acm[[Country code]:[Country code]],0),MATCH(AI$1,acm[#Headers],0)),0)</f>
        <v>1.3489911868145125E-3</v>
      </c>
      <c r="AJ107" s="33">
        <f>IFERROR(INDEX(acm[],MATCH($C107,acm[[Country code]:[Country code]],0),MATCH(AJ$1,acm[#Headers],0)),0)</f>
        <v>1.6069422899664999E-3</v>
      </c>
      <c r="AK107" s="33">
        <f>IFERROR(INDEX(acm[],MATCH($C107,acm[[Country code]:[Country code]],0),MATCH(AK$1,acm[#Headers],0)),0)</f>
        <v>2.1623169059386891E-3</v>
      </c>
      <c r="AL107" s="33">
        <f>IFERROR(INDEX(acm[],MATCH($C107,acm[[Country code]:[Country code]],0),MATCH(AL$1,acm[#Headers],0)),0)</f>
        <v>3.0951101718203933E-3</v>
      </c>
      <c r="AM107" s="33">
        <f>IFERROR(INDEX(acm[],MATCH($C107,acm[[Country code]:[Country code]],0),MATCH(AM$1,acm[#Headers],0)),0)</f>
        <v>4.7366852888282287E-3</v>
      </c>
      <c r="AN107" s="33">
        <f>IFERROR(INDEX(acm[],MATCH($C107,acm[[Country code]:[Country code]],0),MATCH(AN$1,acm[#Headers],0)),0)</f>
        <v>7.3076792960580089E-3</v>
      </c>
      <c r="AO107" s="33">
        <f>IFERROR(INDEX(acm[],MATCH($C107,acm[[Country code]:[Country code]],0),MATCH(AO$1,acm[#Headers],0)),0)</f>
        <v>1.1299390932147995E-2</v>
      </c>
      <c r="AP107" s="33">
        <f>IFERROR(INDEX(acm[],MATCH($C107,acm[[Country code]:[Country code]],0),MATCH(AP$1,acm[#Headers],0)),0)</f>
        <v>1.773095205125377E-2</v>
      </c>
      <c r="AQ107" s="33">
        <f>IFERROR(INDEX(acm[],MATCH($C107,acm[[Country code]:[Country code]],0),MATCH(AQ$1,acm[#Headers],0)),0)</f>
        <v>2.7864431260591616E-2</v>
      </c>
      <c r="AR107" s="33">
        <f>IFERROR(INDEX(acm[],MATCH($C107,acm[[Country code]:[Country code]],0),MATCH(AR$1,acm[#Headers],0)),0)</f>
        <v>4.359812586435248E-2</v>
      </c>
      <c r="AS107" s="33">
        <f>IFERROR(INDEX(acm[],MATCH($C107,acm[[Country code]:[Country code]],0),MATCH(AS$1,acm[#Headers],0)),0)</f>
        <v>6.6475510705730947E-2</v>
      </c>
      <c r="AT107" s="33">
        <f>IFERROR(INDEX(acm[],MATCH($C107,acm[[Country code]:[Country code]],0),MATCH(AT$1,acm[#Headers],0)),0)</f>
        <v>9.5717020333396241E-2</v>
      </c>
      <c r="AU107" s="33">
        <f>IFERROR(INDEX(acm[],MATCH($C107,acm[[Country code]:[Country code]],0),MATCH(AU$1,acm[#Headers],0)),0)</f>
        <v>0.12562378873953089</v>
      </c>
      <c r="AV107" s="33">
        <f>IFERROR(INDEX(acm[],MATCH($C107,acm[[Country code]:[Country code]],0),MATCH(AV$1,acm[#Headers],0)),0)</f>
        <v>0.15364551762682779</v>
      </c>
      <c r="AW107" s="33">
        <f>IFERROR(INDEX(acm[],MATCH($C107,acm[[Country code]:[Country code]],0),MATCH(AW$1,acm[#Headers],0)),0)</f>
        <v>0.17483643439916882</v>
      </c>
      <c r="AX107" s="33">
        <f>IFERROR(VLOOKUP(lmic_raw[[#This Row],[num]],life_exp[[Country code]:[2015-2020]],2,FALSE),0)</f>
        <v>70.048000000000002</v>
      </c>
    </row>
    <row r="108" spans="1:50" x14ac:dyDescent="0.25">
      <c r="A108" s="109" t="s">
        <v>152</v>
      </c>
      <c r="B108" s="101" t="s">
        <v>507</v>
      </c>
      <c r="C108" s="102">
        <v>686</v>
      </c>
      <c r="D108" s="82" t="s">
        <v>677</v>
      </c>
      <c r="E108" s="82" t="s">
        <v>591</v>
      </c>
      <c r="F108" s="82" t="s">
        <v>667</v>
      </c>
      <c r="G108" s="82" t="s">
        <v>678</v>
      </c>
      <c r="H108" s="33">
        <f>VLOOKUP(lmic_raw[[#This Row],[num]],pop[[Country code]:[pop_20]],2,FALSE)*1000</f>
        <v>16296362</v>
      </c>
      <c r="I108" s="117">
        <f>IFERROR(VLOOKUP(lmic_raw[[#This Row],[num]],pop[[Country code]:[pop_20]],2,FALSE)*VLOOKUP(lmic_raw[[#This Row],[num]],b_rate[[Country code]:[2015-2020]],2,FALSE),0)</f>
        <v>566086.72679400002</v>
      </c>
      <c r="J108">
        <f>IFERROR(MIN(VLOOKUP(lmic_raw[[#This Row],[iso3]],fac_b[],4,FALSE)/100,0.9999),0)</f>
        <v>0.81700000000000006</v>
      </c>
      <c r="K108" s="33">
        <f>VLOOKUP(lmic_raw[[#This Row],[iso3]],vax[[iso3]:[hbv3]],2,FALSE)/100</f>
        <v>0.81</v>
      </c>
      <c r="L108" s="33">
        <f>VLOOKUP(lmic_raw[[#This Row],[iso3]],vax[[iso3]:[hbv3]],3,FALSE)/100</f>
        <v>0.93</v>
      </c>
      <c r="M108">
        <f>IFERROR(VLOOKUP(lmic_raw[[#This Row],[iso3]], hbv_prev[[iso3]:[ub]],2,FALSE)/100,0)</f>
        <v>8.1799999999999998E-2</v>
      </c>
      <c r="N108">
        <f>IFERROR(VLOOKUP(lmic_raw[[#This Row],[setting]],hbe_prev[],3,FALSE),0)</f>
        <v>0.28272643132159919</v>
      </c>
      <c r="O108">
        <f>VLOOKUP(lmic_raw[[#This Row],[gbd_super]],hbe_risk[],2,FALSE)</f>
        <v>0.38300000000000001</v>
      </c>
      <c r="P108" s="33">
        <f>VLOOKUP(lmic_raw[[#This Row],[gbd_super]],hbe_risk[],5,FALSE)</f>
        <v>4.8000000000000001E-2</v>
      </c>
      <c r="Q108">
        <f>IFERROR(VLOOKUP(lmic_raw[[#This Row],[setting]],disease_costs!$A$4:$B$197,2,FALSE),0)</f>
        <v>3.6077882421883638</v>
      </c>
      <c r="R108">
        <f>IFERROR(VLOOKUP(lmic_raw[[#This Row],[gbd_super]],disease_costs!$G$4:$K$9,2,FALSE),0)</f>
        <v>29.920500000000001</v>
      </c>
      <c r="S108" s="33">
        <f>IFERROR(VLOOKUP(lmic_raw[[#This Row],[gbd_super]],disease_costs!$G$4:$K$9,3,FALSE),0)</f>
        <v>77.662500000000009</v>
      </c>
      <c r="T108" s="33">
        <f>IFERROR(VLOOKUP(lmic_raw[[#This Row],[gbd_super]],disease_costs!$G$4:$K$9,4,FALSE),0)</f>
        <v>77.662500000000009</v>
      </c>
      <c r="U108" s="33">
        <f>IFERROR(VLOOKUP(lmic_raw[[#This Row],[gbd_super]],disease_costs!$G$4:$K$9,5,FALSE),0)</f>
        <v>77.662500000000009</v>
      </c>
      <c r="V108">
        <f>IFERROR(VLOOKUP(lmic_raw[[#This Row],[setting]],vcost[],3,FALSE),0)</f>
        <v>2.3701038530933087</v>
      </c>
      <c r="W108">
        <f>IFERROR(VLOOKUP(lmic_raw[[#This Row],[setting]],vcost[],4,FALSE),0)</f>
        <v>7.2001038530933084</v>
      </c>
      <c r="X108">
        <f>IFERROR(VLOOKUP(lmic_raw[[#This Row],[setting]],vcost[],5,FALSE),0)</f>
        <v>1.9438028395482014</v>
      </c>
      <c r="Y108">
        <f>IFERROR(VLOOKUP(lmic_raw[[#This Row],[setting]],vcost[],6,FALSE),0)</f>
        <v>6.7738028395482015</v>
      </c>
      <c r="Z108">
        <f>IFERROR(VLOOKUP(lmic_raw[[#This Row],[setting]],vcost[],7,FALSE),0)</f>
        <v>6.770472561234798</v>
      </c>
      <c r="AA108">
        <f>IFERROR(VLOOKUP(lmic_raw[[#This Row],[setting]],vcost[],8,FALSE),0)</f>
        <v>2.611996538443313</v>
      </c>
      <c r="AB108">
        <f>IFERROR(VLOOKUP(lmic_raw[[#This Row],[setting]],vcost[],9,FALSE),0)</f>
        <v>7.4419965384433127</v>
      </c>
      <c r="AC108" s="33">
        <f>IFERROR(INDEX(acm[],MATCH($C108,acm[[Country code]:[Country code]],0),MATCH(AC$1,acm[#Headers],0)),0)</f>
        <v>3.2754600000000064E-2</v>
      </c>
      <c r="AD108" s="33">
        <f>IFERROR(INDEX(acm[],MATCH($C108,acm[[Country code]:[Country code]],0),MATCH(AD$1,acm[#Headers],0)),0)</f>
        <v>3.0694666524131217E-3</v>
      </c>
      <c r="AE108" s="33">
        <f>IFERROR(INDEX(acm[],MATCH($C108,acm[[Country code]:[Country code]],0),MATCH(AE$1,acm[#Headers],0)),0)</f>
        <v>1.2369410630977884E-3</v>
      </c>
      <c r="AF108" s="33">
        <f>IFERROR(INDEX(acm[],MATCH($C108,acm[[Country code]:[Country code]],0),MATCH(AF$1,acm[#Headers],0)),0)</f>
        <v>8.6525511984950651E-4</v>
      </c>
      <c r="AG108" s="33">
        <f>IFERROR(INDEX(acm[],MATCH($C108,acm[[Country code]:[Country code]],0),MATCH(AG$1,acm[#Headers],0)),0)</f>
        <v>1.3469523957274259E-3</v>
      </c>
      <c r="AH108" s="33">
        <f>IFERROR(INDEX(acm[],MATCH($C108,acm[[Country code]:[Country code]],0),MATCH(AH$1,acm[#Headers],0)),0)</f>
        <v>1.9585603267096253E-3</v>
      </c>
      <c r="AI108" s="33">
        <f>IFERROR(INDEX(acm[],MATCH($C108,acm[[Country code]:[Country code]],0),MATCH(AI$1,acm[#Headers],0)),0)</f>
        <v>2.1265653001242375E-3</v>
      </c>
      <c r="AJ108" s="33">
        <f>IFERROR(INDEX(acm[],MATCH($C108,acm[[Country code]:[Country code]],0),MATCH(AJ$1,acm[#Headers],0)),0)</f>
        <v>2.4814518081284786E-3</v>
      </c>
      <c r="AK108" s="33">
        <f>IFERROR(INDEX(acm[],MATCH($C108,acm[[Country code]:[Country code]],0),MATCH(AK$1,acm[#Headers],0)),0)</f>
        <v>2.9728730657511099E-3</v>
      </c>
      <c r="AL108" s="33">
        <f>IFERROR(INDEX(acm[],MATCH($C108,acm[[Country code]:[Country code]],0),MATCH(AL$1,acm[#Headers],0)),0)</f>
        <v>3.9298453571490382E-3</v>
      </c>
      <c r="AM108" s="33">
        <f>IFERROR(INDEX(acm[],MATCH($C108,acm[[Country code]:[Country code]],0),MATCH(AM$1,acm[#Headers],0)),0)</f>
        <v>5.2440275437391987E-3</v>
      </c>
      <c r="AN108" s="33">
        <f>IFERROR(INDEX(acm[],MATCH($C108,acm[[Country code]:[Country code]],0),MATCH(AN$1,acm[#Headers],0)),0)</f>
        <v>7.7190461500064676E-3</v>
      </c>
      <c r="AO108" s="33">
        <f>IFERROR(INDEX(acm[],MATCH($C108,acm[[Country code]:[Country code]],0),MATCH(AO$1,acm[#Headers],0)),0)</f>
        <v>1.1290306813306795E-2</v>
      </c>
      <c r="AP108" s="33">
        <f>IFERROR(INDEX(acm[],MATCH($C108,acm[[Country code]:[Country code]],0),MATCH(AP$1,acm[#Headers],0)),0)</f>
        <v>1.7714146493762017E-2</v>
      </c>
      <c r="AQ108" s="33">
        <f>IFERROR(INDEX(acm[],MATCH($C108,acm[[Country code]:[Country code]],0),MATCH(AQ$1,acm[#Headers],0)),0)</f>
        <v>2.7989884926765404E-2</v>
      </c>
      <c r="AR108" s="33">
        <f>IFERROR(INDEX(acm[],MATCH($C108,acm[[Country code]:[Country code]],0),MATCH(AR$1,acm[#Headers],0)),0)</f>
        <v>4.6537457702339732E-2</v>
      </c>
      <c r="AS108" s="33">
        <f>IFERROR(INDEX(acm[],MATCH($C108,acm[[Country code]:[Country code]],0),MATCH(AS$1,acm[#Headers],0)),0)</f>
        <v>7.4749322711515298E-2</v>
      </c>
      <c r="AT108" s="33">
        <f>IFERROR(INDEX(acm[],MATCH($C108,acm[[Country code]:[Country code]],0),MATCH(AT$1,acm[#Headers],0)),0)</f>
        <v>0.11151351745170328</v>
      </c>
      <c r="AU108" s="33">
        <f>IFERROR(INDEX(acm[],MATCH($C108,acm[[Country code]:[Country code]],0),MATCH(AU$1,acm[#Headers],0)),0)</f>
        <v>0.14740357166967988</v>
      </c>
      <c r="AV108" s="33">
        <f>IFERROR(INDEX(acm[],MATCH($C108,acm[[Country code]:[Country code]],0),MATCH(AV$1,acm[#Headers],0)),0)</f>
        <v>0.17353214388888566</v>
      </c>
      <c r="AW108" s="33">
        <f>IFERROR(INDEX(acm[],MATCH($C108,acm[[Country code]:[Country code]],0),MATCH(AW$1,acm[#Headers],0)),0)</f>
        <v>0.18648544535679726</v>
      </c>
      <c r="AX108" s="33">
        <f>IFERROR(VLOOKUP(lmic_raw[[#This Row],[num]],life_exp[[Country code]:[2015-2020]],2,FALSE),0)</f>
        <v>67.47</v>
      </c>
    </row>
    <row r="109" spans="1:50" x14ac:dyDescent="0.25">
      <c r="A109" s="110" t="s">
        <v>345</v>
      </c>
      <c r="B109" s="104" t="s">
        <v>508</v>
      </c>
      <c r="C109" s="105">
        <v>688</v>
      </c>
      <c r="D109" s="84" t="s">
        <v>675</v>
      </c>
      <c r="E109" s="84" t="s">
        <v>580</v>
      </c>
      <c r="F109" s="84" t="s">
        <v>663</v>
      </c>
      <c r="G109" s="84" t="s">
        <v>676</v>
      </c>
      <c r="H109" s="33">
        <f>VLOOKUP(lmic_raw[[#This Row],[num]],pop[[Country code]:[pop_20]],2,FALSE)*1000</f>
        <v>8772228</v>
      </c>
      <c r="I109" s="117">
        <f>IFERROR(VLOOKUP(lmic_raw[[#This Row],[num]],pop[[Country code]:[pop_20]],2,FALSE)*VLOOKUP(lmic_raw[[#This Row],[num]],b_rate[[Country code]:[2015-2020]],2,FALSE),0)</f>
        <v>83792.321855999995</v>
      </c>
      <c r="J109">
        <f>IFERROR(MIN(VLOOKUP(lmic_raw[[#This Row],[iso3]],fac_b[],4,FALSE)/100,0.9999),0)</f>
        <v>0.98199999999999998</v>
      </c>
      <c r="K109" s="33">
        <f>VLOOKUP(lmic_raw[[#This Row],[iso3]],vax[[iso3]:[hbv3]],2,FALSE)/100</f>
        <v>0.99</v>
      </c>
      <c r="L109" s="33">
        <f>VLOOKUP(lmic_raw[[#This Row],[iso3]],vax[[iso3]:[hbv3]],3,FALSE)/100</f>
        <v>0.94</v>
      </c>
      <c r="M109">
        <f>IFERROR(VLOOKUP(lmic_raw[[#This Row],[iso3]], hbv_prev[[iso3]:[ub]],2,FALSE)/100,0)</f>
        <v>9.7999999999999997E-3</v>
      </c>
      <c r="N109">
        <f>IFERROR(VLOOKUP(lmic_raw[[#This Row],[setting]],hbe_prev[],3,FALSE),0)</f>
        <v>0.28459441245417411</v>
      </c>
      <c r="O109">
        <f>VLOOKUP(lmic_raw[[#This Row],[gbd_super]],hbe_risk[],2,FALSE)</f>
        <v>0.8</v>
      </c>
      <c r="P109" s="33">
        <f>VLOOKUP(lmic_raw[[#This Row],[gbd_super]],hbe_risk[],5,FALSE)</f>
        <v>0.17499999999999999</v>
      </c>
      <c r="Q109">
        <f>IFERROR(VLOOKUP(lmic_raw[[#This Row],[setting]],disease_costs!$A$4:$B$197,2,FALSE),0)</f>
        <v>9.9814681768838884</v>
      </c>
      <c r="R109">
        <f>IFERROR(VLOOKUP(lmic_raw[[#This Row],[gbd_super]],disease_costs!$G$4:$K$9,2,FALSE),0)</f>
        <v>44.537400000000005</v>
      </c>
      <c r="S109" s="33">
        <f>IFERROR(VLOOKUP(lmic_raw[[#This Row],[gbd_super]],disease_costs!$G$4:$K$9,3,FALSE),0)</f>
        <v>92.27940000000001</v>
      </c>
      <c r="T109" s="33">
        <f>IFERROR(VLOOKUP(lmic_raw[[#This Row],[gbd_super]],disease_costs!$G$4:$K$9,4,FALSE),0)</f>
        <v>92.27940000000001</v>
      </c>
      <c r="U109" s="33">
        <f>IFERROR(VLOOKUP(lmic_raw[[#This Row],[gbd_super]],disease_costs!$G$4:$K$9,5,FALSE),0)</f>
        <v>92.27940000000001</v>
      </c>
      <c r="V109">
        <f>IFERROR(VLOOKUP(lmic_raw[[#This Row],[setting]],vcost[],3,FALSE),0)</f>
        <v>5.9002244802964441</v>
      </c>
      <c r="W109">
        <f>IFERROR(VLOOKUP(lmic_raw[[#This Row],[setting]],vcost[],4,FALSE),0)</f>
        <v>9.9702244802964444</v>
      </c>
      <c r="X109">
        <f>IFERROR(VLOOKUP(lmic_raw[[#This Row],[setting]],vcost[],5,FALSE),0)</f>
        <v>5.4589952325570801</v>
      </c>
      <c r="Y109">
        <f>IFERROR(VLOOKUP(lmic_raw[[#This Row],[setting]],vcost[],6,FALSE),0)</f>
        <v>9.5289952325570795</v>
      </c>
      <c r="Z109">
        <f>IFERROR(VLOOKUP(lmic_raw[[#This Row],[setting]],vcost[],7,FALSE),0)</f>
        <v>9.5197007624736898</v>
      </c>
      <c r="AA109">
        <f>IFERROR(VLOOKUP(lmic_raw[[#This Row],[setting]],vcost[],8,FALSE),0)</f>
        <v>6.147498273321121</v>
      </c>
      <c r="AB109">
        <f>IFERROR(VLOOKUP(lmic_raw[[#This Row],[setting]],vcost[],9,FALSE),0)</f>
        <v>10.217498273321121</v>
      </c>
      <c r="AC109" s="33">
        <f>IFERROR(INDEX(acm[],MATCH($C109,acm[[Country code]:[Country code]],0),MATCH(AC$1,acm[#Headers],0)),0)</f>
        <v>4.8995299999999411E-3</v>
      </c>
      <c r="AD109" s="33">
        <f>IFERROR(INDEX(acm[],MATCH($C109,acm[[Country code]:[Country code]],0),MATCH(AD$1,acm[#Headers],0)),0)</f>
        <v>1.7083953341918287E-4</v>
      </c>
      <c r="AE109" s="33">
        <f>IFERROR(INDEX(acm[],MATCH($C109,acm[[Country code]:[Country code]],0),MATCH(AE$1,acm[#Headers],0)),0)</f>
        <v>1.0017090758570446E-4</v>
      </c>
      <c r="AF109" s="33">
        <f>IFERROR(INDEX(acm[],MATCH($C109,acm[[Country code]:[Country code]],0),MATCH(AF$1,acm[#Headers],0)),0)</f>
        <v>1.1698901242191568E-4</v>
      </c>
      <c r="AG109" s="33">
        <f>IFERROR(INDEX(acm[],MATCH($C109,acm[[Country code]:[Country code]],0),MATCH(AG$1,acm[#Headers],0)),0)</f>
        <v>3.0176746654203036E-4</v>
      </c>
      <c r="AH109" s="33">
        <f>IFERROR(INDEX(acm[],MATCH($C109,acm[[Country code]:[Country code]],0),MATCH(AH$1,acm[#Headers],0)),0)</f>
        <v>4.1528984317687332E-4</v>
      </c>
      <c r="AI109" s="33">
        <f>IFERROR(INDEX(acm[],MATCH($C109,acm[[Country code]:[Country code]],0),MATCH(AI$1,acm[#Headers],0)),0)</f>
        <v>5.3377776219185849E-4</v>
      </c>
      <c r="AJ109" s="33">
        <f>IFERROR(INDEX(acm[],MATCH($C109,acm[[Country code]:[Country code]],0),MATCH(AJ$1,acm[#Headers],0)),0)</f>
        <v>7.715269962067933E-4</v>
      </c>
      <c r="AK109" s="33">
        <f>IFERROR(INDEX(acm[],MATCH($C109,acm[[Country code]:[Country code]],0),MATCH(AK$1,acm[#Headers],0)),0)</f>
        <v>1.0787494523981423E-3</v>
      </c>
      <c r="AL109" s="33">
        <f>IFERROR(INDEX(acm[],MATCH($C109,acm[[Country code]:[Country code]],0),MATCH(AL$1,acm[#Headers],0)),0)</f>
        <v>1.8174140218163799E-3</v>
      </c>
      <c r="AM109" s="33">
        <f>IFERROR(INDEX(acm[],MATCH($C109,acm[[Country code]:[Country code]],0),MATCH(AM$1,acm[#Headers],0)),0)</f>
        <v>3.1902679586234893E-3</v>
      </c>
      <c r="AN109" s="33">
        <f>IFERROR(INDEX(acm[],MATCH($C109,acm[[Country code]:[Country code]],0),MATCH(AN$1,acm[#Headers],0)),0)</f>
        <v>5.6146180614289696E-3</v>
      </c>
      <c r="AO109" s="33">
        <f>IFERROR(INDEX(acm[],MATCH($C109,acm[[Country code]:[Country code]],0),MATCH(AO$1,acm[#Headers],0)),0)</f>
        <v>9.1625996944298422E-3</v>
      </c>
      <c r="AP109" s="33">
        <f>IFERROR(INDEX(acm[],MATCH($C109,acm[[Country code]:[Country code]],0),MATCH(AP$1,acm[#Headers],0)),0)</f>
        <v>1.4191375580089568E-2</v>
      </c>
      <c r="AQ109" s="33">
        <f>IFERROR(INDEX(acm[],MATCH($C109,acm[[Country code]:[Country code]],0),MATCH(AQ$1,acm[#Headers],0)),0)</f>
        <v>2.0881851655931701E-2</v>
      </c>
      <c r="AR109" s="33">
        <f>IFERROR(INDEX(acm[],MATCH($C109,acm[[Country code]:[Country code]],0),MATCH(AR$1,acm[#Headers],0)),0)</f>
        <v>3.1816428853184232E-2</v>
      </c>
      <c r="AS109" s="33">
        <f>IFERROR(INDEX(acm[],MATCH($C109,acm[[Country code]:[Country code]],0),MATCH(AS$1,acm[#Headers],0)),0)</f>
        <v>5.3497565689160982E-2</v>
      </c>
      <c r="AT109" s="33">
        <f>IFERROR(INDEX(acm[],MATCH($C109,acm[[Country code]:[Country code]],0),MATCH(AT$1,acm[#Headers],0)),0)</f>
        <v>8.5797755667433112E-2</v>
      </c>
      <c r="AU109" s="33">
        <f>IFERROR(INDEX(acm[],MATCH($C109,acm[[Country code]:[Country code]],0),MATCH(AU$1,acm[#Headers],0)),0)</f>
        <v>0.12234204064157438</v>
      </c>
      <c r="AV109" s="33">
        <f>IFERROR(INDEX(acm[],MATCH($C109,acm[[Country code]:[Country code]],0),MATCH(AV$1,acm[#Headers],0)),0)</f>
        <v>0.16031023685506621</v>
      </c>
      <c r="AW109" s="33">
        <f>IFERROR(INDEX(acm[],MATCH($C109,acm[[Country code]:[Country code]],0),MATCH(AW$1,acm[#Headers],0)),0)</f>
        <v>0.18252897881819899</v>
      </c>
      <c r="AX109" s="33">
        <f>IFERROR(VLOOKUP(lmic_raw[[#This Row],[num]],life_exp[[Country code]:[2015-2020]],2,FALSE),0)</f>
        <v>75.772000000000006</v>
      </c>
    </row>
    <row r="110" spans="1:50" x14ac:dyDescent="0.25">
      <c r="A110" s="109" t="s">
        <v>153</v>
      </c>
      <c r="B110" s="101" t="s">
        <v>509</v>
      </c>
      <c r="C110" s="102">
        <v>694</v>
      </c>
      <c r="D110" s="82" t="s">
        <v>677</v>
      </c>
      <c r="E110" s="82" t="s">
        <v>591</v>
      </c>
      <c r="F110" s="82" t="s">
        <v>667</v>
      </c>
      <c r="G110" s="82" t="s">
        <v>674</v>
      </c>
      <c r="H110" s="33">
        <f>VLOOKUP(lmic_raw[[#This Row],[num]],pop[[Country code]:[pop_20]],2,FALSE)*1000</f>
        <v>7813207</v>
      </c>
      <c r="I110" s="117">
        <f>IFERROR(VLOOKUP(lmic_raw[[#This Row],[num]],pop[[Country code]:[pop_20]],2,FALSE)*VLOOKUP(lmic_raw[[#This Row],[num]],b_rate[[Country code]:[2015-2020]],2,FALSE),0)</f>
        <v>263500.40607500001</v>
      </c>
      <c r="J110">
        <f>IFERROR(MIN(VLOOKUP(lmic_raw[[#This Row],[iso3]],fac_b[],4,FALSE)/100,0.9999),0)</f>
        <v>0.83400000000000007</v>
      </c>
      <c r="K110" s="33">
        <f>VLOOKUP(lmic_raw[[#This Row],[iso3]],vax[[iso3]:[hbv3]],2,FALSE)/100</f>
        <v>0</v>
      </c>
      <c r="L110" s="33">
        <f>VLOOKUP(lmic_raw[[#This Row],[iso3]],vax[[iso3]:[hbv3]],3,FALSE)/100</f>
        <v>0.95</v>
      </c>
      <c r="M110">
        <f>IFERROR(VLOOKUP(lmic_raw[[#This Row],[iso3]], hbv_prev[[iso3]:[ub]],2,FALSE)/100,0)</f>
        <v>0.18640000000000001</v>
      </c>
      <c r="N110">
        <f>IFERROR(VLOOKUP(lmic_raw[[#This Row],[setting]],hbe_prev[],3,FALSE),0)</f>
        <v>0.29917053231968926</v>
      </c>
      <c r="O110">
        <f>VLOOKUP(lmic_raw[[#This Row],[gbd_super]],hbe_risk[],2,FALSE)</f>
        <v>0.38300000000000001</v>
      </c>
      <c r="P110" s="33">
        <f>VLOOKUP(lmic_raw[[#This Row],[gbd_super]],hbe_risk[],5,FALSE)</f>
        <v>4.8000000000000001E-2</v>
      </c>
      <c r="Q110">
        <f>IFERROR(VLOOKUP(lmic_raw[[#This Row],[setting]],disease_costs!$A$4:$B$197,2,FALSE),0)</f>
        <v>2.6463951794130609</v>
      </c>
      <c r="R110">
        <f>IFERROR(VLOOKUP(lmic_raw[[#This Row],[gbd_super]],disease_costs!$G$4:$K$9,2,FALSE),0)</f>
        <v>29.920500000000001</v>
      </c>
      <c r="S110" s="33">
        <f>IFERROR(VLOOKUP(lmic_raw[[#This Row],[gbd_super]],disease_costs!$G$4:$K$9,3,FALSE),0)</f>
        <v>77.662500000000009</v>
      </c>
      <c r="T110" s="33">
        <f>IFERROR(VLOOKUP(lmic_raw[[#This Row],[gbd_super]],disease_costs!$G$4:$K$9,4,FALSE),0)</f>
        <v>77.662500000000009</v>
      </c>
      <c r="U110" s="33">
        <f>IFERROR(VLOOKUP(lmic_raw[[#This Row],[gbd_super]],disease_costs!$G$4:$K$9,5,FALSE),0)</f>
        <v>77.662500000000009</v>
      </c>
      <c r="V110">
        <f>IFERROR(VLOOKUP(lmic_raw[[#This Row],[setting]],vcost[],3,FALSE),0)</f>
        <v>2.702850032597182</v>
      </c>
      <c r="W110">
        <f>IFERROR(VLOOKUP(lmic_raw[[#This Row],[setting]],vcost[],4,FALSE),0)</f>
        <v>7.5328500325971817</v>
      </c>
      <c r="X110">
        <f>IFERROR(VLOOKUP(lmic_raw[[#This Row],[setting]],vcost[],5,FALSE),0)</f>
        <v>2.2803467262290309</v>
      </c>
      <c r="Y110">
        <f>IFERROR(VLOOKUP(lmic_raw[[#This Row],[setting]],vcost[],6,FALSE),0)</f>
        <v>7.1103467262290305</v>
      </c>
      <c r="Z110">
        <f>IFERROR(VLOOKUP(lmic_raw[[#This Row],[setting]],vcost[],7,FALSE),0)</f>
        <v>7.1085892354628548</v>
      </c>
      <c r="AA110">
        <f>IFERROR(VLOOKUP(lmic_raw[[#This Row],[setting]],vcost[],8,FALSE),0)</f>
        <v>2.9433737769880515</v>
      </c>
      <c r="AB110">
        <f>IFERROR(VLOOKUP(lmic_raw[[#This Row],[setting]],vcost[],9,FALSE),0)</f>
        <v>7.773373776988052</v>
      </c>
      <c r="AC110" s="33">
        <f>IFERROR(INDEX(acm[],MATCH($C110,acm[[Country code]:[Country code]],0),MATCH(AC$1,acm[#Headers],0)),0)</f>
        <v>8.0791989999999939E-2</v>
      </c>
      <c r="AD110" s="33">
        <f>IFERROR(INDEX(acm[],MATCH($C110,acm[[Country code]:[Country code]],0),MATCH(AD$1,acm[#Headers],0)),0)</f>
        <v>8.0492064032383816E-3</v>
      </c>
      <c r="AE110" s="33">
        <f>IFERROR(INDEX(acm[],MATCH($C110,acm[[Country code]:[Country code]],0),MATCH(AE$1,acm[#Headers],0)),0)</f>
        <v>3.5608000666088016E-3</v>
      </c>
      <c r="AF110" s="33">
        <f>IFERROR(INDEX(acm[],MATCH($C110,acm[[Country code]:[Country code]],0),MATCH(AF$1,acm[#Headers],0)),0)</f>
        <v>2.6162080832433177E-3</v>
      </c>
      <c r="AG110" s="33">
        <f>IFERROR(INDEX(acm[],MATCH($C110,acm[[Country code]:[Country code]],0),MATCH(AG$1,acm[#Headers],0)),0)</f>
        <v>4.3052383161752408E-3</v>
      </c>
      <c r="AH110" s="33">
        <f>IFERROR(INDEX(acm[],MATCH($C110,acm[[Country code]:[Country code]],0),MATCH(AH$1,acm[#Headers],0)),0)</f>
        <v>5.9920316757103246E-3</v>
      </c>
      <c r="AI110" s="33">
        <f>IFERROR(INDEX(acm[],MATCH($C110,acm[[Country code]:[Country code]],0),MATCH(AI$1,acm[#Headers],0)),0)</f>
        <v>6.5786935829567836E-3</v>
      </c>
      <c r="AJ110" s="33">
        <f>IFERROR(INDEX(acm[],MATCH($C110,acm[[Country code]:[Country code]],0),MATCH(AJ$1,acm[#Headers],0)),0)</f>
        <v>7.234750920304415E-3</v>
      </c>
      <c r="AK110" s="33">
        <f>IFERROR(INDEX(acm[],MATCH($C110,acm[[Country code]:[Country code]],0),MATCH(AK$1,acm[#Headers],0)),0)</f>
        <v>8.3504644636627923E-3</v>
      </c>
      <c r="AL110" s="33">
        <f>IFERROR(INDEX(acm[],MATCH($C110,acm[[Country code]:[Country code]],0),MATCH(AL$1,acm[#Headers],0)),0)</f>
        <v>9.8848707524258565E-3</v>
      </c>
      <c r="AM110" s="33">
        <f>IFERROR(INDEX(acm[],MATCH($C110,acm[[Country code]:[Country code]],0),MATCH(AM$1,acm[#Headers],0)),0)</f>
        <v>1.2124266776455981E-2</v>
      </c>
      <c r="AN110" s="33">
        <f>IFERROR(INDEX(acm[],MATCH($C110,acm[[Country code]:[Country code]],0),MATCH(AN$1,acm[#Headers],0)),0)</f>
        <v>1.586958988938663E-2</v>
      </c>
      <c r="AO110" s="33">
        <f>IFERROR(INDEX(acm[],MATCH($C110,acm[[Country code]:[Country code]],0),MATCH(AO$1,acm[#Headers],0)),0)</f>
        <v>2.1106310169851972E-2</v>
      </c>
      <c r="AP110" s="33">
        <f>IFERROR(INDEX(acm[],MATCH($C110,acm[[Country code]:[Country code]],0),MATCH(AP$1,acm[#Headers],0)),0)</f>
        <v>2.9723773963725244E-2</v>
      </c>
      <c r="AQ110" s="33">
        <f>IFERROR(INDEX(acm[],MATCH($C110,acm[[Country code]:[Country code]],0),MATCH(AQ$1,acm[#Headers],0)),0)</f>
        <v>4.2050380421760292E-2</v>
      </c>
      <c r="AR110" s="33">
        <f>IFERROR(INDEX(acm[],MATCH($C110,acm[[Country code]:[Country code]],0),MATCH(AR$1,acm[#Headers],0)),0)</f>
        <v>6.0552989573148606E-2</v>
      </c>
      <c r="AS110" s="33">
        <f>IFERROR(INDEX(acm[],MATCH($C110,acm[[Country code]:[Country code]],0),MATCH(AS$1,acm[#Headers],0)),0)</f>
        <v>8.4562642131675372E-2</v>
      </c>
      <c r="AT110" s="33">
        <f>IFERROR(INDEX(acm[],MATCH($C110,acm[[Country code]:[Country code]],0),MATCH(AT$1,acm[#Headers],0)),0)</f>
        <v>0.11276112706617331</v>
      </c>
      <c r="AU110" s="33">
        <f>IFERROR(INDEX(acm[],MATCH($C110,acm[[Country code]:[Country code]],0),MATCH(AU$1,acm[#Headers],0)),0)</f>
        <v>0.13854292675347465</v>
      </c>
      <c r="AV110" s="33">
        <f>IFERROR(INDEX(acm[],MATCH($C110,acm[[Country code]:[Country code]],0),MATCH(AV$1,acm[#Headers],0)),0)</f>
        <v>0.16107073910210398</v>
      </c>
      <c r="AW110" s="33">
        <f>IFERROR(INDEX(acm[],MATCH($C110,acm[[Country code]:[Country code]],0),MATCH(AW$1,acm[#Headers],0)),0)</f>
        <v>0.17851912460620289</v>
      </c>
      <c r="AX110" s="33">
        <f>IFERROR(VLOOKUP(lmic_raw[[#This Row],[num]],life_exp[[Country code]:[2015-2020]],2,FALSE),0)</f>
        <v>54.066000000000003</v>
      </c>
    </row>
    <row r="111" spans="1:50" x14ac:dyDescent="0.25">
      <c r="A111" s="110" t="s">
        <v>284</v>
      </c>
      <c r="B111" s="104" t="s">
        <v>512</v>
      </c>
      <c r="C111" s="105">
        <v>90</v>
      </c>
      <c r="D111" s="84" t="s">
        <v>681</v>
      </c>
      <c r="E111" s="84" t="s">
        <v>98</v>
      </c>
      <c r="F111" s="84" t="s">
        <v>666</v>
      </c>
      <c r="G111" s="84" t="s">
        <v>678</v>
      </c>
      <c r="H111" s="33">
        <f>VLOOKUP(lmic_raw[[#This Row],[num]],pop[[Country code]:[pop_20]],2,FALSE)*1000</f>
        <v>669821</v>
      </c>
      <c r="I111" s="117">
        <f>IFERROR(VLOOKUP(lmic_raw[[#This Row],[num]],pop[[Country code]:[pop_20]],2,FALSE)*VLOOKUP(lmic_raw[[#This Row],[num]],b_rate[[Country code]:[2015-2020]],2,FALSE),0)</f>
        <v>21909.84491</v>
      </c>
      <c r="J111">
        <f>IFERROR(MIN(VLOOKUP(lmic_raw[[#This Row],[iso3]],fac_b[],4,FALSE)/100,0.9999),0)</f>
        <v>0.84499999999999997</v>
      </c>
      <c r="K111" s="33">
        <f>VLOOKUP(lmic_raw[[#This Row],[iso3]],vax[[iso3]:[hbv3]],2,FALSE)/100</f>
        <v>0.66</v>
      </c>
      <c r="L111" s="33">
        <f>VLOOKUP(lmic_raw[[#This Row],[iso3]],vax[[iso3]:[hbv3]],3,FALSE)/100</f>
        <v>0.94</v>
      </c>
      <c r="M111">
        <f>IFERROR(VLOOKUP(lmic_raw[[#This Row],[iso3]], hbv_prev[[iso3]:[ub]],2,FALSE)/100,0)</f>
        <v>0.1091</v>
      </c>
      <c r="N111">
        <f>IFERROR(VLOOKUP(lmic_raw[[#This Row],[setting]],hbe_prev[],3,FALSE),0)</f>
        <v>0.33679792873325681</v>
      </c>
      <c r="O111">
        <f>VLOOKUP(lmic_raw[[#This Row],[gbd_super]],hbe_risk[],2,FALSE)</f>
        <v>0.8</v>
      </c>
      <c r="P111" s="33">
        <f>VLOOKUP(lmic_raw[[#This Row],[gbd_super]],hbe_risk[],5,FALSE)</f>
        <v>0.17499999999999999</v>
      </c>
      <c r="Q111">
        <f>IFERROR(VLOOKUP(lmic_raw[[#This Row],[setting]],disease_costs!$A$4:$B$197,2,FALSE),0)</f>
        <v>5.8154315715242433</v>
      </c>
      <c r="R111">
        <f>IFERROR(VLOOKUP(lmic_raw[[#This Row],[gbd_super]],disease_costs!$G$4:$K$9,2,FALSE),0)</f>
        <v>73.084500000000006</v>
      </c>
      <c r="S111" s="33">
        <f>IFERROR(VLOOKUP(lmic_raw[[#This Row],[gbd_super]],disease_costs!$G$4:$K$9,3,FALSE),0)</f>
        <v>120.8265</v>
      </c>
      <c r="T111" s="33">
        <f>IFERROR(VLOOKUP(lmic_raw[[#This Row],[gbd_super]],disease_costs!$G$4:$K$9,4,FALSE),0)</f>
        <v>120.8265</v>
      </c>
      <c r="U111" s="33">
        <f>IFERROR(VLOOKUP(lmic_raw[[#This Row],[gbd_super]],disease_costs!$G$4:$K$9,5,FALSE),0)</f>
        <v>120.8265</v>
      </c>
      <c r="V111">
        <f>IFERROR(VLOOKUP(lmic_raw[[#This Row],[setting]],vcost[],3,FALSE),0)</f>
        <v>5.2224866508980927</v>
      </c>
      <c r="W111">
        <f>IFERROR(VLOOKUP(lmic_raw[[#This Row],[setting]],vcost[],4,FALSE),0)</f>
        <v>5.8524866508980926</v>
      </c>
      <c r="X111">
        <f>IFERROR(VLOOKUP(lmic_raw[[#This Row],[setting]],vcost[],5,FALSE),0)</f>
        <v>4.7910984730862474</v>
      </c>
      <c r="Y111">
        <f>IFERROR(VLOOKUP(lmic_raw[[#This Row],[setting]],vcost[],6,FALSE),0)</f>
        <v>5.4210984730862473</v>
      </c>
      <c r="Z111">
        <f>IFERROR(VLOOKUP(lmic_raw[[#This Row],[setting]],vcost[],7,FALSE),0)</f>
        <v>5.4158813358426796</v>
      </c>
      <c r="AA111">
        <f>IFERROR(VLOOKUP(lmic_raw[[#This Row],[setting]],vcost[],8,FALSE),0)</f>
        <v>5.4662130815070364</v>
      </c>
      <c r="AB111">
        <f>IFERROR(VLOOKUP(lmic_raw[[#This Row],[setting]],vcost[],9,FALSE),0)</f>
        <v>6.0962130815070363</v>
      </c>
      <c r="AC111" s="33">
        <f>IFERROR(INDEX(acm[],MATCH($C111,acm[[Country code]:[Country code]],0),MATCH(AC$1,acm[#Headers],0)),0)</f>
        <v>1.5456410000000033E-2</v>
      </c>
      <c r="AD111" s="33">
        <f>IFERROR(INDEX(acm[],MATCH($C111,acm[[Country code]:[Country code]],0),MATCH(AD$1,acm[#Headers],0)),0)</f>
        <v>1.185059261825066E-3</v>
      </c>
      <c r="AE111" s="33">
        <f>IFERROR(INDEX(acm[],MATCH($C111,acm[[Country code]:[Country code]],0),MATCH(AE$1,acm[#Headers],0)),0)</f>
        <v>4.3456899706413371E-4</v>
      </c>
      <c r="AF111" s="33">
        <f>IFERROR(INDEX(acm[],MATCH($C111,acm[[Country code]:[Country code]],0),MATCH(AF$1,acm[#Headers],0)),0)</f>
        <v>4.0021784765494707E-4</v>
      </c>
      <c r="AG111" s="33">
        <f>IFERROR(INDEX(acm[],MATCH($C111,acm[[Country code]:[Country code]],0),MATCH(AG$1,acm[#Headers],0)),0)</f>
        <v>8.7837052473555433E-4</v>
      </c>
      <c r="AH111" s="33">
        <f>IFERROR(INDEX(acm[],MATCH($C111,acm[[Country code]:[Country code]],0),MATCH(AH$1,acm[#Headers],0)),0)</f>
        <v>1.1512833469450293E-3</v>
      </c>
      <c r="AI111" s="33">
        <f>IFERROR(INDEX(acm[],MATCH($C111,acm[[Country code]:[Country code]],0),MATCH(AI$1,acm[#Headers],0)),0)</f>
        <v>1.214610400427136E-3</v>
      </c>
      <c r="AJ111" s="33">
        <f>IFERROR(INDEX(acm[],MATCH($C111,acm[[Country code]:[Country code]],0),MATCH(AJ$1,acm[#Headers],0)),0)</f>
        <v>1.4435251908193217E-3</v>
      </c>
      <c r="AK111" s="33">
        <f>IFERROR(INDEX(acm[],MATCH($C111,acm[[Country code]:[Country code]],0),MATCH(AK$1,acm[#Headers],0)),0)</f>
        <v>1.9439613398437219E-3</v>
      </c>
      <c r="AL111" s="33">
        <f>IFERROR(INDEX(acm[],MATCH($C111,acm[[Country code]:[Country code]],0),MATCH(AL$1,acm[#Headers],0)),0)</f>
        <v>2.7999278701697052E-3</v>
      </c>
      <c r="AM111" s="33">
        <f>IFERROR(INDEX(acm[],MATCH($C111,acm[[Country code]:[Country code]],0),MATCH(AM$1,acm[#Headers],0)),0)</f>
        <v>4.3143020320886979E-3</v>
      </c>
      <c r="AN111" s="33">
        <f>IFERROR(INDEX(acm[],MATCH($C111,acm[[Country code]:[Country code]],0),MATCH(AN$1,acm[#Headers],0)),0)</f>
        <v>6.7067196149096986E-3</v>
      </c>
      <c r="AO111" s="33">
        <f>IFERROR(INDEX(acm[],MATCH($C111,acm[[Country code]:[Country code]],0),MATCH(AO$1,acm[#Headers],0)),0)</f>
        <v>1.0468477461403398E-2</v>
      </c>
      <c r="AP111" s="33">
        <f>IFERROR(INDEX(acm[],MATCH($C111,acm[[Country code]:[Country code]],0),MATCH(AP$1,acm[#Headers],0)),0)</f>
        <v>1.5597674100623312E-2</v>
      </c>
      <c r="AQ111" s="33">
        <f>IFERROR(INDEX(acm[],MATCH($C111,acm[[Country code]:[Country code]],0),MATCH(AQ$1,acm[#Headers],0)),0)</f>
        <v>2.2999236052853578E-2</v>
      </c>
      <c r="AR111" s="33">
        <f>IFERROR(INDEX(acm[],MATCH($C111,acm[[Country code]:[Country code]],0),MATCH(AR$1,acm[#Headers],0)),0)</f>
        <v>3.5236499263685224E-2</v>
      </c>
      <c r="AS111" s="33">
        <f>IFERROR(INDEX(acm[],MATCH($C111,acm[[Country code]:[Country code]],0),MATCH(AS$1,acm[#Headers],0)),0)</f>
        <v>5.5711063082160645E-2</v>
      </c>
      <c r="AT111" s="33">
        <f>IFERROR(INDEX(acm[],MATCH($C111,acm[[Country code]:[Country code]],0),MATCH(AT$1,acm[#Headers],0)),0)</f>
        <v>8.329784520348002E-2</v>
      </c>
      <c r="AU111" s="33">
        <f>IFERROR(INDEX(acm[],MATCH($C111,acm[[Country code]:[Country code]],0),MATCH(AU$1,acm[#Headers],0)),0)</f>
        <v>0.11646687399081383</v>
      </c>
      <c r="AV111" s="33">
        <f>IFERROR(INDEX(acm[],MATCH($C111,acm[[Country code]:[Country code]],0),MATCH(AV$1,acm[#Headers],0)),0)</f>
        <v>0.14696431176372771</v>
      </c>
      <c r="AW111" s="33">
        <f>IFERROR(INDEX(acm[],MATCH($C111,acm[[Country code]:[Country code]],0),MATCH(AW$1,acm[#Headers],0)),0)</f>
        <v>0.17021019311485017</v>
      </c>
      <c r="AX111" s="33">
        <f>IFERROR(VLOOKUP(lmic_raw[[#This Row],[num]],life_exp[[Country code]:[2015-2020]],2,FALSE),0)</f>
        <v>72.772999999999996</v>
      </c>
    </row>
    <row r="112" spans="1:50" x14ac:dyDescent="0.25">
      <c r="A112" s="109" t="s">
        <v>115</v>
      </c>
      <c r="B112" s="101" t="s">
        <v>513</v>
      </c>
      <c r="C112" s="102">
        <v>706</v>
      </c>
      <c r="D112" s="82" t="s">
        <v>673</v>
      </c>
      <c r="E112" s="82" t="s">
        <v>597</v>
      </c>
      <c r="F112" s="82" t="s">
        <v>667</v>
      </c>
      <c r="G112" s="82" t="s">
        <v>674</v>
      </c>
      <c r="H112" s="33">
        <f>VLOOKUP(lmic_raw[[#This Row],[num]],pop[[Country code]:[pop_20]],2,FALSE)*1000</f>
        <v>15442906</v>
      </c>
      <c r="I112" s="117">
        <f>IFERROR(VLOOKUP(lmic_raw[[#This Row],[num]],pop[[Country code]:[pop_20]],2,FALSE)*VLOOKUP(lmic_raw[[#This Row],[num]],b_rate[[Country code]:[2015-2020]],2,FALSE),0)</f>
        <v>646563.58840800007</v>
      </c>
      <c r="J112">
        <f>IFERROR(MIN(VLOOKUP(lmic_raw[[#This Row],[iso3]],fac_b[],4,FALSE)/100,0.9999),0)</f>
        <v>0.20699999999999999</v>
      </c>
      <c r="K112" s="33">
        <f>VLOOKUP(lmic_raw[[#This Row],[iso3]],vax[[iso3]:[hbv3]],2,FALSE)/100</f>
        <v>0</v>
      </c>
      <c r="L112" s="33">
        <f>VLOOKUP(lmic_raw[[#This Row],[iso3]],vax[[iso3]:[hbv3]],3,FALSE)/100</f>
        <v>0.42</v>
      </c>
      <c r="M112">
        <f>IFERROR(VLOOKUP(lmic_raw[[#This Row],[iso3]], hbv_prev[[iso3]:[ub]],2,FALSE)/100,0)</f>
        <v>0.13449999999999998</v>
      </c>
      <c r="N112">
        <f>IFERROR(VLOOKUP(lmic_raw[[#This Row],[setting]],hbe_prev[],3,FALSE),0)</f>
        <v>0.28962325777757897</v>
      </c>
      <c r="O112">
        <f>VLOOKUP(lmic_raw[[#This Row],[gbd_super]],hbe_risk[],2,FALSE)</f>
        <v>0.38300000000000001</v>
      </c>
      <c r="P112" s="33">
        <f>VLOOKUP(lmic_raw[[#This Row],[gbd_super]],hbe_risk[],5,FALSE)</f>
        <v>4.8000000000000001E-2</v>
      </c>
      <c r="Q112" s="118">
        <f>IFERROR(VLOOKUP(lmic_raw[[#This Row],[setting]],disease_costs!$A$4:$B$197,2,FALSE),0)</f>
        <v>0</v>
      </c>
      <c r="R112">
        <f>IFERROR(VLOOKUP(lmic_raw[[#This Row],[gbd_super]],disease_costs!$G$4:$K$9,2,FALSE),0)</f>
        <v>29.920500000000001</v>
      </c>
      <c r="S112" s="33">
        <f>IFERROR(VLOOKUP(lmic_raw[[#This Row],[gbd_super]],disease_costs!$G$4:$K$9,3,FALSE),0)</f>
        <v>77.662500000000009</v>
      </c>
      <c r="T112" s="33">
        <f>IFERROR(VLOOKUP(lmic_raw[[#This Row],[gbd_super]],disease_costs!$G$4:$K$9,4,FALSE),0)</f>
        <v>77.662500000000009</v>
      </c>
      <c r="U112" s="33">
        <f>IFERROR(VLOOKUP(lmic_raw[[#This Row],[gbd_super]],disease_costs!$G$4:$K$9,5,FALSE),0)</f>
        <v>77.662500000000009</v>
      </c>
      <c r="V112">
        <f>IFERROR(VLOOKUP(lmic_raw[[#This Row],[setting]],vcost[],3,FALSE),0)</f>
        <v>0.91443059975032437</v>
      </c>
      <c r="W112">
        <f>IFERROR(VLOOKUP(lmic_raw[[#This Row],[setting]],vcost[],4,FALSE),0)</f>
        <v>5.7444305997503244</v>
      </c>
      <c r="X112">
        <f>IFERROR(VLOOKUP(lmic_raw[[#This Row],[setting]],vcost[],5,FALSE),0)</f>
        <v>0.4953882268687767</v>
      </c>
      <c r="Y112">
        <f>IFERROR(VLOOKUP(lmic_raw[[#This Row],[setting]],vcost[],6,FALSE),0)</f>
        <v>5.3253882268687764</v>
      </c>
      <c r="Z112">
        <f>IFERROR(VLOOKUP(lmic_raw[[#This Row],[setting]],vcost[],7,FALSE),0)</f>
        <v>5.3249507914761818</v>
      </c>
      <c r="AA112">
        <f>IFERROR(VLOOKUP(lmic_raw[[#This Row],[setting]],vcost[],8,FALSE),0)</f>
        <v>1.1537067983495106</v>
      </c>
      <c r="AB112">
        <f>IFERROR(VLOOKUP(lmic_raw[[#This Row],[setting]],vcost[],9,FALSE),0)</f>
        <v>5.9837067983495107</v>
      </c>
      <c r="AC112" s="33">
        <f>IFERROR(INDEX(acm[],MATCH($C112,acm[[Country code]:[Country code]],0),MATCH(AC$1,acm[#Headers],0)),0)</f>
        <v>6.932369999999996E-2</v>
      </c>
      <c r="AD112" s="33">
        <f>IFERROR(INDEX(acm[],MATCH($C112,acm[[Country code]:[Country code]],0),MATCH(AD$1,acm[#Headers],0)),0)</f>
        <v>1.2292378134051579E-2</v>
      </c>
      <c r="AE112" s="33">
        <f>IFERROR(INDEX(acm[],MATCH($C112,acm[[Country code]:[Country code]],0),MATCH(AE$1,acm[#Headers],0)),0)</f>
        <v>4.0540824580519112E-3</v>
      </c>
      <c r="AF112" s="33">
        <f>IFERROR(INDEX(acm[],MATCH($C112,acm[[Country code]:[Country code]],0),MATCH(AF$1,acm[#Headers],0)),0)</f>
        <v>2.9133664091514143E-3</v>
      </c>
      <c r="AG112" s="33">
        <f>IFERROR(INDEX(acm[],MATCH($C112,acm[[Country code]:[Country code]],0),MATCH(AG$1,acm[#Headers],0)),0)</f>
        <v>3.0976930870894644E-3</v>
      </c>
      <c r="AH112" s="33">
        <f>IFERROR(INDEX(acm[],MATCH($C112,acm[[Country code]:[Country code]],0),MATCH(AH$1,acm[#Headers],0)),0)</f>
        <v>4.0747286584552917E-3</v>
      </c>
      <c r="AI112" s="33">
        <f>IFERROR(INDEX(acm[],MATCH($C112,acm[[Country code]:[Country code]],0),MATCH(AI$1,acm[#Headers],0)),0)</f>
        <v>4.9273942521363195E-3</v>
      </c>
      <c r="AJ112" s="33">
        <f>IFERROR(INDEX(acm[],MATCH($C112,acm[[Country code]:[Country code]],0),MATCH(AJ$1,acm[#Headers],0)),0)</f>
        <v>5.8026712326014421E-3</v>
      </c>
      <c r="AK112" s="33">
        <f>IFERROR(INDEX(acm[],MATCH($C112,acm[[Country code]:[Country code]],0),MATCH(AK$1,acm[#Headers],0)),0)</f>
        <v>7.1388328187386571E-3</v>
      </c>
      <c r="AL112" s="33">
        <f>IFERROR(INDEX(acm[],MATCH($C112,acm[[Country code]:[Country code]],0),MATCH(AL$1,acm[#Headers],0)),0)</f>
        <v>8.1011139053546385E-3</v>
      </c>
      <c r="AM112" s="33">
        <f>IFERROR(INDEX(acm[],MATCH($C112,acm[[Country code]:[Country code]],0),MATCH(AM$1,acm[#Headers],0)),0)</f>
        <v>9.3317415545775481E-3</v>
      </c>
      <c r="AN112" s="33">
        <f>IFERROR(INDEX(acm[],MATCH($C112,acm[[Country code]:[Country code]],0),MATCH(AN$1,acm[#Headers],0)),0)</f>
        <v>1.159173865518154E-2</v>
      </c>
      <c r="AO112" s="33">
        <f>IFERROR(INDEX(acm[],MATCH($C112,acm[[Country code]:[Country code]],0),MATCH(AO$1,acm[#Headers],0)),0)</f>
        <v>1.5529339410354946E-2</v>
      </c>
      <c r="AP112" s="33">
        <f>IFERROR(INDEX(acm[],MATCH($C112,acm[[Country code]:[Country code]],0),MATCH(AP$1,acm[#Headers],0)),0)</f>
        <v>2.2414689803706509E-2</v>
      </c>
      <c r="AQ112" s="33">
        <f>IFERROR(INDEX(acm[],MATCH($C112,acm[[Country code]:[Country code]],0),MATCH(AQ$1,acm[#Headers],0)),0)</f>
        <v>3.3555760867098883E-2</v>
      </c>
      <c r="AR112" s="33">
        <f>IFERROR(INDEX(acm[],MATCH($C112,acm[[Country code]:[Country code]],0),MATCH(AR$1,acm[#Headers],0)),0)</f>
        <v>5.0425932777532614E-2</v>
      </c>
      <c r="AS112" s="33">
        <f>IFERROR(INDEX(acm[],MATCH($C112,acm[[Country code]:[Country code]],0),MATCH(AS$1,acm[#Headers],0)),0)</f>
        <v>7.3715370361590968E-2</v>
      </c>
      <c r="AT112" s="33">
        <f>IFERROR(INDEX(acm[],MATCH($C112,acm[[Country code]:[Country code]],0),MATCH(AT$1,acm[#Headers],0)),0)</f>
        <v>0.1023196114503603</v>
      </c>
      <c r="AU112" s="33">
        <f>IFERROR(INDEX(acm[],MATCH($C112,acm[[Country code]:[Country code]],0),MATCH(AU$1,acm[#Headers],0)),0)</f>
        <v>0.13209411290570217</v>
      </c>
      <c r="AV112" s="33">
        <f>IFERROR(INDEX(acm[],MATCH($C112,acm[[Country code]:[Country code]],0),MATCH(AV$1,acm[#Headers],0)),0)</f>
        <v>0.15802590741274858</v>
      </c>
      <c r="AW112" s="33">
        <f>IFERROR(INDEX(acm[],MATCH($C112,acm[[Country code]:[Country code]],0),MATCH(AW$1,acm[#Headers],0)),0)</f>
        <v>0.1755877121405956</v>
      </c>
      <c r="AX112" s="33">
        <f>IFERROR(VLOOKUP(lmic_raw[[#This Row],[num]],life_exp[[Country code]:[2015-2020]],2,FALSE),0)</f>
        <v>56.941000000000003</v>
      </c>
    </row>
    <row r="113" spans="1:50" x14ac:dyDescent="0.25">
      <c r="A113" s="110" t="s">
        <v>136</v>
      </c>
      <c r="B113" s="104" t="s">
        <v>514</v>
      </c>
      <c r="C113" s="105">
        <v>710</v>
      </c>
      <c r="D113" s="84" t="s">
        <v>677</v>
      </c>
      <c r="E113" s="84" t="s">
        <v>594</v>
      </c>
      <c r="F113" s="84" t="s">
        <v>667</v>
      </c>
      <c r="G113" s="84" t="s">
        <v>676</v>
      </c>
      <c r="H113" s="33">
        <f>VLOOKUP(lmic_raw[[#This Row],[num]],pop[[Country code]:[pop_20]],2,FALSE)*1000</f>
        <v>58558267</v>
      </c>
      <c r="I113" s="117">
        <f>IFERROR(VLOOKUP(lmic_raw[[#This Row],[num]],pop[[Country code]:[pop_20]],2,FALSE)*VLOOKUP(lmic_raw[[#This Row],[num]],b_rate[[Country code]:[2015-2020]],2,FALSE),0)</f>
        <v>1209989.4710210001</v>
      </c>
      <c r="J113">
        <f>IFERROR(MIN(VLOOKUP(lmic_raw[[#This Row],[iso3]],fac_b[],4,FALSE)/100,0.9999),0)</f>
        <v>0.95900000000000007</v>
      </c>
      <c r="K113" s="33">
        <f>VLOOKUP(lmic_raw[[#This Row],[iso3]],vax[[iso3]:[hbv3]],2,FALSE)/100</f>
        <v>0</v>
      </c>
      <c r="L113" s="33">
        <f>VLOOKUP(lmic_raw[[#This Row],[iso3]],vax[[iso3]:[hbv3]],3,FALSE)/100</f>
        <v>0.77</v>
      </c>
      <c r="M113">
        <f>IFERROR(VLOOKUP(lmic_raw[[#This Row],[iso3]], hbv_prev[[iso3]:[ub]],2,FALSE)/100,0)</f>
        <v>3.5299999999999998E-2</v>
      </c>
      <c r="N113">
        <f>IFERROR(VLOOKUP(lmic_raw[[#This Row],[setting]],hbe_prev[],3,FALSE),0)</f>
        <v>0.26188409431340487</v>
      </c>
      <c r="O113">
        <f>VLOOKUP(lmic_raw[[#This Row],[gbd_super]],hbe_risk[],2,FALSE)</f>
        <v>0.38300000000000001</v>
      </c>
      <c r="P113" s="33">
        <f>VLOOKUP(lmic_raw[[#This Row],[gbd_super]],hbe_risk[],5,FALSE)</f>
        <v>4.8000000000000001E-2</v>
      </c>
      <c r="Q113">
        <f>IFERROR(VLOOKUP(lmic_raw[[#This Row],[setting]],disease_costs!$A$4:$B$197,2,FALSE),0)</f>
        <v>12.450230609689605</v>
      </c>
      <c r="R113">
        <f>IFERROR(VLOOKUP(lmic_raw[[#This Row],[gbd_super]],disease_costs!$G$4:$K$9,2,FALSE),0)</f>
        <v>29.920500000000001</v>
      </c>
      <c r="S113" s="33">
        <f>IFERROR(VLOOKUP(lmic_raw[[#This Row],[gbd_super]],disease_costs!$G$4:$K$9,3,FALSE),0)</f>
        <v>77.662500000000009</v>
      </c>
      <c r="T113" s="33">
        <f>IFERROR(VLOOKUP(lmic_raw[[#This Row],[gbd_super]],disease_costs!$G$4:$K$9,4,FALSE),0)</f>
        <v>77.662500000000009</v>
      </c>
      <c r="U113" s="33">
        <f>IFERROR(VLOOKUP(lmic_raw[[#This Row],[gbd_super]],disease_costs!$G$4:$K$9,5,FALSE),0)</f>
        <v>77.662500000000009</v>
      </c>
      <c r="V113">
        <f>IFERROR(VLOOKUP(lmic_raw[[#This Row],[setting]],vcost[],3,FALSE),0)</f>
        <v>2.2564996401913309</v>
      </c>
      <c r="W113">
        <f>IFERROR(VLOOKUP(lmic_raw[[#This Row],[setting]],vcost[],4,FALSE),0)</f>
        <v>7.0864996401913309</v>
      </c>
      <c r="X113">
        <f>IFERROR(VLOOKUP(lmic_raw[[#This Row],[setting]],vcost[],5,FALSE),0)</f>
        <v>1.8194243199151747</v>
      </c>
      <c r="Y113">
        <f>IFERROR(VLOOKUP(lmic_raw[[#This Row],[setting]],vcost[],6,FALSE),0)</f>
        <v>6.649424319915175</v>
      </c>
      <c r="Z113">
        <f>IFERROR(VLOOKUP(lmic_raw[[#This Row],[setting]],vcost[],7,FALSE),0)</f>
        <v>6.6416502839570706</v>
      </c>
      <c r="AA113">
        <f>IFERROR(VLOOKUP(lmic_raw[[#This Row],[setting]],vcost[],8,FALSE),0)</f>
        <v>2.5022760872699688</v>
      </c>
      <c r="AB113">
        <f>IFERROR(VLOOKUP(lmic_raw[[#This Row],[setting]],vcost[],9,FALSE),0)</f>
        <v>7.3322760872699693</v>
      </c>
      <c r="AC113" s="33">
        <f>IFERROR(INDEX(acm[],MATCH($C113,acm[[Country code]:[Country code]],0),MATCH(AC$1,acm[#Headers],0)),0)</f>
        <v>2.7243999999999942E-2</v>
      </c>
      <c r="AD113" s="33">
        <f>IFERROR(INDEX(acm[],MATCH($C113,acm[[Country code]:[Country code]],0),MATCH(AD$1,acm[#Headers],0)),0)</f>
        <v>2.1107605607161781E-3</v>
      </c>
      <c r="AE113" s="33">
        <f>IFERROR(INDEX(acm[],MATCH($C113,acm[[Country code]:[Country code]],0),MATCH(AE$1,acm[#Headers],0)),0)</f>
        <v>9.0179496200364019E-4</v>
      </c>
      <c r="AF113" s="33">
        <f>IFERROR(INDEX(acm[],MATCH($C113,acm[[Country code]:[Country code]],0),MATCH(AF$1,acm[#Headers],0)),0)</f>
        <v>7.5358739008003837E-4</v>
      </c>
      <c r="AG113" s="33">
        <f>IFERROR(INDEX(acm[],MATCH($C113,acm[[Country code]:[Country code]],0),MATCH(AG$1,acm[#Headers],0)),0)</f>
        <v>1.2818679223927346E-3</v>
      </c>
      <c r="AH113" s="33">
        <f>IFERROR(INDEX(acm[],MATCH($C113,acm[[Country code]:[Country code]],0),MATCH(AH$1,acm[#Headers],0)),0)</f>
        <v>2.2862997919574093E-3</v>
      </c>
      <c r="AI113" s="33">
        <f>IFERROR(INDEX(acm[],MATCH($C113,acm[[Country code]:[Country code]],0),MATCH(AI$1,acm[#Headers],0)),0)</f>
        <v>3.826952875428692E-3</v>
      </c>
      <c r="AJ113" s="33">
        <f>IFERROR(INDEX(acm[],MATCH($C113,acm[[Country code]:[Country code]],0),MATCH(AJ$1,acm[#Headers],0)),0)</f>
        <v>5.5851312529672488E-3</v>
      </c>
      <c r="AK113" s="33">
        <f>IFERROR(INDEX(acm[],MATCH($C113,acm[[Country code]:[Country code]],0),MATCH(AK$1,acm[#Headers],0)),0)</f>
        <v>8.1210388699886182E-3</v>
      </c>
      <c r="AL113" s="33">
        <f>IFERROR(INDEX(acm[],MATCH($C113,acm[[Country code]:[Country code]],0),MATCH(AL$1,acm[#Headers],0)),0)</f>
        <v>9.777207288379549E-3</v>
      </c>
      <c r="AM113" s="33">
        <f>IFERROR(INDEX(acm[],MATCH($C113,acm[[Country code]:[Country code]],0),MATCH(AM$1,acm[#Headers],0)),0)</f>
        <v>1.1718262368142149E-2</v>
      </c>
      <c r="AN113" s="33">
        <f>IFERROR(INDEX(acm[],MATCH($C113,acm[[Country code]:[Country code]],0),MATCH(AN$1,acm[#Headers],0)),0)</f>
        <v>1.4223371671272508E-2</v>
      </c>
      <c r="AO113" s="33">
        <f>IFERROR(INDEX(acm[],MATCH($C113,acm[[Country code]:[Country code]],0),MATCH(AO$1,acm[#Headers],0)),0)</f>
        <v>1.7322311807639015E-2</v>
      </c>
      <c r="AP113" s="33">
        <f>IFERROR(INDEX(acm[],MATCH($C113,acm[[Country code]:[Country code]],0),MATCH(AP$1,acm[#Headers],0)),0)</f>
        <v>2.2939427208956795E-2</v>
      </c>
      <c r="AQ113" s="33">
        <f>IFERROR(INDEX(acm[],MATCH($C113,acm[[Country code]:[Country code]],0),MATCH(AQ$1,acm[#Headers],0)),0)</f>
        <v>3.2256302504435473E-2</v>
      </c>
      <c r="AR113" s="33">
        <f>IFERROR(INDEX(acm[],MATCH($C113,acm[[Country code]:[Country code]],0),MATCH(AR$1,acm[#Headers],0)),0)</f>
        <v>4.6985099714795919E-2</v>
      </c>
      <c r="AS113" s="33">
        <f>IFERROR(INDEX(acm[],MATCH($C113,acm[[Country code]:[Country code]],0),MATCH(AS$1,acm[#Headers],0)),0)</f>
        <v>6.8848294879698652E-2</v>
      </c>
      <c r="AT113" s="33">
        <f>IFERROR(INDEX(acm[],MATCH($C113,acm[[Country code]:[Country code]],0),MATCH(AT$1,acm[#Headers],0)),0)</f>
        <v>0.10281020332373089</v>
      </c>
      <c r="AU113" s="33">
        <f>IFERROR(INDEX(acm[],MATCH($C113,acm[[Country code]:[Country code]],0),MATCH(AU$1,acm[#Headers],0)),0)</f>
        <v>0.14366931623854254</v>
      </c>
      <c r="AV113" s="33">
        <f>IFERROR(INDEX(acm[],MATCH($C113,acm[[Country code]:[Country code]],0),MATCH(AV$1,acm[#Headers],0)),0)</f>
        <v>0.17576312847645009</v>
      </c>
      <c r="AW113" s="33">
        <f>IFERROR(INDEX(acm[],MATCH($C113,acm[[Country code]:[Country code]],0),MATCH(AW$1,acm[#Headers],0)),0)</f>
        <v>0.18732431731093108</v>
      </c>
      <c r="AX113" s="33">
        <f>IFERROR(VLOOKUP(lmic_raw[[#This Row],[num]],life_exp[[Country code]:[2015-2020]],2,FALSE),0)</f>
        <v>63.615000000000002</v>
      </c>
    </row>
    <row r="114" spans="1:50" x14ac:dyDescent="0.25">
      <c r="A114" s="109" t="s">
        <v>116</v>
      </c>
      <c r="B114" s="101" t="s">
        <v>515</v>
      </c>
      <c r="C114" s="102">
        <v>728</v>
      </c>
      <c r="D114" s="82" t="s">
        <v>677</v>
      </c>
      <c r="E114" s="82" t="s">
        <v>597</v>
      </c>
      <c r="F114" s="82" t="s">
        <v>667</v>
      </c>
      <c r="G114" s="82" t="s">
        <v>674</v>
      </c>
      <c r="H114" s="33">
        <f>VLOOKUP(lmic_raw[[#This Row],[num]],pop[[Country code]:[pop_20]],2,FALSE)*1000</f>
        <v>11062114</v>
      </c>
      <c r="I114" s="117">
        <f>IFERROR(VLOOKUP(lmic_raw[[#This Row],[num]],pop[[Country code]:[pop_20]],2,FALSE)*VLOOKUP(lmic_raw[[#This Row],[num]],b_rate[[Country code]:[2015-2020]],2,FALSE),0)</f>
        <v>389286.85377400002</v>
      </c>
      <c r="J114">
        <f>IFERROR(MIN(VLOOKUP(lmic_raw[[#This Row],[iso3]],fac_b[],4,FALSE)/100,0.9999),0)</f>
        <v>0.115</v>
      </c>
      <c r="K114" s="33">
        <f>VLOOKUP(lmic_raw[[#This Row],[iso3]],vax[[iso3]:[hbv3]],2,FALSE)/100</f>
        <v>0</v>
      </c>
      <c r="L114" s="33">
        <f>VLOOKUP(lmic_raw[[#This Row],[iso3]],vax[[iso3]:[hbv3]],3,FALSE)/100</f>
        <v>0.49</v>
      </c>
      <c r="M114">
        <f>IFERROR(VLOOKUP(lmic_raw[[#This Row],[iso3]], hbv_prev[[iso3]:[ub]],2,FALSE)/100,0)</f>
        <v>0.22159999999999999</v>
      </c>
      <c r="N114">
        <f>IFERROR(VLOOKUP(lmic_raw[[#This Row],[setting]],hbe_prev[],3,FALSE),0)</f>
        <v>0.28404425731797539</v>
      </c>
      <c r="O114">
        <f>VLOOKUP(lmic_raw[[#This Row],[gbd_super]],hbe_risk[],2,FALSE)</f>
        <v>0.38300000000000001</v>
      </c>
      <c r="P114" s="33">
        <f>VLOOKUP(lmic_raw[[#This Row],[gbd_super]],hbe_risk[],5,FALSE)</f>
        <v>4.8000000000000001E-2</v>
      </c>
      <c r="Q114" s="118">
        <f>IFERROR(VLOOKUP(lmic_raw[[#This Row],[setting]],disease_costs!$A$4:$B$197,2,FALSE),0)</f>
        <v>0</v>
      </c>
      <c r="R114">
        <f>IFERROR(VLOOKUP(lmic_raw[[#This Row],[gbd_super]],disease_costs!$G$4:$K$9,2,FALSE),0)</f>
        <v>29.920500000000001</v>
      </c>
      <c r="S114" s="33">
        <f>IFERROR(VLOOKUP(lmic_raw[[#This Row],[gbd_super]],disease_costs!$G$4:$K$9,3,FALSE),0)</f>
        <v>77.662500000000009</v>
      </c>
      <c r="T114" s="33">
        <f>IFERROR(VLOOKUP(lmic_raw[[#This Row],[gbd_super]],disease_costs!$G$4:$K$9,4,FALSE),0)</f>
        <v>77.662500000000009</v>
      </c>
      <c r="U114" s="33">
        <f>IFERROR(VLOOKUP(lmic_raw[[#This Row],[gbd_super]],disease_costs!$G$4:$K$9,5,FALSE),0)</f>
        <v>77.662500000000009</v>
      </c>
      <c r="V114" s="118">
        <f>IFERROR(VLOOKUP(lmic_raw[[#This Row],[setting]],vcost[],3,FALSE),0)</f>
        <v>1.1080241161616162</v>
      </c>
      <c r="W114" s="118">
        <f>IFERROR(VLOOKUP(lmic_raw[[#This Row],[setting]],vcost[],4,FALSE),0)</f>
        <v>5.9380241161616159</v>
      </c>
      <c r="X114" s="118">
        <f>IFERROR(VLOOKUP(lmic_raw[[#This Row],[setting]],vcost[],5,FALSE),0)</f>
        <v>0.69010000000000005</v>
      </c>
      <c r="Y114" s="118">
        <f>IFERROR(VLOOKUP(lmic_raw[[#This Row],[setting]],vcost[],6,FALSE),0)</f>
        <v>5.5201000000000002</v>
      </c>
      <c r="Z114" s="118">
        <f>IFERROR(VLOOKUP(lmic_raw[[#This Row],[setting]],vcost[],7,FALSE),0)</f>
        <v>5.5201000000000002</v>
      </c>
      <c r="AA114" s="118">
        <f>IFERROR(VLOOKUP(lmic_raw[[#This Row],[setting]],vcost[],8,FALSE),0)</f>
        <v>1.3468972222222224</v>
      </c>
      <c r="AB114" s="118">
        <f>IFERROR(VLOOKUP(lmic_raw[[#This Row],[setting]],vcost[],9,FALSE),0)</f>
        <v>6.1768972222222223</v>
      </c>
      <c r="AC114" s="33">
        <f>IFERROR(INDEX(acm[],MATCH($C114,acm[[Country code]:[Country code]],0),MATCH(AC$1,acm[#Headers],0)),0)</f>
        <v>6.439118000000002E-2</v>
      </c>
      <c r="AD114" s="33">
        <f>IFERROR(INDEX(acm[],MATCH($C114,acm[[Country code]:[Country code]],0),MATCH(AD$1,acm[#Headers],0)),0)</f>
        <v>9.1276474926775576E-3</v>
      </c>
      <c r="AE114" s="33">
        <f>IFERROR(INDEX(acm[],MATCH($C114,acm[[Country code]:[Country code]],0),MATCH(AE$1,acm[#Headers],0)),0)</f>
        <v>3.7645316426541857E-3</v>
      </c>
      <c r="AF114" s="33">
        <f>IFERROR(INDEX(acm[],MATCH($C114,acm[[Country code]:[Country code]],0),MATCH(AF$1,acm[#Headers],0)),0)</f>
        <v>2.2872337683211325E-3</v>
      </c>
      <c r="AG114" s="33">
        <f>IFERROR(INDEX(acm[],MATCH($C114,acm[[Country code]:[Country code]],0),MATCH(AG$1,acm[#Headers],0)),0)</f>
        <v>2.949520798167871E-3</v>
      </c>
      <c r="AH114" s="33">
        <f>IFERROR(INDEX(acm[],MATCH($C114,acm[[Country code]:[Country code]],0),MATCH(AH$1,acm[#Headers],0)),0)</f>
        <v>4.0792823322574031E-3</v>
      </c>
      <c r="AI114" s="33">
        <f>IFERROR(INDEX(acm[],MATCH($C114,acm[[Country code]:[Country code]],0),MATCH(AI$1,acm[#Headers],0)),0)</f>
        <v>5.4936131703647272E-3</v>
      </c>
      <c r="AJ114" s="33">
        <f>IFERROR(INDEX(acm[],MATCH($C114,acm[[Country code]:[Country code]],0),MATCH(AJ$1,acm[#Headers],0)),0)</f>
        <v>6.9847784211231456E-3</v>
      </c>
      <c r="AK114" s="33">
        <f>IFERROR(INDEX(acm[],MATCH($C114,acm[[Country code]:[Country code]],0),MATCH(AK$1,acm[#Headers],0)),0)</f>
        <v>8.9363320696753141E-3</v>
      </c>
      <c r="AL114" s="33">
        <f>IFERROR(INDEX(acm[],MATCH($C114,acm[[Country code]:[Country code]],0),MATCH(AL$1,acm[#Headers],0)),0)</f>
        <v>9.7732797132815998E-3</v>
      </c>
      <c r="AM114" s="33">
        <f>IFERROR(INDEX(acm[],MATCH($C114,acm[[Country code]:[Country code]],0),MATCH(AM$1,acm[#Headers],0)),0)</f>
        <v>1.08394459748994E-2</v>
      </c>
      <c r="AN114" s="33">
        <f>IFERROR(INDEX(acm[],MATCH($C114,acm[[Country code]:[Country code]],0),MATCH(AN$1,acm[#Headers],0)),0)</f>
        <v>1.2789862419588332E-2</v>
      </c>
      <c r="AO114" s="33">
        <f>IFERROR(INDEX(acm[],MATCH($C114,acm[[Country code]:[Country code]],0),MATCH(AO$1,acm[#Headers],0)),0)</f>
        <v>1.5799528301405574E-2</v>
      </c>
      <c r="AP114" s="33">
        <f>IFERROR(INDEX(acm[],MATCH($C114,acm[[Country code]:[Country code]],0),MATCH(AP$1,acm[#Headers],0)),0)</f>
        <v>2.2487248198766858E-2</v>
      </c>
      <c r="AQ114" s="33">
        <f>IFERROR(INDEX(acm[],MATCH($C114,acm[[Country code]:[Country code]],0),MATCH(AQ$1,acm[#Headers],0)),0)</f>
        <v>3.1890539105262863E-2</v>
      </c>
      <c r="AR114" s="33">
        <f>IFERROR(INDEX(acm[],MATCH($C114,acm[[Country code]:[Country code]],0),MATCH(AR$1,acm[#Headers],0)),0)</f>
        <v>4.8245182163936758E-2</v>
      </c>
      <c r="AS114" s="33">
        <f>IFERROR(INDEX(acm[],MATCH($C114,acm[[Country code]:[Country code]],0),MATCH(AS$1,acm[#Headers],0)),0)</f>
        <v>7.1020229630387788E-2</v>
      </c>
      <c r="AT114" s="33">
        <f>IFERROR(INDEX(acm[],MATCH($C114,acm[[Country code]:[Country code]],0),MATCH(AT$1,acm[#Headers],0)),0)</f>
        <v>0.10093998231870334</v>
      </c>
      <c r="AU114" s="33">
        <f>IFERROR(INDEX(acm[],MATCH($C114,acm[[Country code]:[Country code]],0),MATCH(AU$1,acm[#Headers],0)),0)</f>
        <v>0.13145963379756573</v>
      </c>
      <c r="AV114" s="33">
        <f>IFERROR(INDEX(acm[],MATCH($C114,acm[[Country code]:[Country code]],0),MATCH(AV$1,acm[#Headers],0)),0)</f>
        <v>0.15726415845936334</v>
      </c>
      <c r="AW114" s="33">
        <f>IFERROR(INDEX(acm[],MATCH($C114,acm[[Country code]:[Country code]],0),MATCH(AW$1,acm[#Headers],0)),0)</f>
        <v>0.17546937186033706</v>
      </c>
      <c r="AX114" s="33">
        <f>IFERROR(VLOOKUP(lmic_raw[[#This Row],[num]],life_exp[[Country code]:[2015-2020]],2,FALSE),0)</f>
        <v>57.424999999999997</v>
      </c>
    </row>
    <row r="115" spans="1:50" x14ac:dyDescent="0.25">
      <c r="A115" s="110" t="s">
        <v>199</v>
      </c>
      <c r="B115" s="104" t="s">
        <v>516</v>
      </c>
      <c r="C115" s="105">
        <v>144</v>
      </c>
      <c r="D115" s="84" t="s">
        <v>680</v>
      </c>
      <c r="E115" s="84" t="s">
        <v>598</v>
      </c>
      <c r="F115" s="84" t="s">
        <v>666</v>
      </c>
      <c r="G115" s="84" t="s">
        <v>676</v>
      </c>
      <c r="H115" s="33">
        <f>VLOOKUP(lmic_raw[[#This Row],[num]],pop[[Country code]:[pop_20]],2,FALSE)*1000</f>
        <v>21323734</v>
      </c>
      <c r="I115" s="117">
        <f>IFERROR(VLOOKUP(lmic_raw[[#This Row],[num]],pop[[Country code]:[pop_20]],2,FALSE)*VLOOKUP(lmic_raw[[#This Row],[num]],b_rate[[Country code]:[2015-2020]],2,FALSE),0)</f>
        <v>341648.866148</v>
      </c>
      <c r="J115">
        <f>IFERROR(MIN(VLOOKUP(lmic_raw[[#This Row],[iso3]],fac_b[],4,FALSE)/100,0.9999),0)</f>
        <v>0.995</v>
      </c>
      <c r="K115" s="33">
        <f>VLOOKUP(lmic_raw[[#This Row],[iso3]],vax[[iso3]:[hbv3]],2,FALSE)/100</f>
        <v>0</v>
      </c>
      <c r="L115" s="33">
        <f>VLOOKUP(lmic_raw[[#This Row],[iso3]],vax[[iso3]:[hbv3]],3,FALSE)/100</f>
        <v>0.99</v>
      </c>
      <c r="M115">
        <f>IFERROR(VLOOKUP(lmic_raw[[#This Row],[iso3]], hbv_prev[[iso3]:[ub]],2,FALSE)/100,0)</f>
        <v>2.0400000000000001E-2</v>
      </c>
      <c r="N115">
        <f>IFERROR(VLOOKUP(lmic_raw[[#This Row],[setting]],hbe_prev[],3,FALSE),0)</f>
        <v>0.32277198772757137</v>
      </c>
      <c r="O115">
        <f>VLOOKUP(lmic_raw[[#This Row],[gbd_super]],hbe_risk[],2,FALSE)</f>
        <v>0.8</v>
      </c>
      <c r="P115" s="33">
        <f>VLOOKUP(lmic_raw[[#This Row],[gbd_super]],hbe_risk[],5,FALSE)</f>
        <v>0.17499999999999999</v>
      </c>
      <c r="Q115">
        <f>IFERROR(VLOOKUP(lmic_raw[[#This Row],[setting]],disease_costs!$A$4:$B$197,2,FALSE),0)</f>
        <v>4.782824207802622</v>
      </c>
      <c r="R115">
        <f>IFERROR(VLOOKUP(lmic_raw[[#This Row],[gbd_super]],disease_costs!$G$4:$K$9,2,FALSE),0)</f>
        <v>73.084500000000006</v>
      </c>
      <c r="S115" s="33">
        <f>IFERROR(VLOOKUP(lmic_raw[[#This Row],[gbd_super]],disease_costs!$G$4:$K$9,3,FALSE),0)</f>
        <v>120.8265</v>
      </c>
      <c r="T115" s="33">
        <f>IFERROR(VLOOKUP(lmic_raw[[#This Row],[gbd_super]],disease_costs!$G$4:$K$9,4,FALSE),0)</f>
        <v>120.8265</v>
      </c>
      <c r="U115" s="33">
        <f>IFERROR(VLOOKUP(lmic_raw[[#This Row],[gbd_super]],disease_costs!$G$4:$K$9,5,FALSE),0)</f>
        <v>120.8265</v>
      </c>
      <c r="V115">
        <f>IFERROR(VLOOKUP(lmic_raw[[#This Row],[setting]],vcost[],3,FALSE),0)</f>
        <v>4.6224348013577394</v>
      </c>
      <c r="W115">
        <f>IFERROR(VLOOKUP(lmic_raw[[#This Row],[setting]],vcost[],4,FALSE),0)</f>
        <v>5.2524348013577393</v>
      </c>
      <c r="X115">
        <f>IFERROR(VLOOKUP(lmic_raw[[#This Row],[setting]],vcost[],5,FALSE),0)</f>
        <v>4.1924543955241074</v>
      </c>
      <c r="Y115">
        <f>IFERROR(VLOOKUP(lmic_raw[[#This Row],[setting]],vcost[],6,FALSE),0)</f>
        <v>4.8224543955241073</v>
      </c>
      <c r="Z115">
        <f>IFERROR(VLOOKUP(lmic_raw[[#This Row],[setting]],vcost[],7,FALSE),0)</f>
        <v>4.8176747634082941</v>
      </c>
      <c r="AA115">
        <f>IFERROR(VLOOKUP(lmic_raw[[#This Row],[setting]],vcost[],8,FALSE),0)</f>
        <v>4.8656537792768626</v>
      </c>
      <c r="AB115">
        <f>IFERROR(VLOOKUP(lmic_raw[[#This Row],[setting]],vcost[],9,FALSE),0)</f>
        <v>5.4956537792768625</v>
      </c>
      <c r="AC115" s="33">
        <f>IFERROR(INDEX(acm[],MATCH($C115,acm[[Country code]:[Country code]],0),MATCH(AC$1,acm[#Headers],0)),0)</f>
        <v>7.5732899999999791E-3</v>
      </c>
      <c r="AD115" s="33">
        <f>IFERROR(INDEX(acm[],MATCH($C115,acm[[Country code]:[Country code]],0),MATCH(AD$1,acm[#Headers],0)),0)</f>
        <v>2.570063838769638E-4</v>
      </c>
      <c r="AE115" s="33">
        <f>IFERROR(INDEX(acm[],MATCH($C115,acm[[Country code]:[Country code]],0),MATCH(AE$1,acm[#Headers],0)),0)</f>
        <v>2.9705474889629041E-4</v>
      </c>
      <c r="AF115" s="33">
        <f>IFERROR(INDEX(acm[],MATCH($C115,acm[[Country code]:[Country code]],0),MATCH(AF$1,acm[#Headers],0)),0)</f>
        <v>2.9040321033130473E-4</v>
      </c>
      <c r="AG115" s="33">
        <f>IFERROR(INDEX(acm[],MATCH($C115,acm[[Country code]:[Country code]],0),MATCH(AG$1,acm[#Headers],0)),0)</f>
        <v>5.5490936660418171E-4</v>
      </c>
      <c r="AH115" s="33">
        <f>IFERROR(INDEX(acm[],MATCH($C115,acm[[Country code]:[Country code]],0),MATCH(AH$1,acm[#Headers],0)),0)</f>
        <v>7.8892305303817484E-4</v>
      </c>
      <c r="AI115" s="33">
        <f>IFERROR(INDEX(acm[],MATCH($C115,acm[[Country code]:[Country code]],0),MATCH(AI$1,acm[#Headers],0)),0)</f>
        <v>8.6288803443153816E-4</v>
      </c>
      <c r="AJ115" s="33">
        <f>IFERROR(INDEX(acm[],MATCH($C115,acm[[Country code]:[Country code]],0),MATCH(AJ$1,acm[#Headers],0)),0)</f>
        <v>9.8763610104937098E-4</v>
      </c>
      <c r="AK115" s="33">
        <f>IFERROR(INDEX(acm[],MATCH($C115,acm[[Country code]:[Country code]],0),MATCH(AK$1,acm[#Headers],0)),0)</f>
        <v>1.4206987324034202E-3</v>
      </c>
      <c r="AL115" s="33">
        <f>IFERROR(INDEX(acm[],MATCH($C115,acm[[Country code]:[Country code]],0),MATCH(AL$1,acm[#Headers],0)),0)</f>
        <v>2.0799897247237836E-3</v>
      </c>
      <c r="AM115" s="33">
        <f>IFERROR(INDEX(acm[],MATCH($C115,acm[[Country code]:[Country code]],0),MATCH(AM$1,acm[#Headers],0)),0)</f>
        <v>3.2074787270406683E-3</v>
      </c>
      <c r="AN115" s="33">
        <f>IFERROR(INDEX(acm[],MATCH($C115,acm[[Country code]:[Country code]],0),MATCH(AN$1,acm[#Headers],0)),0)</f>
        <v>4.9123247462211569E-3</v>
      </c>
      <c r="AO115" s="33">
        <f>IFERROR(INDEX(acm[],MATCH($C115,acm[[Country code]:[Country code]],0),MATCH(AO$1,acm[#Headers],0)),0)</f>
        <v>6.9758110547406063E-3</v>
      </c>
      <c r="AP115" s="33">
        <f>IFERROR(INDEX(acm[],MATCH($C115,acm[[Country code]:[Country code]],0),MATCH(AP$1,acm[#Headers],0)),0)</f>
        <v>9.9942876670689289E-3</v>
      </c>
      <c r="AQ115" s="33">
        <f>IFERROR(INDEX(acm[],MATCH($C115,acm[[Country code]:[Country code]],0),MATCH(AQ$1,acm[#Headers],0)),0)</f>
        <v>1.7504151558826845E-2</v>
      </c>
      <c r="AR115" s="33">
        <f>IFERROR(INDEX(acm[],MATCH($C115,acm[[Country code]:[Country code]],0),MATCH(AR$1,acm[#Headers],0)),0)</f>
        <v>3.1457895529108021E-2</v>
      </c>
      <c r="AS115" s="33">
        <f>IFERROR(INDEX(acm[],MATCH($C115,acm[[Country code]:[Country code]],0),MATCH(AS$1,acm[#Headers],0)),0)</f>
        <v>4.3127788074325546E-2</v>
      </c>
      <c r="AT115" s="33">
        <f>IFERROR(INDEX(acm[],MATCH($C115,acm[[Country code]:[Country code]],0),MATCH(AT$1,acm[#Headers],0)),0)</f>
        <v>6.9941554014886095E-2</v>
      </c>
      <c r="AU115" s="33">
        <f>IFERROR(INDEX(acm[],MATCH($C115,acm[[Country code]:[Country code]],0),MATCH(AU$1,acm[#Headers],0)),0)</f>
        <v>0.10666038153787064</v>
      </c>
      <c r="AV115" s="33">
        <f>IFERROR(INDEX(acm[],MATCH($C115,acm[[Country code]:[Country code]],0),MATCH(AV$1,acm[#Headers],0)),0)</f>
        <v>0.14422443039010532</v>
      </c>
      <c r="AW115" s="33">
        <f>IFERROR(INDEX(acm[],MATCH($C115,acm[[Country code]:[Country code]],0),MATCH(AW$1,acm[#Headers],0)),0)</f>
        <v>0.17174300385827795</v>
      </c>
      <c r="AX115" s="33">
        <f>IFERROR(VLOOKUP(lmic_raw[[#This Row],[num]],life_exp[[Country code]:[2015-2020]],2,FALSE),0)</f>
        <v>76.724999999999994</v>
      </c>
    </row>
    <row r="116" spans="1:50" x14ac:dyDescent="0.25">
      <c r="A116" s="109" t="s">
        <v>647</v>
      </c>
      <c r="B116" s="101" t="s">
        <v>518</v>
      </c>
      <c r="C116" s="102">
        <v>729</v>
      </c>
      <c r="D116" s="82" t="s">
        <v>673</v>
      </c>
      <c r="E116" s="82" t="s">
        <v>597</v>
      </c>
      <c r="F116" s="82" t="s">
        <v>667</v>
      </c>
      <c r="G116" s="82" t="s">
        <v>678</v>
      </c>
      <c r="H116" s="33">
        <f>VLOOKUP(lmic_raw[[#This Row],[num]],pop[[Country code]:[pop_20]],2,FALSE)*1000</f>
        <v>42813237</v>
      </c>
      <c r="I116" s="117">
        <f>IFERROR(VLOOKUP(lmic_raw[[#This Row],[num]],pop[[Country code]:[pop_20]],2,FALSE)*VLOOKUP(lmic_raw[[#This Row],[num]],b_rate[[Country code]:[2015-2020]],2,FALSE),0)</f>
        <v>1385479.1625569998</v>
      </c>
      <c r="J116">
        <f>IFERROR(MIN(VLOOKUP(lmic_raw[[#This Row],[iso3]],fac_b[],4,FALSE)/100,0.9999),0)</f>
        <v>0.27699999999999997</v>
      </c>
      <c r="K116" s="33">
        <f>VLOOKUP(lmic_raw[[#This Row],[iso3]],vax[[iso3]:[hbv3]],2,FALSE)/100</f>
        <v>0</v>
      </c>
      <c r="L116" s="33">
        <f>VLOOKUP(lmic_raw[[#This Row],[iso3]],vax[[iso3]:[hbv3]],3,FALSE)/100</f>
        <v>0.93</v>
      </c>
      <c r="M116">
        <f>IFERROR(VLOOKUP(lmic_raw[[#This Row],[iso3]], hbv_prev[[iso3]:[ub]],2,FALSE)/100,0)</f>
        <v>7.46E-2</v>
      </c>
      <c r="N116">
        <f>IFERROR(VLOOKUP(lmic_raw[[#This Row],[setting]],hbe_prev[],3,FALSE),0)</f>
        <v>0.28042307379092596</v>
      </c>
      <c r="O116">
        <f>VLOOKUP(lmic_raw[[#This Row],[gbd_super]],hbe_risk[],2,FALSE)</f>
        <v>0.38300000000000001</v>
      </c>
      <c r="P116" s="33">
        <f>VLOOKUP(lmic_raw[[#This Row],[gbd_super]],hbe_risk[],5,FALSE)</f>
        <v>4.8000000000000001E-2</v>
      </c>
      <c r="Q116">
        <f>IFERROR(VLOOKUP(lmic_raw[[#This Row],[setting]],disease_costs!$A$4:$B$197,2,FALSE),0)</f>
        <v>4.0232049977085564</v>
      </c>
      <c r="R116">
        <f>IFERROR(VLOOKUP(lmic_raw[[#This Row],[gbd_super]],disease_costs!$G$4:$K$9,2,FALSE),0)</f>
        <v>29.920500000000001</v>
      </c>
      <c r="S116" s="33">
        <f>IFERROR(VLOOKUP(lmic_raw[[#This Row],[gbd_super]],disease_costs!$G$4:$K$9,3,FALSE),0)</f>
        <v>77.662500000000009</v>
      </c>
      <c r="T116" s="33">
        <f>IFERROR(VLOOKUP(lmic_raw[[#This Row],[gbd_super]],disease_costs!$G$4:$K$9,4,FALSE),0)</f>
        <v>77.662500000000009</v>
      </c>
      <c r="U116" s="33">
        <f>IFERROR(VLOOKUP(lmic_raw[[#This Row],[gbd_super]],disease_costs!$G$4:$K$9,5,FALSE),0)</f>
        <v>77.662500000000009</v>
      </c>
      <c r="V116">
        <f>IFERROR(VLOOKUP(lmic_raw[[#This Row],[setting]],vcost[],3,FALSE),0)</f>
        <v>2.4622318869126065</v>
      </c>
      <c r="W116">
        <f>IFERROR(VLOOKUP(lmic_raw[[#This Row],[setting]],vcost[],4,FALSE),0)</f>
        <v>7.2922318869126066</v>
      </c>
      <c r="X116">
        <f>IFERROR(VLOOKUP(lmic_raw[[#This Row],[setting]],vcost[],5,FALSE),0)</f>
        <v>2.0417024109696005</v>
      </c>
      <c r="Y116">
        <f>IFERROR(VLOOKUP(lmic_raw[[#This Row],[setting]],vcost[],6,FALSE),0)</f>
        <v>6.8717024109696005</v>
      </c>
      <c r="Z116">
        <f>IFERROR(VLOOKUP(lmic_raw[[#This Row],[setting]],vcost[],7,FALSE),0)</f>
        <v>6.8706427565132024</v>
      </c>
      <c r="AA116">
        <f>IFERROR(VLOOKUP(lmic_raw[[#This Row],[setting]],vcost[],8,FALSE),0)</f>
        <v>2.7020441342897605</v>
      </c>
      <c r="AB116">
        <f>IFERROR(VLOOKUP(lmic_raw[[#This Row],[setting]],vcost[],9,FALSE),0)</f>
        <v>7.5320441342897606</v>
      </c>
      <c r="AC116" s="33">
        <f>IFERROR(INDEX(acm[],MATCH($C116,acm[[Country code]:[Country code]],0),MATCH(AC$1,acm[#Headers],0)),0)</f>
        <v>4.2874850000000006E-2</v>
      </c>
      <c r="AD116" s="33">
        <f>IFERROR(INDEX(acm[],MATCH($C116,acm[[Country code]:[Country code]],0),MATCH(AD$1,acm[#Headers],0)),0)</f>
        <v>5.5109407583741827E-3</v>
      </c>
      <c r="AE116" s="33">
        <f>IFERROR(INDEX(acm[],MATCH($C116,acm[[Country code]:[Country code]],0),MATCH(AE$1,acm[#Headers],0)),0)</f>
        <v>2.1666864969454775E-3</v>
      </c>
      <c r="AF116" s="33">
        <f>IFERROR(INDEX(acm[],MATCH($C116,acm[[Country code]:[Country code]],0),MATCH(AF$1,acm[#Headers],0)),0)</f>
        <v>1.6265412680930844E-3</v>
      </c>
      <c r="AG116" s="33">
        <f>IFERROR(INDEX(acm[],MATCH($C116,acm[[Country code]:[Country code]],0),MATCH(AG$1,acm[#Headers],0)),0)</f>
        <v>1.9187261517500268E-3</v>
      </c>
      <c r="AH116" s="33">
        <f>IFERROR(INDEX(acm[],MATCH($C116,acm[[Country code]:[Country code]],0),MATCH(AH$1,acm[#Headers],0)),0)</f>
        <v>2.5722201125001026E-3</v>
      </c>
      <c r="AI116" s="33">
        <f>IFERROR(INDEX(acm[],MATCH($C116,acm[[Country code]:[Country code]],0),MATCH(AI$1,acm[#Headers],0)),0)</f>
        <v>3.0538597600547213E-3</v>
      </c>
      <c r="AJ116" s="33">
        <f>IFERROR(INDEX(acm[],MATCH($C116,acm[[Country code]:[Country code]],0),MATCH(AJ$1,acm[#Headers],0)),0)</f>
        <v>3.5465053197037046E-3</v>
      </c>
      <c r="AK116" s="33">
        <f>IFERROR(INDEX(acm[],MATCH($C116,acm[[Country code]:[Country code]],0),MATCH(AK$1,acm[#Headers],0)),0)</f>
        <v>4.4674961160007399E-3</v>
      </c>
      <c r="AL116" s="33">
        <f>IFERROR(INDEX(acm[],MATCH($C116,acm[[Country code]:[Country code]],0),MATCH(AL$1,acm[#Headers],0)),0)</f>
        <v>5.4109756268481439E-3</v>
      </c>
      <c r="AM116" s="33">
        <f>IFERROR(INDEX(acm[],MATCH($C116,acm[[Country code]:[Country code]],0),MATCH(AM$1,acm[#Headers],0)),0)</f>
        <v>6.623522459809337E-3</v>
      </c>
      <c r="AN116" s="33">
        <f>IFERROR(INDEX(acm[],MATCH($C116,acm[[Country code]:[Country code]],0),MATCH(AN$1,acm[#Headers],0)),0)</f>
        <v>8.8326556424588604E-3</v>
      </c>
      <c r="AO116" s="33">
        <f>IFERROR(INDEX(acm[],MATCH($C116,acm[[Country code]:[Country code]],0),MATCH(AO$1,acm[#Headers],0)),0)</f>
        <v>1.1923097729237751E-2</v>
      </c>
      <c r="AP116" s="33">
        <f>IFERROR(INDEX(acm[],MATCH($C116,acm[[Country code]:[Country code]],0),MATCH(AP$1,acm[#Headers],0)),0)</f>
        <v>1.7536947410145505E-2</v>
      </c>
      <c r="AQ116" s="33">
        <f>IFERROR(INDEX(acm[],MATCH($C116,acm[[Country code]:[Country code]],0),MATCH(AQ$1,acm[#Headers],0)),0)</f>
        <v>2.7409566126079893E-2</v>
      </c>
      <c r="AR116" s="33">
        <f>IFERROR(INDEX(acm[],MATCH($C116,acm[[Country code]:[Country code]],0),MATCH(AR$1,acm[#Headers],0)),0)</f>
        <v>4.2580666186292179E-2</v>
      </c>
      <c r="AS116" s="33">
        <f>IFERROR(INDEX(acm[],MATCH($C116,acm[[Country code]:[Country code]],0),MATCH(AS$1,acm[#Headers],0)),0)</f>
        <v>6.3829376993833828E-2</v>
      </c>
      <c r="AT116" s="33">
        <f>IFERROR(INDEX(acm[],MATCH($C116,acm[[Country code]:[Country code]],0),MATCH(AT$1,acm[#Headers],0)),0)</f>
        <v>9.205863252467697E-2</v>
      </c>
      <c r="AU116" s="33">
        <f>IFERROR(INDEX(acm[],MATCH($C116,acm[[Country code]:[Country code]],0),MATCH(AU$1,acm[#Headers],0)),0)</f>
        <v>0.12169234717050383</v>
      </c>
      <c r="AV116" s="33">
        <f>IFERROR(INDEX(acm[],MATCH($C116,acm[[Country code]:[Country code]],0),MATCH(AV$1,acm[#Headers],0)),0)</f>
        <v>0.14819504180293439</v>
      </c>
      <c r="AW116" s="33">
        <f>IFERROR(INDEX(acm[],MATCH($C116,acm[[Country code]:[Country code]],0),MATCH(AW$1,acm[#Headers],0)),0)</f>
        <v>0.1678565296720865</v>
      </c>
      <c r="AX116" s="33">
        <f>IFERROR(VLOOKUP(lmic_raw[[#This Row],[num]],life_exp[[Country code]:[2015-2020]],2,FALSE),0)</f>
        <v>64.947999999999993</v>
      </c>
    </row>
    <row r="117" spans="1:50" x14ac:dyDescent="0.25">
      <c r="A117" s="110" t="s">
        <v>273</v>
      </c>
      <c r="B117" s="104" t="s">
        <v>519</v>
      </c>
      <c r="C117" s="105">
        <v>740</v>
      </c>
      <c r="D117" s="84" t="s">
        <v>679</v>
      </c>
      <c r="E117" s="84" t="s">
        <v>223</v>
      </c>
      <c r="F117" s="84" t="s">
        <v>665</v>
      </c>
      <c r="G117" s="84" t="s">
        <v>676</v>
      </c>
      <c r="H117" s="33">
        <f>VLOOKUP(lmic_raw[[#This Row],[num]],pop[[Country code]:[pop_20]],2,FALSE)*1000</f>
        <v>581363</v>
      </c>
      <c r="I117" s="117">
        <f>IFERROR(VLOOKUP(lmic_raw[[#This Row],[num]],pop[[Country code]:[pop_20]],2,FALSE)*VLOOKUP(lmic_raw[[#This Row],[num]],b_rate[[Country code]:[2015-2020]],2,FALSE),0)</f>
        <v>10851.721758000002</v>
      </c>
      <c r="J117">
        <f>IFERROR(MIN(VLOOKUP(lmic_raw[[#This Row],[iso3]],fac_b[],4,FALSE)/100,0.9999),0)</f>
        <v>0.92900000000000005</v>
      </c>
      <c r="K117" s="33">
        <f>VLOOKUP(lmic_raw[[#This Row],[iso3]],vax[[iso3]:[hbv3]],2,FALSE)/100</f>
        <v>0.79</v>
      </c>
      <c r="L117" s="33">
        <f>VLOOKUP(lmic_raw[[#This Row],[iso3]],vax[[iso3]:[hbv3]],3,FALSE)/100</f>
        <v>0.77</v>
      </c>
      <c r="M117">
        <f>IFERROR(VLOOKUP(lmic_raw[[#This Row],[iso3]], hbv_prev[[iso3]:[ub]],2,FALSE)/100,0)</f>
        <v>1.66E-2</v>
      </c>
      <c r="N117">
        <f>IFERROR(VLOOKUP(lmic_raw[[#This Row],[setting]],hbe_prev[],3,FALSE),0)</f>
        <v>0.30692004376449455</v>
      </c>
      <c r="O117">
        <f>VLOOKUP(lmic_raw[[#This Row],[gbd_super]],hbe_risk[],2,FALSE)</f>
        <v>0.8</v>
      </c>
      <c r="P117" s="33">
        <f>VLOOKUP(lmic_raw[[#This Row],[gbd_super]],hbe_risk[],5,FALSE)</f>
        <v>0.17499999999999999</v>
      </c>
      <c r="Q117">
        <f>IFERROR(VLOOKUP(lmic_raw[[#This Row],[setting]],disease_costs!$A$4:$B$197,2,FALSE),0)</f>
        <v>9.9102538759375705</v>
      </c>
      <c r="R117">
        <f>IFERROR(VLOOKUP(lmic_raw[[#This Row],[gbd_super]],disease_costs!$G$4:$K$9,2,FALSE),0)</f>
        <v>86.883899999999997</v>
      </c>
      <c r="S117" s="33">
        <f>IFERROR(VLOOKUP(lmic_raw[[#This Row],[gbd_super]],disease_costs!$G$4:$K$9,3,FALSE),0)</f>
        <v>134.6259</v>
      </c>
      <c r="T117" s="33">
        <f>IFERROR(VLOOKUP(lmic_raw[[#This Row],[gbd_super]],disease_costs!$G$4:$K$9,4,FALSE),0)</f>
        <v>134.6259</v>
      </c>
      <c r="U117" s="33">
        <f>IFERROR(VLOOKUP(lmic_raw[[#This Row],[gbd_super]],disease_costs!$G$4:$K$9,5,FALSE),0)</f>
        <v>134.6259</v>
      </c>
      <c r="V117">
        <f>IFERROR(VLOOKUP(lmic_raw[[#This Row],[setting]],vcost[],3,FALSE),0)</f>
        <v>9.2721280178652226</v>
      </c>
      <c r="W117">
        <f>IFERROR(VLOOKUP(lmic_raw[[#This Row],[setting]],vcost[],4,FALSE),0)</f>
        <v>9.2921280178652221</v>
      </c>
      <c r="X117">
        <f>IFERROR(VLOOKUP(lmic_raw[[#This Row],[setting]],vcost[],5,FALSE),0)</f>
        <v>8.8343475094411978</v>
      </c>
      <c r="Y117">
        <f>IFERROR(VLOOKUP(lmic_raw[[#This Row],[setting]],vcost[],6,FALSE),0)</f>
        <v>8.8543475094411974</v>
      </c>
      <c r="Z117">
        <f>IFERROR(VLOOKUP(lmic_raw[[#This Row],[setting]],vcost[],7,FALSE),0)</f>
        <v>8.8464967833503927</v>
      </c>
      <c r="AA117">
        <f>IFERROR(VLOOKUP(lmic_raw[[#This Row],[setting]],vcost[],8,FALSE),0)</f>
        <v>9.5181586606715811</v>
      </c>
      <c r="AB117">
        <f>IFERROR(VLOOKUP(lmic_raw[[#This Row],[setting]],vcost[],9,FALSE),0)</f>
        <v>9.5381586606715807</v>
      </c>
      <c r="AC117" s="33">
        <f>IFERROR(INDEX(acm[],MATCH($C117,acm[[Country code]:[Country code]],0),MATCH(AC$1,acm[#Headers],0)),0)</f>
        <v>1.7496539999999949E-2</v>
      </c>
      <c r="AD117" s="33">
        <f>IFERROR(INDEX(acm[],MATCH($C117,acm[[Country code]:[Country code]],0),MATCH(AD$1,acm[#Headers],0)),0)</f>
        <v>5.2713045916398212E-4</v>
      </c>
      <c r="AE117" s="33">
        <f>IFERROR(INDEX(acm[],MATCH($C117,acm[[Country code]:[Country code]],0),MATCH(AE$1,acm[#Headers],0)),0)</f>
        <v>5.5092254603772059E-4</v>
      </c>
      <c r="AF117" s="33">
        <f>IFERROR(INDEX(acm[],MATCH($C117,acm[[Country code]:[Country code]],0),MATCH(AF$1,acm[#Headers],0)),0)</f>
        <v>3.1541800571920048E-4</v>
      </c>
      <c r="AG117" s="33">
        <f>IFERROR(INDEX(acm[],MATCH($C117,acm[[Country code]:[Country code]],0),MATCH(AG$1,acm[#Headers],0)),0)</f>
        <v>5.7519180580934001E-4</v>
      </c>
      <c r="AH117" s="33">
        <f>IFERROR(INDEX(acm[],MATCH($C117,acm[[Country code]:[Country code]],0),MATCH(AH$1,acm[#Headers],0)),0)</f>
        <v>1.1746985126604994E-3</v>
      </c>
      <c r="AI117" s="33">
        <f>IFERROR(INDEX(acm[],MATCH($C117,acm[[Country code]:[Country code]],0),MATCH(AI$1,acm[#Headers],0)),0)</f>
        <v>1.8961984882942902E-3</v>
      </c>
      <c r="AJ117" s="33">
        <f>IFERROR(INDEX(acm[],MATCH($C117,acm[[Country code]:[Country code]],0),MATCH(AJ$1,acm[#Headers],0)),0)</f>
        <v>2.568637902467637E-3</v>
      </c>
      <c r="AK117" s="33">
        <f>IFERROR(INDEX(acm[],MATCH($C117,acm[[Country code]:[Country code]],0),MATCH(AK$1,acm[#Headers],0)),0)</f>
        <v>3.2158150706266654E-3</v>
      </c>
      <c r="AL117" s="33">
        <f>IFERROR(INDEX(acm[],MATCH($C117,acm[[Country code]:[Country code]],0),MATCH(AL$1,acm[#Headers],0)),0)</f>
        <v>3.9342196188770747E-3</v>
      </c>
      <c r="AM117" s="33">
        <f>IFERROR(INDEX(acm[],MATCH($C117,acm[[Country code]:[Country code]],0),MATCH(AM$1,acm[#Headers],0)),0)</f>
        <v>5.0566020039156468E-3</v>
      </c>
      <c r="AN117" s="33">
        <f>IFERROR(INDEX(acm[],MATCH($C117,acm[[Country code]:[Country code]],0),MATCH(AN$1,acm[#Headers],0)),0)</f>
        <v>7.3277731125225339E-3</v>
      </c>
      <c r="AO117" s="33">
        <f>IFERROR(INDEX(acm[],MATCH($C117,acm[[Country code]:[Country code]],0),MATCH(AO$1,acm[#Headers],0)),0)</f>
        <v>1.1357376285848873E-2</v>
      </c>
      <c r="AP117" s="33">
        <f>IFERROR(INDEX(acm[],MATCH($C117,acm[[Country code]:[Country code]],0),MATCH(AP$1,acm[#Headers],0)),0)</f>
        <v>1.7535594509055171E-2</v>
      </c>
      <c r="AQ117" s="33">
        <f>IFERROR(INDEX(acm[],MATCH($C117,acm[[Country code]:[Country code]],0),MATCH(AQ$1,acm[#Headers],0)),0)</f>
        <v>2.6472253876052673E-2</v>
      </c>
      <c r="AR117" s="33">
        <f>IFERROR(INDEX(acm[],MATCH($C117,acm[[Country code]:[Country code]],0),MATCH(AR$1,acm[#Headers],0)),0)</f>
        <v>3.9200376957628798E-2</v>
      </c>
      <c r="AS117" s="33">
        <f>IFERROR(INDEX(acm[],MATCH($C117,acm[[Country code]:[Country code]],0),MATCH(AS$1,acm[#Headers],0)),0)</f>
        <v>5.680284239063222E-2</v>
      </c>
      <c r="AT117" s="33">
        <f>IFERROR(INDEX(acm[],MATCH($C117,acm[[Country code]:[Country code]],0),MATCH(AT$1,acm[#Headers],0)),0)</f>
        <v>7.981422650900577E-2</v>
      </c>
      <c r="AU117" s="33">
        <f>IFERROR(INDEX(acm[],MATCH($C117,acm[[Country code]:[Country code]],0),MATCH(AU$1,acm[#Headers],0)),0)</f>
        <v>0.10661921371183349</v>
      </c>
      <c r="AV117" s="33">
        <f>IFERROR(INDEX(acm[],MATCH($C117,acm[[Country code]:[Country code]],0),MATCH(AV$1,acm[#Headers],0)),0)</f>
        <v>0.13385074379608689</v>
      </c>
      <c r="AW117" s="33">
        <f>IFERROR(INDEX(acm[],MATCH($C117,acm[[Country code]:[Country code]],0),MATCH(AW$1,acm[#Headers],0)),0)</f>
        <v>0.15756882013185389</v>
      </c>
      <c r="AX117" s="33">
        <f>IFERROR(VLOOKUP(lmic_raw[[#This Row],[num]],life_exp[[Country code]:[2015-2020]],2,FALSE),0)</f>
        <v>71.488</v>
      </c>
    </row>
    <row r="118" spans="1:50" x14ac:dyDescent="0.25">
      <c r="A118" s="109" t="s">
        <v>648</v>
      </c>
      <c r="B118" s="101" t="s">
        <v>520</v>
      </c>
      <c r="C118" s="102">
        <v>760</v>
      </c>
      <c r="D118" s="82" t="s">
        <v>673</v>
      </c>
      <c r="E118" s="82" t="s">
        <v>579</v>
      </c>
      <c r="F118" s="82" t="s">
        <v>579</v>
      </c>
      <c r="G118" s="82" t="s">
        <v>674</v>
      </c>
      <c r="H118" s="33">
        <f>VLOOKUP(lmic_raw[[#This Row],[num]],pop[[Country code]:[pop_20]],2,FALSE)*1000</f>
        <v>17070132</v>
      </c>
      <c r="I118" s="117">
        <f>IFERROR(VLOOKUP(lmic_raw[[#This Row],[num]],pop[[Country code]:[pop_20]],2,FALSE)*VLOOKUP(lmic_raw[[#This Row],[num]],b_rate[[Country code]:[2015-2020]],2,FALSE),0)</f>
        <v>409751.44852800004</v>
      </c>
      <c r="J118">
        <f>IFERROR(MIN(VLOOKUP(lmic_raw[[#This Row],[iso3]],fac_b[],4,FALSE)/100,0.9999),0)</f>
        <v>0.78200000000000003</v>
      </c>
      <c r="K118" s="33">
        <f>VLOOKUP(lmic_raw[[#This Row],[iso3]],vax[[iso3]:[hbv3]],2,FALSE)/100</f>
        <v>0</v>
      </c>
      <c r="L118" s="33">
        <f>VLOOKUP(lmic_raw[[#This Row],[iso3]],vax[[iso3]:[hbv3]],3,FALSE)/100</f>
        <v>0.54</v>
      </c>
      <c r="M118">
        <f>IFERROR(VLOOKUP(lmic_raw[[#This Row],[iso3]], hbv_prev[[iso3]:[ub]],2,FALSE)/100,0)</f>
        <v>1.1200000000000002E-2</v>
      </c>
      <c r="N118">
        <f>IFERROR(VLOOKUP(lmic_raw[[#This Row],[setting]],hbe_prev[],3,FALSE),0)</f>
        <v>0.25842474074213168</v>
      </c>
      <c r="O118">
        <f>VLOOKUP(lmic_raw[[#This Row],[gbd_super]],hbe_risk[],2,FALSE)</f>
        <v>0.8</v>
      </c>
      <c r="P118" s="33">
        <f>VLOOKUP(lmic_raw[[#This Row],[gbd_super]],hbe_risk[],5,FALSE)</f>
        <v>0.17499999999999999</v>
      </c>
      <c r="Q118">
        <f>IFERROR(VLOOKUP(lmic_raw[[#This Row],[setting]],disease_costs!$A$4:$B$197,2,FALSE),0)</f>
        <v>7.4770985936050138</v>
      </c>
      <c r="R118">
        <f>IFERROR(VLOOKUP(lmic_raw[[#This Row],[gbd_super]],disease_costs!$G$4:$K$9,2,FALSE),0)</f>
        <v>46.335900000000002</v>
      </c>
      <c r="S118" s="33">
        <f>IFERROR(VLOOKUP(lmic_raw[[#This Row],[gbd_super]],disease_costs!$G$4:$K$9,3,FALSE),0)</f>
        <v>94.077900000000014</v>
      </c>
      <c r="T118" s="33">
        <f>IFERROR(VLOOKUP(lmic_raw[[#This Row],[gbd_super]],disease_costs!$G$4:$K$9,4,FALSE),0)</f>
        <v>94.077900000000014</v>
      </c>
      <c r="U118" s="33">
        <f>IFERROR(VLOOKUP(lmic_raw[[#This Row],[gbd_super]],disease_costs!$G$4:$K$9,5,FALSE),0)</f>
        <v>94.077900000000014</v>
      </c>
      <c r="V118">
        <f>IFERROR(VLOOKUP(lmic_raw[[#This Row],[setting]],vcost[],3,FALSE),0)</f>
        <v>1.2261836989596153</v>
      </c>
      <c r="W118">
        <f>IFERROR(VLOOKUP(lmic_raw[[#This Row],[setting]],vcost[],4,FALSE),0)</f>
        <v>1.7061836989596153</v>
      </c>
      <c r="X118">
        <f>IFERROR(VLOOKUP(lmic_raw[[#This Row],[setting]],vcost[],5,FALSE),0)</f>
        <v>0.7892761005719009</v>
      </c>
      <c r="Y118">
        <f>IFERROR(VLOOKUP(lmic_raw[[#This Row],[setting]],vcost[],6,FALSE),0)</f>
        <v>1.2692761005719009</v>
      </c>
      <c r="Z118">
        <f>IFERROR(VLOOKUP(lmic_raw[[#This Row],[setting]],vcost[],7,FALSE),0)</f>
        <v>1.261320582178993</v>
      </c>
      <c r="AA118">
        <f>IFERROR(VLOOKUP(lmic_raw[[#This Row],[setting]],vcost[],8,FALSE),0)</f>
        <v>1.471899688148234</v>
      </c>
      <c r="AB118">
        <f>IFERROR(VLOOKUP(lmic_raw[[#This Row],[setting]],vcost[],9,FALSE),0)</f>
        <v>1.951899688148234</v>
      </c>
      <c r="AC118" s="33">
        <f>IFERROR(INDEX(acm[],MATCH($C118,acm[[Country code]:[Country code]],0),MATCH(AC$1,acm[#Headers],0)),0)</f>
        <v>1.5543830000000017E-2</v>
      </c>
      <c r="AD118" s="33">
        <f>IFERROR(INDEX(acm[],MATCH($C118,acm[[Country code]:[Country code]],0),MATCH(AD$1,acm[#Headers],0)),0)</f>
        <v>5.6625933889975239E-4</v>
      </c>
      <c r="AE118" s="33">
        <f>IFERROR(INDEX(acm[],MATCH($C118,acm[[Country code]:[Country code]],0),MATCH(AE$1,acm[#Headers],0)),0)</f>
        <v>3.5458222388945384E-4</v>
      </c>
      <c r="AF118" s="33">
        <f>IFERROR(INDEX(acm[],MATCH($C118,acm[[Country code]:[Country code]],0),MATCH(AF$1,acm[#Headers],0)),0)</f>
        <v>3.160905255719894E-4</v>
      </c>
      <c r="AG118" s="33">
        <f>IFERROR(INDEX(acm[],MATCH($C118,acm[[Country code]:[Country code]],0),MATCH(AG$1,acm[#Headers],0)),0)</f>
        <v>2.1476597437748864E-3</v>
      </c>
      <c r="AH118" s="33">
        <f>IFERROR(INDEX(acm[],MATCH($C118,acm[[Country code]:[Country code]],0),MATCH(AH$1,acm[#Headers],0)),0)</f>
        <v>3.1342040401075512E-3</v>
      </c>
      <c r="AI118" s="33">
        <f>IFERROR(INDEX(acm[],MATCH($C118,acm[[Country code]:[Country code]],0),MATCH(AI$1,acm[#Headers],0)),0)</f>
        <v>4.6487466182035487E-3</v>
      </c>
      <c r="AJ118" s="33">
        <f>IFERROR(INDEX(acm[],MATCH($C118,acm[[Country code]:[Country code]],0),MATCH(AJ$1,acm[#Headers],0)),0)</f>
        <v>3.9935579591588938E-3</v>
      </c>
      <c r="AK118" s="33">
        <f>IFERROR(INDEX(acm[],MATCH($C118,acm[[Country code]:[Country code]],0),MATCH(AK$1,acm[#Headers],0)),0)</f>
        <v>2.7207746224425407E-3</v>
      </c>
      <c r="AL118" s="33">
        <f>IFERROR(INDEX(acm[],MATCH($C118,acm[[Country code]:[Country code]],0),MATCH(AL$1,acm[#Headers],0)),0)</f>
        <v>2.7222126681832074E-3</v>
      </c>
      <c r="AM118" s="33">
        <f>IFERROR(INDEX(acm[],MATCH($C118,acm[[Country code]:[Country code]],0),MATCH(AM$1,acm[#Headers],0)),0)</f>
        <v>4.0660547201637901E-3</v>
      </c>
      <c r="AN118" s="33">
        <f>IFERROR(INDEX(acm[],MATCH($C118,acm[[Country code]:[Country code]],0),MATCH(AN$1,acm[#Headers],0)),0)</f>
        <v>6.6229891408634122E-3</v>
      </c>
      <c r="AO118" s="33">
        <f>IFERROR(INDEX(acm[],MATCH($C118,acm[[Country code]:[Country code]],0),MATCH(AO$1,acm[#Headers],0)),0)</f>
        <v>8.1106364299420378E-3</v>
      </c>
      <c r="AP118" s="33">
        <f>IFERROR(INDEX(acm[],MATCH($C118,acm[[Country code]:[Country code]],0),MATCH(AP$1,acm[#Headers],0)),0)</f>
        <v>1.3012347206928504E-2</v>
      </c>
      <c r="AQ118" s="33">
        <f>IFERROR(INDEX(acm[],MATCH($C118,acm[[Country code]:[Country code]],0),MATCH(AQ$1,acm[#Headers],0)),0)</f>
        <v>2.1574450519031115E-2</v>
      </c>
      <c r="AR118" s="33">
        <f>IFERROR(INDEX(acm[],MATCH($C118,acm[[Country code]:[Country code]],0),MATCH(AR$1,acm[#Headers],0)),0)</f>
        <v>3.549759510730266E-2</v>
      </c>
      <c r="AS118" s="33">
        <f>IFERROR(INDEX(acm[],MATCH($C118,acm[[Country code]:[Country code]],0),MATCH(AS$1,acm[#Headers],0)),0)</f>
        <v>5.2152995053446186E-2</v>
      </c>
      <c r="AT118" s="33">
        <f>IFERROR(INDEX(acm[],MATCH($C118,acm[[Country code]:[Country code]],0),MATCH(AT$1,acm[#Headers],0)),0)</f>
        <v>8.2738468449409353E-2</v>
      </c>
      <c r="AU118" s="33">
        <f>IFERROR(INDEX(acm[],MATCH($C118,acm[[Country code]:[Country code]],0),MATCH(AU$1,acm[#Headers],0)),0)</f>
        <v>0.11748124899706361</v>
      </c>
      <c r="AV118" s="33">
        <f>IFERROR(INDEX(acm[],MATCH($C118,acm[[Country code]:[Country code]],0),MATCH(AV$1,acm[#Headers],0)),0)</f>
        <v>0.15074816066722091</v>
      </c>
      <c r="AW118" s="33">
        <f>IFERROR(INDEX(acm[],MATCH($C118,acm[[Country code]:[Country code]],0),MATCH(AW$1,acm[#Headers],0)),0)</f>
        <v>0.17290816915071688</v>
      </c>
      <c r="AX118" s="33">
        <f>IFERROR(VLOOKUP(lmic_raw[[#This Row],[num]],life_exp[[Country code]:[2015-2020]],2,FALSE),0)</f>
        <v>71.319999999999993</v>
      </c>
    </row>
    <row r="119" spans="1:50" x14ac:dyDescent="0.25">
      <c r="A119" s="110" t="s">
        <v>187</v>
      </c>
      <c r="B119" s="104" t="s">
        <v>521</v>
      </c>
      <c r="C119" s="105">
        <v>762</v>
      </c>
      <c r="D119" s="84" t="s">
        <v>675</v>
      </c>
      <c r="E119" s="84" t="s">
        <v>184</v>
      </c>
      <c r="F119" s="84" t="s">
        <v>663</v>
      </c>
      <c r="G119" s="84" t="s">
        <v>674</v>
      </c>
      <c r="H119" s="33">
        <f>VLOOKUP(lmic_raw[[#This Row],[num]],pop[[Country code]:[pop_20]],2,FALSE)*1000</f>
        <v>9321023</v>
      </c>
      <c r="I119" s="117">
        <f>IFERROR(VLOOKUP(lmic_raw[[#This Row],[num]],pop[[Country code]:[pop_20]],2,FALSE)*VLOOKUP(lmic_raw[[#This Row],[num]],b_rate[[Country code]:[2015-2020]],2,FALSE),0)</f>
        <v>290927.76987599995</v>
      </c>
      <c r="J119">
        <f>IFERROR(MIN(VLOOKUP(lmic_raw[[#This Row],[iso3]],fac_b[],4,FALSE)/100,0.9999),0)</f>
        <v>0.88200000000000001</v>
      </c>
      <c r="K119" s="33">
        <f>VLOOKUP(lmic_raw[[#This Row],[iso3]],vax[[iso3]:[hbv3]],2,FALSE)/100</f>
        <v>0.99</v>
      </c>
      <c r="L119" s="33">
        <f>VLOOKUP(lmic_raw[[#This Row],[iso3]],vax[[iso3]:[hbv3]],3,FALSE)/100</f>
        <v>0.97</v>
      </c>
      <c r="M119">
        <f>IFERROR(VLOOKUP(lmic_raw[[#This Row],[iso3]], hbv_prev[[iso3]:[ub]],2,FALSE)/100,0)</f>
        <v>5.0599999999999999E-2</v>
      </c>
      <c r="N119">
        <f>IFERROR(VLOOKUP(lmic_raw[[#This Row],[setting]],hbe_prev[],3,FALSE),0)</f>
        <v>0.31299880290704257</v>
      </c>
      <c r="O119">
        <f>VLOOKUP(lmic_raw[[#This Row],[gbd_super]],hbe_risk[],2,FALSE)</f>
        <v>0.8</v>
      </c>
      <c r="P119" s="33">
        <f>VLOOKUP(lmic_raw[[#This Row],[gbd_super]],hbe_risk[],5,FALSE)</f>
        <v>0.17499999999999999</v>
      </c>
      <c r="Q119">
        <f>IFERROR(VLOOKUP(lmic_raw[[#This Row],[setting]],disease_costs!$A$4:$B$197,2,FALSE),0)</f>
        <v>3.2398476872990498</v>
      </c>
      <c r="R119">
        <f>IFERROR(VLOOKUP(lmic_raw[[#This Row],[gbd_super]],disease_costs!$G$4:$K$9,2,FALSE),0)</f>
        <v>44.537400000000005</v>
      </c>
      <c r="S119" s="33">
        <f>IFERROR(VLOOKUP(lmic_raw[[#This Row],[gbd_super]],disease_costs!$G$4:$K$9,3,FALSE),0)</f>
        <v>92.27940000000001</v>
      </c>
      <c r="T119" s="33">
        <f>IFERROR(VLOOKUP(lmic_raw[[#This Row],[gbd_super]],disease_costs!$G$4:$K$9,4,FALSE),0)</f>
        <v>92.27940000000001</v>
      </c>
      <c r="U119" s="33">
        <f>IFERROR(VLOOKUP(lmic_raw[[#This Row],[gbd_super]],disease_costs!$G$4:$K$9,5,FALSE),0)</f>
        <v>92.27940000000001</v>
      </c>
      <c r="V119">
        <f>IFERROR(VLOOKUP(lmic_raw[[#This Row],[setting]],vcost[],3,FALSE),0)</f>
        <v>3.409491582242365</v>
      </c>
      <c r="W119">
        <f>IFERROR(VLOOKUP(lmic_raw[[#This Row],[setting]],vcost[],4,FALSE),0)</f>
        <v>7.4794915822423658</v>
      </c>
      <c r="X119">
        <f>IFERROR(VLOOKUP(lmic_raw[[#This Row],[setting]],vcost[],5,FALSE),0)</f>
        <v>2.983674860630475</v>
      </c>
      <c r="Y119">
        <f>IFERROR(VLOOKUP(lmic_raw[[#This Row],[setting]],vcost[],6,FALSE),0)</f>
        <v>7.0536748606304753</v>
      </c>
      <c r="Z119">
        <f>IFERROR(VLOOKUP(lmic_raw[[#This Row],[setting]],vcost[],7,FALSE),0)</f>
        <v>7.0504787881191007</v>
      </c>
      <c r="AA119">
        <f>IFERROR(VLOOKUP(lmic_raw[[#This Row],[setting]],vcost[],8,FALSE),0)</f>
        <v>3.6512096972443491</v>
      </c>
      <c r="AB119">
        <f>IFERROR(VLOOKUP(lmic_raw[[#This Row],[setting]],vcost[],9,FALSE),0)</f>
        <v>7.7212096972443494</v>
      </c>
      <c r="AC119" s="33">
        <f>IFERROR(INDEX(acm[],MATCH($C119,acm[[Country code]:[Country code]],0),MATCH(AC$1,acm[#Headers],0)),0)</f>
        <v>2.927524000000005E-2</v>
      </c>
      <c r="AD119" s="33">
        <f>IFERROR(INDEX(acm[],MATCH($C119,acm[[Country code]:[Country code]],0),MATCH(AD$1,acm[#Headers],0)),0)</f>
        <v>7.7581466037807297E-4</v>
      </c>
      <c r="AE119" s="33">
        <f>IFERROR(INDEX(acm[],MATCH($C119,acm[[Country code]:[Country code]],0),MATCH(AE$1,acm[#Headers],0)),0)</f>
        <v>1.9153625558257422E-4</v>
      </c>
      <c r="AF119" s="33">
        <f>IFERROR(INDEX(acm[],MATCH($C119,acm[[Country code]:[Country code]],0),MATCH(AF$1,acm[#Headers],0)),0)</f>
        <v>2.0033190606407914E-4</v>
      </c>
      <c r="AG119" s="33">
        <f>IFERROR(INDEX(acm[],MATCH($C119,acm[[Country code]:[Country code]],0),MATCH(AG$1,acm[#Headers],0)),0)</f>
        <v>3.3197793536914093E-4</v>
      </c>
      <c r="AH119" s="33">
        <f>IFERROR(INDEX(acm[],MATCH($C119,acm[[Country code]:[Country code]],0),MATCH(AH$1,acm[#Headers],0)),0)</f>
        <v>5.1082433407809646E-4</v>
      </c>
      <c r="AI119" s="33">
        <f>IFERROR(INDEX(acm[],MATCH($C119,acm[[Country code]:[Country code]],0),MATCH(AI$1,acm[#Headers],0)),0)</f>
        <v>8.5562449911040473E-4</v>
      </c>
      <c r="AJ119" s="33">
        <f>IFERROR(INDEX(acm[],MATCH($C119,acm[[Country code]:[Country code]],0),MATCH(AJ$1,acm[#Headers],0)),0)</f>
        <v>1.3151874984257913E-3</v>
      </c>
      <c r="AK119" s="33">
        <f>IFERROR(INDEX(acm[],MATCH($C119,acm[[Country code]:[Country code]],0),MATCH(AK$1,acm[#Headers],0)),0)</f>
        <v>2.0121145398065451E-3</v>
      </c>
      <c r="AL119" s="33">
        <f>IFERROR(INDEX(acm[],MATCH($C119,acm[[Country code]:[Country code]],0),MATCH(AL$1,acm[#Headers],0)),0)</f>
        <v>2.5521857039043322E-3</v>
      </c>
      <c r="AM119" s="33">
        <f>IFERROR(INDEX(acm[],MATCH($C119,acm[[Country code]:[Country code]],0),MATCH(AM$1,acm[#Headers],0)),0)</f>
        <v>3.6395738031344445E-3</v>
      </c>
      <c r="AN119" s="33">
        <f>IFERROR(INDEX(acm[],MATCH($C119,acm[[Country code]:[Country code]],0),MATCH(AN$1,acm[#Headers],0)),0)</f>
        <v>5.9855955396087698E-3</v>
      </c>
      <c r="AO119" s="33">
        <f>IFERROR(INDEX(acm[],MATCH($C119,acm[[Country code]:[Country code]],0),MATCH(AO$1,acm[#Headers],0)),0)</f>
        <v>1.0656165622609622E-2</v>
      </c>
      <c r="AP119" s="33">
        <f>IFERROR(INDEX(acm[],MATCH($C119,acm[[Country code]:[Country code]],0),MATCH(AP$1,acm[#Headers],0)),0)</f>
        <v>1.8402639796966141E-2</v>
      </c>
      <c r="AQ119" s="33">
        <f>IFERROR(INDEX(acm[],MATCH($C119,acm[[Country code]:[Country code]],0),MATCH(AQ$1,acm[#Headers],0)),0)</f>
        <v>2.8834750727873303E-2</v>
      </c>
      <c r="AR119" s="33">
        <f>IFERROR(INDEX(acm[],MATCH($C119,acm[[Country code]:[Country code]],0),MATCH(AR$1,acm[#Headers],0)),0)</f>
        <v>4.7612475607663025E-2</v>
      </c>
      <c r="AS119" s="33">
        <f>IFERROR(INDEX(acm[],MATCH($C119,acm[[Country code]:[Country code]],0),MATCH(AS$1,acm[#Headers],0)),0)</f>
        <v>7.3903502966553611E-2</v>
      </c>
      <c r="AT119" s="33">
        <f>IFERROR(INDEX(acm[],MATCH($C119,acm[[Country code]:[Country code]],0),MATCH(AT$1,acm[#Headers],0)),0)</f>
        <v>0.10565750197029085</v>
      </c>
      <c r="AU119" s="33">
        <f>IFERROR(INDEX(acm[],MATCH($C119,acm[[Country code]:[Country code]],0),MATCH(AU$1,acm[#Headers],0)),0)</f>
        <v>0.13716167840228499</v>
      </c>
      <c r="AV119" s="33">
        <f>IFERROR(INDEX(acm[],MATCH($C119,acm[[Country code]:[Country code]],0),MATCH(AV$1,acm[#Headers],0)),0)</f>
        <v>0.16443487588606648</v>
      </c>
      <c r="AW119" s="33">
        <f>IFERROR(INDEX(acm[],MATCH($C119,acm[[Country code]:[Country code]],0),MATCH(AW$1,acm[#Headers],0)),0)</f>
        <v>0.18225710446641838</v>
      </c>
      <c r="AX119" s="33">
        <f>IFERROR(VLOOKUP(lmic_raw[[#This Row],[num]],life_exp[[Country code]:[2015-2020]],2,FALSE),0)</f>
        <v>70.77</v>
      </c>
    </row>
    <row r="120" spans="1:50" x14ac:dyDescent="0.25">
      <c r="A120" s="82" t="s">
        <v>652</v>
      </c>
      <c r="B120" s="101" t="s">
        <v>534</v>
      </c>
      <c r="C120" s="102">
        <v>834</v>
      </c>
      <c r="D120" s="82" t="s">
        <v>677</v>
      </c>
      <c r="E120" s="82" t="s">
        <v>597</v>
      </c>
      <c r="F120" s="82" t="s">
        <v>667</v>
      </c>
      <c r="G120" s="82" t="s">
        <v>674</v>
      </c>
      <c r="H120" s="33">
        <f>VLOOKUP(lmic_raw[[#This Row],[num]],pop[[Country code]:[pop_20]],2,FALSE)*1000</f>
        <v>58005461</v>
      </c>
      <c r="I120" s="117">
        <f>IFERROR(VLOOKUP(lmic_raw[[#This Row],[num]],pop[[Country code]:[pop_20]],2,FALSE)*VLOOKUP(lmic_raw[[#This Row],[num]],b_rate[[Country code]:[2015-2020]],2,FALSE),0)</f>
        <v>2140459.5163610005</v>
      </c>
      <c r="J120">
        <f>IFERROR(MIN(VLOOKUP(lmic_raw[[#This Row],[iso3]],fac_b[],4,FALSE)/100,0.9999),0)</f>
        <v>0.626</v>
      </c>
      <c r="K120" s="33">
        <f>VLOOKUP(lmic_raw[[#This Row],[iso3]],vax[[iso3]:[hbv3]],2,FALSE)/100</f>
        <v>0</v>
      </c>
      <c r="L120" s="33">
        <f>VLOOKUP(lmic_raw[[#This Row],[iso3]],vax[[iso3]:[hbv3]],3,FALSE)/100</f>
        <v>0.89</v>
      </c>
      <c r="M120">
        <f>IFERROR(VLOOKUP(lmic_raw[[#This Row],[iso3]], hbv_prev[[iso3]:[ub]],2,FALSE)/100,0)</f>
        <v>4.0300000000000002E-2</v>
      </c>
      <c r="N120">
        <f>IFERROR(VLOOKUP(lmic_raw[[#This Row],[setting]],hbe_prev[],3,FALSE),0)</f>
        <v>0.29198880212287792</v>
      </c>
      <c r="O120">
        <f>VLOOKUP(lmic_raw[[#This Row],[gbd_super]],hbe_risk[],2,FALSE)</f>
        <v>0.38300000000000001</v>
      </c>
      <c r="P120" s="33">
        <f>VLOOKUP(lmic_raw[[#This Row],[gbd_super]],hbe_risk[],5,FALSE)</f>
        <v>4.8000000000000001E-2</v>
      </c>
      <c r="Q120">
        <f>IFERROR(VLOOKUP(lmic_raw[[#This Row],[setting]],disease_costs!$A$4:$B$197,2,FALSE),0)</f>
        <v>2.8481690320942974</v>
      </c>
      <c r="R120">
        <f>IFERROR(VLOOKUP(lmic_raw[[#This Row],[gbd_super]],disease_costs!$G$4:$K$9,2,FALSE),0)</f>
        <v>29.920500000000001</v>
      </c>
      <c r="S120" s="33">
        <f>IFERROR(VLOOKUP(lmic_raw[[#This Row],[gbd_super]],disease_costs!$G$4:$K$9,3,FALSE),0)</f>
        <v>77.662500000000009</v>
      </c>
      <c r="T120" s="33">
        <f>IFERROR(VLOOKUP(lmic_raw[[#This Row],[gbd_super]],disease_costs!$G$4:$K$9,4,FALSE),0)</f>
        <v>77.662500000000009</v>
      </c>
      <c r="U120" s="33">
        <f>IFERROR(VLOOKUP(lmic_raw[[#This Row],[gbd_super]],disease_costs!$G$4:$K$9,5,FALSE),0)</f>
        <v>77.662500000000009</v>
      </c>
      <c r="V120">
        <f>IFERROR(VLOOKUP(lmic_raw[[#This Row],[setting]],vcost[],3,FALSE),0)</f>
        <v>2.7328700115651938</v>
      </c>
      <c r="W120">
        <f>IFERROR(VLOOKUP(lmic_raw[[#This Row],[setting]],vcost[],4,FALSE),0)</f>
        <v>7.5628700115651935</v>
      </c>
      <c r="X120">
        <f>IFERROR(VLOOKUP(lmic_raw[[#This Row],[setting]],vcost[],5,FALSE),0)</f>
        <v>2.3053659756214313</v>
      </c>
      <c r="Y120">
        <f>IFERROR(VLOOKUP(lmic_raw[[#This Row],[setting]],vcost[],6,FALSE),0)</f>
        <v>7.1353659756214309</v>
      </c>
      <c r="Z120">
        <f>IFERROR(VLOOKUP(lmic_raw[[#This Row],[setting]],vcost[],7,FALSE),0)</f>
        <v>7.1317694545232353</v>
      </c>
      <c r="AA120">
        <f>IFERROR(VLOOKUP(lmic_raw[[#This Row],[setting]],vcost[],8,FALSE),0)</f>
        <v>2.9751963445240159</v>
      </c>
      <c r="AB120">
        <f>IFERROR(VLOOKUP(lmic_raw[[#This Row],[setting]],vcost[],9,FALSE),0)</f>
        <v>7.805196344524016</v>
      </c>
      <c r="AC120" s="33">
        <f>IFERROR(INDEX(acm[],MATCH($C120,acm[[Country code]:[Country code]],0),MATCH(AC$1,acm[#Headers],0)),0)</f>
        <v>4.1214049999999988E-2</v>
      </c>
      <c r="AD120" s="33">
        <f>IFERROR(INDEX(acm[],MATCH($C120,acm[[Country code]:[Country code]],0),MATCH(AD$1,acm[#Headers],0)),0)</f>
        <v>3.9968514348797191E-3</v>
      </c>
      <c r="AE120" s="33">
        <f>IFERROR(INDEX(acm[],MATCH($C120,acm[[Country code]:[Country code]],0),MATCH(AE$1,acm[#Headers],0)),0)</f>
        <v>1.5692769186358136E-3</v>
      </c>
      <c r="AF120" s="33">
        <f>IFERROR(INDEX(acm[],MATCH($C120,acm[[Country code]:[Country code]],0),MATCH(AF$1,acm[#Headers],0)),0)</f>
        <v>1.1113239191828232E-3</v>
      </c>
      <c r="AG120" s="33">
        <f>IFERROR(INDEX(acm[],MATCH($C120,acm[[Country code]:[Country code]],0),MATCH(AG$1,acm[#Headers],0)),0)</f>
        <v>1.7773475011780174E-3</v>
      </c>
      <c r="AH120" s="33">
        <f>IFERROR(INDEX(acm[],MATCH($C120,acm[[Country code]:[Country code]],0),MATCH(AH$1,acm[#Headers],0)),0)</f>
        <v>2.5708480479825877E-3</v>
      </c>
      <c r="AI120" s="33">
        <f>IFERROR(INDEX(acm[],MATCH($C120,acm[[Country code]:[Country code]],0),MATCH(AI$1,acm[#Headers],0)),0)</f>
        <v>2.9820183674253557E-3</v>
      </c>
      <c r="AJ120" s="33">
        <f>IFERROR(INDEX(acm[],MATCH($C120,acm[[Country code]:[Country code]],0),MATCH(AJ$1,acm[#Headers],0)),0)</f>
        <v>3.4975578144642535E-3</v>
      </c>
      <c r="AK120" s="33">
        <f>IFERROR(INDEX(acm[],MATCH($C120,acm[[Country code]:[Country code]],0),MATCH(AK$1,acm[#Headers],0)),0)</f>
        <v>4.2742986194550395E-3</v>
      </c>
      <c r="AL120" s="33">
        <f>IFERROR(INDEX(acm[],MATCH($C120,acm[[Country code]:[Country code]],0),MATCH(AL$1,acm[#Headers],0)),0)</f>
        <v>5.4100149533494717E-3</v>
      </c>
      <c r="AM120" s="33">
        <f>IFERROR(INDEX(acm[],MATCH($C120,acm[[Country code]:[Country code]],0),MATCH(AM$1,acm[#Headers],0)),0)</f>
        <v>6.8191765804846644E-3</v>
      </c>
      <c r="AN120" s="33">
        <f>IFERROR(INDEX(acm[],MATCH($C120,acm[[Country code]:[Country code]],0),MATCH(AN$1,acm[#Headers],0)),0)</f>
        <v>9.6619323711781557E-3</v>
      </c>
      <c r="AO120" s="33">
        <f>IFERROR(INDEX(acm[],MATCH($C120,acm[[Country code]:[Country code]],0),MATCH(AO$1,acm[#Headers],0)),0)</f>
        <v>1.2971158291646218E-2</v>
      </c>
      <c r="AP120" s="33">
        <f>IFERROR(INDEX(acm[],MATCH($C120,acm[[Country code]:[Country code]],0),MATCH(AP$1,acm[#Headers],0)),0)</f>
        <v>1.9534292045119091E-2</v>
      </c>
      <c r="AQ120" s="33">
        <f>IFERROR(INDEX(acm[],MATCH($C120,acm[[Country code]:[Country code]],0),MATCH(AQ$1,acm[#Headers],0)),0)</f>
        <v>3.0200797379379536E-2</v>
      </c>
      <c r="AR120" s="33">
        <f>IFERROR(INDEX(acm[],MATCH($C120,acm[[Country code]:[Country code]],0),MATCH(AR$1,acm[#Headers],0)),0)</f>
        <v>4.6954893484656667E-2</v>
      </c>
      <c r="AS120" s="33">
        <f>IFERROR(INDEX(acm[],MATCH($C120,acm[[Country code]:[Country code]],0),MATCH(AS$1,acm[#Headers],0)),0)</f>
        <v>7.1872878971078025E-2</v>
      </c>
      <c r="AT120" s="33">
        <f>IFERROR(INDEX(acm[],MATCH($C120,acm[[Country code]:[Country code]],0),MATCH(AT$1,acm[#Headers],0)),0)</f>
        <v>0.10698365598780905</v>
      </c>
      <c r="AU120" s="33">
        <f>IFERROR(INDEX(acm[],MATCH($C120,acm[[Country code]:[Country code]],0),MATCH(AU$1,acm[#Headers],0)),0)</f>
        <v>0.14690133868387881</v>
      </c>
      <c r="AV120" s="33">
        <f>IFERROR(INDEX(acm[],MATCH($C120,acm[[Country code]:[Country code]],0),MATCH(AV$1,acm[#Headers],0)),0)</f>
        <v>0.17985227207817817</v>
      </c>
      <c r="AW120" s="33">
        <f>IFERROR(INDEX(acm[],MATCH($C120,acm[[Country code]:[Country code]],0),MATCH(AW$1,acm[#Headers],0)),0)</f>
        <v>0.18984651902912544</v>
      </c>
      <c r="AX120" s="33">
        <f>IFERROR(VLOOKUP(lmic_raw[[#This Row],[num]],life_exp[[Country code]:[2015-2020]],2,FALSE),0)</f>
        <v>64.841999999999999</v>
      </c>
    </row>
    <row r="121" spans="1:50" x14ac:dyDescent="0.25">
      <c r="A121" s="110" t="s">
        <v>219</v>
      </c>
      <c r="B121" s="104" t="s">
        <v>522</v>
      </c>
      <c r="C121" s="105">
        <v>764</v>
      </c>
      <c r="D121" s="84" t="s">
        <v>680</v>
      </c>
      <c r="E121" s="84" t="s">
        <v>598</v>
      </c>
      <c r="F121" s="84" t="s">
        <v>666</v>
      </c>
      <c r="G121" s="84" t="s">
        <v>676</v>
      </c>
      <c r="H121" s="33">
        <f>VLOOKUP(lmic_raw[[#This Row],[num]],pop[[Country code]:[pop_20]],2,FALSE)*1000</f>
        <v>69625581</v>
      </c>
      <c r="I121" s="117">
        <f>IFERROR(VLOOKUP(lmic_raw[[#This Row],[num]],pop[[Country code]:[pop_20]],2,FALSE)*VLOOKUP(lmic_raw[[#This Row],[num]],b_rate[[Country code]:[2015-2020]],2,FALSE),0)</f>
        <v>728422.82842200005</v>
      </c>
      <c r="J121">
        <f>IFERROR(MIN(VLOOKUP(lmic_raw[[#This Row],[iso3]],fac_b[],4,FALSE)/100,0.9999),0)</f>
        <v>0.98599999999999999</v>
      </c>
      <c r="K121" s="33">
        <f>VLOOKUP(lmic_raw[[#This Row],[iso3]],vax[[iso3]:[hbv3]],2,FALSE)/100</f>
        <v>0.99</v>
      </c>
      <c r="L121" s="33">
        <f>VLOOKUP(lmic_raw[[#This Row],[iso3]],vax[[iso3]:[hbv3]],3,FALSE)/100</f>
        <v>0.97</v>
      </c>
      <c r="M121">
        <f>IFERROR(VLOOKUP(lmic_raw[[#This Row],[iso3]], hbv_prev[[iso3]:[ub]],2,FALSE)/100,0)</f>
        <v>1.3600000000000001E-2</v>
      </c>
      <c r="N121">
        <f>IFERROR(VLOOKUP(lmic_raw[[#This Row],[setting]],hbe_prev[],3,FALSE),0)</f>
        <v>0.33797130006472659</v>
      </c>
      <c r="O121">
        <f>VLOOKUP(lmic_raw[[#This Row],[gbd_super]],hbe_risk[],2,FALSE)</f>
        <v>0.8</v>
      </c>
      <c r="P121" s="33">
        <f>VLOOKUP(lmic_raw[[#This Row],[gbd_super]],hbe_risk[],5,FALSE)</f>
        <v>0.17499999999999999</v>
      </c>
      <c r="Q121">
        <f>IFERROR(VLOOKUP(lmic_raw[[#This Row],[setting]],disease_costs!$A$4:$B$197,2,FALSE),0)</f>
        <v>7.5008366939204532</v>
      </c>
      <c r="R121">
        <f>IFERROR(VLOOKUP(lmic_raw[[#This Row],[gbd_super]],disease_costs!$G$4:$K$9,2,FALSE),0)</f>
        <v>73.084500000000006</v>
      </c>
      <c r="S121" s="33">
        <f>IFERROR(VLOOKUP(lmic_raw[[#This Row],[gbd_super]],disease_costs!$G$4:$K$9,3,FALSE),0)</f>
        <v>120.8265</v>
      </c>
      <c r="T121" s="33">
        <f>IFERROR(VLOOKUP(lmic_raw[[#This Row],[gbd_super]],disease_costs!$G$4:$K$9,4,FALSE),0)</f>
        <v>120.8265</v>
      </c>
      <c r="U121" s="33">
        <f>IFERROR(VLOOKUP(lmic_raw[[#This Row],[gbd_super]],disease_costs!$G$4:$K$9,5,FALSE),0)</f>
        <v>120.8265</v>
      </c>
      <c r="V121">
        <f>IFERROR(VLOOKUP(lmic_raw[[#This Row],[setting]],vcost[],3,FALSE),0)</f>
        <v>4.1710653325395572</v>
      </c>
      <c r="W121">
        <f>IFERROR(VLOOKUP(lmic_raw[[#This Row],[setting]],vcost[],4,FALSE),0)</f>
        <v>4.8010653325395571</v>
      </c>
      <c r="X121">
        <f>IFERROR(VLOOKUP(lmic_raw[[#This Row],[setting]],vcost[],5,FALSE),0)</f>
        <v>3.7291773607698984</v>
      </c>
      <c r="Y121">
        <f>IFERROR(VLOOKUP(lmic_raw[[#This Row],[setting]],vcost[],6,FALSE),0)</f>
        <v>4.3591773607698983</v>
      </c>
      <c r="Z121">
        <f>IFERROR(VLOOKUP(lmic_raw[[#This Row],[setting]],vcost[],7,FALSE),0)</f>
        <v>4.3499028723835229</v>
      </c>
      <c r="AA121">
        <f>IFERROR(VLOOKUP(lmic_raw[[#This Row],[setting]],vcost[],8,FALSE),0)</f>
        <v>4.4185765725984112</v>
      </c>
      <c r="AB121">
        <f>IFERROR(VLOOKUP(lmic_raw[[#This Row],[setting]],vcost[],9,FALSE),0)</f>
        <v>5.0485765725984111</v>
      </c>
      <c r="AC121" s="33">
        <f>IFERROR(INDEX(acm[],MATCH($C121,acm[[Country code]:[Country code]],0),MATCH(AC$1,acm[#Headers],0)),0)</f>
        <v>7.7542100000000209E-3</v>
      </c>
      <c r="AD121" s="33">
        <f>IFERROR(INDEX(acm[],MATCH($C121,acm[[Country code]:[Country code]],0),MATCH(AD$1,acm[#Headers],0)),0)</f>
        <v>3.1376046453168293E-4</v>
      </c>
      <c r="AE121" s="33">
        <f>IFERROR(INDEX(acm[],MATCH($C121,acm[[Country code]:[Country code]],0),MATCH(AE$1,acm[#Headers],0)),0)</f>
        <v>2.6511793415073733E-4</v>
      </c>
      <c r="AF121" s="33">
        <f>IFERROR(INDEX(acm[],MATCH($C121,acm[[Country code]:[Country code]],0),MATCH(AF$1,acm[#Headers],0)),0)</f>
        <v>4.1268610609565656E-4</v>
      </c>
      <c r="AG121" s="33">
        <f>IFERROR(INDEX(acm[],MATCH($C121,acm[[Country code]:[Country code]],0),MATCH(AG$1,acm[#Headers],0)),0)</f>
        <v>1.0755852102153319E-3</v>
      </c>
      <c r="AH121" s="33">
        <f>IFERROR(INDEX(acm[],MATCH($C121,acm[[Country code]:[Country code]],0),MATCH(AH$1,acm[#Headers],0)),0)</f>
        <v>1.030660482926388E-3</v>
      </c>
      <c r="AI121" s="33">
        <f>IFERROR(INDEX(acm[],MATCH($C121,acm[[Country code]:[Country code]],0),MATCH(AI$1,acm[#Headers],0)),0)</f>
        <v>1.1309371496397516E-3</v>
      </c>
      <c r="AJ121" s="33">
        <f>IFERROR(INDEX(acm[],MATCH($C121,acm[[Country code]:[Country code]],0),MATCH(AJ$1,acm[#Headers],0)),0)</f>
        <v>1.6092497209941237E-3</v>
      </c>
      <c r="AK121" s="33">
        <f>IFERROR(INDEX(acm[],MATCH($C121,acm[[Country code]:[Country code]],0),MATCH(AK$1,acm[#Headers],0)),0)</f>
        <v>2.4445801003348941E-3</v>
      </c>
      <c r="AL121" s="33">
        <f>IFERROR(INDEX(acm[],MATCH($C121,acm[[Country code]:[Country code]],0),MATCH(AL$1,acm[#Headers],0)),0)</f>
        <v>3.3453934851654273E-3</v>
      </c>
      <c r="AM121" s="33">
        <f>IFERROR(INDEX(acm[],MATCH($C121,acm[[Country code]:[Country code]],0),MATCH(AM$1,acm[#Headers],0)),0)</f>
        <v>4.3620359040103997E-3</v>
      </c>
      <c r="AN121" s="33">
        <f>IFERROR(INDEX(acm[],MATCH($C121,acm[[Country code]:[Country code]],0),MATCH(AN$1,acm[#Headers],0)),0)</f>
        <v>5.7565773076573038E-3</v>
      </c>
      <c r="AO121" s="33">
        <f>IFERROR(INDEX(acm[],MATCH($C121,acm[[Country code]:[Country code]],0),MATCH(AO$1,acm[#Headers],0)),0)</f>
        <v>7.698281466240583E-3</v>
      </c>
      <c r="AP121" s="33">
        <f>IFERROR(INDEX(acm[],MATCH($C121,acm[[Country code]:[Country code]],0),MATCH(AP$1,acm[#Headers],0)),0)</f>
        <v>1.1153551833355365E-2</v>
      </c>
      <c r="AQ121" s="33">
        <f>IFERROR(INDEX(acm[],MATCH($C121,acm[[Country code]:[Country code]],0),MATCH(AQ$1,acm[#Headers],0)),0)</f>
        <v>1.551458711682388E-2</v>
      </c>
      <c r="AR121" s="33">
        <f>IFERROR(INDEX(acm[],MATCH($C121,acm[[Country code]:[Country code]],0),MATCH(AR$1,acm[#Headers],0)),0)</f>
        <v>2.4142227644320099E-2</v>
      </c>
      <c r="AS121" s="33">
        <f>IFERROR(INDEX(acm[],MATCH($C121,acm[[Country code]:[Country code]],0),MATCH(AS$1,acm[#Headers],0)),0)</f>
        <v>3.8239856574070391E-2</v>
      </c>
      <c r="AT121" s="33">
        <f>IFERROR(INDEX(acm[],MATCH($C121,acm[[Country code]:[Country code]],0),MATCH(AT$1,acm[#Headers],0)),0)</f>
        <v>5.8128074558650787E-2</v>
      </c>
      <c r="AU121" s="33">
        <f>IFERROR(INDEX(acm[],MATCH($C121,acm[[Country code]:[Country code]],0),MATCH(AU$1,acm[#Headers],0)),0)</f>
        <v>8.4472703489192891E-2</v>
      </c>
      <c r="AV121" s="33">
        <f>IFERROR(INDEX(acm[],MATCH($C121,acm[[Country code]:[Country code]],0),MATCH(AV$1,acm[#Headers],0)),0)</f>
        <v>0.11348109923047969</v>
      </c>
      <c r="AW121" s="33">
        <f>IFERROR(INDEX(acm[],MATCH($C121,acm[[Country code]:[Country code]],0),MATCH(AW$1,acm[#Headers],0)),0)</f>
        <v>0.14059689474071249</v>
      </c>
      <c r="AX121" s="33">
        <f>IFERROR(VLOOKUP(lmic_raw[[#This Row],[num]],life_exp[[Country code]:[2015-2020]],2,FALSE),0)</f>
        <v>76.831999999999994</v>
      </c>
    </row>
    <row r="122" spans="1:50" x14ac:dyDescent="0.25">
      <c r="A122" s="109" t="s">
        <v>220</v>
      </c>
      <c r="B122" s="101" t="s">
        <v>523</v>
      </c>
      <c r="C122" s="102">
        <v>626</v>
      </c>
      <c r="D122" s="82" t="s">
        <v>680</v>
      </c>
      <c r="E122" s="82" t="s">
        <v>598</v>
      </c>
      <c r="F122" s="82" t="s">
        <v>666</v>
      </c>
      <c r="G122" s="82" t="s">
        <v>678</v>
      </c>
      <c r="H122" s="33">
        <f>VLOOKUP(lmic_raw[[#This Row],[num]],pop[[Country code]:[pop_20]],2,FALSE)*1000</f>
        <v>1293120</v>
      </c>
      <c r="I122" s="117">
        <f>IFERROR(VLOOKUP(lmic_raw[[#This Row],[num]],pop[[Country code]:[pop_20]],2,FALSE)*VLOOKUP(lmic_raw[[#This Row],[num]],b_rate[[Country code]:[2015-2020]],2,FALSE),0)</f>
        <v>38458.681919999995</v>
      </c>
      <c r="J122">
        <f>IFERROR(MIN(VLOOKUP(lmic_raw[[#This Row],[iso3]],fac_b[],4,FALSE)/100,0.9999),0)</f>
        <v>0.48499999999999999</v>
      </c>
      <c r="K122" s="33">
        <f>VLOOKUP(lmic_raw[[#This Row],[iso3]],vax[[iso3]:[hbv3]],2,FALSE)/100</f>
        <v>0.7</v>
      </c>
      <c r="L122" s="33">
        <f>VLOOKUP(lmic_raw[[#This Row],[iso3]],vax[[iso3]:[hbv3]],3,FALSE)/100</f>
        <v>0.83</v>
      </c>
      <c r="M122">
        <f>IFERROR(VLOOKUP(lmic_raw[[#This Row],[iso3]], hbv_prev[[iso3]:[ub]],2,FALSE)/100,0)</f>
        <v>0.02</v>
      </c>
      <c r="N122">
        <f>IFERROR(VLOOKUP(lmic_raw[[#This Row],[setting]],hbe_prev[],3,FALSE),0)</f>
        <v>0.32696072607084226</v>
      </c>
      <c r="O122">
        <f>VLOOKUP(lmic_raw[[#This Row],[gbd_super]],hbe_risk[],2,FALSE)</f>
        <v>0.8</v>
      </c>
      <c r="P122" s="33">
        <f>VLOOKUP(lmic_raw[[#This Row],[gbd_super]],hbe_risk[],5,FALSE)</f>
        <v>0.17499999999999999</v>
      </c>
      <c r="Q122" s="118">
        <f>IFERROR(VLOOKUP(lmic_raw[[#This Row],[setting]],disease_costs!$A$4:$B$197,2,FALSE),0)</f>
        <v>0</v>
      </c>
      <c r="R122">
        <f>IFERROR(VLOOKUP(lmic_raw[[#This Row],[gbd_super]],disease_costs!$G$4:$K$9,2,FALSE),0)</f>
        <v>73.084500000000006</v>
      </c>
      <c r="S122" s="33">
        <f>IFERROR(VLOOKUP(lmic_raw[[#This Row],[gbd_super]],disease_costs!$G$4:$K$9,3,FALSE),0)</f>
        <v>120.8265</v>
      </c>
      <c r="T122" s="33">
        <f>IFERROR(VLOOKUP(lmic_raw[[#This Row],[gbd_super]],disease_costs!$G$4:$K$9,4,FALSE),0)</f>
        <v>120.8265</v>
      </c>
      <c r="U122" s="33">
        <f>IFERROR(VLOOKUP(lmic_raw[[#This Row],[gbd_super]],disease_costs!$G$4:$K$9,5,FALSE),0)</f>
        <v>120.8265</v>
      </c>
      <c r="V122">
        <f>IFERROR(VLOOKUP(lmic_raw[[#This Row],[setting]],vcost[],3,FALSE),0)</f>
        <v>4.21547015891404</v>
      </c>
      <c r="W122">
        <f>IFERROR(VLOOKUP(lmic_raw[[#This Row],[setting]],vcost[],4,FALSE),0)</f>
        <v>4.8454701589140399</v>
      </c>
      <c r="X122">
        <f>IFERROR(VLOOKUP(lmic_raw[[#This Row],[setting]],vcost[],5,FALSE),0)</f>
        <v>3.7882845632665689</v>
      </c>
      <c r="Y122">
        <f>IFERROR(VLOOKUP(lmic_raw[[#This Row],[setting]],vcost[],6,FALSE),0)</f>
        <v>4.4182845632665693</v>
      </c>
      <c r="Z122">
        <f>IFERROR(VLOOKUP(lmic_raw[[#This Row],[setting]],vcost[],7,FALSE),0)</f>
        <v>4.4144925461645093</v>
      </c>
      <c r="AA122">
        <f>IFERROR(VLOOKUP(lmic_raw[[#This Row],[setting]],vcost[],8,FALSE),0)</f>
        <v>4.45768170525443</v>
      </c>
      <c r="AB122">
        <f>IFERROR(VLOOKUP(lmic_raw[[#This Row],[setting]],vcost[],9,FALSE),0)</f>
        <v>5.0876817052544299</v>
      </c>
      <c r="AC122" s="33">
        <f>IFERROR(INDEX(acm[],MATCH($C122,acm[[Country code]:[Country code]],0),MATCH(AC$1,acm[#Headers],0)),0)</f>
        <v>3.7353289999999977E-2</v>
      </c>
      <c r="AD122" s="33">
        <f>IFERROR(INDEX(acm[],MATCH($C122,acm[[Country code]:[Country code]],0),MATCH(AD$1,acm[#Headers],0)),0)</f>
        <v>2.4417628768502436E-3</v>
      </c>
      <c r="AE122" s="33">
        <f>IFERROR(INDEX(acm[],MATCH($C122,acm[[Country code]:[Country code]],0),MATCH(AE$1,acm[#Headers],0)),0)</f>
        <v>7.5046224500073598E-4</v>
      </c>
      <c r="AF122" s="33">
        <f>IFERROR(INDEX(acm[],MATCH($C122,acm[[Country code]:[Country code]],0),MATCH(AF$1,acm[#Headers],0)),0)</f>
        <v>5.7988920376164806E-4</v>
      </c>
      <c r="AG122" s="33">
        <f>IFERROR(INDEX(acm[],MATCH($C122,acm[[Country code]:[Country code]],0),MATCH(AG$1,acm[#Headers],0)),0)</f>
        <v>9.9963659850836736E-4</v>
      </c>
      <c r="AH122" s="33">
        <f>IFERROR(INDEX(acm[],MATCH($C122,acm[[Country code]:[Country code]],0),MATCH(AH$1,acm[#Headers],0)),0)</f>
        <v>1.2610949192515483E-3</v>
      </c>
      <c r="AI122" s="33">
        <f>IFERROR(INDEX(acm[],MATCH($C122,acm[[Country code]:[Country code]],0),MATCH(AI$1,acm[#Headers],0)),0)</f>
        <v>1.2042655371105656E-3</v>
      </c>
      <c r="AJ122" s="33">
        <f>IFERROR(INDEX(acm[],MATCH($C122,acm[[Country code]:[Country code]],0),MATCH(AJ$1,acm[#Headers],0)),0)</f>
        <v>1.3393810969544002E-3</v>
      </c>
      <c r="AK122" s="33">
        <f>IFERROR(INDEX(acm[],MATCH($C122,acm[[Country code]:[Country code]],0),MATCH(AK$1,acm[#Headers],0)),0)</f>
        <v>1.7495403549045371E-3</v>
      </c>
      <c r="AL122" s="33">
        <f>IFERROR(INDEX(acm[],MATCH($C122,acm[[Country code]:[Country code]],0),MATCH(AL$1,acm[#Headers],0)),0)</f>
        <v>2.5167331458246425E-3</v>
      </c>
      <c r="AM122" s="33">
        <f>IFERROR(INDEX(acm[],MATCH($C122,acm[[Country code]:[Country code]],0),MATCH(AM$1,acm[#Headers],0)),0)</f>
        <v>4.0084334484345617E-3</v>
      </c>
      <c r="AN122" s="33">
        <f>IFERROR(INDEX(acm[],MATCH($C122,acm[[Country code]:[Country code]],0),MATCH(AN$1,acm[#Headers],0)),0)</f>
        <v>6.5767792764623734E-3</v>
      </c>
      <c r="AO122" s="33">
        <f>IFERROR(INDEX(acm[],MATCH($C122,acm[[Country code]:[Country code]],0),MATCH(AO$1,acm[#Headers],0)),0)</f>
        <v>1.127669195844757E-2</v>
      </c>
      <c r="AP122" s="33">
        <f>IFERROR(INDEX(acm[],MATCH($C122,acm[[Country code]:[Country code]],0),MATCH(AP$1,acm[#Headers],0)),0)</f>
        <v>1.8097948710298718E-2</v>
      </c>
      <c r="AQ122" s="33">
        <f>IFERROR(INDEX(acm[],MATCH($C122,acm[[Country code]:[Country code]],0),MATCH(AQ$1,acm[#Headers],0)),0)</f>
        <v>2.8766280262766567E-2</v>
      </c>
      <c r="AR122" s="33">
        <f>IFERROR(INDEX(acm[],MATCH($C122,acm[[Country code]:[Country code]],0),MATCH(AR$1,acm[#Headers],0)),0)</f>
        <v>4.5617304860966094E-2</v>
      </c>
      <c r="AS122" s="33">
        <f>IFERROR(INDEX(acm[],MATCH($C122,acm[[Country code]:[Country code]],0),MATCH(AS$1,acm[#Headers],0)),0)</f>
        <v>7.006155706294212E-2</v>
      </c>
      <c r="AT122" s="33">
        <f>IFERROR(INDEX(acm[],MATCH($C122,acm[[Country code]:[Country code]],0),MATCH(AT$1,acm[#Headers],0)),0)</f>
        <v>0.10010623874858736</v>
      </c>
      <c r="AU122" s="33">
        <f>IFERROR(INDEX(acm[],MATCH($C122,acm[[Country code]:[Country code]],0),MATCH(AU$1,acm[#Headers],0)),0)</f>
        <v>0.13269986785632931</v>
      </c>
      <c r="AV122" s="33">
        <f>IFERROR(INDEX(acm[],MATCH($C122,acm[[Country code]:[Country code]],0),MATCH(AV$1,acm[#Headers],0)),0)</f>
        <v>0.15930605284793065</v>
      </c>
      <c r="AW122" s="33">
        <f>IFERROR(INDEX(acm[],MATCH($C122,acm[[Country code]:[Country code]],0),MATCH(AW$1,acm[#Headers],0)),0)</f>
        <v>0.17797230829114155</v>
      </c>
      <c r="AX122" s="33">
        <f>IFERROR(VLOOKUP(lmic_raw[[#This Row],[num]],life_exp[[Country code]:[2015-2020]],2,FALSE),0)</f>
        <v>69.153000000000006</v>
      </c>
    </row>
    <row r="123" spans="1:50" x14ac:dyDescent="0.25">
      <c r="A123" s="110" t="s">
        <v>154</v>
      </c>
      <c r="B123" s="104" t="s">
        <v>524</v>
      </c>
      <c r="C123" s="105">
        <v>768</v>
      </c>
      <c r="D123" s="84" t="s">
        <v>677</v>
      </c>
      <c r="E123" s="84" t="s">
        <v>591</v>
      </c>
      <c r="F123" s="84" t="s">
        <v>667</v>
      </c>
      <c r="G123" s="84" t="s">
        <v>674</v>
      </c>
      <c r="H123" s="33">
        <f>VLOOKUP(lmic_raw[[#This Row],[num]],pop[[Country code]:[pop_20]],2,FALSE)*1000</f>
        <v>8082359</v>
      </c>
      <c r="I123" s="117">
        <f>IFERROR(VLOOKUP(lmic_raw[[#This Row],[num]],pop[[Country code]:[pop_20]],2,FALSE)*VLOOKUP(lmic_raw[[#This Row],[num]],b_rate[[Country code]:[2015-2020]],2,FALSE),0)</f>
        <v>269255.70772599999</v>
      </c>
      <c r="J123">
        <f>IFERROR(MIN(VLOOKUP(lmic_raw[[#This Row],[iso3]],fac_b[],4,FALSE)/100,0.9999),0)</f>
        <v>0.8</v>
      </c>
      <c r="K123" s="33">
        <f>VLOOKUP(lmic_raw[[#This Row],[iso3]],vax[[iso3]:[hbv3]],2,FALSE)/100</f>
        <v>0</v>
      </c>
      <c r="L123" s="33">
        <f>VLOOKUP(lmic_raw[[#This Row],[iso3]],vax[[iso3]:[hbv3]],3,FALSE)/100</f>
        <v>0.84</v>
      </c>
      <c r="M123">
        <f>IFERROR(VLOOKUP(lmic_raw[[#This Row],[iso3]], hbv_prev[[iso3]:[ub]],2,FALSE)/100,0)</f>
        <v>8.4399999999999989E-2</v>
      </c>
      <c r="N123">
        <f>IFERROR(VLOOKUP(lmic_raw[[#This Row],[setting]],hbe_prev[],3,FALSE),0)</f>
        <v>0.29252493331506846</v>
      </c>
      <c r="O123">
        <f>VLOOKUP(lmic_raw[[#This Row],[gbd_super]],hbe_risk[],2,FALSE)</f>
        <v>0.38300000000000001</v>
      </c>
      <c r="P123" s="33">
        <f>VLOOKUP(lmic_raw[[#This Row],[gbd_super]],hbe_risk[],5,FALSE)</f>
        <v>4.8000000000000001E-2</v>
      </c>
      <c r="Q123">
        <f>IFERROR(VLOOKUP(lmic_raw[[#This Row],[setting]],disease_costs!$A$4:$B$197,2,FALSE),0)</f>
        <v>2.69387138004394</v>
      </c>
      <c r="R123">
        <f>IFERROR(VLOOKUP(lmic_raw[[#This Row],[gbd_super]],disease_costs!$G$4:$K$9,2,FALSE),0)</f>
        <v>29.920500000000001</v>
      </c>
      <c r="S123" s="33">
        <f>IFERROR(VLOOKUP(lmic_raw[[#This Row],[gbd_super]],disease_costs!$G$4:$K$9,3,FALSE),0)</f>
        <v>77.662500000000009</v>
      </c>
      <c r="T123" s="33">
        <f>IFERROR(VLOOKUP(lmic_raw[[#This Row],[gbd_super]],disease_costs!$G$4:$K$9,4,FALSE),0)</f>
        <v>77.662500000000009</v>
      </c>
      <c r="U123" s="33">
        <f>IFERROR(VLOOKUP(lmic_raw[[#This Row],[gbd_super]],disease_costs!$G$4:$K$9,5,FALSE),0)</f>
        <v>77.662500000000009</v>
      </c>
      <c r="V123">
        <f>IFERROR(VLOOKUP(lmic_raw[[#This Row],[setting]],vcost[],3,FALSE),0)</f>
        <v>2.6642686712808143</v>
      </c>
      <c r="W123">
        <f>IFERROR(VLOOKUP(lmic_raw[[#This Row],[setting]],vcost[],4,FALSE),0)</f>
        <v>7.494268671280814</v>
      </c>
      <c r="X123">
        <f>IFERROR(VLOOKUP(lmic_raw[[#This Row],[setting]],vcost[],5,FALSE),0)</f>
        <v>2.2403752233892535</v>
      </c>
      <c r="Y123">
        <f>IFERROR(VLOOKUP(lmic_raw[[#This Row],[setting]],vcost[],6,FALSE),0)</f>
        <v>7.0703752233892541</v>
      </c>
      <c r="Z123">
        <f>IFERROR(VLOOKUP(lmic_raw[[#This Row],[setting]],vcost[],7,FALSE),0)</f>
        <v>7.0680477842290816</v>
      </c>
      <c r="AA123">
        <f>IFERROR(VLOOKUP(lmic_raw[[#This Row],[setting]],vcost[],8,FALSE),0)</f>
        <v>2.9052935131975635</v>
      </c>
      <c r="AB123">
        <f>IFERROR(VLOOKUP(lmic_raw[[#This Row],[setting]],vcost[],9,FALSE),0)</f>
        <v>7.7352935131975631</v>
      </c>
      <c r="AC123" s="33">
        <f>IFERROR(INDEX(acm[],MATCH($C123,acm[[Country code]:[Country code]],0),MATCH(AC$1,acm[#Headers],0)),0)</f>
        <v>4.969623000000007E-2</v>
      </c>
      <c r="AD123" s="33">
        <f>IFERROR(INDEX(acm[],MATCH($C123,acm[[Country code]:[Country code]],0),MATCH(AD$1,acm[#Headers],0)),0)</f>
        <v>6.7678911765234797E-3</v>
      </c>
      <c r="AE123" s="33">
        <f>IFERROR(INDEX(acm[],MATCH($C123,acm[[Country code]:[Country code]],0),MATCH(AE$1,acm[#Headers],0)),0)</f>
        <v>3.0947733578997726E-3</v>
      </c>
      <c r="AF123" s="33">
        <f>IFERROR(INDEX(acm[],MATCH($C123,acm[[Country code]:[Country code]],0),MATCH(AF$1,acm[#Headers],0)),0)</f>
        <v>1.8112940174932904E-3</v>
      </c>
      <c r="AG123" s="33">
        <f>IFERROR(INDEX(acm[],MATCH($C123,acm[[Country code]:[Country code]],0),MATCH(AG$1,acm[#Headers],0)),0)</f>
        <v>2.7661457956693228E-3</v>
      </c>
      <c r="AH123" s="33">
        <f>IFERROR(INDEX(acm[],MATCH($C123,acm[[Country code]:[Country code]],0),MATCH(AH$1,acm[#Headers],0)),0)</f>
        <v>3.8635098749342186E-3</v>
      </c>
      <c r="AI123" s="33">
        <f>IFERROR(INDEX(acm[],MATCH($C123,acm[[Country code]:[Country code]],0),MATCH(AI$1,acm[#Headers],0)),0)</f>
        <v>4.1076620376263922E-3</v>
      </c>
      <c r="AJ123" s="33">
        <f>IFERROR(INDEX(acm[],MATCH($C123,acm[[Country code]:[Country code]],0),MATCH(AJ$1,acm[#Headers],0)),0)</f>
        <v>4.4948405076414245E-3</v>
      </c>
      <c r="AK123" s="33">
        <f>IFERROR(INDEX(acm[],MATCH($C123,acm[[Country code]:[Country code]],0),MATCH(AK$1,acm[#Headers],0)),0)</f>
        <v>5.1105513966074384E-3</v>
      </c>
      <c r="AL123" s="33">
        <f>IFERROR(INDEX(acm[],MATCH($C123,acm[[Country code]:[Country code]],0),MATCH(AL$1,acm[#Headers],0)),0)</f>
        <v>6.2099948399343616E-3</v>
      </c>
      <c r="AM123" s="33">
        <f>IFERROR(INDEX(acm[],MATCH($C123,acm[[Country code]:[Country code]],0),MATCH(AM$1,acm[#Headers],0)),0)</f>
        <v>7.6812973015688134E-3</v>
      </c>
      <c r="AN123" s="33">
        <f>IFERROR(INDEX(acm[],MATCH($C123,acm[[Country code]:[Country code]],0),MATCH(AN$1,acm[#Headers],0)),0)</f>
        <v>1.068530292173713E-2</v>
      </c>
      <c r="AO123" s="33">
        <f>IFERROR(INDEX(acm[],MATCH($C123,acm[[Country code]:[Country code]],0),MATCH(AO$1,acm[#Headers],0)),0)</f>
        <v>1.511104924550352E-2</v>
      </c>
      <c r="AP123" s="33">
        <f>IFERROR(INDEX(acm[],MATCH($C123,acm[[Country code]:[Country code]],0),MATCH(AP$1,acm[#Headers],0)),0)</f>
        <v>2.3399658356689515E-2</v>
      </c>
      <c r="AQ123" s="33">
        <f>IFERROR(INDEX(acm[],MATCH($C123,acm[[Country code]:[Country code]],0),MATCH(AQ$1,acm[#Headers],0)),0)</f>
        <v>3.5843422857449771E-2</v>
      </c>
      <c r="AR123" s="33">
        <f>IFERROR(INDEX(acm[],MATCH($C123,acm[[Country code]:[Country code]],0),MATCH(AR$1,acm[#Headers],0)),0)</f>
        <v>5.6966775396661257E-2</v>
      </c>
      <c r="AS123" s="33">
        <f>IFERROR(INDEX(acm[],MATCH($C123,acm[[Country code]:[Country code]],0),MATCH(AS$1,acm[#Headers],0)),0)</f>
        <v>8.6854207534117892E-2</v>
      </c>
      <c r="AT123" s="33">
        <f>IFERROR(INDEX(acm[],MATCH($C123,acm[[Country code]:[Country code]],0),MATCH(AT$1,acm[#Headers],0)),0)</f>
        <v>0.12301208774582718</v>
      </c>
      <c r="AU123" s="33">
        <f>IFERROR(INDEX(acm[],MATCH($C123,acm[[Country code]:[Country code]],0),MATCH(AU$1,acm[#Headers],0)),0)</f>
        <v>0.15561358021648744</v>
      </c>
      <c r="AV123" s="33">
        <f>IFERROR(INDEX(acm[],MATCH($C123,acm[[Country code]:[Country code]],0),MATCH(AV$1,acm[#Headers],0)),0)</f>
        <v>0.17778575770131999</v>
      </c>
      <c r="AW123" s="33">
        <f>IFERROR(INDEX(acm[],MATCH($C123,acm[[Country code]:[Country code]],0),MATCH(AW$1,acm[#Headers],0)),0)</f>
        <v>0.19405840489771495</v>
      </c>
      <c r="AX123" s="33">
        <f>IFERROR(VLOOKUP(lmic_raw[[#This Row],[num]],life_exp[[Country code]:[2015-2020]],2,FALSE),0)</f>
        <v>60.527999999999999</v>
      </c>
    </row>
    <row r="124" spans="1:50" x14ac:dyDescent="0.25">
      <c r="A124" s="109" t="s">
        <v>301</v>
      </c>
      <c r="B124" s="101" t="s">
        <v>525</v>
      </c>
      <c r="C124" s="102">
        <v>776</v>
      </c>
      <c r="D124" s="82" t="s">
        <v>681</v>
      </c>
      <c r="E124" s="82" t="s">
        <v>98</v>
      </c>
      <c r="F124" s="82" t="s">
        <v>666</v>
      </c>
      <c r="G124" s="82" t="s">
        <v>676</v>
      </c>
      <c r="H124" s="33">
        <f>VLOOKUP(lmic_raw[[#This Row],[num]],pop[[Country code]:[pop_20]],2,FALSE)*1000</f>
        <v>104497</v>
      </c>
      <c r="I124" s="117">
        <f>IFERROR(VLOOKUP(lmic_raw[[#This Row],[num]],pop[[Country code]:[pop_20]],2,FALSE)*VLOOKUP(lmic_raw[[#This Row],[num]],b_rate[[Country code]:[2015-2020]],2,FALSE),0)</f>
        <v>2555.3696380000001</v>
      </c>
      <c r="J124">
        <f>IFERROR(MIN(VLOOKUP(lmic_raw[[#This Row],[iso3]],fac_b[],4,FALSE)/100,0.9999),0)</f>
        <v>0.98</v>
      </c>
      <c r="K124" s="33">
        <f>VLOOKUP(lmic_raw[[#This Row],[iso3]],vax[[iso3]:[hbv3]],2,FALSE)/100</f>
        <v>0.99</v>
      </c>
      <c r="L124" s="33">
        <f>VLOOKUP(lmic_raw[[#This Row],[iso3]],vax[[iso3]:[hbv3]],3,FALSE)/100</f>
        <v>0.99</v>
      </c>
      <c r="M124">
        <f>IFERROR(VLOOKUP(lmic_raw[[#This Row],[iso3]], hbv_prev[[iso3]:[ub]],2,FALSE)/100,0)</f>
        <v>9.3599999999999989E-2</v>
      </c>
      <c r="N124">
        <f>IFERROR(VLOOKUP(lmic_raw[[#This Row],[setting]],hbe_prev[],3,FALSE),0)</f>
        <v>0.3121111146320209</v>
      </c>
      <c r="O124">
        <f>VLOOKUP(lmic_raw[[#This Row],[gbd_super]],hbe_risk[],2,FALSE)</f>
        <v>0.8</v>
      </c>
      <c r="P124" s="33">
        <f>VLOOKUP(lmic_raw[[#This Row],[gbd_super]],hbe_risk[],5,FALSE)</f>
        <v>0.17499999999999999</v>
      </c>
      <c r="Q124">
        <f>IFERROR(VLOOKUP(lmic_raw[[#This Row],[setting]],disease_costs!$A$4:$B$197,2,FALSE),0)</f>
        <v>7.9993368005446834</v>
      </c>
      <c r="R124">
        <f>IFERROR(VLOOKUP(lmic_raw[[#This Row],[gbd_super]],disease_costs!$G$4:$K$9,2,FALSE),0)</f>
        <v>73.084500000000006</v>
      </c>
      <c r="S124" s="33">
        <f>IFERROR(VLOOKUP(lmic_raw[[#This Row],[gbd_super]],disease_costs!$G$4:$K$9,3,FALSE),0)</f>
        <v>120.8265</v>
      </c>
      <c r="T124" s="33">
        <f>IFERROR(VLOOKUP(lmic_raw[[#This Row],[gbd_super]],disease_costs!$G$4:$K$9,4,FALSE),0)</f>
        <v>120.8265</v>
      </c>
      <c r="U124" s="33">
        <f>IFERROR(VLOOKUP(lmic_raw[[#This Row],[gbd_super]],disease_costs!$G$4:$K$9,5,FALSE),0)</f>
        <v>120.8265</v>
      </c>
      <c r="V124">
        <f>IFERROR(VLOOKUP(lmic_raw[[#This Row],[setting]],vcost[],3,FALSE),0)</f>
        <v>8.3559960831028484</v>
      </c>
      <c r="W124">
        <f>IFERROR(VLOOKUP(lmic_raw[[#This Row],[setting]],vcost[],4,FALSE),0)</f>
        <v>8.9859960831028491</v>
      </c>
      <c r="X124">
        <f>IFERROR(VLOOKUP(lmic_raw[[#This Row],[setting]],vcost[],5,FALSE),0)</f>
        <v>7.9233819104168752</v>
      </c>
      <c r="Y124">
        <f>IFERROR(VLOOKUP(lmic_raw[[#This Row],[setting]],vcost[],6,FALSE),0)</f>
        <v>8.553381910416876</v>
      </c>
      <c r="Z124">
        <f>IFERROR(VLOOKUP(lmic_raw[[#This Row],[setting]],vcost[],7,FALSE),0)</f>
        <v>8.5478757948579212</v>
      </c>
      <c r="AA124">
        <f>IFERROR(VLOOKUP(lmic_raw[[#This Row],[setting]],vcost[],8,FALSE),0)</f>
        <v>8.6001644420966556</v>
      </c>
      <c r="AB124">
        <f>IFERROR(VLOOKUP(lmic_raw[[#This Row],[setting]],vcost[],9,FALSE),0)</f>
        <v>9.2301644420966564</v>
      </c>
      <c r="AC124" s="33">
        <f>IFERROR(INDEX(acm[],MATCH($C124,acm[[Country code]:[Country code]],0),MATCH(AC$1,acm[#Headers],0)),0)</f>
        <v>1.2516630000000004E-2</v>
      </c>
      <c r="AD124" s="33">
        <f>IFERROR(INDEX(acm[],MATCH($C124,acm[[Country code]:[Country code]],0),MATCH(AD$1,acm[#Headers],0)),0)</f>
        <v>7.8586133556862703E-4</v>
      </c>
      <c r="AE124" s="33">
        <f>IFERROR(INDEX(acm[],MATCH($C124,acm[[Country code]:[Country code]],0),MATCH(AE$1,acm[#Headers],0)),0)</f>
        <v>3.9811078102040137E-4</v>
      </c>
      <c r="AF124" s="33">
        <f>IFERROR(INDEX(acm[],MATCH($C124,acm[[Country code]:[Country code]],0),MATCH(AF$1,acm[#Headers],0)),0)</f>
        <v>3.7813773319574111E-4</v>
      </c>
      <c r="AG124" s="33">
        <f>IFERROR(INDEX(acm[],MATCH($C124,acm[[Country code]:[Country code]],0),MATCH(AG$1,acm[#Headers],0)),0)</f>
        <v>9.4484556800651653E-4</v>
      </c>
      <c r="AH124" s="33">
        <f>IFERROR(INDEX(acm[],MATCH($C124,acm[[Country code]:[Country code]],0),MATCH(AH$1,acm[#Headers],0)),0)</f>
        <v>1.3732255950006816E-3</v>
      </c>
      <c r="AI124" s="33">
        <f>IFERROR(INDEX(acm[],MATCH($C124,acm[[Country code]:[Country code]],0),MATCH(AI$1,acm[#Headers],0)),0)</f>
        <v>1.5029202074101973E-3</v>
      </c>
      <c r="AJ124" s="33">
        <f>IFERROR(INDEX(acm[],MATCH($C124,acm[[Country code]:[Country code]],0),MATCH(AJ$1,acm[#Headers],0)),0)</f>
        <v>1.7968539659716511E-3</v>
      </c>
      <c r="AK124" s="33">
        <f>IFERROR(INDEX(acm[],MATCH($C124,acm[[Country code]:[Country code]],0),MATCH(AK$1,acm[#Headers],0)),0)</f>
        <v>2.4218398057659412E-3</v>
      </c>
      <c r="AL124" s="33">
        <f>IFERROR(INDEX(acm[],MATCH($C124,acm[[Country code]:[Country code]],0),MATCH(AL$1,acm[#Headers],0)),0)</f>
        <v>3.4808012206002121E-3</v>
      </c>
      <c r="AM124" s="33">
        <f>IFERROR(INDEX(acm[],MATCH($C124,acm[[Country code]:[Country code]],0),MATCH(AM$1,acm[#Headers],0)),0)</f>
        <v>5.2317906143452856E-3</v>
      </c>
      <c r="AN124" s="33">
        <f>IFERROR(INDEX(acm[],MATCH($C124,acm[[Country code]:[Country code]],0),MATCH(AN$1,acm[#Headers],0)),0)</f>
        <v>7.9078565328276531E-3</v>
      </c>
      <c r="AO124" s="33">
        <f>IFERROR(INDEX(acm[],MATCH($C124,acm[[Country code]:[Country code]],0),MATCH(AO$1,acm[#Headers],0)),0)</f>
        <v>1.1677580060920043E-2</v>
      </c>
      <c r="AP124" s="33">
        <f>IFERROR(INDEX(acm[],MATCH($C124,acm[[Country code]:[Country code]],0),MATCH(AP$1,acm[#Headers],0)),0)</f>
        <v>1.8528062502888052E-2</v>
      </c>
      <c r="AQ124" s="33">
        <f>IFERROR(INDEX(acm[],MATCH($C124,acm[[Country code]:[Country code]],0),MATCH(AQ$1,acm[#Headers],0)),0)</f>
        <v>2.9504773065557197E-2</v>
      </c>
      <c r="AR124" s="33">
        <f>IFERROR(INDEX(acm[],MATCH($C124,acm[[Country code]:[Country code]],0),MATCH(AR$1,acm[#Headers],0)),0)</f>
        <v>4.5748277535170925E-2</v>
      </c>
      <c r="AS124" s="33">
        <f>IFERROR(INDEX(acm[],MATCH($C124,acm[[Country code]:[Country code]],0),MATCH(AS$1,acm[#Headers],0)),0)</f>
        <v>6.8800985138411583E-2</v>
      </c>
      <c r="AT124" s="33">
        <f>IFERROR(INDEX(acm[],MATCH($C124,acm[[Country code]:[Country code]],0),MATCH(AT$1,acm[#Headers],0)),0)</f>
        <v>9.9582487239060005E-2</v>
      </c>
      <c r="AU124" s="33">
        <f>IFERROR(INDEX(acm[],MATCH($C124,acm[[Country code]:[Country code]],0),MATCH(AU$1,acm[#Headers],0)),0)</f>
        <v>0.13436603086610061</v>
      </c>
      <c r="AV124" s="33">
        <f>IFERROR(INDEX(acm[],MATCH($C124,acm[[Country code]:[Country code]],0),MATCH(AV$1,acm[#Headers],0)),0)</f>
        <v>0.16388950357319268</v>
      </c>
      <c r="AW124" s="33">
        <f>IFERROR(INDEX(acm[],MATCH($C124,acm[[Country code]:[Country code]],0),MATCH(AW$1,acm[#Headers],0)),0)</f>
        <v>0.18198957321540954</v>
      </c>
      <c r="AX124" s="33">
        <f>IFERROR(VLOOKUP(lmic_raw[[#This Row],[num]],life_exp[[Country code]:[2015-2020]],2,FALSE),0)</f>
        <v>70.741</v>
      </c>
    </row>
    <row r="125" spans="1:50" x14ac:dyDescent="0.25">
      <c r="A125" s="110" t="s">
        <v>162</v>
      </c>
      <c r="B125" s="104" t="s">
        <v>527</v>
      </c>
      <c r="C125" s="105">
        <v>788</v>
      </c>
      <c r="D125" s="84" t="s">
        <v>673</v>
      </c>
      <c r="E125" s="84" t="s">
        <v>579</v>
      </c>
      <c r="F125" s="84" t="s">
        <v>579</v>
      </c>
      <c r="G125" s="84" t="s">
        <v>678</v>
      </c>
      <c r="H125" s="33">
        <f>VLOOKUP(lmic_raw[[#This Row],[num]],pop[[Country code]:[pop_20]],2,FALSE)*1000</f>
        <v>11694721</v>
      </c>
      <c r="I125" s="117">
        <f>IFERROR(VLOOKUP(lmic_raw[[#This Row],[num]],pop[[Country code]:[pop_20]],2,FALSE)*VLOOKUP(lmic_raw[[#This Row],[num]],b_rate[[Country code]:[2015-2020]],2,FALSE),0)</f>
        <v>207160.28779399997</v>
      </c>
      <c r="J125">
        <f>IFERROR(MIN(VLOOKUP(lmic_raw[[#This Row],[iso3]],fac_b[],4,FALSE)/100,0.9999),0)</f>
        <v>0.997</v>
      </c>
      <c r="K125" s="33">
        <f>VLOOKUP(lmic_raw[[#This Row],[iso3]],vax[[iso3]:[hbv3]],2,FALSE)/100</f>
        <v>0.74</v>
      </c>
      <c r="L125" s="33">
        <f>VLOOKUP(lmic_raw[[#This Row],[iso3]],vax[[iso3]:[hbv3]],3,FALSE)/100</f>
        <v>0.92</v>
      </c>
      <c r="M125">
        <f>IFERROR(VLOOKUP(lmic_raw[[#This Row],[iso3]], hbv_prev[[iso3]:[ub]],2,FALSE)/100,0)</f>
        <v>4.9100000000000005E-2</v>
      </c>
      <c r="N125">
        <f>IFERROR(VLOOKUP(lmic_raw[[#This Row],[setting]],hbe_prev[],3,FALSE),0)</f>
        <v>0.24242703990008532</v>
      </c>
      <c r="O125">
        <f>VLOOKUP(lmic_raw[[#This Row],[gbd_super]],hbe_risk[],2,FALSE)</f>
        <v>0.8</v>
      </c>
      <c r="P125" s="33">
        <f>VLOOKUP(lmic_raw[[#This Row],[gbd_super]],hbe_risk[],5,FALSE)</f>
        <v>0.17499999999999999</v>
      </c>
      <c r="Q125">
        <f>IFERROR(VLOOKUP(lmic_raw[[#This Row],[setting]],disease_costs!$A$4:$B$197,2,FALSE),0)</f>
        <v>8.2960630544876786</v>
      </c>
      <c r="R125">
        <f>IFERROR(VLOOKUP(lmic_raw[[#This Row],[gbd_super]],disease_costs!$G$4:$K$9,2,FALSE),0)</f>
        <v>46.335900000000002</v>
      </c>
      <c r="S125" s="33">
        <f>IFERROR(VLOOKUP(lmic_raw[[#This Row],[gbd_super]],disease_costs!$G$4:$K$9,3,FALSE),0)</f>
        <v>94.077900000000014</v>
      </c>
      <c r="T125" s="33">
        <f>IFERROR(VLOOKUP(lmic_raw[[#This Row],[gbd_super]],disease_costs!$G$4:$K$9,4,FALSE),0)</f>
        <v>94.077900000000014</v>
      </c>
      <c r="U125" s="33">
        <f>IFERROR(VLOOKUP(lmic_raw[[#This Row],[gbd_super]],disease_costs!$G$4:$K$9,5,FALSE),0)</f>
        <v>94.077900000000014</v>
      </c>
      <c r="V125">
        <f>IFERROR(VLOOKUP(lmic_raw[[#This Row],[setting]],vcost[],3,FALSE),0)</f>
        <v>4.6680054387729486</v>
      </c>
      <c r="W125">
        <f>IFERROR(VLOOKUP(lmic_raw[[#This Row],[setting]],vcost[],4,FALSE),0)</f>
        <v>5.1480054387729481</v>
      </c>
      <c r="X125">
        <f>IFERROR(VLOOKUP(lmic_raw[[#This Row],[setting]],vcost[],5,FALSE),0)</f>
        <v>4.2302369167806253</v>
      </c>
      <c r="Y125">
        <f>IFERROR(VLOOKUP(lmic_raw[[#This Row],[setting]],vcost[],6,FALSE),0)</f>
        <v>4.7102369167806248</v>
      </c>
      <c r="Z125">
        <f>IFERROR(VLOOKUP(lmic_raw[[#This Row],[setting]],vcost[],7,FALSE),0)</f>
        <v>4.7020380175216339</v>
      </c>
      <c r="AA125">
        <f>IFERROR(VLOOKUP(lmic_raw[[#This Row],[setting]],vcost[],8,FALSE),0)</f>
        <v>4.9140317608888093</v>
      </c>
      <c r="AB125">
        <f>IFERROR(VLOOKUP(lmic_raw[[#This Row],[setting]],vcost[],9,FALSE),0)</f>
        <v>5.3940317608888098</v>
      </c>
      <c r="AC125" s="33">
        <f>IFERROR(INDEX(acm[],MATCH($C125,acm[[Country code]:[Country code]],0),MATCH(AC$1,acm[#Headers],0)),0)</f>
        <v>1.2677660000000033E-2</v>
      </c>
      <c r="AD125" s="33">
        <f>IFERROR(INDEX(acm[],MATCH($C125,acm[[Country code]:[Country code]],0),MATCH(AD$1,acm[#Headers],0)),0)</f>
        <v>1.9627581808793928E-4</v>
      </c>
      <c r="AE125" s="33">
        <f>IFERROR(INDEX(acm[],MATCH($C125,acm[[Country code]:[Country code]],0),MATCH(AE$1,acm[#Headers],0)),0)</f>
        <v>1.4528651183933218E-4</v>
      </c>
      <c r="AF125" s="33">
        <f>IFERROR(INDEX(acm[],MATCH($C125,acm[[Country code]:[Country code]],0),MATCH(AF$1,acm[#Headers],0)),0)</f>
        <v>2.4567711450364222E-4</v>
      </c>
      <c r="AG125" s="33">
        <f>IFERROR(INDEX(acm[],MATCH($C125,acm[[Country code]:[Country code]],0),MATCH(AG$1,acm[#Headers],0)),0)</f>
        <v>3.6946046825902569E-4</v>
      </c>
      <c r="AH125" s="33">
        <f>IFERROR(INDEX(acm[],MATCH($C125,acm[[Country code]:[Country code]],0),MATCH(AH$1,acm[#Headers],0)),0)</f>
        <v>5.0218321994208073E-4</v>
      </c>
      <c r="AI125" s="33">
        <f>IFERROR(INDEX(acm[],MATCH($C125,acm[[Country code]:[Country code]],0),MATCH(AI$1,acm[#Headers],0)),0)</f>
        <v>5.7026953078073554E-4</v>
      </c>
      <c r="AJ125" s="33">
        <f>IFERROR(INDEX(acm[],MATCH($C125,acm[[Country code]:[Country code]],0),MATCH(AJ$1,acm[#Headers],0)),0)</f>
        <v>6.6872513126501731E-4</v>
      </c>
      <c r="AK125" s="33">
        <f>IFERROR(INDEX(acm[],MATCH($C125,acm[[Country code]:[Country code]],0),MATCH(AK$1,acm[#Headers],0)),0)</f>
        <v>9.3910189950180975E-4</v>
      </c>
      <c r="AL125" s="33">
        <f>IFERROR(INDEX(acm[],MATCH($C125,acm[[Country code]:[Country code]],0),MATCH(AL$1,acm[#Headers],0)),0)</f>
        <v>1.4957061989991033E-3</v>
      </c>
      <c r="AM125" s="33">
        <f>IFERROR(INDEX(acm[],MATCH($C125,acm[[Country code]:[Country code]],0),MATCH(AM$1,acm[#Headers],0)),0)</f>
        <v>2.4580043509297789E-3</v>
      </c>
      <c r="AN125" s="33">
        <f>IFERROR(INDEX(acm[],MATCH($C125,acm[[Country code]:[Country code]],0),MATCH(AN$1,acm[#Headers],0)),0)</f>
        <v>4.2143535591497288E-3</v>
      </c>
      <c r="AO125" s="33">
        <f>IFERROR(INDEX(acm[],MATCH($C125,acm[[Country code]:[Country code]],0),MATCH(AO$1,acm[#Headers],0)),0)</f>
        <v>7.0562475351473204E-3</v>
      </c>
      <c r="AP125" s="33">
        <f>IFERROR(INDEX(acm[],MATCH($C125,acm[[Country code]:[Country code]],0),MATCH(AP$1,acm[#Headers],0)),0)</f>
        <v>1.1396783036291771E-2</v>
      </c>
      <c r="AQ125" s="33">
        <f>IFERROR(INDEX(acm[],MATCH($C125,acm[[Country code]:[Country code]],0),MATCH(AQ$1,acm[#Headers],0)),0)</f>
        <v>1.8035765263121787E-2</v>
      </c>
      <c r="AR125" s="33">
        <f>IFERROR(INDEX(acm[],MATCH($C125,acm[[Country code]:[Country code]],0),MATCH(AR$1,acm[#Headers],0)),0)</f>
        <v>3.0927293601049979E-2</v>
      </c>
      <c r="AS125" s="33">
        <f>IFERROR(INDEX(acm[],MATCH($C125,acm[[Country code]:[Country code]],0),MATCH(AS$1,acm[#Headers],0)),0)</f>
        <v>5.1611262134234469E-2</v>
      </c>
      <c r="AT125" s="33">
        <f>IFERROR(INDEX(acm[],MATCH($C125,acm[[Country code]:[Country code]],0),MATCH(AT$1,acm[#Headers],0)),0)</f>
        <v>8.0339742551862076E-2</v>
      </c>
      <c r="AU125" s="33">
        <f>IFERROR(INDEX(acm[],MATCH($C125,acm[[Country code]:[Country code]],0),MATCH(AU$1,acm[#Headers],0)),0)</f>
        <v>0.11383684488647333</v>
      </c>
      <c r="AV125" s="33">
        <f>IFERROR(INDEX(acm[],MATCH($C125,acm[[Country code]:[Country code]],0),MATCH(AV$1,acm[#Headers],0)),0)</f>
        <v>0.14455560452381014</v>
      </c>
      <c r="AW125" s="33">
        <f>IFERROR(INDEX(acm[],MATCH($C125,acm[[Country code]:[Country code]],0),MATCH(AW$1,acm[#Headers],0)),0)</f>
        <v>0.16765105573113256</v>
      </c>
      <c r="AX125" s="33">
        <f>IFERROR(VLOOKUP(lmic_raw[[#This Row],[num]],life_exp[[Country code]:[2015-2020]],2,FALSE),0)</f>
        <v>76.412000000000006</v>
      </c>
    </row>
    <row r="126" spans="1:50" x14ac:dyDescent="0.25">
      <c r="A126" s="109" t="s">
        <v>180</v>
      </c>
      <c r="B126" s="101" t="s">
        <v>528</v>
      </c>
      <c r="C126" s="102">
        <v>792</v>
      </c>
      <c r="D126" s="82" t="s">
        <v>675</v>
      </c>
      <c r="E126" s="82" t="s">
        <v>579</v>
      </c>
      <c r="F126" s="82" t="s">
        <v>579</v>
      </c>
      <c r="G126" s="82" t="s">
        <v>676</v>
      </c>
      <c r="H126" s="33">
        <f>VLOOKUP(lmic_raw[[#This Row],[num]],pop[[Country code]:[pop_20]],2,FALSE)*1000</f>
        <v>83429607</v>
      </c>
      <c r="I126" s="117">
        <f>IFERROR(VLOOKUP(lmic_raw[[#This Row],[num]],pop[[Country code]:[pop_20]],2,FALSE)*VLOOKUP(lmic_raw[[#This Row],[num]],b_rate[[Country code]:[2015-2020]],2,FALSE),0)</f>
        <v>1349807.6116529999</v>
      </c>
      <c r="J126">
        <f>IFERROR(MIN(VLOOKUP(lmic_raw[[#This Row],[iso3]],fac_b[],4,FALSE)/100,0.9999),0)</f>
        <v>0.97199999999999998</v>
      </c>
      <c r="K126" s="33">
        <f>VLOOKUP(lmic_raw[[#This Row],[iso3]],vax[[iso3]:[hbv3]],2,FALSE)/100</f>
        <v>0.99</v>
      </c>
      <c r="L126" s="33">
        <f>VLOOKUP(lmic_raw[[#This Row],[iso3]],vax[[iso3]:[hbv3]],3,FALSE)/100</f>
        <v>0.99</v>
      </c>
      <c r="M126">
        <f>IFERROR(VLOOKUP(lmic_raw[[#This Row],[iso3]], hbv_prev[[iso3]:[ub]],2,FALSE)/100,0)</f>
        <v>2.63E-2</v>
      </c>
      <c r="N126">
        <f>IFERROR(VLOOKUP(lmic_raw[[#This Row],[setting]],hbe_prev[],3,FALSE),0)</f>
        <v>0.26035290193446103</v>
      </c>
      <c r="O126">
        <f>VLOOKUP(lmic_raw[[#This Row],[gbd_super]],hbe_risk[],2,FALSE)</f>
        <v>0.8</v>
      </c>
      <c r="P126" s="33">
        <f>VLOOKUP(lmic_raw[[#This Row],[gbd_super]],hbe_risk[],5,FALSE)</f>
        <v>0.17499999999999999</v>
      </c>
      <c r="Q126">
        <f>IFERROR(VLOOKUP(lmic_raw[[#This Row],[setting]],disease_costs!$A$4:$B$197,2,FALSE),0)</f>
        <v>17.280934023881553</v>
      </c>
      <c r="R126">
        <f>IFERROR(VLOOKUP(lmic_raw[[#This Row],[gbd_super]],disease_costs!$G$4:$K$9,2,FALSE),0)</f>
        <v>46.335900000000002</v>
      </c>
      <c r="S126" s="33">
        <f>IFERROR(VLOOKUP(lmic_raw[[#This Row],[gbd_super]],disease_costs!$G$4:$K$9,3,FALSE),0)</f>
        <v>94.077900000000014</v>
      </c>
      <c r="T126" s="33">
        <f>IFERROR(VLOOKUP(lmic_raw[[#This Row],[gbd_super]],disease_costs!$G$4:$K$9,4,FALSE),0)</f>
        <v>94.077900000000014</v>
      </c>
      <c r="U126" s="33">
        <f>IFERROR(VLOOKUP(lmic_raw[[#This Row],[gbd_super]],disease_costs!$G$4:$K$9,5,FALSE),0)</f>
        <v>94.077900000000014</v>
      </c>
      <c r="V126">
        <f>IFERROR(VLOOKUP(lmic_raw[[#This Row],[setting]],vcost[],3,FALSE),0)</f>
        <v>4.5206460292020809</v>
      </c>
      <c r="W126">
        <f>IFERROR(VLOOKUP(lmic_raw[[#This Row],[setting]],vcost[],4,FALSE),0)</f>
        <v>5.0006460292020805</v>
      </c>
      <c r="X126">
        <f>IFERROR(VLOOKUP(lmic_raw[[#This Row],[setting]],vcost[],5,FALSE),0)</f>
        <v>4.0736189221671317</v>
      </c>
      <c r="Y126">
        <f>IFERROR(VLOOKUP(lmic_raw[[#This Row],[setting]],vcost[],6,FALSE),0)</f>
        <v>4.5536189221671322</v>
      </c>
      <c r="Z126">
        <f>IFERROR(VLOOKUP(lmic_raw[[#This Row],[setting]],vcost[],7,FALSE),0)</f>
        <v>4.5418151892124996</v>
      </c>
      <c r="AA126">
        <f>IFERROR(VLOOKUP(lmic_raw[[#This Row],[setting]],vcost[],8,FALSE),0)</f>
        <v>4.770009748251911</v>
      </c>
      <c r="AB126">
        <f>IFERROR(VLOOKUP(lmic_raw[[#This Row],[setting]],vcost[],9,FALSE),0)</f>
        <v>5.2500097482519106</v>
      </c>
      <c r="AC126" s="33">
        <f>IFERROR(INDEX(acm[],MATCH($C126,acm[[Country code]:[Country code]],0),MATCH(AC$1,acm[#Headers],0)),0)</f>
        <v>8.9014999999999424E-3</v>
      </c>
      <c r="AD126" s="33">
        <f>IFERROR(INDEX(acm[],MATCH($C126,acm[[Country code]:[Country code]],0),MATCH(AD$1,acm[#Headers],0)),0)</f>
        <v>1.097020124639483E-3</v>
      </c>
      <c r="AE126" s="33">
        <f>IFERROR(INDEX(acm[],MATCH($C126,acm[[Country code]:[Country code]],0),MATCH(AE$1,acm[#Headers],0)),0)</f>
        <v>6.8233732436322344E-4</v>
      </c>
      <c r="AF126" s="33">
        <f>IFERROR(INDEX(acm[],MATCH($C126,acm[[Country code]:[Country code]],0),MATCH(AF$1,acm[#Headers],0)),0)</f>
        <v>5.8293869224911119E-4</v>
      </c>
      <c r="AG126" s="33">
        <f>IFERROR(INDEX(acm[],MATCH($C126,acm[[Country code]:[Country code]],0),MATCH(AG$1,acm[#Headers],0)),0)</f>
        <v>6.9161083369162935E-4</v>
      </c>
      <c r="AH126" s="33">
        <f>IFERROR(INDEX(acm[],MATCH($C126,acm[[Country code]:[Country code]],0),MATCH(AH$1,acm[#Headers],0)),0)</f>
        <v>9.610203211651119E-4</v>
      </c>
      <c r="AI126" s="33">
        <f>IFERROR(INDEX(acm[],MATCH($C126,acm[[Country code]:[Country code]],0),MATCH(AI$1,acm[#Headers],0)),0)</f>
        <v>1.1743539157698713E-3</v>
      </c>
      <c r="AJ126" s="33">
        <f>IFERROR(INDEX(acm[],MATCH($C126,acm[[Country code]:[Country code]],0),MATCH(AJ$1,acm[#Headers],0)),0)</f>
        <v>1.3773674385343317E-3</v>
      </c>
      <c r="AK126" s="33">
        <f>IFERROR(INDEX(acm[],MATCH($C126,acm[[Country code]:[Country code]],0),MATCH(AK$1,acm[#Headers],0)),0)</f>
        <v>1.63236314837688E-3</v>
      </c>
      <c r="AL126" s="33">
        <f>IFERROR(INDEX(acm[],MATCH($C126,acm[[Country code]:[Country code]],0),MATCH(AL$1,acm[#Headers],0)),0)</f>
        <v>2.0036536018016877E-3</v>
      </c>
      <c r="AM126" s="33">
        <f>IFERROR(INDEX(acm[],MATCH($C126,acm[[Country code]:[Country code]],0),MATCH(AM$1,acm[#Headers],0)),0)</f>
        <v>2.5905013303449825E-3</v>
      </c>
      <c r="AN126" s="33">
        <f>IFERROR(INDEX(acm[],MATCH($C126,acm[[Country code]:[Country code]],0),MATCH(AN$1,acm[#Headers],0)),0)</f>
        <v>3.5336754952400335E-3</v>
      </c>
      <c r="AO126" s="33">
        <f>IFERROR(INDEX(acm[],MATCH($C126,acm[[Country code]:[Country code]],0),MATCH(AO$1,acm[#Headers],0)),0)</f>
        <v>5.2342069954233695E-3</v>
      </c>
      <c r="AP126" s="33">
        <f>IFERROR(INDEX(acm[],MATCH($C126,acm[[Country code]:[Country code]],0),MATCH(AP$1,acm[#Headers],0)),0)</f>
        <v>8.141221637455922E-3</v>
      </c>
      <c r="AQ126" s="33">
        <f>IFERROR(INDEX(acm[],MATCH($C126,acm[[Country code]:[Country code]],0),MATCH(AQ$1,acm[#Headers],0)),0)</f>
        <v>1.3253706198103562E-2</v>
      </c>
      <c r="AR126" s="33">
        <f>IFERROR(INDEX(acm[],MATCH($C126,acm[[Country code]:[Country code]],0),MATCH(AR$1,acm[#Headers],0)),0)</f>
        <v>2.3686231366021757E-2</v>
      </c>
      <c r="AS126" s="33">
        <f>IFERROR(INDEX(acm[],MATCH($C126,acm[[Country code]:[Country code]],0),MATCH(AS$1,acm[#Headers],0)),0)</f>
        <v>4.1915463863461941E-2</v>
      </c>
      <c r="AT126" s="33">
        <f>IFERROR(INDEX(acm[],MATCH($C126,acm[[Country code]:[Country code]],0),MATCH(AT$1,acm[#Headers],0)),0)</f>
        <v>6.9301655157393394E-2</v>
      </c>
      <c r="AU126" s="33">
        <f>IFERROR(INDEX(acm[],MATCH($C126,acm[[Country code]:[Country code]],0),MATCH(AU$1,acm[#Headers],0)),0)</f>
        <v>0.10394418678596659</v>
      </c>
      <c r="AV126" s="33">
        <f>IFERROR(INDEX(acm[],MATCH($C126,acm[[Country code]:[Country code]],0),MATCH(AV$1,acm[#Headers],0)),0)</f>
        <v>0.13985879158367465</v>
      </c>
      <c r="AW126" s="33">
        <f>IFERROR(INDEX(acm[],MATCH($C126,acm[[Country code]:[Country code]],0),MATCH(AW$1,acm[#Headers],0)),0)</f>
        <v>0.16827629047061654</v>
      </c>
      <c r="AX126" s="33">
        <f>IFERROR(VLOOKUP(lmic_raw[[#This Row],[num]],life_exp[[Country code]:[2015-2020]],2,FALSE),0)</f>
        <v>77.307000000000002</v>
      </c>
    </row>
    <row r="127" spans="1:50" x14ac:dyDescent="0.25">
      <c r="A127" s="110" t="s">
        <v>188</v>
      </c>
      <c r="B127" s="104" t="s">
        <v>529</v>
      </c>
      <c r="C127" s="105">
        <v>795</v>
      </c>
      <c r="D127" s="84" t="s">
        <v>675</v>
      </c>
      <c r="E127" s="84" t="s">
        <v>184</v>
      </c>
      <c r="F127" s="84" t="s">
        <v>663</v>
      </c>
      <c r="G127" s="84" t="s">
        <v>676</v>
      </c>
      <c r="H127" s="33">
        <f>VLOOKUP(lmic_raw[[#This Row],[num]],pop[[Country code]:[pop_20]],2,FALSE)*1000</f>
        <v>5942094</v>
      </c>
      <c r="I127" s="117">
        <f>IFERROR(VLOOKUP(lmic_raw[[#This Row],[num]],pop[[Country code]:[pop_20]],2,FALSE)*VLOOKUP(lmic_raw[[#This Row],[num]],b_rate[[Country code]:[2015-2020]],2,FALSE),0)</f>
        <v>142515.18249600002</v>
      </c>
      <c r="J127">
        <f>IFERROR(MIN(VLOOKUP(lmic_raw[[#This Row],[iso3]],fac_b[],4,FALSE)/100,0.9999),0)</f>
        <v>0.99990000000000001</v>
      </c>
      <c r="K127" s="33">
        <f>VLOOKUP(lmic_raw[[#This Row],[iso3]],vax[[iso3]:[hbv3]],2,FALSE)/100</f>
        <v>0.99</v>
      </c>
      <c r="L127" s="33">
        <f>VLOOKUP(lmic_raw[[#This Row],[iso3]],vax[[iso3]:[hbv3]],3,FALSE)/100</f>
        <v>0.99</v>
      </c>
      <c r="M127">
        <f>IFERROR(VLOOKUP(lmic_raw[[#This Row],[iso3]], hbv_prev[[iso3]:[ub]],2,FALSE)/100,0)</f>
        <v>1.8500000000000003E-2</v>
      </c>
      <c r="N127">
        <f>IFERROR(VLOOKUP(lmic_raw[[#This Row],[setting]],hbe_prev[],3,FALSE),0)</f>
        <v>0.29844783701106414</v>
      </c>
      <c r="O127">
        <f>VLOOKUP(lmic_raw[[#This Row],[gbd_super]],hbe_risk[],2,FALSE)</f>
        <v>0.8</v>
      </c>
      <c r="P127" s="33">
        <f>VLOOKUP(lmic_raw[[#This Row],[gbd_super]],hbe_risk[],5,FALSE)</f>
        <v>0.17499999999999999</v>
      </c>
      <c r="Q127">
        <f>IFERROR(VLOOKUP(lmic_raw[[#This Row],[setting]],disease_costs!$A$4:$B$197,2,FALSE),0)</f>
        <v>7.9993368005446834</v>
      </c>
      <c r="R127">
        <f>IFERROR(VLOOKUP(lmic_raw[[#This Row],[gbd_super]],disease_costs!$G$4:$K$9,2,FALSE),0)</f>
        <v>44.537400000000005</v>
      </c>
      <c r="S127" s="33">
        <f>IFERROR(VLOOKUP(lmic_raw[[#This Row],[gbd_super]],disease_costs!$G$4:$K$9,3,FALSE),0)</f>
        <v>92.27940000000001</v>
      </c>
      <c r="T127" s="33">
        <f>IFERROR(VLOOKUP(lmic_raw[[#This Row],[gbd_super]],disease_costs!$G$4:$K$9,4,FALSE),0)</f>
        <v>92.27940000000001</v>
      </c>
      <c r="U127" s="33">
        <f>IFERROR(VLOOKUP(lmic_raw[[#This Row],[gbd_super]],disease_costs!$G$4:$K$9,5,FALSE),0)</f>
        <v>92.27940000000001</v>
      </c>
      <c r="V127">
        <f>IFERROR(VLOOKUP(lmic_raw[[#This Row],[setting]],vcost[],3,FALSE),0)</f>
        <v>6.8348534122934801</v>
      </c>
      <c r="W127">
        <f>IFERROR(VLOOKUP(lmic_raw[[#This Row],[setting]],vcost[],4,FALSE),0)</f>
        <v>10.90485341229348</v>
      </c>
      <c r="X127">
        <f>IFERROR(VLOOKUP(lmic_raw[[#This Row],[setting]],vcost[],5,FALSE),0)</f>
        <v>6.3950421389260592</v>
      </c>
      <c r="Y127">
        <f>IFERROR(VLOOKUP(lmic_raw[[#This Row],[setting]],vcost[],6,FALSE),0)</f>
        <v>10.465042138926059</v>
      </c>
      <c r="Z127">
        <f>IFERROR(VLOOKUP(lmic_raw[[#This Row],[setting]],vcost[],7,FALSE),0)</f>
        <v>10.456321968805099</v>
      </c>
      <c r="AA127">
        <f>IFERROR(VLOOKUP(lmic_raw[[#This Row],[setting]],vcost[],8,FALSE),0)</f>
        <v>7.0816160750212935</v>
      </c>
      <c r="AB127">
        <f>IFERROR(VLOOKUP(lmic_raw[[#This Row],[setting]],vcost[],9,FALSE),0)</f>
        <v>11.151616075021295</v>
      </c>
      <c r="AC127" s="33">
        <f>IFERROR(INDEX(acm[],MATCH($C127,acm[[Country code]:[Country code]],0),MATCH(AC$1,acm[#Headers],0)),0)</f>
        <v>4.3312250000000059E-2</v>
      </c>
      <c r="AD127" s="33">
        <f>IFERROR(INDEX(acm[],MATCH($C127,acm[[Country code]:[Country code]],0),MATCH(AD$1,acm[#Headers],0)),0)</f>
        <v>2.129730938856475E-3</v>
      </c>
      <c r="AE127" s="33">
        <f>IFERROR(INDEX(acm[],MATCH($C127,acm[[Country code]:[Country code]],0),MATCH(AE$1,acm[#Headers],0)),0)</f>
        <v>3.8614591848633219E-4</v>
      </c>
      <c r="AF127" s="33">
        <f>IFERROR(INDEX(acm[],MATCH($C127,acm[[Country code]:[Country code]],0),MATCH(AF$1,acm[#Headers],0)),0)</f>
        <v>3.7855029673770072E-4</v>
      </c>
      <c r="AG127" s="33">
        <f>IFERROR(INDEX(acm[],MATCH($C127,acm[[Country code]:[Country code]],0),MATCH(AG$1,acm[#Headers],0)),0)</f>
        <v>8.7258683867233228E-4</v>
      </c>
      <c r="AH127" s="33">
        <f>IFERROR(INDEX(acm[],MATCH($C127,acm[[Country code]:[Country code]],0),MATCH(AH$1,acm[#Headers],0)),0)</f>
        <v>1.1692106846790363E-3</v>
      </c>
      <c r="AI127" s="33">
        <f>IFERROR(INDEX(acm[],MATCH($C127,acm[[Country code]:[Country code]],0),MATCH(AI$1,acm[#Headers],0)),0)</f>
        <v>1.5081578317309081E-3</v>
      </c>
      <c r="AJ127" s="33">
        <f>IFERROR(INDEX(acm[],MATCH($C127,acm[[Country code]:[Country code]],0),MATCH(AJ$1,acm[#Headers],0)),0)</f>
        <v>2.0588723473310682E-3</v>
      </c>
      <c r="AK127" s="33">
        <f>IFERROR(INDEX(acm[],MATCH($C127,acm[[Country code]:[Country code]],0),MATCH(AK$1,acm[#Headers],0)),0)</f>
        <v>2.9092955576564454E-3</v>
      </c>
      <c r="AL127" s="33">
        <f>IFERROR(INDEX(acm[],MATCH($C127,acm[[Country code]:[Country code]],0),MATCH(AL$1,acm[#Headers],0)),0)</f>
        <v>4.1052005978659692E-3</v>
      </c>
      <c r="AM127" s="33">
        <f>IFERROR(INDEX(acm[],MATCH($C127,acm[[Country code]:[Country code]],0),MATCH(AM$1,acm[#Headers],0)),0)</f>
        <v>5.6972405639618157E-3</v>
      </c>
      <c r="AN127" s="33">
        <f>IFERROR(INDEX(acm[],MATCH($C127,acm[[Country code]:[Country code]],0),MATCH(AN$1,acm[#Headers],0)),0)</f>
        <v>8.9457697662400984E-3</v>
      </c>
      <c r="AO127" s="33">
        <f>IFERROR(INDEX(acm[],MATCH($C127,acm[[Country code]:[Country code]],0),MATCH(AO$1,acm[#Headers],0)),0)</f>
        <v>1.3143500886882237E-2</v>
      </c>
      <c r="AP127" s="33">
        <f>IFERROR(INDEX(acm[],MATCH($C127,acm[[Country code]:[Country code]],0),MATCH(AP$1,acm[#Headers],0)),0)</f>
        <v>2.1633277094430886E-2</v>
      </c>
      <c r="AQ127" s="33">
        <f>IFERROR(INDEX(acm[],MATCH($C127,acm[[Country code]:[Country code]],0),MATCH(AQ$1,acm[#Headers],0)),0)</f>
        <v>2.7878235961389927E-2</v>
      </c>
      <c r="AR127" s="33">
        <f>IFERROR(INDEX(acm[],MATCH($C127,acm[[Country code]:[Country code]],0),MATCH(AR$1,acm[#Headers],0)),0)</f>
        <v>5.0225199226431996E-2</v>
      </c>
      <c r="AS127" s="33">
        <f>IFERROR(INDEX(acm[],MATCH($C127,acm[[Country code]:[Country code]],0),MATCH(AS$1,acm[#Headers],0)),0)</f>
        <v>5.4753581410580343E-2</v>
      </c>
      <c r="AT127" s="33">
        <f>IFERROR(INDEX(acm[],MATCH($C127,acm[[Country code]:[Country code]],0),MATCH(AT$1,acm[#Headers],0)),0)</f>
        <v>8.982279599249865E-2</v>
      </c>
      <c r="AU127" s="33">
        <f>IFERROR(INDEX(acm[],MATCH($C127,acm[[Country code]:[Country code]],0),MATCH(AU$1,acm[#Headers],0)),0)</f>
        <v>0.1190525940821109</v>
      </c>
      <c r="AV127" s="33">
        <f>IFERROR(INDEX(acm[],MATCH($C127,acm[[Country code]:[Country code]],0),MATCH(AV$1,acm[#Headers],0)),0)</f>
        <v>0.14721758250382633</v>
      </c>
      <c r="AW127" s="33">
        <f>IFERROR(INDEX(acm[],MATCH($C127,acm[[Country code]:[Country code]],0),MATCH(AW$1,acm[#Headers],0)),0)</f>
        <v>0.16884971526321041</v>
      </c>
      <c r="AX127" s="33">
        <f>IFERROR(VLOOKUP(lmic_raw[[#This Row],[num]],life_exp[[Country code]:[2015-2020]],2,FALSE),0)</f>
        <v>67.983000000000004</v>
      </c>
    </row>
    <row r="128" spans="1:50" x14ac:dyDescent="0.25">
      <c r="A128" s="109" t="s">
        <v>302</v>
      </c>
      <c r="B128" s="101" t="s">
        <v>530</v>
      </c>
      <c r="C128" s="102">
        <v>798</v>
      </c>
      <c r="D128" s="82" t="s">
        <v>681</v>
      </c>
      <c r="E128" s="82" t="s">
        <v>98</v>
      </c>
      <c r="F128" s="82" t="s">
        <v>666</v>
      </c>
      <c r="G128" s="82" t="s">
        <v>676</v>
      </c>
      <c r="H128" s="33">
        <f>VLOOKUP(lmic_raw[[#This Row],[num]],pop[[Country code]:[pop_20]],2,FALSE)*1000</f>
        <v>11655</v>
      </c>
      <c r="I128" s="119">
        <f>IFERROR(VLOOKUP(lmic_raw[[#This Row],[num]],pop[[Country code]:[pop_20]],2,FALSE)*VLOOKUP(lmic_raw[[#This Row],[num]],b_rate[[Country code]:[2015-2020]],2,FALSE),0)</f>
        <v>267.71534999999994</v>
      </c>
      <c r="J128">
        <f>IFERROR(MIN(VLOOKUP(lmic_raw[[#This Row],[iso3]],fac_b[],4,FALSE)/100,0.9999),0)</f>
        <v>0.93</v>
      </c>
      <c r="K128" s="33">
        <f>VLOOKUP(lmic_raw[[#This Row],[iso3]],vax[[iso3]:[hbv3]],2,FALSE)/100</f>
        <v>0.98</v>
      </c>
      <c r="L128" s="33">
        <f>VLOOKUP(lmic_raw[[#This Row],[iso3]],vax[[iso3]:[hbv3]],3,FALSE)/100</f>
        <v>0.92</v>
      </c>
      <c r="M128">
        <f>IFERROR(VLOOKUP(lmic_raw[[#This Row],[iso3]], hbv_prev[[iso3]:[ub]],2,FALSE)/100,0)</f>
        <v>5.4699999999999999E-2</v>
      </c>
      <c r="N128" s="118">
        <f>IFERROR(VLOOKUP(lmic_raw[[#This Row],[setting]],hbe_prev[],3,FALSE),0)</f>
        <v>0</v>
      </c>
      <c r="O128">
        <f>VLOOKUP(lmic_raw[[#This Row],[gbd_super]],hbe_risk[],2,FALSE)</f>
        <v>0.8</v>
      </c>
      <c r="P128" s="33">
        <f>VLOOKUP(lmic_raw[[#This Row],[gbd_super]],hbe_risk[],5,FALSE)</f>
        <v>0.17499999999999999</v>
      </c>
      <c r="Q128">
        <f>IFERROR(VLOOKUP(lmic_raw[[#This Row],[setting]],disease_costs!$A$4:$B$197,2,FALSE),0)</f>
        <v>7.2634556907660572</v>
      </c>
      <c r="R128">
        <f>IFERROR(VLOOKUP(lmic_raw[[#This Row],[gbd_super]],disease_costs!$G$4:$K$9,2,FALSE),0)</f>
        <v>73.084500000000006</v>
      </c>
      <c r="S128" s="33">
        <f>IFERROR(VLOOKUP(lmic_raw[[#This Row],[gbd_super]],disease_costs!$G$4:$K$9,3,FALSE),0)</f>
        <v>120.8265</v>
      </c>
      <c r="T128" s="33">
        <f>IFERROR(VLOOKUP(lmic_raw[[#This Row],[gbd_super]],disease_costs!$G$4:$K$9,4,FALSE),0)</f>
        <v>120.8265</v>
      </c>
      <c r="U128" s="33">
        <f>IFERROR(VLOOKUP(lmic_raw[[#This Row],[gbd_super]],disease_costs!$G$4:$K$9,5,FALSE),0)</f>
        <v>120.8265</v>
      </c>
      <c r="V128">
        <f>IFERROR(VLOOKUP(lmic_raw[[#This Row],[setting]],vcost[],3,FALSE),0)</f>
        <v>17.106542827638439</v>
      </c>
      <c r="W128">
        <f>IFERROR(VLOOKUP(lmic_raw[[#This Row],[setting]],vcost[],4,FALSE),0)</f>
        <v>17.736542827638438</v>
      </c>
      <c r="X128">
        <f>IFERROR(VLOOKUP(lmic_raw[[#This Row],[setting]],vcost[],5,FALSE),0)</f>
        <v>16.676292728840981</v>
      </c>
      <c r="Y128">
        <f>IFERROR(VLOOKUP(lmic_raw[[#This Row],[setting]],vcost[],6,FALSE),0)</f>
        <v>17.30629272884098</v>
      </c>
      <c r="Z128">
        <f>IFERROR(VLOOKUP(lmic_raw[[#This Row],[setting]],vcost[],7,FALSE),0)</f>
        <v>17.3015887679564</v>
      </c>
      <c r="AA128">
        <f>IFERROR(VLOOKUP(lmic_raw[[#This Row],[setting]],vcost[],8,FALSE),0)</f>
        <v>17.349859020463132</v>
      </c>
      <c r="AB128">
        <f>IFERROR(VLOOKUP(lmic_raw[[#This Row],[setting]],vcost[],9,FALSE),0)</f>
        <v>17.979859020463131</v>
      </c>
      <c r="AC128" s="118">
        <f>IFERROR(INDEX(acm[],MATCH($C128,acm[[Country code]:[Country code]],0),MATCH(AC$1,acm[#Headers],0)),0)</f>
        <v>0</v>
      </c>
      <c r="AD128" s="118">
        <f>IFERROR(INDEX(acm[],MATCH($C128,acm[[Country code]:[Country code]],0),MATCH(AD$1,acm[#Headers],0)),0)</f>
        <v>0</v>
      </c>
      <c r="AE128" s="118">
        <f>IFERROR(INDEX(acm[],MATCH($C128,acm[[Country code]:[Country code]],0),MATCH(AE$1,acm[#Headers],0)),0)</f>
        <v>0</v>
      </c>
      <c r="AF128" s="118">
        <f>IFERROR(INDEX(acm[],MATCH($C128,acm[[Country code]:[Country code]],0),MATCH(AF$1,acm[#Headers],0)),0)</f>
        <v>0</v>
      </c>
      <c r="AG128" s="118">
        <f>IFERROR(INDEX(acm[],MATCH($C128,acm[[Country code]:[Country code]],0),MATCH(AG$1,acm[#Headers],0)),0)</f>
        <v>0</v>
      </c>
      <c r="AH128" s="118">
        <f>IFERROR(INDEX(acm[],MATCH($C128,acm[[Country code]:[Country code]],0),MATCH(AH$1,acm[#Headers],0)),0)</f>
        <v>0</v>
      </c>
      <c r="AI128" s="118">
        <f>IFERROR(INDEX(acm[],MATCH($C128,acm[[Country code]:[Country code]],0),MATCH(AI$1,acm[#Headers],0)),0)</f>
        <v>0</v>
      </c>
      <c r="AJ128" s="118">
        <f>IFERROR(INDEX(acm[],MATCH($C128,acm[[Country code]:[Country code]],0),MATCH(AJ$1,acm[#Headers],0)),0)</f>
        <v>0</v>
      </c>
      <c r="AK128" s="118">
        <f>IFERROR(INDEX(acm[],MATCH($C128,acm[[Country code]:[Country code]],0),MATCH(AK$1,acm[#Headers],0)),0)</f>
        <v>0</v>
      </c>
      <c r="AL128" s="118">
        <f>IFERROR(INDEX(acm[],MATCH($C128,acm[[Country code]:[Country code]],0),MATCH(AL$1,acm[#Headers],0)),0)</f>
        <v>0</v>
      </c>
      <c r="AM128" s="118">
        <f>IFERROR(INDEX(acm[],MATCH($C128,acm[[Country code]:[Country code]],0),MATCH(AM$1,acm[#Headers],0)),0)</f>
        <v>0</v>
      </c>
      <c r="AN128" s="118">
        <f>IFERROR(INDEX(acm[],MATCH($C128,acm[[Country code]:[Country code]],0),MATCH(AN$1,acm[#Headers],0)),0)</f>
        <v>0</v>
      </c>
      <c r="AO128" s="118">
        <f>IFERROR(INDEX(acm[],MATCH($C128,acm[[Country code]:[Country code]],0),MATCH(AO$1,acm[#Headers],0)),0)</f>
        <v>0</v>
      </c>
      <c r="AP128" s="118">
        <f>IFERROR(INDEX(acm[],MATCH($C128,acm[[Country code]:[Country code]],0),MATCH(AP$1,acm[#Headers],0)),0)</f>
        <v>0</v>
      </c>
      <c r="AQ128" s="118">
        <f>IFERROR(INDEX(acm[],MATCH($C128,acm[[Country code]:[Country code]],0),MATCH(AQ$1,acm[#Headers],0)),0)</f>
        <v>0</v>
      </c>
      <c r="AR128" s="118">
        <f>IFERROR(INDEX(acm[],MATCH($C128,acm[[Country code]:[Country code]],0),MATCH(AR$1,acm[#Headers],0)),0)</f>
        <v>0</v>
      </c>
      <c r="AS128" s="118">
        <f>IFERROR(INDEX(acm[],MATCH($C128,acm[[Country code]:[Country code]],0),MATCH(AS$1,acm[#Headers],0)),0)</f>
        <v>0</v>
      </c>
      <c r="AT128" s="118">
        <f>IFERROR(INDEX(acm[],MATCH($C128,acm[[Country code]:[Country code]],0),MATCH(AT$1,acm[#Headers],0)),0)</f>
        <v>0</v>
      </c>
      <c r="AU128" s="118">
        <f>IFERROR(INDEX(acm[],MATCH($C128,acm[[Country code]:[Country code]],0),MATCH(AU$1,acm[#Headers],0)),0)</f>
        <v>0</v>
      </c>
      <c r="AV128" s="118">
        <f>IFERROR(INDEX(acm[],MATCH($C128,acm[[Country code]:[Country code]],0),MATCH(AV$1,acm[#Headers],0)),0)</f>
        <v>0</v>
      </c>
      <c r="AW128" s="118">
        <f>IFERROR(INDEX(acm[],MATCH($C128,acm[[Country code]:[Country code]],0),MATCH(AW$1,acm[#Headers],0)),0)</f>
        <v>0</v>
      </c>
      <c r="AX128" s="118">
        <f>IFERROR(VLOOKUP(lmic_raw[[#This Row],[num]],life_exp[[Country code]:[2015-2020]],2,FALSE),0)</f>
        <v>0</v>
      </c>
    </row>
    <row r="129" spans="1:50" x14ac:dyDescent="0.25">
      <c r="A129" s="110" t="s">
        <v>117</v>
      </c>
      <c r="B129" s="104" t="s">
        <v>531</v>
      </c>
      <c r="C129" s="105">
        <v>800</v>
      </c>
      <c r="D129" s="84" t="s">
        <v>677</v>
      </c>
      <c r="E129" s="84" t="s">
        <v>597</v>
      </c>
      <c r="F129" s="84" t="s">
        <v>667</v>
      </c>
      <c r="G129" s="84" t="s">
        <v>674</v>
      </c>
      <c r="H129" s="33">
        <f>VLOOKUP(lmic_raw[[#This Row],[num]],pop[[Country code]:[pop_20]],2,FALSE)*1000</f>
        <v>44269587</v>
      </c>
      <c r="I129" s="117">
        <f>IFERROR(VLOOKUP(lmic_raw[[#This Row],[num]],pop[[Country code]:[pop_20]],2,FALSE)*VLOOKUP(lmic_raw[[#This Row],[num]],b_rate[[Country code]:[2015-2020]],2,FALSE),0)</f>
        <v>1701590.115519</v>
      </c>
      <c r="J129">
        <f>IFERROR(MIN(VLOOKUP(lmic_raw[[#This Row],[iso3]],fac_b[],4,FALSE)/100,0.9999),0)</f>
        <v>0.7340000000000001</v>
      </c>
      <c r="K129" s="33">
        <f>VLOOKUP(lmic_raw[[#This Row],[iso3]],vax[[iso3]:[hbv3]],2,FALSE)/100</f>
        <v>0</v>
      </c>
      <c r="L129" s="33">
        <f>VLOOKUP(lmic_raw[[#This Row],[iso3]],vax[[iso3]:[hbv3]],3,FALSE)/100</f>
        <v>0.93</v>
      </c>
      <c r="M129">
        <f>IFERROR(VLOOKUP(lmic_raw[[#This Row],[iso3]], hbv_prev[[iso3]:[ub]],2,FALSE)/100,0)</f>
        <v>6.2899999999999998E-2</v>
      </c>
      <c r="N129">
        <f>IFERROR(VLOOKUP(lmic_raw[[#This Row],[setting]],hbe_prev[],3,FALSE),0)</f>
        <v>0.29485926570865467</v>
      </c>
      <c r="O129">
        <f>VLOOKUP(lmic_raw[[#This Row],[gbd_super]],hbe_risk[],2,FALSE)</f>
        <v>0.38300000000000001</v>
      </c>
      <c r="P129" s="33">
        <f>VLOOKUP(lmic_raw[[#This Row],[gbd_super]],hbe_risk[],5,FALSE)</f>
        <v>4.8000000000000001E-2</v>
      </c>
      <c r="Q129">
        <f>IFERROR(VLOOKUP(lmic_raw[[#This Row],[setting]],disease_costs!$A$4:$B$197,2,FALSE),0)</f>
        <v>2.8244309317788576</v>
      </c>
      <c r="R129">
        <f>IFERROR(VLOOKUP(lmic_raw[[#This Row],[gbd_super]],disease_costs!$G$4:$K$9,2,FALSE),0)</f>
        <v>29.920500000000001</v>
      </c>
      <c r="S129" s="33">
        <f>IFERROR(VLOOKUP(lmic_raw[[#This Row],[gbd_super]],disease_costs!$G$4:$K$9,3,FALSE),0)</f>
        <v>77.662500000000009</v>
      </c>
      <c r="T129" s="33">
        <f>IFERROR(VLOOKUP(lmic_raw[[#This Row],[gbd_super]],disease_costs!$G$4:$K$9,4,FALSE),0)</f>
        <v>77.662500000000009</v>
      </c>
      <c r="U129" s="33">
        <f>IFERROR(VLOOKUP(lmic_raw[[#This Row],[gbd_super]],disease_costs!$G$4:$K$9,5,FALSE),0)</f>
        <v>77.662500000000009</v>
      </c>
      <c r="V129">
        <f>IFERROR(VLOOKUP(lmic_raw[[#This Row],[setting]],vcost[],3,FALSE),0)</f>
        <v>2.274665772948699</v>
      </c>
      <c r="W129">
        <f>IFERROR(VLOOKUP(lmic_raw[[#This Row],[setting]],vcost[],4,FALSE),0)</f>
        <v>7.1046657729486995</v>
      </c>
      <c r="X129">
        <f>IFERROR(VLOOKUP(lmic_raw[[#This Row],[setting]],vcost[],5,FALSE),0)</f>
        <v>1.8498183081223352</v>
      </c>
      <c r="Y129">
        <f>IFERROR(VLOOKUP(lmic_raw[[#This Row],[setting]],vcost[],6,FALSE),0)</f>
        <v>6.6798183081223357</v>
      </c>
      <c r="Z129">
        <f>IFERROR(VLOOKUP(lmic_raw[[#This Row],[setting]],vcost[],7,FALSE),0)</f>
        <v>6.6771470480109612</v>
      </c>
      <c r="AA129">
        <f>IFERROR(VLOOKUP(lmic_raw[[#This Row],[setting]],vcost[],8,FALSE),0)</f>
        <v>2.5160345046907842</v>
      </c>
      <c r="AB129">
        <f>IFERROR(VLOOKUP(lmic_raw[[#This Row],[setting]],vcost[],9,FALSE),0)</f>
        <v>7.3460345046907847</v>
      </c>
      <c r="AC129" s="33">
        <f>IFERROR(INDEX(acm[],MATCH($C129,acm[[Country code]:[Country code]],0),MATCH(AC$1,acm[#Headers],0)),0)</f>
        <v>4.6149780000000029E-2</v>
      </c>
      <c r="AD129" s="33">
        <f>IFERROR(INDEX(acm[],MATCH($C129,acm[[Country code]:[Country code]],0),MATCH(AD$1,acm[#Headers],0)),0)</f>
        <v>4.3666682804769756E-3</v>
      </c>
      <c r="AE129" s="33">
        <f>IFERROR(INDEX(acm[],MATCH($C129,acm[[Country code]:[Country code]],0),MATCH(AE$1,acm[#Headers],0)),0)</f>
        <v>1.4828482470511555E-3</v>
      </c>
      <c r="AF129" s="33">
        <f>IFERROR(INDEX(acm[],MATCH($C129,acm[[Country code]:[Country code]],0),MATCH(AF$1,acm[#Headers],0)),0)</f>
        <v>1.112565357788755E-3</v>
      </c>
      <c r="AG129" s="33">
        <f>IFERROR(INDEX(acm[],MATCH($C129,acm[[Country code]:[Country code]],0),MATCH(AG$1,acm[#Headers],0)),0)</f>
        <v>1.8217050840387593E-3</v>
      </c>
      <c r="AH129" s="33">
        <f>IFERROR(INDEX(acm[],MATCH($C129,acm[[Country code]:[Country code]],0),MATCH(AH$1,acm[#Headers],0)),0)</f>
        <v>2.8048711625515434E-3</v>
      </c>
      <c r="AI129" s="33">
        <f>IFERROR(INDEX(acm[],MATCH($C129,acm[[Country code]:[Country code]],0),MATCH(AI$1,acm[#Headers],0)),0)</f>
        <v>3.6411578979129509E-3</v>
      </c>
      <c r="AJ129" s="33">
        <f>IFERROR(INDEX(acm[],MATCH($C129,acm[[Country code]:[Country code]],0),MATCH(AJ$1,acm[#Headers],0)),0)</f>
        <v>4.5409485397054335E-3</v>
      </c>
      <c r="AK129" s="33">
        <f>IFERROR(INDEX(acm[],MATCH($C129,acm[[Country code]:[Country code]],0),MATCH(AK$1,acm[#Headers],0)),0)</f>
        <v>5.804606999972311E-3</v>
      </c>
      <c r="AL129" s="33">
        <f>IFERROR(INDEX(acm[],MATCH($C129,acm[[Country code]:[Country code]],0),MATCH(AL$1,acm[#Headers],0)),0)</f>
        <v>7.1639425081212894E-3</v>
      </c>
      <c r="AM129" s="33">
        <f>IFERROR(INDEX(acm[],MATCH($C129,acm[[Country code]:[Country code]],0),MATCH(AM$1,acm[#Headers],0)),0)</f>
        <v>8.8477551169223508E-3</v>
      </c>
      <c r="AN129" s="33">
        <f>IFERROR(INDEX(acm[],MATCH($C129,acm[[Country code]:[Country code]],0),MATCH(AN$1,acm[#Headers],0)),0)</f>
        <v>1.1856959713313804E-2</v>
      </c>
      <c r="AO129" s="33">
        <f>IFERROR(INDEX(acm[],MATCH($C129,acm[[Country code]:[Country code]],0),MATCH(AO$1,acm[#Headers],0)),0)</f>
        <v>1.5285188012263345E-2</v>
      </c>
      <c r="AP129" s="33">
        <f>IFERROR(INDEX(acm[],MATCH($C129,acm[[Country code]:[Country code]],0),MATCH(AP$1,acm[#Headers],0)),0)</f>
        <v>2.1816656292400011E-2</v>
      </c>
      <c r="AQ129" s="33">
        <f>IFERROR(INDEX(acm[],MATCH($C129,acm[[Country code]:[Country code]],0),MATCH(AQ$1,acm[#Headers],0)),0)</f>
        <v>3.2364169061510205E-2</v>
      </c>
      <c r="AR129" s="33">
        <f>IFERROR(INDEX(acm[],MATCH($C129,acm[[Country code]:[Country code]],0),MATCH(AR$1,acm[#Headers],0)),0)</f>
        <v>4.8781801352619794E-2</v>
      </c>
      <c r="AS129" s="33">
        <f>IFERROR(INDEX(acm[],MATCH($C129,acm[[Country code]:[Country code]],0),MATCH(AS$1,acm[#Headers],0)),0)</f>
        <v>7.2864429112246387E-2</v>
      </c>
      <c r="AT129" s="33">
        <f>IFERROR(INDEX(acm[],MATCH($C129,acm[[Country code]:[Country code]],0),MATCH(AT$1,acm[#Headers],0)),0)</f>
        <v>0.10732075308252817</v>
      </c>
      <c r="AU129" s="33">
        <f>IFERROR(INDEX(acm[],MATCH($C129,acm[[Country code]:[Country code]],0),MATCH(AU$1,acm[#Headers],0)),0)</f>
        <v>0.14682779299912954</v>
      </c>
      <c r="AV129" s="33">
        <f>IFERROR(INDEX(acm[],MATCH($C129,acm[[Country code]:[Country code]],0),MATCH(AV$1,acm[#Headers],0)),0)</f>
        <v>0.17862055963278439</v>
      </c>
      <c r="AW129" s="33">
        <f>IFERROR(INDEX(acm[],MATCH($C129,acm[[Country code]:[Country code]],0),MATCH(AW$1,acm[#Headers],0)),0)</f>
        <v>0.18895943002379714</v>
      </c>
      <c r="AX129" s="33">
        <f>IFERROR(VLOOKUP(lmic_raw[[#This Row],[num]],life_exp[[Country code]:[2015-2020]],2,FALSE),0)</f>
        <v>62.756</v>
      </c>
    </row>
    <row r="130" spans="1:50" x14ac:dyDescent="0.25">
      <c r="A130" s="109" t="s">
        <v>316</v>
      </c>
      <c r="B130" s="101" t="s">
        <v>532</v>
      </c>
      <c r="C130" s="102">
        <v>804</v>
      </c>
      <c r="D130" s="82" t="s">
        <v>675</v>
      </c>
      <c r="E130" s="82" t="s">
        <v>306</v>
      </c>
      <c r="F130" s="82" t="s">
        <v>663</v>
      </c>
      <c r="G130" s="82" t="s">
        <v>678</v>
      </c>
      <c r="H130" s="33">
        <f>VLOOKUP(lmic_raw[[#This Row],[num]],pop[[Country code]:[pop_20]],2,FALSE)*1000</f>
        <v>43993643</v>
      </c>
      <c r="I130" s="117">
        <f>IFERROR(VLOOKUP(lmic_raw[[#This Row],[num]],pop[[Country code]:[pop_20]],2,FALSE)*VLOOKUP(lmic_raw[[#This Row],[num]],b_rate[[Country code]:[2015-2020]],2,FALSE),0)</f>
        <v>422602.93465799995</v>
      </c>
      <c r="J130">
        <f>IFERROR(MIN(VLOOKUP(lmic_raw[[#This Row],[iso3]],fac_b[],4,FALSE)/100,0.9999),0)</f>
        <v>0.9890000000000001</v>
      </c>
      <c r="K130" s="33">
        <f>VLOOKUP(lmic_raw[[#This Row],[iso3]],vax[[iso3]:[hbv3]],2,FALSE)/100</f>
        <v>0.6</v>
      </c>
      <c r="L130" s="33">
        <f>VLOOKUP(lmic_raw[[#This Row],[iso3]],vax[[iso3]:[hbv3]],3,FALSE)/100</f>
        <v>0.76</v>
      </c>
      <c r="M130">
        <f>IFERROR(VLOOKUP(lmic_raw[[#This Row],[iso3]], hbv_prev[[iso3]:[ub]],2,FALSE)/100,0)</f>
        <v>1.1399999999999999E-2</v>
      </c>
      <c r="N130">
        <f>IFERROR(VLOOKUP(lmic_raw[[#This Row],[setting]],hbe_prev[],3,FALSE),0)</f>
        <v>0.29332293798817349</v>
      </c>
      <c r="O130">
        <f>VLOOKUP(lmic_raw[[#This Row],[gbd_super]],hbe_risk[],2,FALSE)</f>
        <v>0.8</v>
      </c>
      <c r="P130" s="33">
        <f>VLOOKUP(lmic_raw[[#This Row],[gbd_super]],hbe_risk[],5,FALSE)</f>
        <v>0.17499999999999999</v>
      </c>
      <c r="Q130">
        <f>IFERROR(VLOOKUP(lmic_raw[[#This Row],[setting]],disease_costs!$A$4:$B$197,2,FALSE),0)</f>
        <v>6.3139316781484744</v>
      </c>
      <c r="R130">
        <f>IFERROR(VLOOKUP(lmic_raw[[#This Row],[gbd_super]],disease_costs!$G$4:$K$9,2,FALSE),0)</f>
        <v>44.537400000000005</v>
      </c>
      <c r="S130" s="33">
        <f>IFERROR(VLOOKUP(lmic_raw[[#This Row],[gbd_super]],disease_costs!$G$4:$K$9,3,FALSE),0)</f>
        <v>92.27940000000001</v>
      </c>
      <c r="T130" s="33">
        <f>IFERROR(VLOOKUP(lmic_raw[[#This Row],[gbd_super]],disease_costs!$G$4:$K$9,4,FALSE),0)</f>
        <v>92.27940000000001</v>
      </c>
      <c r="U130" s="33">
        <f>IFERROR(VLOOKUP(lmic_raw[[#This Row],[gbd_super]],disease_costs!$G$4:$K$9,5,FALSE),0)</f>
        <v>92.27940000000001</v>
      </c>
      <c r="V130">
        <f>IFERROR(VLOOKUP(lmic_raw[[#This Row],[setting]],vcost[],3,FALSE),0)</f>
        <v>1.2622957525439826</v>
      </c>
      <c r="W130">
        <f>IFERROR(VLOOKUP(lmic_raw[[#This Row],[setting]],vcost[],4,FALSE),0)</f>
        <v>5.3322957525439829</v>
      </c>
      <c r="X130">
        <f>IFERROR(VLOOKUP(lmic_raw[[#This Row],[setting]],vcost[],5,FALSE),0)</f>
        <v>0.8226212615127152</v>
      </c>
      <c r="Y130">
        <f>IFERROR(VLOOKUP(lmic_raw[[#This Row],[setting]],vcost[],6,FALSE),0)</f>
        <v>4.8926212615127156</v>
      </c>
      <c r="Z130">
        <f>IFERROR(VLOOKUP(lmic_raw[[#This Row],[setting]],vcost[],7,FALSE),0)</f>
        <v>4.8836994955457191</v>
      </c>
      <c r="AA130">
        <f>IFERROR(VLOOKUP(lmic_raw[[#This Row],[setting]],vcost[],8,FALSE),0)</f>
        <v>1.5090091100110912</v>
      </c>
      <c r="AB130">
        <f>IFERROR(VLOOKUP(lmic_raw[[#This Row],[setting]],vcost[],9,FALSE),0)</f>
        <v>5.579009110011091</v>
      </c>
      <c r="AC130" s="33">
        <f>IFERROR(INDEX(acm[],MATCH($C130,acm[[Country code]:[Country code]],0),MATCH(AC$1,acm[#Headers],0)),0)</f>
        <v>7.1988199999999782E-3</v>
      </c>
      <c r="AD130" s="33">
        <f>IFERROR(INDEX(acm[],MATCH($C130,acm[[Country code]:[Country code]],0),MATCH(AD$1,acm[#Headers],0)),0)</f>
        <v>3.4605619626682644E-4</v>
      </c>
      <c r="AE130" s="33">
        <f>IFERROR(INDEX(acm[],MATCH($C130,acm[[Country code]:[Country code]],0),MATCH(AE$1,acm[#Headers],0)),0)</f>
        <v>2.0387382662555634E-4</v>
      </c>
      <c r="AF130" s="33">
        <f>IFERROR(INDEX(acm[],MATCH($C130,acm[[Country code]:[Country code]],0),MATCH(AF$1,acm[#Headers],0)),0)</f>
        <v>2.4994944297614867E-4</v>
      </c>
      <c r="AG130" s="33">
        <f>IFERROR(INDEX(acm[],MATCH($C130,acm[[Country code]:[Country code]],0),MATCH(AG$1,acm[#Headers],0)),0)</f>
        <v>4.9423232522274234E-4</v>
      </c>
      <c r="AH130" s="33">
        <f>IFERROR(INDEX(acm[],MATCH($C130,acm[[Country code]:[Country code]],0),MATCH(AH$1,acm[#Headers],0)),0)</f>
        <v>9.1381254585202055E-4</v>
      </c>
      <c r="AI130" s="33">
        <f>IFERROR(INDEX(acm[],MATCH($C130,acm[[Country code]:[Country code]],0),MATCH(AI$1,acm[#Headers],0)),0)</f>
        <v>1.483689618571862E-3</v>
      </c>
      <c r="AJ130" s="33">
        <f>IFERROR(INDEX(acm[],MATCH($C130,acm[[Country code]:[Country code]],0),MATCH(AJ$1,acm[#Headers],0)),0)</f>
        <v>2.5375493725730974E-3</v>
      </c>
      <c r="AK130" s="33">
        <f>IFERROR(INDEX(acm[],MATCH($C130,acm[[Country code]:[Country code]],0),MATCH(AK$1,acm[#Headers],0)),0)</f>
        <v>3.5228549990708184E-3</v>
      </c>
      <c r="AL130" s="33">
        <f>IFERROR(INDEX(acm[],MATCH($C130,acm[[Country code]:[Country code]],0),MATCH(AL$1,acm[#Headers],0)),0)</f>
        <v>4.5385057197526437E-3</v>
      </c>
      <c r="AM130" s="33">
        <f>IFERROR(INDEX(acm[],MATCH($C130,acm[[Country code]:[Country code]],0),MATCH(AM$1,acm[#Headers],0)),0)</f>
        <v>6.1813399154259591E-3</v>
      </c>
      <c r="AN130" s="33">
        <f>IFERROR(INDEX(acm[],MATCH($C130,acm[[Country code]:[Country code]],0),MATCH(AN$1,acm[#Headers],0)),0)</f>
        <v>8.7357550999179606E-3</v>
      </c>
      <c r="AO130" s="33">
        <f>IFERROR(INDEX(acm[],MATCH($C130,acm[[Country code]:[Country code]],0),MATCH(AO$1,acm[#Headers],0)),0)</f>
        <v>1.2623879431564428E-2</v>
      </c>
      <c r="AP130" s="33">
        <f>IFERROR(INDEX(acm[],MATCH($C130,acm[[Country code]:[Country code]],0),MATCH(AP$1,acm[#Headers],0)),0)</f>
        <v>1.8374976740519189E-2</v>
      </c>
      <c r="AQ130" s="33">
        <f>IFERROR(INDEX(acm[],MATCH($C130,acm[[Country code]:[Country code]],0),MATCH(AQ$1,acm[#Headers],0)),0)</f>
        <v>2.5077379297346596E-2</v>
      </c>
      <c r="AR130" s="33">
        <f>IFERROR(INDEX(acm[],MATCH($C130,acm[[Country code]:[Country code]],0),MATCH(AR$1,acm[#Headers],0)),0)</f>
        <v>3.8590807488594267E-2</v>
      </c>
      <c r="AS130" s="33">
        <f>IFERROR(INDEX(acm[],MATCH($C130,acm[[Country code]:[Country code]],0),MATCH(AS$1,acm[#Headers],0)),0)</f>
        <v>5.8432410142430218E-2</v>
      </c>
      <c r="AT130" s="33">
        <f>IFERROR(INDEX(acm[],MATCH($C130,acm[[Country code]:[Country code]],0),MATCH(AT$1,acm[#Headers],0)),0)</f>
        <v>8.5062359967624401E-2</v>
      </c>
      <c r="AU130" s="33">
        <f>IFERROR(INDEX(acm[],MATCH($C130,acm[[Country code]:[Country code]],0),MATCH(AU$1,acm[#Headers],0)),0)</f>
        <v>0.1170299537619949</v>
      </c>
      <c r="AV130" s="33">
        <f>IFERROR(INDEX(acm[],MATCH($C130,acm[[Country code]:[Country code]],0),MATCH(AV$1,acm[#Headers],0)),0)</f>
        <v>0.14961991461844867</v>
      </c>
      <c r="AW130" s="33">
        <f>IFERROR(INDEX(acm[],MATCH($C130,acm[[Country code]:[Country code]],0),MATCH(AW$1,acm[#Headers],0)),0)</f>
        <v>0.17362844380260056</v>
      </c>
      <c r="AX130" s="33">
        <f>IFERROR(VLOOKUP(lmic_raw[[#This Row],[num]],life_exp[[Country code]:[2015-2020]],2,FALSE),0)</f>
        <v>71.819000000000003</v>
      </c>
    </row>
    <row r="131" spans="1:50" x14ac:dyDescent="0.25">
      <c r="A131" s="110" t="s">
        <v>189</v>
      </c>
      <c r="B131" s="104" t="s">
        <v>536</v>
      </c>
      <c r="C131" s="105">
        <v>860</v>
      </c>
      <c r="D131" s="84" t="s">
        <v>675</v>
      </c>
      <c r="E131" s="84" t="s">
        <v>184</v>
      </c>
      <c r="F131" s="84" t="s">
        <v>663</v>
      </c>
      <c r="G131" s="84" t="s">
        <v>678</v>
      </c>
      <c r="H131" s="33">
        <f>VLOOKUP(lmic_raw[[#This Row],[num]],pop[[Country code]:[pop_20]],2,FALSE)*1000</f>
        <v>32981714.999999996</v>
      </c>
      <c r="I131" s="117">
        <f>IFERROR(VLOOKUP(lmic_raw[[#This Row],[num]],pop[[Country code]:[pop_20]],2,FALSE)*VLOOKUP(lmic_raw[[#This Row],[num]],b_rate[[Country code]:[2015-2020]],2,FALSE),0)</f>
        <v>719694.00301500002</v>
      </c>
      <c r="J131">
        <f>IFERROR(MIN(VLOOKUP(lmic_raw[[#This Row],[iso3]],fac_b[],4,FALSE)/100,0.9999),0)</f>
        <v>0.996</v>
      </c>
      <c r="K131" s="33">
        <f>VLOOKUP(lmic_raw[[#This Row],[iso3]],vax[[iso3]:[hbv3]],2,FALSE)/100</f>
        <v>0.99</v>
      </c>
      <c r="L131" s="33">
        <f>VLOOKUP(lmic_raw[[#This Row],[iso3]],vax[[iso3]:[hbv3]],3,FALSE)/100</f>
        <v>0.96</v>
      </c>
      <c r="M131">
        <f>IFERROR(VLOOKUP(lmic_raw[[#This Row],[iso3]], hbv_prev[[iso3]:[ub]],2,FALSE)/100,0)</f>
        <v>4.9100000000000005E-2</v>
      </c>
      <c r="N131">
        <f>IFERROR(VLOOKUP(lmic_raw[[#This Row],[setting]],hbe_prev[],3,FALSE),0)</f>
        <v>0.30593511955523012</v>
      </c>
      <c r="O131">
        <f>VLOOKUP(lmic_raw[[#This Row],[gbd_super]],hbe_risk[],2,FALSE)</f>
        <v>0.8</v>
      </c>
      <c r="P131" s="33">
        <f>VLOOKUP(lmic_raw[[#This Row],[gbd_super]],hbe_risk[],5,FALSE)</f>
        <v>0.17499999999999999</v>
      </c>
      <c r="Q131">
        <f>IFERROR(VLOOKUP(lmic_raw[[#This Row],[setting]],disease_costs!$A$4:$B$197,2,FALSE),0)</f>
        <v>3.8451692453427588</v>
      </c>
      <c r="R131">
        <f>IFERROR(VLOOKUP(lmic_raw[[#This Row],[gbd_super]],disease_costs!$G$4:$K$9,2,FALSE),0)</f>
        <v>44.537400000000005</v>
      </c>
      <c r="S131" s="33">
        <f>IFERROR(VLOOKUP(lmic_raw[[#This Row],[gbd_super]],disease_costs!$G$4:$K$9,3,FALSE),0)</f>
        <v>92.27940000000001</v>
      </c>
      <c r="T131" s="33">
        <f>IFERROR(VLOOKUP(lmic_raw[[#This Row],[gbd_super]],disease_costs!$G$4:$K$9,4,FALSE),0)</f>
        <v>92.27940000000001</v>
      </c>
      <c r="U131" s="33">
        <f>IFERROR(VLOOKUP(lmic_raw[[#This Row],[gbd_super]],disease_costs!$G$4:$K$9,5,FALSE),0)</f>
        <v>92.27940000000001</v>
      </c>
      <c r="V131">
        <f>IFERROR(VLOOKUP(lmic_raw[[#This Row],[setting]],vcost[],3,FALSE),0)</f>
        <v>3.2589097128978812</v>
      </c>
      <c r="W131">
        <f>IFERROR(VLOOKUP(lmic_raw[[#This Row],[setting]],vcost[],4,FALSE),0)</f>
        <v>7.3289097128978815</v>
      </c>
      <c r="X131">
        <f>IFERROR(VLOOKUP(lmic_raw[[#This Row],[setting]],vcost[],5,FALSE),0)</f>
        <v>2.8310129959997297</v>
      </c>
      <c r="Y131">
        <f>IFERROR(VLOOKUP(lmic_raw[[#This Row],[setting]],vcost[],6,FALSE),0)</f>
        <v>6.9010129959997304</v>
      </c>
      <c r="Z131">
        <f>IFERROR(VLOOKUP(lmic_raw[[#This Row],[setting]],vcost[],7,FALSE),0)</f>
        <v>6.8970551083783498</v>
      </c>
      <c r="AA131">
        <f>IFERROR(VLOOKUP(lmic_raw[[#This Row],[setting]],vcost[],8,FALSE),0)</f>
        <v>3.5013775936425877</v>
      </c>
      <c r="AB131">
        <f>IFERROR(VLOOKUP(lmic_raw[[#This Row],[setting]],vcost[],9,FALSE),0)</f>
        <v>7.5713775936425876</v>
      </c>
      <c r="AC131" s="33">
        <f>IFERROR(INDEX(acm[],MATCH($C131,acm[[Country code]:[Country code]],0),MATCH(AC$1,acm[#Headers],0)),0)</f>
        <v>2.0835470000000061E-2</v>
      </c>
      <c r="AD131" s="33">
        <f>IFERROR(INDEX(acm[],MATCH($C131,acm[[Country code]:[Country code]],0),MATCH(AD$1,acm[#Headers],0)),0)</f>
        <v>1.2221924542139809E-3</v>
      </c>
      <c r="AE131" s="33">
        <f>IFERROR(INDEX(acm[],MATCH($C131,acm[[Country code]:[Country code]],0),MATCH(AE$1,acm[#Headers],0)),0)</f>
        <v>2.8759897009950872E-4</v>
      </c>
      <c r="AF131" s="33">
        <f>IFERROR(INDEX(acm[],MATCH($C131,acm[[Country code]:[Country code]],0),MATCH(AF$1,acm[#Headers],0)),0)</f>
        <v>3.0645962075525354E-4</v>
      </c>
      <c r="AG131" s="33">
        <f>IFERROR(INDEX(acm[],MATCH($C131,acm[[Country code]:[Country code]],0),MATCH(AG$1,acm[#Headers],0)),0)</f>
        <v>5.0447480651230712E-4</v>
      </c>
      <c r="AH131" s="33">
        <f>IFERROR(INDEX(acm[],MATCH($C131,acm[[Country code]:[Country code]],0),MATCH(AH$1,acm[#Headers],0)),0)</f>
        <v>7.2446909122894415E-4</v>
      </c>
      <c r="AI131" s="33">
        <f>IFERROR(INDEX(acm[],MATCH($C131,acm[[Country code]:[Country code]],0),MATCH(AI$1,acm[#Headers],0)),0)</f>
        <v>9.7348908487552329E-4</v>
      </c>
      <c r="AJ131" s="33">
        <f>IFERROR(INDEX(acm[],MATCH($C131,acm[[Country code]:[Country code]],0),MATCH(AJ$1,acm[#Headers],0)),0)</f>
        <v>1.319865314538814E-3</v>
      </c>
      <c r="AK131" s="33">
        <f>IFERROR(INDEX(acm[],MATCH($C131,acm[[Country code]:[Country code]],0),MATCH(AK$1,acm[#Headers],0)),0)</f>
        <v>1.8403965508041662E-3</v>
      </c>
      <c r="AL131" s="33">
        <f>IFERROR(INDEX(acm[],MATCH($C131,acm[[Country code]:[Country code]],0),MATCH(AL$1,acm[#Headers],0)),0)</f>
        <v>2.5695807395264944E-3</v>
      </c>
      <c r="AM131" s="33">
        <f>IFERROR(INDEX(acm[],MATCH($C131,acm[[Country code]:[Country code]],0),MATCH(AM$1,acm[#Headers],0)),0)</f>
        <v>3.8966223465779679E-3</v>
      </c>
      <c r="AN131" s="33">
        <f>IFERROR(INDEX(acm[],MATCH($C131,acm[[Country code]:[Country code]],0),MATCH(AN$1,acm[#Headers],0)),0)</f>
        <v>6.2610641946699601E-3</v>
      </c>
      <c r="AO131" s="33">
        <f>IFERROR(INDEX(acm[],MATCH($C131,acm[[Country code]:[Country code]],0),MATCH(AO$1,acm[#Headers],0)),0)</f>
        <v>1.0593543607104964E-2</v>
      </c>
      <c r="AP131" s="33">
        <f>IFERROR(INDEX(acm[],MATCH($C131,acm[[Country code]:[Country code]],0),MATCH(AP$1,acm[#Headers],0)),0)</f>
        <v>1.8161334786417935E-2</v>
      </c>
      <c r="AQ131" s="33">
        <f>IFERROR(INDEX(acm[],MATCH($C131,acm[[Country code]:[Country code]],0),MATCH(AQ$1,acm[#Headers],0)),0)</f>
        <v>2.8615281557734854E-2</v>
      </c>
      <c r="AR131" s="33">
        <f>IFERROR(INDEX(acm[],MATCH($C131,acm[[Country code]:[Country code]],0),MATCH(AR$1,acm[#Headers],0)),0)</f>
        <v>4.4290652552574764E-2</v>
      </c>
      <c r="AS131" s="33">
        <f>IFERROR(INDEX(acm[],MATCH($C131,acm[[Country code]:[Country code]],0),MATCH(AS$1,acm[#Headers],0)),0)</f>
        <v>6.6937789309553714E-2</v>
      </c>
      <c r="AT131" s="33">
        <f>IFERROR(INDEX(acm[],MATCH($C131,acm[[Country code]:[Country code]],0),MATCH(AT$1,acm[#Headers],0)),0)</f>
        <v>9.5342529249283853E-2</v>
      </c>
      <c r="AU131" s="33">
        <f>IFERROR(INDEX(acm[],MATCH($C131,acm[[Country code]:[Country code]],0),MATCH(AU$1,acm[#Headers],0)),0)</f>
        <v>0.12569422224177099</v>
      </c>
      <c r="AV131" s="33">
        <f>IFERROR(INDEX(acm[],MATCH($C131,acm[[Country code]:[Country code]],0),MATCH(AV$1,acm[#Headers],0)),0)</f>
        <v>0.15364270326612647</v>
      </c>
      <c r="AW131" s="33">
        <f>IFERROR(INDEX(acm[],MATCH($C131,acm[[Country code]:[Country code]],0),MATCH(AW$1,acm[#Headers],0)),0)</f>
        <v>0.17363588120761062</v>
      </c>
      <c r="AX131" s="33">
        <f>IFERROR(VLOOKUP(lmic_raw[[#This Row],[num]],life_exp[[Country code]:[2015-2020]],2,FALSE),0)</f>
        <v>71.531999999999996</v>
      </c>
    </row>
    <row r="132" spans="1:50" x14ac:dyDescent="0.25">
      <c r="A132" s="109" t="s">
        <v>285</v>
      </c>
      <c r="B132" s="101" t="s">
        <v>537</v>
      </c>
      <c r="C132" s="102">
        <v>548</v>
      </c>
      <c r="D132" s="82" t="s">
        <v>681</v>
      </c>
      <c r="E132" s="82" t="s">
        <v>98</v>
      </c>
      <c r="F132" s="82" t="s">
        <v>666</v>
      </c>
      <c r="G132" s="82" t="s">
        <v>678</v>
      </c>
      <c r="H132" s="33">
        <f>VLOOKUP(lmic_raw[[#This Row],[num]],pop[[Country code]:[pop_20]],2,FALSE)*1000</f>
        <v>299882</v>
      </c>
      <c r="I132" s="117">
        <f>IFERROR(VLOOKUP(lmic_raw[[#This Row],[num]],pop[[Country code]:[pop_20]],2,FALSE)*VLOOKUP(lmic_raw[[#This Row],[num]],b_rate[[Country code]:[2015-2020]],2,FALSE),0)</f>
        <v>8935.5839539999997</v>
      </c>
      <c r="J132">
        <f>IFERROR(MIN(VLOOKUP(lmic_raw[[#This Row],[iso3]],fac_b[],4,FALSE)/100,0.9999),0)</f>
        <v>0.88500000000000001</v>
      </c>
      <c r="K132" s="33">
        <f>VLOOKUP(lmic_raw[[#This Row],[iso3]],vax[[iso3]:[hbv3]],2,FALSE)/100</f>
        <v>0.82</v>
      </c>
      <c r="L132" s="33">
        <f>VLOOKUP(lmic_raw[[#This Row],[iso3]],vax[[iso3]:[hbv3]],3,FALSE)/100</f>
        <v>0.9</v>
      </c>
      <c r="M132">
        <f>IFERROR(VLOOKUP(lmic_raw[[#This Row],[iso3]], hbv_prev[[iso3]:[ub]],2,FALSE)/100,0)</f>
        <v>0.1331</v>
      </c>
      <c r="N132">
        <f>IFERROR(VLOOKUP(lmic_raw[[#This Row],[setting]],hbe_prev[],3,FALSE),0)</f>
        <v>0.33217937182255036</v>
      </c>
      <c r="O132">
        <f>VLOOKUP(lmic_raw[[#This Row],[gbd_super]],hbe_risk[],2,FALSE)</f>
        <v>0.8</v>
      </c>
      <c r="P132" s="33">
        <f>VLOOKUP(lmic_raw[[#This Row],[gbd_super]],hbe_risk[],5,FALSE)</f>
        <v>0.17499999999999999</v>
      </c>
      <c r="Q132">
        <f>IFERROR(VLOOKUP(lmic_raw[[#This Row],[setting]],disease_costs!$A$4:$B$197,2,FALSE),0)</f>
        <v>10.290063480984603</v>
      </c>
      <c r="R132">
        <f>IFERROR(VLOOKUP(lmic_raw[[#This Row],[gbd_super]],disease_costs!$G$4:$K$9,2,FALSE),0)</f>
        <v>73.084500000000006</v>
      </c>
      <c r="S132" s="33">
        <f>IFERROR(VLOOKUP(lmic_raw[[#This Row],[gbd_super]],disease_costs!$G$4:$K$9,3,FALSE),0)</f>
        <v>120.8265</v>
      </c>
      <c r="T132" s="33">
        <f>IFERROR(VLOOKUP(lmic_raw[[#This Row],[gbd_super]],disease_costs!$G$4:$K$9,4,FALSE),0)</f>
        <v>120.8265</v>
      </c>
      <c r="U132" s="33">
        <f>IFERROR(VLOOKUP(lmic_raw[[#This Row],[gbd_super]],disease_costs!$G$4:$K$9,5,FALSE),0)</f>
        <v>120.8265</v>
      </c>
      <c r="V132">
        <f>IFERROR(VLOOKUP(lmic_raw[[#This Row],[setting]],vcost[],3,FALSE),0)</f>
        <v>6.7137627885238551</v>
      </c>
      <c r="W132">
        <f>IFERROR(VLOOKUP(lmic_raw[[#This Row],[setting]],vcost[],4,FALSE),0)</f>
        <v>7.343762788523855</v>
      </c>
      <c r="X132">
        <f>IFERROR(VLOOKUP(lmic_raw[[#This Row],[setting]],vcost[],5,FALSE),0)</f>
        <v>6.2780872783921611</v>
      </c>
      <c r="Y132">
        <f>IFERROR(VLOOKUP(lmic_raw[[#This Row],[setting]],vcost[],6,FALSE),0)</f>
        <v>6.908087278392161</v>
      </c>
      <c r="Z132">
        <f>IFERROR(VLOOKUP(lmic_raw[[#This Row],[setting]],vcost[],7,FALSE),0)</f>
        <v>6.9011691575982548</v>
      </c>
      <c r="AA132">
        <f>IFERROR(VLOOKUP(lmic_raw[[#This Row],[setting]],vcost[],8,FALSE),0)</f>
        <v>6.9590346528759994</v>
      </c>
      <c r="AB132">
        <f>IFERROR(VLOOKUP(lmic_raw[[#This Row],[setting]],vcost[],9,FALSE),0)</f>
        <v>7.5890346528759993</v>
      </c>
      <c r="AC132" s="33">
        <f>IFERROR(INDEX(acm[],MATCH($C132,acm[[Country code]:[Country code]],0),MATCH(AC$1,acm[#Headers],0)),0)</f>
        <v>2.2365599999999975E-2</v>
      </c>
      <c r="AD132" s="33">
        <f>IFERROR(INDEX(acm[],MATCH($C132,acm[[Country code]:[Country code]],0),MATCH(AD$1,acm[#Headers],0)),0)</f>
        <v>1.0929417991020081E-3</v>
      </c>
      <c r="AE132" s="33">
        <f>IFERROR(INDEX(acm[],MATCH($C132,acm[[Country code]:[Country code]],0),MATCH(AE$1,acm[#Headers],0)),0)</f>
        <v>4.2713469309892517E-4</v>
      </c>
      <c r="AF132" s="33">
        <f>IFERROR(INDEX(acm[],MATCH($C132,acm[[Country code]:[Country code]],0),MATCH(AF$1,acm[#Headers],0)),0)</f>
        <v>3.6316758096208623E-4</v>
      </c>
      <c r="AG132" s="33">
        <f>IFERROR(INDEX(acm[],MATCH($C132,acm[[Country code]:[Country code]],0),MATCH(AG$1,acm[#Headers],0)),0)</f>
        <v>7.3020412598037775E-4</v>
      </c>
      <c r="AH132" s="33">
        <f>IFERROR(INDEX(acm[],MATCH($C132,acm[[Country code]:[Country code]],0),MATCH(AH$1,acm[#Headers],0)),0)</f>
        <v>9.042212246174623E-4</v>
      </c>
      <c r="AI132" s="33">
        <f>IFERROR(INDEX(acm[],MATCH($C132,acm[[Country code]:[Country code]],0),MATCH(AI$1,acm[#Headers],0)),0)</f>
        <v>9.2983137088334909E-4</v>
      </c>
      <c r="AJ132" s="33">
        <f>IFERROR(INDEX(acm[],MATCH($C132,acm[[Country code]:[Country code]],0),MATCH(AJ$1,acm[#Headers],0)),0)</f>
        <v>1.1272768136882424E-3</v>
      </c>
      <c r="AK132" s="33">
        <f>IFERROR(INDEX(acm[],MATCH($C132,acm[[Country code]:[Country code]],0),MATCH(AK$1,acm[#Headers],0)),0)</f>
        <v>1.5717165040655993E-3</v>
      </c>
      <c r="AL132" s="33">
        <f>IFERROR(INDEX(acm[],MATCH($C132,acm[[Country code]:[Country code]],0),MATCH(AL$1,acm[#Headers],0)),0)</f>
        <v>2.351146667285709E-3</v>
      </c>
      <c r="AM132" s="33">
        <f>IFERROR(INDEX(acm[],MATCH($C132,acm[[Country code]:[Country code]],0),MATCH(AM$1,acm[#Headers],0)),0)</f>
        <v>3.7690140973061256E-3</v>
      </c>
      <c r="AN132" s="33">
        <f>IFERROR(INDEX(acm[],MATCH($C132,acm[[Country code]:[Country code]],0),MATCH(AN$1,acm[#Headers],0)),0)</f>
        <v>6.0679485172212225E-3</v>
      </c>
      <c r="AO132" s="33">
        <f>IFERROR(INDEX(acm[],MATCH($C132,acm[[Country code]:[Country code]],0),MATCH(AO$1,acm[#Headers],0)),0)</f>
        <v>9.7874537245933452E-3</v>
      </c>
      <c r="AP132" s="33">
        <f>IFERROR(INDEX(acm[],MATCH($C132,acm[[Country code]:[Country code]],0),MATCH(AP$1,acm[#Headers],0)),0)</f>
        <v>1.8251739662412808E-2</v>
      </c>
      <c r="AQ132" s="33">
        <f>IFERROR(INDEX(acm[],MATCH($C132,acm[[Country code]:[Country code]],0),MATCH(AQ$1,acm[#Headers],0)),0)</f>
        <v>3.3313885056041562E-2</v>
      </c>
      <c r="AR132" s="33">
        <f>IFERROR(INDEX(acm[],MATCH($C132,acm[[Country code]:[Country code]],0),MATCH(AR$1,acm[#Headers],0)),0)</f>
        <v>5.4982650823014151E-2</v>
      </c>
      <c r="AS132" s="33">
        <f>IFERROR(INDEX(acm[],MATCH($C132,acm[[Country code]:[Country code]],0),MATCH(AS$1,acm[#Headers],0)),0)</f>
        <v>8.3190798891907114E-2</v>
      </c>
      <c r="AT132" s="33">
        <f>IFERROR(INDEX(acm[],MATCH($C132,acm[[Country code]:[Country code]],0),MATCH(AT$1,acm[#Headers],0)),0)</f>
        <v>0.11701161385805187</v>
      </c>
      <c r="AU132" s="33">
        <f>IFERROR(INDEX(acm[],MATCH($C132,acm[[Country code]:[Country code]],0),MATCH(AU$1,acm[#Headers],0)),0)</f>
        <v>0.15147798322094647</v>
      </c>
      <c r="AV132" s="33">
        <f>IFERROR(INDEX(acm[],MATCH($C132,acm[[Country code]:[Country code]],0),MATCH(AV$1,acm[#Headers],0)),0)</f>
        <v>0.17593865686013324</v>
      </c>
      <c r="AW132" s="33">
        <f>IFERROR(INDEX(acm[],MATCH($C132,acm[[Country code]:[Country code]],0),MATCH(AW$1,acm[#Headers],0)),0)</f>
        <v>0.18801125334265398</v>
      </c>
      <c r="AX132" s="33">
        <f>IFERROR(VLOOKUP(lmic_raw[[#This Row],[num]],life_exp[[Country code]:[2015-2020]],2,FALSE),0)</f>
        <v>70.247</v>
      </c>
    </row>
    <row r="133" spans="1:50" x14ac:dyDescent="0.25">
      <c r="A133" s="84" t="s">
        <v>275</v>
      </c>
      <c r="B133" s="104" t="s">
        <v>538</v>
      </c>
      <c r="C133" s="105">
        <v>862</v>
      </c>
      <c r="D133" s="84" t="s">
        <v>679</v>
      </c>
      <c r="E133" s="84" t="s">
        <v>604</v>
      </c>
      <c r="F133" s="84" t="s">
        <v>665</v>
      </c>
      <c r="G133" s="84" t="s">
        <v>676</v>
      </c>
      <c r="H133" s="33">
        <f>VLOOKUP(lmic_raw[[#This Row],[num]],pop[[Country code]:[pop_20]],2,FALSE)*1000</f>
        <v>28515829</v>
      </c>
      <c r="I133" s="117">
        <f>IFERROR(VLOOKUP(lmic_raw[[#This Row],[num]],pop[[Country code]:[pop_20]],2,FALSE)*VLOOKUP(lmic_raw[[#This Row],[num]],b_rate[[Country code]:[2015-2020]],2,FALSE),0)</f>
        <v>514111.88104100002</v>
      </c>
      <c r="J133">
        <f>IFERROR(MIN(VLOOKUP(lmic_raw[[#This Row],[iso3]],fac_b[],4,FALSE)/100,0.9999),0)</f>
        <v>0.9890000000000001</v>
      </c>
      <c r="K133" s="33">
        <f>VLOOKUP(lmic_raw[[#This Row],[iso3]],vax[[iso3]:[hbv3]],2,FALSE)/100</f>
        <v>0.52</v>
      </c>
      <c r="L133" s="33">
        <f>VLOOKUP(lmic_raw[[#This Row],[iso3]],vax[[iso3]:[hbv3]],3,FALSE)/100</f>
        <v>0.64</v>
      </c>
      <c r="M133">
        <f>IFERROR(VLOOKUP(lmic_raw[[#This Row],[iso3]], hbv_prev[[iso3]:[ub]],2,FALSE)/100,0)</f>
        <v>2.8300000000000002E-2</v>
      </c>
      <c r="N133">
        <f>IFERROR(VLOOKUP(lmic_raw[[#This Row],[setting]],hbe_prev[],3,FALSE),0)</f>
        <v>0.32005043651541387</v>
      </c>
      <c r="O133">
        <f>VLOOKUP(lmic_raw[[#This Row],[gbd_super]],hbe_risk[],2,FALSE)</f>
        <v>0.8</v>
      </c>
      <c r="P133" s="33">
        <f>VLOOKUP(lmic_raw[[#This Row],[gbd_super]],hbe_risk[],5,FALSE)</f>
        <v>0.17499999999999999</v>
      </c>
      <c r="Q133">
        <f>IFERROR(VLOOKUP(lmic_raw[[#This Row],[setting]],disease_costs!$A$4:$B$197,2,FALSE),0)</f>
        <v>18.135505635237379</v>
      </c>
      <c r="R133">
        <f>IFERROR(VLOOKUP(lmic_raw[[#This Row],[gbd_super]],disease_costs!$G$4:$K$9,2,FALSE),0)</f>
        <v>86.883899999999997</v>
      </c>
      <c r="S133" s="33">
        <f>IFERROR(VLOOKUP(lmic_raw[[#This Row],[gbd_super]],disease_costs!$G$4:$K$9,3,FALSE),0)</f>
        <v>134.6259</v>
      </c>
      <c r="T133" s="33">
        <f>IFERROR(VLOOKUP(lmic_raw[[#This Row],[gbd_super]],disease_costs!$G$4:$K$9,4,FALSE),0)</f>
        <v>134.6259</v>
      </c>
      <c r="U133" s="33">
        <f>IFERROR(VLOOKUP(lmic_raw[[#This Row],[gbd_super]],disease_costs!$G$4:$K$9,5,FALSE),0)</f>
        <v>134.6259</v>
      </c>
      <c r="V133">
        <f>IFERROR(VLOOKUP(lmic_raw[[#This Row],[setting]],vcost[],3,FALSE),0)</f>
        <v>2.4664506943986586</v>
      </c>
      <c r="W133">
        <f>IFERROR(VLOOKUP(lmic_raw[[#This Row],[setting]],vcost[],4,FALSE),0)</f>
        <v>2.4864506943986586</v>
      </c>
      <c r="X133">
        <f>IFERROR(VLOOKUP(lmic_raw[[#This Row],[setting]],vcost[],5,FALSE),0)</f>
        <v>1.994470493493921</v>
      </c>
      <c r="Y133">
        <f>IFERROR(VLOOKUP(lmic_raw[[#This Row],[setting]],vcost[],6,FALSE),0)</f>
        <v>2.014470493493921</v>
      </c>
      <c r="Z133">
        <f>IFERROR(VLOOKUP(lmic_raw[[#This Row],[setting]],vcost[],7,FALSE),0)</f>
        <v>1.991178142942807</v>
      </c>
      <c r="AA133">
        <f>IFERROR(VLOOKUP(lmic_raw[[#This Row],[setting]],vcost[],8,FALSE),0)</f>
        <v>2.7248091333317852</v>
      </c>
      <c r="AB133">
        <f>IFERROR(VLOOKUP(lmic_raw[[#This Row],[setting]],vcost[],9,FALSE),0)</f>
        <v>2.7448091333317852</v>
      </c>
      <c r="AC133" s="33">
        <f>IFERROR(INDEX(acm[],MATCH($C133,acm[[Country code]:[Country code]],0),MATCH(AC$1,acm[#Headers],0)),0)</f>
        <v>2.5699989999999961E-2</v>
      </c>
      <c r="AD133" s="33">
        <f>IFERROR(INDEX(acm[],MATCH($C133,acm[[Country code]:[Country code]],0),MATCH(AD$1,acm[#Headers],0)),0)</f>
        <v>1.3222108044523197E-3</v>
      </c>
      <c r="AE133" s="33">
        <f>IFERROR(INDEX(acm[],MATCH($C133,acm[[Country code]:[Country code]],0),MATCH(AE$1,acm[#Headers],0)),0)</f>
        <v>2.4073538723623375E-4</v>
      </c>
      <c r="AF133" s="33">
        <f>IFERROR(INDEX(acm[],MATCH($C133,acm[[Country code]:[Country code]],0),MATCH(AF$1,acm[#Headers],0)),0)</f>
        <v>3.4713920646440243E-4</v>
      </c>
      <c r="AG133" s="33">
        <f>IFERROR(INDEX(acm[],MATCH($C133,acm[[Country code]:[Country code]],0),MATCH(AG$1,acm[#Headers],0)),0)</f>
        <v>1.4184656835969935E-3</v>
      </c>
      <c r="AH133" s="33">
        <f>IFERROR(INDEX(acm[],MATCH($C133,acm[[Country code]:[Country code]],0),MATCH(AH$1,acm[#Headers],0)),0)</f>
        <v>2.2033272891926218E-3</v>
      </c>
      <c r="AI133" s="33">
        <f>IFERROR(INDEX(acm[],MATCH($C133,acm[[Country code]:[Country code]],0),MATCH(AI$1,acm[#Headers],0)),0)</f>
        <v>2.1654139598228104E-3</v>
      </c>
      <c r="AJ133" s="33">
        <f>IFERROR(INDEX(acm[],MATCH($C133,acm[[Country code]:[Country code]],0),MATCH(AJ$1,acm[#Headers],0)),0)</f>
        <v>2.1285661497573356E-3</v>
      </c>
      <c r="AK133" s="33">
        <f>IFERROR(INDEX(acm[],MATCH($C133,acm[[Country code]:[Country code]],0),MATCH(AK$1,acm[#Headers],0)),0)</f>
        <v>2.0966897267258268E-3</v>
      </c>
      <c r="AL133" s="33">
        <f>IFERROR(INDEX(acm[],MATCH($C133,acm[[Country code]:[Country code]],0),MATCH(AL$1,acm[#Headers],0)),0)</f>
        <v>2.6490402944047372E-3</v>
      </c>
      <c r="AM133" s="33">
        <f>IFERROR(INDEX(acm[],MATCH($C133,acm[[Country code]:[Country code]],0),MATCH(AM$1,acm[#Headers],0)),0)</f>
        <v>3.9420058344002418E-3</v>
      </c>
      <c r="AN133" s="33">
        <f>IFERROR(INDEX(acm[],MATCH($C133,acm[[Country code]:[Country code]],0),MATCH(AN$1,acm[#Headers],0)),0)</f>
        <v>6.3232546972606593E-3</v>
      </c>
      <c r="AO133" s="33">
        <f>IFERROR(INDEX(acm[],MATCH($C133,acm[[Country code]:[Country code]],0),MATCH(AO$1,acm[#Headers],0)),0)</f>
        <v>9.5742306335507461E-3</v>
      </c>
      <c r="AP133" s="33">
        <f>IFERROR(INDEX(acm[],MATCH($C133,acm[[Country code]:[Country code]],0),MATCH(AP$1,acm[#Headers],0)),0)</f>
        <v>1.4907524922666745E-2</v>
      </c>
      <c r="AQ133" s="33">
        <f>IFERROR(INDEX(acm[],MATCH($C133,acm[[Country code]:[Country code]],0),MATCH(AQ$1,acm[#Headers],0)),0)</f>
        <v>2.4610677860725554E-2</v>
      </c>
      <c r="AR133" s="33">
        <f>IFERROR(INDEX(acm[],MATCH($C133,acm[[Country code]:[Country code]],0),MATCH(AR$1,acm[#Headers],0)),0)</f>
        <v>3.6409941346616043E-2</v>
      </c>
      <c r="AS133" s="33">
        <f>IFERROR(INDEX(acm[],MATCH($C133,acm[[Country code]:[Country code]],0),MATCH(AS$1,acm[#Headers],0)),0)</f>
        <v>5.2218420994053362E-2</v>
      </c>
      <c r="AT133" s="33">
        <f>IFERROR(INDEX(acm[],MATCH($C133,acm[[Country code]:[Country code]],0),MATCH(AT$1,acm[#Headers],0)),0)</f>
        <v>6.5955992816426945E-2</v>
      </c>
      <c r="AU133" s="33">
        <f>IFERROR(INDEX(acm[],MATCH($C133,acm[[Country code]:[Country code]],0),MATCH(AU$1,acm[#Headers],0)),0)</f>
        <v>9.2410300253510005E-2</v>
      </c>
      <c r="AV133" s="33">
        <f>IFERROR(INDEX(acm[],MATCH($C133,acm[[Country code]:[Country code]],0),MATCH(AV$1,acm[#Headers],0)),0)</f>
        <v>0.11340137220322517</v>
      </c>
      <c r="AW133" s="33">
        <f>IFERROR(INDEX(acm[],MATCH($C133,acm[[Country code]:[Country code]],0),MATCH(AW$1,acm[#Headers],0)),0)</f>
        <v>0.14518603818032744</v>
      </c>
      <c r="AX133" s="33">
        <f>IFERROR(VLOOKUP(lmic_raw[[#This Row],[num]],life_exp[[Country code]:[2015-2020]],2,FALSE),0)</f>
        <v>72.126000000000005</v>
      </c>
    </row>
    <row r="134" spans="1:50" x14ac:dyDescent="0.25">
      <c r="A134" s="109" t="s">
        <v>221</v>
      </c>
      <c r="B134" s="101" t="s">
        <v>539</v>
      </c>
      <c r="C134" s="102">
        <v>704</v>
      </c>
      <c r="D134" s="82" t="s">
        <v>681</v>
      </c>
      <c r="E134" s="82" t="s">
        <v>598</v>
      </c>
      <c r="F134" s="82" t="s">
        <v>666</v>
      </c>
      <c r="G134" s="82" t="s">
        <v>678</v>
      </c>
      <c r="H134" s="33">
        <f>VLOOKUP(lmic_raw[[#This Row],[num]],pop[[Country code]:[pop_20]],2,FALSE)*1000</f>
        <v>96462108</v>
      </c>
      <c r="I134" s="117">
        <f>IFERROR(VLOOKUP(lmic_raw[[#This Row],[num]],pop[[Country code]:[pop_20]],2,FALSE)*VLOOKUP(lmic_raw[[#This Row],[num]],b_rate[[Country code]:[2015-2020]],2,FALSE),0)</f>
        <v>1634550.4200599999</v>
      </c>
      <c r="J134">
        <f>IFERROR(MIN(VLOOKUP(lmic_raw[[#This Row],[iso3]],fac_b[],4,FALSE)/100,0.9999),0)</f>
        <v>0.93599999999999994</v>
      </c>
      <c r="K134" s="33">
        <f>VLOOKUP(lmic_raw[[#This Row],[iso3]],vax[[iso3]:[hbv3]],2,FALSE)/100</f>
        <v>0.79</v>
      </c>
      <c r="L134" s="33">
        <f>VLOOKUP(lmic_raw[[#This Row],[iso3]],vax[[iso3]:[hbv3]],3,FALSE)/100</f>
        <v>0.89</v>
      </c>
      <c r="M134">
        <f>IFERROR(VLOOKUP(lmic_raw[[#This Row],[iso3]], hbv_prev[[iso3]:[ub]],2,FALSE)/100,0)</f>
        <v>6.2400000000000004E-2</v>
      </c>
      <c r="N134">
        <f>IFERROR(VLOOKUP(lmic_raw[[#This Row],[setting]],hbe_prev[],3,FALSE),0)</f>
        <v>0.33293982634150898</v>
      </c>
      <c r="O134">
        <f>VLOOKUP(lmic_raw[[#This Row],[gbd_super]],hbe_risk[],2,FALSE)</f>
        <v>0.8</v>
      </c>
      <c r="P134" s="33">
        <f>VLOOKUP(lmic_raw[[#This Row],[gbd_super]],hbe_risk[],5,FALSE)</f>
        <v>0.17499999999999999</v>
      </c>
      <c r="Q134">
        <f>IFERROR(VLOOKUP(lmic_raw[[#This Row],[setting]],disease_costs!$A$4:$B$197,2,FALSE),0)</f>
        <v>3.6315263425038031</v>
      </c>
      <c r="R134">
        <f>IFERROR(VLOOKUP(lmic_raw[[#This Row],[gbd_super]],disease_costs!$G$4:$K$9,2,FALSE),0)</f>
        <v>73.084500000000006</v>
      </c>
      <c r="S134" s="33">
        <f>IFERROR(VLOOKUP(lmic_raw[[#This Row],[gbd_super]],disease_costs!$G$4:$K$9,3,FALSE),0)</f>
        <v>120.8265</v>
      </c>
      <c r="T134" s="33">
        <f>IFERROR(VLOOKUP(lmic_raw[[#This Row],[gbd_super]],disease_costs!$G$4:$K$9,4,FALSE),0)</f>
        <v>120.8265</v>
      </c>
      <c r="U134" s="33">
        <f>IFERROR(VLOOKUP(lmic_raw[[#This Row],[gbd_super]],disease_costs!$G$4:$K$9,5,FALSE),0)</f>
        <v>120.8265</v>
      </c>
      <c r="V134">
        <f>IFERROR(VLOOKUP(lmic_raw[[#This Row],[setting]],vcost[],3,FALSE),0)</f>
        <v>1.7052590348850647</v>
      </c>
      <c r="W134">
        <f>IFERROR(VLOOKUP(lmic_raw[[#This Row],[setting]],vcost[],4,FALSE),0)</f>
        <v>2.3352590348850648</v>
      </c>
      <c r="X134">
        <f>IFERROR(VLOOKUP(lmic_raw[[#This Row],[setting]],vcost[],5,FALSE),0)</f>
        <v>1.2710188507591487</v>
      </c>
      <c r="Y134">
        <f>IFERROR(VLOOKUP(lmic_raw[[#This Row],[setting]],vcost[],6,FALSE),0)</f>
        <v>1.9010188507591486</v>
      </c>
      <c r="Z134">
        <f>IFERROR(VLOOKUP(lmic_raw[[#This Row],[setting]],vcost[],7,FALSE),0)</f>
        <v>1.8942429992135907</v>
      </c>
      <c r="AA134">
        <f>IFERROR(VLOOKUP(lmic_raw[[#This Row],[setting]],vcost[],8,FALSE),0)</f>
        <v>1.950013514281639</v>
      </c>
      <c r="AB134">
        <f>IFERROR(VLOOKUP(lmic_raw[[#This Row],[setting]],vcost[],9,FALSE),0)</f>
        <v>2.5800135142816392</v>
      </c>
      <c r="AC134" s="33">
        <f>IFERROR(INDEX(acm[],MATCH($C134,acm[[Country code]:[Country code]],0),MATCH(AC$1,acm[#Headers],0)),0)</f>
        <v>1.6719989999999962E-2</v>
      </c>
      <c r="AD134" s="33">
        <f>IFERROR(INDEX(acm[],MATCH($C134,acm[[Country code]:[Country code]],0),MATCH(AD$1,acm[#Headers],0)),0)</f>
        <v>1.074007392868686E-3</v>
      </c>
      <c r="AE134" s="33">
        <f>IFERROR(INDEX(acm[],MATCH($C134,acm[[Country code]:[Country code]],0),MATCH(AE$1,acm[#Headers],0)),0)</f>
        <v>5.1986004761057371E-4</v>
      </c>
      <c r="AF134" s="33">
        <f>IFERROR(INDEX(acm[],MATCH($C134,acm[[Country code]:[Country code]],0),MATCH(AF$1,acm[#Headers],0)),0)</f>
        <v>4.6425695482473959E-4</v>
      </c>
      <c r="AG134" s="33">
        <f>IFERROR(INDEX(acm[],MATCH($C134,acm[[Country code]:[Country code]],0),MATCH(AG$1,acm[#Headers],0)),0)</f>
        <v>7.4709195853657256E-4</v>
      </c>
      <c r="AH134" s="33">
        <f>IFERROR(INDEX(acm[],MATCH($C134,acm[[Country code]:[Country code]],0),MATCH(AH$1,acm[#Headers],0)),0)</f>
        <v>1.0949769120276764E-3</v>
      </c>
      <c r="AI134" s="33">
        <f>IFERROR(INDEX(acm[],MATCH($C134,acm[[Country code]:[Country code]],0),MATCH(AI$1,acm[#Headers],0)),0)</f>
        <v>1.3478919967957097E-3</v>
      </c>
      <c r="AJ134" s="33">
        <f>IFERROR(INDEX(acm[],MATCH($C134,acm[[Country code]:[Country code]],0),MATCH(AJ$1,acm[#Headers],0)),0)</f>
        <v>1.5740664399944847E-3</v>
      </c>
      <c r="AK134" s="33">
        <f>IFERROR(INDEX(acm[],MATCH($C134,acm[[Country code]:[Country code]],0),MATCH(AK$1,acm[#Headers],0)),0)</f>
        <v>1.9469040335993407E-3</v>
      </c>
      <c r="AL134" s="33">
        <f>IFERROR(INDEX(acm[],MATCH($C134,acm[[Country code]:[Country code]],0),MATCH(AL$1,acm[#Headers],0)),0)</f>
        <v>2.7465583305660434E-3</v>
      </c>
      <c r="AM134" s="33">
        <f>IFERROR(INDEX(acm[],MATCH($C134,acm[[Country code]:[Country code]],0),MATCH(AM$1,acm[#Headers],0)),0)</f>
        <v>3.8466848305787659E-3</v>
      </c>
      <c r="AN134" s="33">
        <f>IFERROR(INDEX(acm[],MATCH($C134,acm[[Country code]:[Country code]],0),MATCH(AN$1,acm[#Headers],0)),0)</f>
        <v>6.0966317411740006E-3</v>
      </c>
      <c r="AO134" s="33">
        <f>IFERROR(INDEX(acm[],MATCH($C134,acm[[Country code]:[Country code]],0),MATCH(AO$1,acm[#Headers],0)),0)</f>
        <v>9.0932409918666086E-3</v>
      </c>
      <c r="AP134" s="33">
        <f>IFERROR(INDEX(acm[],MATCH($C134,acm[[Country code]:[Country code]],0),MATCH(AP$1,acm[#Headers],0)),0)</f>
        <v>1.2370075602446197E-2</v>
      </c>
      <c r="AQ134" s="33">
        <f>IFERROR(INDEX(acm[],MATCH($C134,acm[[Country code]:[Country code]],0),MATCH(AQ$1,acm[#Headers],0)),0)</f>
        <v>1.9666568842624615E-2</v>
      </c>
      <c r="AR134" s="33">
        <f>IFERROR(INDEX(acm[],MATCH($C134,acm[[Country code]:[Country code]],0),MATCH(AR$1,acm[#Headers],0)),0)</f>
        <v>2.8573098496802996E-2</v>
      </c>
      <c r="AS134" s="33">
        <f>IFERROR(INDEX(acm[],MATCH($C134,acm[[Country code]:[Country code]],0),MATCH(AS$1,acm[#Headers],0)),0)</f>
        <v>4.1358156500670547E-2</v>
      </c>
      <c r="AT134" s="33">
        <f>IFERROR(INDEX(acm[],MATCH($C134,acm[[Country code]:[Country code]],0),MATCH(AT$1,acm[#Headers],0)),0)</f>
        <v>5.8806692514714494E-2</v>
      </c>
      <c r="AU134" s="33">
        <f>IFERROR(INDEX(acm[],MATCH($C134,acm[[Country code]:[Country code]],0),MATCH(AU$1,acm[#Headers],0)),0)</f>
        <v>8.1261666688670561E-2</v>
      </c>
      <c r="AV134" s="33">
        <f>IFERROR(INDEX(acm[],MATCH($C134,acm[[Country code]:[Country code]],0),MATCH(AV$1,acm[#Headers],0)),0)</f>
        <v>0.10752480831792274</v>
      </c>
      <c r="AW134" s="33">
        <f>IFERROR(INDEX(acm[],MATCH($C134,acm[[Country code]:[Country code]],0),MATCH(AW$1,acm[#Headers],0)),0)</f>
        <v>0.13494558564392925</v>
      </c>
      <c r="AX134" s="33">
        <f>IFERROR(VLOOKUP(lmic_raw[[#This Row],[num]],life_exp[[Country code]:[2015-2020]],2,FALSE),0)</f>
        <v>75.274000000000001</v>
      </c>
    </row>
    <row r="135" spans="1:50" x14ac:dyDescent="0.25">
      <c r="A135" s="110" t="s">
        <v>182</v>
      </c>
      <c r="B135" s="104" t="s">
        <v>540</v>
      </c>
      <c r="C135" s="105">
        <v>887</v>
      </c>
      <c r="D135" s="84" t="s">
        <v>673</v>
      </c>
      <c r="E135" s="84" t="s">
        <v>579</v>
      </c>
      <c r="F135" s="84" t="s">
        <v>579</v>
      </c>
      <c r="G135" s="84" t="s">
        <v>674</v>
      </c>
      <c r="H135" s="33">
        <f>VLOOKUP(lmic_raw[[#This Row],[num]],pop[[Country code]:[pop_20]],2,FALSE)*1000</f>
        <v>29161922</v>
      </c>
      <c r="I135" s="117">
        <f>IFERROR(VLOOKUP(lmic_raw[[#This Row],[num]],pop[[Country code]:[pop_20]],2,FALSE)*VLOOKUP(lmic_raw[[#This Row],[num]],b_rate[[Country code]:[2015-2020]],2,FALSE),0)</f>
        <v>895475.13885400002</v>
      </c>
      <c r="J135">
        <f>IFERROR(MIN(VLOOKUP(lmic_raw[[#This Row],[iso3]],fac_b[],4,FALSE)/100,0.9999),0)</f>
        <v>0.29799999999999999</v>
      </c>
      <c r="K135" s="33">
        <f>VLOOKUP(lmic_raw[[#This Row],[iso3]],vax[[iso3]:[hbv3]],2,FALSE)/100</f>
        <v>0</v>
      </c>
      <c r="L135" s="33">
        <f>VLOOKUP(lmic_raw[[#This Row],[iso3]],vax[[iso3]:[hbv3]],3,FALSE)/100</f>
        <v>0.73</v>
      </c>
      <c r="M135">
        <f>IFERROR(VLOOKUP(lmic_raw[[#This Row],[iso3]], hbv_prev[[iso3]:[ub]],2,FALSE)/100,0)</f>
        <v>4.8899999999999999E-2</v>
      </c>
      <c r="N135">
        <f>IFERROR(VLOOKUP(lmic_raw[[#This Row],[setting]],hbe_prev[],3,FALSE),0)</f>
        <v>0.26474528561701743</v>
      </c>
      <c r="O135">
        <f>VLOOKUP(lmic_raw[[#This Row],[gbd_super]],hbe_risk[],2,FALSE)</f>
        <v>0.8</v>
      </c>
      <c r="P135" s="33">
        <f>VLOOKUP(lmic_raw[[#This Row],[gbd_super]],hbe_risk[],5,FALSE)</f>
        <v>0.17499999999999999</v>
      </c>
      <c r="Q135">
        <f>IFERROR(VLOOKUP(lmic_raw[[#This Row],[setting]],disease_costs!$A$4:$B$197,2,FALSE),0)</f>
        <v>4.3911455525978695</v>
      </c>
      <c r="R135">
        <f>IFERROR(VLOOKUP(lmic_raw[[#This Row],[gbd_super]],disease_costs!$G$4:$K$9,2,FALSE),0)</f>
        <v>46.335900000000002</v>
      </c>
      <c r="S135" s="33">
        <f>IFERROR(VLOOKUP(lmic_raw[[#This Row],[gbd_super]],disease_costs!$G$4:$K$9,3,FALSE),0)</f>
        <v>94.077900000000014</v>
      </c>
      <c r="T135" s="33">
        <f>IFERROR(VLOOKUP(lmic_raw[[#This Row],[gbd_super]],disease_costs!$G$4:$K$9,4,FALSE),0)</f>
        <v>94.077900000000014</v>
      </c>
      <c r="U135" s="33">
        <f>IFERROR(VLOOKUP(lmic_raw[[#This Row],[gbd_super]],disease_costs!$G$4:$K$9,5,FALSE),0)</f>
        <v>94.077900000000014</v>
      </c>
      <c r="V135">
        <f>IFERROR(VLOOKUP(lmic_raw[[#This Row],[setting]],vcost[],3,FALSE),0)</f>
        <v>1.3480996051170335</v>
      </c>
      <c r="W135">
        <f>IFERROR(VLOOKUP(lmic_raw[[#This Row],[setting]],vcost[],4,FALSE),0)</f>
        <v>1.8280996051170335</v>
      </c>
      <c r="X135">
        <f>IFERROR(VLOOKUP(lmic_raw[[#This Row],[setting]],vcost[],5,FALSE),0)</f>
        <v>0.9230218343247637</v>
      </c>
      <c r="Y135">
        <f>IFERROR(VLOOKUP(lmic_raw[[#This Row],[setting]],vcost[],6,FALSE),0)</f>
        <v>1.4030218343247638</v>
      </c>
      <c r="Z135">
        <f>IFERROR(VLOOKUP(lmic_raw[[#This Row],[setting]],vcost[],7,FALSE),0)</f>
        <v>1.4000602292984023</v>
      </c>
      <c r="AA135">
        <f>IFERROR(VLOOKUP(lmic_raw[[#This Row],[setting]],vcost[],8,FALSE),0)</f>
        <v>1.5895513541258988</v>
      </c>
      <c r="AB135">
        <f>IFERROR(VLOOKUP(lmic_raw[[#This Row],[setting]],vcost[],9,FALSE),0)</f>
        <v>2.069551354125899</v>
      </c>
      <c r="AC135" s="33">
        <f>IFERROR(INDEX(acm[],MATCH($C135,acm[[Country code]:[Country code]],0),MATCH(AC$1,acm[#Headers],0)),0)</f>
        <v>4.3243819999999975E-2</v>
      </c>
      <c r="AD135" s="33">
        <f>IFERROR(INDEX(acm[],MATCH($C135,acm[[Country code]:[Country code]],0),MATCH(AD$1,acm[#Headers],0)),0)</f>
        <v>3.1878628680506588E-3</v>
      </c>
      <c r="AE135" s="33">
        <f>IFERROR(INDEX(acm[],MATCH($C135,acm[[Country code]:[Country code]],0),MATCH(AE$1,acm[#Headers],0)),0)</f>
        <v>1.0755104394799659E-3</v>
      </c>
      <c r="AF135" s="33">
        <f>IFERROR(INDEX(acm[],MATCH($C135,acm[[Country code]:[Country code]],0),MATCH(AF$1,acm[#Headers],0)),0)</f>
        <v>8.2982149371977341E-4</v>
      </c>
      <c r="AG135" s="33">
        <f>IFERROR(INDEX(acm[],MATCH($C135,acm[[Country code]:[Country code]],0),MATCH(AG$1,acm[#Headers],0)),0)</f>
        <v>1.446398804521814E-3</v>
      </c>
      <c r="AH135" s="33">
        <f>IFERROR(INDEX(acm[],MATCH($C135,acm[[Country code]:[Country code]],0),MATCH(AH$1,acm[#Headers],0)),0)</f>
        <v>1.8867766078899048E-3</v>
      </c>
      <c r="AI135" s="33">
        <f>IFERROR(INDEX(acm[],MATCH($C135,acm[[Country code]:[Country code]],0),MATCH(AI$1,acm[#Headers],0)),0)</f>
        <v>2.0189155952171694E-3</v>
      </c>
      <c r="AJ135" s="33">
        <f>IFERROR(INDEX(acm[],MATCH($C135,acm[[Country code]:[Country code]],0),MATCH(AJ$1,acm[#Headers],0)),0)</f>
        <v>2.3586579614804717E-3</v>
      </c>
      <c r="AK135" s="33">
        <f>IFERROR(INDEX(acm[],MATCH($C135,acm[[Country code]:[Country code]],0),MATCH(AK$1,acm[#Headers],0)),0)</f>
        <v>3.054114436365872E-3</v>
      </c>
      <c r="AL135" s="33">
        <f>IFERROR(INDEX(acm[],MATCH($C135,acm[[Country code]:[Country code]],0),MATCH(AL$1,acm[#Headers],0)),0)</f>
        <v>4.1560499368770336E-3</v>
      </c>
      <c r="AM135" s="33">
        <f>IFERROR(INDEX(acm[],MATCH($C135,acm[[Country code]:[Country code]],0),MATCH(AM$1,acm[#Headers],0)),0)</f>
        <v>5.9924111580954504E-3</v>
      </c>
      <c r="AN135" s="33">
        <f>IFERROR(INDEX(acm[],MATCH($C135,acm[[Country code]:[Country code]],0),MATCH(AN$1,acm[#Headers],0)),0)</f>
        <v>8.8663325937431287E-3</v>
      </c>
      <c r="AO135" s="33">
        <f>IFERROR(INDEX(acm[],MATCH($C135,acm[[Country code]:[Country code]],0),MATCH(AO$1,acm[#Headers],0)),0)</f>
        <v>1.3350100903980642E-2</v>
      </c>
      <c r="AP135" s="33">
        <f>IFERROR(INDEX(acm[],MATCH($C135,acm[[Country code]:[Country code]],0),MATCH(AP$1,acm[#Headers],0)),0)</f>
        <v>2.0719238188878747E-2</v>
      </c>
      <c r="AQ135" s="33">
        <f>IFERROR(INDEX(acm[],MATCH($C135,acm[[Country code]:[Country code]],0),MATCH(AQ$1,acm[#Headers],0)),0)</f>
        <v>3.1931810153579147E-2</v>
      </c>
      <c r="AR135" s="33">
        <f>IFERROR(INDEX(acm[],MATCH($C135,acm[[Country code]:[Country code]],0),MATCH(AR$1,acm[#Headers],0)),0)</f>
        <v>4.9280370540045165E-2</v>
      </c>
      <c r="AS135" s="33">
        <f>IFERROR(INDEX(acm[],MATCH($C135,acm[[Country code]:[Country code]],0),MATCH(AS$1,acm[#Headers],0)),0)</f>
        <v>7.3902786181256466E-2</v>
      </c>
      <c r="AT135" s="33">
        <f>IFERROR(INDEX(acm[],MATCH($C135,acm[[Country code]:[Country code]],0),MATCH(AT$1,acm[#Headers],0)),0)</f>
        <v>0.10372426533424323</v>
      </c>
      <c r="AU135" s="33">
        <f>IFERROR(INDEX(acm[],MATCH($C135,acm[[Country code]:[Country code]],0),MATCH(AU$1,acm[#Headers],0)),0)</f>
        <v>0.13277904193486845</v>
      </c>
      <c r="AV135" s="33">
        <f>IFERROR(INDEX(acm[],MATCH($C135,acm[[Country code]:[Country code]],0),MATCH(AV$1,acm[#Headers],0)),0)</f>
        <v>0.15834114184673809</v>
      </c>
      <c r="AW135" s="33">
        <f>IFERROR(INDEX(acm[],MATCH($C135,acm[[Country code]:[Country code]],0),MATCH(AW$1,acm[#Headers],0)),0)</f>
        <v>0.17720592465305168</v>
      </c>
      <c r="AX135" s="33">
        <f>IFERROR(VLOOKUP(lmic_raw[[#This Row],[num]],life_exp[[Country code]:[2015-2020]],2,FALSE),0)</f>
        <v>66.033000000000001</v>
      </c>
    </row>
    <row r="136" spans="1:50" x14ac:dyDescent="0.25">
      <c r="A136" s="109" t="s">
        <v>119</v>
      </c>
      <c r="B136" s="101" t="s">
        <v>541</v>
      </c>
      <c r="C136" s="102">
        <v>894</v>
      </c>
      <c r="D136" s="82" t="s">
        <v>677</v>
      </c>
      <c r="E136" s="82" t="s">
        <v>597</v>
      </c>
      <c r="F136" s="82" t="s">
        <v>667</v>
      </c>
      <c r="G136" s="82" t="s">
        <v>678</v>
      </c>
      <c r="H136" s="33">
        <f>VLOOKUP(lmic_raw[[#This Row],[num]],pop[[Country code]:[pop_20]],2,FALSE)*1000</f>
        <v>17861034</v>
      </c>
      <c r="I136" s="117">
        <f>IFERROR(VLOOKUP(lmic_raw[[#This Row],[num]],pop[[Country code]:[pop_20]],2,FALSE)*VLOOKUP(lmic_raw[[#This Row],[num]],b_rate[[Country code]:[2015-2020]],2,FALSE),0)</f>
        <v>648051.89662200003</v>
      </c>
      <c r="J136">
        <f>IFERROR(MIN(VLOOKUP(lmic_raw[[#This Row],[iso3]],fac_b[],4,FALSE)/100,0.9999),0)</f>
        <v>0.83799999999999997</v>
      </c>
      <c r="K136" s="33">
        <f>VLOOKUP(lmic_raw[[#This Row],[iso3]],vax[[iso3]:[hbv3]],2,FALSE)/100</f>
        <v>0.94</v>
      </c>
      <c r="L136" s="33">
        <f>VLOOKUP(lmic_raw[[#This Row],[iso3]],vax[[iso3]:[hbv3]],3,FALSE)/100</f>
        <v>0.88</v>
      </c>
      <c r="M136">
        <f>IFERROR(VLOOKUP(lmic_raw[[#This Row],[iso3]], hbv_prev[[iso3]:[ub]],2,FALSE)/100,0)</f>
        <v>4.0599999999999997E-2</v>
      </c>
      <c r="N136">
        <f>IFERROR(VLOOKUP(lmic_raw[[#This Row],[setting]],hbe_prev[],3,FALSE),0)</f>
        <v>0.29477307241722039</v>
      </c>
      <c r="O136">
        <f>VLOOKUP(lmic_raw[[#This Row],[gbd_super]],hbe_risk[],2,FALSE)</f>
        <v>0.38300000000000001</v>
      </c>
      <c r="P136" s="33">
        <f>VLOOKUP(lmic_raw[[#This Row],[gbd_super]],hbe_risk[],5,FALSE)</f>
        <v>4.8000000000000001E-2</v>
      </c>
      <c r="Q136">
        <f>IFERROR(VLOOKUP(lmic_raw[[#This Row],[setting]],disease_costs!$A$4:$B$197,2,FALSE),0)</f>
        <v>3.26358578761449</v>
      </c>
      <c r="R136">
        <f>IFERROR(VLOOKUP(lmic_raw[[#This Row],[gbd_super]],disease_costs!$G$4:$K$9,2,FALSE),0)</f>
        <v>29.920500000000001</v>
      </c>
      <c r="S136" s="33">
        <f>IFERROR(VLOOKUP(lmic_raw[[#This Row],[gbd_super]],disease_costs!$G$4:$K$9,3,FALSE),0)</f>
        <v>77.662500000000009</v>
      </c>
      <c r="T136" s="33">
        <f>IFERROR(VLOOKUP(lmic_raw[[#This Row],[gbd_super]],disease_costs!$G$4:$K$9,4,FALSE),0)</f>
        <v>77.662500000000009</v>
      </c>
      <c r="U136" s="33">
        <f>IFERROR(VLOOKUP(lmic_raw[[#This Row],[gbd_super]],disease_costs!$G$4:$K$9,5,FALSE),0)</f>
        <v>77.662500000000009</v>
      </c>
      <c r="V136">
        <f>IFERROR(VLOOKUP(lmic_raw[[#This Row],[setting]],vcost[],3,FALSE),0)</f>
        <v>2.9050076754459182</v>
      </c>
      <c r="W136">
        <f>IFERROR(VLOOKUP(lmic_raw[[#This Row],[setting]],vcost[],4,FALSE),0)</f>
        <v>7.7350076754459183</v>
      </c>
      <c r="X136">
        <f>IFERROR(VLOOKUP(lmic_raw[[#This Row],[setting]],vcost[],5,FALSE),0)</f>
        <v>2.4790762376889317</v>
      </c>
      <c r="Y136">
        <f>IFERROR(VLOOKUP(lmic_raw[[#This Row],[setting]],vcost[],6,FALSE),0)</f>
        <v>7.3090762376889318</v>
      </c>
      <c r="Z136">
        <f>IFERROR(VLOOKUP(lmic_raw[[#This Row],[setting]],vcost[],7,FALSE),0)</f>
        <v>7.3056735113802382</v>
      </c>
      <c r="AA136">
        <f>IFERROR(VLOOKUP(lmic_raw[[#This Row],[setting]],vcost[],8,FALSE),0)</f>
        <v>3.1467671416164835</v>
      </c>
      <c r="AB136">
        <f>IFERROR(VLOOKUP(lmic_raw[[#This Row],[setting]],vcost[],9,FALSE),0)</f>
        <v>7.9767671416164836</v>
      </c>
      <c r="AC136" s="33">
        <f>IFERROR(INDEX(acm[],MATCH($C136,acm[[Country code]:[Country code]],0),MATCH(AC$1,acm[#Headers],0)),0)</f>
        <v>4.562187000000005E-2</v>
      </c>
      <c r="AD136" s="33">
        <f>IFERROR(INDEX(acm[],MATCH($C136,acm[[Country code]:[Country code]],0),MATCH(AD$1,acm[#Headers],0)),0)</f>
        <v>3.9584650792448229E-3</v>
      </c>
      <c r="AE136" s="33">
        <f>IFERROR(INDEX(acm[],MATCH($C136,acm[[Country code]:[Country code]],0),MATCH(AE$1,acm[#Headers],0)),0)</f>
        <v>1.1583547777231982E-3</v>
      </c>
      <c r="AF136" s="33">
        <f>IFERROR(INDEX(acm[],MATCH($C136,acm[[Country code]:[Country code]],0),MATCH(AF$1,acm[#Headers],0)),0)</f>
        <v>9.1470513016646152E-4</v>
      </c>
      <c r="AG136" s="33">
        <f>IFERROR(INDEX(acm[],MATCH($C136,acm[[Country code]:[Country code]],0),MATCH(AG$1,acm[#Headers],0)),0)</f>
        <v>1.531452003082653E-3</v>
      </c>
      <c r="AH136" s="33">
        <f>IFERROR(INDEX(acm[],MATCH($C136,acm[[Country code]:[Country code]],0),MATCH(AH$1,acm[#Headers],0)),0)</f>
        <v>2.4741698327244675E-3</v>
      </c>
      <c r="AI136" s="33">
        <f>IFERROR(INDEX(acm[],MATCH($C136,acm[[Country code]:[Country code]],0),MATCH(AI$1,acm[#Headers],0)),0)</f>
        <v>3.4911013295935273E-3</v>
      </c>
      <c r="AJ136" s="33">
        <f>IFERROR(INDEX(acm[],MATCH($C136,acm[[Country code]:[Country code]],0),MATCH(AJ$1,acm[#Headers],0)),0)</f>
        <v>4.6009529940942706E-3</v>
      </c>
      <c r="AK136" s="33">
        <f>IFERROR(INDEX(acm[],MATCH($C136,acm[[Country code]:[Country code]],0),MATCH(AK$1,acm[#Headers],0)),0)</f>
        <v>6.1717718734134166E-3</v>
      </c>
      <c r="AL136" s="33">
        <f>IFERROR(INDEX(acm[],MATCH($C136,acm[[Country code]:[Country code]],0),MATCH(AL$1,acm[#Headers],0)),0)</f>
        <v>7.6011520993801212E-3</v>
      </c>
      <c r="AM136" s="33">
        <f>IFERROR(INDEX(acm[],MATCH($C136,acm[[Country code]:[Country code]],0),MATCH(AM$1,acm[#Headers],0)),0)</f>
        <v>9.3461649765706496E-3</v>
      </c>
      <c r="AN136" s="33">
        <f>IFERROR(INDEX(acm[],MATCH($C136,acm[[Country code]:[Country code]],0),MATCH(AN$1,acm[#Headers],0)),0)</f>
        <v>1.2159368343164913E-2</v>
      </c>
      <c r="AO136" s="33">
        <f>IFERROR(INDEX(acm[],MATCH($C136,acm[[Country code]:[Country code]],0),MATCH(AO$1,acm[#Headers],0)),0)</f>
        <v>1.5391839618814176E-2</v>
      </c>
      <c r="AP136" s="33">
        <f>IFERROR(INDEX(acm[],MATCH($C136,acm[[Country code]:[Country code]],0),MATCH(AP$1,acm[#Headers],0)),0)</f>
        <v>2.1392777652369688E-2</v>
      </c>
      <c r="AQ136" s="33">
        <f>IFERROR(INDEX(acm[],MATCH($C136,acm[[Country code]:[Country code]],0),MATCH(AQ$1,acm[#Headers],0)),0)</f>
        <v>3.1143819134226772E-2</v>
      </c>
      <c r="AR136" s="33">
        <f>IFERROR(INDEX(acm[],MATCH($C136,acm[[Country code]:[Country code]],0),MATCH(AR$1,acm[#Headers],0)),0)</f>
        <v>4.631751204944709E-2</v>
      </c>
      <c r="AS136" s="33">
        <f>IFERROR(INDEX(acm[],MATCH($C136,acm[[Country code]:[Country code]],0),MATCH(AS$1,acm[#Headers],0)),0)</f>
        <v>6.8688758505868031E-2</v>
      </c>
      <c r="AT136" s="33">
        <f>IFERROR(INDEX(acm[],MATCH($C136,acm[[Country code]:[Country code]],0),MATCH(AT$1,acm[#Headers],0)),0)</f>
        <v>0.10188175021677477</v>
      </c>
      <c r="AU136" s="33">
        <f>IFERROR(INDEX(acm[],MATCH($C136,acm[[Country code]:[Country code]],0),MATCH(AU$1,acm[#Headers],0)),0)</f>
        <v>0.14150118876299858</v>
      </c>
      <c r="AV136" s="33">
        <f>IFERROR(INDEX(acm[],MATCH($C136,acm[[Country code]:[Country code]],0),MATCH(AV$1,acm[#Headers],0)),0)</f>
        <v>0.17482671250688042</v>
      </c>
      <c r="AW136" s="33">
        <f>IFERROR(INDEX(acm[],MATCH($C136,acm[[Country code]:[Country code]],0),MATCH(AW$1,acm[#Headers],0)),0)</f>
        <v>0.18744568488376726</v>
      </c>
      <c r="AX136" s="33">
        <f>IFERROR(VLOOKUP(lmic_raw[[#This Row],[num]],life_exp[[Country code]:[2015-2020]],2,FALSE),0)</f>
        <v>63.258000000000003</v>
      </c>
    </row>
    <row r="137" spans="1:50" x14ac:dyDescent="0.25">
      <c r="A137" s="111" t="s">
        <v>120</v>
      </c>
      <c r="B137" s="104" t="s">
        <v>542</v>
      </c>
      <c r="C137" s="105">
        <v>716</v>
      </c>
      <c r="D137" s="84" t="s">
        <v>677</v>
      </c>
      <c r="E137" s="84" t="s">
        <v>594</v>
      </c>
      <c r="F137" s="84" t="s">
        <v>667</v>
      </c>
      <c r="G137" s="84" t="s">
        <v>678</v>
      </c>
      <c r="H137" s="33">
        <f>VLOOKUP(lmic_raw[[#This Row],[num]],pop[[Country code]:[pop_20]],2,FALSE)*1000</f>
        <v>14645473</v>
      </c>
      <c r="I137" s="117">
        <f>IFERROR(VLOOKUP(lmic_raw[[#This Row],[num]],pop[[Country code]:[pop_20]],2,FALSE)*VLOOKUP(lmic_raw[[#This Row],[num]],b_rate[[Country code]:[2015-2020]],2,FALSE),0)</f>
        <v>451739.61468499998</v>
      </c>
      <c r="J137">
        <f>IFERROR(MIN(VLOOKUP(lmic_raw[[#This Row],[iso3]],fac_b[],4,FALSE)/100,0.9999),0)</f>
        <v>0.85499999999999998</v>
      </c>
      <c r="K137" s="33">
        <f>VLOOKUP(lmic_raw[[#This Row],[iso3]],vax[[iso3]:[hbv3]],2,FALSE)/100</f>
        <v>0</v>
      </c>
      <c r="L137" s="33">
        <f>VLOOKUP(lmic_raw[[#This Row],[iso3]],vax[[iso3]:[hbv3]],3,FALSE)/100</f>
        <v>0.9</v>
      </c>
      <c r="M137">
        <f>IFERROR(VLOOKUP(lmic_raw[[#This Row],[iso3]], hbv_prev[[iso3]:[ub]],2,FALSE)/100,0)</f>
        <v>0.10050000000000001</v>
      </c>
      <c r="N137">
        <f>IFERROR(VLOOKUP(lmic_raw[[#This Row],[setting]],hbe_prev[],3,FALSE),0)</f>
        <v>0.26470111064233304</v>
      </c>
      <c r="O137">
        <f>VLOOKUP(lmic_raw[[#This Row],[gbd_super]],hbe_risk[],2,FALSE)</f>
        <v>0.38300000000000001</v>
      </c>
      <c r="P137" s="33">
        <f>VLOOKUP(lmic_raw[[#This Row],[gbd_super]],hbe_risk[],5,FALSE)</f>
        <v>4.8000000000000001E-2</v>
      </c>
      <c r="Q137" s="118">
        <f>IFERROR(VLOOKUP(lmic_raw[[#This Row],[setting]],disease_costs!$A$4:$B$197,2,FALSE),0)</f>
        <v>0</v>
      </c>
      <c r="R137">
        <f>IFERROR(VLOOKUP(lmic_raw[[#This Row],[gbd_super]],disease_costs!$G$4:$K$9,2,FALSE),0)</f>
        <v>29.920500000000001</v>
      </c>
      <c r="S137" s="33">
        <f>IFERROR(VLOOKUP(lmic_raw[[#This Row],[gbd_super]],disease_costs!$G$4:$K$9,3,FALSE),0)</f>
        <v>77.662500000000009</v>
      </c>
      <c r="T137" s="33">
        <f>IFERROR(VLOOKUP(lmic_raw[[#This Row],[gbd_super]],disease_costs!$G$4:$K$9,4,FALSE),0)</f>
        <v>77.662500000000009</v>
      </c>
      <c r="U137" s="33">
        <f>IFERROR(VLOOKUP(lmic_raw[[#This Row],[gbd_super]],disease_costs!$G$4:$K$9,5,FALSE),0)</f>
        <v>77.662500000000009</v>
      </c>
      <c r="V137">
        <f>IFERROR(VLOOKUP(lmic_raw[[#This Row],[setting]],vcost[],3,FALSE),0)</f>
        <v>3.1631184546252995</v>
      </c>
      <c r="W137">
        <f>IFERROR(VLOOKUP(lmic_raw[[#This Row],[setting]],vcost[],4,FALSE),0)</f>
        <v>7.9931184546253</v>
      </c>
      <c r="X137">
        <f>IFERROR(VLOOKUP(lmic_raw[[#This Row],[setting]],vcost[],5,FALSE),0)</f>
        <v>2.7368627760693824</v>
      </c>
      <c r="Y137">
        <f>IFERROR(VLOOKUP(lmic_raw[[#This Row],[setting]],vcost[],6,FALSE),0)</f>
        <v>7.5668627760693825</v>
      </c>
      <c r="Z137">
        <f>IFERROR(VLOOKUP(lmic_raw[[#This Row],[setting]],vcost[],7,FALSE),0)</f>
        <v>7.5636208492286556</v>
      </c>
      <c r="AA137">
        <f>IFERROR(VLOOKUP(lmic_raw[[#This Row],[setting]],vcost[],8,FALSE),0)</f>
        <v>3.4049947982931541</v>
      </c>
      <c r="AB137">
        <f>IFERROR(VLOOKUP(lmic_raw[[#This Row],[setting]],vcost[],9,FALSE),0)</f>
        <v>8.2349947982931546</v>
      </c>
      <c r="AC137" s="33">
        <f>IFERROR(INDEX(acm[],MATCH($C137,acm[[Country code]:[Country code]],0),MATCH(AC$1,acm[#Headers],0)),0)</f>
        <v>3.875650999999998E-2</v>
      </c>
      <c r="AD137" s="33">
        <f>IFERROR(INDEX(acm[],MATCH($C137,acm[[Country code]:[Country code]],0),MATCH(AD$1,acm[#Headers],0)),0)</f>
        <v>3.2526800259526263E-3</v>
      </c>
      <c r="AE137" s="33">
        <f>IFERROR(INDEX(acm[],MATCH($C137,acm[[Country code]:[Country code]],0),MATCH(AE$1,acm[#Headers],0)),0)</f>
        <v>1.0638522358914809E-3</v>
      </c>
      <c r="AF137" s="33">
        <f>IFERROR(INDEX(acm[],MATCH($C137,acm[[Country code]:[Country code]],0),MATCH(AF$1,acm[#Headers],0)),0)</f>
        <v>9.1060157396529416E-4</v>
      </c>
      <c r="AG137" s="33">
        <f>IFERROR(INDEX(acm[],MATCH($C137,acm[[Country code]:[Country code]],0),MATCH(AG$1,acm[#Headers],0)),0)</f>
        <v>1.5706660873143156E-3</v>
      </c>
      <c r="AH137" s="33">
        <f>IFERROR(INDEX(acm[],MATCH($C137,acm[[Country code]:[Country code]],0),MATCH(AH$1,acm[#Headers],0)),0)</f>
        <v>2.8353147933742433E-3</v>
      </c>
      <c r="AI137" s="33">
        <f>IFERROR(INDEX(acm[],MATCH($C137,acm[[Country code]:[Country code]],0),MATCH(AI$1,acm[#Headers],0)),0)</f>
        <v>4.8215242159902784E-3</v>
      </c>
      <c r="AJ137" s="33">
        <f>IFERROR(INDEX(acm[],MATCH($C137,acm[[Country code]:[Country code]],0),MATCH(AJ$1,acm[#Headers],0)),0)</f>
        <v>6.8929795141483155E-3</v>
      </c>
      <c r="AK137" s="33">
        <f>IFERROR(INDEX(acm[],MATCH($C137,acm[[Country code]:[Country code]],0),MATCH(AK$1,acm[#Headers],0)),0)</f>
        <v>9.6863229863942257E-3</v>
      </c>
      <c r="AL137" s="33">
        <f>IFERROR(INDEX(acm[],MATCH($C137,acm[[Country code]:[Country code]],0),MATCH(AL$1,acm[#Headers],0)),0)</f>
        <v>1.1323427399634064E-2</v>
      </c>
      <c r="AM137" s="33">
        <f>IFERROR(INDEX(acm[],MATCH($C137,acm[[Country code]:[Country code]],0),MATCH(AM$1,acm[#Headers],0)),0)</f>
        <v>1.3401073426724686E-2</v>
      </c>
      <c r="AN137" s="33">
        <f>IFERROR(INDEX(acm[],MATCH($C137,acm[[Country code]:[Country code]],0),MATCH(AN$1,acm[#Headers],0)),0)</f>
        <v>1.6031317582619459E-2</v>
      </c>
      <c r="AO137" s="33">
        <f>IFERROR(INDEX(acm[],MATCH($C137,acm[[Country code]:[Country code]],0),MATCH(AO$1,acm[#Headers],0)),0)</f>
        <v>1.9157607118950946E-2</v>
      </c>
      <c r="AP137" s="33">
        <f>IFERROR(INDEX(acm[],MATCH($C137,acm[[Country code]:[Country code]],0),MATCH(AP$1,acm[#Headers],0)),0)</f>
        <v>2.4843485887357467E-2</v>
      </c>
      <c r="AQ137" s="33">
        <f>IFERROR(INDEX(acm[],MATCH($C137,acm[[Country code]:[Country code]],0),MATCH(AQ$1,acm[#Headers],0)),0)</f>
        <v>3.4380513825671297E-2</v>
      </c>
      <c r="AR137" s="33">
        <f>IFERROR(INDEX(acm[],MATCH($C137,acm[[Country code]:[Country code]],0),MATCH(AR$1,acm[#Headers],0)),0)</f>
        <v>4.927703836195485E-2</v>
      </c>
      <c r="AS137" s="33">
        <f>IFERROR(INDEX(acm[],MATCH($C137,acm[[Country code]:[Country code]],0),MATCH(AS$1,acm[#Headers],0)),0)</f>
        <v>7.1001716925981367E-2</v>
      </c>
      <c r="AT137" s="33">
        <f>IFERROR(INDEX(acm[],MATCH($C137,acm[[Country code]:[Country code]],0),MATCH(AT$1,acm[#Headers],0)),0)</f>
        <v>0.10392577378203825</v>
      </c>
      <c r="AU137" s="33">
        <f>IFERROR(INDEX(acm[],MATCH($C137,acm[[Country code]:[Country code]],0),MATCH(AU$1,acm[#Headers],0)),0)</f>
        <v>0.14303205028467894</v>
      </c>
      <c r="AV137" s="33">
        <f>IFERROR(INDEX(acm[],MATCH($C137,acm[[Country code]:[Country code]],0),MATCH(AV$1,acm[#Headers],0)),0)</f>
        <v>0.17373202878536326</v>
      </c>
      <c r="AW137" s="33">
        <f>IFERROR(INDEX(acm[],MATCH($C137,acm[[Country code]:[Country code]],0),MATCH(AW$1,acm[#Headers],0)),0)</f>
        <v>0.18559452784452807</v>
      </c>
      <c r="AX137" s="33">
        <f>IFERROR(VLOOKUP(lmic_raw[[#This Row],[num]],life_exp[[Country code]:[2015-2020]],2,FALSE),0)</f>
        <v>60.832999999999998</v>
      </c>
    </row>
    <row r="139" spans="1:50" x14ac:dyDescent="0.25">
      <c r="A139" s="88" t="s">
        <v>668</v>
      </c>
      <c r="B139" s="88" t="s">
        <v>571</v>
      </c>
      <c r="C139" s="88" t="s">
        <v>669</v>
      </c>
      <c r="D139" s="123" t="s">
        <v>670</v>
      </c>
      <c r="E139" s="108" t="s">
        <v>575</v>
      </c>
      <c r="F139" s="108" t="s">
        <v>671</v>
      </c>
      <c r="G139" s="108" t="s">
        <v>672</v>
      </c>
      <c r="H139" s="108" t="s">
        <v>685</v>
      </c>
      <c r="I139" s="108" t="s">
        <v>686</v>
      </c>
      <c r="J139" s="108" t="s">
        <v>687</v>
      </c>
      <c r="K139" s="108" t="s">
        <v>688</v>
      </c>
      <c r="L139" s="108" t="s">
        <v>689</v>
      </c>
      <c r="M139" s="108" t="s">
        <v>690</v>
      </c>
      <c r="N139" s="108" t="s">
        <v>691</v>
      </c>
      <c r="O139" s="108" t="s">
        <v>657</v>
      </c>
      <c r="P139" s="108" t="s">
        <v>660</v>
      </c>
      <c r="Q139" s="108" t="s">
        <v>692</v>
      </c>
      <c r="R139" s="108" t="s">
        <v>693</v>
      </c>
      <c r="S139" s="108" t="s">
        <v>694</v>
      </c>
      <c r="T139" s="108" t="s">
        <v>695</v>
      </c>
      <c r="U139" s="108" t="s">
        <v>696</v>
      </c>
      <c r="V139" s="108" t="s">
        <v>697</v>
      </c>
      <c r="W139" s="108" t="s">
        <v>698</v>
      </c>
      <c r="X139" s="108" t="s">
        <v>699</v>
      </c>
      <c r="Y139" s="108" t="s">
        <v>700</v>
      </c>
      <c r="Z139" s="108" t="s">
        <v>701</v>
      </c>
      <c r="AA139" s="108" t="s">
        <v>702</v>
      </c>
      <c r="AB139" s="108" t="s">
        <v>703</v>
      </c>
      <c r="AC139" s="108" t="s">
        <v>544</v>
      </c>
      <c r="AD139" s="108" t="s">
        <v>545</v>
      </c>
      <c r="AE139" s="108" t="s">
        <v>546</v>
      </c>
      <c r="AF139" s="108" t="s">
        <v>547</v>
      </c>
      <c r="AG139" s="108" t="s">
        <v>548</v>
      </c>
      <c r="AH139" s="108" t="s">
        <v>549</v>
      </c>
      <c r="AI139" s="108" t="s">
        <v>550</v>
      </c>
      <c r="AJ139" s="108" t="s">
        <v>551</v>
      </c>
      <c r="AK139" s="108" t="s">
        <v>552</v>
      </c>
      <c r="AL139" s="108" t="s">
        <v>553</v>
      </c>
      <c r="AM139" s="108" t="s">
        <v>554</v>
      </c>
      <c r="AN139" s="108" t="s">
        <v>555</v>
      </c>
      <c r="AO139" s="108" t="s">
        <v>556</v>
      </c>
      <c r="AP139" s="108" t="s">
        <v>557</v>
      </c>
      <c r="AQ139" s="108" t="s">
        <v>558</v>
      </c>
      <c r="AR139" s="108" t="s">
        <v>559</v>
      </c>
      <c r="AS139" s="108" t="s">
        <v>560</v>
      </c>
      <c r="AT139" s="108" t="s">
        <v>561</v>
      </c>
      <c r="AU139" s="108" t="s">
        <v>562</v>
      </c>
      <c r="AV139" s="108" t="s">
        <v>563</v>
      </c>
      <c r="AW139" s="108" t="s">
        <v>564</v>
      </c>
      <c r="AX139" s="108" t="s">
        <v>704</v>
      </c>
    </row>
    <row r="140" spans="1:50" x14ac:dyDescent="0.25">
      <c r="A140" s="109" t="s">
        <v>191</v>
      </c>
      <c r="B140" s="101" t="s">
        <v>369</v>
      </c>
      <c r="C140" s="102">
        <v>4</v>
      </c>
      <c r="D140" s="121" t="s">
        <v>673</v>
      </c>
      <c r="E140" s="98" t="s">
        <v>579</v>
      </c>
      <c r="F140" s="98" t="s">
        <v>579</v>
      </c>
      <c r="G140" s="98" t="s">
        <v>674</v>
      </c>
      <c r="H140" s="98">
        <f>VLOOKUP(lmic_raw_lb[[#This Row],[setting]],lmic_raw[],8,FALSE)</f>
        <v>38041757</v>
      </c>
      <c r="I140" s="98">
        <f>VLOOKUP(lmic_raw_lb[[#This Row],[setting]],lmic_raw[],9,FALSE)</f>
        <v>1249899.967992</v>
      </c>
      <c r="J140" s="98">
        <f>VLOOKUP($A140,lmic_raw[],10,FALSE)*(1-interactive!$C$7)</f>
        <v>0.53484999999999994</v>
      </c>
      <c r="K140" s="98">
        <f>VLOOKUP($A140,lmic_raw[],11,FALSE)*(1-interactive!$C$7)</f>
        <v>0.35149999999999998</v>
      </c>
      <c r="L140" s="98">
        <f>VLOOKUP($A140,lmic_raw[],12,FALSE)*(1-interactive!$C$7)</f>
        <v>0.627</v>
      </c>
      <c r="M140" s="98">
        <f>IFERROR(VLOOKUP(lmic_raw_lb[[#This Row],[iso3]], hbv_prev[[iso3]:[ub]],3,FALSE)/100,0)</f>
        <v>7.1999999999999998E-3</v>
      </c>
      <c r="N140" s="33">
        <f>IFERROR(VLOOKUP(lmic_raw_lb[[#This Row],[setting]],hbe_prev[],4,FALSE),0)</f>
        <v>0.14980000000000002</v>
      </c>
      <c r="O140" s="33">
        <f>VLOOKUP(lmic_raw_lb[[#This Row],[gbd_super]],hbe_risk[],3,FALSE)</f>
        <v>0.7</v>
      </c>
      <c r="P140" s="33">
        <f>VLOOKUP(lmic_raw_lb[[#This Row],[gbd_super]],hbe_risk[],6,FALSE)</f>
        <v>0.05</v>
      </c>
      <c r="Q140" s="98">
        <f>VLOOKUP(lmic_raw_lb[[#This Row],[setting]],lmic_raw[],17,FALSE)*(1-interactive!$C$7)</f>
        <v>2.1870830885972277</v>
      </c>
      <c r="R140" s="98">
        <f>VLOOKUP(lmic_raw_lb[[#This Row],[setting]],lmic_raw[],18,FALSE)*(1-interactive!$C$7)</f>
        <v>44.019105000000003</v>
      </c>
      <c r="S140" s="98">
        <f>VLOOKUP(lmic_raw_lb[[#This Row],[setting]],lmic_raw[],19,FALSE)*(1-interactive!$C$7)</f>
        <v>89.374005000000011</v>
      </c>
      <c r="T140" s="98">
        <f>VLOOKUP(lmic_raw_lb[[#This Row],[setting]],lmic_raw[],20,FALSE)*(1-interactive!$C$7)</f>
        <v>89.374005000000011</v>
      </c>
      <c r="U140" s="98">
        <f>VLOOKUP(lmic_raw_lb[[#This Row],[setting]],lmic_raw[],21,FALSE)*(1-interactive!$C$7)</f>
        <v>89.374005000000011</v>
      </c>
      <c r="V140" s="33">
        <f>IFERROR(VLOOKUP(lmic_raw_lb[[#This Row],[setting]],vcost_lb[],3,FALSE),0)</f>
        <v>0.57284939743872676</v>
      </c>
      <c r="W140" s="33">
        <f>IFERROR(VLOOKUP(lmic_raw_lb[[#This Row],[setting]],vcost_lb[],4,FALSE),0)</f>
        <v>1.0284693974387267</v>
      </c>
      <c r="X140" s="33">
        <f>IFERROR(VLOOKUP(lmic_raw_lb[[#This Row],[setting]],vcost_lb[],5,FALSE),0)</f>
        <v>0.2088396495950465</v>
      </c>
      <c r="Y140" s="33">
        <f>IFERROR(VLOOKUP(lmic_raw_lb[[#This Row],[setting]],vcost_lb[],6,FALSE),0)</f>
        <v>0.66445964959504655</v>
      </c>
      <c r="Z140" s="33">
        <f>IFERROR(VLOOKUP(lmic_raw_lb[[#This Row],[setting]],vcost_lb[],7,FALSE),0)</f>
        <v>0.66306774899531362</v>
      </c>
      <c r="AA140" s="33">
        <f>IFERROR(VLOOKUP(lmic_raw_lb[[#This Row],[setting]],vcost_lb[],8,FALSE),0)</f>
        <v>0.78349510675023049</v>
      </c>
      <c r="AB140" s="33">
        <f>IFERROR(VLOOKUP(lmic_raw_lb[[#This Row],[setting]],vcost_lb[],9,FALSE),0)</f>
        <v>1.2391151067502304</v>
      </c>
      <c r="AC140" s="98">
        <f>VLOOKUP($A140,lmic_raw[],29,FALSE)*(1-interactive!$C$7)</f>
        <v>4.9120624000000036E-2</v>
      </c>
      <c r="AD140" s="98">
        <f>VLOOKUP($A140,lmic_raw[],30,FALSE)*(1-interactive!$C$7)</f>
        <v>4.0475832665748312E-3</v>
      </c>
      <c r="AE140" s="98">
        <f>VLOOKUP($A140,lmic_raw[],31,FALSE)*(1-interactive!$C$7)</f>
        <v>1.2562550903421946E-3</v>
      </c>
      <c r="AF140" s="98">
        <f>VLOOKUP($A140,lmic_raw[],32,FALSE)*(1-interactive!$C$7)</f>
        <v>9.8832577325858105E-4</v>
      </c>
      <c r="AG140" s="98">
        <f>VLOOKUP($A140,lmic_raw[],33,FALSE)*(1-interactive!$C$7)</f>
        <v>1.5937485090018349E-3</v>
      </c>
      <c r="AH140" s="98">
        <f>VLOOKUP($A140,lmic_raw[],34,FALSE)*(1-interactive!$C$7)</f>
        <v>2.2207789992641841E-3</v>
      </c>
      <c r="AI140" s="98">
        <f>VLOOKUP($A140,lmic_raw[],35,FALSE)*(1-interactive!$C$7)</f>
        <v>2.4186840370301011E-3</v>
      </c>
      <c r="AJ140" s="98">
        <f>VLOOKUP($A140,lmic_raw[],36,FALSE)*(1-interactive!$C$7)</f>
        <v>2.7687203549625491E-3</v>
      </c>
      <c r="AK140" s="98">
        <f>VLOOKUP($A140,lmic_raw[],37,FALSE)*(1-interactive!$C$7)</f>
        <v>3.4285849844365602E-3</v>
      </c>
      <c r="AL140" s="98">
        <f>VLOOKUP($A140,lmic_raw[],38,FALSE)*(1-interactive!$C$7)</f>
        <v>4.5264417542140289E-3</v>
      </c>
      <c r="AM140" s="98">
        <f>VLOOKUP($A140,lmic_raw[],39,FALSE)*(1-interactive!$C$7)</f>
        <v>6.3359280504008799E-3</v>
      </c>
      <c r="AN140" s="98">
        <f>VLOOKUP($A140,lmic_raw[],40,FALSE)*(1-interactive!$C$7)</f>
        <v>9.2255564240715168E-3</v>
      </c>
      <c r="AO140" s="98">
        <f>VLOOKUP($A140,lmic_raw[],41,FALSE)*(1-interactive!$C$7)</f>
        <v>1.3603326594448448E-2</v>
      </c>
      <c r="AP140" s="98">
        <f>VLOOKUP($A140,lmic_raw[],42,FALSE)*(1-interactive!$C$7)</f>
        <v>2.0497586203941633E-2</v>
      </c>
      <c r="AQ140" s="98">
        <f>VLOOKUP($A140,lmic_raw[],43,FALSE)*(1-interactive!$C$7)</f>
        <v>3.0872546857944796E-2</v>
      </c>
      <c r="AR140" s="98">
        <f>VLOOKUP($A140,lmic_raw[],44,FALSE)*(1-interactive!$C$7)</f>
        <v>4.7064547908596689E-2</v>
      </c>
      <c r="AS140" s="98">
        <f>VLOOKUP($A140,lmic_raw[],45,FALSE)*(1-interactive!$C$7)</f>
        <v>7.0094918319276972E-2</v>
      </c>
      <c r="AT140" s="98">
        <f>VLOOKUP($A140,lmic_raw[],46,FALSE)*(1-interactive!$C$7)</f>
        <v>9.9604592682606283E-2</v>
      </c>
      <c r="AU140" s="98">
        <f>VLOOKUP($A140,lmic_raw[],47,FALSE)*(1-interactive!$C$7)</f>
        <v>0.13043837450783241</v>
      </c>
      <c r="AV140" s="98">
        <f>VLOOKUP($A140,lmic_raw[],48,FALSE)*(1-interactive!$C$7)</f>
        <v>0.15520510485122921</v>
      </c>
      <c r="AW140" s="98">
        <f>VLOOKUP($A140,lmic_raw[],49,FALSE)*(1-interactive!$C$7)</f>
        <v>0.17104372515538666</v>
      </c>
      <c r="AX140" s="98">
        <f>VLOOKUP($A140,lmic_raw[],50,FALSE)*(1-interactive!$C$7)</f>
        <v>61.065049999999992</v>
      </c>
    </row>
    <row r="141" spans="1:50" x14ac:dyDescent="0.25">
      <c r="A141" s="110" t="s">
        <v>332</v>
      </c>
      <c r="B141" s="104" t="s">
        <v>370</v>
      </c>
      <c r="C141" s="105">
        <v>8</v>
      </c>
      <c r="D141" s="122" t="s">
        <v>675</v>
      </c>
      <c r="E141" s="94" t="s">
        <v>580</v>
      </c>
      <c r="F141" s="94" t="s">
        <v>663</v>
      </c>
      <c r="G141" s="94" t="s">
        <v>676</v>
      </c>
      <c r="H141" s="98">
        <f>VLOOKUP(lmic_raw_lb[[#This Row],[setting]],lmic_raw[],8,FALSE)</f>
        <v>2880913</v>
      </c>
      <c r="I141" s="98">
        <f>VLOOKUP(lmic_raw_lb[[#This Row],[setting]],lmic_raw[],9,FALSE)</f>
        <v>33977.487922</v>
      </c>
      <c r="J141" s="94">
        <f>VLOOKUP($A141,lmic_raw[],10,FALSE)*(1-interactive!$C$7)</f>
        <v>0.93669999999999998</v>
      </c>
      <c r="K141" s="94">
        <f>VLOOKUP($A141,lmic_raw[],11,FALSE)*(1-interactive!$C$7)</f>
        <v>0.9405</v>
      </c>
      <c r="L141" s="94">
        <f>VLOOKUP($A141,lmic_raw[],12,FALSE)*(1-interactive!$C$7)</f>
        <v>0.9405</v>
      </c>
      <c r="M141" s="94">
        <f>IFERROR(VLOOKUP(lmic_raw_lb[[#This Row],[iso3]], hbv_prev[[iso3]:[ub]],3,FALSE)/100,0)</f>
        <v>7.7699999999999991E-2</v>
      </c>
      <c r="N141" s="94">
        <f>IFERROR(VLOOKUP(lmic_raw_lb[[#This Row],[setting]],hbe_prev[],4,FALSE),0)</f>
        <v>0.16329999999999997</v>
      </c>
      <c r="O141" s="94">
        <f>VLOOKUP(lmic_raw_lb[[#This Row],[gbd_super]],hbe_risk[],3,FALSE)</f>
        <v>0.7</v>
      </c>
      <c r="P141" s="94">
        <f>VLOOKUP(lmic_raw_lb[[#This Row],[gbd_super]],hbe_risk[],6,FALSE)</f>
        <v>0.05</v>
      </c>
      <c r="Q141" s="94">
        <f>VLOOKUP(lmic_raw_lb[[#This Row],[setting]],lmic_raw[],17,FALSE)*(1-interactive!$C$7)</f>
        <v>7.8136063158642921</v>
      </c>
      <c r="R141" s="98">
        <f>VLOOKUP(lmic_raw_lb[[#This Row],[setting]],lmic_raw[],18,FALSE)*(1-interactive!$C$7)</f>
        <v>42.31053</v>
      </c>
      <c r="S141" s="98">
        <f>VLOOKUP(lmic_raw_lb[[#This Row],[setting]],lmic_raw[],19,FALSE)*(1-interactive!$C$7)</f>
        <v>87.665430000000001</v>
      </c>
      <c r="T141" s="98">
        <f>VLOOKUP(lmic_raw_lb[[#This Row],[setting]],lmic_raw[],20,FALSE)*(1-interactive!$C$7)</f>
        <v>87.665430000000001</v>
      </c>
      <c r="U141" s="98">
        <f>VLOOKUP(lmic_raw_lb[[#This Row],[setting]],lmic_raw[],21,FALSE)*(1-interactive!$C$7)</f>
        <v>87.665430000000001</v>
      </c>
      <c r="V141" s="33">
        <f>IFERROR(VLOOKUP(lmic_raw_lb[[#This Row],[setting]],vcost_lb[],3,FALSE),0)</f>
        <v>3.365347789993355</v>
      </c>
      <c r="W141" s="33">
        <f>IFERROR(VLOOKUP(lmic_raw_lb[[#This Row],[setting]],vcost_lb[],4,FALSE),0)</f>
        <v>7.2277627899933554</v>
      </c>
      <c r="X141" s="33">
        <f>IFERROR(VLOOKUP(lmic_raw_lb[[#This Row],[setting]],vcost_lb[],5,FALSE),0)</f>
        <v>2.9966034099212981</v>
      </c>
      <c r="Y141" s="33">
        <f>IFERROR(VLOOKUP(lmic_raw_lb[[#This Row],[setting]],vcost_lb[],6,FALSE),0)</f>
        <v>6.8590184099212985</v>
      </c>
      <c r="Z141" s="33">
        <f>IFERROR(VLOOKUP(lmic_raw_lb[[#This Row],[setting]],vcost_lb[],7,FALSE),0)</f>
        <v>6.8547847672170699</v>
      </c>
      <c r="AA141" s="33">
        <f>IFERROR(VLOOKUP(lmic_raw_lb[[#This Row],[setting]],vcost_lb[],8,FALSE),0)</f>
        <v>3.578022627402734</v>
      </c>
      <c r="AB141" s="33">
        <f>IFERROR(VLOOKUP(lmic_raw_lb[[#This Row],[setting]],vcost_lb[],9,FALSE),0)</f>
        <v>7.4404376274027344</v>
      </c>
      <c r="AC141" s="94">
        <f>VLOOKUP($A141,lmic_raw[],29,FALSE)*(1-interactive!$C$7)</f>
        <v>7.6302479999999402E-3</v>
      </c>
      <c r="AD141" s="94">
        <f>VLOOKUP($A141,lmic_raw[],30,FALSE)*(1-interactive!$C$7)</f>
        <v>8.0037914220959505E-4</v>
      </c>
      <c r="AE141" s="94">
        <f>VLOOKUP($A141,lmic_raw[],31,FALSE)*(1-interactive!$C$7)</f>
        <v>2.1201967932821136E-4</v>
      </c>
      <c r="AF141" s="94">
        <f>VLOOKUP($A141,lmic_raw[],32,FALSE)*(1-interactive!$C$7)</f>
        <v>2.545904774314929E-4</v>
      </c>
      <c r="AG141" s="94">
        <f>VLOOKUP($A141,lmic_raw[],33,FALSE)*(1-interactive!$C$7)</f>
        <v>3.5317271432844846E-4</v>
      </c>
      <c r="AH141" s="94">
        <f>VLOOKUP($A141,lmic_raw[],34,FALSE)*(1-interactive!$C$7)</f>
        <v>4.0285498387421969E-4</v>
      </c>
      <c r="AI141" s="94">
        <f>VLOOKUP($A141,lmic_raw[],35,FALSE)*(1-interactive!$C$7)</f>
        <v>4.6464073543951235E-4</v>
      </c>
      <c r="AJ141" s="94">
        <f>VLOOKUP($A141,lmic_raw[],36,FALSE)*(1-interactive!$C$7)</f>
        <v>5.9841264665688645E-4</v>
      </c>
      <c r="AK141" s="94">
        <f>VLOOKUP($A141,lmic_raw[],37,FALSE)*(1-interactive!$C$7)</f>
        <v>9.7982280104594224E-4</v>
      </c>
      <c r="AL141" s="94">
        <f>VLOOKUP($A141,lmic_raw[],38,FALSE)*(1-interactive!$C$7)</f>
        <v>1.3261774402489005E-3</v>
      </c>
      <c r="AM141" s="94">
        <f>VLOOKUP($A141,lmic_raw[],39,FALSE)*(1-interactive!$C$7)</f>
        <v>2.061931860693728E-3</v>
      </c>
      <c r="AN141" s="94">
        <f>VLOOKUP($A141,lmic_raw[],40,FALSE)*(1-interactive!$C$7)</f>
        <v>3.1369112864009065E-3</v>
      </c>
      <c r="AO141" s="94">
        <f>VLOOKUP($A141,lmic_raw[],41,FALSE)*(1-interactive!$C$7)</f>
        <v>4.8072604314003215E-3</v>
      </c>
      <c r="AP141" s="94">
        <f>VLOOKUP($A141,lmic_raw[],42,FALSE)*(1-interactive!$C$7)</f>
        <v>7.4734241012397234E-3</v>
      </c>
      <c r="AQ141" s="94">
        <f>VLOOKUP($A141,lmic_raw[],43,FALSE)*(1-interactive!$C$7)</f>
        <v>1.2467345457055731E-2</v>
      </c>
      <c r="AR141" s="94">
        <f>VLOOKUP($A141,lmic_raw[],44,FALSE)*(1-interactive!$C$7)</f>
        <v>2.1902085151518924E-2</v>
      </c>
      <c r="AS141" s="94">
        <f>VLOOKUP($A141,lmic_raw[],45,FALSE)*(1-interactive!$C$7)</f>
        <v>3.9831435152768241E-2</v>
      </c>
      <c r="AT141" s="94">
        <f>VLOOKUP($A141,lmic_raw[],46,FALSE)*(1-interactive!$C$7)</f>
        <v>7.2251191886059524E-2</v>
      </c>
      <c r="AU141" s="94">
        <f>VLOOKUP($A141,lmic_raw[],47,FALSE)*(1-interactive!$C$7)</f>
        <v>0.10729775969544417</v>
      </c>
      <c r="AV141" s="94">
        <f>VLOOKUP($A141,lmic_raw[],48,FALSE)*(1-interactive!$C$7)</f>
        <v>0.14261418920031074</v>
      </c>
      <c r="AW141" s="94">
        <f>VLOOKUP($A141,lmic_raw[],49,FALSE)*(1-interactive!$C$7)</f>
        <v>0.16891924765651314</v>
      </c>
      <c r="AX141" s="94">
        <f>VLOOKUP($A141,lmic_raw[],50,FALSE)*(1-interactive!$C$7)</f>
        <v>74.458149999999989</v>
      </c>
    </row>
    <row r="142" spans="1:50" x14ac:dyDescent="0.25">
      <c r="A142" s="109" t="s">
        <v>157</v>
      </c>
      <c r="B142" s="101" t="s">
        <v>371</v>
      </c>
      <c r="C142" s="102">
        <v>12</v>
      </c>
      <c r="D142" s="121" t="s">
        <v>677</v>
      </c>
      <c r="E142" s="98" t="s">
        <v>579</v>
      </c>
      <c r="F142" s="98" t="s">
        <v>579</v>
      </c>
      <c r="G142" s="98" t="s">
        <v>676</v>
      </c>
      <c r="H142" s="98">
        <f>VLOOKUP(lmic_raw_lb[[#This Row],[setting]],lmic_raw[],8,FALSE)</f>
        <v>43053054</v>
      </c>
      <c r="I142" s="98">
        <f>VLOOKUP(lmic_raw_lb[[#This Row],[setting]],lmic_raw[],9,FALSE)</f>
        <v>1062979.9032600001</v>
      </c>
      <c r="J142" s="98">
        <f>VLOOKUP($A142,lmic_raw[],10,FALSE)*(1-interactive!$C$7)</f>
        <v>0.91959999999999997</v>
      </c>
      <c r="K142" s="98">
        <f>VLOOKUP($A142,lmic_raw[],11,FALSE)*(1-interactive!$C$7)</f>
        <v>0.9405</v>
      </c>
      <c r="L142" s="98">
        <f>VLOOKUP($A142,lmic_raw[],12,FALSE)*(1-interactive!$C$7)</f>
        <v>0.86449999999999994</v>
      </c>
      <c r="M142" s="98">
        <f>IFERROR(VLOOKUP(lmic_raw_lb[[#This Row],[iso3]], hbv_prev[[iso3]:[ub]],3,FALSE)/100,0)</f>
        <v>1.23E-2</v>
      </c>
      <c r="N142" s="98">
        <f>IFERROR(VLOOKUP(lmic_raw_lb[[#This Row],[setting]],hbe_prev[],4,FALSE),0)</f>
        <v>0.14980000000000002</v>
      </c>
      <c r="O142" s="98">
        <f>VLOOKUP(lmic_raw_lb[[#This Row],[gbd_super]],hbe_risk[],3,FALSE)</f>
        <v>0.7</v>
      </c>
      <c r="P142" s="98">
        <f>VLOOKUP(lmic_raw_lb[[#This Row],[gbd_super]],hbe_risk[],6,FALSE)</f>
        <v>0.05</v>
      </c>
      <c r="Q142" s="98">
        <f>VLOOKUP(lmic_raw_lb[[#This Row],[setting]],lmic_raw[],17,FALSE)*(1-interactive!$C$7)</f>
        <v>6.3365030237360642</v>
      </c>
      <c r="R142" s="98">
        <f>VLOOKUP(lmic_raw_lb[[#This Row],[setting]],lmic_raw[],18,FALSE)*(1-interactive!$C$7)</f>
        <v>44.019105000000003</v>
      </c>
      <c r="S142" s="98">
        <f>VLOOKUP(lmic_raw_lb[[#This Row],[setting]],lmic_raw[],19,FALSE)*(1-interactive!$C$7)</f>
        <v>89.374005000000011</v>
      </c>
      <c r="T142" s="98">
        <f>VLOOKUP(lmic_raw_lb[[#This Row],[setting]],lmic_raw[],20,FALSE)*(1-interactive!$C$7)</f>
        <v>89.374005000000011</v>
      </c>
      <c r="U142" s="98">
        <f>VLOOKUP(lmic_raw_lb[[#This Row],[setting]],lmic_raw[],21,FALSE)*(1-interactive!$C$7)</f>
        <v>89.374005000000011</v>
      </c>
      <c r="V142" s="33">
        <f>IFERROR(VLOOKUP(lmic_raw_lb[[#This Row],[setting]],vcost_lb[],3,FALSE),0)</f>
        <v>1.2915614699033051</v>
      </c>
      <c r="W142" s="33">
        <f>IFERROR(VLOOKUP(lmic_raw_lb[[#This Row],[setting]],vcost_lb[],4,FALSE),0)</f>
        <v>1.747181469903305</v>
      </c>
      <c r="X142" s="33">
        <f>IFERROR(VLOOKUP(lmic_raw_lb[[#This Row],[setting]],vcost_lb[],5,FALSE),0)</f>
        <v>0.92425263339773966</v>
      </c>
      <c r="Y142" s="33">
        <f>IFERROR(VLOOKUP(lmic_raw_lb[[#This Row],[setting]],vcost_lb[],6,FALSE),0)</f>
        <v>1.3798726333977398</v>
      </c>
      <c r="Z142" s="33">
        <f>IFERROR(VLOOKUP(lmic_raw_lb[[#This Row],[setting]],vcost_lb[],7,FALSE),0)</f>
        <v>1.3763062293931254</v>
      </c>
      <c r="AA142" s="33">
        <f>IFERROR(VLOOKUP(lmic_raw_lb[[#This Row],[setting]],vcost_lb[],8,FALSE),0)</f>
        <v>1.5036210743556166</v>
      </c>
      <c r="AB142" s="33">
        <f>IFERROR(VLOOKUP(lmic_raw_lb[[#This Row],[setting]],vcost_lb[],9,FALSE),0)</f>
        <v>1.9592410743556168</v>
      </c>
      <c r="AC142" s="98">
        <f>VLOOKUP($A142,lmic_raw[],29,FALSE)*(1-interactive!$C$7)</f>
        <v>2.0186663999999965E-2</v>
      </c>
      <c r="AD142" s="98">
        <f>VLOOKUP($A142,lmic_raw[],30,FALSE)*(1-interactive!$C$7)</f>
        <v>8.2992556287665037E-4</v>
      </c>
      <c r="AE142" s="98">
        <f>VLOOKUP($A142,lmic_raw[],31,FALSE)*(1-interactive!$C$7)</f>
        <v>4.2336152831688696E-4</v>
      </c>
      <c r="AF142" s="98">
        <f>VLOOKUP($A142,lmic_raw[],32,FALSE)*(1-interactive!$C$7)</f>
        <v>3.7614108204030806E-4</v>
      </c>
      <c r="AG142" s="98">
        <f>VLOOKUP($A142,lmic_raw[],33,FALSE)*(1-interactive!$C$7)</f>
        <v>5.3869702314149391E-4</v>
      </c>
      <c r="AH142" s="98">
        <f>VLOOKUP($A142,lmic_raw[],34,FALSE)*(1-interactive!$C$7)</f>
        <v>7.0094678426253527E-4</v>
      </c>
      <c r="AI142" s="98">
        <f>VLOOKUP($A142,lmic_raw[],35,FALSE)*(1-interactive!$C$7)</f>
        <v>8.2717071028172776E-4</v>
      </c>
      <c r="AJ142" s="98">
        <f>VLOOKUP($A142,lmic_raw[],36,FALSE)*(1-interactive!$C$7)</f>
        <v>9.7713864064980448E-4</v>
      </c>
      <c r="AK142" s="98">
        <f>VLOOKUP($A142,lmic_raw[],37,FALSE)*(1-interactive!$C$7)</f>
        <v>1.3118978206780056E-3</v>
      </c>
      <c r="AL142" s="98">
        <f>VLOOKUP($A142,lmic_raw[],38,FALSE)*(1-interactive!$C$7)</f>
        <v>1.7781776011483394E-3</v>
      </c>
      <c r="AM142" s="98">
        <f>VLOOKUP($A142,lmic_raw[],39,FALSE)*(1-interactive!$C$7)</f>
        <v>2.6000108201753576E-3</v>
      </c>
      <c r="AN142" s="98">
        <f>VLOOKUP($A142,lmic_raw[],40,FALSE)*(1-interactive!$C$7)</f>
        <v>3.8434594210008718E-3</v>
      </c>
      <c r="AO142" s="98">
        <f>VLOOKUP($A142,lmic_raw[],41,FALSE)*(1-interactive!$C$7)</f>
        <v>5.8169663787848739E-3</v>
      </c>
      <c r="AP142" s="98">
        <f>VLOOKUP($A142,lmic_raw[],42,FALSE)*(1-interactive!$C$7)</f>
        <v>9.2189509831527832E-3</v>
      </c>
      <c r="AQ142" s="98">
        <f>VLOOKUP($A142,lmic_raw[],43,FALSE)*(1-interactive!$C$7)</f>
        <v>1.4005109466546116E-2</v>
      </c>
      <c r="AR142" s="98">
        <f>VLOOKUP($A142,lmic_raw[],44,FALSE)*(1-interactive!$C$7)</f>
        <v>2.2821019478876475E-2</v>
      </c>
      <c r="AS142" s="98">
        <f>VLOOKUP($A142,lmic_raw[],45,FALSE)*(1-interactive!$C$7)</f>
        <v>3.8590593731897077E-2</v>
      </c>
      <c r="AT142" s="98">
        <f>VLOOKUP($A142,lmic_raw[],46,FALSE)*(1-interactive!$C$7)</f>
        <v>6.3757035771533702E-2</v>
      </c>
      <c r="AU142" s="98">
        <f>VLOOKUP($A142,lmic_raw[],47,FALSE)*(1-interactive!$C$7)</f>
        <v>9.5857457972641932E-2</v>
      </c>
      <c r="AV142" s="98">
        <f>VLOOKUP($A142,lmic_raw[],48,FALSE)*(1-interactive!$C$7)</f>
        <v>0.12825981641374856</v>
      </c>
      <c r="AW142" s="98">
        <f>VLOOKUP($A142,lmic_raw[],49,FALSE)*(1-interactive!$C$7)</f>
        <v>0.15461667525804973</v>
      </c>
      <c r="AX142" s="98">
        <f>VLOOKUP($A142,lmic_raw[],50,FALSE)*(1-interactive!$C$7)</f>
        <v>72.763350000000003</v>
      </c>
    </row>
    <row r="143" spans="1:50" x14ac:dyDescent="0.25">
      <c r="A143" s="110" t="s">
        <v>122</v>
      </c>
      <c r="B143" s="104" t="s">
        <v>372</v>
      </c>
      <c r="C143" s="105">
        <v>24</v>
      </c>
      <c r="D143" s="122" t="s">
        <v>677</v>
      </c>
      <c r="E143" s="94" t="s">
        <v>582</v>
      </c>
      <c r="F143" s="94" t="s">
        <v>667</v>
      </c>
      <c r="G143" s="94" t="s">
        <v>678</v>
      </c>
      <c r="H143" s="98">
        <f>VLOOKUP(lmic_raw_lb[[#This Row],[setting]],lmic_raw[],8,FALSE)</f>
        <v>31825299</v>
      </c>
      <c r="I143" s="98">
        <f>VLOOKUP(lmic_raw_lb[[#This Row],[setting]],lmic_raw[],9,FALSE)</f>
        <v>1302386.710977</v>
      </c>
      <c r="J143" s="94">
        <f>VLOOKUP($A143,lmic_raw[],10,FALSE)*(1-interactive!$C$7)</f>
        <v>0.43319999999999997</v>
      </c>
      <c r="K143" s="94">
        <f>VLOOKUP($A143,lmic_raw[],11,FALSE)*(1-interactive!$C$7)</f>
        <v>0</v>
      </c>
      <c r="L143" s="94">
        <f>VLOOKUP($A143,lmic_raw[],12,FALSE)*(1-interactive!$C$7)</f>
        <v>0.50349999999999995</v>
      </c>
      <c r="M143" s="94">
        <f>IFERROR(VLOOKUP(lmic_raw_lb[[#This Row],[iso3]], hbv_prev[[iso3]:[ub]],3,FALSE)/100,0)</f>
        <v>7.1500000000000008E-2</v>
      </c>
      <c r="N143" s="94">
        <f>IFERROR(VLOOKUP(lmic_raw_lb[[#This Row],[setting]],hbe_prev[],4,FALSE),0)</f>
        <v>0.15279999999999999</v>
      </c>
      <c r="O143" s="94">
        <f>VLOOKUP(lmic_raw_lb[[#This Row],[gbd_super]],hbe_risk[],3,FALSE)</f>
        <v>7.0000000000000007E-2</v>
      </c>
      <c r="P143" s="94">
        <f>VLOOKUP(lmic_raw_lb[[#This Row],[gbd_super]],hbe_risk[],6,FALSE)</f>
        <v>1E-3</v>
      </c>
      <c r="Q143" s="94">
        <f>VLOOKUP(lmic_raw_lb[[#This Row],[setting]],lmic_raw[],17,FALSE)*(1-interactive!$C$7)</f>
        <v>7.5317163746184468</v>
      </c>
      <c r="R143" s="98">
        <f>VLOOKUP(lmic_raw_lb[[#This Row],[setting]],lmic_raw[],18,FALSE)*(1-interactive!$C$7)</f>
        <v>28.424474999999997</v>
      </c>
      <c r="S143" s="98">
        <f>VLOOKUP(lmic_raw_lb[[#This Row],[setting]],lmic_raw[],19,FALSE)*(1-interactive!$C$7)</f>
        <v>73.779375000000002</v>
      </c>
      <c r="T143" s="98">
        <f>VLOOKUP(lmic_raw_lb[[#This Row],[setting]],lmic_raw[],20,FALSE)*(1-interactive!$C$7)</f>
        <v>73.779375000000002</v>
      </c>
      <c r="U143" s="98">
        <f>VLOOKUP(lmic_raw_lb[[#This Row],[setting]],lmic_raw[],21,FALSE)*(1-interactive!$C$7)</f>
        <v>73.779375000000002</v>
      </c>
      <c r="V143" s="33">
        <f>IFERROR(VLOOKUP(lmic_raw_lb[[#This Row],[setting]],vcost_lb[],3,FALSE),0)</f>
        <v>0.62573381300553232</v>
      </c>
      <c r="W143" s="33">
        <f>IFERROR(VLOOKUP(lmic_raw_lb[[#This Row],[setting]],vcost_lb[],4,FALSE),0)</f>
        <v>5.2129988130055329</v>
      </c>
      <c r="X143" s="33">
        <f>IFERROR(VLOOKUP(lmic_raw_lb[[#This Row],[setting]],vcost_lb[],5,FALSE),0)</f>
        <v>0.25691283522257918</v>
      </c>
      <c r="Y143" s="33">
        <f>IFERROR(VLOOKUP(lmic_raw_lb[[#This Row],[setting]],vcost_lb[],6,FALSE),0)</f>
        <v>4.8441778352225793</v>
      </c>
      <c r="Z143" s="33">
        <f>IFERROR(VLOOKUP(lmic_raw_lb[[#This Row],[setting]],vcost_lb[],7,FALSE),0)</f>
        <v>4.839633012250383</v>
      </c>
      <c r="AA143" s="33">
        <f>IFERROR(VLOOKUP(lmic_raw_lb[[#This Row],[setting]],vcost_lb[],8,FALSE),0)</f>
        <v>0.83844147800529578</v>
      </c>
      <c r="AB143" s="33">
        <f>IFERROR(VLOOKUP(lmic_raw_lb[[#This Row],[setting]],vcost_lb[],9,FALSE),0)</f>
        <v>5.4257064780052957</v>
      </c>
      <c r="AC143" s="94">
        <f>VLOOKUP($A143,lmic_raw[],29,FALSE)*(1-interactive!$C$7)</f>
        <v>5.8386448999999951E-2</v>
      </c>
      <c r="AD143" s="94">
        <f>VLOOKUP($A143,lmic_raw[],30,FALSE)*(1-interactive!$C$7)</f>
        <v>4.9169560148374309E-3</v>
      </c>
      <c r="AE143" s="94">
        <f>VLOOKUP($A143,lmic_raw[],31,FALSE)*(1-interactive!$C$7)</f>
        <v>1.8127096865446031E-3</v>
      </c>
      <c r="AF143" s="94">
        <f>VLOOKUP($A143,lmic_raw[],32,FALSE)*(1-interactive!$C$7)</f>
        <v>1.3218459769521905E-3</v>
      </c>
      <c r="AG143" s="94">
        <f>VLOOKUP($A143,lmic_raw[],33,FALSE)*(1-interactive!$C$7)</f>
        <v>2.2205048575684775E-3</v>
      </c>
      <c r="AH143" s="94">
        <f>VLOOKUP($A143,lmic_raw[],34,FALSE)*(1-interactive!$C$7)</f>
        <v>3.0923920794394067E-3</v>
      </c>
      <c r="AI143" s="94">
        <f>VLOOKUP($A143,lmic_raw[],35,FALSE)*(1-interactive!$C$7)</f>
        <v>3.4091900437019399E-3</v>
      </c>
      <c r="AJ143" s="94">
        <f>VLOOKUP($A143,lmic_raw[],36,FALSE)*(1-interactive!$C$7)</f>
        <v>3.9337033543511979E-3</v>
      </c>
      <c r="AK143" s="94">
        <f>VLOOKUP($A143,lmic_raw[],37,FALSE)*(1-interactive!$C$7)</f>
        <v>4.8817971213014882E-3</v>
      </c>
      <c r="AL143" s="94">
        <f>VLOOKUP($A143,lmic_raw[],38,FALSE)*(1-interactive!$C$7)</f>
        <v>6.2658914538164818E-3</v>
      </c>
      <c r="AM143" s="94">
        <f>VLOOKUP($A143,lmic_raw[],39,FALSE)*(1-interactive!$C$7)</f>
        <v>8.3727751440962686E-3</v>
      </c>
      <c r="AN143" s="94">
        <f>VLOOKUP($A143,lmic_raw[],40,FALSE)*(1-interactive!$C$7)</f>
        <v>1.1720959685636653E-2</v>
      </c>
      <c r="AO143" s="94">
        <f>VLOOKUP($A143,lmic_raw[],41,FALSE)*(1-interactive!$C$7)</f>
        <v>1.6518209164100343E-2</v>
      </c>
      <c r="AP143" s="94">
        <f>VLOOKUP($A143,lmic_raw[],42,FALSE)*(1-interactive!$C$7)</f>
        <v>2.4357071053399203E-2</v>
      </c>
      <c r="AQ143" s="94">
        <f>VLOOKUP($A143,lmic_raw[],43,FALSE)*(1-interactive!$C$7)</f>
        <v>3.5718379214068688E-2</v>
      </c>
      <c r="AR143" s="94">
        <f>VLOOKUP($A143,lmic_raw[],44,FALSE)*(1-interactive!$C$7)</f>
        <v>5.278151494322194E-2</v>
      </c>
      <c r="AS143" s="94">
        <f>VLOOKUP($A143,lmic_raw[],45,FALSE)*(1-interactive!$C$7)</f>
        <v>7.5827468705273057E-2</v>
      </c>
      <c r="AT143" s="94">
        <f>VLOOKUP($A143,lmic_raw[],46,FALSE)*(1-interactive!$C$7)</f>
        <v>0.1033802966395635</v>
      </c>
      <c r="AU143" s="94">
        <f>VLOOKUP($A143,lmic_raw[],47,FALSE)*(1-interactive!$C$7)</f>
        <v>0.12916288540862567</v>
      </c>
      <c r="AV143" s="94">
        <f>VLOOKUP($A143,lmic_raw[],48,FALSE)*(1-interactive!$C$7)</f>
        <v>0.15191212177695404</v>
      </c>
      <c r="AW143" s="94">
        <f>VLOOKUP($A143,lmic_raw[],49,FALSE)*(1-interactive!$C$7)</f>
        <v>0.16908633138284643</v>
      </c>
      <c r="AX143" s="94">
        <f>VLOOKUP($A143,lmic_raw[],50,FALSE)*(1-interactive!$C$7)</f>
        <v>57.512999999999998</v>
      </c>
    </row>
    <row r="144" spans="1:50" x14ac:dyDescent="0.25">
      <c r="A144" s="109" t="s">
        <v>262</v>
      </c>
      <c r="B144" s="101" t="s">
        <v>373</v>
      </c>
      <c r="C144" s="102">
        <v>32</v>
      </c>
      <c r="D144" s="121" t="s">
        <v>679</v>
      </c>
      <c r="E144" s="98" t="s">
        <v>583</v>
      </c>
      <c r="F144" s="98" t="s">
        <v>665</v>
      </c>
      <c r="G144" s="98" t="s">
        <v>676</v>
      </c>
      <c r="H144" s="98">
        <f>VLOOKUP(lmic_raw_lb[[#This Row],[setting]],lmic_raw[],8,FALSE)</f>
        <v>44780675</v>
      </c>
      <c r="I144" s="98">
        <f>VLOOKUP(lmic_raw_lb[[#This Row],[setting]],lmic_raw[],9,FALSE)</f>
        <v>766286.91059999994</v>
      </c>
      <c r="J144" s="98">
        <f>VLOOKUP($A144,lmic_raw[],10,FALSE)*(1-interactive!$C$7)</f>
        <v>0.94334999999999991</v>
      </c>
      <c r="K144" s="98">
        <f>VLOOKUP($A144,lmic_raw[],11,FALSE)*(1-interactive!$C$7)</f>
        <v>0.77899999999999991</v>
      </c>
      <c r="L144" s="98">
        <f>VLOOKUP($A144,lmic_raw[],12,FALSE)*(1-interactive!$C$7)</f>
        <v>0.81699999999999995</v>
      </c>
      <c r="M144" s="98">
        <f>IFERROR(VLOOKUP(lmic_raw_lb[[#This Row],[iso3]], hbv_prev[[iso3]:[ub]],3,FALSE)/100,0)</f>
        <v>5.0000000000000001E-4</v>
      </c>
      <c r="N144" s="98">
        <f>IFERROR(VLOOKUP(lmic_raw_lb[[#This Row],[setting]],hbe_prev[],4,FALSE),0)</f>
        <v>0.17660000000000001</v>
      </c>
      <c r="O144" s="98">
        <f>VLOOKUP(lmic_raw_lb[[#This Row],[gbd_super]],hbe_risk[],3,FALSE)</f>
        <v>0.7</v>
      </c>
      <c r="P144" s="98">
        <f>VLOOKUP(lmic_raw_lb[[#This Row],[gbd_super]],hbe_risk[],6,FALSE)</f>
        <v>0.05</v>
      </c>
      <c r="Q144" s="98">
        <f>VLOOKUP(lmic_raw_lb[[#This Row],[setting]],lmic_raw[],17,FALSE)*(1-interactive!$C$7)</f>
        <v>15.266776362404427</v>
      </c>
      <c r="R144" s="98">
        <f>VLOOKUP(lmic_raw_lb[[#This Row],[setting]],lmic_raw[],18,FALSE)*(1-interactive!$C$7)</f>
        <v>82.539704999999998</v>
      </c>
      <c r="S144" s="98">
        <f>VLOOKUP(lmic_raw_lb[[#This Row],[setting]],lmic_raw[],19,FALSE)*(1-interactive!$C$7)</f>
        <v>127.894605</v>
      </c>
      <c r="T144" s="98">
        <f>VLOOKUP(lmic_raw_lb[[#This Row],[setting]],lmic_raw[],20,FALSE)*(1-interactive!$C$7)</f>
        <v>127.894605</v>
      </c>
      <c r="U144" s="98">
        <f>VLOOKUP(lmic_raw_lb[[#This Row],[setting]],lmic_raw[],21,FALSE)*(1-interactive!$C$7)</f>
        <v>127.894605</v>
      </c>
      <c r="V144" s="33">
        <f>IFERROR(VLOOKUP(lmic_raw_lb[[#This Row],[setting]],vcost_lb[],3,FALSE),0)</f>
        <v>1.2700630613114585</v>
      </c>
      <c r="W144" s="33">
        <f>IFERROR(VLOOKUP(lmic_raw_lb[[#This Row],[setting]],vcost_lb[],4,FALSE),0)</f>
        <v>1.2907730613114585</v>
      </c>
      <c r="X144" s="33">
        <f>IFERROR(VLOOKUP(lmic_raw_lb[[#This Row],[setting]],vcost_lb[],5,FALSE),0)</f>
        <v>0.89464180481430045</v>
      </c>
      <c r="Y144" s="33">
        <f>IFERROR(VLOOKUP(lmic_raw_lb[[#This Row],[setting]],vcost_lb[],6,FALSE),0)</f>
        <v>0.91535180481430045</v>
      </c>
      <c r="Z144" s="33">
        <f>IFERROR(VLOOKUP(lmic_raw_lb[[#This Row],[setting]],vcost_lb[],7,FALSE),0)</f>
        <v>0.90615287527097022</v>
      </c>
      <c r="AA144" s="33">
        <f>IFERROR(VLOOKUP(lmic_raw_lb[[#This Row],[setting]],vcost_lb[],8,FALSE),0)</f>
        <v>1.4855994171887386</v>
      </c>
      <c r="AB144" s="33">
        <f>IFERROR(VLOOKUP(lmic_raw_lb[[#This Row],[setting]],vcost_lb[],9,FALSE),0)</f>
        <v>1.5063094171887386</v>
      </c>
      <c r="AC144" s="98">
        <f>VLOOKUP($A144,lmic_raw[],29,FALSE)*(1-interactive!$C$7)</f>
        <v>9.7139305000000023E-3</v>
      </c>
      <c r="AD144" s="98">
        <f>VLOOKUP($A144,lmic_raw[],30,FALSE)*(1-interactive!$C$7)</f>
        <v>3.9281839270087433E-4</v>
      </c>
      <c r="AE144" s="98">
        <f>VLOOKUP($A144,lmic_raw[],31,FALSE)*(1-interactive!$C$7)</f>
        <v>1.7318546933358059E-4</v>
      </c>
      <c r="AF144" s="98">
        <f>VLOOKUP($A144,lmic_raw[],32,FALSE)*(1-interactive!$C$7)</f>
        <v>2.2672122944818041E-4</v>
      </c>
      <c r="AG144" s="98">
        <f>VLOOKUP($A144,lmic_raw[],33,FALSE)*(1-interactive!$C$7)</f>
        <v>7.0583472782388809E-4</v>
      </c>
      <c r="AH144" s="98">
        <f>VLOOKUP($A144,lmic_raw[],34,FALSE)*(1-interactive!$C$7)</f>
        <v>9.7098838636224894E-4</v>
      </c>
      <c r="AI144" s="98">
        <f>VLOOKUP($A144,lmic_raw[],35,FALSE)*(1-interactive!$C$7)</f>
        <v>9.7658065648656076E-4</v>
      </c>
      <c r="AJ144" s="98">
        <f>VLOOKUP($A144,lmic_raw[],36,FALSE)*(1-interactive!$C$7)</f>
        <v>1.1068752298679441E-3</v>
      </c>
      <c r="AK144" s="98">
        <f>VLOOKUP($A144,lmic_raw[],37,FALSE)*(1-interactive!$C$7)</f>
        <v>1.339992412643845E-3</v>
      </c>
      <c r="AL144" s="98">
        <f>VLOOKUP($A144,lmic_raw[],38,FALSE)*(1-interactive!$C$7)</f>
        <v>1.8888962764668934E-3</v>
      </c>
      <c r="AM144" s="98">
        <f>VLOOKUP($A144,lmic_raw[],39,FALSE)*(1-interactive!$C$7)</f>
        <v>2.990760737562599E-3</v>
      </c>
      <c r="AN144" s="98">
        <f>VLOOKUP($A144,lmic_raw[],40,FALSE)*(1-interactive!$C$7)</f>
        <v>4.8247513794009581E-3</v>
      </c>
      <c r="AO144" s="98">
        <f>VLOOKUP($A144,lmic_raw[],41,FALSE)*(1-interactive!$C$7)</f>
        <v>7.9367144353653541E-3</v>
      </c>
      <c r="AP144" s="98">
        <f>VLOOKUP($A144,lmic_raw[],42,FALSE)*(1-interactive!$C$7)</f>
        <v>1.1923028644476218E-2</v>
      </c>
      <c r="AQ144" s="98">
        <f>VLOOKUP($A144,lmic_raw[],43,FALSE)*(1-interactive!$C$7)</f>
        <v>1.7955726729232856E-2</v>
      </c>
      <c r="AR144" s="98">
        <f>VLOOKUP($A144,lmic_raw[],44,FALSE)*(1-interactive!$C$7)</f>
        <v>2.6211941494153169E-2</v>
      </c>
      <c r="AS144" s="98">
        <f>VLOOKUP($A144,lmic_raw[],45,FALSE)*(1-interactive!$C$7)</f>
        <v>3.9663215596794331E-2</v>
      </c>
      <c r="AT144" s="98">
        <f>VLOOKUP($A144,lmic_raw[],46,FALSE)*(1-interactive!$C$7)</f>
        <v>6.1373419430890794E-2</v>
      </c>
      <c r="AU144" s="98">
        <f>VLOOKUP($A144,lmic_raw[],47,FALSE)*(1-interactive!$C$7)</f>
        <v>9.0385007061269076E-2</v>
      </c>
      <c r="AV144" s="98">
        <f>VLOOKUP($A144,lmic_raw[],48,FALSE)*(1-interactive!$C$7)</f>
        <v>0.12301239983003993</v>
      </c>
      <c r="AW144" s="98">
        <f>VLOOKUP($A144,lmic_raw[],49,FALSE)*(1-interactive!$C$7)</f>
        <v>0.15320241329225157</v>
      </c>
      <c r="AX144" s="98">
        <f>VLOOKUP($A144,lmic_raw[],50,FALSE)*(1-interactive!$C$7)</f>
        <v>72.625599999999991</v>
      </c>
    </row>
    <row r="145" spans="1:50" x14ac:dyDescent="0.25">
      <c r="A145" s="110" t="s">
        <v>165</v>
      </c>
      <c r="B145" s="104" t="s">
        <v>374</v>
      </c>
      <c r="C145" s="105">
        <v>51</v>
      </c>
      <c r="D145" s="122" t="s">
        <v>675</v>
      </c>
      <c r="E145" s="94" t="s">
        <v>184</v>
      </c>
      <c r="F145" s="94" t="s">
        <v>663</v>
      </c>
      <c r="G145" s="94" t="s">
        <v>676</v>
      </c>
      <c r="H145" s="98">
        <f>VLOOKUP(lmic_raw_lb[[#This Row],[setting]],lmic_raw[],8,FALSE)</f>
        <v>2957728</v>
      </c>
      <c r="I145" s="98">
        <f>VLOOKUP(lmic_raw_lb[[#This Row],[setting]],lmic_raw[],9,FALSE)</f>
        <v>41890.301663999999</v>
      </c>
      <c r="J145" s="94">
        <f>VLOOKUP($A145,lmic_raw[],10,FALSE)*(1-interactive!$C$7)</f>
        <v>0.94334999999999991</v>
      </c>
      <c r="K145" s="94">
        <f>VLOOKUP($A145,lmic_raw[],11,FALSE)*(1-interactive!$C$7)</f>
        <v>0.91199999999999992</v>
      </c>
      <c r="L145" s="94">
        <f>VLOOKUP($A145,lmic_raw[],12,FALSE)*(1-interactive!$C$7)</f>
        <v>0.874</v>
      </c>
      <c r="M145" s="94">
        <f>IFERROR(VLOOKUP(lmic_raw_lb[[#This Row],[iso3]], hbv_prev[[iso3]:[ub]],3,FALSE)/100,0)</f>
        <v>3.5999999999999999E-3</v>
      </c>
      <c r="N145" s="94">
        <f>IFERROR(VLOOKUP(lmic_raw_lb[[#This Row],[setting]],hbe_prev[],4,FALSE),0)</f>
        <v>0.16309999999999999</v>
      </c>
      <c r="O145" s="94">
        <f>VLOOKUP(lmic_raw_lb[[#This Row],[gbd_super]],hbe_risk[],3,FALSE)</f>
        <v>0.7</v>
      </c>
      <c r="P145" s="94">
        <f>VLOOKUP(lmic_raw_lb[[#This Row],[gbd_super]],hbe_risk[],6,FALSE)</f>
        <v>0.05</v>
      </c>
      <c r="Q145" s="94">
        <f>VLOOKUP(lmic_raw_lb[[#This Row],[setting]],lmic_raw[],17,FALSE)*(1-interactive!$C$7)</f>
        <v>6.4492590002344024</v>
      </c>
      <c r="R145" s="98">
        <f>VLOOKUP(lmic_raw_lb[[#This Row],[setting]],lmic_raw[],18,FALSE)*(1-interactive!$C$7)</f>
        <v>42.31053</v>
      </c>
      <c r="S145" s="98">
        <f>VLOOKUP(lmic_raw_lb[[#This Row],[setting]],lmic_raw[],19,FALSE)*(1-interactive!$C$7)</f>
        <v>87.665430000000001</v>
      </c>
      <c r="T145" s="98">
        <f>VLOOKUP(lmic_raw_lb[[#This Row],[setting]],lmic_raw[],20,FALSE)*(1-interactive!$C$7)</f>
        <v>87.665430000000001</v>
      </c>
      <c r="U145" s="98">
        <f>VLOOKUP(lmic_raw_lb[[#This Row],[setting]],lmic_raw[],21,FALSE)*(1-interactive!$C$7)</f>
        <v>87.665430000000001</v>
      </c>
      <c r="V145" s="33">
        <f>IFERROR(VLOOKUP(lmic_raw_lb[[#This Row],[setting]],vcost_lb[],3,FALSE),0)</f>
        <v>2.6426322821476838</v>
      </c>
      <c r="W145" s="33">
        <f>IFERROR(VLOOKUP(lmic_raw_lb[[#This Row],[setting]],vcost_lb[],4,FALSE),0)</f>
        <v>6.5050472821476841</v>
      </c>
      <c r="X145" s="33">
        <f>IFERROR(VLOOKUP(lmic_raw_lb[[#This Row],[setting]],vcost_lb[],5,FALSE),0)</f>
        <v>2.2745942876591392</v>
      </c>
      <c r="Y145" s="33">
        <f>IFERROR(VLOOKUP(lmic_raw_lb[[#This Row],[setting]],vcost_lb[],6,FALSE),0)</f>
        <v>6.13700928765914</v>
      </c>
      <c r="Z145" s="33">
        <f>IFERROR(VLOOKUP(lmic_raw_lb[[#This Row],[setting]],vcost_lb[],7,FALSE),0)</f>
        <v>6.1330520011892542</v>
      </c>
      <c r="AA145" s="33">
        <f>IFERROR(VLOOKUP(lmic_raw_lb[[#This Row],[setting]],vcost_lb[],8,FALSE),0)</f>
        <v>2.8550043828784148</v>
      </c>
      <c r="AB145" s="33">
        <f>IFERROR(VLOOKUP(lmic_raw_lb[[#This Row],[setting]],vcost_lb[],9,FALSE),0)</f>
        <v>6.7174193828784148</v>
      </c>
      <c r="AC145" s="94">
        <f>VLOOKUP($A145,lmic_raw[],29,FALSE)*(1-interactive!$C$7)</f>
        <v>1.0228896999999952E-2</v>
      </c>
      <c r="AD145" s="94">
        <f>VLOOKUP($A145,lmic_raw[],30,FALSE)*(1-interactive!$C$7)</f>
        <v>5.7487406856350672E-4</v>
      </c>
      <c r="AE145" s="94">
        <f>VLOOKUP($A145,lmic_raw[],31,FALSE)*(1-interactive!$C$7)</f>
        <v>1.842281594507818E-4</v>
      </c>
      <c r="AF145" s="94">
        <f>VLOOKUP($A145,lmic_raw[],32,FALSE)*(1-interactive!$C$7)</f>
        <v>2.3590778290560234E-4</v>
      </c>
      <c r="AG145" s="94">
        <f>VLOOKUP($A145,lmic_raw[],33,FALSE)*(1-interactive!$C$7)</f>
        <v>5.9840340598489919E-4</v>
      </c>
      <c r="AH145" s="94">
        <f>VLOOKUP($A145,lmic_raw[],34,FALSE)*(1-interactive!$C$7)</f>
        <v>5.8636665272416362E-4</v>
      </c>
      <c r="AI145" s="94">
        <f>VLOOKUP($A145,lmic_raw[],35,FALSE)*(1-interactive!$C$7)</f>
        <v>5.5465463219642967E-4</v>
      </c>
      <c r="AJ145" s="94">
        <f>VLOOKUP($A145,lmic_raw[],36,FALSE)*(1-interactive!$C$7)</f>
        <v>7.3037421992483995E-4</v>
      </c>
      <c r="AK145" s="94">
        <f>VLOOKUP($A145,lmic_raw[],37,FALSE)*(1-interactive!$C$7)</f>
        <v>1.0983746355049135E-3</v>
      </c>
      <c r="AL145" s="94">
        <f>VLOOKUP($A145,lmic_raw[],38,FALSE)*(1-interactive!$C$7)</f>
        <v>2.0664061026517363E-3</v>
      </c>
      <c r="AM145" s="94">
        <f>VLOOKUP($A145,lmic_raw[],39,FALSE)*(1-interactive!$C$7)</f>
        <v>3.4307117449715202E-3</v>
      </c>
      <c r="AN145" s="94">
        <f>VLOOKUP($A145,lmic_raw[],40,FALSE)*(1-interactive!$C$7)</f>
        <v>5.6418149846261803E-3</v>
      </c>
      <c r="AO145" s="94">
        <f>VLOOKUP($A145,lmic_raw[],41,FALSE)*(1-interactive!$C$7)</f>
        <v>8.4799947168289203E-3</v>
      </c>
      <c r="AP145" s="94">
        <f>VLOOKUP($A145,lmic_raw[],42,FALSE)*(1-interactive!$C$7)</f>
        <v>1.3207949318084675E-2</v>
      </c>
      <c r="AQ145" s="94">
        <f>VLOOKUP($A145,lmic_raw[],43,FALSE)*(1-interactive!$C$7)</f>
        <v>1.993389993764861E-2</v>
      </c>
      <c r="AR145" s="94">
        <f>VLOOKUP($A145,lmic_raw[],44,FALSE)*(1-interactive!$C$7)</f>
        <v>3.1731424447423377E-2</v>
      </c>
      <c r="AS145" s="94">
        <f>VLOOKUP($A145,lmic_raw[],45,FALSE)*(1-interactive!$C$7)</f>
        <v>5.1925861798801598E-2</v>
      </c>
      <c r="AT145" s="94">
        <f>VLOOKUP($A145,lmic_raw[],46,FALSE)*(1-interactive!$C$7)</f>
        <v>7.8772112660733501E-2</v>
      </c>
      <c r="AU145" s="94">
        <f>VLOOKUP($A145,lmic_raw[],47,FALSE)*(1-interactive!$C$7)</f>
        <v>0.11028399495492208</v>
      </c>
      <c r="AV145" s="94">
        <f>VLOOKUP($A145,lmic_raw[],48,FALSE)*(1-interactive!$C$7)</f>
        <v>0.1417351121261167</v>
      </c>
      <c r="AW145" s="94">
        <f>VLOOKUP($A145,lmic_raw[],49,FALSE)*(1-interactive!$C$7)</f>
        <v>0.16202733090679061</v>
      </c>
      <c r="AX145" s="94">
        <f>VLOOKUP($A145,lmic_raw[],50,FALSE)*(1-interactive!$C$7)</f>
        <v>71.122699999999995</v>
      </c>
    </row>
    <row r="146" spans="1:50" x14ac:dyDescent="0.25">
      <c r="A146" s="109" t="s">
        <v>166</v>
      </c>
      <c r="B146" s="101" t="s">
        <v>377</v>
      </c>
      <c r="C146" s="102">
        <v>31</v>
      </c>
      <c r="D146" s="121" t="s">
        <v>675</v>
      </c>
      <c r="E146" s="98" t="s">
        <v>184</v>
      </c>
      <c r="F146" s="98" t="s">
        <v>663</v>
      </c>
      <c r="G146" s="98" t="s">
        <v>676</v>
      </c>
      <c r="H146" s="98">
        <f>VLOOKUP(lmic_raw_lb[[#This Row],[setting]],lmic_raw[],8,FALSE)</f>
        <v>10047719</v>
      </c>
      <c r="I146" s="98">
        <f>VLOOKUP(lmic_raw_lb[[#This Row],[setting]],lmic_raw[],9,FALSE)</f>
        <v>171655.23139599999</v>
      </c>
      <c r="J146" s="98">
        <f>VLOOKUP($A146,lmic_raw[],10,FALSE)*(1-interactive!$C$7)</f>
        <v>0.90915000000000001</v>
      </c>
      <c r="K146" s="98">
        <f>VLOOKUP($A146,lmic_raw[],11,FALSE)*(1-interactive!$C$7)</f>
        <v>0.93099999999999994</v>
      </c>
      <c r="L146" s="98">
        <f>VLOOKUP($A146,lmic_raw[],12,FALSE)*(1-interactive!$C$7)</f>
        <v>0.8929999999999999</v>
      </c>
      <c r="M146" s="98">
        <f>IFERROR(VLOOKUP(lmic_raw_lb[[#This Row],[iso3]], hbv_prev[[iso3]:[ub]],3,FALSE)/100,0)</f>
        <v>1.26E-2</v>
      </c>
      <c r="N146" s="98">
        <f>IFERROR(VLOOKUP(lmic_raw_lb[[#This Row],[setting]],hbe_prev[],4,FALSE),0)</f>
        <v>0.16309999999999999</v>
      </c>
      <c r="O146" s="98">
        <f>VLOOKUP(lmic_raw_lb[[#This Row],[gbd_super]],hbe_risk[],3,FALSE)</f>
        <v>0.7</v>
      </c>
      <c r="P146" s="98">
        <f>VLOOKUP(lmic_raw_lb[[#This Row],[gbd_super]],hbe_risk[],6,FALSE)</f>
        <v>0.05</v>
      </c>
      <c r="Q146" s="98">
        <f>VLOOKUP(lmic_raw_lb[[#This Row],[setting]],lmic_raw[],17,FALSE)*(1-interactive!$C$7)</f>
        <v>0</v>
      </c>
      <c r="R146" s="98">
        <f>VLOOKUP(lmic_raw_lb[[#This Row],[setting]],lmic_raw[],18,FALSE)*(1-interactive!$C$7)</f>
        <v>42.31053</v>
      </c>
      <c r="S146" s="98">
        <f>VLOOKUP(lmic_raw_lb[[#This Row],[setting]],lmic_raw[],19,FALSE)*(1-interactive!$C$7)</f>
        <v>87.665430000000001</v>
      </c>
      <c r="T146" s="98">
        <f>VLOOKUP(lmic_raw_lb[[#This Row],[setting]],lmic_raw[],20,FALSE)*(1-interactive!$C$7)</f>
        <v>87.665430000000001</v>
      </c>
      <c r="U146" s="98">
        <f>VLOOKUP(lmic_raw_lb[[#This Row],[setting]],lmic_raw[],21,FALSE)*(1-interactive!$C$7)</f>
        <v>87.665430000000001</v>
      </c>
      <c r="V146" s="33">
        <f>IFERROR(VLOOKUP(lmic_raw_lb[[#This Row],[setting]],vcost_lb[],3,FALSE),0)</f>
        <v>2.2412518995677488</v>
      </c>
      <c r="W146" s="33">
        <f>IFERROR(VLOOKUP(lmic_raw_lb[[#This Row],[setting]],vcost_lb[],4,FALSE),0)</f>
        <v>6.1036668995677488</v>
      </c>
      <c r="X146" s="33">
        <f>IFERROR(VLOOKUP(lmic_raw_lb[[#This Row],[setting]],vcost_lb[],5,FALSE),0)</f>
        <v>1.8730822979062356</v>
      </c>
      <c r="Y146" s="33">
        <f>IFERROR(VLOOKUP(lmic_raw_lb[[#This Row],[setting]],vcost_lb[],6,FALSE),0)</f>
        <v>5.7354972979062362</v>
      </c>
      <c r="Z146" s="33">
        <f>IFERROR(VLOOKUP(lmic_raw_lb[[#This Row],[setting]],vcost_lb[],7,FALSE),0)</f>
        <v>5.7315233820413365</v>
      </c>
      <c r="AA146" s="33">
        <f>IFERROR(VLOOKUP(lmic_raw_lb[[#This Row],[setting]],vcost_lb[],8,FALSE),0)</f>
        <v>2.4536804033726085</v>
      </c>
      <c r="AB146" s="33">
        <f>IFERROR(VLOOKUP(lmic_raw_lb[[#This Row],[setting]],vcost_lb[],9,FALSE),0)</f>
        <v>6.3160954033726089</v>
      </c>
      <c r="AC146" s="98">
        <f>VLOOKUP($A146,lmic_raw[],29,FALSE)*(1-interactive!$C$7)</f>
        <v>1.9765528999999948E-2</v>
      </c>
      <c r="AD146" s="98">
        <f>VLOOKUP($A146,lmic_raw[],30,FALSE)*(1-interactive!$C$7)</f>
        <v>1.0670658040471588E-3</v>
      </c>
      <c r="AE146" s="98">
        <f>VLOOKUP($A146,lmic_raw[],31,FALSE)*(1-interactive!$C$7)</f>
        <v>3.6399385614254256E-4</v>
      </c>
      <c r="AF146" s="98">
        <f>VLOOKUP($A146,lmic_raw[],32,FALSE)*(1-interactive!$C$7)</f>
        <v>3.1115850713940807E-4</v>
      </c>
      <c r="AG146" s="98">
        <f>VLOOKUP($A146,lmic_raw[],33,FALSE)*(1-interactive!$C$7)</f>
        <v>6.3750958810314081E-4</v>
      </c>
      <c r="AH146" s="98">
        <f>VLOOKUP($A146,lmic_raw[],34,FALSE)*(1-interactive!$C$7)</f>
        <v>7.9251943349295301E-4</v>
      </c>
      <c r="AI146" s="98">
        <f>VLOOKUP($A146,lmic_raw[],35,FALSE)*(1-interactive!$C$7)</f>
        <v>7.9831836713456777E-4</v>
      </c>
      <c r="AJ146" s="98">
        <f>VLOOKUP($A146,lmic_raw[],36,FALSE)*(1-interactive!$C$7)</f>
        <v>9.5742371310006923E-4</v>
      </c>
      <c r="AK146" s="98">
        <f>VLOOKUP($A146,lmic_raw[],37,FALSE)*(1-interactive!$C$7)</f>
        <v>1.3407872015251488E-3</v>
      </c>
      <c r="AL146" s="98">
        <f>VLOOKUP($A146,lmic_raw[],38,FALSE)*(1-interactive!$C$7)</f>
        <v>2.0274303940789203E-3</v>
      </c>
      <c r="AM146" s="98">
        <f>VLOOKUP($A146,lmic_raw[],39,FALSE)*(1-interactive!$C$7)</f>
        <v>3.2908820984320682E-3</v>
      </c>
      <c r="AN146" s="98">
        <f>VLOOKUP($A146,lmic_raw[],40,FALSE)*(1-interactive!$C$7)</f>
        <v>5.3522594179292978E-3</v>
      </c>
      <c r="AO146" s="98">
        <f>VLOOKUP($A146,lmic_raw[],41,FALSE)*(1-interactive!$C$7)</f>
        <v>8.6761703189182325E-3</v>
      </c>
      <c r="AP146" s="98">
        <f>VLOOKUP($A146,lmic_raw[],42,FALSE)*(1-interactive!$C$7)</f>
        <v>1.4153498349725003E-2</v>
      </c>
      <c r="AQ146" s="98">
        <f>VLOOKUP($A146,lmic_raw[],43,FALSE)*(1-interactive!$C$7)</f>
        <v>2.2884013189161702E-2</v>
      </c>
      <c r="AR146" s="98">
        <f>VLOOKUP($A146,lmic_raw[],44,FALSE)*(1-interactive!$C$7)</f>
        <v>3.6953343010679887E-2</v>
      </c>
      <c r="AS146" s="98">
        <f>VLOOKUP($A146,lmic_raw[],45,FALSE)*(1-interactive!$C$7)</f>
        <v>5.8540897644734198E-2</v>
      </c>
      <c r="AT146" s="98">
        <f>VLOOKUP($A146,lmic_raw[],46,FALSE)*(1-interactive!$C$7)</f>
        <v>8.6891324874703038E-2</v>
      </c>
      <c r="AU146" s="98">
        <f>VLOOKUP($A146,lmic_raw[],47,FALSE)*(1-interactive!$C$7)</f>
        <v>0.11917905432427373</v>
      </c>
      <c r="AV146" s="98">
        <f>VLOOKUP($A146,lmic_raw[],48,FALSE)*(1-interactive!$C$7)</f>
        <v>0.14701136650012112</v>
      </c>
      <c r="AW146" s="98">
        <f>VLOOKUP($A146,lmic_raw[],49,FALSE)*(1-interactive!$C$7)</f>
        <v>0.16541481194961458</v>
      </c>
      <c r="AX146" s="98">
        <f>VLOOKUP($A146,lmic_raw[],50,FALSE)*(1-interactive!$C$7)</f>
        <v>69.169499999999999</v>
      </c>
    </row>
    <row r="147" spans="1:50" x14ac:dyDescent="0.25">
      <c r="A147" s="110" t="s">
        <v>192</v>
      </c>
      <c r="B147" s="104" t="s">
        <v>379</v>
      </c>
      <c r="C147" s="105">
        <v>50</v>
      </c>
      <c r="D147" s="122" t="s">
        <v>680</v>
      </c>
      <c r="E147" s="94" t="s">
        <v>589</v>
      </c>
      <c r="F147" s="94" t="s">
        <v>589</v>
      </c>
      <c r="G147" s="94" t="s">
        <v>678</v>
      </c>
      <c r="H147" s="98">
        <f>VLOOKUP(lmic_raw_lb[[#This Row],[setting]],lmic_raw[],8,FALSE)</f>
        <v>163046173</v>
      </c>
      <c r="I147" s="98">
        <f>VLOOKUP(lmic_raw_lb[[#This Row],[setting]],lmic_raw[],9,FALSE)</f>
        <v>2993690.7824530001</v>
      </c>
      <c r="J147" s="94">
        <f>VLOOKUP($A147,lmic_raw[],10,FALSE)*(1-interactive!$C$7)</f>
        <v>0.50729999999999997</v>
      </c>
      <c r="K147" s="94">
        <f>VLOOKUP($A147,lmic_raw[],11,FALSE)*(1-interactive!$C$7)</f>
        <v>0</v>
      </c>
      <c r="L147" s="94">
        <f>VLOOKUP($A147,lmic_raw[],12,FALSE)*(1-interactive!$C$7)</f>
        <v>0.93099999999999994</v>
      </c>
      <c r="M147" s="94">
        <f>IFERROR(VLOOKUP(lmic_raw_lb[[#This Row],[iso3]], hbv_prev[[iso3]:[ub]],3,FALSE)/100,0)</f>
        <v>3.2199999999999999E-2</v>
      </c>
      <c r="N147" s="94">
        <f>IFERROR(VLOOKUP(lmic_raw_lb[[#This Row],[setting]],hbe_prev[],4,FALSE),0)</f>
        <v>0.1482</v>
      </c>
      <c r="O147" s="94">
        <f>VLOOKUP(lmic_raw_lb[[#This Row],[gbd_super]],hbe_risk[],3,FALSE)</f>
        <v>0.7</v>
      </c>
      <c r="P147" s="94">
        <f>VLOOKUP(lmic_raw_lb[[#This Row],[gbd_super]],hbe_risk[],6,FALSE)</f>
        <v>0.05</v>
      </c>
      <c r="Q147" s="94">
        <f>VLOOKUP(lmic_raw_lb[[#This Row],[setting]],lmic_raw[],17,FALSE)*(1-interactive!$C$7)</f>
        <v>0</v>
      </c>
      <c r="R147" s="98">
        <f>VLOOKUP(lmic_raw_lb[[#This Row],[setting]],lmic_raw[],18,FALSE)*(1-interactive!$C$7)</f>
        <v>43.604905000000002</v>
      </c>
      <c r="S147" s="98">
        <f>VLOOKUP(lmic_raw_lb[[#This Row],[setting]],lmic_raw[],19,FALSE)*(1-interactive!$C$7)</f>
        <v>88.959805000000003</v>
      </c>
      <c r="T147" s="98">
        <f>VLOOKUP(lmic_raw_lb[[#This Row],[setting]],lmic_raw[],20,FALSE)*(1-interactive!$C$7)</f>
        <v>88.959805000000003</v>
      </c>
      <c r="U147" s="98">
        <f>VLOOKUP(lmic_raw_lb[[#This Row],[setting]],lmic_raw[],21,FALSE)*(1-interactive!$C$7)</f>
        <v>88.959805000000003</v>
      </c>
      <c r="V147" s="33">
        <f>IFERROR(VLOOKUP(lmic_raw_lb[[#This Row],[setting]],vcost_lb[],3,FALSE),0)</f>
        <v>1.0430275748452755</v>
      </c>
      <c r="W147" s="33">
        <f>IFERROR(VLOOKUP(lmic_raw_lb[[#This Row],[setting]],vcost_lb[],4,FALSE),0)</f>
        <v>3.3705275748452754</v>
      </c>
      <c r="X147" s="33">
        <f>IFERROR(VLOOKUP(lmic_raw_lb[[#This Row],[setting]],vcost_lb[],5,FALSE),0)</f>
        <v>0.67626798924595766</v>
      </c>
      <c r="Y147" s="33">
        <f>IFERROR(VLOOKUP(lmic_raw_lb[[#This Row],[setting]],vcost_lb[],6,FALSE),0)</f>
        <v>3.0037679892459579</v>
      </c>
      <c r="Z147" s="33">
        <f>IFERROR(VLOOKUP(lmic_raw_lb[[#This Row],[setting]],vcost_lb[],7,FALSE),0)</f>
        <v>3.0004365552297787</v>
      </c>
      <c r="AA147" s="33">
        <f>IFERROR(VLOOKUP(lmic_raw_lb[[#This Row],[setting]],vcost_lb[],8,FALSE),0)</f>
        <v>1.2548517860520527</v>
      </c>
      <c r="AB147" s="33">
        <f>IFERROR(VLOOKUP(lmic_raw_lb[[#This Row],[setting]],vcost_lb[],9,FALSE),0)</f>
        <v>3.5823517860520528</v>
      </c>
      <c r="AC147" s="94">
        <f>VLOOKUP($A147,lmic_raw[],29,FALSE)*(1-interactive!$C$7)</f>
        <v>2.5507861000000003E-2</v>
      </c>
      <c r="AD147" s="94">
        <f>VLOOKUP($A147,lmic_raw[],30,FALSE)*(1-interactive!$C$7)</f>
        <v>1.3559604277500394E-3</v>
      </c>
      <c r="AE147" s="94">
        <f>VLOOKUP($A147,lmic_raw[],31,FALSE)*(1-interactive!$C$7)</f>
        <v>7.1080812532444099E-4</v>
      </c>
      <c r="AF147" s="94">
        <f>VLOOKUP($A147,lmic_raw[],32,FALSE)*(1-interactive!$C$7)</f>
        <v>6.0419477190120068E-4</v>
      </c>
      <c r="AG147" s="94">
        <f>VLOOKUP($A147,lmic_raw[],33,FALSE)*(1-interactive!$C$7)</f>
        <v>9.6195439411005622E-4</v>
      </c>
      <c r="AH147" s="94">
        <f>VLOOKUP($A147,lmic_raw[],34,FALSE)*(1-interactive!$C$7)</f>
        <v>9.874106753361301E-4</v>
      </c>
      <c r="AI147" s="94">
        <f>VLOOKUP($A147,lmic_raw[],35,FALSE)*(1-interactive!$C$7)</f>
        <v>9.4635923934821347E-4</v>
      </c>
      <c r="AJ147" s="94">
        <f>VLOOKUP($A147,lmic_raw[],36,FALSE)*(1-interactive!$C$7)</f>
        <v>1.1838738586487489E-3</v>
      </c>
      <c r="AK147" s="94">
        <f>VLOOKUP($A147,lmic_raw[],37,FALSE)*(1-interactive!$C$7)</f>
        <v>1.6101673684685033E-3</v>
      </c>
      <c r="AL147" s="94">
        <f>VLOOKUP($A147,lmic_raw[],38,FALSE)*(1-interactive!$C$7)</f>
        <v>2.3653842018845845E-3</v>
      </c>
      <c r="AM147" s="94">
        <f>VLOOKUP($A147,lmic_raw[],39,FALSE)*(1-interactive!$C$7)</f>
        <v>3.6849672424003692E-3</v>
      </c>
      <c r="AN147" s="94">
        <f>VLOOKUP($A147,lmic_raw[],40,FALSE)*(1-interactive!$C$7)</f>
        <v>6.0492437831762454E-3</v>
      </c>
      <c r="AO147" s="94">
        <f>VLOOKUP($A147,lmic_raw[],41,FALSE)*(1-interactive!$C$7)</f>
        <v>9.5221827091242651E-3</v>
      </c>
      <c r="AP147" s="94">
        <f>VLOOKUP($A147,lmic_raw[],42,FALSE)*(1-interactive!$C$7)</f>
        <v>1.5817246767574348E-2</v>
      </c>
      <c r="AQ147" s="94">
        <f>VLOOKUP($A147,lmic_raw[],43,FALSE)*(1-interactive!$C$7)</f>
        <v>2.2928372503334401E-2</v>
      </c>
      <c r="AR147" s="94">
        <f>VLOOKUP($A147,lmic_raw[],44,FALSE)*(1-interactive!$C$7)</f>
        <v>3.7183125402074489E-2</v>
      </c>
      <c r="AS147" s="94">
        <f>VLOOKUP($A147,lmic_raw[],45,FALSE)*(1-interactive!$C$7)</f>
        <v>5.0315646378126543E-2</v>
      </c>
      <c r="AT147" s="94">
        <f>VLOOKUP($A147,lmic_raw[],46,FALSE)*(1-interactive!$C$7)</f>
        <v>7.2383826159743897E-2</v>
      </c>
      <c r="AU147" s="94">
        <f>VLOOKUP($A147,lmic_raw[],47,FALSE)*(1-interactive!$C$7)</f>
        <v>9.5652095344908622E-2</v>
      </c>
      <c r="AV147" s="94">
        <f>VLOOKUP($A147,lmic_raw[],48,FALSE)*(1-interactive!$C$7)</f>
        <v>0.1183681347274174</v>
      </c>
      <c r="AW147" s="94">
        <f>VLOOKUP($A147,lmic_raw[],49,FALSE)*(1-interactive!$C$7)</f>
        <v>0.13416654537373876</v>
      </c>
      <c r="AX147" s="94">
        <f>VLOOKUP($A147,lmic_raw[],50,FALSE)*(1-interactive!$C$7)</f>
        <v>68.542500000000004</v>
      </c>
    </row>
    <row r="148" spans="1:50" x14ac:dyDescent="0.25">
      <c r="A148" s="109" t="s">
        <v>307</v>
      </c>
      <c r="B148" s="101" t="s">
        <v>381</v>
      </c>
      <c r="C148" s="102">
        <v>112</v>
      </c>
      <c r="D148" s="121" t="s">
        <v>675</v>
      </c>
      <c r="E148" s="98" t="s">
        <v>306</v>
      </c>
      <c r="F148" s="98" t="s">
        <v>663</v>
      </c>
      <c r="G148" s="98" t="s">
        <v>676</v>
      </c>
      <c r="H148" s="98">
        <f>VLOOKUP(lmic_raw_lb[[#This Row],[setting]],lmic_raw[],8,FALSE)</f>
        <v>9452409</v>
      </c>
      <c r="I148" s="98">
        <f>VLOOKUP(lmic_raw_lb[[#This Row],[setting]],lmic_raw[],9,FALSE)</f>
        <v>111916.52256</v>
      </c>
      <c r="J148" s="98">
        <f>VLOOKUP($A148,lmic_raw[],10,FALSE)*(1-interactive!$C$7)</f>
        <v>0.94905000000000006</v>
      </c>
      <c r="K148" s="98">
        <f>VLOOKUP($A148,lmic_raw[],11,FALSE)*(1-interactive!$C$7)</f>
        <v>0.93099999999999994</v>
      </c>
      <c r="L148" s="98">
        <f>VLOOKUP($A148,lmic_raw[],12,FALSE)*(1-interactive!$C$7)</f>
        <v>0.92149999999999999</v>
      </c>
      <c r="M148" s="98">
        <f>IFERROR(VLOOKUP(lmic_raw_lb[[#This Row],[iso3]], hbv_prev[[iso3]:[ub]],3,FALSE)/100,0)</f>
        <v>2.8000000000000004E-3</v>
      </c>
      <c r="N148" s="98">
        <f>IFERROR(VLOOKUP(lmic_raw_lb[[#This Row],[setting]],hbe_prev[],4,FALSE),0)</f>
        <v>0.16339999999999999</v>
      </c>
      <c r="O148" s="98">
        <f>VLOOKUP(lmic_raw_lb[[#This Row],[gbd_super]],hbe_risk[],3,FALSE)</f>
        <v>0.7</v>
      </c>
      <c r="P148" s="98">
        <f>VLOOKUP(lmic_raw_lb[[#This Row],[gbd_super]],hbe_risk[],6,FALSE)</f>
        <v>0.05</v>
      </c>
      <c r="Q148" s="98">
        <f>VLOOKUP(lmic_raw_lb[[#This Row],[setting]],lmic_raw[],17,FALSE)*(1-interactive!$C$7)</f>
        <v>9.5951507445380315</v>
      </c>
      <c r="R148" s="98">
        <f>VLOOKUP(lmic_raw_lb[[#This Row],[setting]],lmic_raw[],18,FALSE)*(1-interactive!$C$7)</f>
        <v>42.31053</v>
      </c>
      <c r="S148" s="98">
        <f>VLOOKUP(lmic_raw_lb[[#This Row],[setting]],lmic_raw[],19,FALSE)*(1-interactive!$C$7)</f>
        <v>87.665430000000001</v>
      </c>
      <c r="T148" s="98">
        <f>VLOOKUP(lmic_raw_lb[[#This Row],[setting]],lmic_raw[],20,FALSE)*(1-interactive!$C$7)</f>
        <v>87.665430000000001</v>
      </c>
      <c r="U148" s="98">
        <f>VLOOKUP(lmic_raw_lb[[#This Row],[setting]],lmic_raw[],21,FALSE)*(1-interactive!$C$7)</f>
        <v>87.665430000000001</v>
      </c>
      <c r="V148" s="33">
        <f>IFERROR(VLOOKUP(lmic_raw_lb[[#This Row],[setting]],vcost_lb[],3,FALSE),0)</f>
        <v>2.6280520832924794</v>
      </c>
      <c r="W148" s="33">
        <f>IFERROR(VLOOKUP(lmic_raw_lb[[#This Row],[setting]],vcost_lb[],4,FALSE),0)</f>
        <v>6.4904670832924793</v>
      </c>
      <c r="X148" s="33">
        <f>IFERROR(VLOOKUP(lmic_raw_lb[[#This Row],[setting]],vcost_lb[],5,FALSE),0)</f>
        <v>2.2575353471560771</v>
      </c>
      <c r="Y148" s="33">
        <f>IFERROR(VLOOKUP(lmic_raw_lb[[#This Row],[setting]],vcost_lb[],6,FALSE),0)</f>
        <v>6.1199503471560774</v>
      </c>
      <c r="Z148" s="33">
        <f>IFERROR(VLOOKUP(lmic_raw_lb[[#This Row],[setting]],vcost_lb[],7,FALSE),0)</f>
        <v>6.1144988610190385</v>
      </c>
      <c r="AA148" s="33">
        <f>IFERROR(VLOOKUP(lmic_raw_lb[[#This Row],[setting]],vcost_lb[],8,FALSE),0)</f>
        <v>2.8414865018722919</v>
      </c>
      <c r="AB148" s="33">
        <f>IFERROR(VLOOKUP(lmic_raw_lb[[#This Row],[setting]],vcost_lb[],9,FALSE),0)</f>
        <v>6.7039015018722923</v>
      </c>
      <c r="AC148" s="98">
        <f>VLOOKUP($A148,lmic_raw[],29,FALSE)*(1-interactive!$C$7)</f>
        <v>2.8176240000000398E-3</v>
      </c>
      <c r="AD148" s="98">
        <f>VLOOKUP($A148,lmic_raw[],30,FALSE)*(1-interactive!$C$7)</f>
        <v>2.0722298178614442E-4</v>
      </c>
      <c r="AE148" s="98">
        <f>VLOOKUP($A148,lmic_raw[],31,FALSE)*(1-interactive!$C$7)</f>
        <v>1.3176312357757262E-4</v>
      </c>
      <c r="AF148" s="98">
        <f>VLOOKUP($A148,lmic_raw[],32,FALSE)*(1-interactive!$C$7)</f>
        <v>1.2510179579699503E-4</v>
      </c>
      <c r="AG148" s="98">
        <f>VLOOKUP($A148,lmic_raw[],33,FALSE)*(1-interactive!$C$7)</f>
        <v>3.3411171031736948E-4</v>
      </c>
      <c r="AH148" s="98">
        <f>VLOOKUP($A148,lmic_raw[],34,FALSE)*(1-interactive!$C$7)</f>
        <v>5.6878976626486579E-4</v>
      </c>
      <c r="AI148" s="98">
        <f>VLOOKUP($A148,lmic_raw[],35,FALSE)*(1-interactive!$C$7)</f>
        <v>8.3087419374707405E-4</v>
      </c>
      <c r="AJ148" s="98">
        <f>VLOOKUP($A148,lmic_raw[],36,FALSE)*(1-interactive!$C$7)</f>
        <v>1.3614323506074529E-3</v>
      </c>
      <c r="AK148" s="98">
        <f>VLOOKUP($A148,lmic_raw[],37,FALSE)*(1-interactive!$C$7)</f>
        <v>2.1797664411739043E-3</v>
      </c>
      <c r="AL148" s="98">
        <f>VLOOKUP($A148,lmic_raw[],38,FALSE)*(1-interactive!$C$7)</f>
        <v>3.149837719211868E-3</v>
      </c>
      <c r="AM148" s="98">
        <f>VLOOKUP($A148,lmic_raw[],39,FALSE)*(1-interactive!$C$7)</f>
        <v>4.7270393440345462E-3</v>
      </c>
      <c r="AN148" s="98">
        <f>VLOOKUP($A148,lmic_raw[],40,FALSE)*(1-interactive!$C$7)</f>
        <v>6.938605091791842E-3</v>
      </c>
      <c r="AO148" s="98">
        <f>VLOOKUP($A148,lmic_raw[],41,FALSE)*(1-interactive!$C$7)</f>
        <v>1.0322221054409138E-2</v>
      </c>
      <c r="AP148" s="98">
        <f>VLOOKUP($A148,lmic_raw[],42,FALSE)*(1-interactive!$C$7)</f>
        <v>1.5614240723267865E-2</v>
      </c>
      <c r="AQ148" s="98">
        <f>VLOOKUP($A148,lmic_raw[],43,FALSE)*(1-interactive!$C$7)</f>
        <v>2.2008633497369683E-2</v>
      </c>
      <c r="AR148" s="98">
        <f>VLOOKUP($A148,lmic_raw[],44,FALSE)*(1-interactive!$C$7)</f>
        <v>3.161782668119225E-2</v>
      </c>
      <c r="AS148" s="98">
        <f>VLOOKUP($A148,lmic_raw[],45,FALSE)*(1-interactive!$C$7)</f>
        <v>4.7810987820282209E-2</v>
      </c>
      <c r="AT148" s="98">
        <f>VLOOKUP($A148,lmic_raw[],46,FALSE)*(1-interactive!$C$7)</f>
        <v>7.349030466836047E-2</v>
      </c>
      <c r="AU148" s="98">
        <f>VLOOKUP($A148,lmic_raw[],47,FALSE)*(1-interactive!$C$7)</f>
        <v>0.10427226691314793</v>
      </c>
      <c r="AV148" s="98">
        <f>VLOOKUP($A148,lmic_raw[],48,FALSE)*(1-interactive!$C$7)</f>
        <v>0.13805827750168115</v>
      </c>
      <c r="AW148" s="98">
        <f>VLOOKUP($A148,lmic_raw[],49,FALSE)*(1-interactive!$C$7)</f>
        <v>0.16340325326333346</v>
      </c>
      <c r="AX148" s="98">
        <f>VLOOKUP($A148,lmic_raw[],50,FALSE)*(1-interactive!$C$7)</f>
        <v>70.765499999999989</v>
      </c>
    </row>
    <row r="149" spans="1:50" x14ac:dyDescent="0.25">
      <c r="A149" s="110" t="s">
        <v>253</v>
      </c>
      <c r="B149" s="104" t="s">
        <v>382</v>
      </c>
      <c r="C149" s="105">
        <v>84</v>
      </c>
      <c r="D149" s="122" t="s">
        <v>679</v>
      </c>
      <c r="E149" s="94" t="s">
        <v>223</v>
      </c>
      <c r="F149" s="94" t="s">
        <v>665</v>
      </c>
      <c r="G149" s="94" t="s">
        <v>676</v>
      </c>
      <c r="H149" s="98">
        <f>VLOOKUP(lmic_raw_lb[[#This Row],[setting]],lmic_raw[],8,FALSE)</f>
        <v>390351</v>
      </c>
      <c r="I149" s="98">
        <f>VLOOKUP(lmic_raw_lb[[#This Row],[setting]],lmic_raw[],9,FALSE)</f>
        <v>8153.6516880000008</v>
      </c>
      <c r="J149" s="94">
        <f>VLOOKUP($A149,lmic_raw[],10,FALSE)*(1-interactive!$C$7)</f>
        <v>0.91580000000000006</v>
      </c>
      <c r="K149" s="94">
        <f>VLOOKUP($A149,lmic_raw[],11,FALSE)*(1-interactive!$C$7)</f>
        <v>0.66499999999999992</v>
      </c>
      <c r="L149" s="94">
        <f>VLOOKUP($A149,lmic_raw[],12,FALSE)*(1-interactive!$C$7)</f>
        <v>0.93099999999999994</v>
      </c>
      <c r="M149" s="94">
        <f>IFERROR(VLOOKUP(lmic_raw_lb[[#This Row],[iso3]], hbv_prev[[iso3]:[ub]],3,FALSE)/100,0)</f>
        <v>3.04E-2</v>
      </c>
      <c r="N149" s="94">
        <f>IFERROR(VLOOKUP(lmic_raw_lb[[#This Row],[setting]],hbe_prev[],4,FALSE),0)</f>
        <v>0.16309999999999999</v>
      </c>
      <c r="O149" s="94">
        <f>VLOOKUP(lmic_raw_lb[[#This Row],[gbd_super]],hbe_risk[],3,FALSE)</f>
        <v>0.7</v>
      </c>
      <c r="P149" s="94">
        <f>VLOOKUP(lmic_raw_lb[[#This Row],[gbd_super]],hbe_risk[],6,FALSE)</f>
        <v>0.05</v>
      </c>
      <c r="Q149" s="94">
        <f>VLOOKUP(lmic_raw_lb[[#This Row],[setting]],lmic_raw[],17,FALSE)*(1-interactive!$C$7)</f>
        <v>8.4901421748543182</v>
      </c>
      <c r="R149" s="98">
        <f>VLOOKUP(lmic_raw_lb[[#This Row],[setting]],lmic_raw[],18,FALSE)*(1-interactive!$C$7)</f>
        <v>82.539704999999998</v>
      </c>
      <c r="S149" s="98">
        <f>VLOOKUP(lmic_raw_lb[[#This Row],[setting]],lmic_raw[],19,FALSE)*(1-interactive!$C$7)</f>
        <v>127.894605</v>
      </c>
      <c r="T149" s="98">
        <f>VLOOKUP(lmic_raw_lb[[#This Row],[setting]],lmic_raw[],20,FALSE)*(1-interactive!$C$7)</f>
        <v>127.894605</v>
      </c>
      <c r="U149" s="98">
        <f>VLOOKUP(lmic_raw_lb[[#This Row],[setting]],lmic_raw[],21,FALSE)*(1-interactive!$C$7)</f>
        <v>127.894605</v>
      </c>
      <c r="V149" s="33">
        <f>IFERROR(VLOOKUP(lmic_raw_lb[[#This Row],[setting]],vcost_lb[],3,FALSE),0)</f>
        <v>4.1982414321036279</v>
      </c>
      <c r="W149" s="33">
        <f>IFERROR(VLOOKUP(lmic_raw_lb[[#This Row],[setting]],vcost_lb[],4,FALSE),0)</f>
        <v>4.2189514321036281</v>
      </c>
      <c r="X149" s="33">
        <f>IFERROR(VLOOKUP(lmic_raw_lb[[#This Row],[setting]],vcost_lb[],5,FALSE),0)</f>
        <v>3.8300761405743997</v>
      </c>
      <c r="Y149" s="33">
        <f>IFERROR(VLOOKUP(lmic_raw_lb[[#This Row],[setting]],vcost_lb[],6,FALSE),0)</f>
        <v>3.8507861405743995</v>
      </c>
      <c r="Z149" s="33">
        <f>IFERROR(VLOOKUP(lmic_raw_lb[[#This Row],[setting]],vcost_lb[],7,FALSE),0)</f>
        <v>3.8468400253271859</v>
      </c>
      <c r="AA149" s="33">
        <f>IFERROR(VLOOKUP(lmic_raw_lb[[#This Row],[setting]],vcost_lb[],8,FALSE),0)</f>
        <v>4.4106680887089373</v>
      </c>
      <c r="AB149" s="33">
        <f>IFERROR(VLOOKUP(lmic_raw_lb[[#This Row],[setting]],vcost_lb[],9,FALSE),0)</f>
        <v>4.4313780887089376</v>
      </c>
      <c r="AC149" s="94">
        <f>VLOOKUP($A149,lmic_raw[],29,FALSE)*(1-interactive!$C$7)</f>
        <v>1.2175266500000033E-2</v>
      </c>
      <c r="AD149" s="94">
        <f>VLOOKUP($A149,lmic_raw[],30,FALSE)*(1-interactive!$C$7)</f>
        <v>5.0197471812570634E-4</v>
      </c>
      <c r="AE149" s="94">
        <f>VLOOKUP($A149,lmic_raw[],31,FALSE)*(1-interactive!$C$7)</f>
        <v>2.8911474990738173E-4</v>
      </c>
      <c r="AF149" s="94">
        <f>VLOOKUP($A149,lmic_raw[],32,FALSE)*(1-interactive!$C$7)</f>
        <v>3.1359707496900972E-4</v>
      </c>
      <c r="AG149" s="94">
        <f>VLOOKUP($A149,lmic_raw[],33,FALSE)*(1-interactive!$C$7)</f>
        <v>9.4370099149770556E-4</v>
      </c>
      <c r="AH149" s="94">
        <f>VLOOKUP($A149,lmic_raw[],34,FALSE)*(1-interactive!$C$7)</f>
        <v>1.4805023080087254E-3</v>
      </c>
      <c r="AI149" s="94">
        <f>VLOOKUP($A149,lmic_raw[],35,FALSE)*(1-interactive!$C$7)</f>
        <v>2.2121871134670673E-3</v>
      </c>
      <c r="AJ149" s="94">
        <f>VLOOKUP($A149,lmic_raw[],36,FALSE)*(1-interactive!$C$7)</f>
        <v>2.6137435833212606E-3</v>
      </c>
      <c r="AK149" s="94">
        <f>VLOOKUP($A149,lmic_raw[],37,FALSE)*(1-interactive!$C$7)</f>
        <v>2.7236747556477494E-3</v>
      </c>
      <c r="AL149" s="94">
        <f>VLOOKUP($A149,lmic_raw[],38,FALSE)*(1-interactive!$C$7)</f>
        <v>3.3395115389218749E-3</v>
      </c>
      <c r="AM149" s="94">
        <f>VLOOKUP($A149,lmic_raw[],39,FALSE)*(1-interactive!$C$7)</f>
        <v>4.6025046726243168E-3</v>
      </c>
      <c r="AN149" s="94">
        <f>VLOOKUP($A149,lmic_raw[],40,FALSE)*(1-interactive!$C$7)</f>
        <v>6.3856309653817752E-3</v>
      </c>
      <c r="AO149" s="94">
        <f>VLOOKUP($A149,lmic_raw[],41,FALSE)*(1-interactive!$C$7)</f>
        <v>1.0048965085874698E-2</v>
      </c>
      <c r="AP149" s="94">
        <f>VLOOKUP($A149,lmic_raw[],42,FALSE)*(1-interactive!$C$7)</f>
        <v>1.3381747843825873E-2</v>
      </c>
      <c r="AQ149" s="94">
        <f>VLOOKUP($A149,lmic_raw[],43,FALSE)*(1-interactive!$C$7)</f>
        <v>1.8075578910110829E-2</v>
      </c>
      <c r="AR149" s="94">
        <f>VLOOKUP($A149,lmic_raw[],44,FALSE)*(1-interactive!$C$7)</f>
        <v>2.5224479044451999E-2</v>
      </c>
      <c r="AS149" s="94">
        <f>VLOOKUP($A149,lmic_raw[],45,FALSE)*(1-interactive!$C$7)</f>
        <v>3.6736667093888217E-2</v>
      </c>
      <c r="AT149" s="94">
        <f>VLOOKUP($A149,lmic_raw[],46,FALSE)*(1-interactive!$C$7)</f>
        <v>5.8129694248748552E-2</v>
      </c>
      <c r="AU149" s="94">
        <f>VLOOKUP($A149,lmic_raw[],47,FALSE)*(1-interactive!$C$7)</f>
        <v>8.0996679050755874E-2</v>
      </c>
      <c r="AV149" s="94">
        <f>VLOOKUP($A149,lmic_raw[],48,FALSE)*(1-interactive!$C$7)</f>
        <v>0.10390891448629154</v>
      </c>
      <c r="AW149" s="94">
        <f>VLOOKUP($A149,lmic_raw[],49,FALSE)*(1-interactive!$C$7)</f>
        <v>0.14356974935585201</v>
      </c>
      <c r="AX149" s="94">
        <f>VLOOKUP($A149,lmic_raw[],50,FALSE)*(1-interactive!$C$7)</f>
        <v>70.651499999999999</v>
      </c>
    </row>
    <row r="150" spans="1:50" x14ac:dyDescent="0.25">
      <c r="A150" s="109" t="s">
        <v>138</v>
      </c>
      <c r="B150" s="101" t="s">
        <v>383</v>
      </c>
      <c r="C150" s="102">
        <v>204</v>
      </c>
      <c r="D150" s="121" t="s">
        <v>677</v>
      </c>
      <c r="E150" s="98" t="s">
        <v>591</v>
      </c>
      <c r="F150" s="98" t="s">
        <v>667</v>
      </c>
      <c r="G150" s="98" t="s">
        <v>674</v>
      </c>
      <c r="H150" s="98">
        <f>VLOOKUP(lmic_raw_lb[[#This Row],[setting]],lmic_raw[],8,FALSE)</f>
        <v>11801151</v>
      </c>
      <c r="I150" s="98">
        <f>VLOOKUP(lmic_raw_lb[[#This Row],[setting]],lmic_raw[],9,FALSE)</f>
        <v>429573.69755100005</v>
      </c>
      <c r="J150" s="98">
        <f>VLOOKUP($A150,lmic_raw[],10,FALSE)*(1-interactive!$C$7)</f>
        <v>0.79705000000000004</v>
      </c>
      <c r="K150" s="98">
        <f>VLOOKUP($A150,lmic_raw[],11,FALSE)*(1-interactive!$C$7)</f>
        <v>0</v>
      </c>
      <c r="L150" s="98">
        <f>VLOOKUP($A150,lmic_raw[],12,FALSE)*(1-interactive!$C$7)</f>
        <v>0.72199999999999998</v>
      </c>
      <c r="M150" s="98">
        <f>IFERROR(VLOOKUP(lmic_raw_lb[[#This Row],[iso3]], hbv_prev[[iso3]:[ub]],3,FALSE)/100,0)</f>
        <v>8.1500000000000003E-2</v>
      </c>
      <c r="N150" s="98">
        <f>IFERROR(VLOOKUP(lmic_raw_lb[[#This Row],[setting]],hbe_prev[],4,FALSE),0)</f>
        <v>0.155</v>
      </c>
      <c r="O150" s="98">
        <f>VLOOKUP(lmic_raw_lb[[#This Row],[gbd_super]],hbe_risk[],3,FALSE)</f>
        <v>7.0000000000000007E-2</v>
      </c>
      <c r="P150" s="98">
        <f>VLOOKUP(lmic_raw_lb[[#This Row],[gbd_super]],hbe_risk[],6,FALSE)</f>
        <v>1E-3</v>
      </c>
      <c r="Q150" s="98">
        <f>VLOOKUP(lmic_raw_lb[[#This Row],[setting]],lmic_raw[],17,FALSE)*(1-interactive!$C$7)</f>
        <v>3.0214773146849283</v>
      </c>
      <c r="R150" s="98">
        <f>VLOOKUP(lmic_raw_lb[[#This Row],[setting]],lmic_raw[],18,FALSE)*(1-interactive!$C$7)</f>
        <v>28.424474999999997</v>
      </c>
      <c r="S150" s="98">
        <f>VLOOKUP(lmic_raw_lb[[#This Row],[setting]],lmic_raw[],19,FALSE)*(1-interactive!$C$7)</f>
        <v>73.779375000000002</v>
      </c>
      <c r="T150" s="98">
        <f>VLOOKUP(lmic_raw_lb[[#This Row],[setting]],lmic_raw[],20,FALSE)*(1-interactive!$C$7)</f>
        <v>73.779375000000002</v>
      </c>
      <c r="U150" s="98">
        <f>VLOOKUP(lmic_raw_lb[[#This Row],[setting]],lmic_raw[],21,FALSE)*(1-interactive!$C$7)</f>
        <v>73.779375000000002</v>
      </c>
      <c r="V150" s="33">
        <f>IFERROR(VLOOKUP(lmic_raw_lb[[#This Row],[setting]],vcost_lb[],3,FALSE),0)</f>
        <v>0.90823722241061067</v>
      </c>
      <c r="W150" s="33">
        <f>IFERROR(VLOOKUP(lmic_raw_lb[[#This Row],[setting]],vcost_lb[],4,FALSE),0)</f>
        <v>5.4955022224106109</v>
      </c>
      <c r="X150" s="33">
        <f>IFERROR(VLOOKUP(lmic_raw_lb[[#This Row],[setting]],vcost_lb[],5,FALSE),0)</f>
        <v>0.54184425251968404</v>
      </c>
      <c r="Y150" s="33">
        <f>IFERROR(VLOOKUP(lmic_raw_lb[[#This Row],[setting]],vcost_lb[],6,FALSE),0)</f>
        <v>5.1291092525196849</v>
      </c>
      <c r="Z150" s="33">
        <f>IFERROR(VLOOKUP(lmic_raw_lb[[#This Row],[setting]],vcost_lb[],7,FALSE),0)</f>
        <v>5.1263464050045355</v>
      </c>
      <c r="AA150" s="33">
        <f>IFERROR(VLOOKUP(lmic_raw_lb[[#This Row],[setting]],vcost_lb[],8,FALSE),0)</f>
        <v>1.1199043125995054</v>
      </c>
      <c r="AB150" s="33">
        <f>IFERROR(VLOOKUP(lmic_raw_lb[[#This Row],[setting]],vcost_lb[],9,FALSE),0)</f>
        <v>5.7071693125995058</v>
      </c>
      <c r="AC150" s="98">
        <f>VLOOKUP($A150,lmic_raw[],29,FALSE)*(1-interactive!$C$7)</f>
        <v>5.8106702499999954E-2</v>
      </c>
      <c r="AD150" s="98">
        <f>VLOOKUP($A150,lmic_raw[],30,FALSE)*(1-interactive!$C$7)</f>
        <v>8.7324917992782809E-3</v>
      </c>
      <c r="AE150" s="98">
        <f>VLOOKUP($A150,lmic_raw[],31,FALSE)*(1-interactive!$C$7)</f>
        <v>2.9416631759973957E-3</v>
      </c>
      <c r="AF150" s="98">
        <f>VLOOKUP($A150,lmic_raw[],32,FALSE)*(1-interactive!$C$7)</f>
        <v>1.740807257803104E-3</v>
      </c>
      <c r="AG150" s="98">
        <f>VLOOKUP($A150,lmic_raw[],33,FALSE)*(1-interactive!$C$7)</f>
        <v>2.3401131136008384E-3</v>
      </c>
      <c r="AH150" s="98">
        <f>VLOOKUP($A150,lmic_raw[],34,FALSE)*(1-interactive!$C$7)</f>
        <v>3.167586872471438E-3</v>
      </c>
      <c r="AI150" s="98">
        <f>VLOOKUP($A150,lmic_raw[],35,FALSE)*(1-interactive!$C$7)</f>
        <v>3.4819964105745685E-3</v>
      </c>
      <c r="AJ150" s="98">
        <f>VLOOKUP($A150,lmic_raw[],36,FALSE)*(1-interactive!$C$7)</f>
        <v>3.8422382167263005E-3</v>
      </c>
      <c r="AK150" s="98">
        <f>VLOOKUP($A150,lmic_raw[],37,FALSE)*(1-interactive!$C$7)</f>
        <v>4.3778228401940341E-3</v>
      </c>
      <c r="AL150" s="98">
        <f>VLOOKUP($A150,lmic_raw[],38,FALSE)*(1-interactive!$C$7)</f>
        <v>5.4099829136548096E-3</v>
      </c>
      <c r="AM150" s="98">
        <f>VLOOKUP($A150,lmic_raw[],39,FALSE)*(1-interactive!$C$7)</f>
        <v>6.5723699295530914E-3</v>
      </c>
      <c r="AN150" s="98">
        <f>VLOOKUP($A150,lmic_raw[],40,FALSE)*(1-interactive!$C$7)</f>
        <v>9.1378258815910992E-3</v>
      </c>
      <c r="AO150" s="98">
        <f>VLOOKUP($A150,lmic_raw[],41,FALSE)*(1-interactive!$C$7)</f>
        <v>1.222131611364697E-2</v>
      </c>
      <c r="AP150" s="98">
        <f>VLOOKUP($A150,lmic_raw[],42,FALSE)*(1-interactive!$C$7)</f>
        <v>1.8373125188166646E-2</v>
      </c>
      <c r="AQ150" s="98">
        <f>VLOOKUP($A150,lmic_raw[],43,FALSE)*(1-interactive!$C$7)</f>
        <v>2.8009476073596461E-2</v>
      </c>
      <c r="AR150" s="98">
        <f>VLOOKUP($A150,lmic_raw[],44,FALSE)*(1-interactive!$C$7)</f>
        <v>4.2988637149515362E-2</v>
      </c>
      <c r="AS150" s="98">
        <f>VLOOKUP($A150,lmic_raw[],45,FALSE)*(1-interactive!$C$7)</f>
        <v>6.4353521784876133E-2</v>
      </c>
      <c r="AT150" s="98">
        <f>VLOOKUP($A150,lmic_raw[],46,FALSE)*(1-interactive!$C$7)</f>
        <v>9.2687393607720533E-2</v>
      </c>
      <c r="AU150" s="98">
        <f>VLOOKUP($A150,lmic_raw[],47,FALSE)*(1-interactive!$C$7)</f>
        <v>0.12306702086755865</v>
      </c>
      <c r="AV150" s="98">
        <f>VLOOKUP($A150,lmic_raw[],48,FALSE)*(1-interactive!$C$7)</f>
        <v>0.14953303490317804</v>
      </c>
      <c r="AW150" s="98">
        <f>VLOOKUP($A150,lmic_raw[],49,FALSE)*(1-interactive!$C$7)</f>
        <v>0.16730598402636218</v>
      </c>
      <c r="AX150" s="98">
        <f>VLOOKUP($A150,lmic_raw[],50,FALSE)*(1-interactive!$C$7)</f>
        <v>58.237849999999995</v>
      </c>
    </row>
    <row r="151" spans="1:50" x14ac:dyDescent="0.25">
      <c r="A151" s="110" t="s">
        <v>193</v>
      </c>
      <c r="B151" s="104" t="s">
        <v>384</v>
      </c>
      <c r="C151" s="105">
        <v>64</v>
      </c>
      <c r="D151" s="122" t="s">
        <v>680</v>
      </c>
      <c r="E151" s="94" t="s">
        <v>589</v>
      </c>
      <c r="F151" s="94" t="s">
        <v>589</v>
      </c>
      <c r="G151" s="94" t="s">
        <v>678</v>
      </c>
      <c r="H151" s="98">
        <f>VLOOKUP(lmic_raw_lb[[#This Row],[setting]],lmic_raw[],8,FALSE)</f>
        <v>763094</v>
      </c>
      <c r="I151" s="98">
        <f>VLOOKUP(lmic_raw_lb[[#This Row],[setting]],lmic_raw[],9,FALSE)</f>
        <v>13348.040248000001</v>
      </c>
      <c r="J151" s="94">
        <f>VLOOKUP($A151,lmic_raw[],10,FALSE)*(1-interactive!$C$7)</f>
        <v>0.70109999999999995</v>
      </c>
      <c r="K151" s="94">
        <f>VLOOKUP($A151,lmic_raw[],11,FALSE)*(1-interactive!$C$7)</f>
        <v>0.81699999999999995</v>
      </c>
      <c r="L151" s="94">
        <f>VLOOKUP($A151,lmic_raw[],12,FALSE)*(1-interactive!$C$7)</f>
        <v>0.92149999999999999</v>
      </c>
      <c r="M151" s="94">
        <f>IFERROR(VLOOKUP(lmic_raw_lb[[#This Row],[iso3]], hbv_prev[[iso3]:[ub]],3,FALSE)/100,0)</f>
        <v>3.3099999999999997E-2</v>
      </c>
      <c r="N151" s="94">
        <f>IFERROR(VLOOKUP(lmic_raw_lb[[#This Row],[setting]],hbe_prev[],4,FALSE),0)</f>
        <v>0.1482</v>
      </c>
      <c r="O151" s="94">
        <f>VLOOKUP(lmic_raw_lb[[#This Row],[gbd_super]],hbe_risk[],3,FALSE)</f>
        <v>0.7</v>
      </c>
      <c r="P151" s="94">
        <f>VLOOKUP(lmic_raw_lb[[#This Row],[gbd_super]],hbe_risk[],6,FALSE)</f>
        <v>0.05</v>
      </c>
      <c r="Q151" s="94">
        <f>VLOOKUP(lmic_raw_lb[[#This Row],[setting]],lmic_raw[],17,FALSE)*(1-interactive!$C$7)</f>
        <v>4.9834313057560093</v>
      </c>
      <c r="R151" s="98">
        <f>VLOOKUP(lmic_raw_lb[[#This Row],[setting]],lmic_raw[],18,FALSE)*(1-interactive!$C$7)</f>
        <v>43.604905000000002</v>
      </c>
      <c r="S151" s="98">
        <f>VLOOKUP(lmic_raw_lb[[#This Row],[setting]],lmic_raw[],19,FALSE)*(1-interactive!$C$7)</f>
        <v>88.959805000000003</v>
      </c>
      <c r="T151" s="98">
        <f>VLOOKUP(lmic_raw_lb[[#This Row],[setting]],lmic_raw[],20,FALSE)*(1-interactive!$C$7)</f>
        <v>88.959805000000003</v>
      </c>
      <c r="U151" s="98">
        <f>VLOOKUP(lmic_raw_lb[[#This Row],[setting]],lmic_raw[],21,FALSE)*(1-interactive!$C$7)</f>
        <v>88.959805000000003</v>
      </c>
      <c r="V151" s="33">
        <f>IFERROR(VLOOKUP(lmic_raw_lb[[#This Row],[setting]],vcost_lb[],3,FALSE),0)</f>
        <v>3.6255209839403388</v>
      </c>
      <c r="W151" s="33">
        <f>IFERROR(VLOOKUP(lmic_raw_lb[[#This Row],[setting]],vcost_lb[],4,FALSE),0)</f>
        <v>5.9530209839403394</v>
      </c>
      <c r="X151" s="33">
        <f>IFERROR(VLOOKUP(lmic_raw_lb[[#This Row],[setting]],vcost_lb[],5,FALSE),0)</f>
        <v>3.2556758769489362</v>
      </c>
      <c r="Y151" s="33">
        <f>IFERROR(VLOOKUP(lmic_raw_lb[[#This Row],[setting]],vcost_lb[],6,FALSE),0)</f>
        <v>5.5831758769489364</v>
      </c>
      <c r="Z151" s="33">
        <f>IFERROR(VLOOKUP(lmic_raw_lb[[#This Row],[setting]],vcost_lb[],7,FALSE),0)</f>
        <v>5.5781410661361122</v>
      </c>
      <c r="AA151" s="33">
        <f>IFERROR(VLOOKUP(lmic_raw_lb[[#This Row],[setting]],vcost_lb[],8,FALSE),0)</f>
        <v>3.8386675614580095</v>
      </c>
      <c r="AB151" s="33">
        <f>IFERROR(VLOOKUP(lmic_raw_lb[[#This Row],[setting]],vcost_lb[],9,FALSE),0)</f>
        <v>6.1661675614580096</v>
      </c>
      <c r="AC151" s="94">
        <f>VLOOKUP($A151,lmic_raw[],29,FALSE)*(1-interactive!$C$7)</f>
        <v>2.2866623500000061E-2</v>
      </c>
      <c r="AD151" s="94">
        <f>VLOOKUP($A151,lmic_raw[],30,FALSE)*(1-interactive!$C$7)</f>
        <v>1.3463421300958602E-3</v>
      </c>
      <c r="AE151" s="94">
        <f>VLOOKUP($A151,lmic_raw[],31,FALSE)*(1-interactive!$C$7)</f>
        <v>7.349576772924855E-4</v>
      </c>
      <c r="AF151" s="94">
        <f>VLOOKUP($A151,lmic_raw[],32,FALSE)*(1-interactive!$C$7)</f>
        <v>5.9562869806583437E-4</v>
      </c>
      <c r="AG151" s="94">
        <f>VLOOKUP($A151,lmic_raw[],33,FALSE)*(1-interactive!$C$7)</f>
        <v>8.0590931945226233E-4</v>
      </c>
      <c r="AH151" s="94">
        <f>VLOOKUP($A151,lmic_raw[],34,FALSE)*(1-interactive!$C$7)</f>
        <v>1.3124334560908047E-3</v>
      </c>
      <c r="AI151" s="94">
        <f>VLOOKUP($A151,lmic_raw[],35,FALSE)*(1-interactive!$C$7)</f>
        <v>1.89944720645092E-3</v>
      </c>
      <c r="AJ151" s="94">
        <f>VLOOKUP($A151,lmic_raw[],36,FALSE)*(1-interactive!$C$7)</f>
        <v>2.7530877717457628E-3</v>
      </c>
      <c r="AK151" s="94">
        <f>VLOOKUP($A151,lmic_raw[],37,FALSE)*(1-interactive!$C$7)</f>
        <v>3.7432510005914518E-3</v>
      </c>
      <c r="AL151" s="94">
        <f>VLOOKUP($A151,lmic_raw[],38,FALSE)*(1-interactive!$C$7)</f>
        <v>4.8946918510709148E-3</v>
      </c>
      <c r="AM151" s="94">
        <f>VLOOKUP($A151,lmic_raw[],39,FALSE)*(1-interactive!$C$7)</f>
        <v>6.3547087757053321E-3</v>
      </c>
      <c r="AN151" s="94">
        <f>VLOOKUP($A151,lmic_raw[],40,FALSE)*(1-interactive!$C$7)</f>
        <v>8.3566542175876161E-3</v>
      </c>
      <c r="AO151" s="94">
        <f>VLOOKUP($A151,lmic_raw[],41,FALSE)*(1-interactive!$C$7)</f>
        <v>1.13186137785497E-2</v>
      </c>
      <c r="AP151" s="94">
        <f>VLOOKUP($A151,lmic_raw[],42,FALSE)*(1-interactive!$C$7)</f>
        <v>1.5188009821042469E-2</v>
      </c>
      <c r="AQ151" s="94">
        <f>VLOOKUP($A151,lmic_raw[],43,FALSE)*(1-interactive!$C$7)</f>
        <v>2.1252733815658474E-2</v>
      </c>
      <c r="AR151" s="94">
        <f>VLOOKUP($A151,lmic_raw[],44,FALSE)*(1-interactive!$C$7)</f>
        <v>3.0081514124853288E-2</v>
      </c>
      <c r="AS151" s="94">
        <f>VLOOKUP($A151,lmic_raw[],45,FALSE)*(1-interactive!$C$7)</f>
        <v>4.2963623201066663E-2</v>
      </c>
      <c r="AT151" s="94">
        <f>VLOOKUP($A151,lmic_raw[],46,FALSE)*(1-interactive!$C$7)</f>
        <v>6.0659566605135246E-2</v>
      </c>
      <c r="AU151" s="94">
        <f>VLOOKUP($A151,lmic_raw[],47,FALSE)*(1-interactive!$C$7)</f>
        <v>7.9931113413177046E-2</v>
      </c>
      <c r="AV151" s="94">
        <f>VLOOKUP($A151,lmic_raw[],48,FALSE)*(1-interactive!$C$7)</f>
        <v>0.10219321371818435</v>
      </c>
      <c r="AW151" s="94">
        <f>VLOOKUP($A151,lmic_raw[],49,FALSE)*(1-interactive!$C$7)</f>
        <v>0.12395490066379476</v>
      </c>
      <c r="AX151" s="94">
        <f>VLOOKUP($A151,lmic_raw[],50,FALSE)*(1-interactive!$C$7)</f>
        <v>67.718850000000003</v>
      </c>
    </row>
    <row r="152" spans="1:50" x14ac:dyDescent="0.25">
      <c r="A152" s="82" t="s">
        <v>263</v>
      </c>
      <c r="B152" s="101" t="s">
        <v>385</v>
      </c>
      <c r="C152" s="102">
        <v>68</v>
      </c>
      <c r="D152" s="121" t="s">
        <v>679</v>
      </c>
      <c r="E152" s="98" t="s">
        <v>593</v>
      </c>
      <c r="F152" s="98" t="s">
        <v>665</v>
      </c>
      <c r="G152" s="98" t="s">
        <v>678</v>
      </c>
      <c r="H152" s="98">
        <f>VLOOKUP(lmic_raw_lb[[#This Row],[setting]],lmic_raw[],8,FALSE)</f>
        <v>11513102</v>
      </c>
      <c r="I152" s="98">
        <f>VLOOKUP(lmic_raw_lb[[#This Row],[setting]],lmic_raw[],9,FALSE)</f>
        <v>251929.69796400002</v>
      </c>
      <c r="J152" s="98">
        <f>VLOOKUP($A152,lmic_raw[],10,FALSE)*(1-interactive!$C$7)</f>
        <v>0.83314999999999995</v>
      </c>
      <c r="K152" s="98">
        <f>VLOOKUP($A152,lmic_raw[],11,FALSE)*(1-interactive!$C$7)</f>
        <v>0</v>
      </c>
      <c r="L152" s="98">
        <f>VLOOKUP($A152,lmic_raw[],12,FALSE)*(1-interactive!$C$7)</f>
        <v>0.71249999999999991</v>
      </c>
      <c r="M152" s="98">
        <f>IFERROR(VLOOKUP(lmic_raw_lb[[#This Row],[iso3]], hbv_prev[[iso3]:[ub]],3,FALSE)/100,0)</f>
        <v>2.3E-3</v>
      </c>
      <c r="N152" s="98">
        <f>IFERROR(VLOOKUP(lmic_raw_lb[[#This Row],[setting]],hbe_prev[],4,FALSE),0)</f>
        <v>0.16269999999999998</v>
      </c>
      <c r="O152" s="98">
        <f>VLOOKUP(lmic_raw_lb[[#This Row],[gbd_super]],hbe_risk[],3,FALSE)</f>
        <v>0.7</v>
      </c>
      <c r="P152" s="98">
        <f>VLOOKUP(lmic_raw_lb[[#This Row],[gbd_super]],hbe_risk[],6,FALSE)</f>
        <v>0.05</v>
      </c>
      <c r="Q152" s="98">
        <f>VLOOKUP(lmic_raw_lb[[#This Row],[setting]],lmic_raw[],17,FALSE)*(1-interactive!$C$7)</f>
        <v>4.7804705480590002</v>
      </c>
      <c r="R152" s="98">
        <f>VLOOKUP(lmic_raw_lb[[#This Row],[setting]],lmic_raw[],18,FALSE)*(1-interactive!$C$7)</f>
        <v>82.539704999999998</v>
      </c>
      <c r="S152" s="98">
        <f>VLOOKUP(lmic_raw_lb[[#This Row],[setting]],lmic_raw[],19,FALSE)*(1-interactive!$C$7)</f>
        <v>127.894605</v>
      </c>
      <c r="T152" s="98">
        <f>VLOOKUP(lmic_raw_lb[[#This Row],[setting]],lmic_raw[],20,FALSE)*(1-interactive!$C$7)</f>
        <v>127.894605</v>
      </c>
      <c r="U152" s="98">
        <f>VLOOKUP(lmic_raw_lb[[#This Row],[setting]],lmic_raw[],21,FALSE)*(1-interactive!$C$7)</f>
        <v>127.894605</v>
      </c>
      <c r="V152" s="33">
        <f>IFERROR(VLOOKUP(lmic_raw_lb[[#This Row],[setting]],vcost_lb[],3,FALSE),0)</f>
        <v>1.4137086089029822</v>
      </c>
      <c r="W152" s="33">
        <f>IFERROR(VLOOKUP(lmic_raw_lb[[#This Row],[setting]],vcost_lb[],4,FALSE),0)</f>
        <v>1.4344186089029822</v>
      </c>
      <c r="X152" s="33">
        <f>IFERROR(VLOOKUP(lmic_raw_lb[[#This Row],[setting]],vcost_lb[],5,FALSE),0)</f>
        <v>1.0427568328093144</v>
      </c>
      <c r="Y152" s="33">
        <f>IFERROR(VLOOKUP(lmic_raw_lb[[#This Row],[setting]],vcost_lb[],6,FALSE),0)</f>
        <v>1.0634668328093144</v>
      </c>
      <c r="Z152" s="33">
        <f>IFERROR(VLOOKUP(lmic_raw_lb[[#This Row],[setting]],vcost_lb[],7,FALSE),0)</f>
        <v>1.0572879051115984</v>
      </c>
      <c r="AA152" s="33">
        <f>IFERROR(VLOOKUP(lmic_raw_lb[[#This Row],[setting]],vcost_lb[],8,FALSE),0)</f>
        <v>1.6273294731787664</v>
      </c>
      <c r="AB152" s="33">
        <f>IFERROR(VLOOKUP(lmic_raw_lb[[#This Row],[setting]],vcost_lb[],9,FALSE),0)</f>
        <v>1.6480394731787664</v>
      </c>
      <c r="AC152" s="98">
        <f>VLOOKUP($A152,lmic_raw[],29,FALSE)*(1-interactive!$C$7)</f>
        <v>2.822364500000003E-2</v>
      </c>
      <c r="AD152" s="98">
        <f>VLOOKUP($A152,lmic_raw[],30,FALSE)*(1-interactive!$C$7)</f>
        <v>4.6523340319897799E-3</v>
      </c>
      <c r="AE152" s="98">
        <f>VLOOKUP($A152,lmic_raw[],31,FALSE)*(1-interactive!$C$7)</f>
        <v>1.2984788802680354E-3</v>
      </c>
      <c r="AF152" s="98">
        <f>VLOOKUP($A152,lmic_raw[],32,FALSE)*(1-interactive!$C$7)</f>
        <v>7.6137923831222918E-4</v>
      </c>
      <c r="AG152" s="98">
        <f>VLOOKUP($A152,lmic_raw[],33,FALSE)*(1-interactive!$C$7)</f>
        <v>1.510775492115564E-3</v>
      </c>
      <c r="AH152" s="98">
        <f>VLOOKUP($A152,lmic_raw[],34,FALSE)*(1-interactive!$C$7)</f>
        <v>2.1058752758285849E-3</v>
      </c>
      <c r="AI152" s="98">
        <f>VLOOKUP($A152,lmic_raw[],35,FALSE)*(1-interactive!$C$7)</f>
        <v>2.2617843612816831E-3</v>
      </c>
      <c r="AJ152" s="98">
        <f>VLOOKUP($A152,lmic_raw[],36,FALSE)*(1-interactive!$C$7)</f>
        <v>2.566678974565118E-3</v>
      </c>
      <c r="AK152" s="98">
        <f>VLOOKUP($A152,lmic_raw[],37,FALSE)*(1-interactive!$C$7)</f>
        <v>3.2348115698511751E-3</v>
      </c>
      <c r="AL152" s="98">
        <f>VLOOKUP($A152,lmic_raw[],38,FALSE)*(1-interactive!$C$7)</f>
        <v>3.8212153029534243E-3</v>
      </c>
      <c r="AM152" s="98">
        <f>VLOOKUP($A152,lmic_raw[],39,FALSE)*(1-interactive!$C$7)</f>
        <v>5.1735227722607387E-3</v>
      </c>
      <c r="AN152" s="98">
        <f>VLOOKUP($A152,lmic_raw[],40,FALSE)*(1-interactive!$C$7)</f>
        <v>6.9977071216973576E-3</v>
      </c>
      <c r="AO152" s="98">
        <f>VLOOKUP($A152,lmic_raw[],41,FALSE)*(1-interactive!$C$7)</f>
        <v>9.8277476820648815E-3</v>
      </c>
      <c r="AP152" s="98">
        <f>VLOOKUP($A152,lmic_raw[],42,FALSE)*(1-interactive!$C$7)</f>
        <v>1.4509784440702255E-2</v>
      </c>
      <c r="AQ152" s="98">
        <f>VLOOKUP($A152,lmic_raw[],43,FALSE)*(1-interactive!$C$7)</f>
        <v>1.9208894688906842E-2</v>
      </c>
      <c r="AR152" s="98">
        <f>VLOOKUP($A152,lmic_raw[],44,FALSE)*(1-interactive!$C$7)</f>
        <v>2.4915136708573014E-2</v>
      </c>
      <c r="AS152" s="98">
        <f>VLOOKUP($A152,lmic_raw[],45,FALSE)*(1-interactive!$C$7)</f>
        <v>3.5822532833163494E-2</v>
      </c>
      <c r="AT152" s="98">
        <f>VLOOKUP($A152,lmic_raw[],46,FALSE)*(1-interactive!$C$7)</f>
        <v>5.0745047387093636E-2</v>
      </c>
      <c r="AU152" s="98">
        <f>VLOOKUP($A152,lmic_raw[],47,FALSE)*(1-interactive!$C$7)</f>
        <v>7.1305994384417842E-2</v>
      </c>
      <c r="AV152" s="98">
        <f>VLOOKUP($A152,lmic_raw[],48,FALSE)*(1-interactive!$C$7)</f>
        <v>9.5117117597254788E-2</v>
      </c>
      <c r="AW152" s="98">
        <f>VLOOKUP($A152,lmic_raw[],49,FALSE)*(1-interactive!$C$7)</f>
        <v>0.11828160760404921</v>
      </c>
      <c r="AX152" s="98">
        <f>VLOOKUP($A152,lmic_raw[],50,FALSE)*(1-interactive!$C$7)</f>
        <v>67.527899999999988</v>
      </c>
    </row>
    <row r="153" spans="1:50" x14ac:dyDescent="0.25">
      <c r="A153" s="110" t="s">
        <v>334</v>
      </c>
      <c r="B153" s="104" t="s">
        <v>386</v>
      </c>
      <c r="C153" s="105">
        <v>70</v>
      </c>
      <c r="D153" s="122" t="s">
        <v>675</v>
      </c>
      <c r="E153" s="94" t="s">
        <v>580</v>
      </c>
      <c r="F153" s="94" t="s">
        <v>663</v>
      </c>
      <c r="G153" s="94" t="s">
        <v>676</v>
      </c>
      <c r="H153" s="98">
        <f>VLOOKUP(lmic_raw_lb[[#This Row],[setting]],lmic_raw[],8,FALSE)</f>
        <v>3300998</v>
      </c>
      <c r="I153" s="98">
        <f>VLOOKUP(lmic_raw_lb[[#This Row],[setting]],lmic_raw[],9,FALSE)</f>
        <v>27048.377612000004</v>
      </c>
      <c r="J153" s="94">
        <f>VLOOKUP($A153,lmic_raw[],10,FALSE)*(1-interactive!$C$7)</f>
        <v>0.94714999999999994</v>
      </c>
      <c r="K153" s="94">
        <f>VLOOKUP($A153,lmic_raw[],11,FALSE)*(1-interactive!$C$7)</f>
        <v>0</v>
      </c>
      <c r="L153" s="94">
        <f>VLOOKUP($A153,lmic_raw[],12,FALSE)*(1-interactive!$C$7)</f>
        <v>0.76</v>
      </c>
      <c r="M153" s="94">
        <f>IFERROR(VLOOKUP(lmic_raw_lb[[#This Row],[iso3]], hbv_prev[[iso3]:[ub]],3,FALSE)/100,0)</f>
        <v>2.3E-3</v>
      </c>
      <c r="N153" s="94">
        <f>IFERROR(VLOOKUP(lmic_raw_lb[[#This Row],[setting]],hbe_prev[],4,FALSE),0)</f>
        <v>0.16329999999999997</v>
      </c>
      <c r="O153" s="94">
        <f>VLOOKUP(lmic_raw_lb[[#This Row],[gbd_super]],hbe_risk[],3,FALSE)</f>
        <v>0.7</v>
      </c>
      <c r="P153" s="94">
        <f>VLOOKUP(lmic_raw_lb[[#This Row],[gbd_super]],hbe_risk[],6,FALSE)</f>
        <v>0.05</v>
      </c>
      <c r="Q153" s="94">
        <f>VLOOKUP(lmic_raw_lb[[#This Row],[setting]],lmic_raw[],17,FALSE)*(1-interactive!$C$7)</f>
        <v>8.569071358403157</v>
      </c>
      <c r="R153" s="98">
        <f>VLOOKUP(lmic_raw_lb[[#This Row],[setting]],lmic_raw[],18,FALSE)*(1-interactive!$C$7)</f>
        <v>42.31053</v>
      </c>
      <c r="S153" s="98">
        <f>VLOOKUP(lmic_raw_lb[[#This Row],[setting]],lmic_raw[],19,FALSE)*(1-interactive!$C$7)</f>
        <v>87.665430000000001</v>
      </c>
      <c r="T153" s="98">
        <f>VLOOKUP(lmic_raw_lb[[#This Row],[setting]],lmic_raw[],20,FALSE)*(1-interactive!$C$7)</f>
        <v>87.665430000000001</v>
      </c>
      <c r="U153" s="98">
        <f>VLOOKUP(lmic_raw_lb[[#This Row],[setting]],lmic_raw[],21,FALSE)*(1-interactive!$C$7)</f>
        <v>87.665430000000001</v>
      </c>
      <c r="V153" s="33">
        <f>IFERROR(VLOOKUP(lmic_raw_lb[[#This Row],[setting]],vcost_lb[],3,FALSE),0)</f>
        <v>1.3592470650563835</v>
      </c>
      <c r="W153" s="33">
        <f>IFERROR(VLOOKUP(lmic_raw_lb[[#This Row],[setting]],vcost_lb[],4,FALSE),0)</f>
        <v>5.2216620650563836</v>
      </c>
      <c r="X153" s="33">
        <f>IFERROR(VLOOKUP(lmic_raw_lb[[#This Row],[setting]],vcost_lb[],5,FALSE),0)</f>
        <v>0.98951474819366803</v>
      </c>
      <c r="Y153" s="33">
        <f>IFERROR(VLOOKUP(lmic_raw_lb[[#This Row],[setting]],vcost_lb[],6,FALSE),0)</f>
        <v>4.8519297481936681</v>
      </c>
      <c r="Z153" s="33">
        <f>IFERROR(VLOOKUP(lmic_raw_lb[[#This Row],[setting]],vcost_lb[],7,FALSE),0)</f>
        <v>4.8470423641238876</v>
      </c>
      <c r="AA153" s="33">
        <f>IFERROR(VLOOKUP(lmic_raw_lb[[#This Row],[setting]],vcost_lb[],8,FALSE),0)</f>
        <v>1.5723453039474735</v>
      </c>
      <c r="AB153" s="33">
        <f>IFERROR(VLOOKUP(lmic_raw_lb[[#This Row],[setting]],vcost_lb[],9,FALSE),0)</f>
        <v>5.4347603039474741</v>
      </c>
      <c r="AC153" s="94">
        <f>VLOOKUP($A153,lmic_raw[],29,FALSE)*(1-interactive!$C$7)</f>
        <v>5.7060039999999789E-3</v>
      </c>
      <c r="AD153" s="94">
        <f>VLOOKUP($A153,lmic_raw[],30,FALSE)*(1-interactive!$C$7)</f>
        <v>1.8413535084046563E-4</v>
      </c>
      <c r="AE153" s="94">
        <f>VLOOKUP($A153,lmic_raw[],31,FALSE)*(1-interactive!$C$7)</f>
        <v>7.4875327850589806E-5</v>
      </c>
      <c r="AF153" s="94">
        <f>VLOOKUP($A153,lmic_raw[],32,FALSE)*(1-interactive!$C$7)</f>
        <v>1.352443831311537E-4</v>
      </c>
      <c r="AG153" s="94">
        <f>VLOOKUP($A153,lmic_raw[],33,FALSE)*(1-interactive!$C$7)</f>
        <v>2.2055992929357726E-4</v>
      </c>
      <c r="AH153" s="94">
        <f>VLOOKUP($A153,lmic_raw[],34,FALSE)*(1-interactive!$C$7)</f>
        <v>3.3624582040920432E-4</v>
      </c>
      <c r="AI153" s="94">
        <f>VLOOKUP($A153,lmic_raw[],35,FALSE)*(1-interactive!$C$7)</f>
        <v>3.9805484216764504E-4</v>
      </c>
      <c r="AJ153" s="94">
        <f>VLOOKUP($A153,lmic_raw[],36,FALSE)*(1-interactive!$C$7)</f>
        <v>6.0112666296527686E-4</v>
      </c>
      <c r="AK153" s="94">
        <f>VLOOKUP($A153,lmic_raw[],37,FALSE)*(1-interactive!$C$7)</f>
        <v>8.2752260877574371E-4</v>
      </c>
      <c r="AL153" s="94">
        <f>VLOOKUP($A153,lmic_raw[],38,FALSE)*(1-interactive!$C$7)</f>
        <v>1.3558534068192347E-3</v>
      </c>
      <c r="AM153" s="94">
        <f>VLOOKUP($A153,lmic_raw[],39,FALSE)*(1-interactive!$C$7)</f>
        <v>2.4539980140151343E-3</v>
      </c>
      <c r="AN153" s="94">
        <f>VLOOKUP($A153,lmic_raw[],40,FALSE)*(1-interactive!$C$7)</f>
        <v>4.331739182041815E-3</v>
      </c>
      <c r="AO153" s="94">
        <f>VLOOKUP($A153,lmic_raw[],41,FALSE)*(1-interactive!$C$7)</f>
        <v>6.9165351262308536E-3</v>
      </c>
      <c r="AP153" s="94">
        <f>VLOOKUP($A153,lmic_raw[],42,FALSE)*(1-interactive!$C$7)</f>
        <v>1.12133678106143E-2</v>
      </c>
      <c r="AQ153" s="94">
        <f>VLOOKUP($A153,lmic_raw[],43,FALSE)*(1-interactive!$C$7)</f>
        <v>1.7753488355746798E-2</v>
      </c>
      <c r="AR153" s="94">
        <f>VLOOKUP($A153,lmic_raw[],44,FALSE)*(1-interactive!$C$7)</f>
        <v>2.9194178255818048E-2</v>
      </c>
      <c r="AS153" s="94">
        <f>VLOOKUP($A153,lmic_raw[],45,FALSE)*(1-interactive!$C$7)</f>
        <v>4.7883465355911287E-2</v>
      </c>
      <c r="AT153" s="94">
        <f>VLOOKUP($A153,lmic_raw[],46,FALSE)*(1-interactive!$C$7)</f>
        <v>7.2061294417439248E-2</v>
      </c>
      <c r="AU153" s="94">
        <f>VLOOKUP($A153,lmic_raw[],47,FALSE)*(1-interactive!$C$7)</f>
        <v>0.1026378957436368</v>
      </c>
      <c r="AV153" s="94">
        <f>VLOOKUP($A153,lmic_raw[],48,FALSE)*(1-interactive!$C$7)</f>
        <v>0.13414148713923216</v>
      </c>
      <c r="AW153" s="94">
        <f>VLOOKUP($A153,lmic_raw[],49,FALSE)*(1-interactive!$C$7)</f>
        <v>0.1597935112258701</v>
      </c>
      <c r="AX153" s="94">
        <f>VLOOKUP($A153,lmic_raw[],50,FALSE)*(1-interactive!$C$7)</f>
        <v>73.3172</v>
      </c>
    </row>
    <row r="154" spans="1:50" x14ac:dyDescent="0.25">
      <c r="A154" s="109" t="s">
        <v>132</v>
      </c>
      <c r="B154" s="101" t="s">
        <v>387</v>
      </c>
      <c r="C154" s="102">
        <v>72</v>
      </c>
      <c r="D154" s="121" t="s">
        <v>677</v>
      </c>
      <c r="E154" s="98" t="s">
        <v>594</v>
      </c>
      <c r="F154" s="98" t="s">
        <v>667</v>
      </c>
      <c r="G154" s="98" t="s">
        <v>676</v>
      </c>
      <c r="H154" s="98">
        <f>VLOOKUP(lmic_raw_lb[[#This Row],[setting]],lmic_raw[],8,FALSE)</f>
        <v>2303703</v>
      </c>
      <c r="I154" s="98">
        <f>VLOOKUP(lmic_raw_lb[[#This Row],[setting]],lmic_raw[],9,FALSE)</f>
        <v>57852.893438999999</v>
      </c>
      <c r="J154" s="98">
        <f>VLOOKUP($A154,lmic_raw[],10,FALSE)*(1-interactive!$C$7)</f>
        <v>0.94714999999999994</v>
      </c>
      <c r="K154" s="98">
        <f>VLOOKUP($A154,lmic_raw[],11,FALSE)*(1-interactive!$C$7)</f>
        <v>0</v>
      </c>
      <c r="L154" s="98">
        <f>VLOOKUP($A154,lmic_raw[],12,FALSE)*(1-interactive!$C$7)</f>
        <v>0.90249999999999997</v>
      </c>
      <c r="M154" s="98">
        <f>IFERROR(VLOOKUP(lmic_raw_lb[[#This Row],[iso3]], hbv_prev[[iso3]:[ub]],3,FALSE)/100,0)</f>
        <v>1.5E-3</v>
      </c>
      <c r="N154" s="98">
        <f>IFERROR(VLOOKUP(lmic_raw_lb[[#This Row],[setting]],hbe_prev[],4,FALSE),0)</f>
        <v>0.15109999999999998</v>
      </c>
      <c r="O154" s="98">
        <f>VLOOKUP(lmic_raw_lb[[#This Row],[gbd_super]],hbe_risk[],3,FALSE)</f>
        <v>7.0000000000000007E-2</v>
      </c>
      <c r="P154" s="98">
        <f>VLOOKUP(lmic_raw_lb[[#This Row],[gbd_super]],hbe_risk[],6,FALSE)</f>
        <v>1E-3</v>
      </c>
      <c r="Q154" s="98">
        <f>VLOOKUP(lmic_raw_lb[[#This Row],[setting]],lmic_raw[],17,FALSE)*(1-interactive!$C$7)</f>
        <v>13.316097968983183</v>
      </c>
      <c r="R154" s="98">
        <f>VLOOKUP(lmic_raw_lb[[#This Row],[setting]],lmic_raw[],18,FALSE)*(1-interactive!$C$7)</f>
        <v>28.424474999999997</v>
      </c>
      <c r="S154" s="98">
        <f>VLOOKUP(lmic_raw_lb[[#This Row],[setting]],lmic_raw[],19,FALSE)*(1-interactive!$C$7)</f>
        <v>73.779375000000002</v>
      </c>
      <c r="T154" s="98">
        <f>VLOOKUP(lmic_raw_lb[[#This Row],[setting]],lmic_raw[],20,FALSE)*(1-interactive!$C$7)</f>
        <v>73.779375000000002</v>
      </c>
      <c r="U154" s="98">
        <f>VLOOKUP(lmic_raw_lb[[#This Row],[setting]],lmic_raw[],21,FALSE)*(1-interactive!$C$7)</f>
        <v>73.779375000000002</v>
      </c>
      <c r="V154" s="33">
        <f>IFERROR(VLOOKUP(lmic_raw_lb[[#This Row],[setting]],vcost_lb[],3,FALSE),0)</f>
        <v>3.4548608447694416</v>
      </c>
      <c r="W154" s="33">
        <f>IFERROR(VLOOKUP(lmic_raw_lb[[#This Row],[setting]],vcost_lb[],4,FALSE),0)</f>
        <v>8.0421258447694424</v>
      </c>
      <c r="X154" s="33">
        <f>IFERROR(VLOOKUP(lmic_raw_lb[[#This Row],[setting]],vcost_lb[],5,FALSE),0)</f>
        <v>3.0831875597895846</v>
      </c>
      <c r="Y154" s="33">
        <f>IFERROR(VLOOKUP(lmic_raw_lb[[#This Row],[setting]],vcost_lb[],6,FALSE),0)</f>
        <v>7.6704525597895845</v>
      </c>
      <c r="Z154" s="33">
        <f>IFERROR(VLOOKUP(lmic_raw_lb[[#This Row],[setting]],vcost_lb[],7,FALSE),0)</f>
        <v>7.6646508971725389</v>
      </c>
      <c r="AA154" s="33">
        <f>IFERROR(VLOOKUP(lmic_raw_lb[[#This Row],[setting]],vcost_lb[],8,FALSE),0)</f>
        <v>3.6687909271393067</v>
      </c>
      <c r="AB154" s="33">
        <f>IFERROR(VLOOKUP(lmic_raw_lb[[#This Row],[setting]],vcost_lb[],9,FALSE),0)</f>
        <v>8.2560559271393075</v>
      </c>
      <c r="AC154" s="98">
        <f>VLOOKUP($A154,lmic_raw[],29,FALSE)*(1-interactive!$C$7)</f>
        <v>2.8652702999999936E-2</v>
      </c>
      <c r="AD154" s="98">
        <f>VLOOKUP($A154,lmic_raw[],30,FALSE)*(1-interactive!$C$7)</f>
        <v>1.9148268446051728E-3</v>
      </c>
      <c r="AE154" s="98">
        <f>VLOOKUP($A154,lmic_raw[],31,FALSE)*(1-interactive!$C$7)</f>
        <v>4.9588771543212259E-4</v>
      </c>
      <c r="AF154" s="98">
        <f>VLOOKUP($A154,lmic_raw[],32,FALSE)*(1-interactive!$C$7)</f>
        <v>4.1648511985589362E-4</v>
      </c>
      <c r="AG154" s="98">
        <f>VLOOKUP($A154,lmic_raw[],33,FALSE)*(1-interactive!$C$7)</f>
        <v>7.458079014176169E-4</v>
      </c>
      <c r="AH154" s="98">
        <f>VLOOKUP($A154,lmic_raw[],34,FALSE)*(1-interactive!$C$7)</f>
        <v>1.3138152123476424E-3</v>
      </c>
      <c r="AI154" s="98">
        <f>VLOOKUP($A154,lmic_raw[],35,FALSE)*(1-interactive!$C$7)</f>
        <v>2.0921529555389009E-3</v>
      </c>
      <c r="AJ154" s="98">
        <f>VLOOKUP($A154,lmic_raw[],36,FALSE)*(1-interactive!$C$7)</f>
        <v>2.9812563550634524E-3</v>
      </c>
      <c r="AK154" s="98">
        <f>VLOOKUP($A154,lmic_raw[],37,FALSE)*(1-interactive!$C$7)</f>
        <v>4.2911497381733577E-3</v>
      </c>
      <c r="AL154" s="98">
        <f>VLOOKUP($A154,lmic_raw[],38,FALSE)*(1-interactive!$C$7)</f>
        <v>5.3454674600744694E-3</v>
      </c>
      <c r="AM154" s="98">
        <f>VLOOKUP($A154,lmic_raw[],39,FALSE)*(1-interactive!$C$7)</f>
        <v>6.6589530958325056E-3</v>
      </c>
      <c r="AN154" s="98">
        <f>VLOOKUP($A154,lmic_raw[],40,FALSE)*(1-interactive!$C$7)</f>
        <v>8.5145043645468259E-3</v>
      </c>
      <c r="AO154" s="98">
        <f>VLOOKUP($A154,lmic_raw[],41,FALSE)*(1-interactive!$C$7)</f>
        <v>1.0637421361858645E-2</v>
      </c>
      <c r="AP154" s="98">
        <f>VLOOKUP($A154,lmic_raw[],42,FALSE)*(1-interactive!$C$7)</f>
        <v>1.4866609975559603E-2</v>
      </c>
      <c r="AQ154" s="98">
        <f>VLOOKUP($A154,lmic_raw[],43,FALSE)*(1-interactive!$C$7)</f>
        <v>2.2320859044271869E-2</v>
      </c>
      <c r="AR154" s="98">
        <f>VLOOKUP($A154,lmic_raw[],44,FALSE)*(1-interactive!$C$7)</f>
        <v>3.4186560919546673E-2</v>
      </c>
      <c r="AS154" s="98">
        <f>VLOOKUP($A154,lmic_raw[],45,FALSE)*(1-interactive!$C$7)</f>
        <v>5.2226818976815685E-2</v>
      </c>
      <c r="AT154" s="98">
        <f>VLOOKUP($A154,lmic_raw[],46,FALSE)*(1-interactive!$C$7)</f>
        <v>8.1290084987695549E-2</v>
      </c>
      <c r="AU154" s="98">
        <f>VLOOKUP($A154,lmic_raw[],47,FALSE)*(1-interactive!$C$7)</f>
        <v>0.11951399751786188</v>
      </c>
      <c r="AV154" s="98">
        <f>VLOOKUP($A154,lmic_raw[],48,FALSE)*(1-interactive!$C$7)</f>
        <v>0.15580207754378333</v>
      </c>
      <c r="AW154" s="98">
        <f>VLOOKUP($A154,lmic_raw[],49,FALSE)*(1-interactive!$C$7)</f>
        <v>0.17329928677890458</v>
      </c>
      <c r="AX154" s="98">
        <f>VLOOKUP($A154,lmic_raw[],50,FALSE)*(1-interactive!$C$7)</f>
        <v>65.640249999999995</v>
      </c>
    </row>
    <row r="155" spans="1:50" x14ac:dyDescent="0.25">
      <c r="A155" s="110" t="s">
        <v>264</v>
      </c>
      <c r="B155" s="104" t="s">
        <v>388</v>
      </c>
      <c r="C155" s="105">
        <v>76</v>
      </c>
      <c r="D155" s="122" t="s">
        <v>679</v>
      </c>
      <c r="E155" s="94" t="s">
        <v>595</v>
      </c>
      <c r="F155" s="94" t="s">
        <v>665</v>
      </c>
      <c r="G155" s="94" t="s">
        <v>676</v>
      </c>
      <c r="H155" s="98">
        <f>VLOOKUP(lmic_raw_lb[[#This Row],[setting]],lmic_raw[],8,FALSE)</f>
        <v>211049519</v>
      </c>
      <c r="I155" s="98">
        <f>VLOOKUP(lmic_raw_lb[[#This Row],[setting]],lmic_raw[],9,FALSE)</f>
        <v>2970099.8808869999</v>
      </c>
      <c r="J155" s="94">
        <f>VLOOKUP($A155,lmic_raw[],10,FALSE)*(1-interactive!$C$7)</f>
        <v>0.9414499999999999</v>
      </c>
      <c r="K155" s="94">
        <f>VLOOKUP($A155,lmic_raw[],11,FALSE)*(1-interactive!$C$7)</f>
        <v>0.74099999999999999</v>
      </c>
      <c r="L155" s="94">
        <f>VLOOKUP($A155,lmic_raw[],12,FALSE)*(1-interactive!$C$7)</f>
        <v>0.76</v>
      </c>
      <c r="M155" s="94">
        <f>IFERROR(VLOOKUP(lmic_raw_lb[[#This Row],[iso3]], hbv_prev[[iso3]:[ub]],3,FALSE)/100,0)</f>
        <v>4.3E-3</v>
      </c>
      <c r="N155" s="94">
        <f>IFERROR(VLOOKUP(lmic_raw_lb[[#This Row],[setting]],hbe_prev[],4,FALSE),0)</f>
        <v>0.17010000000000003</v>
      </c>
      <c r="O155" s="94">
        <f>VLOOKUP(lmic_raw_lb[[#This Row],[gbd_super]],hbe_risk[],3,FALSE)</f>
        <v>0.7</v>
      </c>
      <c r="P155" s="94">
        <f>VLOOKUP(lmic_raw_lb[[#This Row],[gbd_super]],hbe_risk[],6,FALSE)</f>
        <v>0.05</v>
      </c>
      <c r="Q155" s="94">
        <f>VLOOKUP(lmic_raw_lb[[#This Row],[setting]],lmic_raw[],17,FALSE)*(1-interactive!$C$7)</f>
        <v>4.6113365833114939</v>
      </c>
      <c r="R155" s="98">
        <f>VLOOKUP(lmic_raw_lb[[#This Row],[setting]],lmic_raw[],18,FALSE)*(1-interactive!$C$7)</f>
        <v>82.539704999999998</v>
      </c>
      <c r="S155" s="98">
        <f>VLOOKUP(lmic_raw_lb[[#This Row],[setting]],lmic_raw[],19,FALSE)*(1-interactive!$C$7)</f>
        <v>127.894605</v>
      </c>
      <c r="T155" s="98">
        <f>VLOOKUP(lmic_raw_lb[[#This Row],[setting]],lmic_raw[],20,FALSE)*(1-interactive!$C$7)</f>
        <v>127.894605</v>
      </c>
      <c r="U155" s="98">
        <f>VLOOKUP(lmic_raw_lb[[#This Row],[setting]],lmic_raw[],21,FALSE)*(1-interactive!$C$7)</f>
        <v>127.894605</v>
      </c>
      <c r="V155" s="33">
        <f>IFERROR(VLOOKUP(lmic_raw_lb[[#This Row],[setting]],vcost_lb[],3,FALSE),0)</f>
        <v>0.88258525221822948</v>
      </c>
      <c r="W155" s="33">
        <f>IFERROR(VLOOKUP(lmic_raw_lb[[#This Row],[setting]],vcost_lb[],4,FALSE),0)</f>
        <v>0.90329525221822948</v>
      </c>
      <c r="X155" s="33">
        <f>IFERROR(VLOOKUP(lmic_raw_lb[[#This Row],[setting]],vcost_lb[],5,FALSE),0)</f>
        <v>0.5097901524065187</v>
      </c>
      <c r="Y155" s="33">
        <f>IFERROR(VLOOKUP(lmic_raw_lb[[#This Row],[setting]],vcost_lb[],6,FALSE),0)</f>
        <v>0.53050015240651871</v>
      </c>
      <c r="Z155" s="33">
        <f>IFERROR(VLOOKUP(lmic_raw_lb[[#This Row],[setting]],vcost_lb[],7,FALSE),0)</f>
        <v>0.52385409117402826</v>
      </c>
      <c r="AA155" s="33">
        <f>IFERROR(VLOOKUP(lmic_raw_lb[[#This Row],[setting]],vcost_lb[],8,FALSE),0)</f>
        <v>1.0969961123731748</v>
      </c>
      <c r="AB155" s="33">
        <f>IFERROR(VLOOKUP(lmic_raw_lb[[#This Row],[setting]],vcost_lb[],9,FALSE),0)</f>
        <v>1.1177061123731749</v>
      </c>
      <c r="AC155" s="94">
        <f>VLOOKUP($A155,lmic_raw[],29,FALSE)*(1-interactive!$C$7)</f>
        <v>1.2366235500000024E-2</v>
      </c>
      <c r="AD155" s="94">
        <f>VLOOKUP($A155,lmic_raw[],30,FALSE)*(1-interactive!$C$7)</f>
        <v>5.3719965120772851E-4</v>
      </c>
      <c r="AE155" s="94">
        <f>VLOOKUP($A155,lmic_raw[],31,FALSE)*(1-interactive!$C$7)</f>
        <v>2.147524764801908E-4</v>
      </c>
      <c r="AF155" s="94">
        <f>VLOOKUP($A155,lmic_raw[],32,FALSE)*(1-interactive!$C$7)</f>
        <v>2.9505089385476277E-4</v>
      </c>
      <c r="AG155" s="94">
        <f>VLOOKUP($A155,lmic_raw[],33,FALSE)*(1-interactive!$C$7)</f>
        <v>1.0292513792218836E-3</v>
      </c>
      <c r="AH155" s="94">
        <f>VLOOKUP($A155,lmic_raw[],34,FALSE)*(1-interactive!$C$7)</f>
        <v>1.5641572111942692E-3</v>
      </c>
      <c r="AI155" s="94">
        <f>VLOOKUP($A155,lmic_raw[],35,FALSE)*(1-interactive!$C$7)</f>
        <v>1.4952274501821158E-3</v>
      </c>
      <c r="AJ155" s="94">
        <f>VLOOKUP($A155,lmic_raw[],36,FALSE)*(1-interactive!$C$7)</f>
        <v>1.7245175007047989E-3</v>
      </c>
      <c r="AK155" s="94">
        <f>VLOOKUP($A155,lmic_raw[],37,FALSE)*(1-interactive!$C$7)</f>
        <v>2.178240417094815E-3</v>
      </c>
      <c r="AL155" s="94">
        <f>VLOOKUP($A155,lmic_raw[],38,FALSE)*(1-interactive!$C$7)</f>
        <v>2.8017400176018107E-3</v>
      </c>
      <c r="AM155" s="94">
        <f>VLOOKUP($A155,lmic_raw[],39,FALSE)*(1-interactive!$C$7)</f>
        <v>4.0414131174501986E-3</v>
      </c>
      <c r="AN155" s="94">
        <f>VLOOKUP($A155,lmic_raw[],40,FALSE)*(1-interactive!$C$7)</f>
        <v>5.7617333536563722E-3</v>
      </c>
      <c r="AO155" s="94">
        <f>VLOOKUP($A155,lmic_raw[],41,FALSE)*(1-interactive!$C$7)</f>
        <v>8.1437531301908287E-3</v>
      </c>
      <c r="AP155" s="94">
        <f>VLOOKUP($A155,lmic_raw[],42,FALSE)*(1-interactive!$C$7)</f>
        <v>1.2121484616767986E-2</v>
      </c>
      <c r="AQ155" s="94">
        <f>VLOOKUP($A155,lmic_raw[],43,FALSE)*(1-interactive!$C$7)</f>
        <v>1.7951825475725752E-2</v>
      </c>
      <c r="AR155" s="94">
        <f>VLOOKUP($A155,lmic_raw[],44,FALSE)*(1-interactive!$C$7)</f>
        <v>2.5518553732218046E-2</v>
      </c>
      <c r="AS155" s="94">
        <f>VLOOKUP($A155,lmic_raw[],45,FALSE)*(1-interactive!$C$7)</f>
        <v>3.8179729857199328E-2</v>
      </c>
      <c r="AT155" s="94">
        <f>VLOOKUP($A155,lmic_raw[],46,FALSE)*(1-interactive!$C$7)</f>
        <v>5.536122338322489E-2</v>
      </c>
      <c r="AU155" s="94">
        <f>VLOOKUP($A155,lmic_raw[],47,FALSE)*(1-interactive!$C$7)</f>
        <v>7.688682189626718E-2</v>
      </c>
      <c r="AV155" s="94">
        <f>VLOOKUP($A155,lmic_raw[],48,FALSE)*(1-interactive!$C$7)</f>
        <v>0.1009762982765379</v>
      </c>
      <c r="AW155" s="94">
        <f>VLOOKUP($A155,lmic_raw[],49,FALSE)*(1-interactive!$C$7)</f>
        <v>0.13073481204058479</v>
      </c>
      <c r="AX155" s="94">
        <f>VLOOKUP($A155,lmic_raw[],50,FALSE)*(1-interactive!$C$7)</f>
        <v>71.78295</v>
      </c>
    </row>
    <row r="156" spans="1:50" x14ac:dyDescent="0.25">
      <c r="A156" s="109" t="s">
        <v>308</v>
      </c>
      <c r="B156" s="101" t="s">
        <v>390</v>
      </c>
      <c r="C156" s="102">
        <v>100</v>
      </c>
      <c r="D156" s="121" t="s">
        <v>675</v>
      </c>
      <c r="E156" s="98" t="s">
        <v>580</v>
      </c>
      <c r="F156" s="98" t="s">
        <v>663</v>
      </c>
      <c r="G156" s="98" t="s">
        <v>676</v>
      </c>
      <c r="H156" s="98">
        <f>VLOOKUP(lmic_raw_lb[[#This Row],[setting]],lmic_raw[],8,FALSE)</f>
        <v>7000117</v>
      </c>
      <c r="I156" s="98">
        <f>VLOOKUP(lmic_raw_lb[[#This Row],[setting]],lmic_raw[],9,FALSE)</f>
        <v>62693.047851999996</v>
      </c>
      <c r="J156" s="98">
        <f>VLOOKUP($A156,lmic_raw[],10,FALSE)*(1-interactive!$C$7)</f>
        <v>0.94714999999999994</v>
      </c>
      <c r="K156" s="98">
        <f>VLOOKUP($A156,lmic_raw[],11,FALSE)*(1-interactive!$C$7)</f>
        <v>0.91199999999999992</v>
      </c>
      <c r="L156" s="98">
        <f>VLOOKUP($A156,lmic_raw[],12,FALSE)*(1-interactive!$C$7)</f>
        <v>0.8075</v>
      </c>
      <c r="M156" s="98">
        <f>IFERROR(VLOOKUP(lmic_raw_lb[[#This Row],[iso3]], hbv_prev[[iso3]:[ub]],3,FALSE)/100,0)</f>
        <v>1.8000000000000002E-2</v>
      </c>
      <c r="N156" s="98">
        <f>IFERROR(VLOOKUP(lmic_raw_lb[[#This Row],[setting]],hbe_prev[],4,FALSE),0)</f>
        <v>0.16329999999999997</v>
      </c>
      <c r="O156" s="98">
        <f>VLOOKUP(lmic_raw_lb[[#This Row],[gbd_super]],hbe_risk[],3,FALSE)</f>
        <v>0.7</v>
      </c>
      <c r="P156" s="98">
        <f>VLOOKUP(lmic_raw_lb[[#This Row],[gbd_super]],hbe_risk[],6,FALSE)</f>
        <v>0.05</v>
      </c>
      <c r="Q156" s="98">
        <f>VLOOKUP(lmic_raw_lb[[#This Row],[setting]],lmic_raw[],17,FALSE)*(1-interactive!$C$7)</f>
        <v>11.083529634316093</v>
      </c>
      <c r="R156" s="98">
        <f>VLOOKUP(lmic_raw_lb[[#This Row],[setting]],lmic_raw[],18,FALSE)*(1-interactive!$C$7)</f>
        <v>42.31053</v>
      </c>
      <c r="S156" s="98">
        <f>VLOOKUP(lmic_raw_lb[[#This Row],[setting]],lmic_raw[],19,FALSE)*(1-interactive!$C$7)</f>
        <v>87.665430000000001</v>
      </c>
      <c r="T156" s="98">
        <f>VLOOKUP(lmic_raw_lb[[#This Row],[setting]],lmic_raw[],20,FALSE)*(1-interactive!$C$7)</f>
        <v>87.665430000000001</v>
      </c>
      <c r="U156" s="98">
        <f>VLOOKUP(lmic_raw_lb[[#This Row],[setting]],lmic_raw[],21,FALSE)*(1-interactive!$C$7)</f>
        <v>87.665430000000001</v>
      </c>
      <c r="V156" s="33">
        <f>IFERROR(VLOOKUP(lmic_raw_lb[[#This Row],[setting]],vcost_lb[],3,FALSE),0)</f>
        <v>2.5254218710281342</v>
      </c>
      <c r="W156" s="33">
        <f>IFERROR(VLOOKUP(lmic_raw_lb[[#This Row],[setting]],vcost_lb[],4,FALSE),0)</f>
        <v>6.387836871028135</v>
      </c>
      <c r="X156" s="33">
        <f>IFERROR(VLOOKUP(lmic_raw_lb[[#This Row],[setting]],vcost_lb[],5,FALSE),0)</f>
        <v>2.1505116928829335</v>
      </c>
      <c r="Y156" s="33">
        <f>IFERROR(VLOOKUP(lmic_raw_lb[[#This Row],[setting]],vcost_lb[],6,FALSE),0)</f>
        <v>6.0129266928829335</v>
      </c>
      <c r="Z156" s="33">
        <f>IFERROR(VLOOKUP(lmic_raw_lb[[#This Row],[setting]],vcost_lb[],7,FALSE),0)</f>
        <v>6.0043734823064945</v>
      </c>
      <c r="AA156" s="33">
        <f>IFERROR(VLOOKUP(lmic_raw_lb[[#This Row],[setting]],vcost_lb[],8,FALSE),0)</f>
        <v>2.7407391933260041</v>
      </c>
      <c r="AB156" s="33">
        <f>IFERROR(VLOOKUP(lmic_raw_lb[[#This Row],[setting]],vcost_lb[],9,FALSE),0)</f>
        <v>6.6031541933260041</v>
      </c>
      <c r="AC156" s="98">
        <f>VLOOKUP($A156,lmic_raw[],29,FALSE)*(1-interactive!$C$7)</f>
        <v>5.9728589999999459E-3</v>
      </c>
      <c r="AD156" s="98">
        <f>VLOOKUP($A156,lmic_raw[],30,FALSE)*(1-interactive!$C$7)</f>
        <v>2.7948493326212614E-4</v>
      </c>
      <c r="AE156" s="98">
        <f>VLOOKUP($A156,lmic_raw[],31,FALSE)*(1-interactive!$C$7)</f>
        <v>1.3489505849314764E-4</v>
      </c>
      <c r="AF156" s="98">
        <f>VLOOKUP($A156,lmic_raw[],32,FALSE)*(1-interactive!$C$7)</f>
        <v>1.5994969424061782E-4</v>
      </c>
      <c r="AG156" s="98">
        <f>VLOOKUP($A156,lmic_raw[],33,FALSE)*(1-interactive!$C$7)</f>
        <v>4.1915835333620078E-4</v>
      </c>
      <c r="AH156" s="98">
        <f>VLOOKUP($A156,lmic_raw[],34,FALSE)*(1-interactive!$C$7)</f>
        <v>5.5324799571204232E-4</v>
      </c>
      <c r="AI156" s="98">
        <f>VLOOKUP($A156,lmic_raw[],35,FALSE)*(1-interactive!$C$7)</f>
        <v>6.4614646294828908E-4</v>
      </c>
      <c r="AJ156" s="98">
        <f>VLOOKUP($A156,lmic_raw[],36,FALSE)*(1-interactive!$C$7)</f>
        <v>9.2824299179407885E-4</v>
      </c>
      <c r="AK156" s="98">
        <f>VLOOKUP($A156,lmic_raw[],37,FALSE)*(1-interactive!$C$7)</f>
        <v>1.3792449048633517E-3</v>
      </c>
      <c r="AL156" s="98">
        <f>VLOOKUP($A156,lmic_raw[],38,FALSE)*(1-interactive!$C$7)</f>
        <v>2.3110863909317114E-3</v>
      </c>
      <c r="AM156" s="98">
        <f>VLOOKUP($A156,lmic_raw[],39,FALSE)*(1-interactive!$C$7)</f>
        <v>4.093713030106411E-3</v>
      </c>
      <c r="AN156" s="98">
        <f>VLOOKUP($A156,lmic_raw[],40,FALSE)*(1-interactive!$C$7)</f>
        <v>6.7257189145403067E-3</v>
      </c>
      <c r="AO156" s="98">
        <f>VLOOKUP($A156,lmic_raw[],41,FALSE)*(1-interactive!$C$7)</f>
        <v>1.0347251473024994E-2</v>
      </c>
      <c r="AP156" s="98">
        <f>VLOOKUP($A156,lmic_raw[],42,FALSE)*(1-interactive!$C$7)</f>
        <v>1.4912665422376792E-2</v>
      </c>
      <c r="AQ156" s="98">
        <f>VLOOKUP($A156,lmic_raw[],43,FALSE)*(1-interactive!$C$7)</f>
        <v>2.0888633954004133E-2</v>
      </c>
      <c r="AR156" s="98">
        <f>VLOOKUP($A156,lmic_raw[],44,FALSE)*(1-interactive!$C$7)</f>
        <v>2.9750041738832788E-2</v>
      </c>
      <c r="AS156" s="98">
        <f>VLOOKUP($A156,lmic_raw[],45,FALSE)*(1-interactive!$C$7)</f>
        <v>4.5542502670418934E-2</v>
      </c>
      <c r="AT156" s="98">
        <f>VLOOKUP($A156,lmic_raw[],46,FALSE)*(1-interactive!$C$7)</f>
        <v>7.3353657172311348E-2</v>
      </c>
      <c r="AU156" s="98">
        <f>VLOOKUP($A156,lmic_raw[],47,FALSE)*(1-interactive!$C$7)</f>
        <v>0.12259507227922638</v>
      </c>
      <c r="AV156" s="98">
        <f>VLOOKUP($A156,lmic_raw[],48,FALSE)*(1-interactive!$C$7)</f>
        <v>0.14318944659129254</v>
      </c>
      <c r="AW156" s="98">
        <f>VLOOKUP($A156,lmic_raw[],49,FALSE)*(1-interactive!$C$7)</f>
        <v>0.16853348461672046</v>
      </c>
      <c r="AX156" s="98">
        <f>VLOOKUP($A156,lmic_raw[],50,FALSE)*(1-interactive!$C$7)</f>
        <v>71.104649999999992</v>
      </c>
    </row>
    <row r="157" spans="1:50" x14ac:dyDescent="0.25">
      <c r="A157" s="110" t="s">
        <v>139</v>
      </c>
      <c r="B157" s="104" t="s">
        <v>391</v>
      </c>
      <c r="C157" s="105">
        <v>854</v>
      </c>
      <c r="D157" s="122" t="s">
        <v>677</v>
      </c>
      <c r="E157" s="94" t="s">
        <v>591</v>
      </c>
      <c r="F157" s="94" t="s">
        <v>667</v>
      </c>
      <c r="G157" s="94" t="s">
        <v>674</v>
      </c>
      <c r="H157" s="98">
        <f>VLOOKUP(lmic_raw_lb[[#This Row],[setting]],lmic_raw[],8,FALSE)</f>
        <v>20321383</v>
      </c>
      <c r="I157" s="98">
        <f>VLOOKUP(lmic_raw_lb[[#This Row],[setting]],lmic_raw[],9,FALSE)</f>
        <v>776032.97400400008</v>
      </c>
      <c r="J157" s="94">
        <f>VLOOKUP($A157,lmic_raw[],10,FALSE)*(1-interactive!$C$7)</f>
        <v>0.78090000000000004</v>
      </c>
      <c r="K157" s="94">
        <f>VLOOKUP($A157,lmic_raw[],11,FALSE)*(1-interactive!$C$7)</f>
        <v>0</v>
      </c>
      <c r="L157" s="94">
        <f>VLOOKUP($A157,lmic_raw[],12,FALSE)*(1-interactive!$C$7)</f>
        <v>0.86449999999999994</v>
      </c>
      <c r="M157" s="94">
        <f>IFERROR(VLOOKUP(lmic_raw_lb[[#This Row],[iso3]], hbv_prev[[iso3]:[ub]],3,FALSE)/100,0)</f>
        <v>8.199999999999999E-2</v>
      </c>
      <c r="N157" s="94">
        <f>IFERROR(VLOOKUP(lmic_raw_lb[[#This Row],[setting]],hbe_prev[],4,FALSE),0)</f>
        <v>0.155</v>
      </c>
      <c r="O157" s="94">
        <f>VLOOKUP(lmic_raw_lb[[#This Row],[gbd_super]],hbe_risk[],3,FALSE)</f>
        <v>7.0000000000000007E-2</v>
      </c>
      <c r="P157" s="94">
        <f>VLOOKUP(lmic_raw_lb[[#This Row],[gbd_super]],hbe_risk[],6,FALSE)</f>
        <v>1E-3</v>
      </c>
      <c r="Q157" s="94">
        <f>VLOOKUP(lmic_raw_lb[[#This Row],[setting]],lmic_raw[],17,FALSE)*(1-interactive!$C$7)</f>
        <v>0</v>
      </c>
      <c r="R157" s="98">
        <f>VLOOKUP(lmic_raw_lb[[#This Row],[setting]],lmic_raw[],18,FALSE)*(1-interactive!$C$7)</f>
        <v>28.424474999999997</v>
      </c>
      <c r="S157" s="98">
        <f>VLOOKUP(lmic_raw_lb[[#This Row],[setting]],lmic_raw[],19,FALSE)*(1-interactive!$C$7)</f>
        <v>73.779375000000002</v>
      </c>
      <c r="T157" s="98">
        <f>VLOOKUP(lmic_raw_lb[[#This Row],[setting]],lmic_raw[],20,FALSE)*(1-interactive!$C$7)</f>
        <v>73.779375000000002</v>
      </c>
      <c r="U157" s="98">
        <f>VLOOKUP(lmic_raw_lb[[#This Row],[setting]],lmic_raw[],21,FALSE)*(1-interactive!$C$7)</f>
        <v>73.779375000000002</v>
      </c>
      <c r="V157" s="33">
        <f>IFERROR(VLOOKUP(lmic_raw_lb[[#This Row],[setting]],vcost_lb[],3,FALSE),0)</f>
        <v>1.1309549220626973</v>
      </c>
      <c r="W157" s="33">
        <f>IFERROR(VLOOKUP(lmic_raw_lb[[#This Row],[setting]],vcost_lb[],4,FALSE),0)</f>
        <v>5.7182199220626977</v>
      </c>
      <c r="X157" s="33">
        <f>IFERROR(VLOOKUP(lmic_raw_lb[[#This Row],[setting]],vcost_lb[],5,FALSE),0)</f>
        <v>0.76616054643267617</v>
      </c>
      <c r="Y157" s="33">
        <f>IFERROR(VLOOKUP(lmic_raw_lb[[#This Row],[setting]],vcost_lb[],6,FALSE),0)</f>
        <v>5.3534255464326765</v>
      </c>
      <c r="Z157" s="33">
        <f>IFERROR(VLOOKUP(lmic_raw_lb[[#This Row],[setting]],vcost_lb[],7,FALSE),0)</f>
        <v>5.3517115384535296</v>
      </c>
      <c r="AA157" s="33">
        <f>IFERROR(VLOOKUP(lmic_raw_lb[[#This Row],[setting]],vcost_lb[],8,FALSE),0)</f>
        <v>1.3419369004254897</v>
      </c>
      <c r="AB157" s="33">
        <f>IFERROR(VLOOKUP(lmic_raw_lb[[#This Row],[setting]],vcost_lb[],9,FALSE),0)</f>
        <v>5.9292019004254897</v>
      </c>
      <c r="AC157" s="94">
        <f>VLOOKUP($A157,lmic_raw[],29,FALSE)*(1-interactive!$C$7)</f>
        <v>5.1516466999999927E-2</v>
      </c>
      <c r="AD157" s="94">
        <f>VLOOKUP($A157,lmic_raw[],30,FALSE)*(1-interactive!$C$7)</f>
        <v>7.4086161493401598E-3</v>
      </c>
      <c r="AE157" s="94">
        <f>VLOOKUP($A157,lmic_raw[],31,FALSE)*(1-interactive!$C$7)</f>
        <v>2.5743584671742209E-3</v>
      </c>
      <c r="AF157" s="94">
        <f>VLOOKUP($A157,lmic_raw[],32,FALSE)*(1-interactive!$C$7)</f>
        <v>1.5304289088295081E-3</v>
      </c>
      <c r="AG157" s="94">
        <f>VLOOKUP($A157,lmic_raw[],33,FALSE)*(1-interactive!$C$7)</f>
        <v>2.3337249424291904E-3</v>
      </c>
      <c r="AH157" s="94">
        <f>VLOOKUP($A157,lmic_raw[],34,FALSE)*(1-interactive!$C$7)</f>
        <v>3.268610361332947E-3</v>
      </c>
      <c r="AI157" s="94">
        <f>VLOOKUP($A157,lmic_raw[],35,FALSE)*(1-interactive!$C$7)</f>
        <v>3.499786666493864E-3</v>
      </c>
      <c r="AJ157" s="94">
        <f>VLOOKUP($A157,lmic_raw[],36,FALSE)*(1-interactive!$C$7)</f>
        <v>3.8652801918023687E-3</v>
      </c>
      <c r="AK157" s="94">
        <f>VLOOKUP($A157,lmic_raw[],37,FALSE)*(1-interactive!$C$7)</f>
        <v>4.4333936686953681E-3</v>
      </c>
      <c r="AL157" s="94">
        <f>VLOOKUP($A157,lmic_raw[],38,FALSE)*(1-interactive!$C$7)</f>
        <v>5.4491381323801494E-3</v>
      </c>
      <c r="AM157" s="94">
        <f>VLOOKUP($A157,lmic_raw[],39,FALSE)*(1-interactive!$C$7)</f>
        <v>6.8256458947968945E-3</v>
      </c>
      <c r="AN157" s="94">
        <f>VLOOKUP($A157,lmic_raw[],40,FALSE)*(1-interactive!$C$7)</f>
        <v>9.57524811189891E-3</v>
      </c>
      <c r="AO157" s="94">
        <f>VLOOKUP($A157,lmic_raw[],41,FALSE)*(1-interactive!$C$7)</f>
        <v>1.3608328470107142E-2</v>
      </c>
      <c r="AP157" s="94">
        <f>VLOOKUP($A157,lmic_raw[],42,FALSE)*(1-interactive!$C$7)</f>
        <v>2.1153653353260096E-2</v>
      </c>
      <c r="AQ157" s="94">
        <f>VLOOKUP($A157,lmic_raw[],43,FALSE)*(1-interactive!$C$7)</f>
        <v>3.2615037551028472E-2</v>
      </c>
      <c r="AR157" s="94">
        <f>VLOOKUP($A157,lmic_raw[],44,FALSE)*(1-interactive!$C$7)</f>
        <v>5.2280094334555487E-2</v>
      </c>
      <c r="AS157" s="94">
        <f>VLOOKUP($A157,lmic_raw[],45,FALSE)*(1-interactive!$C$7)</f>
        <v>8.0367467100935341E-2</v>
      </c>
      <c r="AT157" s="94">
        <f>VLOOKUP($A157,lmic_raw[],46,FALSE)*(1-interactive!$C$7)</f>
        <v>0.11488917142100885</v>
      </c>
      <c r="AU157" s="94">
        <f>VLOOKUP($A157,lmic_raw[],47,FALSE)*(1-interactive!$C$7)</f>
        <v>0.1462702796675269</v>
      </c>
      <c r="AV157" s="94">
        <f>VLOOKUP($A157,lmic_raw[],48,FALSE)*(1-interactive!$C$7)</f>
        <v>0.16803256157898419</v>
      </c>
      <c r="AW157" s="94">
        <f>VLOOKUP($A157,lmic_raw[],49,FALSE)*(1-interactive!$C$7)</f>
        <v>0.18431710550500716</v>
      </c>
      <c r="AX157" s="94">
        <f>VLOOKUP($A157,lmic_raw[],50,FALSE)*(1-interactive!$C$7)</f>
        <v>57.87115</v>
      </c>
    </row>
    <row r="158" spans="1:50" x14ac:dyDescent="0.25">
      <c r="A158" s="109" t="s">
        <v>101</v>
      </c>
      <c r="B158" s="101" t="s">
        <v>392</v>
      </c>
      <c r="C158" s="102">
        <v>108</v>
      </c>
      <c r="D158" s="121" t="s">
        <v>677</v>
      </c>
      <c r="E158" s="98" t="s">
        <v>597</v>
      </c>
      <c r="F158" s="98" t="s">
        <v>667</v>
      </c>
      <c r="G158" s="98" t="s">
        <v>674</v>
      </c>
      <c r="H158" s="98">
        <f>VLOOKUP(lmic_raw_lb[[#This Row],[setting]],lmic_raw[],8,FALSE)</f>
        <v>11530577</v>
      </c>
      <c r="I158" s="98">
        <f>VLOOKUP(lmic_raw_lb[[#This Row],[setting]],lmic_raw[],9,FALSE)</f>
        <v>452655.86128899996</v>
      </c>
      <c r="J158" s="98">
        <f>VLOOKUP($A158,lmic_raw[],10,FALSE)*(1-interactive!$C$7)</f>
        <v>0.79705000000000004</v>
      </c>
      <c r="K158" s="98">
        <f>VLOOKUP($A158,lmic_raw[],11,FALSE)*(1-interactive!$C$7)</f>
        <v>0</v>
      </c>
      <c r="L158" s="98">
        <f>VLOOKUP($A158,lmic_raw[],12,FALSE)*(1-interactive!$C$7)</f>
        <v>0.88349999999999995</v>
      </c>
      <c r="M158" s="98">
        <f>IFERROR(VLOOKUP(lmic_raw_lb[[#This Row],[iso3]], hbv_prev[[iso3]:[ub]],3,FALSE)/100,0)</f>
        <v>3.8699999999999998E-2</v>
      </c>
      <c r="N158" s="98">
        <f>IFERROR(VLOOKUP(lmic_raw_lb[[#This Row],[setting]],hbe_prev[],4,FALSE),0)</f>
        <v>0.15560000000000002</v>
      </c>
      <c r="O158" s="98">
        <f>VLOOKUP(lmic_raw_lb[[#This Row],[gbd_super]],hbe_risk[],3,FALSE)</f>
        <v>7.0000000000000007E-2</v>
      </c>
      <c r="P158" s="98">
        <f>VLOOKUP(lmic_raw_lb[[#This Row],[gbd_super]],hbe_risk[],6,FALSE)</f>
        <v>1E-3</v>
      </c>
      <c r="Q158" s="98">
        <f>VLOOKUP(lmic_raw_lb[[#This Row],[setting]],lmic_raw[],17,FALSE)*(1-interactive!$C$7)</f>
        <v>2.0968783073985575</v>
      </c>
      <c r="R158" s="98">
        <f>VLOOKUP(lmic_raw_lb[[#This Row],[setting]],lmic_raw[],18,FALSE)*(1-interactive!$C$7)</f>
        <v>28.424474999999997</v>
      </c>
      <c r="S158" s="98">
        <f>VLOOKUP(lmic_raw_lb[[#This Row],[setting]],lmic_raw[],19,FALSE)*(1-interactive!$C$7)</f>
        <v>73.779375000000002</v>
      </c>
      <c r="T158" s="98">
        <f>VLOOKUP(lmic_raw_lb[[#This Row],[setting]],lmic_raw[],20,FALSE)*(1-interactive!$C$7)</f>
        <v>73.779375000000002</v>
      </c>
      <c r="U158" s="98">
        <f>VLOOKUP(lmic_raw_lb[[#This Row],[setting]],lmic_raw[],21,FALSE)*(1-interactive!$C$7)</f>
        <v>73.779375000000002</v>
      </c>
      <c r="V158" s="33">
        <f>IFERROR(VLOOKUP(lmic_raw_lb[[#This Row],[setting]],vcost_lb[],3,FALSE),0)</f>
        <v>0.93076552386494504</v>
      </c>
      <c r="W158" s="33">
        <f>IFERROR(VLOOKUP(lmic_raw_lb[[#This Row],[setting]],vcost_lb[],4,FALSE),0)</f>
        <v>5.5180305238649456</v>
      </c>
      <c r="X158" s="33">
        <f>IFERROR(VLOOKUP(lmic_raw_lb[[#This Row],[setting]],vcost_lb[],5,FALSE),0)</f>
        <v>0.56781972396341018</v>
      </c>
      <c r="Y158" s="33">
        <f>IFERROR(VLOOKUP(lmic_raw_lb[[#This Row],[setting]],vcost_lb[],6,FALSE),0)</f>
        <v>5.1550847239634106</v>
      </c>
      <c r="Z158" s="33">
        <f>IFERROR(VLOOKUP(lmic_raw_lb[[#This Row],[setting]],vcost_lb[],7,FALSE),0)</f>
        <v>5.1545108454076454</v>
      </c>
      <c r="AA158" s="33">
        <f>IFERROR(VLOOKUP(lmic_raw_lb[[#This Row],[setting]],vcost_lb[],8,FALSE),0)</f>
        <v>1.1409552554869578</v>
      </c>
      <c r="AB158" s="33">
        <f>IFERROR(VLOOKUP(lmic_raw_lb[[#This Row],[setting]],vcost_lb[],9,FALSE),0)</f>
        <v>5.7282202554869581</v>
      </c>
      <c r="AC158" s="98">
        <f>VLOOKUP($A158,lmic_raw[],29,FALSE)*(1-interactive!$C$7)</f>
        <v>4.0330558999999995E-2</v>
      </c>
      <c r="AD158" s="98">
        <f>VLOOKUP($A158,lmic_raw[],30,FALSE)*(1-interactive!$C$7)</f>
        <v>4.9769035827158256E-3</v>
      </c>
      <c r="AE158" s="98">
        <f>VLOOKUP($A158,lmic_raw[],31,FALSE)*(1-interactive!$C$7)</f>
        <v>3.8061509767952483E-3</v>
      </c>
      <c r="AF158" s="98">
        <f>VLOOKUP($A158,lmic_raw[],32,FALSE)*(1-interactive!$C$7)</f>
        <v>2.3742320747320157E-3</v>
      </c>
      <c r="AG158" s="98">
        <f>VLOOKUP($A158,lmic_raw[],33,FALSE)*(1-interactive!$C$7)</f>
        <v>2.7966066702600567E-3</v>
      </c>
      <c r="AH158" s="98">
        <f>VLOOKUP($A158,lmic_raw[],34,FALSE)*(1-interactive!$C$7)</f>
        <v>3.6529316986229866E-3</v>
      </c>
      <c r="AI158" s="98">
        <f>VLOOKUP($A158,lmic_raw[],35,FALSE)*(1-interactive!$C$7)</f>
        <v>4.3734828096253153E-3</v>
      </c>
      <c r="AJ158" s="98">
        <f>VLOOKUP($A158,lmic_raw[],36,FALSE)*(1-interactive!$C$7)</f>
        <v>5.3849930206267393E-3</v>
      </c>
      <c r="AK158" s="98">
        <f>VLOOKUP($A158,lmic_raw[],37,FALSE)*(1-interactive!$C$7)</f>
        <v>6.7501342421619065E-3</v>
      </c>
      <c r="AL158" s="98">
        <f>VLOOKUP($A158,lmic_raw[],38,FALSE)*(1-interactive!$C$7)</f>
        <v>7.499486582626177E-3</v>
      </c>
      <c r="AM158" s="98">
        <f>VLOOKUP($A158,lmic_raw[],39,FALSE)*(1-interactive!$C$7)</f>
        <v>8.1638004169218743E-3</v>
      </c>
      <c r="AN158" s="98">
        <f>VLOOKUP($A158,lmic_raw[],40,FALSE)*(1-interactive!$C$7)</f>
        <v>1.029509249178069E-2</v>
      </c>
      <c r="AO158" s="98">
        <f>VLOOKUP($A158,lmic_raw[],41,FALSE)*(1-interactive!$C$7)</f>
        <v>1.3489753618917051E-2</v>
      </c>
      <c r="AP158" s="98">
        <f>VLOOKUP($A158,lmic_raw[],42,FALSE)*(1-interactive!$C$7)</f>
        <v>1.9944978108700231E-2</v>
      </c>
      <c r="AQ158" s="98">
        <f>VLOOKUP($A158,lmic_raw[],43,FALSE)*(1-interactive!$C$7)</f>
        <v>3.0109631617629203E-2</v>
      </c>
      <c r="AR158" s="98">
        <f>VLOOKUP($A158,lmic_raw[],44,FALSE)*(1-interactive!$C$7)</f>
        <v>4.5767817231231724E-2</v>
      </c>
      <c r="AS158" s="98">
        <f>VLOOKUP($A158,lmic_raw[],45,FALSE)*(1-interactive!$C$7)</f>
        <v>6.7515287236016477E-2</v>
      </c>
      <c r="AT158" s="98">
        <f>VLOOKUP($A158,lmic_raw[],46,FALSE)*(1-interactive!$C$7)</f>
        <v>9.5990687151886037E-2</v>
      </c>
      <c r="AU158" s="98">
        <f>VLOOKUP($A158,lmic_raw[],47,FALSE)*(1-interactive!$C$7)</f>
        <v>0.12608348175792108</v>
      </c>
      <c r="AV158" s="98">
        <f>VLOOKUP($A158,lmic_raw[],48,FALSE)*(1-interactive!$C$7)</f>
        <v>0.15113367349845433</v>
      </c>
      <c r="AW158" s="98">
        <f>VLOOKUP($A158,lmic_raw[],49,FALSE)*(1-interactive!$C$7)</f>
        <v>0.16822572624016791</v>
      </c>
      <c r="AX158" s="98">
        <f>VLOOKUP($A158,lmic_raw[],50,FALSE)*(1-interactive!$C$7)</f>
        <v>57.973749999999995</v>
      </c>
    </row>
    <row r="159" spans="1:50" x14ac:dyDescent="0.25">
      <c r="A159" s="110" t="s">
        <v>140</v>
      </c>
      <c r="B159" s="104" t="s">
        <v>393</v>
      </c>
      <c r="C159" s="105">
        <v>132</v>
      </c>
      <c r="D159" s="122" t="s">
        <v>677</v>
      </c>
      <c r="E159" s="94" t="s">
        <v>591</v>
      </c>
      <c r="F159" s="94" t="s">
        <v>667</v>
      </c>
      <c r="G159" s="94" t="s">
        <v>678</v>
      </c>
      <c r="H159" s="98">
        <f>VLOOKUP(lmic_raw_lb[[#This Row],[setting]],lmic_raw[],8,FALSE)</f>
        <v>549936</v>
      </c>
      <c r="I159" s="98">
        <f>VLOOKUP(lmic_raw_lb[[#This Row],[setting]],lmic_raw[],9,FALSE)</f>
        <v>10827.689904000001</v>
      </c>
      <c r="J159" s="94">
        <f>VLOOKUP($A159,lmic_raw[],10,FALSE)*(1-interactive!$C$7)</f>
        <v>0.71819999999999984</v>
      </c>
      <c r="K159" s="94">
        <f>VLOOKUP($A159,lmic_raw[],11,FALSE)*(1-interactive!$C$7)</f>
        <v>0.91199999999999992</v>
      </c>
      <c r="L159" s="94">
        <f>VLOOKUP($A159,lmic_raw[],12,FALSE)*(1-interactive!$C$7)</f>
        <v>0.92149999999999999</v>
      </c>
      <c r="M159" s="94">
        <f>IFERROR(VLOOKUP(lmic_raw_lb[[#This Row],[iso3]], hbv_prev[[iso3]:[ub]],3,FALSE)/100,0)</f>
        <v>2.76E-2</v>
      </c>
      <c r="N159" s="94">
        <f>IFERROR(VLOOKUP(lmic_raw_lb[[#This Row],[setting]],hbe_prev[],4,FALSE),0)</f>
        <v>0.155</v>
      </c>
      <c r="O159" s="94">
        <f>VLOOKUP(lmic_raw_lb[[#This Row],[gbd_super]],hbe_risk[],3,FALSE)</f>
        <v>7.0000000000000007E-2</v>
      </c>
      <c r="P159" s="94">
        <f>VLOOKUP(lmic_raw_lb[[#This Row],[gbd_super]],hbe_risk[],6,FALSE)</f>
        <v>1E-3</v>
      </c>
      <c r="Q159" s="94">
        <f>VLOOKUP(lmic_raw_lb[[#This Row],[setting]],lmic_raw[],17,FALSE)*(1-interactive!$C$7)</f>
        <v>5.7839987388942076</v>
      </c>
      <c r="R159" s="98">
        <f>VLOOKUP(lmic_raw_lb[[#This Row],[setting]],lmic_raw[],18,FALSE)*(1-interactive!$C$7)</f>
        <v>28.424474999999997</v>
      </c>
      <c r="S159" s="98">
        <f>VLOOKUP(lmic_raw_lb[[#This Row],[setting]],lmic_raw[],19,FALSE)*(1-interactive!$C$7)</f>
        <v>73.779375000000002</v>
      </c>
      <c r="T159" s="98">
        <f>VLOOKUP(lmic_raw_lb[[#This Row],[setting]],lmic_raw[],20,FALSE)*(1-interactive!$C$7)</f>
        <v>73.779375000000002</v>
      </c>
      <c r="U159" s="98">
        <f>VLOOKUP(lmic_raw_lb[[#This Row],[setting]],lmic_raw[],21,FALSE)*(1-interactive!$C$7)</f>
        <v>73.779375000000002</v>
      </c>
      <c r="V159" s="33">
        <f>IFERROR(VLOOKUP(lmic_raw_lb[[#This Row],[setting]],vcost_lb[],3,FALSE),0)</f>
        <v>4.1017743993694777</v>
      </c>
      <c r="W159" s="33">
        <f>IFERROR(VLOOKUP(lmic_raw_lb[[#This Row],[setting]],vcost_lb[],4,FALSE),0)</f>
        <v>8.6890393993694772</v>
      </c>
      <c r="X159" s="33">
        <f>IFERROR(VLOOKUP(lmic_raw_lb[[#This Row],[setting]],vcost_lb[],5,FALSE),0)</f>
        <v>3.730919062495488</v>
      </c>
      <c r="Y159" s="33">
        <f>IFERROR(VLOOKUP(lmic_raw_lb[[#This Row],[setting]],vcost_lb[],6,FALSE),0)</f>
        <v>8.3181840624954884</v>
      </c>
      <c r="Z159" s="33">
        <f>IFERROR(VLOOKUP(lmic_raw_lb[[#This Row],[setting]],vcost_lb[],7,FALSE),0)</f>
        <v>8.3122386699871207</v>
      </c>
      <c r="AA159" s="33">
        <f>IFERROR(VLOOKUP(lmic_raw_lb[[#This Row],[setting]],vcost_lb[],8,FALSE),0)</f>
        <v>4.3153539325511137</v>
      </c>
      <c r="AB159" s="33">
        <f>IFERROR(VLOOKUP(lmic_raw_lb[[#This Row],[setting]],vcost_lb[],9,FALSE),0)</f>
        <v>8.902618932551114</v>
      </c>
      <c r="AC159" s="94">
        <f>VLOOKUP($A159,lmic_raw[],29,FALSE)*(1-interactive!$C$7)</f>
        <v>1.6046763500000016E-2</v>
      </c>
      <c r="AD159" s="94">
        <f>VLOOKUP($A159,lmic_raw[],30,FALSE)*(1-interactive!$C$7)</f>
        <v>8.3933078832476452E-4</v>
      </c>
      <c r="AE159" s="94">
        <f>VLOOKUP($A159,lmic_raw[],31,FALSE)*(1-interactive!$C$7)</f>
        <v>3.4218002198656337E-4</v>
      </c>
      <c r="AF159" s="94">
        <f>VLOOKUP($A159,lmic_raw[],32,FALSE)*(1-interactive!$C$7)</f>
        <v>3.0157861360866317E-4</v>
      </c>
      <c r="AG159" s="94">
        <f>VLOOKUP($A159,lmic_raw[],33,FALSE)*(1-interactive!$C$7)</f>
        <v>6.8281004853807704E-4</v>
      </c>
      <c r="AH159" s="94">
        <f>VLOOKUP($A159,lmic_raw[],34,FALSE)*(1-interactive!$C$7)</f>
        <v>9.3792852373092905E-4</v>
      </c>
      <c r="AI159" s="94">
        <f>VLOOKUP($A159,lmic_raw[],35,FALSE)*(1-interactive!$C$7)</f>
        <v>1.0021680936689752E-3</v>
      </c>
      <c r="AJ159" s="94">
        <f>VLOOKUP($A159,lmic_raw[],36,FALSE)*(1-interactive!$C$7)</f>
        <v>1.2175671181234968E-3</v>
      </c>
      <c r="AK159" s="94">
        <f>VLOOKUP($A159,lmic_raw[],37,FALSE)*(1-interactive!$C$7)</f>
        <v>1.6784164372098992E-3</v>
      </c>
      <c r="AL159" s="94">
        <f>VLOOKUP($A159,lmic_raw[],38,FALSE)*(1-interactive!$C$7)</f>
        <v>2.5003971404202355E-3</v>
      </c>
      <c r="AM159" s="94">
        <f>VLOOKUP($A159,lmic_raw[],39,FALSE)*(1-interactive!$C$7)</f>
        <v>3.9216813945665736E-3</v>
      </c>
      <c r="AN159" s="94">
        <f>VLOOKUP($A159,lmic_raw[],40,FALSE)*(1-interactive!$C$7)</f>
        <v>6.0591907414042122E-3</v>
      </c>
      <c r="AO159" s="94">
        <f>VLOOKUP($A159,lmic_raw[],41,FALSE)*(1-interactive!$C$7)</f>
        <v>9.3399514201864785E-3</v>
      </c>
      <c r="AP159" s="94">
        <f>VLOOKUP($A159,lmic_raw[],42,FALSE)*(1-interactive!$C$7)</f>
        <v>1.4609960595368227E-2</v>
      </c>
      <c r="AQ159" s="94">
        <f>VLOOKUP($A159,lmic_raw[],43,FALSE)*(1-interactive!$C$7)</f>
        <v>2.2651124723536985E-2</v>
      </c>
      <c r="AR159" s="94">
        <f>VLOOKUP($A159,lmic_raw[],44,FALSE)*(1-interactive!$C$7)</f>
        <v>3.5369441269833109E-2</v>
      </c>
      <c r="AS159" s="94">
        <f>VLOOKUP($A159,lmic_raw[],45,FALSE)*(1-interactive!$C$7)</f>
        <v>5.6473990276213075E-2</v>
      </c>
      <c r="AT159" s="94">
        <f>VLOOKUP($A159,lmic_raw[],46,FALSE)*(1-interactive!$C$7)</f>
        <v>8.4386901753798718E-2</v>
      </c>
      <c r="AU159" s="94">
        <f>VLOOKUP($A159,lmic_raw[],47,FALSE)*(1-interactive!$C$7)</f>
        <v>0.11385368890157387</v>
      </c>
      <c r="AV159" s="94">
        <f>VLOOKUP($A159,lmic_raw[],48,FALSE)*(1-interactive!$C$7)</f>
        <v>0.14248344437278479</v>
      </c>
      <c r="AW159" s="94">
        <f>VLOOKUP($A159,lmic_raw[],49,FALSE)*(1-interactive!$C$7)</f>
        <v>0.16415774141720935</v>
      </c>
      <c r="AX159" s="94">
        <f>VLOOKUP($A159,lmic_raw[],50,FALSE)*(1-interactive!$C$7)</f>
        <v>69.067849999999993</v>
      </c>
    </row>
    <row r="160" spans="1:50" x14ac:dyDescent="0.25">
      <c r="A160" s="109" t="s">
        <v>212</v>
      </c>
      <c r="B160" s="101" t="s">
        <v>394</v>
      </c>
      <c r="C160" s="102">
        <v>116</v>
      </c>
      <c r="D160" s="121" t="s">
        <v>681</v>
      </c>
      <c r="E160" s="98" t="s">
        <v>598</v>
      </c>
      <c r="F160" s="98" t="s">
        <v>666</v>
      </c>
      <c r="G160" s="98" t="s">
        <v>678</v>
      </c>
      <c r="H160" s="98">
        <f>VLOOKUP(lmic_raw_lb[[#This Row],[setting]],lmic_raw[],8,FALSE)</f>
        <v>16486542.000000002</v>
      </c>
      <c r="I160" s="98">
        <f>VLOOKUP(lmic_raw_lb[[#This Row],[setting]],lmic_raw[],9,FALSE)</f>
        <v>374656.66695000004</v>
      </c>
      <c r="J160" s="98">
        <f>VLOOKUP($A160,lmic_raw[],10,FALSE)*(1-interactive!$C$7)</f>
        <v>0.79039999999999999</v>
      </c>
      <c r="K160" s="98">
        <f>VLOOKUP($A160,lmic_raw[],11,FALSE)*(1-interactive!$C$7)</f>
        <v>0.83599999999999997</v>
      </c>
      <c r="L160" s="98">
        <f>VLOOKUP($A160,lmic_raw[],12,FALSE)*(1-interactive!$C$7)</f>
        <v>0.874</v>
      </c>
      <c r="M160" s="98">
        <f>IFERROR(VLOOKUP(lmic_raw_lb[[#This Row],[iso3]], hbv_prev[[iso3]:[ub]],3,FALSE)/100,0)</f>
        <v>2.23E-2</v>
      </c>
      <c r="N160" s="98">
        <f>IFERROR(VLOOKUP(lmic_raw_lb[[#This Row],[setting]],hbe_prev[],4,FALSE),0)</f>
        <v>0.18100000000000002</v>
      </c>
      <c r="O160" s="98">
        <f>VLOOKUP(lmic_raw_lb[[#This Row],[gbd_super]],hbe_risk[],3,FALSE)</f>
        <v>0.7</v>
      </c>
      <c r="P160" s="98">
        <f>VLOOKUP(lmic_raw_lb[[#This Row],[gbd_super]],hbe_risk[],6,FALSE)</f>
        <v>0.05</v>
      </c>
      <c r="Q160" s="98">
        <f>VLOOKUP(lmic_raw_lb[[#This Row],[setting]],lmic_raw[],17,FALSE)*(1-interactive!$C$7)</f>
        <v>3.0327529123347623</v>
      </c>
      <c r="R160" s="98">
        <f>VLOOKUP(lmic_raw_lb[[#This Row],[setting]],lmic_raw[],18,FALSE)*(1-interactive!$C$7)</f>
        <v>69.430275000000009</v>
      </c>
      <c r="S160" s="98">
        <f>VLOOKUP(lmic_raw_lb[[#This Row],[setting]],lmic_raw[],19,FALSE)*(1-interactive!$C$7)</f>
        <v>114.785175</v>
      </c>
      <c r="T160" s="98">
        <f>VLOOKUP(lmic_raw_lb[[#This Row],[setting]],lmic_raw[],20,FALSE)*(1-interactive!$C$7)</f>
        <v>114.785175</v>
      </c>
      <c r="U160" s="98">
        <f>VLOOKUP(lmic_raw_lb[[#This Row],[setting]],lmic_raw[],21,FALSE)*(1-interactive!$C$7)</f>
        <v>114.785175</v>
      </c>
      <c r="V160" s="33">
        <f>IFERROR(VLOOKUP(lmic_raw_lb[[#This Row],[setting]],vcost_lb[],3,FALSE),0)</f>
        <v>1.463300291398598</v>
      </c>
      <c r="W160" s="33">
        <f>IFERROR(VLOOKUP(lmic_raw_lb[[#This Row],[setting]],vcost_lb[],4,FALSE),0)</f>
        <v>2.0638902913985979</v>
      </c>
      <c r="X160" s="33">
        <f>IFERROR(VLOOKUP(lmic_raw_lb[[#This Row],[setting]],vcost_lb[],5,FALSE),0)</f>
        <v>1.0973754695714413</v>
      </c>
      <c r="Y160" s="33">
        <f>IFERROR(VLOOKUP(lmic_raw_lb[[#This Row],[setting]],vcost_lb[],6,FALSE),0)</f>
        <v>1.6979654695714412</v>
      </c>
      <c r="Z160" s="33">
        <f>IFERROR(VLOOKUP(lmic_raw_lb[[#This Row],[setting]],vcost_lb[],7,FALSE),0)</f>
        <v>1.6954328173866027</v>
      </c>
      <c r="AA160" s="33">
        <f>IFERROR(VLOOKUP(lmic_raw_lb[[#This Row],[setting]],vcost_lb[],8,FALSE),0)</f>
        <v>1.6747667467030198</v>
      </c>
      <c r="AB160" s="33">
        <f>IFERROR(VLOOKUP(lmic_raw_lb[[#This Row],[setting]],vcost_lb[],9,FALSE),0)</f>
        <v>2.2753567467030198</v>
      </c>
      <c r="AC160" s="98">
        <f>VLOOKUP($A160,lmic_raw[],29,FALSE)*(1-interactive!$C$7)</f>
        <v>2.2584264499999975E-2</v>
      </c>
      <c r="AD160" s="98">
        <f>VLOOKUP($A160,lmic_raw[],30,FALSE)*(1-interactive!$C$7)</f>
        <v>9.2552850587254406E-4</v>
      </c>
      <c r="AE160" s="98">
        <f>VLOOKUP($A160,lmic_raw[],31,FALSE)*(1-interactive!$C$7)</f>
        <v>1.5881588210856067E-3</v>
      </c>
      <c r="AF160" s="98">
        <f>VLOOKUP($A160,lmic_raw[],32,FALSE)*(1-interactive!$C$7)</f>
        <v>1.1347042249694262E-3</v>
      </c>
      <c r="AG160" s="98">
        <f>VLOOKUP($A160,lmic_raw[],33,FALSE)*(1-interactive!$C$7)</f>
        <v>1.0538591751505708E-3</v>
      </c>
      <c r="AH160" s="98">
        <f>VLOOKUP($A160,lmic_raw[],34,FALSE)*(1-interactive!$C$7)</f>
        <v>1.2701880413590555E-3</v>
      </c>
      <c r="AI160" s="98">
        <f>VLOOKUP($A160,lmic_raw[],35,FALSE)*(1-interactive!$C$7)</f>
        <v>1.7362232376912179E-3</v>
      </c>
      <c r="AJ160" s="98">
        <f>VLOOKUP($A160,lmic_raw[],36,FALSE)*(1-interactive!$C$7)</f>
        <v>2.2818183730947145E-3</v>
      </c>
      <c r="AK160" s="98">
        <f>VLOOKUP($A160,lmic_raw[],37,FALSE)*(1-interactive!$C$7)</f>
        <v>3.0072237084055164E-3</v>
      </c>
      <c r="AL160" s="98">
        <f>VLOOKUP($A160,lmic_raw[],38,FALSE)*(1-interactive!$C$7)</f>
        <v>3.863665377620641E-3</v>
      </c>
      <c r="AM160" s="98">
        <f>VLOOKUP($A160,lmic_raw[],39,FALSE)*(1-interactive!$C$7)</f>
        <v>4.8589691576379065E-3</v>
      </c>
      <c r="AN160" s="98">
        <f>VLOOKUP($A160,lmic_raw[],40,FALSE)*(1-interactive!$C$7)</f>
        <v>6.3261434348231005E-3</v>
      </c>
      <c r="AO160" s="98">
        <f>VLOOKUP($A160,lmic_raw[],41,FALSE)*(1-interactive!$C$7)</f>
        <v>9.7492990030998671E-3</v>
      </c>
      <c r="AP160" s="98">
        <f>VLOOKUP($A160,lmic_raw[],42,FALSE)*(1-interactive!$C$7)</f>
        <v>1.7010495440021773E-2</v>
      </c>
      <c r="AQ160" s="98">
        <f>VLOOKUP($A160,lmic_raw[],43,FALSE)*(1-interactive!$C$7)</f>
        <v>2.6535459546630794E-2</v>
      </c>
      <c r="AR160" s="98">
        <f>VLOOKUP($A160,lmic_raw[],44,FALSE)*(1-interactive!$C$7)</f>
        <v>4.2173260355046815E-2</v>
      </c>
      <c r="AS160" s="98">
        <f>VLOOKUP($A160,lmic_raw[],45,FALSE)*(1-interactive!$C$7)</f>
        <v>6.4350845901298775E-2</v>
      </c>
      <c r="AT160" s="98">
        <f>VLOOKUP($A160,lmic_raw[],46,FALSE)*(1-interactive!$C$7)</f>
        <v>9.1079441814630568E-2</v>
      </c>
      <c r="AU160" s="98">
        <f>VLOOKUP($A160,lmic_raw[],47,FALSE)*(1-interactive!$C$7)</f>
        <v>0.11933552847926461</v>
      </c>
      <c r="AV160" s="98">
        <f>VLOOKUP($A160,lmic_raw[],48,FALSE)*(1-interactive!$C$7)</f>
        <v>0.14527734807002129</v>
      </c>
      <c r="AW160" s="98">
        <f>VLOOKUP($A160,lmic_raw[],49,FALSE)*(1-interactive!$C$7)</f>
        <v>0.16885194869267275</v>
      </c>
      <c r="AX160" s="98">
        <f>VLOOKUP($A160,lmic_raw[],50,FALSE)*(1-interactive!$C$7)</f>
        <v>65.963250000000002</v>
      </c>
    </row>
    <row r="161" spans="1:50" x14ac:dyDescent="0.25">
      <c r="A161" s="110" t="s">
        <v>123</v>
      </c>
      <c r="B161" s="104" t="s">
        <v>395</v>
      </c>
      <c r="C161" s="105">
        <v>120</v>
      </c>
      <c r="D161" s="122" t="s">
        <v>677</v>
      </c>
      <c r="E161" s="94" t="s">
        <v>591</v>
      </c>
      <c r="F161" s="94" t="s">
        <v>667</v>
      </c>
      <c r="G161" s="94" t="s">
        <v>678</v>
      </c>
      <c r="H161" s="98">
        <f>VLOOKUP(lmic_raw_lb[[#This Row],[setting]],lmic_raw[],8,FALSE)</f>
        <v>25876387</v>
      </c>
      <c r="I161" s="98">
        <f>VLOOKUP(lmic_raw_lb[[#This Row],[setting]],lmic_raw[],9,FALSE)</f>
        <v>921432.26468300004</v>
      </c>
      <c r="J161" s="94">
        <f>VLOOKUP($A161,lmic_raw[],10,FALSE)*(1-interactive!$C$7)</f>
        <v>0.63649999999999995</v>
      </c>
      <c r="K161" s="94">
        <f>VLOOKUP($A161,lmic_raw[],11,FALSE)*(1-interactive!$C$7)</f>
        <v>0</v>
      </c>
      <c r="L161" s="94">
        <f>VLOOKUP($A161,lmic_raw[],12,FALSE)*(1-interactive!$C$7)</f>
        <v>0.63649999999999995</v>
      </c>
      <c r="M161" s="94">
        <f>IFERROR(VLOOKUP(lmic_raw_lb[[#This Row],[iso3]], hbv_prev[[iso3]:[ub]],3,FALSE)/100,0)</f>
        <v>3.49E-2</v>
      </c>
      <c r="N161" s="94">
        <f>IFERROR(VLOOKUP(lmic_raw_lb[[#This Row],[setting]],hbe_prev[],4,FALSE),0)</f>
        <v>0.155</v>
      </c>
      <c r="O161" s="94">
        <f>VLOOKUP(lmic_raw_lb[[#This Row],[gbd_super]],hbe_risk[],3,FALSE)</f>
        <v>7.0000000000000007E-2</v>
      </c>
      <c r="P161" s="94">
        <f>VLOOKUP(lmic_raw_lb[[#This Row],[gbd_super]],hbe_risk[],6,FALSE)</f>
        <v>1E-3</v>
      </c>
      <c r="Q161" s="94">
        <f>VLOOKUP(lmic_raw_lb[[#This Row],[setting]],lmic_raw[],17,FALSE)*(1-interactive!$C$7)</f>
        <v>3.5965327948264521</v>
      </c>
      <c r="R161" s="98">
        <f>VLOOKUP(lmic_raw_lb[[#This Row],[setting]],lmic_raw[],18,FALSE)*(1-interactive!$C$7)</f>
        <v>28.424474999999997</v>
      </c>
      <c r="S161" s="98">
        <f>VLOOKUP(lmic_raw_lb[[#This Row],[setting]],lmic_raw[],19,FALSE)*(1-interactive!$C$7)</f>
        <v>73.779375000000002</v>
      </c>
      <c r="T161" s="98">
        <f>VLOOKUP(lmic_raw_lb[[#This Row],[setting]],lmic_raw[],20,FALSE)*(1-interactive!$C$7)</f>
        <v>73.779375000000002</v>
      </c>
      <c r="U161" s="98">
        <f>VLOOKUP(lmic_raw_lb[[#This Row],[setting]],lmic_raw[],21,FALSE)*(1-interactive!$C$7)</f>
        <v>73.779375000000002</v>
      </c>
      <c r="V161" s="33">
        <f>IFERROR(VLOOKUP(lmic_raw_lb[[#This Row],[setting]],vcost_lb[],3,FALSE),0)</f>
        <v>0.91789651483927626</v>
      </c>
      <c r="W161" s="33">
        <f>IFERROR(VLOOKUP(lmic_raw_lb[[#This Row],[setting]],vcost_lb[],4,FALSE),0)</f>
        <v>5.5051615148392763</v>
      </c>
      <c r="X161" s="33">
        <f>IFERROR(VLOOKUP(lmic_raw_lb[[#This Row],[setting]],vcost_lb[],5,FALSE),0)</f>
        <v>0.55176736571301677</v>
      </c>
      <c r="Y161" s="33">
        <f>IFERROR(VLOOKUP(lmic_raw_lb[[#This Row],[setting]],vcost_lb[],6,FALSE),0)</f>
        <v>5.1390323657130175</v>
      </c>
      <c r="Z161" s="33">
        <f>IFERROR(VLOOKUP(lmic_raw_lb[[#This Row],[setting]],vcost_lb[],7,FALSE),0)</f>
        <v>5.1359565744553946</v>
      </c>
      <c r="AA161" s="33">
        <f>IFERROR(VLOOKUP(lmic_raw_lb[[#This Row],[setting]],vcost_lb[],8,FALSE),0)</f>
        <v>1.1294505389861709</v>
      </c>
      <c r="AB161" s="33">
        <f>IFERROR(VLOOKUP(lmic_raw_lb[[#This Row],[setting]],vcost_lb[],9,FALSE),0)</f>
        <v>5.716715538986171</v>
      </c>
      <c r="AC161" s="94">
        <f>VLOOKUP($A161,lmic_raw[],29,FALSE)*(1-interactive!$C$7)</f>
        <v>5.8134689500000052E-2</v>
      </c>
      <c r="AD161" s="94">
        <f>VLOOKUP($A161,lmic_raw[],30,FALSE)*(1-interactive!$C$7)</f>
        <v>6.8567445630569818E-3</v>
      </c>
      <c r="AE161" s="94">
        <f>VLOOKUP($A161,lmic_raw[],31,FALSE)*(1-interactive!$C$7)</f>
        <v>2.4961807687557368E-3</v>
      </c>
      <c r="AF161" s="94">
        <f>VLOOKUP($A161,lmic_raw[],32,FALSE)*(1-interactive!$C$7)</f>
        <v>1.7028439997797051E-3</v>
      </c>
      <c r="AG161" s="94">
        <f>VLOOKUP($A161,lmic_raw[],33,FALSE)*(1-interactive!$C$7)</f>
        <v>2.5411864754521811E-3</v>
      </c>
      <c r="AH161" s="94">
        <f>VLOOKUP($A161,lmic_raw[],34,FALSE)*(1-interactive!$C$7)</f>
        <v>3.6491301082612697E-3</v>
      </c>
      <c r="AI161" s="94">
        <f>VLOOKUP($A161,lmic_raw[],35,FALSE)*(1-interactive!$C$7)</f>
        <v>4.3298506967617851E-3</v>
      </c>
      <c r="AJ161" s="94">
        <f>VLOOKUP($A161,lmic_raw[],36,FALSE)*(1-interactive!$C$7)</f>
        <v>5.0887038176600265E-3</v>
      </c>
      <c r="AK161" s="94">
        <f>VLOOKUP($A161,lmic_raw[],37,FALSE)*(1-interactive!$C$7)</f>
        <v>6.1610732616617665E-3</v>
      </c>
      <c r="AL161" s="94">
        <f>VLOOKUP($A161,lmic_raw[],38,FALSE)*(1-interactive!$C$7)</f>
        <v>7.5313444898546748E-3</v>
      </c>
      <c r="AM161" s="94">
        <f>VLOOKUP($A161,lmic_raw[],39,FALSE)*(1-interactive!$C$7)</f>
        <v>9.1412855770493882E-3</v>
      </c>
      <c r="AN161" s="94">
        <f>VLOOKUP($A161,lmic_raw[],40,FALSE)*(1-interactive!$C$7)</f>
        <v>1.2334585714053275E-2</v>
      </c>
      <c r="AO161" s="94">
        <f>VLOOKUP($A161,lmic_raw[],41,FALSE)*(1-interactive!$C$7)</f>
        <v>1.6082741767519521E-2</v>
      </c>
      <c r="AP161" s="94">
        <f>VLOOKUP($A161,lmic_raw[],42,FALSE)*(1-interactive!$C$7)</f>
        <v>2.3405232132211351E-2</v>
      </c>
      <c r="AQ161" s="94">
        <f>VLOOKUP($A161,lmic_raw[],43,FALSE)*(1-interactive!$C$7)</f>
        <v>3.5029520600241171E-2</v>
      </c>
      <c r="AR161" s="94">
        <f>VLOOKUP($A161,lmic_raw[],44,FALSE)*(1-interactive!$C$7)</f>
        <v>5.2971208565649547E-2</v>
      </c>
      <c r="AS161" s="94">
        <f>VLOOKUP($A161,lmic_raw[],45,FALSE)*(1-interactive!$C$7)</f>
        <v>7.8478972028606001E-2</v>
      </c>
      <c r="AT161" s="94">
        <f>VLOOKUP($A161,lmic_raw[],46,FALSE)*(1-interactive!$C$7)</f>
        <v>0.1128472748735915</v>
      </c>
      <c r="AU161" s="94">
        <f>VLOOKUP($A161,lmic_raw[],47,FALSE)*(1-interactive!$C$7)</f>
        <v>0.14891680406145888</v>
      </c>
      <c r="AV161" s="94">
        <f>VLOOKUP($A161,lmic_raw[],48,FALSE)*(1-interactive!$C$7)</f>
        <v>0.17467684381389592</v>
      </c>
      <c r="AW161" s="94">
        <f>VLOOKUP($A161,lmic_raw[],49,FALSE)*(1-interactive!$C$7)</f>
        <v>0.18045379942982312</v>
      </c>
      <c r="AX161" s="94">
        <f>VLOOKUP($A161,lmic_raw[],50,FALSE)*(1-interactive!$C$7)</f>
        <v>55.833399999999997</v>
      </c>
    </row>
    <row r="162" spans="1:50" x14ac:dyDescent="0.25">
      <c r="A162" s="109" t="s">
        <v>601</v>
      </c>
      <c r="B162" s="101" t="s">
        <v>397</v>
      </c>
      <c r="C162" s="102">
        <v>140</v>
      </c>
      <c r="D162" s="121" t="s">
        <v>677</v>
      </c>
      <c r="E162" s="98" t="s">
        <v>582</v>
      </c>
      <c r="F162" s="98" t="s">
        <v>667</v>
      </c>
      <c r="G162" s="98" t="s">
        <v>674</v>
      </c>
      <c r="H162" s="98">
        <f>VLOOKUP(lmic_raw_lb[[#This Row],[setting]],lmic_raw[],8,FALSE)</f>
        <v>4745179</v>
      </c>
      <c r="I162" s="98">
        <f>VLOOKUP(lmic_raw_lb[[#This Row],[setting]],lmic_raw[],9,FALSE)</f>
        <v>168026.78838999997</v>
      </c>
      <c r="J162" s="98">
        <f>VLOOKUP($A162,lmic_raw[],10,FALSE)*(1-interactive!$C$7)</f>
        <v>0.49874999999999997</v>
      </c>
      <c r="K162" s="98">
        <f>VLOOKUP($A162,lmic_raw[],11,FALSE)*(1-interactive!$C$7)</f>
        <v>0</v>
      </c>
      <c r="L162" s="98">
        <f>VLOOKUP($A162,lmic_raw[],12,FALSE)*(1-interactive!$C$7)</f>
        <v>0.44649999999999995</v>
      </c>
      <c r="M162" s="98">
        <f>IFERROR(VLOOKUP(lmic_raw_lb[[#This Row],[iso3]], hbv_prev[[iso3]:[ub]],3,FALSE)/100,0)</f>
        <v>8.1699999999999995E-2</v>
      </c>
      <c r="N162" s="98">
        <f>IFERROR(VLOOKUP(lmic_raw_lb[[#This Row],[setting]],hbe_prev[],4,FALSE),0)</f>
        <v>0.15279999999999999</v>
      </c>
      <c r="O162" s="98">
        <f>VLOOKUP(lmic_raw_lb[[#This Row],[gbd_super]],hbe_risk[],3,FALSE)</f>
        <v>7.0000000000000007E-2</v>
      </c>
      <c r="P162" s="98">
        <f>VLOOKUP(lmic_raw_lb[[#This Row],[gbd_super]],hbe_risk[],6,FALSE)</f>
        <v>1E-3</v>
      </c>
      <c r="Q162" s="98">
        <f>VLOOKUP(lmic_raw_lb[[#This Row],[setting]],lmic_raw[],17,FALSE)*(1-interactive!$C$7)</f>
        <v>2.6268313969407457</v>
      </c>
      <c r="R162" s="98">
        <f>VLOOKUP(lmic_raw_lb[[#This Row],[setting]],lmic_raw[],18,FALSE)*(1-interactive!$C$7)</f>
        <v>28.424474999999997</v>
      </c>
      <c r="S162" s="98">
        <f>VLOOKUP(lmic_raw_lb[[#This Row],[setting]],lmic_raw[],19,FALSE)*(1-interactive!$C$7)</f>
        <v>73.779375000000002</v>
      </c>
      <c r="T162" s="98">
        <f>VLOOKUP(lmic_raw_lb[[#This Row],[setting]],lmic_raw[],20,FALSE)*(1-interactive!$C$7)</f>
        <v>73.779375000000002</v>
      </c>
      <c r="U162" s="98">
        <f>VLOOKUP(lmic_raw_lb[[#This Row],[setting]],lmic_raw[],21,FALSE)*(1-interactive!$C$7)</f>
        <v>73.779375000000002</v>
      </c>
      <c r="V162" s="33">
        <f>IFERROR(VLOOKUP(lmic_raw_lb[[#This Row],[setting]],vcost_lb[],3,FALSE),0)</f>
        <v>0.48977265087948402</v>
      </c>
      <c r="W162" s="33">
        <f>IFERROR(VLOOKUP(lmic_raw_lb[[#This Row],[setting]],vcost_lb[],4,FALSE),0)</f>
        <v>5.0770376508794843</v>
      </c>
      <c r="X162" s="33">
        <f>IFERROR(VLOOKUP(lmic_raw_lb[[#This Row],[setting]],vcost_lb[],5,FALSE),0)</f>
        <v>0.12604156338372721</v>
      </c>
      <c r="Y162" s="33">
        <f>IFERROR(VLOOKUP(lmic_raw_lb[[#This Row],[setting]],vcost_lb[],6,FALSE),0)</f>
        <v>4.7133065633837274</v>
      </c>
      <c r="Z162" s="33">
        <f>IFERROR(VLOOKUP(lmic_raw_lb[[#This Row],[setting]],vcost_lb[],7,FALSE),0)</f>
        <v>4.712200846859842</v>
      </c>
      <c r="AA162" s="33">
        <f>IFERROR(VLOOKUP(lmic_raw_lb[[#This Row],[setting]],vcost_lb[],8,FALSE),0)</f>
        <v>0.70029893432759194</v>
      </c>
      <c r="AB162" s="33">
        <f>IFERROR(VLOOKUP(lmic_raw_lb[[#This Row],[setting]],vcost_lb[],9,FALSE),0)</f>
        <v>5.2875639343275926</v>
      </c>
      <c r="AC162" s="98">
        <f>VLOOKUP($A162,lmic_raw[],29,FALSE)*(1-interactive!$C$7)</f>
        <v>7.782679299999995E-2</v>
      </c>
      <c r="AD162" s="98">
        <f>VLOOKUP($A162,lmic_raw[],30,FALSE)*(1-interactive!$C$7)</f>
        <v>1.0334291682443304E-2</v>
      </c>
      <c r="AE162" s="98">
        <f>VLOOKUP($A162,lmic_raw[],31,FALSE)*(1-interactive!$C$7)</f>
        <v>3.0365936574577126E-3</v>
      </c>
      <c r="AF162" s="98">
        <f>VLOOKUP($A162,lmic_raw[],32,FALSE)*(1-interactive!$C$7)</f>
        <v>2.1735466635176286E-3</v>
      </c>
      <c r="AG162" s="98">
        <f>VLOOKUP($A162,lmic_raw[],33,FALSE)*(1-interactive!$C$7)</f>
        <v>3.1299333396651238E-3</v>
      </c>
      <c r="AH162" s="98">
        <f>VLOOKUP($A162,lmic_raw[],34,FALSE)*(1-interactive!$C$7)</f>
        <v>4.7682644260981233E-3</v>
      </c>
      <c r="AI162" s="98">
        <f>VLOOKUP($A162,lmic_raw[],35,FALSE)*(1-interactive!$C$7)</f>
        <v>6.5010903924326109E-3</v>
      </c>
      <c r="AJ162" s="98">
        <f>VLOOKUP($A162,lmic_raw[],36,FALSE)*(1-interactive!$C$7)</f>
        <v>8.2401130841282446E-3</v>
      </c>
      <c r="AK162" s="98">
        <f>VLOOKUP($A162,lmic_raw[],37,FALSE)*(1-interactive!$C$7)</f>
        <v>1.0509819159104317E-2</v>
      </c>
      <c r="AL162" s="98">
        <f>VLOOKUP($A162,lmic_raw[],38,FALSE)*(1-interactive!$C$7)</f>
        <v>1.2290208503106139E-2</v>
      </c>
      <c r="AM162" s="98">
        <f>VLOOKUP($A162,lmic_raw[],39,FALSE)*(1-interactive!$C$7)</f>
        <v>1.4234394814264731E-2</v>
      </c>
      <c r="AN162" s="98">
        <f>VLOOKUP($A162,lmic_raw[],40,FALSE)*(1-interactive!$C$7)</f>
        <v>1.7379047281289126E-2</v>
      </c>
      <c r="AO162" s="98">
        <f>VLOOKUP($A162,lmic_raw[],41,FALSE)*(1-interactive!$C$7)</f>
        <v>2.1183760146336206E-2</v>
      </c>
      <c r="AP162" s="98">
        <f>VLOOKUP($A162,lmic_raw[],42,FALSE)*(1-interactive!$C$7)</f>
        <v>2.8297186330264606E-2</v>
      </c>
      <c r="AQ162" s="98">
        <f>VLOOKUP($A162,lmic_raw[],43,FALSE)*(1-interactive!$C$7)</f>
        <v>3.9442769157412044E-2</v>
      </c>
      <c r="AR162" s="98">
        <f>VLOOKUP($A162,lmic_raw[],44,FALSE)*(1-interactive!$C$7)</f>
        <v>5.6465411683298744E-2</v>
      </c>
      <c r="AS162" s="98">
        <f>VLOOKUP($A162,lmic_raw[],45,FALSE)*(1-interactive!$C$7)</f>
        <v>7.9879078516143301E-2</v>
      </c>
      <c r="AT162" s="98">
        <f>VLOOKUP($A162,lmic_raw[],46,FALSE)*(1-interactive!$C$7)</f>
        <v>0.11211322135547955</v>
      </c>
      <c r="AU162" s="98">
        <f>VLOOKUP($A162,lmic_raw[],47,FALSE)*(1-interactive!$C$7)</f>
        <v>0.14618258590800071</v>
      </c>
      <c r="AV162" s="98">
        <f>VLOOKUP($A162,lmic_raw[],48,FALSE)*(1-interactive!$C$7)</f>
        <v>0.17050667664699753</v>
      </c>
      <c r="AW162" s="98">
        <f>VLOOKUP($A162,lmic_raw[],49,FALSE)*(1-interactive!$C$7)</f>
        <v>0.17834655196363908</v>
      </c>
      <c r="AX162" s="98">
        <f>VLOOKUP($A162,lmic_raw[],50,FALSE)*(1-interactive!$C$7)</f>
        <v>50.034599999999998</v>
      </c>
    </row>
    <row r="163" spans="1:50" x14ac:dyDescent="0.25">
      <c r="A163" s="110" t="s">
        <v>125</v>
      </c>
      <c r="B163" s="104" t="s">
        <v>398</v>
      </c>
      <c r="C163" s="105">
        <v>148</v>
      </c>
      <c r="D163" s="122" t="s">
        <v>677</v>
      </c>
      <c r="E163" s="94" t="s">
        <v>591</v>
      </c>
      <c r="F163" s="94" t="s">
        <v>667</v>
      </c>
      <c r="G163" s="94" t="s">
        <v>674</v>
      </c>
      <c r="H163" s="98">
        <f>VLOOKUP(lmic_raw_lb[[#This Row],[setting]],lmic_raw[],8,FALSE)</f>
        <v>15946882</v>
      </c>
      <c r="I163" s="98">
        <f>VLOOKUP(lmic_raw_lb[[#This Row],[setting]],lmic_raw[],9,FALSE)</f>
        <v>676674.04390599998</v>
      </c>
      <c r="J163" s="94">
        <f>VLOOKUP($A163,lmic_raw[],10,FALSE)*(1-interactive!$C$7)</f>
        <v>0.20615</v>
      </c>
      <c r="K163" s="94">
        <f>VLOOKUP($A163,lmic_raw[],11,FALSE)*(1-interactive!$C$7)</f>
        <v>0</v>
      </c>
      <c r="L163" s="94">
        <f>VLOOKUP($A163,lmic_raw[],12,FALSE)*(1-interactive!$C$7)</f>
        <v>0.47499999999999998</v>
      </c>
      <c r="M163" s="94">
        <f>IFERROR(VLOOKUP(lmic_raw_lb[[#This Row],[iso3]], hbv_prev[[iso3]:[ub]],3,FALSE)/100,0)</f>
        <v>4.7999999999999996E-3</v>
      </c>
      <c r="N163" s="94">
        <f>IFERROR(VLOOKUP(lmic_raw_lb[[#This Row],[setting]],hbe_prev[],4,FALSE),0)</f>
        <v>0.155</v>
      </c>
      <c r="O163" s="94">
        <f>VLOOKUP(lmic_raw_lb[[#This Row],[gbd_super]],hbe_risk[],3,FALSE)</f>
        <v>7.0000000000000007E-2</v>
      </c>
      <c r="P163" s="94">
        <f>VLOOKUP(lmic_raw_lb[[#This Row],[gbd_super]],hbe_risk[],6,FALSE)</f>
        <v>1E-3</v>
      </c>
      <c r="Q163" s="94">
        <f>VLOOKUP(lmic_raw_lb[[#This Row],[setting]],lmic_raw[],17,FALSE)*(1-interactive!$C$7)</f>
        <v>3.1004064982337654</v>
      </c>
      <c r="R163" s="98">
        <f>VLOOKUP(lmic_raw_lb[[#This Row],[setting]],lmic_raw[],18,FALSE)*(1-interactive!$C$7)</f>
        <v>28.424474999999997</v>
      </c>
      <c r="S163" s="98">
        <f>VLOOKUP(lmic_raw_lb[[#This Row],[setting]],lmic_raw[],19,FALSE)*(1-interactive!$C$7)</f>
        <v>73.779375000000002</v>
      </c>
      <c r="T163" s="98">
        <f>VLOOKUP(lmic_raw_lb[[#This Row],[setting]],lmic_raw[],20,FALSE)*(1-interactive!$C$7)</f>
        <v>73.779375000000002</v>
      </c>
      <c r="U163" s="98">
        <f>VLOOKUP(lmic_raw_lb[[#This Row],[setting]],lmic_raw[],21,FALSE)*(1-interactive!$C$7)</f>
        <v>73.779375000000002</v>
      </c>
      <c r="V163" s="33">
        <f>IFERROR(VLOOKUP(lmic_raw_lb[[#This Row],[setting]],vcost_lb[],3,FALSE),0)</f>
        <v>0.45058237181197963</v>
      </c>
      <c r="W163" s="33">
        <f>IFERROR(VLOOKUP(lmic_raw_lb[[#This Row],[setting]],vcost_lb[],4,FALSE),0)</f>
        <v>5.0378473718119796</v>
      </c>
      <c r="X163" s="33">
        <f>IFERROR(VLOOKUP(lmic_raw_lb[[#This Row],[setting]],vcost_lb[],5,FALSE),0)</f>
        <v>8.6023752167548151E-2</v>
      </c>
      <c r="Y163" s="33">
        <f>IFERROR(VLOOKUP(lmic_raw_lb[[#This Row],[setting]],vcost_lb[],6,FALSE),0)</f>
        <v>4.6732887521675481</v>
      </c>
      <c r="Z163" s="33">
        <f>IFERROR(VLOOKUP(lmic_raw_lb[[#This Row],[setting]],vcost_lb[],7,FALSE),0)</f>
        <v>4.6716906937866609</v>
      </c>
      <c r="AA163" s="33">
        <f>IFERROR(VLOOKUP(lmic_raw_lb[[#This Row],[setting]],vcost_lb[],8,FALSE),0)</f>
        <v>0.66146331189523377</v>
      </c>
      <c r="AB163" s="33">
        <f>IFERROR(VLOOKUP(lmic_raw_lb[[#This Row],[setting]],vcost_lb[],9,FALSE),0)</f>
        <v>5.2487283118952339</v>
      </c>
      <c r="AC163" s="94">
        <f>VLOOKUP($A163,lmic_raw[],29,FALSE)*(1-interactive!$C$7)</f>
        <v>7.0798389000000003E-2</v>
      </c>
      <c r="AD163" s="94">
        <f>VLOOKUP($A163,lmic_raw[],30,FALSE)*(1-interactive!$C$7)</f>
        <v>1.2428973799389452E-2</v>
      </c>
      <c r="AE163" s="94">
        <f>VLOOKUP($A163,lmic_raw[],31,FALSE)*(1-interactive!$C$7)</f>
        <v>4.9140477640478419E-3</v>
      </c>
      <c r="AF163" s="94">
        <f>VLOOKUP($A163,lmic_raw[],32,FALSE)*(1-interactive!$C$7)</f>
        <v>3.187978925969821E-3</v>
      </c>
      <c r="AG163" s="94">
        <f>VLOOKUP($A163,lmic_raw[],33,FALSE)*(1-interactive!$C$7)</f>
        <v>3.6663730879068252E-3</v>
      </c>
      <c r="AH163" s="94">
        <f>VLOOKUP($A163,lmic_raw[],34,FALSE)*(1-interactive!$C$7)</f>
        <v>4.8437924283801911E-3</v>
      </c>
      <c r="AI163" s="94">
        <f>VLOOKUP($A163,lmic_raw[],35,FALSE)*(1-interactive!$C$7)</f>
        <v>6.360729221149595E-3</v>
      </c>
      <c r="AJ163" s="94">
        <f>VLOOKUP($A163,lmic_raw[],36,FALSE)*(1-interactive!$C$7)</f>
        <v>8.0484805638482079E-3</v>
      </c>
      <c r="AK163" s="94">
        <f>VLOOKUP($A163,lmic_raw[],37,FALSE)*(1-interactive!$C$7)</f>
        <v>9.8913296600556515E-3</v>
      </c>
      <c r="AL163" s="94">
        <f>VLOOKUP($A163,lmic_raw[],38,FALSE)*(1-interactive!$C$7)</f>
        <v>1.0526143776467265E-2</v>
      </c>
      <c r="AM163" s="94">
        <f>VLOOKUP($A163,lmic_raw[],39,FALSE)*(1-interactive!$C$7)</f>
        <v>1.0981358656635241E-2</v>
      </c>
      <c r="AN163" s="94">
        <f>VLOOKUP($A163,lmic_raw[],40,FALSE)*(1-interactive!$C$7)</f>
        <v>1.2278298968967736E-2</v>
      </c>
      <c r="AO163" s="94">
        <f>VLOOKUP($A163,lmic_raw[],41,FALSE)*(1-interactive!$C$7)</f>
        <v>1.5531681254449883E-2</v>
      </c>
      <c r="AP163" s="94">
        <f>VLOOKUP($A163,lmic_raw[],42,FALSE)*(1-interactive!$C$7)</f>
        <v>2.2235440929184669E-2</v>
      </c>
      <c r="AQ163" s="94">
        <f>VLOOKUP($A163,lmic_raw[],43,FALSE)*(1-interactive!$C$7)</f>
        <v>3.2947151127633738E-2</v>
      </c>
      <c r="AR163" s="94">
        <f>VLOOKUP($A163,lmic_raw[],44,FALSE)*(1-interactive!$C$7)</f>
        <v>4.9511916209015773E-2</v>
      </c>
      <c r="AS163" s="94">
        <f>VLOOKUP($A163,lmic_raw[],45,FALSE)*(1-interactive!$C$7)</f>
        <v>7.1939499347785582E-2</v>
      </c>
      <c r="AT163" s="94">
        <f>VLOOKUP($A163,lmic_raw[],46,FALSE)*(1-interactive!$C$7)</f>
        <v>0.10060626541573015</v>
      </c>
      <c r="AU163" s="94">
        <f>VLOOKUP($A163,lmic_raw[],47,FALSE)*(1-interactive!$C$7)</f>
        <v>0.13011385387199886</v>
      </c>
      <c r="AV163" s="94">
        <f>VLOOKUP($A163,lmic_raw[],48,FALSE)*(1-interactive!$C$7)</f>
        <v>0.15408274809008637</v>
      </c>
      <c r="AW163" s="94">
        <f>VLOOKUP($A163,lmic_raw[],49,FALSE)*(1-interactive!$C$7)</f>
        <v>0.16978698347619295</v>
      </c>
      <c r="AX163" s="94">
        <f>VLOOKUP($A163,lmic_raw[],50,FALSE)*(1-interactive!$C$7)</f>
        <v>51.109049999999996</v>
      </c>
    </row>
    <row r="164" spans="1:50" x14ac:dyDescent="0.25">
      <c r="A164" s="109" t="s">
        <v>202</v>
      </c>
      <c r="B164" s="101" t="s">
        <v>400</v>
      </c>
      <c r="C164" s="102">
        <v>156</v>
      </c>
      <c r="D164" s="121" t="s">
        <v>681</v>
      </c>
      <c r="E164" s="98" t="s">
        <v>603</v>
      </c>
      <c r="F164" s="98" t="s">
        <v>666</v>
      </c>
      <c r="G164" s="98" t="s">
        <v>676</v>
      </c>
      <c r="H164" s="98">
        <f>VLOOKUP(lmic_raw_lb[[#This Row],[setting]],lmic_raw[],8,FALSE)</f>
        <v>1433783692</v>
      </c>
      <c r="I164" s="98">
        <f>VLOOKUP(lmic_raw_lb[[#This Row],[setting]],lmic_raw[],9,FALSE)</f>
        <v>17105039.445560001</v>
      </c>
      <c r="J164" s="98">
        <f>VLOOKUP($A164,lmic_raw[],10,FALSE)*(1-interactive!$C$7)</f>
        <v>0.94905000000000006</v>
      </c>
      <c r="K164" s="98">
        <f>VLOOKUP($A164,lmic_raw[],11,FALSE)*(1-interactive!$C$7)</f>
        <v>0.91199999999999992</v>
      </c>
      <c r="L164" s="98">
        <f>VLOOKUP($A164,lmic_raw[],12,FALSE)*(1-interactive!$C$7)</f>
        <v>0.9405</v>
      </c>
      <c r="M164" s="98">
        <f>IFERROR(VLOOKUP(lmic_raw_lb[[#This Row],[iso3]], hbv_prev[[iso3]:[ub]],3,FALSE)/100,0)</f>
        <v>5.8499999999999996E-2</v>
      </c>
      <c r="N164" s="98">
        <f>IFERROR(VLOOKUP(lmic_raw_lb[[#This Row],[setting]],hbe_prev[],4,FALSE),0)</f>
        <v>0.18350000000000002</v>
      </c>
      <c r="O164" s="98">
        <f>VLOOKUP(lmic_raw_lb[[#This Row],[gbd_super]],hbe_risk[],3,FALSE)</f>
        <v>0.7</v>
      </c>
      <c r="P164" s="98">
        <f>VLOOKUP(lmic_raw_lb[[#This Row],[gbd_super]],hbe_risk[],6,FALSE)</f>
        <v>0.05</v>
      </c>
      <c r="Q164" s="98">
        <f>VLOOKUP(lmic_raw_lb[[#This Row],[setting]],lmic_raw[],17,FALSE)*(1-interactive!$C$7)</f>
        <v>7.644472351116784</v>
      </c>
      <c r="R164" s="98">
        <f>VLOOKUP(lmic_raw_lb[[#This Row],[setting]],lmic_raw[],18,FALSE)*(1-interactive!$C$7)</f>
        <v>69.430275000000009</v>
      </c>
      <c r="S164" s="98">
        <f>VLOOKUP(lmic_raw_lb[[#This Row],[setting]],lmic_raw[],19,FALSE)*(1-interactive!$C$7)</f>
        <v>114.785175</v>
      </c>
      <c r="T164" s="98">
        <f>VLOOKUP(lmic_raw_lb[[#This Row],[setting]],lmic_raw[],20,FALSE)*(1-interactive!$C$7)</f>
        <v>114.785175</v>
      </c>
      <c r="U164" s="98">
        <f>VLOOKUP(lmic_raw_lb[[#This Row],[setting]],lmic_raw[],21,FALSE)*(1-interactive!$C$7)</f>
        <v>114.785175</v>
      </c>
      <c r="V164" s="33">
        <f>IFERROR(VLOOKUP(lmic_raw_lb[[#This Row],[setting]],vcost_lb[],3,FALSE),0)</f>
        <v>0.96100590286749099</v>
      </c>
      <c r="W164" s="33">
        <f>IFERROR(VLOOKUP(lmic_raw_lb[[#This Row],[setting]],vcost_lb[],4,FALSE),0)</f>
        <v>1.5615959028674911</v>
      </c>
      <c r="X164" s="33">
        <f>IFERROR(VLOOKUP(lmic_raw_lb[[#This Row],[setting]],vcost_lb[],5,FALSE),0)</f>
        <v>0.58560818220020194</v>
      </c>
      <c r="Y164" s="33">
        <f>IFERROR(VLOOKUP(lmic_raw_lb[[#This Row],[setting]],vcost_lb[],6,FALSE),0)</f>
        <v>1.1861981822002019</v>
      </c>
      <c r="Z164" s="33">
        <f>IFERROR(VLOOKUP(lmic_raw_lb[[#This Row],[setting]],vcost_lb[],7,FALSE),0)</f>
        <v>1.177383351094885</v>
      </c>
      <c r="AA164" s="33">
        <f>IFERROR(VLOOKUP(lmic_raw_lb[[#This Row],[setting]],vcost_lb[],8,FALSE),0)</f>
        <v>1.1765321719605413</v>
      </c>
      <c r="AB164" s="33">
        <f>IFERROR(VLOOKUP(lmic_raw_lb[[#This Row],[setting]],vcost_lb[],9,FALSE),0)</f>
        <v>1.7771221719605412</v>
      </c>
      <c r="AC164" s="98">
        <f>VLOOKUP($A164,lmic_raw[],29,FALSE)*(1-interactive!$C$7)</f>
        <v>9.3994615000000115E-3</v>
      </c>
      <c r="AD164" s="98">
        <f>VLOOKUP($A164,lmic_raw[],30,FALSE)*(1-interactive!$C$7)</f>
        <v>3.9281659416144188E-4</v>
      </c>
      <c r="AE164" s="98">
        <f>VLOOKUP($A164,lmic_raw[],31,FALSE)*(1-interactive!$C$7)</f>
        <v>2.963287955142556E-4</v>
      </c>
      <c r="AF164" s="98">
        <f>VLOOKUP($A164,lmic_raw[],32,FALSE)*(1-interactive!$C$7)</f>
        <v>2.2117876062090083E-4</v>
      </c>
      <c r="AG164" s="98">
        <f>VLOOKUP($A164,lmic_raw[],33,FALSE)*(1-interactive!$C$7)</f>
        <v>3.214653737707117E-4</v>
      </c>
      <c r="AH164" s="98">
        <f>VLOOKUP($A164,lmic_raw[],34,FALSE)*(1-interactive!$C$7)</f>
        <v>4.5137532156597671E-4</v>
      </c>
      <c r="AI164" s="98">
        <f>VLOOKUP($A164,lmic_raw[],35,FALSE)*(1-interactive!$C$7)</f>
        <v>6.0381589231406298E-4</v>
      </c>
      <c r="AJ164" s="98">
        <f>VLOOKUP($A164,lmic_raw[],36,FALSE)*(1-interactive!$C$7)</f>
        <v>7.6363291956651742E-4</v>
      </c>
      <c r="AK164" s="98">
        <f>VLOOKUP($A164,lmic_raw[],37,FALSE)*(1-interactive!$C$7)</f>
        <v>9.6736558532992058E-4</v>
      </c>
      <c r="AL164" s="98">
        <f>VLOOKUP($A164,lmic_raw[],38,FALSE)*(1-interactive!$C$7)</f>
        <v>1.3695297071101148E-3</v>
      </c>
      <c r="AM164" s="98">
        <f>VLOOKUP($A164,lmic_raw[],39,FALSE)*(1-interactive!$C$7)</f>
        <v>2.0115177746647191E-3</v>
      </c>
      <c r="AN164" s="98">
        <f>VLOOKUP($A164,lmic_raw[],40,FALSE)*(1-interactive!$C$7)</f>
        <v>3.3369398107084931E-3</v>
      </c>
      <c r="AO164" s="98">
        <f>VLOOKUP($A164,lmic_raw[],41,FALSE)*(1-interactive!$C$7)</f>
        <v>5.5889783075949032E-3</v>
      </c>
      <c r="AP164" s="98">
        <f>VLOOKUP($A164,lmic_raw[],42,FALSE)*(1-interactive!$C$7)</f>
        <v>1.0407860711278792E-2</v>
      </c>
      <c r="AQ164" s="98">
        <f>VLOOKUP($A164,lmic_raw[],43,FALSE)*(1-interactive!$C$7)</f>
        <v>1.8467018727160337E-2</v>
      </c>
      <c r="AR164" s="98">
        <f>VLOOKUP($A164,lmic_raw[],44,FALSE)*(1-interactive!$C$7)</f>
        <v>3.2544025929692168E-2</v>
      </c>
      <c r="AS164" s="98">
        <f>VLOOKUP($A164,lmic_raw[],45,FALSE)*(1-interactive!$C$7)</f>
        <v>5.1710371630160318E-2</v>
      </c>
      <c r="AT164" s="98">
        <f>VLOOKUP($A164,lmic_raw[],46,FALSE)*(1-interactive!$C$7)</f>
        <v>7.3546197547558312E-2</v>
      </c>
      <c r="AU164" s="98">
        <f>VLOOKUP($A164,lmic_raw[],47,FALSE)*(1-interactive!$C$7)</f>
        <v>0.1018240690255698</v>
      </c>
      <c r="AV164" s="98">
        <f>VLOOKUP($A164,lmic_raw[],48,FALSE)*(1-interactive!$C$7)</f>
        <v>0.12660324325641278</v>
      </c>
      <c r="AW164" s="98">
        <f>VLOOKUP($A164,lmic_raw[],49,FALSE)*(1-interactive!$C$7)</f>
        <v>0.14692695333826819</v>
      </c>
      <c r="AX164" s="98">
        <f>VLOOKUP($A164,lmic_raw[],50,FALSE)*(1-interactive!$C$7)</f>
        <v>72.791849999999997</v>
      </c>
    </row>
    <row r="165" spans="1:50" x14ac:dyDescent="0.25">
      <c r="A165" s="110" t="s">
        <v>266</v>
      </c>
      <c r="B165" s="104" t="s">
        <v>401</v>
      </c>
      <c r="C165" s="105">
        <v>170</v>
      </c>
      <c r="D165" s="122" t="s">
        <v>679</v>
      </c>
      <c r="E165" s="94" t="s">
        <v>604</v>
      </c>
      <c r="F165" s="94" t="s">
        <v>665</v>
      </c>
      <c r="G165" s="94" t="s">
        <v>676</v>
      </c>
      <c r="H165" s="98">
        <f>VLOOKUP(lmic_raw_lb[[#This Row],[setting]],lmic_raw[],8,FALSE)</f>
        <v>50339443</v>
      </c>
      <c r="I165" s="98">
        <f>VLOOKUP(lmic_raw_lb[[#This Row],[setting]],lmic_raw[],9,FALSE)</f>
        <v>756551.48884699994</v>
      </c>
      <c r="J165" s="94">
        <f>VLOOKUP($A165,lmic_raw[],10,FALSE)*(1-interactive!$C$7)</f>
        <v>0.9423999999999999</v>
      </c>
      <c r="K165" s="94">
        <f>VLOOKUP($A165,lmic_raw[],11,FALSE)*(1-interactive!$C$7)</f>
        <v>0.73149999999999993</v>
      </c>
      <c r="L165" s="94">
        <f>VLOOKUP($A165,lmic_raw[],12,FALSE)*(1-interactive!$C$7)</f>
        <v>0.874</v>
      </c>
      <c r="M165" s="94">
        <f>IFERROR(VLOOKUP(lmic_raw_lb[[#This Row],[iso3]], hbv_prev[[iso3]:[ub]],3,FALSE)/100,0)</f>
        <v>9.1000000000000004E-3</v>
      </c>
      <c r="N165" s="94">
        <f>IFERROR(VLOOKUP(lmic_raw_lb[[#This Row],[setting]],hbe_prev[],4,FALSE),0)</f>
        <v>0.16440000000000002</v>
      </c>
      <c r="O165" s="94">
        <f>VLOOKUP(lmic_raw_lb[[#This Row],[gbd_super]],hbe_risk[],3,FALSE)</f>
        <v>0.7</v>
      </c>
      <c r="P165" s="94">
        <f>VLOOKUP(lmic_raw_lb[[#This Row],[gbd_super]],hbe_risk[],6,FALSE)</f>
        <v>0.05</v>
      </c>
      <c r="Q165" s="94">
        <f>VLOOKUP(lmic_raw_lb[[#This Row],[setting]],lmic_raw[],17,FALSE)*(1-interactive!$C$7)</f>
        <v>18.029297786613711</v>
      </c>
      <c r="R165" s="98">
        <f>VLOOKUP(lmic_raw_lb[[#This Row],[setting]],lmic_raw[],18,FALSE)*(1-interactive!$C$7)</f>
        <v>82.539704999999998</v>
      </c>
      <c r="S165" s="98">
        <f>VLOOKUP(lmic_raw_lb[[#This Row],[setting]],lmic_raw[],19,FALSE)*(1-interactive!$C$7)</f>
        <v>127.894605</v>
      </c>
      <c r="T165" s="98">
        <f>VLOOKUP(lmic_raw_lb[[#This Row],[setting]],lmic_raw[],20,FALSE)*(1-interactive!$C$7)</f>
        <v>127.894605</v>
      </c>
      <c r="U165" s="98">
        <f>VLOOKUP(lmic_raw_lb[[#This Row],[setting]],lmic_raw[],21,FALSE)*(1-interactive!$C$7)</f>
        <v>127.894605</v>
      </c>
      <c r="V165" s="33">
        <f>IFERROR(VLOOKUP(lmic_raw_lb[[#This Row],[setting]],vcost_lb[],3,FALSE),0)</f>
        <v>1.5264941045680376</v>
      </c>
      <c r="W165" s="33">
        <f>IFERROR(VLOOKUP(lmic_raw_lb[[#This Row],[setting]],vcost_lb[],4,FALSE),0)</f>
        <v>1.5472041045680376</v>
      </c>
      <c r="X165" s="33">
        <f>IFERROR(VLOOKUP(lmic_raw_lb[[#This Row],[setting]],vcost_lb[],5,FALSE),0)</f>
        <v>1.1557541832005234</v>
      </c>
      <c r="Y165" s="33">
        <f>IFERROR(VLOOKUP(lmic_raw_lb[[#This Row],[setting]],vcost_lb[],6,FALSE),0)</f>
        <v>1.1764641832005234</v>
      </c>
      <c r="Z165" s="33">
        <f>IFERROR(VLOOKUP(lmic_raw_lb[[#This Row],[setting]],vcost_lb[],7,FALSE),0)</f>
        <v>1.1704585177988551</v>
      </c>
      <c r="AA165" s="33">
        <f>IFERROR(VLOOKUP(lmic_raw_lb[[#This Row],[setting]],vcost_lb[],8,FALSE),0)</f>
        <v>1.7400241739611844</v>
      </c>
      <c r="AB165" s="33">
        <f>IFERROR(VLOOKUP(lmic_raw_lb[[#This Row],[setting]],vcost_lb[],9,FALSE),0)</f>
        <v>1.7607341739611844</v>
      </c>
      <c r="AC165" s="94">
        <f>VLOOKUP($A165,lmic_raw[],29,FALSE)*(1-interactive!$C$7)</f>
        <v>1.2005482500000005E-2</v>
      </c>
      <c r="AD165" s="94">
        <f>VLOOKUP($A165,lmic_raw[],30,FALSE)*(1-interactive!$C$7)</f>
        <v>5.1171952878711208E-4</v>
      </c>
      <c r="AE165" s="94">
        <f>VLOOKUP($A165,lmic_raw[],31,FALSE)*(1-interactive!$C$7)</f>
        <v>3.8046658642255888E-4</v>
      </c>
      <c r="AF165" s="94">
        <f>VLOOKUP($A165,lmic_raw[],32,FALSE)*(1-interactive!$C$7)</f>
        <v>3.5007868398258263E-4</v>
      </c>
      <c r="AG165" s="94">
        <f>VLOOKUP($A165,lmic_raw[],33,FALSE)*(1-interactive!$C$7)</f>
        <v>8.8872003453665117E-4</v>
      </c>
      <c r="AH165" s="94">
        <f>VLOOKUP($A165,lmic_raw[],34,FALSE)*(1-interactive!$C$7)</f>
        <v>1.7094534703995738E-3</v>
      </c>
      <c r="AI165" s="94">
        <f>VLOOKUP($A165,lmic_raw[],35,FALSE)*(1-interactive!$C$7)</f>
        <v>1.7710213339090957E-3</v>
      </c>
      <c r="AJ165" s="94">
        <f>VLOOKUP($A165,lmic_raw[],36,FALSE)*(1-interactive!$C$7)</f>
        <v>1.7342951028567969E-3</v>
      </c>
      <c r="AK165" s="94">
        <f>VLOOKUP($A165,lmic_raw[],37,FALSE)*(1-interactive!$C$7)</f>
        <v>1.889108464338052E-3</v>
      </c>
      <c r="AL165" s="94">
        <f>VLOOKUP($A165,lmic_raw[],38,FALSE)*(1-interactive!$C$7)</f>
        <v>2.1401725272512549E-3</v>
      </c>
      <c r="AM165" s="94">
        <f>VLOOKUP($A165,lmic_raw[],39,FALSE)*(1-interactive!$C$7)</f>
        <v>2.7039515569651077E-3</v>
      </c>
      <c r="AN165" s="94">
        <f>VLOOKUP($A165,lmic_raw[],40,FALSE)*(1-interactive!$C$7)</f>
        <v>4.1573164090282352E-3</v>
      </c>
      <c r="AO165" s="94">
        <f>VLOOKUP($A165,lmic_raw[],41,FALSE)*(1-interactive!$C$7)</f>
        <v>6.2057267595634997E-3</v>
      </c>
      <c r="AP165" s="94">
        <f>VLOOKUP($A165,lmic_raw[],42,FALSE)*(1-interactive!$C$7)</f>
        <v>9.5876526724842249E-3</v>
      </c>
      <c r="AQ165" s="94">
        <f>VLOOKUP($A165,lmic_raw[],43,FALSE)*(1-interactive!$C$7)</f>
        <v>1.4817057876972827E-2</v>
      </c>
      <c r="AR165" s="94">
        <f>VLOOKUP($A165,lmic_raw[],44,FALSE)*(1-interactive!$C$7)</f>
        <v>2.2646613246656615E-2</v>
      </c>
      <c r="AS165" s="94">
        <f>VLOOKUP($A165,lmic_raw[],45,FALSE)*(1-interactive!$C$7)</f>
        <v>3.4028266088053753E-2</v>
      </c>
      <c r="AT165" s="94">
        <f>VLOOKUP($A165,lmic_raw[],46,FALSE)*(1-interactive!$C$7)</f>
        <v>5.3238560193241996E-2</v>
      </c>
      <c r="AU165" s="94">
        <f>VLOOKUP($A165,lmic_raw[],47,FALSE)*(1-interactive!$C$7)</f>
        <v>8.3218965191032446E-2</v>
      </c>
      <c r="AV165" s="94">
        <f>VLOOKUP($A165,lmic_raw[],48,FALSE)*(1-interactive!$C$7)</f>
        <v>9.8766006968099784E-2</v>
      </c>
      <c r="AW165" s="94">
        <f>VLOOKUP($A165,lmic_raw[],49,FALSE)*(1-interactive!$C$7)</f>
        <v>0.1449092027204569</v>
      </c>
      <c r="AX165" s="94">
        <f>VLOOKUP($A165,lmic_raw[],50,FALSE)*(1-interactive!$C$7)</f>
        <v>73.16995</v>
      </c>
    </row>
    <row r="166" spans="1:50" x14ac:dyDescent="0.25">
      <c r="A166" s="109" t="s">
        <v>606</v>
      </c>
      <c r="B166" s="101" t="s">
        <v>402</v>
      </c>
      <c r="C166" s="102">
        <v>174</v>
      </c>
      <c r="D166" s="121" t="s">
        <v>677</v>
      </c>
      <c r="E166" s="98" t="s">
        <v>597</v>
      </c>
      <c r="F166" s="98" t="s">
        <v>667</v>
      </c>
      <c r="G166" s="98" t="s">
        <v>678</v>
      </c>
      <c r="H166" s="98">
        <f>VLOOKUP(lmic_raw_lb[[#This Row],[setting]],lmic_raw[],8,FALSE)</f>
        <v>850891</v>
      </c>
      <c r="I166" s="98">
        <f>VLOOKUP(lmic_raw_lb[[#This Row],[setting]],lmic_raw[],9,FALSE)</f>
        <v>27301.688625999999</v>
      </c>
      <c r="J166" s="98">
        <f>VLOOKUP($A166,lmic_raw[],10,FALSE)*(1-interactive!$C$7)</f>
        <v>0.72294999999999987</v>
      </c>
      <c r="K166" s="98">
        <f>VLOOKUP($A166,lmic_raw[],11,FALSE)*(1-interactive!$C$7)</f>
        <v>0</v>
      </c>
      <c r="L166" s="98">
        <f>VLOOKUP($A166,lmic_raw[],12,FALSE)*(1-interactive!$C$7)</f>
        <v>0.86449999999999994</v>
      </c>
      <c r="M166" s="98">
        <f>IFERROR(VLOOKUP(lmic_raw_lb[[#This Row],[iso3]], hbv_prev[[iso3]:[ub]],3,FALSE)/100,0)</f>
        <v>3.5999999999999999E-3</v>
      </c>
      <c r="N166" s="98">
        <f>IFERROR(VLOOKUP(lmic_raw_lb[[#This Row],[setting]],hbe_prev[],4,FALSE),0)</f>
        <v>0.15560000000000002</v>
      </c>
      <c r="O166" s="98">
        <f>VLOOKUP(lmic_raw_lb[[#This Row],[gbd_super]],hbe_risk[],3,FALSE)</f>
        <v>7.0000000000000007E-2</v>
      </c>
      <c r="P166" s="98">
        <f>VLOOKUP(lmic_raw_lb[[#This Row],[gbd_super]],hbe_risk[],6,FALSE)</f>
        <v>1E-3</v>
      </c>
      <c r="Q166" s="98">
        <f>VLOOKUP(lmic_raw_lb[[#This Row],[setting]],lmic_raw[],17,FALSE)*(1-interactive!$C$7)</f>
        <v>3.0553041076344298</v>
      </c>
      <c r="R166" s="98">
        <f>VLOOKUP(lmic_raw_lb[[#This Row],[setting]],lmic_raw[],18,FALSE)*(1-interactive!$C$7)</f>
        <v>28.424474999999997</v>
      </c>
      <c r="S166" s="98">
        <f>VLOOKUP(lmic_raw_lb[[#This Row],[setting]],lmic_raw[],19,FALSE)*(1-interactive!$C$7)</f>
        <v>73.779375000000002</v>
      </c>
      <c r="T166" s="98">
        <f>VLOOKUP(lmic_raw_lb[[#This Row],[setting]],lmic_raw[],20,FALSE)*(1-interactive!$C$7)</f>
        <v>73.779375000000002</v>
      </c>
      <c r="U166" s="98">
        <f>VLOOKUP(lmic_raw_lb[[#This Row],[setting]],lmic_raw[],21,FALSE)*(1-interactive!$C$7)</f>
        <v>73.779375000000002</v>
      </c>
      <c r="V166" s="33">
        <f>IFERROR(VLOOKUP(lmic_raw_lb[[#This Row],[setting]],vcost_lb[],3,FALSE),0)</f>
        <v>2.4197588075999303</v>
      </c>
      <c r="W166" s="33">
        <f>IFERROR(VLOOKUP(lmic_raw_lb[[#This Row],[setting]],vcost_lb[],4,FALSE),0)</f>
        <v>7.0070238075999303</v>
      </c>
      <c r="X166" s="33">
        <f>IFERROR(VLOOKUP(lmic_raw_lb[[#This Row],[setting]],vcost_lb[],5,FALSE),0)</f>
        <v>2.0544275379251662</v>
      </c>
      <c r="Y166" s="33">
        <f>IFERROR(VLOOKUP(lmic_raw_lb[[#This Row],[setting]],vcost_lb[],6,FALSE),0)</f>
        <v>6.6416925379251666</v>
      </c>
      <c r="Z166" s="33">
        <f>IFERROR(VLOOKUP(lmic_raw_lb[[#This Row],[setting]],vcost_lb[],7,FALSE),0)</f>
        <v>6.639502311494013</v>
      </c>
      <c r="AA166" s="33">
        <f>IFERROR(VLOOKUP(lmic_raw_lb[[#This Row],[setting]],vcost_lb[],8,FALSE),0)</f>
        <v>2.6309708834104697</v>
      </c>
      <c r="AB166" s="33">
        <f>IFERROR(VLOOKUP(lmic_raw_lb[[#This Row],[setting]],vcost_lb[],9,FALSE),0)</f>
        <v>7.2182358834104701</v>
      </c>
      <c r="AC166" s="98">
        <f>VLOOKUP($A166,lmic_raw[],29,FALSE)*(1-interactive!$C$7)</f>
        <v>5.0461701000000019E-2</v>
      </c>
      <c r="AD166" s="98">
        <f>VLOOKUP($A166,lmic_raw[],30,FALSE)*(1-interactive!$C$7)</f>
        <v>4.2496584475610064E-3</v>
      </c>
      <c r="AE166" s="98">
        <f>VLOOKUP($A166,lmic_raw[],31,FALSE)*(1-interactive!$C$7)</f>
        <v>1.2995700355024114E-3</v>
      </c>
      <c r="AF166" s="98">
        <f>VLOOKUP($A166,lmic_raw[],32,FALSE)*(1-interactive!$C$7)</f>
        <v>1.0195082081398083E-3</v>
      </c>
      <c r="AG166" s="98">
        <f>VLOOKUP($A166,lmic_raw[],33,FALSE)*(1-interactive!$C$7)</f>
        <v>1.6355224486175751E-3</v>
      </c>
      <c r="AH166" s="98">
        <f>VLOOKUP($A166,lmic_raw[],34,FALSE)*(1-interactive!$C$7)</f>
        <v>2.2775282523972008E-3</v>
      </c>
      <c r="AI166" s="98">
        <f>VLOOKUP($A166,lmic_raw[],35,FALSE)*(1-interactive!$C$7)</f>
        <v>2.483280653043709E-3</v>
      </c>
      <c r="AJ166" s="98">
        <f>VLOOKUP($A166,lmic_raw[],36,FALSE)*(1-interactive!$C$7)</f>
        <v>2.844189141233498E-3</v>
      </c>
      <c r="AK166" s="98">
        <f>VLOOKUP($A166,lmic_raw[],37,FALSE)*(1-interactive!$C$7)</f>
        <v>3.513126336674948E-3</v>
      </c>
      <c r="AL166" s="98">
        <f>VLOOKUP($A166,lmic_raw[],38,FALSE)*(1-interactive!$C$7)</f>
        <v>4.6166201925469143E-3</v>
      </c>
      <c r="AM166" s="98">
        <f>VLOOKUP($A166,lmic_raw[],39,FALSE)*(1-interactive!$C$7)</f>
        <v>6.4263002013538306E-3</v>
      </c>
      <c r="AN166" s="98">
        <f>VLOOKUP($A166,lmic_raw[],40,FALSE)*(1-interactive!$C$7)</f>
        <v>9.3201854999544528E-3</v>
      </c>
      <c r="AO166" s="98">
        <f>VLOOKUP($A166,lmic_raw[],41,FALSE)*(1-interactive!$C$7)</f>
        <v>1.3684400155686843E-2</v>
      </c>
      <c r="AP166" s="98">
        <f>VLOOKUP($A166,lmic_raw[],42,FALSE)*(1-interactive!$C$7)</f>
        <v>2.0598433991632272E-2</v>
      </c>
      <c r="AQ166" s="98">
        <f>VLOOKUP($A166,lmic_raw[],43,FALSE)*(1-interactive!$C$7)</f>
        <v>3.1082688893418427E-2</v>
      </c>
      <c r="AR166" s="98">
        <f>VLOOKUP($A166,lmic_raw[],44,FALSE)*(1-interactive!$C$7)</f>
        <v>4.7292943063005764E-2</v>
      </c>
      <c r="AS166" s="98">
        <f>VLOOKUP($A166,lmic_raw[],45,FALSE)*(1-interactive!$C$7)</f>
        <v>7.0166438000714246E-2</v>
      </c>
      <c r="AT166" s="98">
        <f>VLOOKUP($A166,lmic_raw[],46,FALSE)*(1-interactive!$C$7)</f>
        <v>9.9604681307013498E-2</v>
      </c>
      <c r="AU166" s="98">
        <f>VLOOKUP($A166,lmic_raw[],47,FALSE)*(1-interactive!$C$7)</f>
        <v>0.1302687430753518</v>
      </c>
      <c r="AV166" s="98">
        <f>VLOOKUP($A166,lmic_raw[],48,FALSE)*(1-interactive!$C$7)</f>
        <v>0.15495278763566037</v>
      </c>
      <c r="AW166" s="98">
        <f>VLOOKUP($A166,lmic_raw[],49,FALSE)*(1-interactive!$C$7)</f>
        <v>0.17070931668297665</v>
      </c>
      <c r="AX166" s="98">
        <f>VLOOKUP($A166,lmic_raw[],50,FALSE)*(1-interactive!$C$7)</f>
        <v>60.783849999999994</v>
      </c>
    </row>
    <row r="167" spans="1:50" x14ac:dyDescent="0.25">
      <c r="A167" s="84" t="s">
        <v>611</v>
      </c>
      <c r="B167" s="104" t="s">
        <v>412</v>
      </c>
      <c r="C167" s="105">
        <v>180</v>
      </c>
      <c r="D167" s="122" t="s">
        <v>677</v>
      </c>
      <c r="E167" s="94" t="s">
        <v>582</v>
      </c>
      <c r="F167" s="94" t="s">
        <v>667</v>
      </c>
      <c r="G167" s="94" t="s">
        <v>674</v>
      </c>
      <c r="H167" s="98">
        <f>VLOOKUP(lmic_raw_lb[[#This Row],[setting]],lmic_raw[],8,FALSE)</f>
        <v>86790568</v>
      </c>
      <c r="I167" s="98">
        <f>VLOOKUP(lmic_raw_lb[[#This Row],[setting]],lmic_raw[],9,FALSE)</f>
        <v>3594691.7454240001</v>
      </c>
      <c r="J167" s="94">
        <f>VLOOKUP($A167,lmic_raw[],10,FALSE)*(1-interactive!$C$7)</f>
        <v>0.77424999999999988</v>
      </c>
      <c r="K167" s="94">
        <f>VLOOKUP($A167,lmic_raw[],11,FALSE)*(1-interactive!$C$7)</f>
        <v>0</v>
      </c>
      <c r="L167" s="94">
        <f>VLOOKUP($A167,lmic_raw[],12,FALSE)*(1-interactive!$C$7)</f>
        <v>0.54149999999999998</v>
      </c>
      <c r="M167" s="94">
        <f>IFERROR(VLOOKUP(lmic_raw_lb[[#This Row],[iso3]], hbv_prev[[iso3]:[ub]],3,FALSE)/100,0)</f>
        <v>2.3700000000000002E-2</v>
      </c>
      <c r="N167" s="94">
        <f>IFERROR(VLOOKUP(lmic_raw_lb[[#This Row],[setting]],hbe_prev[],4,FALSE),0)</f>
        <v>0.15279999999999999</v>
      </c>
      <c r="O167" s="94">
        <f>VLOOKUP(lmic_raw_lb[[#This Row],[gbd_super]],hbe_risk[],3,FALSE)</f>
        <v>7.0000000000000007E-2</v>
      </c>
      <c r="P167" s="94">
        <f>VLOOKUP(lmic_raw_lb[[#This Row],[gbd_super]],hbe_risk[],6,FALSE)</f>
        <v>1E-3</v>
      </c>
      <c r="Q167" s="94">
        <f>VLOOKUP(lmic_raw_lb[[#This Row],[setting]],lmic_raw[],17,FALSE)*(1-interactive!$C$7)</f>
        <v>0</v>
      </c>
      <c r="R167" s="98">
        <f>VLOOKUP(lmic_raw_lb[[#This Row],[setting]],lmic_raw[],18,FALSE)*(1-interactive!$C$7)</f>
        <v>28.424474999999997</v>
      </c>
      <c r="S167" s="98">
        <f>VLOOKUP(lmic_raw_lb[[#This Row],[setting]],lmic_raw[],19,FALSE)*(1-interactive!$C$7)</f>
        <v>73.779375000000002</v>
      </c>
      <c r="T167" s="98">
        <f>VLOOKUP(lmic_raw_lb[[#This Row],[setting]],lmic_raw[],20,FALSE)*(1-interactive!$C$7)</f>
        <v>73.779375000000002</v>
      </c>
      <c r="U167" s="98">
        <f>VLOOKUP(lmic_raw_lb[[#This Row],[setting]],lmic_raw[],21,FALSE)*(1-interactive!$C$7)</f>
        <v>73.779375000000002</v>
      </c>
      <c r="V167" s="33">
        <f>IFERROR(VLOOKUP(lmic_raw_lb[[#This Row],[setting]],vcost_lb[],3,FALSE),0)</f>
        <v>0.69656365603224035</v>
      </c>
      <c r="W167" s="33">
        <f>IFERROR(VLOOKUP(lmic_raw_lb[[#This Row],[setting]],vcost_lb[],4,FALSE),0)</f>
        <v>5.2838286560322407</v>
      </c>
      <c r="X167" s="33">
        <f>IFERROR(VLOOKUP(lmic_raw_lb[[#This Row],[setting]],vcost_lb[],5,FALSE),0)</f>
        <v>0.33250686053240741</v>
      </c>
      <c r="Y167" s="33">
        <f>IFERROR(VLOOKUP(lmic_raw_lb[[#This Row],[setting]],vcost_lb[],6,FALSE),0)</f>
        <v>4.9197718605324079</v>
      </c>
      <c r="Z167" s="33">
        <f>IFERROR(VLOOKUP(lmic_raw_lb[[#This Row],[setting]],vcost_lb[],7,FALSE),0)</f>
        <v>4.9185228626543216</v>
      </c>
      <c r="AA167" s="33">
        <f>IFERROR(VLOOKUP(lmic_raw_lb[[#This Row],[setting]],vcost_lb[],8,FALSE),0)</f>
        <v>0.90722952862495232</v>
      </c>
      <c r="AB167" s="33">
        <f>IFERROR(VLOOKUP(lmic_raw_lb[[#This Row],[setting]],vcost_lb[],9,FALSE),0)</f>
        <v>5.4944945286249531</v>
      </c>
      <c r="AC167" s="94">
        <f>VLOOKUP($A167,lmic_raw[],29,FALSE)*(1-interactive!$C$7)</f>
        <v>6.1685893999999936E-2</v>
      </c>
      <c r="AD167" s="94">
        <f>VLOOKUP($A167,lmic_raw[],30,FALSE)*(1-interactive!$C$7)</f>
        <v>9.0303861011186235E-3</v>
      </c>
      <c r="AE167" s="94">
        <f>VLOOKUP($A167,lmic_raw[],31,FALSE)*(1-interactive!$C$7)</f>
        <v>3.2690211025243792E-3</v>
      </c>
      <c r="AF167" s="94">
        <f>VLOOKUP($A167,lmic_raw[],32,FALSE)*(1-interactive!$C$7)</f>
        <v>1.9314018943364898E-3</v>
      </c>
      <c r="AG167" s="94">
        <f>VLOOKUP($A167,lmic_raw[],33,FALSE)*(1-interactive!$C$7)</f>
        <v>2.5837849680857396E-3</v>
      </c>
      <c r="AH167" s="94">
        <f>VLOOKUP($A167,lmic_raw[],34,FALSE)*(1-interactive!$C$7)</f>
        <v>3.4803801318392608E-3</v>
      </c>
      <c r="AI167" s="94">
        <f>VLOOKUP($A167,lmic_raw[],35,FALSE)*(1-interactive!$C$7)</f>
        <v>3.8125365821258896E-3</v>
      </c>
      <c r="AJ167" s="94">
        <f>VLOOKUP($A167,lmic_raw[],36,FALSE)*(1-interactive!$C$7)</f>
        <v>4.1861390237627619E-3</v>
      </c>
      <c r="AK167" s="94">
        <f>VLOOKUP($A167,lmic_raw[],37,FALSE)*(1-interactive!$C$7)</f>
        <v>4.7393921514607504E-3</v>
      </c>
      <c r="AL167" s="94">
        <f>VLOOKUP($A167,lmic_raw[],38,FALSE)*(1-interactive!$C$7)</f>
        <v>5.8093776796178612E-3</v>
      </c>
      <c r="AM167" s="94">
        <f>VLOOKUP($A167,lmic_raw[],39,FALSE)*(1-interactive!$C$7)</f>
        <v>6.9922878577889248E-3</v>
      </c>
      <c r="AN167" s="94">
        <f>VLOOKUP($A167,lmic_raw[],40,FALSE)*(1-interactive!$C$7)</f>
        <v>9.6319553593586654E-3</v>
      </c>
      <c r="AO167" s="94">
        <f>VLOOKUP($A167,lmic_raw[],41,FALSE)*(1-interactive!$C$7)</f>
        <v>1.2769024751046486E-2</v>
      </c>
      <c r="AP167" s="94">
        <f>VLOOKUP($A167,lmic_raw[],42,FALSE)*(1-interactive!$C$7)</f>
        <v>1.9033623997684865E-2</v>
      </c>
      <c r="AQ167" s="94">
        <f>VLOOKUP($A167,lmic_raw[],43,FALSE)*(1-interactive!$C$7)</f>
        <v>2.8856519201277589E-2</v>
      </c>
      <c r="AR167" s="94">
        <f>VLOOKUP($A167,lmic_raw[],44,FALSE)*(1-interactive!$C$7)</f>
        <v>4.4035019714278451E-2</v>
      </c>
      <c r="AS167" s="94">
        <f>VLOOKUP($A167,lmic_raw[],45,FALSE)*(1-interactive!$C$7)</f>
        <v>6.5471344430903522E-2</v>
      </c>
      <c r="AT167" s="94">
        <f>VLOOKUP($A167,lmic_raw[],46,FALSE)*(1-interactive!$C$7)</f>
        <v>9.3734955127636896E-2</v>
      </c>
      <c r="AU167" s="94">
        <f>VLOOKUP($A167,lmic_raw[],47,FALSE)*(1-interactive!$C$7)</f>
        <v>0.1241443797886278</v>
      </c>
      <c r="AV167" s="94">
        <f>VLOOKUP($A167,lmic_raw[],48,FALSE)*(1-interactive!$C$7)</f>
        <v>0.1499546530036289</v>
      </c>
      <c r="AW167" s="94">
        <f>VLOOKUP($A167,lmic_raw[],49,FALSE)*(1-interactive!$C$7)</f>
        <v>0.16783387968599636</v>
      </c>
      <c r="AX167" s="94">
        <f>VLOOKUP($A167,lmic_raw[],50,FALSE)*(1-interactive!$C$7)</f>
        <v>57.200449999999996</v>
      </c>
    </row>
    <row r="168" spans="1:50" x14ac:dyDescent="0.25">
      <c r="A168" s="109" t="s">
        <v>607</v>
      </c>
      <c r="B168" s="101" t="s">
        <v>403</v>
      </c>
      <c r="C168" s="102">
        <v>178</v>
      </c>
      <c r="D168" s="121" t="s">
        <v>677</v>
      </c>
      <c r="E168" s="98" t="s">
        <v>582</v>
      </c>
      <c r="F168" s="98" t="s">
        <v>667</v>
      </c>
      <c r="G168" s="98" t="s">
        <v>678</v>
      </c>
      <c r="H168" s="98">
        <f>VLOOKUP(lmic_raw_lb[[#This Row],[setting]],lmic_raw[],8,FALSE)</f>
        <v>5380504</v>
      </c>
      <c r="I168" s="98">
        <f>VLOOKUP(lmic_raw_lb[[#This Row],[setting]],lmic_raw[],9,FALSE)</f>
        <v>177825.65719999999</v>
      </c>
      <c r="J168" s="98">
        <f>VLOOKUP($A168,lmic_raw[],10,FALSE)*(1-interactive!$C$7)</f>
        <v>0.86924999999999997</v>
      </c>
      <c r="K168" s="98">
        <f>VLOOKUP($A168,lmic_raw[],11,FALSE)*(1-interactive!$C$7)</f>
        <v>0</v>
      </c>
      <c r="L168" s="98">
        <f>VLOOKUP($A168,lmic_raw[],12,FALSE)*(1-interactive!$C$7)</f>
        <v>0.75049999999999994</v>
      </c>
      <c r="M168" s="98">
        <f>IFERROR(VLOOKUP(lmic_raw_lb[[#This Row],[iso3]], hbv_prev[[iso3]:[ub]],3,FALSE)/100,0)</f>
        <v>6.83E-2</v>
      </c>
      <c r="N168" s="98">
        <f>IFERROR(VLOOKUP(lmic_raw_lb[[#This Row],[setting]],hbe_prev[],4,FALSE),0)</f>
        <v>0.15279999999999999</v>
      </c>
      <c r="O168" s="98">
        <f>VLOOKUP(lmic_raw_lb[[#This Row],[gbd_super]],hbe_risk[],3,FALSE)</f>
        <v>7.0000000000000007E-2</v>
      </c>
      <c r="P168" s="98">
        <f>VLOOKUP(lmic_raw_lb[[#This Row],[gbd_super]],hbe_risk[],6,FALSE)</f>
        <v>1E-3</v>
      </c>
      <c r="Q168" s="98">
        <f>VLOOKUP(lmic_raw_lb[[#This Row],[setting]],lmic_raw[],17,FALSE)*(1-interactive!$C$7)</f>
        <v>5.6825183600457043</v>
      </c>
      <c r="R168" s="98">
        <f>VLOOKUP(lmic_raw_lb[[#This Row],[setting]],lmic_raw[],18,FALSE)*(1-interactive!$C$7)</f>
        <v>28.424474999999997</v>
      </c>
      <c r="S168" s="98">
        <f>VLOOKUP(lmic_raw_lb[[#This Row],[setting]],lmic_raw[],19,FALSE)*(1-interactive!$C$7)</f>
        <v>73.779375000000002</v>
      </c>
      <c r="T168" s="98">
        <f>VLOOKUP(lmic_raw_lb[[#This Row],[setting]],lmic_raw[],20,FALSE)*(1-interactive!$C$7)</f>
        <v>73.779375000000002</v>
      </c>
      <c r="U168" s="98">
        <f>VLOOKUP(lmic_raw_lb[[#This Row],[setting]],lmic_raw[],21,FALSE)*(1-interactive!$C$7)</f>
        <v>73.779375000000002</v>
      </c>
      <c r="V168" s="33">
        <f>IFERROR(VLOOKUP(lmic_raw_lb[[#This Row],[setting]],vcost_lb[],3,FALSE),0)</f>
        <v>1.1682436904669373</v>
      </c>
      <c r="W168" s="33">
        <f>IFERROR(VLOOKUP(lmic_raw_lb[[#This Row],[setting]],vcost_lb[],4,FALSE),0)</f>
        <v>5.7555086904669377</v>
      </c>
      <c r="X168" s="33">
        <f>IFERROR(VLOOKUP(lmic_raw_lb[[#This Row],[setting]],vcost_lb[],5,FALSE),0)</f>
        <v>0.80081864549399384</v>
      </c>
      <c r="Y168" s="33">
        <f>IFERROR(VLOOKUP(lmic_raw_lb[[#This Row],[setting]],vcost_lb[],6,FALSE),0)</f>
        <v>5.3880836454939942</v>
      </c>
      <c r="Z168" s="33">
        <f>IFERROR(VLOOKUP(lmic_raw_lb[[#This Row],[setting]],vcost_lb[],7,FALSE),0)</f>
        <v>5.3845871650565442</v>
      </c>
      <c r="AA168" s="33">
        <f>IFERROR(VLOOKUP(lmic_raw_lb[[#This Row],[setting]],vcost_lb[],8,FALSE),0)</f>
        <v>1.3803530985481252</v>
      </c>
      <c r="AB168" s="33">
        <f>IFERROR(VLOOKUP(lmic_raw_lb[[#This Row],[setting]],vcost_lb[],9,FALSE),0)</f>
        <v>5.967618098548126</v>
      </c>
      <c r="AC168" s="98">
        <f>VLOOKUP($A168,lmic_raw[],29,FALSE)*(1-interactive!$C$7)</f>
        <v>3.3540709499999953E-2</v>
      </c>
      <c r="AD168" s="98">
        <f>VLOOKUP($A168,lmic_raw[],30,FALSE)*(1-interactive!$C$7)</f>
        <v>3.0131446138687151E-3</v>
      </c>
      <c r="AE168" s="98">
        <f>VLOOKUP($A168,lmic_raw[],31,FALSE)*(1-interactive!$C$7)</f>
        <v>1.2780133578805567E-3</v>
      </c>
      <c r="AF168" s="98">
        <f>VLOOKUP($A168,lmic_raw[],32,FALSE)*(1-interactive!$C$7)</f>
        <v>9.4422757922080203E-4</v>
      </c>
      <c r="AG168" s="98">
        <f>VLOOKUP($A168,lmic_raw[],33,FALSE)*(1-interactive!$C$7)</f>
        <v>1.5400414922486158E-3</v>
      </c>
      <c r="AH168" s="98">
        <f>VLOOKUP($A168,lmic_raw[],34,FALSE)*(1-interactive!$C$7)</f>
        <v>2.4317892777857356E-3</v>
      </c>
      <c r="AI168" s="98">
        <f>VLOOKUP($A168,lmic_raw[],35,FALSE)*(1-interactive!$C$7)</f>
        <v>3.2680329059545741E-3</v>
      </c>
      <c r="AJ168" s="98">
        <f>VLOOKUP($A168,lmic_raw[],36,FALSE)*(1-interactive!$C$7)</f>
        <v>4.1550294037467957E-3</v>
      </c>
      <c r="AK168" s="98">
        <f>VLOOKUP($A168,lmic_raw[],37,FALSE)*(1-interactive!$C$7)</f>
        <v>5.3925817646291166E-3</v>
      </c>
      <c r="AL168" s="98">
        <f>VLOOKUP($A168,lmic_raw[],38,FALSE)*(1-interactive!$C$7)</f>
        <v>6.6433749155469079E-3</v>
      </c>
      <c r="AM168" s="98">
        <f>VLOOKUP($A168,lmic_raw[],39,FALSE)*(1-interactive!$C$7)</f>
        <v>8.167543754324505E-3</v>
      </c>
      <c r="AN168" s="98">
        <f>VLOOKUP($A168,lmic_raw[],40,FALSE)*(1-interactive!$C$7)</f>
        <v>1.0879270261936105E-2</v>
      </c>
      <c r="AO168" s="98">
        <f>VLOOKUP($A168,lmic_raw[],41,FALSE)*(1-interactive!$C$7)</f>
        <v>1.4077463119211722E-2</v>
      </c>
      <c r="AP168" s="98">
        <f>VLOOKUP($A168,lmic_raw[],42,FALSE)*(1-interactive!$C$7)</f>
        <v>2.0237176645869531E-2</v>
      </c>
      <c r="AQ168" s="98">
        <f>VLOOKUP($A168,lmic_raw[],43,FALSE)*(1-interactive!$C$7)</f>
        <v>3.0272068325915807E-2</v>
      </c>
      <c r="AR168" s="98">
        <f>VLOOKUP($A168,lmic_raw[],44,FALSE)*(1-interactive!$C$7)</f>
        <v>4.6121614299446091E-2</v>
      </c>
      <c r="AS168" s="98">
        <f>VLOOKUP($A168,lmic_raw[],45,FALSE)*(1-interactive!$C$7)</f>
        <v>6.9698871849460775E-2</v>
      </c>
      <c r="AT168" s="98">
        <f>VLOOKUP($A168,lmic_raw[],46,FALSE)*(1-interactive!$C$7)</f>
        <v>0.10384638221937378</v>
      </c>
      <c r="AU168" s="98">
        <f>VLOOKUP($A168,lmic_raw[],47,FALSE)*(1-interactive!$C$7)</f>
        <v>0.14252044369482056</v>
      </c>
      <c r="AV168" s="98">
        <f>VLOOKUP($A168,lmic_raw[],48,FALSE)*(1-interactive!$C$7)</f>
        <v>0.17200254887311406</v>
      </c>
      <c r="AW168" s="98">
        <f>VLOOKUP($A168,lmic_raw[],49,FALSE)*(1-interactive!$C$7)</f>
        <v>0.18019895264774627</v>
      </c>
      <c r="AX168" s="98">
        <f>VLOOKUP($A168,lmic_raw[],50,FALSE)*(1-interactive!$C$7)</f>
        <v>60.949149999999996</v>
      </c>
    </row>
    <row r="169" spans="1:50" x14ac:dyDescent="0.25">
      <c r="A169" s="110" t="s">
        <v>254</v>
      </c>
      <c r="B169" s="104" t="s">
        <v>405</v>
      </c>
      <c r="C169" s="105">
        <v>188</v>
      </c>
      <c r="D169" s="122" t="s">
        <v>679</v>
      </c>
      <c r="E169" s="94" t="s">
        <v>604</v>
      </c>
      <c r="F169" s="94" t="s">
        <v>665</v>
      </c>
      <c r="G169" s="94" t="s">
        <v>676</v>
      </c>
      <c r="H169" s="98">
        <f>VLOOKUP(lmic_raw_lb[[#This Row],[setting]],lmic_raw[],8,FALSE)</f>
        <v>5047561</v>
      </c>
      <c r="I169" s="98">
        <f>VLOOKUP(lmic_raw_lb[[#This Row],[setting]],lmic_raw[],9,FALSE)</f>
        <v>71226.133270999999</v>
      </c>
      <c r="J169" s="94">
        <f>VLOOKUP($A169,lmic_raw[],10,FALSE)*(1-interactive!$C$7)</f>
        <v>0.92909999999999993</v>
      </c>
      <c r="K169" s="94">
        <f>VLOOKUP($A169,lmic_raw[],11,FALSE)*(1-interactive!$C$7)</f>
        <v>0.82650000000000001</v>
      </c>
      <c r="L169" s="94">
        <f>VLOOKUP($A169,lmic_raw[],12,FALSE)*(1-interactive!$C$7)</f>
        <v>0.93099999999999994</v>
      </c>
      <c r="M169" s="94">
        <f>IFERROR(VLOOKUP(lmic_raw_lb[[#This Row],[iso3]], hbv_prev[[iso3]:[ub]],3,FALSE)/100,0)</f>
        <v>1.2999999999999999E-3</v>
      </c>
      <c r="N169" s="94">
        <f>IFERROR(VLOOKUP(lmic_raw_lb[[#This Row],[setting]],hbe_prev[],4,FALSE),0)</f>
        <v>0.16440000000000002</v>
      </c>
      <c r="O169" s="94">
        <f>VLOOKUP(lmic_raw_lb[[#This Row],[gbd_super]],hbe_risk[],3,FALSE)</f>
        <v>0.7</v>
      </c>
      <c r="P169" s="94">
        <f>VLOOKUP(lmic_raw_lb[[#This Row],[gbd_super]],hbe_risk[],6,FALSE)</f>
        <v>0.05</v>
      </c>
      <c r="Q169" s="94">
        <f>VLOOKUP(lmic_raw_lb[[#This Row],[setting]],lmic_raw[],17,FALSE)*(1-interactive!$C$7)</f>
        <v>13.225893187784514</v>
      </c>
      <c r="R169" s="98">
        <f>VLOOKUP(lmic_raw_lb[[#This Row],[setting]],lmic_raw[],18,FALSE)*(1-interactive!$C$7)</f>
        <v>82.539704999999998</v>
      </c>
      <c r="S169" s="98">
        <f>VLOOKUP(lmic_raw_lb[[#This Row],[setting]],lmic_raw[],19,FALSE)*(1-interactive!$C$7)</f>
        <v>127.894605</v>
      </c>
      <c r="T169" s="98">
        <f>VLOOKUP(lmic_raw_lb[[#This Row],[setting]],lmic_raw[],20,FALSE)*(1-interactive!$C$7)</f>
        <v>127.894605</v>
      </c>
      <c r="U169" s="98">
        <f>VLOOKUP(lmic_raw_lb[[#This Row],[setting]],lmic_raw[],21,FALSE)*(1-interactive!$C$7)</f>
        <v>127.894605</v>
      </c>
      <c r="V169" s="33">
        <f>IFERROR(VLOOKUP(lmic_raw_lb[[#This Row],[setting]],vcost_lb[],3,FALSE),0)</f>
        <v>2.9554393651742932</v>
      </c>
      <c r="W169" s="33">
        <f>IFERROR(VLOOKUP(lmic_raw_lb[[#This Row],[setting]],vcost_lb[],4,FALSE),0)</f>
        <v>2.976149365174293</v>
      </c>
      <c r="X169" s="33">
        <f>IFERROR(VLOOKUP(lmic_raw_lb[[#This Row],[setting]],vcost_lb[],5,FALSE),0)</f>
        <v>2.5773513953218501</v>
      </c>
      <c r="Y169" s="33">
        <f>IFERROR(VLOOKUP(lmic_raw_lb[[#This Row],[setting]],vcost_lb[],6,FALSE),0)</f>
        <v>2.5980613953218499</v>
      </c>
      <c r="Z169" s="33">
        <f>IFERROR(VLOOKUP(lmic_raw_lb[[#This Row],[setting]],vcost_lb[],7,FALSE),0)</f>
        <v>2.5873916009682012</v>
      </c>
      <c r="AA169" s="33">
        <f>IFERROR(VLOOKUP(lmic_raw_lb[[#This Row],[setting]],vcost_lb[],8,FALSE),0)</f>
        <v>3.1721185982038373</v>
      </c>
      <c r="AB169" s="33">
        <f>IFERROR(VLOOKUP(lmic_raw_lb[[#This Row],[setting]],vcost_lb[],9,FALSE),0)</f>
        <v>3.1928285982038371</v>
      </c>
      <c r="AC169" s="94">
        <f>VLOOKUP($A169,lmic_raw[],29,FALSE)*(1-interactive!$C$7)</f>
        <v>6.9522234999999481E-3</v>
      </c>
      <c r="AD169" s="94">
        <f>VLOOKUP($A169,lmic_raw[],30,FALSE)*(1-interactive!$C$7)</f>
        <v>4.3835304960291877E-4</v>
      </c>
      <c r="AE169" s="94">
        <f>VLOOKUP($A169,lmic_raw[],31,FALSE)*(1-interactive!$C$7)</f>
        <v>1.7972968412321126E-4</v>
      </c>
      <c r="AF169" s="94">
        <f>VLOOKUP($A169,lmic_raw[],32,FALSE)*(1-interactive!$C$7)</f>
        <v>2.3971101119363319E-4</v>
      </c>
      <c r="AG169" s="94">
        <f>VLOOKUP($A169,lmic_raw[],33,FALSE)*(1-interactive!$C$7)</f>
        <v>4.9563831365551992E-4</v>
      </c>
      <c r="AH169" s="94">
        <f>VLOOKUP($A169,lmic_raw[],34,FALSE)*(1-interactive!$C$7)</f>
        <v>7.5132014811349075E-4</v>
      </c>
      <c r="AI169" s="94">
        <f>VLOOKUP($A169,lmic_raw[],35,FALSE)*(1-interactive!$C$7)</f>
        <v>8.7351993535556992E-4</v>
      </c>
      <c r="AJ169" s="94">
        <f>VLOOKUP($A169,lmic_raw[],36,FALSE)*(1-interactive!$C$7)</f>
        <v>1.0313937663007967E-3</v>
      </c>
      <c r="AK169" s="94">
        <f>VLOOKUP($A169,lmic_raw[],37,FALSE)*(1-interactive!$C$7)</f>
        <v>1.2653641276133489E-3</v>
      </c>
      <c r="AL169" s="94">
        <f>VLOOKUP($A169,lmic_raw[],38,FALSE)*(1-interactive!$C$7)</f>
        <v>1.6609837189487829E-3</v>
      </c>
      <c r="AM169" s="94">
        <f>VLOOKUP($A169,lmic_raw[],39,FALSE)*(1-interactive!$C$7)</f>
        <v>2.3452975809470184E-3</v>
      </c>
      <c r="AN169" s="94">
        <f>VLOOKUP($A169,lmic_raw[],40,FALSE)*(1-interactive!$C$7)</f>
        <v>3.4384467982634275E-3</v>
      </c>
      <c r="AO169" s="94">
        <f>VLOOKUP($A169,lmic_raw[],41,FALSE)*(1-interactive!$C$7)</f>
        <v>5.2165397122086029E-3</v>
      </c>
      <c r="AP169" s="94">
        <f>VLOOKUP($A169,lmic_raw[],42,FALSE)*(1-interactive!$C$7)</f>
        <v>8.0341507205963746E-3</v>
      </c>
      <c r="AQ169" s="94">
        <f>VLOOKUP($A169,lmic_raw[],43,FALSE)*(1-interactive!$C$7)</f>
        <v>1.2579823792196441E-2</v>
      </c>
      <c r="AR169" s="94">
        <f>VLOOKUP($A169,lmic_raw[],44,FALSE)*(1-interactive!$C$7)</f>
        <v>1.9461975891206643E-2</v>
      </c>
      <c r="AS169" s="94">
        <f>VLOOKUP($A169,lmic_raw[],45,FALSE)*(1-interactive!$C$7)</f>
        <v>3.0850476321261287E-2</v>
      </c>
      <c r="AT169" s="94">
        <f>VLOOKUP($A169,lmic_raw[],46,FALSE)*(1-interactive!$C$7)</f>
        <v>4.7928361100921107E-2</v>
      </c>
      <c r="AU169" s="94">
        <f>VLOOKUP($A169,lmic_raw[],47,FALSE)*(1-interactive!$C$7)</f>
        <v>7.1354030290854353E-2</v>
      </c>
      <c r="AV169" s="94">
        <f>VLOOKUP($A169,lmic_raw[],48,FALSE)*(1-interactive!$C$7)</f>
        <v>0.10130551236350765</v>
      </c>
      <c r="AW169" s="94">
        <f>VLOOKUP($A169,lmic_raw[],49,FALSE)*(1-interactive!$C$7)</f>
        <v>0.13459442558339335</v>
      </c>
      <c r="AX169" s="94">
        <f>VLOOKUP($A169,lmic_raw[],50,FALSE)*(1-interactive!$C$7)</f>
        <v>76.002849999999995</v>
      </c>
    </row>
    <row r="170" spans="1:50" x14ac:dyDescent="0.25">
      <c r="A170" s="109" t="s">
        <v>141</v>
      </c>
      <c r="B170" s="101" t="s">
        <v>406</v>
      </c>
      <c r="C170" s="102">
        <v>384</v>
      </c>
      <c r="D170" s="121" t="s">
        <v>677</v>
      </c>
      <c r="E170" s="98" t="s">
        <v>591</v>
      </c>
      <c r="F170" s="98" t="s">
        <v>667</v>
      </c>
      <c r="G170" s="98" t="s">
        <v>678</v>
      </c>
      <c r="H170" s="98">
        <f>VLOOKUP(lmic_raw_lb[[#This Row],[setting]],lmic_raw[],8,FALSE)</f>
        <v>25716554</v>
      </c>
      <c r="I170" s="98">
        <f>VLOOKUP(lmic_raw_lb[[#This Row],[setting]],lmic_raw[],9,FALSE)</f>
        <v>923095.70583000011</v>
      </c>
      <c r="J170" s="98">
        <f>VLOOKUP($A170,lmic_raw[],10,FALSE)*(1-interactive!$C$7)</f>
        <v>0.66309999999999991</v>
      </c>
      <c r="K170" s="98">
        <f>VLOOKUP($A170,lmic_raw[],11,FALSE)*(1-interactive!$C$7)</f>
        <v>8.5499999999999993E-2</v>
      </c>
      <c r="L170" s="98">
        <f>VLOOKUP($A170,lmic_raw[],12,FALSE)*(1-interactive!$C$7)</f>
        <v>0.79799999999999993</v>
      </c>
      <c r="M170" s="98">
        <f>IFERROR(VLOOKUP(lmic_raw_lb[[#This Row],[iso3]], hbv_prev[[iso3]:[ub]],3,FALSE)/100,0)</f>
        <v>4.5899999999999996E-2</v>
      </c>
      <c r="N170" s="98">
        <f>IFERROR(VLOOKUP(lmic_raw_lb[[#This Row],[setting]],hbe_prev[],4,FALSE),0)</f>
        <v>0.155</v>
      </c>
      <c r="O170" s="98">
        <f>VLOOKUP(lmic_raw_lb[[#This Row],[gbd_super]],hbe_risk[],3,FALSE)</f>
        <v>7.0000000000000007E-2</v>
      </c>
      <c r="P170" s="98">
        <f>VLOOKUP(lmic_raw_lb[[#This Row],[gbd_super]],hbe_risk[],6,FALSE)</f>
        <v>1E-3</v>
      </c>
      <c r="Q170" s="98">
        <f>VLOOKUP(lmic_raw_lb[[#This Row],[setting]],lmic_raw[],17,FALSE)*(1-interactive!$C$7)</f>
        <v>3.4273988300789453</v>
      </c>
      <c r="R170" s="98">
        <f>VLOOKUP(lmic_raw_lb[[#This Row],[setting]],lmic_raw[],18,FALSE)*(1-interactive!$C$7)</f>
        <v>28.424474999999997</v>
      </c>
      <c r="S170" s="98">
        <f>VLOOKUP(lmic_raw_lb[[#This Row],[setting]],lmic_raw[],19,FALSE)*(1-interactive!$C$7)</f>
        <v>73.779375000000002</v>
      </c>
      <c r="T170" s="98">
        <f>VLOOKUP(lmic_raw_lb[[#This Row],[setting]],lmic_raw[],20,FALSE)*(1-interactive!$C$7)</f>
        <v>73.779375000000002</v>
      </c>
      <c r="U170" s="98">
        <f>VLOOKUP(lmic_raw_lb[[#This Row],[setting]],lmic_raw[],21,FALSE)*(1-interactive!$C$7)</f>
        <v>73.779375000000002</v>
      </c>
      <c r="V170" s="33">
        <f>IFERROR(VLOOKUP(lmic_raw_lb[[#This Row],[setting]],vcost_lb[],3,FALSE),0)</f>
        <v>1.0448054572151093</v>
      </c>
      <c r="W170" s="33">
        <f>IFERROR(VLOOKUP(lmic_raw_lb[[#This Row],[setting]],vcost_lb[],4,FALSE),0)</f>
        <v>5.6320704572151099</v>
      </c>
      <c r="X170" s="33">
        <f>IFERROR(VLOOKUP(lmic_raw_lb[[#This Row],[setting]],vcost_lb[],5,FALSE),0)</f>
        <v>0.67731380240468342</v>
      </c>
      <c r="Y170" s="33">
        <f>IFERROR(VLOOKUP(lmic_raw_lb[[#This Row],[setting]],vcost_lb[],6,FALSE),0)</f>
        <v>5.2645788024046833</v>
      </c>
      <c r="Z170" s="33">
        <f>IFERROR(VLOOKUP(lmic_raw_lb[[#This Row],[setting]],vcost_lb[],7,FALSE),0)</f>
        <v>5.2609804319982683</v>
      </c>
      <c r="AA170" s="33">
        <f>IFERROR(VLOOKUP(lmic_raw_lb[[#This Row],[setting]],vcost_lb[],8,FALSE),0)</f>
        <v>1.2569434123695042</v>
      </c>
      <c r="AB170" s="33">
        <f>IFERROR(VLOOKUP(lmic_raw_lb[[#This Row],[setting]],vcost_lb[],9,FALSE),0)</f>
        <v>5.8442084123695048</v>
      </c>
      <c r="AC170" s="98">
        <f>VLOOKUP($A170,lmic_raw[],29,FALSE)*(1-interactive!$C$7)</f>
        <v>5.7436809999999956E-2</v>
      </c>
      <c r="AD170" s="98">
        <f>VLOOKUP($A170,lmic_raw[],30,FALSE)*(1-interactive!$C$7)</f>
        <v>6.7311622216910099E-3</v>
      </c>
      <c r="AE170" s="98">
        <f>VLOOKUP($A170,lmic_raw[],31,FALSE)*(1-interactive!$C$7)</f>
        <v>2.4544830169830208E-3</v>
      </c>
      <c r="AF170" s="98">
        <f>VLOOKUP($A170,lmic_raw[],32,FALSE)*(1-interactive!$C$7)</f>
        <v>1.7669548972848977E-3</v>
      </c>
      <c r="AG170" s="98">
        <f>VLOOKUP($A170,lmic_raw[],33,FALSE)*(1-interactive!$C$7)</f>
        <v>2.633009300786188E-3</v>
      </c>
      <c r="AH170" s="98">
        <f>VLOOKUP($A170,lmic_raw[],34,FALSE)*(1-interactive!$C$7)</f>
        <v>3.8932230977901374E-3</v>
      </c>
      <c r="AI170" s="98">
        <f>VLOOKUP($A170,lmic_raw[],35,FALSE)*(1-interactive!$C$7)</f>
        <v>4.9669379749717078E-3</v>
      </c>
      <c r="AJ170" s="98">
        <f>VLOOKUP($A170,lmic_raw[],36,FALSE)*(1-interactive!$C$7)</f>
        <v>6.091994007227465E-3</v>
      </c>
      <c r="AK170" s="98">
        <f>VLOOKUP($A170,lmic_raw[],37,FALSE)*(1-interactive!$C$7)</f>
        <v>7.6366738926449936E-3</v>
      </c>
      <c r="AL170" s="98">
        <f>VLOOKUP($A170,lmic_raw[],38,FALSE)*(1-interactive!$C$7)</f>
        <v>9.2628183987660141E-3</v>
      </c>
      <c r="AM170" s="98">
        <f>VLOOKUP($A170,lmic_raw[],39,FALSE)*(1-interactive!$C$7)</f>
        <v>1.114428337727919E-2</v>
      </c>
      <c r="AN170" s="98">
        <f>VLOOKUP($A170,lmic_raw[],40,FALSE)*(1-interactive!$C$7)</f>
        <v>1.4545397602173339E-2</v>
      </c>
      <c r="AO170" s="98">
        <f>VLOOKUP($A170,lmic_raw[],41,FALSE)*(1-interactive!$C$7)</f>
        <v>1.8562625595993646E-2</v>
      </c>
      <c r="AP170" s="98">
        <f>VLOOKUP($A170,lmic_raw[],42,FALSE)*(1-interactive!$C$7)</f>
        <v>2.6155582740175296E-2</v>
      </c>
      <c r="AQ170" s="98">
        <f>VLOOKUP($A170,lmic_raw[],43,FALSE)*(1-interactive!$C$7)</f>
        <v>3.8051817182223835E-2</v>
      </c>
      <c r="AR170" s="98">
        <f>VLOOKUP($A170,lmic_raw[],44,FALSE)*(1-interactive!$C$7)</f>
        <v>5.604327306476331E-2</v>
      </c>
      <c r="AS170" s="98">
        <f>VLOOKUP($A170,lmic_raw[],45,FALSE)*(1-interactive!$C$7)</f>
        <v>8.1095758449669861E-2</v>
      </c>
      <c r="AT170" s="98">
        <f>VLOOKUP($A170,lmic_raw[],46,FALSE)*(1-interactive!$C$7)</f>
        <v>0.11465624429238873</v>
      </c>
      <c r="AU170" s="98">
        <f>VLOOKUP($A170,lmic_raw[],47,FALSE)*(1-interactive!$C$7)</f>
        <v>0.14953448764497962</v>
      </c>
      <c r="AV170" s="98">
        <f>VLOOKUP($A170,lmic_raw[],48,FALSE)*(1-interactive!$C$7)</f>
        <v>0.17406658606916689</v>
      </c>
      <c r="AW170" s="98">
        <f>VLOOKUP($A170,lmic_raw[],49,FALSE)*(1-interactive!$C$7)</f>
        <v>0.18008540237702172</v>
      </c>
      <c r="AX170" s="98">
        <f>VLOOKUP($A170,lmic_raw[],50,FALSE)*(1-interactive!$C$7)</f>
        <v>54.382749999999994</v>
      </c>
    </row>
    <row r="171" spans="1:50" x14ac:dyDescent="0.25">
      <c r="A171" s="110" t="s">
        <v>232</v>
      </c>
      <c r="B171" s="104" t="s">
        <v>407</v>
      </c>
      <c r="C171" s="105">
        <v>192</v>
      </c>
      <c r="D171" s="122" t="s">
        <v>679</v>
      </c>
      <c r="E171" s="94" t="s">
        <v>223</v>
      </c>
      <c r="F171" s="94" t="s">
        <v>665</v>
      </c>
      <c r="G171" s="94" t="s">
        <v>676</v>
      </c>
      <c r="H171" s="98">
        <f>VLOOKUP(lmic_raw_lb[[#This Row],[setting]],lmic_raw[],8,FALSE)</f>
        <v>11333484</v>
      </c>
      <c r="I171" s="98">
        <f>VLOOKUP(lmic_raw_lb[[#This Row],[setting]],lmic_raw[],9,FALSE)</f>
        <v>115794.20602800002</v>
      </c>
      <c r="J171" s="94">
        <f>VLOOKUP($A171,lmic_raw[],10,FALSE)*(1-interactive!$C$7)</f>
        <v>0.94905000000000006</v>
      </c>
      <c r="K171" s="94">
        <f>VLOOKUP($A171,lmic_raw[],11,FALSE)*(1-interactive!$C$7)</f>
        <v>0.9405</v>
      </c>
      <c r="L171" s="94">
        <f>VLOOKUP($A171,lmic_raw[],12,FALSE)*(1-interactive!$C$7)</f>
        <v>0.9405</v>
      </c>
      <c r="M171" s="94">
        <f>IFERROR(VLOOKUP(lmic_raw_lb[[#This Row],[iso3]], hbv_prev[[iso3]:[ub]],3,FALSE)/100,0)</f>
        <v>4.0999999999999995E-3</v>
      </c>
      <c r="N171" s="94">
        <f>IFERROR(VLOOKUP(lmic_raw_lb[[#This Row],[setting]],hbe_prev[],4,FALSE),0)</f>
        <v>0.16309999999999999</v>
      </c>
      <c r="O171" s="94">
        <f>VLOOKUP(lmic_raw_lb[[#This Row],[gbd_super]],hbe_risk[],3,FALSE)</f>
        <v>0.7</v>
      </c>
      <c r="P171" s="94">
        <f>VLOOKUP(lmic_raw_lb[[#This Row],[gbd_super]],hbe_risk[],6,FALSE)</f>
        <v>0.05</v>
      </c>
      <c r="Q171" s="94">
        <f>VLOOKUP(lmic_raw_lb[[#This Row],[setting]],lmic_raw[],17,FALSE)*(1-interactive!$C$7)</f>
        <v>11.590931528558613</v>
      </c>
      <c r="R171" s="98">
        <f>VLOOKUP(lmic_raw_lb[[#This Row],[setting]],lmic_raw[],18,FALSE)*(1-interactive!$C$7)</f>
        <v>82.539704999999998</v>
      </c>
      <c r="S171" s="98">
        <f>VLOOKUP(lmic_raw_lb[[#This Row],[setting]],lmic_raw[],19,FALSE)*(1-interactive!$C$7)</f>
        <v>127.894605</v>
      </c>
      <c r="T171" s="98">
        <f>VLOOKUP(lmic_raw_lb[[#This Row],[setting]],lmic_raw[],20,FALSE)*(1-interactive!$C$7)</f>
        <v>127.894605</v>
      </c>
      <c r="U171" s="98">
        <f>VLOOKUP(lmic_raw_lb[[#This Row],[setting]],lmic_raw[],21,FALSE)*(1-interactive!$C$7)</f>
        <v>127.894605</v>
      </c>
      <c r="V171" s="33">
        <f>IFERROR(VLOOKUP(lmic_raw_lb[[#This Row],[setting]],vcost_lb[],3,FALSE),0)</f>
        <v>2.8007288203127496</v>
      </c>
      <c r="W171" s="33">
        <f>IFERROR(VLOOKUP(lmic_raw_lb[[#This Row],[setting]],vcost_lb[],4,FALSE),0)</f>
        <v>2.8214388203127494</v>
      </c>
      <c r="X171" s="33">
        <f>IFERROR(VLOOKUP(lmic_raw_lb[[#This Row],[setting]],vcost_lb[],5,FALSE),0)</f>
        <v>2.4269687218738838</v>
      </c>
      <c r="Y171" s="33">
        <f>IFERROR(VLOOKUP(lmic_raw_lb[[#This Row],[setting]],vcost_lb[],6,FALSE),0)</f>
        <v>2.4476787218738836</v>
      </c>
      <c r="Z171" s="33">
        <f>IFERROR(VLOOKUP(lmic_raw_lb[[#This Row],[setting]],vcost_lb[],7,FALSE),0)</f>
        <v>2.439759046727334</v>
      </c>
      <c r="AA171" s="33">
        <f>IFERROR(VLOOKUP(lmic_raw_lb[[#This Row],[setting]],vcost_lb[],8,FALSE),0)</f>
        <v>3.0155532513079044</v>
      </c>
      <c r="AB171" s="33">
        <f>IFERROR(VLOOKUP(lmic_raw_lb[[#This Row],[setting]],vcost_lb[],9,FALSE),0)</f>
        <v>3.0362632513079042</v>
      </c>
      <c r="AC171" s="94">
        <f>VLOOKUP($A171,lmic_raw[],29,FALSE)*(1-interactive!$C$7)</f>
        <v>4.2617094999999536E-3</v>
      </c>
      <c r="AD171" s="94">
        <f>VLOOKUP($A171,lmic_raw[],30,FALSE)*(1-interactive!$C$7)</f>
        <v>2.5922086740338659E-4</v>
      </c>
      <c r="AE171" s="94">
        <f>VLOOKUP($A171,lmic_raw[],31,FALSE)*(1-interactive!$C$7)</f>
        <v>1.5255562690985123E-4</v>
      </c>
      <c r="AF171" s="94">
        <f>VLOOKUP($A171,lmic_raw[],32,FALSE)*(1-interactive!$C$7)</f>
        <v>1.9398327130111775E-4</v>
      </c>
      <c r="AG171" s="94">
        <f>VLOOKUP($A171,lmic_raw[],33,FALSE)*(1-interactive!$C$7)</f>
        <v>4.0713307316923744E-4</v>
      </c>
      <c r="AH171" s="94">
        <f>VLOOKUP($A171,lmic_raw[],34,FALSE)*(1-interactive!$C$7)</f>
        <v>5.4512174883087619E-4</v>
      </c>
      <c r="AI171" s="94">
        <f>VLOOKUP($A171,lmic_raw[],35,FALSE)*(1-interactive!$C$7)</f>
        <v>6.0277188247360796E-4</v>
      </c>
      <c r="AJ171" s="94">
        <f>VLOOKUP($A171,lmic_raw[],36,FALSE)*(1-interactive!$C$7)</f>
        <v>7.508947982051245E-4</v>
      </c>
      <c r="AK171" s="94">
        <f>VLOOKUP($A171,lmic_raw[],37,FALSE)*(1-interactive!$C$7)</f>
        <v>1.0150690030173543E-3</v>
      </c>
      <c r="AL171" s="94">
        <f>VLOOKUP($A171,lmic_raw[],38,FALSE)*(1-interactive!$C$7)</f>
        <v>1.6131469713317956E-3</v>
      </c>
      <c r="AM171" s="94">
        <f>VLOOKUP($A171,lmic_raw[],39,FALSE)*(1-interactive!$C$7)</f>
        <v>2.690406630874271E-3</v>
      </c>
      <c r="AN171" s="94">
        <f>VLOOKUP($A171,lmic_raw[],40,FALSE)*(1-interactive!$C$7)</f>
        <v>4.3341034414632875E-3</v>
      </c>
      <c r="AO171" s="94">
        <f>VLOOKUP($A171,lmic_raw[],41,FALSE)*(1-interactive!$C$7)</f>
        <v>6.6826513778109704E-3</v>
      </c>
      <c r="AP171" s="94">
        <f>VLOOKUP($A171,lmic_raw[],42,FALSE)*(1-interactive!$C$7)</f>
        <v>1.058758481271857E-2</v>
      </c>
      <c r="AQ171" s="94">
        <f>VLOOKUP($A171,lmic_raw[],43,FALSE)*(1-interactive!$C$7)</f>
        <v>1.6154627282920477E-2</v>
      </c>
      <c r="AR171" s="94">
        <f>VLOOKUP($A171,lmic_raw[],44,FALSE)*(1-interactive!$C$7)</f>
        <v>2.3550811319083025E-2</v>
      </c>
      <c r="AS171" s="94">
        <f>VLOOKUP($A171,lmic_raw[],45,FALSE)*(1-interactive!$C$7)</f>
        <v>3.5690001815783801E-2</v>
      </c>
      <c r="AT171" s="94">
        <f>VLOOKUP($A171,lmic_raw[],46,FALSE)*(1-interactive!$C$7)</f>
        <v>5.7388382594142195E-2</v>
      </c>
      <c r="AU171" s="94">
        <f>VLOOKUP($A171,lmic_raw[],47,FALSE)*(1-interactive!$C$7)</f>
        <v>8.1381136623540642E-2</v>
      </c>
      <c r="AV171" s="94">
        <f>VLOOKUP($A171,lmic_raw[],48,FALSE)*(1-interactive!$C$7)</f>
        <v>0.10817690764570455</v>
      </c>
      <c r="AW171" s="94">
        <f>VLOOKUP($A171,lmic_raw[],49,FALSE)*(1-interactive!$C$7)</f>
        <v>0.13586817565820736</v>
      </c>
      <c r="AX171" s="94">
        <f>VLOOKUP($A171,lmic_raw[],50,FALSE)*(1-interactive!$C$7)</f>
        <v>74.750749999999996</v>
      </c>
    </row>
    <row r="172" spans="1:50" x14ac:dyDescent="0.25">
      <c r="A172" s="109" t="s">
        <v>103</v>
      </c>
      <c r="B172" s="101" t="s">
        <v>414</v>
      </c>
      <c r="C172" s="102">
        <v>262</v>
      </c>
      <c r="D172" s="121" t="s">
        <v>673</v>
      </c>
      <c r="E172" s="98" t="s">
        <v>597</v>
      </c>
      <c r="F172" s="98" t="s">
        <v>667</v>
      </c>
      <c r="G172" s="98" t="s">
        <v>678</v>
      </c>
      <c r="H172" s="98">
        <f>VLOOKUP(lmic_raw_lb[[#This Row],[setting]],lmic_raw[],8,FALSE)</f>
        <v>973557</v>
      </c>
      <c r="I172" s="98">
        <f>VLOOKUP(lmic_raw_lb[[#This Row],[setting]],lmic_raw[],9,FALSE)</f>
        <v>21121.319115000002</v>
      </c>
      <c r="J172" s="98">
        <f>VLOOKUP($A172,lmic_raw[],10,FALSE)*(1-interactive!$C$7)</f>
        <v>0.82364999999999999</v>
      </c>
      <c r="K172" s="98">
        <f>VLOOKUP($A172,lmic_raw[],11,FALSE)*(1-interactive!$C$7)</f>
        <v>0.90249999999999997</v>
      </c>
      <c r="L172" s="98">
        <f>VLOOKUP($A172,lmic_raw[],12,FALSE)*(1-interactive!$C$7)</f>
        <v>0.8075</v>
      </c>
      <c r="M172" s="98">
        <f>IFERROR(VLOOKUP(lmic_raw_lb[[#This Row],[iso3]], hbv_prev[[iso3]:[ub]],3,FALSE)/100,0)</f>
        <v>3.4999999999999996E-3</v>
      </c>
      <c r="N172" s="98">
        <f>IFERROR(VLOOKUP(lmic_raw_lb[[#This Row],[setting]],hbe_prev[],4,FALSE),0)</f>
        <v>0.15560000000000002</v>
      </c>
      <c r="O172" s="98">
        <f>VLOOKUP(lmic_raw_lb[[#This Row],[gbd_super]],hbe_risk[],3,FALSE)</f>
        <v>7.0000000000000007E-2</v>
      </c>
      <c r="P172" s="98">
        <f>VLOOKUP(lmic_raw_lb[[#This Row],[gbd_super]],hbe_risk[],6,FALSE)</f>
        <v>1E-3</v>
      </c>
      <c r="Q172" s="98">
        <f>VLOOKUP(lmic_raw_lb[[#This Row],[setting]],lmic_raw[],17,FALSE)*(1-interactive!$C$7)</f>
        <v>4.0475567008198041</v>
      </c>
      <c r="R172" s="98">
        <f>VLOOKUP(lmic_raw_lb[[#This Row],[setting]],lmic_raw[],18,FALSE)*(1-interactive!$C$7)</f>
        <v>28.424474999999997</v>
      </c>
      <c r="S172" s="98">
        <f>VLOOKUP(lmic_raw_lb[[#This Row],[setting]],lmic_raw[],19,FALSE)*(1-interactive!$C$7)</f>
        <v>73.779375000000002</v>
      </c>
      <c r="T172" s="98">
        <f>VLOOKUP(lmic_raw_lb[[#This Row],[setting]],lmic_raw[],20,FALSE)*(1-interactive!$C$7)</f>
        <v>73.779375000000002</v>
      </c>
      <c r="U172" s="98">
        <f>VLOOKUP(lmic_raw_lb[[#This Row],[setting]],lmic_raw[],21,FALSE)*(1-interactive!$C$7)</f>
        <v>73.779375000000002</v>
      </c>
      <c r="V172" s="33">
        <f>IFERROR(VLOOKUP(lmic_raw_lb[[#This Row],[setting]],vcost_lb[],3,FALSE),0)</f>
        <v>2.0915832944539683</v>
      </c>
      <c r="W172" s="33">
        <f>IFERROR(VLOOKUP(lmic_raw_lb[[#This Row],[setting]],vcost_lb[],4,FALSE),0)</f>
        <v>6.6788482944539691</v>
      </c>
      <c r="X172" s="33">
        <f>IFERROR(VLOOKUP(lmic_raw_lb[[#This Row],[setting]],vcost_lb[],5,FALSE),0)</f>
        <v>1.7214242948981298</v>
      </c>
      <c r="Y172" s="33">
        <f>IFERROR(VLOOKUP(lmic_raw_lb[[#This Row],[setting]],vcost_lb[],6,FALSE),0)</f>
        <v>6.3086892948981301</v>
      </c>
      <c r="Z172" s="33">
        <f>IFERROR(VLOOKUP(lmic_raw_lb[[#This Row],[setting]],vcost_lb[],7,FALSE),0)</f>
        <v>6.3033889349438663</v>
      </c>
      <c r="AA172" s="33">
        <f>IFERROR(VLOOKUP(lmic_raw_lb[[#This Row],[setting]],vcost_lb[],8,FALSE),0)</f>
        <v>2.3048643973563969</v>
      </c>
      <c r="AB172" s="33">
        <f>IFERROR(VLOOKUP(lmic_raw_lb[[#This Row],[setting]],vcost_lb[],9,FALSE),0)</f>
        <v>6.8921293973563973</v>
      </c>
      <c r="AC172" s="98">
        <f>VLOOKUP($A172,lmic_raw[],29,FALSE)*(1-interactive!$C$7)</f>
        <v>3.1969447500000012E-2</v>
      </c>
      <c r="AD172" s="98">
        <f>VLOOKUP($A172,lmic_raw[],30,FALSE)*(1-interactive!$C$7)</f>
        <v>4.3022601227642602E-3</v>
      </c>
      <c r="AE172" s="98">
        <f>VLOOKUP($A172,lmic_raw[],31,FALSE)*(1-interactive!$C$7)</f>
        <v>1.6881904469799472E-3</v>
      </c>
      <c r="AF172" s="98">
        <f>VLOOKUP($A172,lmic_raw[],32,FALSE)*(1-interactive!$C$7)</f>
        <v>1.1533724417199832E-3</v>
      </c>
      <c r="AG172" s="98">
        <f>VLOOKUP($A172,lmic_raw[],33,FALSE)*(1-interactive!$C$7)</f>
        <v>1.5410290990263036E-3</v>
      </c>
      <c r="AH172" s="98">
        <f>VLOOKUP($A172,lmic_raw[],34,FALSE)*(1-interactive!$C$7)</f>
        <v>2.0607955135501259E-3</v>
      </c>
      <c r="AI172" s="98">
        <f>VLOOKUP($A172,lmic_raw[],35,FALSE)*(1-interactive!$C$7)</f>
        <v>2.4831613087347337E-3</v>
      </c>
      <c r="AJ172" s="98">
        <f>VLOOKUP($A172,lmic_raw[],36,FALSE)*(1-interactive!$C$7)</f>
        <v>3.1336021777406712E-3</v>
      </c>
      <c r="AK172" s="98">
        <f>VLOOKUP($A172,lmic_raw[],37,FALSE)*(1-interactive!$C$7)</f>
        <v>4.2435307959932155E-3</v>
      </c>
      <c r="AL172" s="98">
        <f>VLOOKUP($A172,lmic_raw[],38,FALSE)*(1-interactive!$C$7)</f>
        <v>5.2386483541278228E-3</v>
      </c>
      <c r="AM172" s="98">
        <f>VLOOKUP($A172,lmic_raw[],39,FALSE)*(1-interactive!$C$7)</f>
        <v>6.2883559880270931E-3</v>
      </c>
      <c r="AN172" s="98">
        <f>VLOOKUP($A172,lmic_raw[],40,FALSE)*(1-interactive!$C$7)</f>
        <v>8.226972971980091E-3</v>
      </c>
      <c r="AO172" s="98">
        <f>VLOOKUP($A172,lmic_raw[],41,FALSE)*(1-interactive!$C$7)</f>
        <v>1.0761214925120423E-2</v>
      </c>
      <c r="AP172" s="98">
        <f>VLOOKUP($A172,lmic_raw[],42,FALSE)*(1-interactive!$C$7)</f>
        <v>1.621948502401515E-2</v>
      </c>
      <c r="AQ172" s="98">
        <f>VLOOKUP($A172,lmic_raw[],43,FALSE)*(1-interactive!$C$7)</f>
        <v>2.5010644568960294E-2</v>
      </c>
      <c r="AR172" s="98">
        <f>VLOOKUP($A172,lmic_raw[],44,FALSE)*(1-interactive!$C$7)</f>
        <v>3.8940205357370423E-2</v>
      </c>
      <c r="AS172" s="98">
        <f>VLOOKUP($A172,lmic_raw[],45,FALSE)*(1-interactive!$C$7)</f>
        <v>5.9350214718177308E-2</v>
      </c>
      <c r="AT172" s="98">
        <f>VLOOKUP($A172,lmic_raw[],46,FALSE)*(1-interactive!$C$7)</f>
        <v>8.7105315335773981E-2</v>
      </c>
      <c r="AU172" s="98">
        <f>VLOOKUP($A172,lmic_raw[],47,FALSE)*(1-interactive!$C$7)</f>
        <v>0.11833312994274543</v>
      </c>
      <c r="AV172" s="98">
        <f>VLOOKUP($A172,lmic_raw[],48,FALSE)*(1-interactive!$C$7)</f>
        <v>0.14584669757808072</v>
      </c>
      <c r="AW172" s="98">
        <f>VLOOKUP($A172,lmic_raw[],49,FALSE)*(1-interactive!$C$7)</f>
        <v>0.16582569402878344</v>
      </c>
      <c r="AX172" s="98">
        <f>VLOOKUP($A172,lmic_raw[],50,FALSE)*(1-interactive!$C$7)</f>
        <v>63.213000000000001</v>
      </c>
    </row>
    <row r="173" spans="1:50" x14ac:dyDescent="0.25">
      <c r="A173" s="110" t="s">
        <v>234</v>
      </c>
      <c r="B173" s="104" t="s">
        <v>612</v>
      </c>
      <c r="C173" s="105">
        <v>212</v>
      </c>
      <c r="D173" s="122" t="s">
        <v>679</v>
      </c>
      <c r="E173" s="94" t="s">
        <v>223</v>
      </c>
      <c r="F173" s="94" t="s">
        <v>665</v>
      </c>
      <c r="G173" s="94" t="s">
        <v>676</v>
      </c>
      <c r="H173" s="98">
        <f>VLOOKUP(lmic_raw_lb[[#This Row],[setting]],lmic_raw[],8,FALSE)</f>
        <v>71808</v>
      </c>
      <c r="I173" s="98">
        <f>VLOOKUP(lmic_raw_lb[[#This Row],[setting]],lmic_raw[],9,FALSE)</f>
        <v>861.69600000000014</v>
      </c>
      <c r="J173" s="94">
        <f>VLOOKUP($A173,lmic_raw[],10,FALSE)*(1-interactive!$C$7)</f>
        <v>0</v>
      </c>
      <c r="K173" s="94">
        <f>VLOOKUP($A173,lmic_raw[],11,FALSE)*(1-interactive!$C$7)</f>
        <v>0.92149999999999999</v>
      </c>
      <c r="L173" s="94">
        <f>VLOOKUP($A173,lmic_raw[],12,FALSE)*(1-interactive!$C$7)</f>
        <v>0.9405</v>
      </c>
      <c r="M173" s="94">
        <f>IFERROR(VLOOKUP(lmic_raw_lb[[#This Row],[iso3]], hbv_prev[[iso3]:[ub]],3,FALSE)/100,0)</f>
        <v>1.6000000000000001E-3</v>
      </c>
      <c r="N173" s="94">
        <f>IFERROR(VLOOKUP(lmic_raw_lb[[#This Row],[setting]],hbe_prev[],4,FALSE),0)</f>
        <v>0</v>
      </c>
      <c r="O173" s="94">
        <f>VLOOKUP(lmic_raw_lb[[#This Row],[gbd_super]],hbe_risk[],3,FALSE)</f>
        <v>0.7</v>
      </c>
      <c r="P173" s="94">
        <f>VLOOKUP(lmic_raw_lb[[#This Row],[gbd_super]],hbe_risk[],6,FALSE)</f>
        <v>0.05</v>
      </c>
      <c r="Q173" s="94">
        <f>VLOOKUP(lmic_raw_lb[[#This Row],[setting]],lmic_raw[],17,FALSE)*(1-interactive!$C$7)</f>
        <v>0</v>
      </c>
      <c r="R173" s="98">
        <f>VLOOKUP(lmic_raw_lb[[#This Row],[setting]],lmic_raw[],18,FALSE)*(1-interactive!$C$7)</f>
        <v>82.539704999999998</v>
      </c>
      <c r="S173" s="98">
        <f>VLOOKUP(lmic_raw_lb[[#This Row],[setting]],lmic_raw[],19,FALSE)*(1-interactive!$C$7)</f>
        <v>127.894605</v>
      </c>
      <c r="T173" s="98">
        <f>VLOOKUP(lmic_raw_lb[[#This Row],[setting]],lmic_raw[],20,FALSE)*(1-interactive!$C$7)</f>
        <v>127.894605</v>
      </c>
      <c r="U173" s="98">
        <f>VLOOKUP(lmic_raw_lb[[#This Row],[setting]],lmic_raw[],21,FALSE)*(1-interactive!$C$7)</f>
        <v>127.894605</v>
      </c>
      <c r="V173" s="33">
        <f>IFERROR(VLOOKUP(lmic_raw_lb[[#This Row],[setting]],vcost_lb[],3,FALSE),0)</f>
        <v>4.9388150604151182</v>
      </c>
      <c r="W173" s="33">
        <f>IFERROR(VLOOKUP(lmic_raw_lb[[#This Row],[setting]],vcost_lb[],4,FALSE),0)</f>
        <v>4.9595250604151184</v>
      </c>
      <c r="X173" s="33">
        <f>IFERROR(VLOOKUP(lmic_raw_lb[[#This Row],[setting]],vcost_lb[],5,FALSE),0)</f>
        <v>4.5668312160517468</v>
      </c>
      <c r="Y173" s="33">
        <f>IFERROR(VLOOKUP(lmic_raw_lb[[#This Row],[setting]],vcost_lb[],6,FALSE),0)</f>
        <v>4.587541216051747</v>
      </c>
      <c r="Z173" s="33">
        <f>IFERROR(VLOOKUP(lmic_raw_lb[[#This Row],[setting]],vcost_lb[],7,FALSE),0)</f>
        <v>4.5814456011307811</v>
      </c>
      <c r="AA173" s="33">
        <f>IFERROR(VLOOKUP(lmic_raw_lb[[#This Row],[setting]],vcost_lb[],8,FALSE),0)</f>
        <v>5.1528782396636323</v>
      </c>
      <c r="AB173" s="33">
        <f>IFERROR(VLOOKUP(lmic_raw_lb[[#This Row],[setting]],vcost_lb[],9,FALSE),0)</f>
        <v>5.1735882396636326</v>
      </c>
      <c r="AC173" s="94">
        <f>VLOOKUP($A173,lmic_raw[],29,FALSE)*(1-interactive!$C$7)</f>
        <v>0</v>
      </c>
      <c r="AD173" s="94">
        <f>VLOOKUP($A173,lmic_raw[],30,FALSE)*(1-interactive!$C$7)</f>
        <v>0</v>
      </c>
      <c r="AE173" s="94">
        <f>VLOOKUP($A173,lmic_raw[],31,FALSE)*(1-interactive!$C$7)</f>
        <v>0</v>
      </c>
      <c r="AF173" s="94">
        <f>VLOOKUP($A173,lmic_raw[],32,FALSE)*(1-interactive!$C$7)</f>
        <v>0</v>
      </c>
      <c r="AG173" s="94">
        <f>VLOOKUP($A173,lmic_raw[],33,FALSE)*(1-interactive!$C$7)</f>
        <v>0</v>
      </c>
      <c r="AH173" s="94">
        <f>VLOOKUP($A173,lmic_raw[],34,FALSE)*(1-interactive!$C$7)</f>
        <v>0</v>
      </c>
      <c r="AI173" s="94">
        <f>VLOOKUP($A173,lmic_raw[],35,FALSE)*(1-interactive!$C$7)</f>
        <v>0</v>
      </c>
      <c r="AJ173" s="94">
        <f>VLOOKUP($A173,lmic_raw[],36,FALSE)*(1-interactive!$C$7)</f>
        <v>0</v>
      </c>
      <c r="AK173" s="94">
        <f>VLOOKUP($A173,lmic_raw[],37,FALSE)*(1-interactive!$C$7)</f>
        <v>0</v>
      </c>
      <c r="AL173" s="94">
        <f>VLOOKUP($A173,lmic_raw[],38,FALSE)*(1-interactive!$C$7)</f>
        <v>0</v>
      </c>
      <c r="AM173" s="94">
        <f>VLOOKUP($A173,lmic_raw[],39,FALSE)*(1-interactive!$C$7)</f>
        <v>0</v>
      </c>
      <c r="AN173" s="94">
        <f>VLOOKUP($A173,lmic_raw[],40,FALSE)*(1-interactive!$C$7)</f>
        <v>0</v>
      </c>
      <c r="AO173" s="94">
        <f>VLOOKUP($A173,lmic_raw[],41,FALSE)*(1-interactive!$C$7)</f>
        <v>0</v>
      </c>
      <c r="AP173" s="94">
        <f>VLOOKUP($A173,lmic_raw[],42,FALSE)*(1-interactive!$C$7)</f>
        <v>0</v>
      </c>
      <c r="AQ173" s="94">
        <f>VLOOKUP($A173,lmic_raw[],43,FALSE)*(1-interactive!$C$7)</f>
        <v>0</v>
      </c>
      <c r="AR173" s="94">
        <f>VLOOKUP($A173,lmic_raw[],44,FALSE)*(1-interactive!$C$7)</f>
        <v>0</v>
      </c>
      <c r="AS173" s="94">
        <f>VLOOKUP($A173,lmic_raw[],45,FALSE)*(1-interactive!$C$7)</f>
        <v>0</v>
      </c>
      <c r="AT173" s="94">
        <f>VLOOKUP($A173,lmic_raw[],46,FALSE)*(1-interactive!$C$7)</f>
        <v>0</v>
      </c>
      <c r="AU173" s="94">
        <f>VLOOKUP($A173,lmic_raw[],47,FALSE)*(1-interactive!$C$7)</f>
        <v>0</v>
      </c>
      <c r="AV173" s="94">
        <f>VLOOKUP($A173,lmic_raw[],48,FALSE)*(1-interactive!$C$7)</f>
        <v>0</v>
      </c>
      <c r="AW173" s="94">
        <f>VLOOKUP($A173,lmic_raw[],49,FALSE)*(1-interactive!$C$7)</f>
        <v>0</v>
      </c>
      <c r="AX173" s="94">
        <f>VLOOKUP($A173,lmic_raw[],50,FALSE)*(1-interactive!$C$7)</f>
        <v>0</v>
      </c>
    </row>
    <row r="174" spans="1:50" x14ac:dyDescent="0.25">
      <c r="A174" s="109" t="s">
        <v>614</v>
      </c>
      <c r="B174" s="101" t="s">
        <v>415</v>
      </c>
      <c r="C174" s="102">
        <v>214</v>
      </c>
      <c r="D174" s="121" t="s">
        <v>679</v>
      </c>
      <c r="E174" s="98" t="s">
        <v>223</v>
      </c>
      <c r="F174" s="98" t="s">
        <v>665</v>
      </c>
      <c r="G174" s="98" t="s">
        <v>676</v>
      </c>
      <c r="H174" s="98">
        <f>VLOOKUP(lmic_raw_lb[[#This Row],[setting]],lmic_raw[],8,FALSE)</f>
        <v>10738957</v>
      </c>
      <c r="I174" s="98">
        <f>VLOOKUP(lmic_raw_lb[[#This Row],[setting]],lmic_raw[],9,FALSE)</f>
        <v>211396.368545</v>
      </c>
      <c r="J174" s="98">
        <f>VLOOKUP($A174,lmic_raw[],10,FALSE)*(1-interactive!$C$7)</f>
        <v>0.93005000000000004</v>
      </c>
      <c r="K174" s="98">
        <f>VLOOKUP($A174,lmic_raw[],11,FALSE)*(1-interactive!$C$7)</f>
        <v>0.627</v>
      </c>
      <c r="L174" s="98">
        <f>VLOOKUP($A174,lmic_raw[],12,FALSE)*(1-interactive!$C$7)</f>
        <v>0.82650000000000001</v>
      </c>
      <c r="M174" s="98">
        <f>IFERROR(VLOOKUP(lmic_raw_lb[[#This Row],[iso3]], hbv_prev[[iso3]:[ub]],3,FALSE)/100,0)</f>
        <v>1.1000000000000001E-3</v>
      </c>
      <c r="N174" s="98">
        <f>IFERROR(VLOOKUP(lmic_raw_lb[[#This Row],[setting]],hbe_prev[],4,FALSE),0)</f>
        <v>0.16309999999999999</v>
      </c>
      <c r="O174" s="98">
        <f>VLOOKUP(lmic_raw_lb[[#This Row],[gbd_super]],hbe_risk[],3,FALSE)</f>
        <v>0.7</v>
      </c>
      <c r="P174" s="98">
        <f>VLOOKUP(lmic_raw_lb[[#This Row],[gbd_super]],hbe_risk[],6,FALSE)</f>
        <v>0.05</v>
      </c>
      <c r="Q174" s="98">
        <f>VLOOKUP(lmic_raw_lb[[#This Row],[setting]],lmic_raw[],17,FALSE)*(1-interactive!$C$7)</f>
        <v>9.0313708620463409</v>
      </c>
      <c r="R174" s="98">
        <f>VLOOKUP(lmic_raw_lb[[#This Row],[setting]],lmic_raw[],18,FALSE)*(1-interactive!$C$7)</f>
        <v>82.539704999999998</v>
      </c>
      <c r="S174" s="98">
        <f>VLOOKUP(lmic_raw_lb[[#This Row],[setting]],lmic_raw[],19,FALSE)*(1-interactive!$C$7)</f>
        <v>127.894605</v>
      </c>
      <c r="T174" s="98">
        <f>VLOOKUP(lmic_raw_lb[[#This Row],[setting]],lmic_raw[],20,FALSE)*(1-interactive!$C$7)</f>
        <v>127.894605</v>
      </c>
      <c r="U174" s="98">
        <f>VLOOKUP(lmic_raw_lb[[#This Row],[setting]],lmic_raw[],21,FALSE)*(1-interactive!$C$7)</f>
        <v>127.894605</v>
      </c>
      <c r="V174" s="33">
        <f>IFERROR(VLOOKUP(lmic_raw_lb[[#This Row],[setting]],vcost_lb[],3,FALSE),0)</f>
        <v>2.3560758569298397</v>
      </c>
      <c r="W174" s="33">
        <f>IFERROR(VLOOKUP(lmic_raw_lb[[#This Row],[setting]],vcost_lb[],4,FALSE),0)</f>
        <v>2.3767858569298395</v>
      </c>
      <c r="X174" s="33">
        <f>IFERROR(VLOOKUP(lmic_raw_lb[[#This Row],[setting]],vcost_lb[],5,FALSE),0)</f>
        <v>1.98303756694276</v>
      </c>
      <c r="Y174" s="33">
        <f>IFERROR(VLOOKUP(lmic_raw_lb[[#This Row],[setting]],vcost_lb[],6,FALSE),0)</f>
        <v>2.00374756694276</v>
      </c>
      <c r="Z174" s="33">
        <f>IFERROR(VLOOKUP(lmic_raw_lb[[#This Row],[setting]],vcost_lb[],7,FALSE),0)</f>
        <v>1.9963176784468821</v>
      </c>
      <c r="AA174" s="33">
        <f>IFERROR(VLOOKUP(lmic_raw_lb[[#This Row],[setting]],vcost_lb[],8,FALSE),0)</f>
        <v>2.5705909414456576</v>
      </c>
      <c r="AB174" s="33">
        <f>IFERROR(VLOOKUP(lmic_raw_lb[[#This Row],[setting]],vcost_lb[],9,FALSE),0)</f>
        <v>2.5913009414456574</v>
      </c>
      <c r="AC174" s="98">
        <f>VLOOKUP($A174,lmic_raw[],29,FALSE)*(1-interactive!$C$7)</f>
        <v>2.4569973499999946E-2</v>
      </c>
      <c r="AD174" s="98">
        <f>VLOOKUP($A174,lmic_raw[],30,FALSE)*(1-interactive!$C$7)</f>
        <v>7.3489583142461812E-4</v>
      </c>
      <c r="AE174" s="98">
        <f>VLOOKUP($A174,lmic_raw[],31,FALSE)*(1-interactive!$C$7)</f>
        <v>3.53282994340754E-4</v>
      </c>
      <c r="AF174" s="98">
        <f>VLOOKUP($A174,lmic_raw[],32,FALSE)*(1-interactive!$C$7)</f>
        <v>3.5403911399834289E-4</v>
      </c>
      <c r="AG174" s="98">
        <f>VLOOKUP($A174,lmic_raw[],33,FALSE)*(1-interactive!$C$7)</f>
        <v>8.9216923611967964E-4</v>
      </c>
      <c r="AH174" s="98">
        <f>VLOOKUP($A174,lmic_raw[],34,FALSE)*(1-interactive!$C$7)</f>
        <v>1.5766090376971693E-3</v>
      </c>
      <c r="AI174" s="98">
        <f>VLOOKUP($A174,lmic_raw[],35,FALSE)*(1-interactive!$C$7)</f>
        <v>1.9941348325666431E-3</v>
      </c>
      <c r="AJ174" s="98">
        <f>VLOOKUP($A174,lmic_raw[],36,FALSE)*(1-interactive!$C$7)</f>
        <v>2.4312495435624918E-3</v>
      </c>
      <c r="AK174" s="98">
        <f>VLOOKUP($A174,lmic_raw[],37,FALSE)*(1-interactive!$C$7)</f>
        <v>2.7005141090420634E-3</v>
      </c>
      <c r="AL174" s="98">
        <f>VLOOKUP($A174,lmic_raw[],38,FALSE)*(1-interactive!$C$7)</f>
        <v>3.3928944065910521E-3</v>
      </c>
      <c r="AM174" s="98">
        <f>VLOOKUP($A174,lmic_raw[],39,FALSE)*(1-interactive!$C$7)</f>
        <v>4.5272895516323252E-3</v>
      </c>
      <c r="AN174" s="98">
        <f>VLOOKUP($A174,lmic_raw[],40,FALSE)*(1-interactive!$C$7)</f>
        <v>5.9932348365053911E-3</v>
      </c>
      <c r="AO174" s="98">
        <f>VLOOKUP($A174,lmic_raw[],41,FALSE)*(1-interactive!$C$7)</f>
        <v>8.6917426455350357E-3</v>
      </c>
      <c r="AP174" s="98">
        <f>VLOOKUP($A174,lmic_raw[],42,FALSE)*(1-interactive!$C$7)</f>
        <v>1.2821746606886841E-2</v>
      </c>
      <c r="AQ174" s="98">
        <f>VLOOKUP($A174,lmic_raw[],43,FALSE)*(1-interactive!$C$7)</f>
        <v>1.8872461897233399E-2</v>
      </c>
      <c r="AR174" s="98">
        <f>VLOOKUP($A174,lmic_raw[],44,FALSE)*(1-interactive!$C$7)</f>
        <v>2.7365621001182817E-2</v>
      </c>
      <c r="AS174" s="98">
        <f>VLOOKUP($A174,lmic_raw[],45,FALSE)*(1-interactive!$C$7)</f>
        <v>3.9682877766530657E-2</v>
      </c>
      <c r="AT174" s="98">
        <f>VLOOKUP($A174,lmic_raw[],46,FALSE)*(1-interactive!$C$7)</f>
        <v>5.4862468989533467E-2</v>
      </c>
      <c r="AU174" s="98">
        <f>VLOOKUP($A174,lmic_raw[],47,FALSE)*(1-interactive!$C$7)</f>
        <v>7.2394293508525234E-2</v>
      </c>
      <c r="AV174" s="98">
        <f>VLOOKUP($A174,lmic_raw[],48,FALSE)*(1-interactive!$C$7)</f>
        <v>9.1059541550266548E-2</v>
      </c>
      <c r="AW174" s="98">
        <f>VLOOKUP($A174,lmic_raw[],49,FALSE)*(1-interactive!$C$7)</f>
        <v>0.10944282173746935</v>
      </c>
      <c r="AX174" s="98">
        <f>VLOOKUP($A174,lmic_raw[],50,FALSE)*(1-interactive!$C$7)</f>
        <v>70.120450000000005</v>
      </c>
    </row>
    <row r="175" spans="1:50" x14ac:dyDescent="0.25">
      <c r="A175" s="110" t="s">
        <v>267</v>
      </c>
      <c r="B175" s="104" t="s">
        <v>416</v>
      </c>
      <c r="C175" s="105">
        <v>218</v>
      </c>
      <c r="D175" s="122" t="s">
        <v>679</v>
      </c>
      <c r="E175" s="94" t="s">
        <v>593</v>
      </c>
      <c r="F175" s="94" t="s">
        <v>665</v>
      </c>
      <c r="G175" s="94" t="s">
        <v>676</v>
      </c>
      <c r="H175" s="98">
        <f>VLOOKUP(lmic_raw_lb[[#This Row],[setting]],lmic_raw[],8,FALSE)</f>
        <v>17373657</v>
      </c>
      <c r="I175" s="98">
        <f>VLOOKUP(lmic_raw_lb[[#This Row],[setting]],lmic_raw[],9,FALSE)</f>
        <v>344971.333392</v>
      </c>
      <c r="J175" s="94">
        <f>VLOOKUP($A175,lmic_raw[],10,FALSE)*(1-interactive!$C$7)</f>
        <v>0.88634999999999986</v>
      </c>
      <c r="K175" s="94">
        <f>VLOOKUP($A175,lmic_raw[],11,FALSE)*(1-interactive!$C$7)</f>
        <v>0.67449999999999999</v>
      </c>
      <c r="L175" s="94">
        <f>VLOOKUP($A175,lmic_raw[],12,FALSE)*(1-interactive!$C$7)</f>
        <v>0.8075</v>
      </c>
      <c r="M175" s="94">
        <f>IFERROR(VLOOKUP(lmic_raw_lb[[#This Row],[iso3]], hbv_prev[[iso3]:[ub]],3,FALSE)/100,0)</f>
        <v>1.8E-3</v>
      </c>
      <c r="N175" s="94">
        <f>IFERROR(VLOOKUP(lmic_raw_lb[[#This Row],[setting]],hbe_prev[],4,FALSE),0)</f>
        <v>0.16269999999999998</v>
      </c>
      <c r="O175" s="94">
        <f>VLOOKUP(lmic_raw_lb[[#This Row],[gbd_super]],hbe_risk[],3,FALSE)</f>
        <v>0.7</v>
      </c>
      <c r="P175" s="94">
        <f>VLOOKUP(lmic_raw_lb[[#This Row],[gbd_super]],hbe_risk[],6,FALSE)</f>
        <v>0.05</v>
      </c>
      <c r="Q175" s="94">
        <f>VLOOKUP(lmic_raw_lb[[#This Row],[setting]],lmic_raw[],17,FALSE)*(1-interactive!$C$7)</f>
        <v>0</v>
      </c>
      <c r="R175" s="98">
        <f>VLOOKUP(lmic_raw_lb[[#This Row],[setting]],lmic_raw[],18,FALSE)*(1-interactive!$C$7)</f>
        <v>82.539704999999998</v>
      </c>
      <c r="S175" s="98">
        <f>VLOOKUP(lmic_raw_lb[[#This Row],[setting]],lmic_raw[],19,FALSE)*(1-interactive!$C$7)</f>
        <v>127.894605</v>
      </c>
      <c r="T175" s="98">
        <f>VLOOKUP(lmic_raw_lb[[#This Row],[setting]],lmic_raw[],20,FALSE)*(1-interactive!$C$7)</f>
        <v>127.894605</v>
      </c>
      <c r="U175" s="98">
        <f>VLOOKUP(lmic_raw_lb[[#This Row],[setting]],lmic_raw[],21,FALSE)*(1-interactive!$C$7)</f>
        <v>127.894605</v>
      </c>
      <c r="V175" s="33">
        <f>IFERROR(VLOOKUP(lmic_raw_lb[[#This Row],[setting]],vcost_lb[],3,FALSE),0)</f>
        <v>1.5043858123933818</v>
      </c>
      <c r="W175" s="33">
        <f>IFERROR(VLOOKUP(lmic_raw_lb[[#This Row],[setting]],vcost_lb[],4,FALSE),0)</f>
        <v>1.5250958123933818</v>
      </c>
      <c r="X175" s="33">
        <f>IFERROR(VLOOKUP(lmic_raw_lb[[#This Row],[setting]],vcost_lb[],5,FALSE),0)</f>
        <v>1.1342669525095495</v>
      </c>
      <c r="Y175" s="33">
        <f>IFERROR(VLOOKUP(lmic_raw_lb[[#This Row],[setting]],vcost_lb[],6,FALSE),0)</f>
        <v>1.1549769525095495</v>
      </c>
      <c r="Z175" s="33">
        <f>IFERROR(VLOOKUP(lmic_raw_lb[[#This Row],[setting]],vcost_lb[],7,FALSE),0)</f>
        <v>1.1496129097008243</v>
      </c>
      <c r="AA175" s="33">
        <f>IFERROR(VLOOKUP(lmic_raw_lb[[#This Row],[setting]],vcost_lb[],8,FALSE),0)</f>
        <v>1.7176497125792363</v>
      </c>
      <c r="AB175" s="33">
        <f>IFERROR(VLOOKUP(lmic_raw_lb[[#This Row],[setting]],vcost_lb[],9,FALSE),0)</f>
        <v>1.7383597125792363</v>
      </c>
      <c r="AC175" s="94">
        <f>VLOOKUP($A175,lmic_raw[],29,FALSE)*(1-interactive!$C$7)</f>
        <v>1.2923799999999945E-2</v>
      </c>
      <c r="AD175" s="94">
        <f>VLOOKUP($A175,lmic_raw[],30,FALSE)*(1-interactive!$C$7)</f>
        <v>6.5328656036723806E-4</v>
      </c>
      <c r="AE175" s="94">
        <f>VLOOKUP($A175,lmic_raw[],31,FALSE)*(1-interactive!$C$7)</f>
        <v>3.7401896469180587E-4</v>
      </c>
      <c r="AF175" s="94">
        <f>VLOOKUP($A175,lmic_raw[],32,FALSE)*(1-interactive!$C$7)</f>
        <v>4.7050310368360824E-4</v>
      </c>
      <c r="AG175" s="94">
        <f>VLOOKUP($A175,lmic_raw[],33,FALSE)*(1-interactive!$C$7)</f>
        <v>9.7780478667330709E-4</v>
      </c>
      <c r="AH175" s="94">
        <f>VLOOKUP($A175,lmic_raw[],34,FALSE)*(1-interactive!$C$7)</f>
        <v>1.5409950033425897E-3</v>
      </c>
      <c r="AI175" s="94">
        <f>VLOOKUP($A175,lmic_raw[],35,FALSE)*(1-interactive!$C$7)</f>
        <v>1.8534081016670435E-3</v>
      </c>
      <c r="AJ175" s="94">
        <f>VLOOKUP($A175,lmic_raw[],36,FALSE)*(1-interactive!$C$7)</f>
        <v>1.9231592522342242E-3</v>
      </c>
      <c r="AK175" s="94">
        <f>VLOOKUP($A175,lmic_raw[],37,FALSE)*(1-interactive!$C$7)</f>
        <v>2.0600022006615703E-3</v>
      </c>
      <c r="AL175" s="94">
        <f>VLOOKUP($A175,lmic_raw[],38,FALSE)*(1-interactive!$C$7)</f>
        <v>2.5751877596852119E-3</v>
      </c>
      <c r="AM175" s="94">
        <f>VLOOKUP($A175,lmic_raw[],39,FALSE)*(1-interactive!$C$7)</f>
        <v>3.2782186365680611E-3</v>
      </c>
      <c r="AN175" s="94">
        <f>VLOOKUP($A175,lmic_raw[],40,FALSE)*(1-interactive!$C$7)</f>
        <v>4.7784204154738318E-3</v>
      </c>
      <c r="AO175" s="94">
        <f>VLOOKUP($A175,lmic_raw[],41,FALSE)*(1-interactive!$C$7)</f>
        <v>6.515383065888369E-3</v>
      </c>
      <c r="AP175" s="94">
        <f>VLOOKUP($A175,lmic_raw[],42,FALSE)*(1-interactive!$C$7)</f>
        <v>9.4734881439116434E-3</v>
      </c>
      <c r="AQ175" s="94">
        <f>VLOOKUP($A175,lmic_raw[],43,FALSE)*(1-interactive!$C$7)</f>
        <v>1.3282573798368644E-2</v>
      </c>
      <c r="AR175" s="94">
        <f>VLOOKUP($A175,lmic_raw[],44,FALSE)*(1-interactive!$C$7)</f>
        <v>2.1675092761499894E-2</v>
      </c>
      <c r="AS175" s="94">
        <f>VLOOKUP($A175,lmic_raw[],45,FALSE)*(1-interactive!$C$7)</f>
        <v>3.4696168861791263E-2</v>
      </c>
      <c r="AT175" s="94">
        <f>VLOOKUP($A175,lmic_raw[],46,FALSE)*(1-interactive!$C$7)</f>
        <v>5.3129074960459544E-2</v>
      </c>
      <c r="AU175" s="94">
        <f>VLOOKUP($A175,lmic_raw[],47,FALSE)*(1-interactive!$C$7)</f>
        <v>8.0870584271451162E-2</v>
      </c>
      <c r="AV175" s="94">
        <f>VLOOKUP($A175,lmic_raw[],48,FALSE)*(1-interactive!$C$7)</f>
        <v>0.10356603485342179</v>
      </c>
      <c r="AW175" s="94">
        <f>VLOOKUP($A175,lmic_raw[],49,FALSE)*(1-interactive!$C$7)</f>
        <v>0.13273362241408837</v>
      </c>
      <c r="AX175" s="94">
        <f>VLOOKUP($A175,lmic_raw[],50,FALSE)*(1-interactive!$C$7)</f>
        <v>72.866900000000001</v>
      </c>
    </row>
    <row r="176" spans="1:50" x14ac:dyDescent="0.25">
      <c r="A176" s="109" t="s">
        <v>158</v>
      </c>
      <c r="B176" s="101" t="s">
        <v>417</v>
      </c>
      <c r="C176" s="102">
        <v>818</v>
      </c>
      <c r="D176" s="121" t="s">
        <v>673</v>
      </c>
      <c r="E176" s="98" t="s">
        <v>579</v>
      </c>
      <c r="F176" s="98" t="s">
        <v>579</v>
      </c>
      <c r="G176" s="98" t="s">
        <v>678</v>
      </c>
      <c r="H176" s="98">
        <f>VLOOKUP(lmic_raw_lb[[#This Row],[setting]],lmic_raw[],8,FALSE)</f>
        <v>100388076</v>
      </c>
      <c r="I176" s="98">
        <f>VLOOKUP(lmic_raw_lb[[#This Row],[setting]],lmic_raw[],9,FALSE)</f>
        <v>2664098.760888</v>
      </c>
      <c r="J176" s="98">
        <f>VLOOKUP($A176,lmic_raw[],10,FALSE)*(1-interactive!$C$7)</f>
        <v>0.82364999999999999</v>
      </c>
      <c r="K176" s="98">
        <f>VLOOKUP($A176,lmic_raw[],11,FALSE)*(1-interactive!$C$7)</f>
        <v>0.86449999999999994</v>
      </c>
      <c r="L176" s="98">
        <f>VLOOKUP($A176,lmic_raw[],12,FALSE)*(1-interactive!$C$7)</f>
        <v>0.90249999999999997</v>
      </c>
      <c r="M176" s="98">
        <f>IFERROR(VLOOKUP(lmic_raw_lb[[#This Row],[iso3]], hbv_prev[[iso3]:[ub]],3,FALSE)/100,0)</f>
        <v>1.5600000000000001E-2</v>
      </c>
      <c r="N176" s="98">
        <f>IFERROR(VLOOKUP(lmic_raw_lb[[#This Row],[setting]],hbe_prev[],4,FALSE),0)</f>
        <v>0.14980000000000002</v>
      </c>
      <c r="O176" s="98">
        <f>VLOOKUP(lmic_raw_lb[[#This Row],[gbd_super]],hbe_risk[],3,FALSE)</f>
        <v>0.7</v>
      </c>
      <c r="P176" s="98">
        <f>VLOOKUP(lmic_raw_lb[[#This Row],[gbd_super]],hbe_risk[],6,FALSE)</f>
        <v>0.05</v>
      </c>
      <c r="Q176" s="98">
        <f>VLOOKUP(lmic_raw_lb[[#This Row],[setting]],lmic_raw[],17,FALSE)*(1-interactive!$C$7)</f>
        <v>0</v>
      </c>
      <c r="R176" s="98">
        <f>VLOOKUP(lmic_raw_lb[[#This Row],[setting]],lmic_raw[],18,FALSE)*(1-interactive!$C$7)</f>
        <v>44.019105000000003</v>
      </c>
      <c r="S176" s="98">
        <f>VLOOKUP(lmic_raw_lb[[#This Row],[setting]],lmic_raw[],19,FALSE)*(1-interactive!$C$7)</f>
        <v>89.374005000000011</v>
      </c>
      <c r="T176" s="98">
        <f>VLOOKUP(lmic_raw_lb[[#This Row],[setting]],lmic_raw[],20,FALSE)*(1-interactive!$C$7)</f>
        <v>89.374005000000011</v>
      </c>
      <c r="U176" s="98">
        <f>VLOOKUP(lmic_raw_lb[[#This Row],[setting]],lmic_raw[],21,FALSE)*(1-interactive!$C$7)</f>
        <v>89.374005000000011</v>
      </c>
      <c r="V176" s="33">
        <f>IFERROR(VLOOKUP(lmic_raw_lb[[#This Row],[setting]],vcost_lb[],3,FALSE),0)</f>
        <v>1.1930330752334639</v>
      </c>
      <c r="W176" s="33">
        <f>IFERROR(VLOOKUP(lmic_raw_lb[[#This Row],[setting]],vcost_lb[],4,FALSE),0)</f>
        <v>1.6486530752334638</v>
      </c>
      <c r="X176" s="33">
        <f>IFERROR(VLOOKUP(lmic_raw_lb[[#This Row],[setting]],vcost_lb[],5,FALSE),0)</f>
        <v>0.82388298947430361</v>
      </c>
      <c r="Y176" s="33">
        <f>IFERROR(VLOOKUP(lmic_raw_lb[[#This Row],[setting]],vcost_lb[],6,FALSE),0)</f>
        <v>1.2795029894743037</v>
      </c>
      <c r="Z176" s="33">
        <f>IFERROR(VLOOKUP(lmic_raw_lb[[#This Row],[setting]],vcost_lb[],7,FALSE),0)</f>
        <v>1.2749111219048475</v>
      </c>
      <c r="AA176" s="33">
        <f>IFERROR(VLOOKUP(lmic_raw_lb[[#This Row],[setting]],vcost_lb[],8,FALSE),0)</f>
        <v>1.4058817865087447</v>
      </c>
      <c r="AB176" s="33">
        <f>IFERROR(VLOOKUP(lmic_raw_lb[[#This Row],[setting]],vcost_lb[],9,FALSE),0)</f>
        <v>1.8615017865087449</v>
      </c>
      <c r="AC176" s="98">
        <f>VLOOKUP($A176,lmic_raw[],29,FALSE)*(1-interactive!$C$7)</f>
        <v>1.4822850000000026E-2</v>
      </c>
      <c r="AD176" s="98">
        <f>VLOOKUP($A176,lmic_raw[],30,FALSE)*(1-interactive!$C$7)</f>
        <v>1.043044117363202E-3</v>
      </c>
      <c r="AE176" s="98">
        <f>VLOOKUP($A176,lmic_raw[],31,FALSE)*(1-interactive!$C$7)</f>
        <v>3.819294172308191E-4</v>
      </c>
      <c r="AF176" s="98">
        <f>VLOOKUP($A176,lmic_raw[],32,FALSE)*(1-interactive!$C$7)</f>
        <v>3.2037054232063528E-4</v>
      </c>
      <c r="AG176" s="98">
        <f>VLOOKUP($A176,lmic_raw[],33,FALSE)*(1-interactive!$C$7)</f>
        <v>4.6500511513891045E-4</v>
      </c>
      <c r="AH176" s="98">
        <f>VLOOKUP($A176,lmic_raw[],34,FALSE)*(1-interactive!$C$7)</f>
        <v>6.9787400661752415E-4</v>
      </c>
      <c r="AI176" s="98">
        <f>VLOOKUP($A176,lmic_raw[],35,FALSE)*(1-interactive!$C$7)</f>
        <v>8.6135671549360205E-4</v>
      </c>
      <c r="AJ176" s="98">
        <f>VLOOKUP($A176,lmic_raw[],36,FALSE)*(1-interactive!$C$7)</f>
        <v>1.1354090665291153E-3</v>
      </c>
      <c r="AK176" s="98">
        <f>VLOOKUP($A176,lmic_raw[],37,FALSE)*(1-interactive!$C$7)</f>
        <v>1.3682965484051821E-3</v>
      </c>
      <c r="AL176" s="98">
        <f>VLOOKUP($A176,lmic_raw[],38,FALSE)*(1-interactive!$C$7)</f>
        <v>2.0493292472760815E-3</v>
      </c>
      <c r="AM176" s="98">
        <f>VLOOKUP($A176,lmic_raw[],39,FALSE)*(1-interactive!$C$7)</f>
        <v>4.2721438453650288E-3</v>
      </c>
      <c r="AN176" s="98">
        <f>VLOOKUP($A176,lmic_raw[],40,FALSE)*(1-interactive!$C$7)</f>
        <v>7.8463580161288685E-3</v>
      </c>
      <c r="AO176" s="98">
        <f>VLOOKUP($A176,lmic_raw[],41,FALSE)*(1-interactive!$C$7)</f>
        <v>1.0827562446868763E-2</v>
      </c>
      <c r="AP176" s="98">
        <f>VLOOKUP($A176,lmic_raw[],42,FALSE)*(1-interactive!$C$7)</f>
        <v>1.7413991981186684E-2</v>
      </c>
      <c r="AQ176" s="98">
        <f>VLOOKUP($A176,lmic_raw[],43,FALSE)*(1-interactive!$C$7)</f>
        <v>2.6701482569325426E-2</v>
      </c>
      <c r="AR176" s="98">
        <f>VLOOKUP($A176,lmic_raw[],44,FALSE)*(1-interactive!$C$7)</f>
        <v>4.1779184070834176E-2</v>
      </c>
      <c r="AS176" s="98">
        <f>VLOOKUP($A176,lmic_raw[],45,FALSE)*(1-interactive!$C$7)</f>
        <v>6.4005042657846026E-2</v>
      </c>
      <c r="AT176" s="98">
        <f>VLOOKUP($A176,lmic_raw[],46,FALSE)*(1-interactive!$C$7)</f>
        <v>9.0078666046402009E-2</v>
      </c>
      <c r="AU176" s="98">
        <f>VLOOKUP($A176,lmic_raw[],47,FALSE)*(1-interactive!$C$7)</f>
        <v>0.11838969599872376</v>
      </c>
      <c r="AV176" s="98">
        <f>VLOOKUP($A176,lmic_raw[],48,FALSE)*(1-interactive!$C$7)</f>
        <v>0.14217502798510454</v>
      </c>
      <c r="AW176" s="98">
        <f>VLOOKUP($A176,lmic_raw[],49,FALSE)*(1-interactive!$C$7)</f>
        <v>0.16307010765946897</v>
      </c>
      <c r="AX176" s="98">
        <f>VLOOKUP($A176,lmic_raw[],50,FALSE)*(1-interactive!$C$7)</f>
        <v>68.15679999999999</v>
      </c>
    </row>
    <row r="177" spans="1:50" x14ac:dyDescent="0.25">
      <c r="A177" s="110" t="s">
        <v>255</v>
      </c>
      <c r="B177" s="104" t="s">
        <v>418</v>
      </c>
      <c r="C177" s="105">
        <v>222</v>
      </c>
      <c r="D177" s="122" t="s">
        <v>679</v>
      </c>
      <c r="E177" s="94" t="s">
        <v>604</v>
      </c>
      <c r="F177" s="94" t="s">
        <v>665</v>
      </c>
      <c r="G177" s="94" t="s">
        <v>678</v>
      </c>
      <c r="H177" s="98">
        <f>VLOOKUP(lmic_raw_lb[[#This Row],[setting]],lmic_raw[],8,FALSE)</f>
        <v>6453550</v>
      </c>
      <c r="I177" s="98">
        <f>VLOOKUP(lmic_raw_lb[[#This Row],[setting]],lmic_raw[],9,FALSE)</f>
        <v>118629.15610000001</v>
      </c>
      <c r="J177" s="94">
        <f>VLOOKUP($A177,lmic_raw[],10,FALSE)*(1-interactive!$C$7)</f>
        <v>0.92624999999999991</v>
      </c>
      <c r="K177" s="94">
        <f>VLOOKUP($A177,lmic_raw[],11,FALSE)*(1-interactive!$C$7)</f>
        <v>0.72199999999999998</v>
      </c>
      <c r="L177" s="94">
        <f>VLOOKUP($A177,lmic_raw[],12,FALSE)*(1-interactive!$C$7)</f>
        <v>0.76949999999999996</v>
      </c>
      <c r="M177" s="94">
        <f>IFERROR(VLOOKUP(lmic_raw_lb[[#This Row],[iso3]], hbv_prev[[iso3]:[ub]],3,FALSE)/100,0)</f>
        <v>1.7000000000000001E-3</v>
      </c>
      <c r="N177" s="94">
        <f>IFERROR(VLOOKUP(lmic_raw_lb[[#This Row],[setting]],hbe_prev[],4,FALSE),0)</f>
        <v>0.16440000000000002</v>
      </c>
      <c r="O177" s="94">
        <f>VLOOKUP(lmic_raw_lb[[#This Row],[gbd_super]],hbe_risk[],3,FALSE)</f>
        <v>0.7</v>
      </c>
      <c r="P177" s="94">
        <f>VLOOKUP(lmic_raw_lb[[#This Row],[gbd_super]],hbe_risk[],6,FALSE)</f>
        <v>0.05</v>
      </c>
      <c r="Q177" s="94">
        <f>VLOOKUP(lmic_raw_lb[[#This Row],[setting]],lmic_raw[],17,FALSE)*(1-interactive!$C$7)</f>
        <v>0</v>
      </c>
      <c r="R177" s="98">
        <f>VLOOKUP(lmic_raw_lb[[#This Row],[setting]],lmic_raw[],18,FALSE)*(1-interactive!$C$7)</f>
        <v>82.539704999999998</v>
      </c>
      <c r="S177" s="98">
        <f>VLOOKUP(lmic_raw_lb[[#This Row],[setting]],lmic_raw[],19,FALSE)*(1-interactive!$C$7)</f>
        <v>127.894605</v>
      </c>
      <c r="T177" s="98">
        <f>VLOOKUP(lmic_raw_lb[[#This Row],[setting]],lmic_raw[],20,FALSE)*(1-interactive!$C$7)</f>
        <v>127.894605</v>
      </c>
      <c r="U177" s="98">
        <f>VLOOKUP(lmic_raw_lb[[#This Row],[setting]],lmic_raw[],21,FALSE)*(1-interactive!$C$7)</f>
        <v>127.894605</v>
      </c>
      <c r="V177" s="33">
        <f>IFERROR(VLOOKUP(lmic_raw_lb[[#This Row],[setting]],vcost_lb[],3,FALSE),0)</f>
        <v>1.4997674563362715</v>
      </c>
      <c r="W177" s="33">
        <f>IFERROR(VLOOKUP(lmic_raw_lb[[#This Row],[setting]],vcost_lb[],4,FALSE),0)</f>
        <v>1.5204774563362715</v>
      </c>
      <c r="X177" s="33">
        <f>IFERROR(VLOOKUP(lmic_raw_lb[[#This Row],[setting]],vcost_lb[],5,FALSE),0)</f>
        <v>1.1273090960053669</v>
      </c>
      <c r="Y177" s="33">
        <f>IFERROR(VLOOKUP(lmic_raw_lb[[#This Row],[setting]],vcost_lb[],6,FALSE),0)</f>
        <v>1.1480190960053669</v>
      </c>
      <c r="Z177" s="33">
        <f>IFERROR(VLOOKUP(lmic_raw_lb[[#This Row],[setting]],vcost_lb[],7,FALSE),0)</f>
        <v>1.140864166724272</v>
      </c>
      <c r="AA177" s="33">
        <f>IFERROR(VLOOKUP(lmic_raw_lb[[#This Row],[setting]],vcost_lb[],8,FALSE),0)</f>
        <v>1.7140339995708711</v>
      </c>
      <c r="AB177" s="33">
        <f>IFERROR(VLOOKUP(lmic_raw_lb[[#This Row],[setting]],vcost_lb[],9,FALSE),0)</f>
        <v>1.7347439995708711</v>
      </c>
      <c r="AC177" s="94">
        <f>VLOOKUP($A177,lmic_raw[],29,FALSE)*(1-interactive!$C$7)</f>
        <v>1.3845395000000031E-2</v>
      </c>
      <c r="AD177" s="94">
        <f>VLOOKUP($A177,lmic_raw[],30,FALSE)*(1-interactive!$C$7)</f>
        <v>5.584790799592202E-4</v>
      </c>
      <c r="AE177" s="94">
        <f>VLOOKUP($A177,lmic_raw[],31,FALSE)*(1-interactive!$C$7)</f>
        <v>2.5991368522960083E-4</v>
      </c>
      <c r="AF177" s="94">
        <f>VLOOKUP($A177,lmic_raw[],32,FALSE)*(1-interactive!$C$7)</f>
        <v>5.3784870581194888E-4</v>
      </c>
      <c r="AG177" s="94">
        <f>VLOOKUP($A177,lmic_raw[],33,FALSE)*(1-interactive!$C$7)</f>
        <v>1.4693692953268653E-3</v>
      </c>
      <c r="AH177" s="94">
        <f>VLOOKUP($A177,lmic_raw[],34,FALSE)*(1-interactive!$C$7)</f>
        <v>2.4394862843497467E-3</v>
      </c>
      <c r="AI177" s="94">
        <f>VLOOKUP($A177,lmic_raw[],35,FALSE)*(1-interactive!$C$7)</f>
        <v>3.033201855350289E-3</v>
      </c>
      <c r="AJ177" s="94">
        <f>VLOOKUP($A177,lmic_raw[],36,FALSE)*(1-interactive!$C$7)</f>
        <v>3.1770343570390134E-3</v>
      </c>
      <c r="AK177" s="94">
        <f>VLOOKUP($A177,lmic_raw[],37,FALSE)*(1-interactive!$C$7)</f>
        <v>3.3283619325216104E-3</v>
      </c>
      <c r="AL177" s="94">
        <f>VLOOKUP($A177,lmic_raw[],38,FALSE)*(1-interactive!$C$7)</f>
        <v>3.967907063797892E-3</v>
      </c>
      <c r="AM177" s="94">
        <f>VLOOKUP($A177,lmic_raw[],39,FALSE)*(1-interactive!$C$7)</f>
        <v>5.0622467417907454E-3</v>
      </c>
      <c r="AN177" s="94">
        <f>VLOOKUP($A177,lmic_raw[],40,FALSE)*(1-interactive!$C$7)</f>
        <v>6.6521647077467756E-3</v>
      </c>
      <c r="AO177" s="94">
        <f>VLOOKUP($A177,lmic_raw[],41,FALSE)*(1-interactive!$C$7)</f>
        <v>8.7736311221198026E-3</v>
      </c>
      <c r="AP177" s="94">
        <f>VLOOKUP($A177,lmic_raw[],42,FALSE)*(1-interactive!$C$7)</f>
        <v>1.1966738167851883E-2</v>
      </c>
      <c r="AQ177" s="94">
        <f>VLOOKUP($A177,lmic_raw[],43,FALSE)*(1-interactive!$C$7)</f>
        <v>1.7027246670130135E-2</v>
      </c>
      <c r="AR177" s="94">
        <f>VLOOKUP($A177,lmic_raw[],44,FALSE)*(1-interactive!$C$7)</f>
        <v>2.4682481279554792E-2</v>
      </c>
      <c r="AS177" s="94">
        <f>VLOOKUP($A177,lmic_raw[],45,FALSE)*(1-interactive!$C$7)</f>
        <v>3.8057973537868453E-2</v>
      </c>
      <c r="AT177" s="94">
        <f>VLOOKUP($A177,lmic_raw[],46,FALSE)*(1-interactive!$C$7)</f>
        <v>6.1627719901173356E-2</v>
      </c>
      <c r="AU177" s="94">
        <f>VLOOKUP($A177,lmic_raw[],47,FALSE)*(1-interactive!$C$7)</f>
        <v>9.2865141078845539E-2</v>
      </c>
      <c r="AV177" s="94">
        <f>VLOOKUP($A177,lmic_raw[],48,FALSE)*(1-interactive!$C$7)</f>
        <v>0.12664967345353384</v>
      </c>
      <c r="AW177" s="94">
        <f>VLOOKUP($A177,lmic_raw[],49,FALSE)*(1-interactive!$C$7)</f>
        <v>0.15622839786801912</v>
      </c>
      <c r="AX177" s="94">
        <f>VLOOKUP($A177,lmic_raw[],50,FALSE)*(1-interactive!$C$7)</f>
        <v>69.336700000000008</v>
      </c>
    </row>
    <row r="178" spans="1:50" x14ac:dyDescent="0.25">
      <c r="A178" s="109" t="s">
        <v>128</v>
      </c>
      <c r="B178" s="101" t="s">
        <v>419</v>
      </c>
      <c r="C178" s="102">
        <v>226</v>
      </c>
      <c r="D178" s="121" t="s">
        <v>677</v>
      </c>
      <c r="E178" s="98" t="s">
        <v>582</v>
      </c>
      <c r="F178" s="98" t="s">
        <v>667</v>
      </c>
      <c r="G178" s="98" t="s">
        <v>676</v>
      </c>
      <c r="H178" s="98">
        <f>VLOOKUP(lmic_raw_lb[[#This Row],[setting]],lmic_raw[],8,FALSE)</f>
        <v>1355982</v>
      </c>
      <c r="I178" s="98">
        <f>VLOOKUP(lmic_raw_lb[[#This Row],[setting]],lmic_raw[],9,FALSE)</f>
        <v>45363.021827999997</v>
      </c>
      <c r="J178" s="98">
        <f>VLOOKUP($A178,lmic_raw[],10,FALSE)*(1-interactive!$C$7)</f>
        <v>0.63934999999999986</v>
      </c>
      <c r="K178" s="98">
        <f>VLOOKUP($A178,lmic_raw[],11,FALSE)*(1-interactive!$C$7)</f>
        <v>0</v>
      </c>
      <c r="L178" s="98">
        <f>VLOOKUP($A178,lmic_raw[],12,FALSE)*(1-interactive!$C$7)</f>
        <v>0.50349999999999995</v>
      </c>
      <c r="M178" s="98">
        <f>IFERROR(VLOOKUP(lmic_raw_lb[[#This Row],[iso3]], hbv_prev[[iso3]:[ub]],3,FALSE)/100,0)</f>
        <v>7.4800000000000005E-2</v>
      </c>
      <c r="N178" s="98">
        <f>IFERROR(VLOOKUP(lmic_raw_lb[[#This Row],[setting]],hbe_prev[],4,FALSE),0)</f>
        <v>0.15279999999999999</v>
      </c>
      <c r="O178" s="98">
        <f>VLOOKUP(lmic_raw_lb[[#This Row],[gbd_super]],hbe_risk[],3,FALSE)</f>
        <v>7.0000000000000007E-2</v>
      </c>
      <c r="P178" s="98">
        <f>VLOOKUP(lmic_raw_lb[[#This Row],[gbd_super]],hbe_risk[],6,FALSE)</f>
        <v>1E-3</v>
      </c>
      <c r="Q178" s="98">
        <f>VLOOKUP(lmic_raw_lb[[#This Row],[setting]],lmic_raw[],17,FALSE)*(1-interactive!$C$7)</f>
        <v>0</v>
      </c>
      <c r="R178" s="98">
        <f>VLOOKUP(lmic_raw_lb[[#This Row],[setting]],lmic_raw[],18,FALSE)*(1-interactive!$C$7)</f>
        <v>28.424474999999997</v>
      </c>
      <c r="S178" s="98">
        <f>VLOOKUP(lmic_raw_lb[[#This Row],[setting]],lmic_raw[],19,FALSE)*(1-interactive!$C$7)</f>
        <v>73.779375000000002</v>
      </c>
      <c r="T178" s="98">
        <f>VLOOKUP(lmic_raw_lb[[#This Row],[setting]],lmic_raw[],20,FALSE)*(1-interactive!$C$7)</f>
        <v>73.779375000000002</v>
      </c>
      <c r="U178" s="98">
        <f>VLOOKUP(lmic_raw_lb[[#This Row],[setting]],lmic_raw[],21,FALSE)*(1-interactive!$C$7)</f>
        <v>73.779375000000002</v>
      </c>
      <c r="V178" s="33">
        <f>IFERROR(VLOOKUP(lmic_raw_lb[[#This Row],[setting]],vcost_lb[],3,FALSE),0)</f>
        <v>0.48056084700472573</v>
      </c>
      <c r="W178" s="33">
        <f>IFERROR(VLOOKUP(lmic_raw_lb[[#This Row],[setting]],vcost_lb[],4,FALSE),0)</f>
        <v>5.0678258470047259</v>
      </c>
      <c r="X178" s="33">
        <f>IFERROR(VLOOKUP(lmic_raw_lb[[#This Row],[setting]],vcost_lb[],5,FALSE),0)</f>
        <v>0.10789932581033998</v>
      </c>
      <c r="Y178" s="33">
        <f>IFERROR(VLOOKUP(lmic_raw_lb[[#This Row],[setting]],vcost_lb[],6,FALSE),0)</f>
        <v>4.6951643258103406</v>
      </c>
      <c r="Z178" s="33">
        <f>IFERROR(VLOOKUP(lmic_raw_lb[[#This Row],[setting]],vcost_lb[],7,FALSE),0)</f>
        <v>4.6881220224186286</v>
      </c>
      <c r="AA178" s="33">
        <f>IFERROR(VLOOKUP(lmic_raw_lb[[#This Row],[setting]],vcost_lb[],8,FALSE),0)</f>
        <v>0.6949144591808174</v>
      </c>
      <c r="AB178" s="33">
        <f>IFERROR(VLOOKUP(lmic_raw_lb[[#This Row],[setting]],vcost_lb[],9,FALSE),0)</f>
        <v>5.282179459180818</v>
      </c>
      <c r="AC178" s="98">
        <f>VLOOKUP($A178,lmic_raw[],29,FALSE)*(1-interactive!$C$7)</f>
        <v>6.2843972499999984E-2</v>
      </c>
      <c r="AD178" s="98">
        <f>VLOOKUP($A178,lmic_raw[],30,FALSE)*(1-interactive!$C$7)</f>
        <v>7.0325014995741616E-3</v>
      </c>
      <c r="AE178" s="98">
        <f>VLOOKUP($A178,lmic_raw[],31,FALSE)*(1-interactive!$C$7)</f>
        <v>2.0720160424331745E-3</v>
      </c>
      <c r="AF178" s="98">
        <f>VLOOKUP($A178,lmic_raw[],32,FALSE)*(1-interactive!$C$7)</f>
        <v>1.4784362864852687E-3</v>
      </c>
      <c r="AG178" s="98">
        <f>VLOOKUP($A178,lmic_raw[],33,FALSE)*(1-interactive!$C$7)</f>
        <v>2.1975923557773142E-3</v>
      </c>
      <c r="AH178" s="98">
        <f>VLOOKUP($A178,lmic_raw[],34,FALSE)*(1-interactive!$C$7)</f>
        <v>3.3062223560631492E-3</v>
      </c>
      <c r="AI178" s="98">
        <f>VLOOKUP($A178,lmic_raw[],35,FALSE)*(1-interactive!$C$7)</f>
        <v>4.3245213329453237E-3</v>
      </c>
      <c r="AJ178" s="98">
        <f>VLOOKUP($A178,lmic_raw[],36,FALSE)*(1-interactive!$C$7)</f>
        <v>5.460672839493726E-3</v>
      </c>
      <c r="AK178" s="98">
        <f>VLOOKUP($A178,lmic_raw[],37,FALSE)*(1-interactive!$C$7)</f>
        <v>7.0529338480466372E-3</v>
      </c>
      <c r="AL178" s="98">
        <f>VLOOKUP($A178,lmic_raw[],38,FALSE)*(1-interactive!$C$7)</f>
        <v>8.5941830062900432E-3</v>
      </c>
      <c r="AM178" s="98">
        <f>VLOOKUP($A178,lmic_raw[],39,FALSE)*(1-interactive!$C$7)</f>
        <v>1.031868511665863E-2</v>
      </c>
      <c r="AN178" s="98">
        <f>VLOOKUP($A178,lmic_raw[],40,FALSE)*(1-interactive!$C$7)</f>
        <v>1.3291550160942842E-2</v>
      </c>
      <c r="AO178" s="98">
        <f>VLOOKUP($A178,lmic_raw[],41,FALSE)*(1-interactive!$C$7)</f>
        <v>1.6868396220487771E-2</v>
      </c>
      <c r="AP178" s="98">
        <f>VLOOKUP($A178,lmic_raw[],42,FALSE)*(1-interactive!$C$7)</f>
        <v>2.3743236138277043E-2</v>
      </c>
      <c r="AQ178" s="98">
        <f>VLOOKUP($A178,lmic_raw[],43,FALSE)*(1-interactive!$C$7)</f>
        <v>3.4743070910664253E-2</v>
      </c>
      <c r="AR178" s="98">
        <f>VLOOKUP($A178,lmic_raw[],44,FALSE)*(1-interactive!$C$7)</f>
        <v>5.1841381128399672E-2</v>
      </c>
      <c r="AS178" s="98">
        <f>VLOOKUP($A178,lmic_raw[],45,FALSE)*(1-interactive!$C$7)</f>
        <v>7.6238218589578785E-2</v>
      </c>
      <c r="AT178" s="98">
        <f>VLOOKUP($A178,lmic_raw[],46,FALSE)*(1-interactive!$C$7)</f>
        <v>0.11013495151816302</v>
      </c>
      <c r="AU178" s="98">
        <f>VLOOKUP($A178,lmic_raw[],47,FALSE)*(1-interactive!$C$7)</f>
        <v>0.14639352450765597</v>
      </c>
      <c r="AV178" s="98">
        <f>VLOOKUP($A178,lmic_raw[],48,FALSE)*(1-interactive!$C$7)</f>
        <v>0.17255950588916485</v>
      </c>
      <c r="AW178" s="98">
        <f>VLOOKUP($A178,lmic_raw[],49,FALSE)*(1-interactive!$C$7)</f>
        <v>0.17972686429455786</v>
      </c>
      <c r="AX178" s="98">
        <f>VLOOKUP($A178,lmic_raw[],50,FALSE)*(1-interactive!$C$7)</f>
        <v>55.3337</v>
      </c>
    </row>
    <row r="179" spans="1:50" x14ac:dyDescent="0.25">
      <c r="A179" s="110" t="s">
        <v>104</v>
      </c>
      <c r="B179" s="104" t="s">
        <v>420</v>
      </c>
      <c r="C179" s="105">
        <v>232</v>
      </c>
      <c r="D179" s="122" t="s">
        <v>677</v>
      </c>
      <c r="E179" s="94" t="s">
        <v>597</v>
      </c>
      <c r="F179" s="94" t="s">
        <v>667</v>
      </c>
      <c r="G179" s="94" t="s">
        <v>674</v>
      </c>
      <c r="H179" s="98">
        <f>VLOOKUP(lmic_raw_lb[[#This Row],[setting]],lmic_raw[],8,FALSE)</f>
        <v>3497117</v>
      </c>
      <c r="I179" s="98">
        <f>VLOOKUP(lmic_raw_lb[[#This Row],[setting]],lmic_raw[],9,FALSE)</f>
        <v>107137.676412</v>
      </c>
      <c r="J179" s="94">
        <f>VLOOKUP($A179,lmic_raw[],10,FALSE)*(1-interactive!$C$7)</f>
        <v>0.32014999999999999</v>
      </c>
      <c r="K179" s="94">
        <f>VLOOKUP($A179,lmic_raw[],11,FALSE)*(1-interactive!$C$7)</f>
        <v>0</v>
      </c>
      <c r="L179" s="94">
        <f>VLOOKUP($A179,lmic_raw[],12,FALSE)*(1-interactive!$C$7)</f>
        <v>0.90249999999999997</v>
      </c>
      <c r="M179" s="94">
        <f>IFERROR(VLOOKUP(lmic_raw_lb[[#This Row],[iso3]], hbv_prev[[iso3]:[ub]],3,FALSE)/100,0)</f>
        <v>1.49E-2</v>
      </c>
      <c r="N179" s="94">
        <f>IFERROR(VLOOKUP(lmic_raw_lb[[#This Row],[setting]],hbe_prev[],4,FALSE),0)</f>
        <v>0.15560000000000002</v>
      </c>
      <c r="O179" s="94">
        <f>VLOOKUP(lmic_raw_lb[[#This Row],[gbd_super]],hbe_risk[],3,FALSE)</f>
        <v>7.0000000000000007E-2</v>
      </c>
      <c r="P179" s="94">
        <f>VLOOKUP(lmic_raw_lb[[#This Row],[gbd_super]],hbe_risk[],6,FALSE)</f>
        <v>1E-3</v>
      </c>
      <c r="Q179" s="94">
        <f>VLOOKUP(lmic_raw_lb[[#This Row],[setting]],lmic_raw[],17,FALSE)*(1-interactive!$C$7)</f>
        <v>2.1194295026982246</v>
      </c>
      <c r="R179" s="98">
        <f>VLOOKUP(lmic_raw_lb[[#This Row],[setting]],lmic_raw[],18,FALSE)*(1-interactive!$C$7)</f>
        <v>28.424474999999997</v>
      </c>
      <c r="S179" s="98">
        <f>VLOOKUP(lmic_raw_lb[[#This Row],[setting]],lmic_raw[],19,FALSE)*(1-interactive!$C$7)</f>
        <v>73.779375000000002</v>
      </c>
      <c r="T179" s="98">
        <f>VLOOKUP(lmic_raw_lb[[#This Row],[setting]],lmic_raw[],20,FALSE)*(1-interactive!$C$7)</f>
        <v>73.779375000000002</v>
      </c>
      <c r="U179" s="98">
        <f>VLOOKUP(lmic_raw_lb[[#This Row],[setting]],lmic_raw[],21,FALSE)*(1-interactive!$C$7)</f>
        <v>73.779375000000002</v>
      </c>
      <c r="V179" s="33">
        <f>IFERROR(VLOOKUP(lmic_raw_lb[[#This Row],[setting]],vcost_lb[],3,FALSE),0)</f>
        <v>1.541665342048806</v>
      </c>
      <c r="W179" s="33">
        <f>IFERROR(VLOOKUP(lmic_raw_lb[[#This Row],[setting]],vcost_lb[],4,FALSE),0)</f>
        <v>6.1289303420488066</v>
      </c>
      <c r="X179" s="33">
        <f>IFERROR(VLOOKUP(lmic_raw_lb[[#This Row],[setting]],vcost_lb[],5,FALSE),0)</f>
        <v>1.1774019699539167</v>
      </c>
      <c r="Y179" s="33">
        <f>IFERROR(VLOOKUP(lmic_raw_lb[[#This Row],[setting]],vcost_lb[],6,FALSE),0)</f>
        <v>5.7646669699539173</v>
      </c>
      <c r="Z179" s="33">
        <f>IFERROR(VLOOKUP(lmic_raw_lb[[#This Row],[setting]],vcost_lb[],7,FALSE),0)</f>
        <v>5.763299319705661</v>
      </c>
      <c r="AA179" s="33">
        <f>IFERROR(VLOOKUP(lmic_raw_lb[[#This Row],[setting]],vcost_lb[],8,FALSE),0)</f>
        <v>1.7524197474679708</v>
      </c>
      <c r="AB179" s="33">
        <f>IFERROR(VLOOKUP(lmic_raw_lb[[#This Row],[setting]],vcost_lb[],9,FALSE),0)</f>
        <v>6.3396847474679712</v>
      </c>
      <c r="AC179" s="94">
        <f>VLOOKUP($A179,lmic_raw[],29,FALSE)*(1-interactive!$C$7)</f>
        <v>3.2987572000000034E-2</v>
      </c>
      <c r="AD179" s="94">
        <f>VLOOKUP($A179,lmic_raw[],30,FALSE)*(1-interactive!$C$7)</f>
        <v>2.354196426714068E-3</v>
      </c>
      <c r="AE179" s="94">
        <f>VLOOKUP($A179,lmic_raw[],31,FALSE)*(1-interactive!$C$7)</f>
        <v>7.9958970314396142E-4</v>
      </c>
      <c r="AF179" s="94">
        <f>VLOOKUP($A179,lmic_raw[],32,FALSE)*(1-interactive!$C$7)</f>
        <v>6.0446120225821716E-4</v>
      </c>
      <c r="AG179" s="94">
        <f>VLOOKUP($A179,lmic_raw[],33,FALSE)*(1-interactive!$C$7)</f>
        <v>1.1665954907118922E-3</v>
      </c>
      <c r="AH179" s="94">
        <f>VLOOKUP($A179,lmic_raw[],34,FALSE)*(1-interactive!$C$7)</f>
        <v>1.6585412495618913E-3</v>
      </c>
      <c r="AI179" s="94">
        <f>VLOOKUP($A179,lmic_raw[],35,FALSE)*(1-interactive!$C$7)</f>
        <v>2.1936643721107629E-3</v>
      </c>
      <c r="AJ179" s="94">
        <f>VLOOKUP($A179,lmic_raw[],36,FALSE)*(1-interactive!$C$7)</f>
        <v>2.9384925047704984E-3</v>
      </c>
      <c r="AK179" s="94">
        <f>VLOOKUP($A179,lmic_raw[],37,FALSE)*(1-interactive!$C$7)</f>
        <v>3.8138668748455484E-3</v>
      </c>
      <c r="AL179" s="94">
        <f>VLOOKUP($A179,lmic_raw[],38,FALSE)*(1-interactive!$C$7)</f>
        <v>5.5136604780383737E-3</v>
      </c>
      <c r="AM179" s="94">
        <f>VLOOKUP($A179,lmic_raw[],39,FALSE)*(1-interactive!$C$7)</f>
        <v>7.4586259146776444E-3</v>
      </c>
      <c r="AN179" s="94">
        <f>VLOOKUP($A179,lmic_raw[],40,FALSE)*(1-interactive!$C$7)</f>
        <v>1.1021435694162324E-2</v>
      </c>
      <c r="AO179" s="94">
        <f>VLOOKUP($A179,lmic_raw[],41,FALSE)*(1-interactive!$C$7)</f>
        <v>1.597840245787617E-2</v>
      </c>
      <c r="AP179" s="94">
        <f>VLOOKUP($A179,lmic_raw[],42,FALSE)*(1-interactive!$C$7)</f>
        <v>2.2889156730975253E-2</v>
      </c>
      <c r="AQ179" s="94">
        <f>VLOOKUP($A179,lmic_raw[],43,FALSE)*(1-interactive!$C$7)</f>
        <v>3.22200495428175E-2</v>
      </c>
      <c r="AR179" s="94">
        <f>VLOOKUP($A179,lmic_raw[],44,FALSE)*(1-interactive!$C$7)</f>
        <v>4.7625655228462363E-2</v>
      </c>
      <c r="AS179" s="94">
        <f>VLOOKUP($A179,lmic_raw[],45,FALSE)*(1-interactive!$C$7)</f>
        <v>6.532748028156532E-2</v>
      </c>
      <c r="AT179" s="94">
        <f>VLOOKUP($A179,lmic_raw[],46,FALSE)*(1-interactive!$C$7)</f>
        <v>9.0879935661726877E-2</v>
      </c>
      <c r="AU179" s="94">
        <f>VLOOKUP($A179,lmic_raw[],47,FALSE)*(1-interactive!$C$7)</f>
        <v>0.11577903657424811</v>
      </c>
      <c r="AV179" s="94">
        <f>VLOOKUP($A179,lmic_raw[],48,FALSE)*(1-interactive!$C$7)</f>
        <v>0.13632632460170516</v>
      </c>
      <c r="AW179" s="94">
        <f>VLOOKUP($A179,lmic_raw[],49,FALSE)*(1-interactive!$C$7)</f>
        <v>0.1532700360640826</v>
      </c>
      <c r="AX179" s="94">
        <f>VLOOKUP($A179,lmic_raw[],50,FALSE)*(1-interactive!$C$7)</f>
        <v>62.455849999999991</v>
      </c>
    </row>
    <row r="180" spans="1:50" x14ac:dyDescent="0.25">
      <c r="A180" s="109" t="s">
        <v>133</v>
      </c>
      <c r="B180" s="101" t="s">
        <v>422</v>
      </c>
      <c r="C180" s="102">
        <v>748</v>
      </c>
      <c r="D180" s="121" t="s">
        <v>677</v>
      </c>
      <c r="E180" s="98" t="s">
        <v>594</v>
      </c>
      <c r="F180" s="98" t="s">
        <v>667</v>
      </c>
      <c r="G180" s="98" t="s">
        <v>678</v>
      </c>
      <c r="H180" s="98">
        <f>VLOOKUP(lmic_raw_lb[[#This Row],[setting]],lmic_raw[],8,FALSE)</f>
        <v>1148133</v>
      </c>
      <c r="I180" s="98">
        <f>VLOOKUP(lmic_raw_lb[[#This Row],[setting]],lmic_raw[],9,FALSE)</f>
        <v>30670.076829000001</v>
      </c>
      <c r="J180" s="98">
        <f>VLOOKUP($A180,lmic_raw[],10,FALSE)*(1-interactive!$C$7)</f>
        <v>0.83314999999999995</v>
      </c>
      <c r="K180" s="98">
        <f>VLOOKUP($A180,lmic_raw[],11,FALSE)*(1-interactive!$C$7)</f>
        <v>0</v>
      </c>
      <c r="L180" s="98">
        <f>VLOOKUP($A180,lmic_raw[],12,FALSE)*(1-interactive!$C$7)</f>
        <v>0.85499999999999998</v>
      </c>
      <c r="M180" s="98">
        <f>IFERROR(VLOOKUP(lmic_raw_lb[[#This Row],[iso3]], hbv_prev[[iso3]:[ub]],3,FALSE)/100,0)</f>
        <v>1.7000000000000001E-3</v>
      </c>
      <c r="N180" s="98">
        <f>IFERROR(VLOOKUP(lmic_raw_lb[[#This Row],[setting]],hbe_prev[],4,FALSE),0)</f>
        <v>0.15109999999999998</v>
      </c>
      <c r="O180" s="98">
        <f>VLOOKUP(lmic_raw_lb[[#This Row],[gbd_super]],hbe_risk[],3,FALSE)</f>
        <v>7.0000000000000007E-2</v>
      </c>
      <c r="P180" s="98">
        <f>VLOOKUP(lmic_raw_lb[[#This Row],[gbd_super]],hbe_risk[],6,FALSE)</f>
        <v>1E-3</v>
      </c>
      <c r="Q180" s="98">
        <f>VLOOKUP(lmic_raw_lb[[#This Row],[setting]],lmic_raw[],17,FALSE)*(1-interactive!$C$7)</f>
        <v>6.3139518284363971</v>
      </c>
      <c r="R180" s="98">
        <f>VLOOKUP(lmic_raw_lb[[#This Row],[setting]],lmic_raw[],18,FALSE)*(1-interactive!$C$7)</f>
        <v>28.424474999999997</v>
      </c>
      <c r="S180" s="98">
        <f>VLOOKUP(lmic_raw_lb[[#This Row],[setting]],lmic_raw[],19,FALSE)*(1-interactive!$C$7)</f>
        <v>73.779375000000002</v>
      </c>
      <c r="T180" s="98">
        <f>VLOOKUP(lmic_raw_lb[[#This Row],[setting]],lmic_raw[],20,FALSE)*(1-interactive!$C$7)</f>
        <v>73.779375000000002</v>
      </c>
      <c r="U180" s="98">
        <f>VLOOKUP(lmic_raw_lb[[#This Row],[setting]],lmic_raw[],21,FALSE)*(1-interactive!$C$7)</f>
        <v>73.779375000000002</v>
      </c>
      <c r="V180" s="33">
        <f>IFERROR(VLOOKUP(lmic_raw_lb[[#This Row],[setting]],vcost_lb[],3,FALSE),0)</f>
        <v>2.8970171308541932</v>
      </c>
      <c r="W180" s="33">
        <f>IFERROR(VLOOKUP(lmic_raw_lb[[#This Row],[setting]],vcost_lb[],4,FALSE),0)</f>
        <v>7.4842821308541936</v>
      </c>
      <c r="X180" s="33">
        <f>IFERROR(VLOOKUP(lmic_raw_lb[[#This Row],[setting]],vcost_lb[],5,FALSE),0)</f>
        <v>2.5260206692512033</v>
      </c>
      <c r="Y180" s="33">
        <f>IFERROR(VLOOKUP(lmic_raw_lb[[#This Row],[setting]],vcost_lb[],6,FALSE),0)</f>
        <v>7.1132856692512032</v>
      </c>
      <c r="Z180" s="33">
        <f>IFERROR(VLOOKUP(lmic_raw_lb[[#This Row],[setting]],vcost_lb[],7,FALSE),0)</f>
        <v>7.1076773700126932</v>
      </c>
      <c r="AA180" s="33">
        <f>IFERROR(VLOOKUP(lmic_raw_lb[[#This Row],[setting]],vcost_lb[],8,FALSE),0)</f>
        <v>3.1106571460625441</v>
      </c>
      <c r="AB180" s="33">
        <f>IFERROR(VLOOKUP(lmic_raw_lb[[#This Row],[setting]],vcost_lb[],9,FALSE),0)</f>
        <v>7.6979221460625444</v>
      </c>
      <c r="AC180" s="98">
        <f>VLOOKUP($A180,lmic_raw[],29,FALSE)*(1-interactive!$C$7)</f>
        <v>3.9296541000000018E-2</v>
      </c>
      <c r="AD180" s="98">
        <f>VLOOKUP($A180,lmic_raw[],30,FALSE)*(1-interactive!$C$7)</f>
        <v>3.2356439501565501E-3</v>
      </c>
      <c r="AE180" s="98">
        <f>VLOOKUP($A180,lmic_raw[],31,FALSE)*(1-interactive!$C$7)</f>
        <v>9.3129185945059663E-4</v>
      </c>
      <c r="AF180" s="98">
        <f>VLOOKUP($A180,lmic_raw[],32,FALSE)*(1-interactive!$C$7)</f>
        <v>8.246725724544592E-4</v>
      </c>
      <c r="AG180" s="98">
        <f>VLOOKUP($A180,lmic_raw[],33,FALSE)*(1-interactive!$C$7)</f>
        <v>1.3738338004683525E-3</v>
      </c>
      <c r="AH180" s="98">
        <f>VLOOKUP($A180,lmic_raw[],34,FALSE)*(1-interactive!$C$7)</f>
        <v>2.5788590094942888E-3</v>
      </c>
      <c r="AI180" s="98">
        <f>VLOOKUP($A180,lmic_raw[],35,FALSE)*(1-interactive!$C$7)</f>
        <v>4.8579968408584773E-3</v>
      </c>
      <c r="AJ180" s="98">
        <f>VLOOKUP($A180,lmic_raw[],36,FALSE)*(1-interactive!$C$7)</f>
        <v>7.4965187087157065E-3</v>
      </c>
      <c r="AK180" s="98">
        <f>VLOOKUP($A180,lmic_raw[],37,FALSE)*(1-interactive!$C$7)</f>
        <v>1.1251743117868637E-2</v>
      </c>
      <c r="AL180" s="98">
        <f>VLOOKUP($A180,lmic_raw[],38,FALSE)*(1-interactive!$C$7)</f>
        <v>1.3085864766131525E-2</v>
      </c>
      <c r="AM180" s="98">
        <f>VLOOKUP($A180,lmic_raw[],39,FALSE)*(1-interactive!$C$7)</f>
        <v>1.565022910591805E-2</v>
      </c>
      <c r="AN180" s="98">
        <f>VLOOKUP($A180,lmic_raw[],40,FALSE)*(1-interactive!$C$7)</f>
        <v>1.8232453880625457E-2</v>
      </c>
      <c r="AO180" s="98">
        <f>VLOOKUP($A180,lmic_raw[],41,FALSE)*(1-interactive!$C$7)</f>
        <v>2.1267433992478435E-2</v>
      </c>
      <c r="AP180" s="98">
        <f>VLOOKUP($A180,lmic_raw[],42,FALSE)*(1-interactive!$C$7)</f>
        <v>2.5764581718567808E-2</v>
      </c>
      <c r="AQ180" s="98">
        <f>VLOOKUP($A180,lmic_raw[],43,FALSE)*(1-interactive!$C$7)</f>
        <v>3.3179558993921422E-2</v>
      </c>
      <c r="AR180" s="98">
        <f>VLOOKUP($A180,lmic_raw[],44,FALSE)*(1-interactive!$C$7)</f>
        <v>4.5345093314553109E-2</v>
      </c>
      <c r="AS180" s="98">
        <f>VLOOKUP($A180,lmic_raw[],45,FALSE)*(1-interactive!$C$7)</f>
        <v>6.3244428377568371E-2</v>
      </c>
      <c r="AT180" s="98">
        <f>VLOOKUP($A180,lmic_raw[],46,FALSE)*(1-interactive!$C$7)</f>
        <v>9.2618213730883553E-2</v>
      </c>
      <c r="AU180" s="98">
        <f>VLOOKUP($A180,lmic_raw[],47,FALSE)*(1-interactive!$C$7)</f>
        <v>0.13046748184065479</v>
      </c>
      <c r="AV180" s="98">
        <f>VLOOKUP($A180,lmic_raw[],48,FALSE)*(1-interactive!$C$7)</f>
        <v>0.1610155702387864</v>
      </c>
      <c r="AW180" s="98">
        <f>VLOOKUP($A180,lmic_raw[],49,FALSE)*(1-interactive!$C$7)</f>
        <v>0.17383584076451813</v>
      </c>
      <c r="AX180" s="98">
        <f>VLOOKUP($A180,lmic_raw[],50,FALSE)*(1-interactive!$C$7)</f>
        <v>56.348299999999995</v>
      </c>
    </row>
    <row r="181" spans="1:50" x14ac:dyDescent="0.25">
      <c r="A181" s="110" t="s">
        <v>105</v>
      </c>
      <c r="B181" s="104" t="s">
        <v>423</v>
      </c>
      <c r="C181" s="105">
        <v>231</v>
      </c>
      <c r="D181" s="122" t="s">
        <v>677</v>
      </c>
      <c r="E181" s="94" t="s">
        <v>597</v>
      </c>
      <c r="F181" s="94" t="s">
        <v>667</v>
      </c>
      <c r="G181" s="94" t="s">
        <v>674</v>
      </c>
      <c r="H181" s="98">
        <f>VLOOKUP(lmic_raw_lb[[#This Row],[setting]],lmic_raw[],8,FALSE)</f>
        <v>112078727</v>
      </c>
      <c r="I181" s="98">
        <f>VLOOKUP(lmic_raw_lb[[#This Row],[setting]],lmic_raw[],9,FALSE)</f>
        <v>3650516.2171169999</v>
      </c>
      <c r="J181" s="94">
        <f>VLOOKUP($A181,lmic_raw[],10,FALSE)*(1-interactive!$C$7)</f>
        <v>0.45124999999999998</v>
      </c>
      <c r="K181" s="94">
        <f>VLOOKUP($A181,lmic_raw[],11,FALSE)*(1-interactive!$C$7)</f>
        <v>0</v>
      </c>
      <c r="L181" s="94">
        <f>VLOOKUP($A181,lmic_raw[],12,FALSE)*(1-interactive!$C$7)</f>
        <v>0.64600000000000002</v>
      </c>
      <c r="M181" s="94">
        <f>IFERROR(VLOOKUP(lmic_raw_lb[[#This Row],[iso3]], hbv_prev[[iso3]:[ub]],3,FALSE)/100,0)</f>
        <v>4.7199999999999999E-2</v>
      </c>
      <c r="N181" s="94">
        <f>IFERROR(VLOOKUP(lmic_raw_lb[[#This Row],[setting]],hbe_prev[],4,FALSE),0)</f>
        <v>0.15560000000000002</v>
      </c>
      <c r="O181" s="94">
        <f>VLOOKUP(lmic_raw_lb[[#This Row],[gbd_super]],hbe_risk[],3,FALSE)</f>
        <v>7.0000000000000007E-2</v>
      </c>
      <c r="P181" s="94">
        <f>VLOOKUP(lmic_raw_lb[[#This Row],[gbd_super]],hbe_risk[],6,FALSE)</f>
        <v>1E-3</v>
      </c>
      <c r="Q181" s="94">
        <f>VLOOKUP(lmic_raw_lb[[#This Row],[setting]],lmic_raw[],17,FALSE)*(1-interactive!$C$7)</f>
        <v>2.3336658580450673</v>
      </c>
      <c r="R181" s="98">
        <f>VLOOKUP(lmic_raw_lb[[#This Row],[setting]],lmic_raw[],18,FALSE)*(1-interactive!$C$7)</f>
        <v>28.424474999999997</v>
      </c>
      <c r="S181" s="98">
        <f>VLOOKUP(lmic_raw_lb[[#This Row],[setting]],lmic_raw[],19,FALSE)*(1-interactive!$C$7)</f>
        <v>73.779375000000002</v>
      </c>
      <c r="T181" s="98">
        <f>VLOOKUP(lmic_raw_lb[[#This Row],[setting]],lmic_raw[],20,FALSE)*(1-interactive!$C$7)</f>
        <v>73.779375000000002</v>
      </c>
      <c r="U181" s="98">
        <f>VLOOKUP(lmic_raw_lb[[#This Row],[setting]],lmic_raw[],21,FALSE)*(1-interactive!$C$7)</f>
        <v>73.779375000000002</v>
      </c>
      <c r="V181" s="33">
        <f>IFERROR(VLOOKUP(lmic_raw_lb[[#This Row],[setting]],vcost_lb[],3,FALSE),0)</f>
        <v>0.59595913978601012</v>
      </c>
      <c r="W181" s="33">
        <f>IFERROR(VLOOKUP(lmic_raw_lb[[#This Row],[setting]],vcost_lb[],4,FALSE),0)</f>
        <v>5.1832241397860104</v>
      </c>
      <c r="X181" s="33">
        <f>IFERROR(VLOOKUP(lmic_raw_lb[[#This Row],[setting]],vcost_lb[],5,FALSE),0)</f>
        <v>0.23091596862286018</v>
      </c>
      <c r="Y181" s="33">
        <f>IFERROR(VLOOKUP(lmic_raw_lb[[#This Row],[setting]],vcost_lb[],6,FALSE),0)</f>
        <v>4.8181809686228609</v>
      </c>
      <c r="Z181" s="33">
        <f>IFERROR(VLOOKUP(lmic_raw_lb[[#This Row],[setting]],vcost_lb[],7,FALSE),0)</f>
        <v>4.8163081444370679</v>
      </c>
      <c r="AA181" s="33">
        <f>IFERROR(VLOOKUP(lmic_raw_lb[[#This Row],[setting]],vcost_lb[],8,FALSE),0)</f>
        <v>0.80704774480585784</v>
      </c>
      <c r="AB181" s="33">
        <f>IFERROR(VLOOKUP(lmic_raw_lb[[#This Row],[setting]],vcost_lb[],9,FALSE),0)</f>
        <v>5.3943127448058581</v>
      </c>
      <c r="AC181" s="94">
        <f>VLOOKUP($A181,lmic_raw[],29,FALSE)*(1-interactive!$C$7)</f>
        <v>3.5162103000000049E-2</v>
      </c>
      <c r="AD181" s="94">
        <f>VLOOKUP($A181,lmic_raw[],30,FALSE)*(1-interactive!$C$7)</f>
        <v>4.4093999748241446E-3</v>
      </c>
      <c r="AE181" s="94">
        <f>VLOOKUP($A181,lmic_raw[],31,FALSE)*(1-interactive!$C$7)</f>
        <v>1.8938733745861643E-3</v>
      </c>
      <c r="AF181" s="94">
        <f>VLOOKUP($A181,lmic_raw[],32,FALSE)*(1-interactive!$C$7)</f>
        <v>1.4681948499645611E-3</v>
      </c>
      <c r="AG181" s="94">
        <f>VLOOKUP($A181,lmic_raw[],33,FALSE)*(1-interactive!$C$7)</f>
        <v>1.8098240463444058E-3</v>
      </c>
      <c r="AH181" s="94">
        <f>VLOOKUP($A181,lmic_raw[],34,FALSE)*(1-interactive!$C$7)</f>
        <v>2.23033264524364E-3</v>
      </c>
      <c r="AI181" s="94">
        <f>VLOOKUP($A181,lmic_raw[],35,FALSE)*(1-interactive!$C$7)</f>
        <v>2.5742652555131289E-3</v>
      </c>
      <c r="AJ181" s="94">
        <f>VLOOKUP($A181,lmic_raw[],36,FALSE)*(1-interactive!$C$7)</f>
        <v>3.257865104175783E-3</v>
      </c>
      <c r="AK181" s="94">
        <f>VLOOKUP($A181,lmic_raw[],37,FALSE)*(1-interactive!$C$7)</f>
        <v>4.5089541624591242E-3</v>
      </c>
      <c r="AL181" s="94">
        <f>VLOOKUP($A181,lmic_raw[],38,FALSE)*(1-interactive!$C$7)</f>
        <v>5.4890127004894951E-3</v>
      </c>
      <c r="AM181" s="94">
        <f>VLOOKUP($A181,lmic_raw[],39,FALSE)*(1-interactive!$C$7)</f>
        <v>6.3964443547863507E-3</v>
      </c>
      <c r="AN181" s="94">
        <f>VLOOKUP($A181,lmic_raw[],40,FALSE)*(1-interactive!$C$7)</f>
        <v>8.2000472172050476E-3</v>
      </c>
      <c r="AO181" s="94">
        <f>VLOOKUP($A181,lmic_raw[],41,FALSE)*(1-interactive!$C$7)</f>
        <v>1.0542759618258613E-2</v>
      </c>
      <c r="AP181" s="94">
        <f>VLOOKUP($A181,lmic_raw[],42,FALSE)*(1-interactive!$C$7)</f>
        <v>1.5923741319656827E-2</v>
      </c>
      <c r="AQ181" s="94">
        <f>VLOOKUP($A181,lmic_raw[],43,FALSE)*(1-interactive!$C$7)</f>
        <v>2.4647634230856311E-2</v>
      </c>
      <c r="AR181" s="94">
        <f>VLOOKUP($A181,lmic_raw[],44,FALSE)*(1-interactive!$C$7)</f>
        <v>3.8472241853457559E-2</v>
      </c>
      <c r="AS181" s="94">
        <f>VLOOKUP($A181,lmic_raw[],45,FALSE)*(1-interactive!$C$7)</f>
        <v>5.8978491540945345E-2</v>
      </c>
      <c r="AT181" s="94">
        <f>VLOOKUP($A181,lmic_raw[],46,FALSE)*(1-interactive!$C$7)</f>
        <v>8.6810322709149887E-2</v>
      </c>
      <c r="AU181" s="94">
        <f>VLOOKUP($A181,lmic_raw[],47,FALSE)*(1-interactive!$C$7)</f>
        <v>0.11800026936319949</v>
      </c>
      <c r="AV181" s="94">
        <f>VLOOKUP($A181,lmic_raw[],48,FALSE)*(1-interactive!$C$7)</f>
        <v>0.14546619533078509</v>
      </c>
      <c r="AW181" s="94">
        <f>VLOOKUP($A181,lmic_raw[],49,FALSE)*(1-interactive!$C$7)</f>
        <v>0.16454652426176095</v>
      </c>
      <c r="AX181" s="94">
        <f>VLOOKUP($A181,lmic_raw[],50,FALSE)*(1-interactive!$C$7)</f>
        <v>62.668649999999992</v>
      </c>
    </row>
    <row r="182" spans="1:50" x14ac:dyDescent="0.25">
      <c r="A182" s="109" t="s">
        <v>281</v>
      </c>
      <c r="B182" s="101" t="s">
        <v>424</v>
      </c>
      <c r="C182" s="102">
        <v>242</v>
      </c>
      <c r="D182" s="121" t="s">
        <v>681</v>
      </c>
      <c r="E182" s="98" t="s">
        <v>98</v>
      </c>
      <c r="F182" s="98" t="s">
        <v>666</v>
      </c>
      <c r="G182" s="98" t="s">
        <v>676</v>
      </c>
      <c r="H182" s="98">
        <f>VLOOKUP(lmic_raw_lb[[#This Row],[setting]],lmic_raw[],8,FALSE)</f>
        <v>889955</v>
      </c>
      <c r="I182" s="98">
        <f>VLOOKUP(lmic_raw_lb[[#This Row],[setting]],lmic_raw[],9,FALSE)</f>
        <v>19110.003714999999</v>
      </c>
      <c r="J182" s="98">
        <f>VLOOKUP($A182,lmic_raw[],10,FALSE)*(1-interactive!$C$7)</f>
        <v>0.93764999999999998</v>
      </c>
      <c r="K182" s="98">
        <f>VLOOKUP($A182,lmic_raw[],11,FALSE)*(1-interactive!$C$7)</f>
        <v>0.9405</v>
      </c>
      <c r="L182" s="98">
        <f>VLOOKUP($A182,lmic_raw[],12,FALSE)*(1-interactive!$C$7)</f>
        <v>0.9405</v>
      </c>
      <c r="M182" s="98">
        <f>IFERROR(VLOOKUP(lmic_raw_lb[[#This Row],[iso3]], hbv_prev[[iso3]:[ub]],3,FALSE)/100,0)</f>
        <v>1.5600000000000001E-2</v>
      </c>
      <c r="N182" s="98">
        <f>IFERROR(VLOOKUP(lmic_raw_lb[[#This Row],[setting]],hbe_prev[],4,FALSE),0)</f>
        <v>0.1832</v>
      </c>
      <c r="O182" s="98">
        <f>VLOOKUP(lmic_raw_lb[[#This Row],[gbd_super]],hbe_risk[],3,FALSE)</f>
        <v>0.7</v>
      </c>
      <c r="P182" s="98">
        <f>VLOOKUP(lmic_raw_lb[[#This Row],[gbd_super]],hbe_risk[],6,FALSE)</f>
        <v>0.05</v>
      </c>
      <c r="Q182" s="98">
        <f>VLOOKUP(lmic_raw_lb[[#This Row],[setting]],lmic_raw[],17,FALSE)*(1-interactive!$C$7)</f>
        <v>5.8967547153925466</v>
      </c>
      <c r="R182" s="98">
        <f>VLOOKUP(lmic_raw_lb[[#This Row],[setting]],lmic_raw[],18,FALSE)*(1-interactive!$C$7)</f>
        <v>69.430275000000009</v>
      </c>
      <c r="S182" s="98">
        <f>VLOOKUP(lmic_raw_lb[[#This Row],[setting]],lmic_raw[],19,FALSE)*(1-interactive!$C$7)</f>
        <v>114.785175</v>
      </c>
      <c r="T182" s="98">
        <f>VLOOKUP(lmic_raw_lb[[#This Row],[setting]],lmic_raw[],20,FALSE)*(1-interactive!$C$7)</f>
        <v>114.785175</v>
      </c>
      <c r="U182" s="98">
        <f>VLOOKUP(lmic_raw_lb[[#This Row],[setting]],lmic_raw[],21,FALSE)*(1-interactive!$C$7)</f>
        <v>114.785175</v>
      </c>
      <c r="V182" s="33">
        <f>IFERROR(VLOOKUP(lmic_raw_lb[[#This Row],[setting]],vcost_lb[],3,FALSE),0)</f>
        <v>4.3976669306894323</v>
      </c>
      <c r="W182" s="33">
        <f>IFERROR(VLOOKUP(lmic_raw_lb[[#This Row],[setting]],vcost_lb[],4,FALSE),0)</f>
        <v>4.9982569306894327</v>
      </c>
      <c r="X182" s="33">
        <f>IFERROR(VLOOKUP(lmic_raw_lb[[#This Row],[setting]],vcost_lb[],5,FALSE),0)</f>
        <v>4.0279676103307551</v>
      </c>
      <c r="Y182" s="33">
        <f>IFERROR(VLOOKUP(lmic_raw_lb[[#This Row],[setting]],vcost_lb[],6,FALSE),0)</f>
        <v>4.6285576103307555</v>
      </c>
      <c r="Z182" s="33">
        <f>IFERROR(VLOOKUP(lmic_raw_lb[[#This Row],[setting]],vcost_lb[],7,FALSE),0)</f>
        <v>4.6237849501052608</v>
      </c>
      <c r="AA182" s="33">
        <f>IFERROR(VLOOKUP(lmic_raw_lb[[#This Row],[setting]],vcost_lb[],8,FALSE),0)</f>
        <v>4.6107510282216486</v>
      </c>
      <c r="AB182" s="33">
        <f>IFERROR(VLOOKUP(lmic_raw_lb[[#This Row],[setting]],vcost_lb[],9,FALSE),0)</f>
        <v>5.2113410282216481</v>
      </c>
      <c r="AC182" s="98">
        <f>VLOOKUP($A182,lmic_raw[],29,FALSE)*(1-interactive!$C$7)</f>
        <v>1.9311115499999962E-2</v>
      </c>
      <c r="AD182" s="98">
        <f>VLOOKUP($A182,lmic_raw[],30,FALSE)*(1-interactive!$C$7)</f>
        <v>1.0417516972074687E-3</v>
      </c>
      <c r="AE182" s="98">
        <f>VLOOKUP($A182,lmic_raw[],31,FALSE)*(1-interactive!$C$7)</f>
        <v>6.918383779126664E-4</v>
      </c>
      <c r="AF182" s="98">
        <f>VLOOKUP($A182,lmic_raw[],32,FALSE)*(1-interactive!$C$7)</f>
        <v>6.44820929259868E-4</v>
      </c>
      <c r="AG182" s="98">
        <f>VLOOKUP($A182,lmic_raw[],33,FALSE)*(1-interactive!$C$7)</f>
        <v>1.4426180520434157E-3</v>
      </c>
      <c r="AH182" s="98">
        <f>VLOOKUP($A182,lmic_raw[],34,FALSE)*(1-interactive!$C$7)</f>
        <v>2.0485197527218306E-3</v>
      </c>
      <c r="AI182" s="98">
        <f>VLOOKUP($A182,lmic_raw[],35,FALSE)*(1-interactive!$C$7)</f>
        <v>2.2719517559361209E-3</v>
      </c>
      <c r="AJ182" s="98">
        <f>VLOOKUP($A182,lmic_raw[],36,FALSE)*(1-interactive!$C$7)</f>
        <v>2.6637939674999359E-3</v>
      </c>
      <c r="AK182" s="98">
        <f>VLOOKUP($A182,lmic_raw[],37,FALSE)*(1-interactive!$C$7)</f>
        <v>3.4118787053580577E-3</v>
      </c>
      <c r="AL182" s="98">
        <f>VLOOKUP($A182,lmic_raw[],38,FALSE)*(1-interactive!$C$7)</f>
        <v>4.5968987941880438E-3</v>
      </c>
      <c r="AM182" s="98">
        <f>VLOOKUP($A182,lmic_raw[],39,FALSE)*(1-interactive!$C$7)</f>
        <v>6.5232681946210168E-3</v>
      </c>
      <c r="AN182" s="98">
        <f>VLOOKUP($A182,lmic_raw[],40,FALSE)*(1-interactive!$C$7)</f>
        <v>9.4186823787848675E-3</v>
      </c>
      <c r="AO182" s="98">
        <f>VLOOKUP($A182,lmic_raw[],41,FALSE)*(1-interactive!$C$7)</f>
        <v>1.3680161373499804E-2</v>
      </c>
      <c r="AP182" s="98">
        <f>VLOOKUP($A182,lmic_raw[],42,FALSE)*(1-interactive!$C$7)</f>
        <v>2.1261964019802976E-2</v>
      </c>
      <c r="AQ182" s="98">
        <f>VLOOKUP($A182,lmic_raw[],43,FALSE)*(1-interactive!$C$7)</f>
        <v>3.3003889101246388E-2</v>
      </c>
      <c r="AR182" s="98">
        <f>VLOOKUP($A182,lmic_raw[],44,FALSE)*(1-interactive!$C$7)</f>
        <v>4.9636283591296411E-2</v>
      </c>
      <c r="AS182" s="98">
        <f>VLOOKUP($A182,lmic_raw[],45,FALSE)*(1-interactive!$C$7)</f>
        <v>7.2421474666782212E-2</v>
      </c>
      <c r="AT182" s="98">
        <f>VLOOKUP($A182,lmic_raw[],46,FALSE)*(1-interactive!$C$7)</f>
        <v>0.10209991821448858</v>
      </c>
      <c r="AU182" s="98">
        <f>VLOOKUP($A182,lmic_raw[],47,FALSE)*(1-interactive!$C$7)</f>
        <v>0.13400873228131649</v>
      </c>
      <c r="AV182" s="98">
        <f>VLOOKUP($A182,lmic_raw[],48,FALSE)*(1-interactive!$C$7)</f>
        <v>0.15902320655465324</v>
      </c>
      <c r="AW182" s="98">
        <f>VLOOKUP($A182,lmic_raw[],49,FALSE)*(1-interactive!$C$7)</f>
        <v>0.17439283883471171</v>
      </c>
      <c r="AX182" s="98">
        <f>VLOOKUP($A182,lmic_raw[],50,FALSE)*(1-interactive!$C$7)</f>
        <v>63.909349999999996</v>
      </c>
    </row>
    <row r="183" spans="1:50" x14ac:dyDescent="0.25">
      <c r="A183" s="110" t="s">
        <v>129</v>
      </c>
      <c r="B183" s="104" t="s">
        <v>427</v>
      </c>
      <c r="C183" s="105">
        <v>266</v>
      </c>
      <c r="D183" s="122" t="s">
        <v>677</v>
      </c>
      <c r="E183" s="94" t="s">
        <v>582</v>
      </c>
      <c r="F183" s="94" t="s">
        <v>667</v>
      </c>
      <c r="G183" s="94" t="s">
        <v>676</v>
      </c>
      <c r="H183" s="98">
        <f>VLOOKUP(lmic_raw_lb[[#This Row],[setting]],lmic_raw[],8,FALSE)</f>
        <v>2172578</v>
      </c>
      <c r="I183" s="98">
        <f>VLOOKUP(lmic_raw_lb[[#This Row],[setting]],lmic_raw[],9,FALSE)</f>
        <v>69513.805687999993</v>
      </c>
      <c r="J183" s="94">
        <f>VLOOKUP($A183,lmic_raw[],10,FALSE)*(1-interactive!$C$7)</f>
        <v>0.8569</v>
      </c>
      <c r="K183" s="94">
        <f>VLOOKUP($A183,lmic_raw[],11,FALSE)*(1-interactive!$C$7)</f>
        <v>0</v>
      </c>
      <c r="L183" s="94">
        <f>VLOOKUP($A183,lmic_raw[],12,FALSE)*(1-interactive!$C$7)</f>
        <v>0.66499999999999992</v>
      </c>
      <c r="M183" s="94">
        <f>IFERROR(VLOOKUP(lmic_raw_lb[[#This Row],[iso3]], hbv_prev[[iso3]:[ub]],3,FALSE)/100,0)</f>
        <v>7.4299999999999991E-2</v>
      </c>
      <c r="N183" s="94">
        <f>IFERROR(VLOOKUP(lmic_raw_lb[[#This Row],[setting]],hbe_prev[],4,FALSE),0)</f>
        <v>0.15279999999999999</v>
      </c>
      <c r="O183" s="94">
        <f>VLOOKUP(lmic_raw_lb[[#This Row],[gbd_super]],hbe_risk[],3,FALSE)</f>
        <v>7.0000000000000007E-2</v>
      </c>
      <c r="P183" s="94">
        <f>VLOOKUP(lmic_raw_lb[[#This Row],[gbd_super]],hbe_risk[],6,FALSE)</f>
        <v>1E-3</v>
      </c>
      <c r="Q183" s="94">
        <f>VLOOKUP(lmic_raw_lb[[#This Row],[setting]],lmic_raw[],17,FALSE)*(1-interactive!$C$7)</f>
        <v>13.902429046774541</v>
      </c>
      <c r="R183" s="98">
        <f>VLOOKUP(lmic_raw_lb[[#This Row],[setting]],lmic_raw[],18,FALSE)*(1-interactive!$C$7)</f>
        <v>28.424474999999997</v>
      </c>
      <c r="S183" s="98">
        <f>VLOOKUP(lmic_raw_lb[[#This Row],[setting]],lmic_raw[],19,FALSE)*(1-interactive!$C$7)</f>
        <v>73.779375000000002</v>
      </c>
      <c r="T183" s="98">
        <f>VLOOKUP(lmic_raw_lb[[#This Row],[setting]],lmic_raw[],20,FALSE)*(1-interactive!$C$7)</f>
        <v>73.779375000000002</v>
      </c>
      <c r="U183" s="98">
        <f>VLOOKUP(lmic_raw_lb[[#This Row],[setting]],lmic_raw[],21,FALSE)*(1-interactive!$C$7)</f>
        <v>73.779375000000002</v>
      </c>
      <c r="V183" s="33">
        <f>IFERROR(VLOOKUP(lmic_raw_lb[[#This Row],[setting]],vcost_lb[],3,FALSE),0)</f>
        <v>1.3020936616550227</v>
      </c>
      <c r="W183" s="33">
        <f>IFERROR(VLOOKUP(lmic_raw_lb[[#This Row],[setting]],vcost_lb[],4,FALSE),0)</f>
        <v>5.8893586616550229</v>
      </c>
      <c r="X183" s="33">
        <f>IFERROR(VLOOKUP(lmic_raw_lb[[#This Row],[setting]],vcost_lb[],5,FALSE),0)</f>
        <v>0.93044804031051465</v>
      </c>
      <c r="Y183" s="33">
        <f>IFERROR(VLOOKUP(lmic_raw_lb[[#This Row],[setting]],vcost_lb[],6,FALSE),0)</f>
        <v>5.5177130403105146</v>
      </c>
      <c r="Z183" s="33">
        <f>IFERROR(VLOOKUP(lmic_raw_lb[[#This Row],[setting]],vcost_lb[],7,FALSE),0)</f>
        <v>5.5117559856680023</v>
      </c>
      <c r="AA183" s="33">
        <f>IFERROR(VLOOKUP(lmic_raw_lb[[#This Row],[setting]],vcost_lb[],8,FALSE),0)</f>
        <v>1.5160118881811666</v>
      </c>
      <c r="AB183" s="33">
        <f>IFERROR(VLOOKUP(lmic_raw_lb[[#This Row],[setting]],vcost_lb[],9,FALSE),0)</f>
        <v>6.103276888181167</v>
      </c>
      <c r="AC183" s="94">
        <f>VLOOKUP($A183,lmic_raw[],29,FALSE)*(1-interactive!$C$7)</f>
        <v>3.3524597499999989E-2</v>
      </c>
      <c r="AD183" s="94">
        <f>VLOOKUP($A183,lmic_raw[],30,FALSE)*(1-interactive!$C$7)</f>
        <v>3.1181153277051476E-3</v>
      </c>
      <c r="AE183" s="94">
        <f>VLOOKUP($A183,lmic_raw[],31,FALSE)*(1-interactive!$C$7)</f>
        <v>1.3534280693666577E-3</v>
      </c>
      <c r="AF183" s="94">
        <f>VLOOKUP($A183,lmic_raw[],32,FALSE)*(1-interactive!$C$7)</f>
        <v>9.6602626120263367E-4</v>
      </c>
      <c r="AG183" s="94">
        <f>VLOOKUP($A183,lmic_raw[],33,FALSE)*(1-interactive!$C$7)</f>
        <v>1.5989832141181605E-3</v>
      </c>
      <c r="AH183" s="94">
        <f>VLOOKUP($A183,lmic_raw[],34,FALSE)*(1-interactive!$C$7)</f>
        <v>2.3295615822446995E-3</v>
      </c>
      <c r="AI183" s="94">
        <f>VLOOKUP($A183,lmic_raw[],35,FALSE)*(1-interactive!$C$7)</f>
        <v>2.6629354840562182E-3</v>
      </c>
      <c r="AJ183" s="94">
        <f>VLOOKUP($A183,lmic_raw[],36,FALSE)*(1-interactive!$C$7)</f>
        <v>3.0984537592486133E-3</v>
      </c>
      <c r="AK183" s="94">
        <f>VLOOKUP($A183,lmic_raw[],37,FALSE)*(1-interactive!$C$7)</f>
        <v>3.7690609189939992E-3</v>
      </c>
      <c r="AL183" s="94">
        <f>VLOOKUP($A183,lmic_raw[],38,FALSE)*(1-interactive!$C$7)</f>
        <v>4.7902333371076062E-3</v>
      </c>
      <c r="AM183" s="94">
        <f>VLOOKUP($A183,lmic_raw[],39,FALSE)*(1-interactive!$C$7)</f>
        <v>6.0982895688519731E-3</v>
      </c>
      <c r="AN183" s="94">
        <f>VLOOKUP($A183,lmic_raw[],40,FALSE)*(1-interactive!$C$7)</f>
        <v>8.7335098192560297E-3</v>
      </c>
      <c r="AO183" s="94">
        <f>VLOOKUP($A183,lmic_raw[],41,FALSE)*(1-interactive!$C$7)</f>
        <v>1.1757454620929968E-2</v>
      </c>
      <c r="AP183" s="94">
        <f>VLOOKUP($A183,lmic_raw[],42,FALSE)*(1-interactive!$C$7)</f>
        <v>1.7849342870911937E-2</v>
      </c>
      <c r="AQ183" s="94">
        <f>VLOOKUP($A183,lmic_raw[],43,FALSE)*(1-interactive!$C$7)</f>
        <v>2.7769974590210647E-2</v>
      </c>
      <c r="AR183" s="94">
        <f>VLOOKUP($A183,lmic_raw[],44,FALSE)*(1-interactive!$C$7)</f>
        <v>4.3199194108453326E-2</v>
      </c>
      <c r="AS183" s="94">
        <f>VLOOKUP($A183,lmic_raw[],45,FALSE)*(1-interactive!$C$7)</f>
        <v>6.6241749238480446E-2</v>
      </c>
      <c r="AT183" s="94">
        <f>VLOOKUP($A183,lmic_raw[],46,FALSE)*(1-interactive!$C$7)</f>
        <v>9.8942669141429129E-2</v>
      </c>
      <c r="AU183" s="94">
        <f>VLOOKUP($A183,lmic_raw[],47,FALSE)*(1-interactive!$C$7)</f>
        <v>0.1369401450028716</v>
      </c>
      <c r="AV183" s="94">
        <f>VLOOKUP($A183,lmic_raw[],48,FALSE)*(1-interactive!$C$7)</f>
        <v>0.16944594203960009</v>
      </c>
      <c r="AW183" s="94">
        <f>VLOOKUP($A183,lmic_raw[],49,FALSE)*(1-interactive!$C$7)</f>
        <v>0.18006395109623041</v>
      </c>
      <c r="AX183" s="94">
        <f>VLOOKUP($A183,lmic_raw[],50,FALSE)*(1-interactive!$C$7)</f>
        <v>62.756999999999998</v>
      </c>
    </row>
    <row r="184" spans="1:50" x14ac:dyDescent="0.25">
      <c r="A184" s="109" t="s">
        <v>617</v>
      </c>
      <c r="B184" s="101" t="s">
        <v>428</v>
      </c>
      <c r="C184" s="102">
        <v>270</v>
      </c>
      <c r="D184" s="121" t="s">
        <v>677</v>
      </c>
      <c r="E184" s="98" t="s">
        <v>591</v>
      </c>
      <c r="F184" s="98" t="s">
        <v>667</v>
      </c>
      <c r="G184" s="98" t="s">
        <v>674</v>
      </c>
      <c r="H184" s="98">
        <f>VLOOKUP(lmic_raw_lb[[#This Row],[setting]],lmic_raw[],8,FALSE)</f>
        <v>2347696</v>
      </c>
      <c r="I184" s="98">
        <f>VLOOKUP(lmic_raw_lb[[#This Row],[setting]],lmic_raw[],9,FALSE)</f>
        <v>90982.61078399999</v>
      </c>
      <c r="J184" s="98">
        <f>VLOOKUP($A184,lmic_raw[],10,FALSE)*(1-interactive!$C$7)</f>
        <v>0.79515000000000002</v>
      </c>
      <c r="K184" s="98">
        <f>VLOOKUP($A184,lmic_raw[],11,FALSE)*(1-interactive!$C$7)</f>
        <v>0</v>
      </c>
      <c r="L184" s="98">
        <f>VLOOKUP($A184,lmic_raw[],12,FALSE)*(1-interactive!$C$7)</f>
        <v>0.83599999999999997</v>
      </c>
      <c r="M184" s="98">
        <f>IFERROR(VLOOKUP(lmic_raw_lb[[#This Row],[iso3]], hbv_prev[[iso3]:[ub]],3,FALSE)/100,0)</f>
        <v>4.7300000000000002E-2</v>
      </c>
      <c r="N184" s="98">
        <f>IFERROR(VLOOKUP(lmic_raw_lb[[#This Row],[setting]],hbe_prev[],4,FALSE),0)</f>
        <v>0.155</v>
      </c>
      <c r="O184" s="98">
        <f>VLOOKUP(lmic_raw_lb[[#This Row],[gbd_super]],hbe_risk[],3,FALSE)</f>
        <v>7.0000000000000007E-2</v>
      </c>
      <c r="P184" s="98">
        <f>VLOOKUP(lmic_raw_lb[[#This Row],[gbd_super]],hbe_risk[],6,FALSE)</f>
        <v>1E-3</v>
      </c>
      <c r="Q184" s="98">
        <f>VLOOKUP(lmic_raw_lb[[#This Row],[setting]],lmic_raw[],17,FALSE)*(1-interactive!$C$7)</f>
        <v>3.0553041076344298</v>
      </c>
      <c r="R184" s="98">
        <f>VLOOKUP(lmic_raw_lb[[#This Row],[setting]],lmic_raw[],18,FALSE)*(1-interactive!$C$7)</f>
        <v>28.424474999999997</v>
      </c>
      <c r="S184" s="98">
        <f>VLOOKUP(lmic_raw_lb[[#This Row],[setting]],lmic_raw[],19,FALSE)*(1-interactive!$C$7)</f>
        <v>73.779375000000002</v>
      </c>
      <c r="T184" s="98">
        <f>VLOOKUP(lmic_raw_lb[[#This Row],[setting]],lmic_raw[],20,FALSE)*(1-interactive!$C$7)</f>
        <v>73.779375000000002</v>
      </c>
      <c r="U184" s="98">
        <f>VLOOKUP(lmic_raw_lb[[#This Row],[setting]],lmic_raw[],21,FALSE)*(1-interactive!$C$7)</f>
        <v>73.779375000000002</v>
      </c>
      <c r="V184" s="33">
        <f>IFERROR(VLOOKUP(lmic_raw_lb[[#This Row],[setting]],vcost_lb[],3,FALSE),0)</f>
        <v>1.5222402335717748</v>
      </c>
      <c r="W184" s="33">
        <f>IFERROR(VLOOKUP(lmic_raw_lb[[#This Row],[setting]],vcost_lb[],4,FALSE),0)</f>
        <v>6.1095052335717757</v>
      </c>
      <c r="X184" s="33">
        <f>IFERROR(VLOOKUP(lmic_raw_lb[[#This Row],[setting]],vcost_lb[],5,FALSE),0)</f>
        <v>1.1574930826144867</v>
      </c>
      <c r="Y184" s="33">
        <f>IFERROR(VLOOKUP(lmic_raw_lb[[#This Row],[setting]],vcost_lb[],6,FALSE),0)</f>
        <v>5.7447580826144868</v>
      </c>
      <c r="Z184" s="33">
        <f>IFERROR(VLOOKUP(lmic_raw_lb[[#This Row],[setting]],vcost_lb[],7,FALSE),0)</f>
        <v>5.7430856050530181</v>
      </c>
      <c r="AA184" s="33">
        <f>IFERROR(VLOOKUP(lmic_raw_lb[[#This Row],[setting]],vcost_lb[],8,FALSE),0)</f>
        <v>1.7332019727891108</v>
      </c>
      <c r="AB184" s="33">
        <f>IFERROR(VLOOKUP(lmic_raw_lb[[#This Row],[setting]],vcost_lb[],9,FALSE),0)</f>
        <v>6.3204669727891112</v>
      </c>
      <c r="AC184" s="98">
        <f>VLOOKUP($A184,lmic_raw[],29,FALSE)*(1-interactive!$C$7)</f>
        <v>4.2604364999999984E-2</v>
      </c>
      <c r="AD184" s="98">
        <f>VLOOKUP($A184,lmic_raw[],30,FALSE)*(1-interactive!$C$7)</f>
        <v>5.7040059695129723E-3</v>
      </c>
      <c r="AE184" s="98">
        <f>VLOOKUP($A184,lmic_raw[],31,FALSE)*(1-interactive!$C$7)</f>
        <v>2.6773245326599093E-3</v>
      </c>
      <c r="AF184" s="98">
        <f>VLOOKUP($A184,lmic_raw[],32,FALSE)*(1-interactive!$C$7)</f>
        <v>1.6082463860066854E-3</v>
      </c>
      <c r="AG184" s="98">
        <f>VLOOKUP($A184,lmic_raw[],33,FALSE)*(1-interactive!$C$7)</f>
        <v>2.455014634454987E-3</v>
      </c>
      <c r="AH184" s="98">
        <f>VLOOKUP($A184,lmic_raw[],34,FALSE)*(1-interactive!$C$7)</f>
        <v>3.4584479732553313E-3</v>
      </c>
      <c r="AI184" s="98">
        <f>VLOOKUP($A184,lmic_raw[],35,FALSE)*(1-interactive!$C$7)</f>
        <v>3.6735064328116754E-3</v>
      </c>
      <c r="AJ184" s="98">
        <f>VLOOKUP($A184,lmic_raw[],36,FALSE)*(1-interactive!$C$7)</f>
        <v>4.0322536433814813E-3</v>
      </c>
      <c r="AK184" s="98">
        <f>VLOOKUP($A184,lmic_raw[],37,FALSE)*(1-interactive!$C$7)</f>
        <v>4.6114203964473469E-3</v>
      </c>
      <c r="AL184" s="98">
        <f>VLOOKUP($A184,lmic_raw[],38,FALSE)*(1-interactive!$C$7)</f>
        <v>5.6573517098135297E-3</v>
      </c>
      <c r="AM184" s="98">
        <f>VLOOKUP($A184,lmic_raw[],39,FALSE)*(1-interactive!$C$7)</f>
        <v>7.059889517203639E-3</v>
      </c>
      <c r="AN184" s="98">
        <f>VLOOKUP($A184,lmic_raw[],40,FALSE)*(1-interactive!$C$7)</f>
        <v>9.8679797518720445E-3</v>
      </c>
      <c r="AO184" s="98">
        <f>VLOOKUP($A184,lmic_raw[],41,FALSE)*(1-interactive!$C$7)</f>
        <v>1.4072912287804128E-2</v>
      </c>
      <c r="AP184" s="98">
        <f>VLOOKUP($A184,lmic_raw[],42,FALSE)*(1-interactive!$C$7)</f>
        <v>2.1803461821369313E-2</v>
      </c>
      <c r="AQ184" s="98">
        <f>VLOOKUP($A184,lmic_raw[],43,FALSE)*(1-interactive!$C$7)</f>
        <v>3.3333580204147228E-2</v>
      </c>
      <c r="AR184" s="98">
        <f>VLOOKUP($A184,lmic_raw[],44,FALSE)*(1-interactive!$C$7)</f>
        <v>5.3073187375583544E-2</v>
      </c>
      <c r="AS184" s="98">
        <f>VLOOKUP($A184,lmic_raw[],45,FALSE)*(1-interactive!$C$7)</f>
        <v>8.1235876887834416E-2</v>
      </c>
      <c r="AT184" s="98">
        <f>VLOOKUP($A184,lmic_raw[],46,FALSE)*(1-interactive!$C$7)</f>
        <v>0.11554091466714306</v>
      </c>
      <c r="AU184" s="98">
        <f>VLOOKUP($A184,lmic_raw[],47,FALSE)*(1-interactive!$C$7)</f>
        <v>0.14686501041700345</v>
      </c>
      <c r="AV184" s="98">
        <f>VLOOKUP($A184,lmic_raw[],48,FALSE)*(1-interactive!$C$7)</f>
        <v>0.16832994675359839</v>
      </c>
      <c r="AW184" s="98">
        <f>VLOOKUP($A184,lmic_raw[],49,FALSE)*(1-interactive!$C$7)</f>
        <v>0.17842054837653804</v>
      </c>
      <c r="AX184" s="98">
        <f>VLOOKUP($A184,lmic_raw[],50,FALSE)*(1-interactive!$C$7)</f>
        <v>58.459199999999996</v>
      </c>
    </row>
    <row r="185" spans="1:50" x14ac:dyDescent="0.25">
      <c r="A185" s="110" t="s">
        <v>169</v>
      </c>
      <c r="B185" s="104" t="s">
        <v>429</v>
      </c>
      <c r="C185" s="105">
        <v>268</v>
      </c>
      <c r="D185" s="122" t="s">
        <v>675</v>
      </c>
      <c r="E185" s="94" t="s">
        <v>184</v>
      </c>
      <c r="F185" s="94" t="s">
        <v>663</v>
      </c>
      <c r="G185" s="94" t="s">
        <v>676</v>
      </c>
      <c r="H185" s="98">
        <f>VLOOKUP(lmic_raw_lb[[#This Row],[setting]],lmic_raw[],8,FALSE)</f>
        <v>3996762</v>
      </c>
      <c r="I185" s="98">
        <f>VLOOKUP(lmic_raw_lb[[#This Row],[setting]],lmic_raw[],9,FALSE)</f>
        <v>54339.976152000003</v>
      </c>
      <c r="J185" s="94">
        <f>VLOOKUP($A185,lmic_raw[],10,FALSE)*(1-interactive!$C$7)</f>
        <v>0.94430000000000003</v>
      </c>
      <c r="K185" s="94">
        <f>VLOOKUP($A185,lmic_raw[],11,FALSE)*(1-interactive!$C$7)</f>
        <v>0.8929999999999999</v>
      </c>
      <c r="L185" s="94">
        <f>VLOOKUP($A185,lmic_raw[],12,FALSE)*(1-interactive!$C$7)</f>
        <v>0.8929999999999999</v>
      </c>
      <c r="M185" s="94">
        <f>IFERROR(VLOOKUP(lmic_raw_lb[[#This Row],[iso3]], hbv_prev[[iso3]:[ub]],3,FALSE)/100,0)</f>
        <v>1.4800000000000001E-2</v>
      </c>
      <c r="N185" s="94">
        <f>IFERROR(VLOOKUP(lmic_raw_lb[[#This Row],[setting]],hbe_prev[],4,FALSE),0)</f>
        <v>0.16309999999999999</v>
      </c>
      <c r="O185" s="94">
        <f>VLOOKUP(lmic_raw_lb[[#This Row],[gbd_super]],hbe_risk[],3,FALSE)</f>
        <v>0.7</v>
      </c>
      <c r="P185" s="94">
        <f>VLOOKUP(lmic_raw_lb[[#This Row],[gbd_super]],hbe_risk[],6,FALSE)</f>
        <v>0.05</v>
      </c>
      <c r="Q185" s="94">
        <f>VLOOKUP(lmic_raw_lb[[#This Row],[setting]],lmic_raw[],17,FALSE)*(1-interactive!$C$7)</f>
        <v>5.6599671647460363</v>
      </c>
      <c r="R185" s="98">
        <f>VLOOKUP(lmic_raw_lb[[#This Row],[setting]],lmic_raw[],18,FALSE)*(1-interactive!$C$7)</f>
        <v>42.31053</v>
      </c>
      <c r="S185" s="98">
        <f>VLOOKUP(lmic_raw_lb[[#This Row],[setting]],lmic_raw[],19,FALSE)*(1-interactive!$C$7)</f>
        <v>87.665430000000001</v>
      </c>
      <c r="T185" s="98">
        <f>VLOOKUP(lmic_raw_lb[[#This Row],[setting]],lmic_raw[],20,FALSE)*(1-interactive!$C$7)</f>
        <v>87.665430000000001</v>
      </c>
      <c r="U185" s="98">
        <f>VLOOKUP(lmic_raw_lb[[#This Row],[setting]],lmic_raw[],21,FALSE)*(1-interactive!$C$7)</f>
        <v>87.665430000000001</v>
      </c>
      <c r="V185" s="33">
        <f>IFERROR(VLOOKUP(lmic_raw_lb[[#This Row],[setting]],vcost_lb[],3,FALSE),0)</f>
        <v>2.5610300306197575</v>
      </c>
      <c r="W185" s="33">
        <f>IFERROR(VLOOKUP(lmic_raw_lb[[#This Row],[setting]],vcost_lb[],4,FALSE),0)</f>
        <v>6.4234450306197584</v>
      </c>
      <c r="X185" s="33">
        <f>IFERROR(VLOOKUP(lmic_raw_lb[[#This Row],[setting]],vcost_lb[],5,FALSE),0)</f>
        <v>2.1926635514662411</v>
      </c>
      <c r="Y185" s="33">
        <f>IFERROR(VLOOKUP(lmic_raw_lb[[#This Row],[setting]],vcost_lb[],6,FALSE),0)</f>
        <v>6.0550785514662415</v>
      </c>
      <c r="Z185" s="33">
        <f>IFERROR(VLOOKUP(lmic_raw_lb[[#This Row],[setting]],vcost_lb[],7,FALSE),0)</f>
        <v>6.0507272036641453</v>
      </c>
      <c r="AA185" s="33">
        <f>IFERROR(VLOOKUP(lmic_raw_lb[[#This Row],[setting]],vcost_lb[],8,FALSE),0)</f>
        <v>2.773542910492619</v>
      </c>
      <c r="AB185" s="33">
        <f>IFERROR(VLOOKUP(lmic_raw_lb[[#This Row],[setting]],vcost_lb[],9,FALSE),0)</f>
        <v>6.6359579104926194</v>
      </c>
      <c r="AC185" s="94">
        <f>VLOOKUP($A185,lmic_raw[],29,FALSE)*(1-interactive!$C$7)</f>
        <v>8.9039130000000064E-3</v>
      </c>
      <c r="AD185" s="94">
        <f>VLOOKUP($A185,lmic_raw[],30,FALSE)*(1-interactive!$C$7)</f>
        <v>1.8807675692738155E-4</v>
      </c>
      <c r="AE185" s="94">
        <f>VLOOKUP($A185,lmic_raw[],31,FALSE)*(1-interactive!$C$7)</f>
        <v>1.9698639475120862E-4</v>
      </c>
      <c r="AF185" s="94">
        <f>VLOOKUP($A185,lmic_raw[],32,FALSE)*(1-interactive!$C$7)</f>
        <v>2.2803456988398595E-4</v>
      </c>
      <c r="AG185" s="94">
        <f>VLOOKUP($A185,lmic_raw[],33,FALSE)*(1-interactive!$C$7)</f>
        <v>4.3465509218341345E-4</v>
      </c>
      <c r="AH185" s="94">
        <f>VLOOKUP($A185,lmic_raw[],34,FALSE)*(1-interactive!$C$7)</f>
        <v>7.2242259465784208E-4</v>
      </c>
      <c r="AI185" s="94">
        <f>VLOOKUP($A185,lmic_raw[],35,FALSE)*(1-interactive!$C$7)</f>
        <v>8.9137162719387676E-4</v>
      </c>
      <c r="AJ185" s="94">
        <f>VLOOKUP($A185,lmic_raw[],36,FALSE)*(1-interactive!$C$7)</f>
        <v>1.3303069500812273E-3</v>
      </c>
      <c r="AK185" s="94">
        <f>VLOOKUP($A185,lmic_raw[],37,FALSE)*(1-interactive!$C$7)</f>
        <v>1.8894988651001015E-3</v>
      </c>
      <c r="AL185" s="94">
        <f>VLOOKUP($A185,lmic_raw[],38,FALSE)*(1-interactive!$C$7)</f>
        <v>2.9235568953067388E-3</v>
      </c>
      <c r="AM185" s="94">
        <f>VLOOKUP($A185,lmic_raw[],39,FALSE)*(1-interactive!$C$7)</f>
        <v>4.7825168660829802E-3</v>
      </c>
      <c r="AN185" s="94">
        <f>VLOOKUP($A185,lmic_raw[],40,FALSE)*(1-interactive!$C$7)</f>
        <v>7.0421947628930368E-3</v>
      </c>
      <c r="AO185" s="94">
        <f>VLOOKUP($A185,lmic_raw[],41,FALSE)*(1-interactive!$C$7)</f>
        <v>1.0367560802875628E-2</v>
      </c>
      <c r="AP185" s="94">
        <f>VLOOKUP($A185,lmic_raw[],42,FALSE)*(1-interactive!$C$7)</f>
        <v>1.4949187093698E-2</v>
      </c>
      <c r="AQ185" s="94">
        <f>VLOOKUP($A185,lmic_raw[],43,FALSE)*(1-interactive!$C$7)</f>
        <v>2.1272350176816668E-2</v>
      </c>
      <c r="AR185" s="94">
        <f>VLOOKUP($A185,lmic_raw[],44,FALSE)*(1-interactive!$C$7)</f>
        <v>3.4166567753713101E-2</v>
      </c>
      <c r="AS185" s="94">
        <f>VLOOKUP($A185,lmic_raw[],45,FALSE)*(1-interactive!$C$7)</f>
        <v>5.4617558325411424E-2</v>
      </c>
      <c r="AT185" s="94">
        <f>VLOOKUP($A185,lmic_raw[],46,FALSE)*(1-interactive!$C$7)</f>
        <v>8.1541878884387256E-2</v>
      </c>
      <c r="AU185" s="94">
        <f>VLOOKUP($A185,lmic_raw[],47,FALSE)*(1-interactive!$C$7)</f>
        <v>0.1124842764423932</v>
      </c>
      <c r="AV185" s="94">
        <f>VLOOKUP($A185,lmic_raw[],48,FALSE)*(1-interactive!$C$7)</f>
        <v>0.14368059472386119</v>
      </c>
      <c r="AW185" s="94">
        <f>VLOOKUP($A185,lmic_raw[],49,FALSE)*(1-interactive!$C$7)</f>
        <v>0.16582622208249978</v>
      </c>
      <c r="AX185" s="94">
        <f>VLOOKUP($A185,lmic_raw[],50,FALSE)*(1-interactive!$C$7)</f>
        <v>69.843999999999994</v>
      </c>
    </row>
    <row r="186" spans="1:50" x14ac:dyDescent="0.25">
      <c r="A186" s="109" t="s">
        <v>143</v>
      </c>
      <c r="B186" s="101" t="s">
        <v>431</v>
      </c>
      <c r="C186" s="102">
        <v>288</v>
      </c>
      <c r="D186" s="121" t="s">
        <v>677</v>
      </c>
      <c r="E186" s="98" t="s">
        <v>591</v>
      </c>
      <c r="F186" s="98" t="s">
        <v>667</v>
      </c>
      <c r="G186" s="98" t="s">
        <v>678</v>
      </c>
      <c r="H186" s="98">
        <f>VLOOKUP(lmic_raw_lb[[#This Row],[setting]],lmic_raw[],8,FALSE)</f>
        <v>30417858</v>
      </c>
      <c r="I186" s="98">
        <f>VLOOKUP(lmic_raw_lb[[#This Row],[setting]],lmic_raw[],9,FALSE)</f>
        <v>899577.7324920001</v>
      </c>
      <c r="J186" s="98">
        <f>VLOOKUP($A186,lmic_raw[],10,FALSE)*(1-interactive!$C$7)</f>
        <v>0.74004999999999999</v>
      </c>
      <c r="K186" s="98">
        <f>VLOOKUP($A186,lmic_raw[],11,FALSE)*(1-interactive!$C$7)</f>
        <v>0</v>
      </c>
      <c r="L186" s="98">
        <f>VLOOKUP($A186,lmic_raw[],12,FALSE)*(1-interactive!$C$7)</f>
        <v>0.92149999999999999</v>
      </c>
      <c r="M186" s="98">
        <f>IFERROR(VLOOKUP(lmic_raw_lb[[#This Row],[iso3]], hbv_prev[[iso3]:[ub]],3,FALSE)/100,0)</f>
        <v>7.1900000000000006E-2</v>
      </c>
      <c r="N186" s="98">
        <f>IFERROR(VLOOKUP(lmic_raw_lb[[#This Row],[setting]],hbe_prev[],4,FALSE),0)</f>
        <v>0.155</v>
      </c>
      <c r="O186" s="98">
        <f>VLOOKUP(lmic_raw_lb[[#This Row],[gbd_super]],hbe_risk[],3,FALSE)</f>
        <v>7.0000000000000007E-2</v>
      </c>
      <c r="P186" s="98">
        <f>VLOOKUP(lmic_raw_lb[[#This Row],[gbd_super]],hbe_risk[],6,FALSE)</f>
        <v>1E-3</v>
      </c>
      <c r="Q186" s="98">
        <f>VLOOKUP(lmic_raw_lb[[#This Row],[setting]],lmic_raw[],17,FALSE)*(1-interactive!$C$7)</f>
        <v>3.179335681782602</v>
      </c>
      <c r="R186" s="98">
        <f>VLOOKUP(lmic_raw_lb[[#This Row],[setting]],lmic_raw[],18,FALSE)*(1-interactive!$C$7)</f>
        <v>28.424474999999997</v>
      </c>
      <c r="S186" s="98">
        <f>VLOOKUP(lmic_raw_lb[[#This Row],[setting]],lmic_raw[],19,FALSE)*(1-interactive!$C$7)</f>
        <v>73.779375000000002</v>
      </c>
      <c r="T186" s="98">
        <f>VLOOKUP(lmic_raw_lb[[#This Row],[setting]],lmic_raw[],20,FALSE)*(1-interactive!$C$7)</f>
        <v>73.779375000000002</v>
      </c>
      <c r="U186" s="98">
        <f>VLOOKUP(lmic_raw_lb[[#This Row],[setting]],lmic_raw[],21,FALSE)*(1-interactive!$C$7)</f>
        <v>73.779375000000002</v>
      </c>
      <c r="V186" s="33">
        <f>IFERROR(VLOOKUP(lmic_raw_lb[[#This Row],[setting]],vcost_lb[],3,FALSE),0)</f>
        <v>1.3012355597326024</v>
      </c>
      <c r="W186" s="33">
        <f>IFERROR(VLOOKUP(lmic_raw_lb[[#This Row],[setting]],vcost_lb[],4,FALSE),0)</f>
        <v>5.888500559732603</v>
      </c>
      <c r="X186" s="33">
        <f>IFERROR(VLOOKUP(lmic_raw_lb[[#This Row],[setting]],vcost_lb[],5,FALSE),0)</f>
        <v>0.93418445094438507</v>
      </c>
      <c r="Y186" s="33">
        <f>IFERROR(VLOOKUP(lmic_raw_lb[[#This Row],[setting]],vcost_lb[],6,FALSE),0)</f>
        <v>5.5214494509443854</v>
      </c>
      <c r="Z186" s="33">
        <f>IFERROR(VLOOKUP(lmic_raw_lb[[#This Row],[setting]],vcost_lb[],7,FALSE),0)</f>
        <v>5.5183429917914459</v>
      </c>
      <c r="AA186" s="33">
        <f>IFERROR(VLOOKUP(lmic_raw_lb[[#This Row],[setting]],vcost_lb[],8,FALSE),0)</f>
        <v>1.5131847094489075</v>
      </c>
      <c r="AB186" s="33">
        <f>IFERROR(VLOOKUP(lmic_raw_lb[[#This Row],[setting]],vcost_lb[],9,FALSE),0)</f>
        <v>6.1004497094489079</v>
      </c>
      <c r="AC186" s="98">
        <f>VLOOKUP($A186,lmic_raw[],29,FALSE)*(1-interactive!$C$7)</f>
        <v>3.3860469999999948E-2</v>
      </c>
      <c r="AD186" s="98">
        <f>VLOOKUP($A186,lmic_raw[],30,FALSE)*(1-interactive!$C$7)</f>
        <v>3.942363847677233E-3</v>
      </c>
      <c r="AE186" s="98">
        <f>VLOOKUP($A186,lmic_raw[],31,FALSE)*(1-interactive!$C$7)</f>
        <v>2.3074746421050778E-3</v>
      </c>
      <c r="AF186" s="98">
        <f>VLOOKUP($A186,lmic_raw[],32,FALSE)*(1-interactive!$C$7)</f>
        <v>1.4041120422952351E-3</v>
      </c>
      <c r="AG186" s="98">
        <f>VLOOKUP($A186,lmic_raw[],33,FALSE)*(1-interactive!$C$7)</f>
        <v>2.1566026500828279E-3</v>
      </c>
      <c r="AH186" s="98">
        <f>VLOOKUP($A186,lmic_raw[],34,FALSE)*(1-interactive!$C$7)</f>
        <v>3.0367460058125517E-3</v>
      </c>
      <c r="AI186" s="98">
        <f>VLOOKUP($A186,lmic_raw[],35,FALSE)*(1-interactive!$C$7)</f>
        <v>3.2470470817135121E-3</v>
      </c>
      <c r="AJ186" s="98">
        <f>VLOOKUP($A186,lmic_raw[],36,FALSE)*(1-interactive!$C$7)</f>
        <v>3.6091441365211298E-3</v>
      </c>
      <c r="AK186" s="98">
        <f>VLOOKUP($A186,lmic_raw[],37,FALSE)*(1-interactive!$C$7)</f>
        <v>4.164875663264127E-3</v>
      </c>
      <c r="AL186" s="98">
        <f>VLOOKUP($A186,lmic_raw[],38,FALSE)*(1-interactive!$C$7)</f>
        <v>5.188930369019313E-3</v>
      </c>
      <c r="AM186" s="98">
        <f>VLOOKUP($A186,lmic_raw[],39,FALSE)*(1-interactive!$C$7)</f>
        <v>6.5679747067226985E-3</v>
      </c>
      <c r="AN186" s="98">
        <f>VLOOKUP($A186,lmic_raw[],40,FALSE)*(1-interactive!$C$7)</f>
        <v>9.2935022459771574E-3</v>
      </c>
      <c r="AO186" s="98">
        <f>VLOOKUP($A186,lmic_raw[],41,FALSE)*(1-interactive!$C$7)</f>
        <v>1.3276652446905039E-2</v>
      </c>
      <c r="AP186" s="98">
        <f>VLOOKUP($A186,lmic_raw[],42,FALSE)*(1-interactive!$C$7)</f>
        <v>2.0575342755666227E-2</v>
      </c>
      <c r="AQ186" s="98">
        <f>VLOOKUP($A186,lmic_raw[],43,FALSE)*(1-interactive!$C$7)</f>
        <v>3.1726669034350487E-2</v>
      </c>
      <c r="AR186" s="98">
        <f>VLOOKUP($A186,lmic_raw[],44,FALSE)*(1-interactive!$C$7)</f>
        <v>5.096114033501202E-2</v>
      </c>
      <c r="AS186" s="98">
        <f>VLOOKUP($A186,lmic_raw[],45,FALSE)*(1-interactive!$C$7)</f>
        <v>7.8795092606656944E-2</v>
      </c>
      <c r="AT186" s="98">
        <f>VLOOKUP($A186,lmic_raw[],46,FALSE)*(1-interactive!$C$7)</f>
        <v>0.11067434401322583</v>
      </c>
      <c r="AU186" s="98">
        <f>VLOOKUP($A186,lmic_raw[],47,FALSE)*(1-interactive!$C$7)</f>
        <v>0.13975240939178965</v>
      </c>
      <c r="AV186" s="98">
        <f>VLOOKUP($A186,lmic_raw[],48,FALSE)*(1-interactive!$C$7)</f>
        <v>0.1612061128961976</v>
      </c>
      <c r="AW186" s="98">
        <f>VLOOKUP($A186,lmic_raw[],49,FALSE)*(1-interactive!$C$7)</f>
        <v>0.1758230607470728</v>
      </c>
      <c r="AX186" s="98">
        <f>VLOOKUP($A186,lmic_raw[],50,FALSE)*(1-interactive!$C$7)</f>
        <v>60.4694</v>
      </c>
    </row>
    <row r="187" spans="1:50" x14ac:dyDescent="0.25">
      <c r="A187" s="110" t="s">
        <v>236</v>
      </c>
      <c r="B187" s="104" t="s">
        <v>619</v>
      </c>
      <c r="C187" s="105">
        <v>308</v>
      </c>
      <c r="D187" s="122" t="s">
        <v>679</v>
      </c>
      <c r="E187" s="94" t="s">
        <v>223</v>
      </c>
      <c r="F187" s="94" t="s">
        <v>665</v>
      </c>
      <c r="G187" s="94" t="s">
        <v>676</v>
      </c>
      <c r="H187" s="98">
        <f>VLOOKUP(lmic_raw_lb[[#This Row],[setting]],lmic_raw[],8,FALSE)</f>
        <v>112002</v>
      </c>
      <c r="I187" s="98">
        <f>VLOOKUP(lmic_raw_lb[[#This Row],[setting]],lmic_raw[],9,FALSE)</f>
        <v>1858.7851919999998</v>
      </c>
      <c r="J187" s="94">
        <f>VLOOKUP($A187,lmic_raw[],10,FALSE)*(1-interactive!$C$7)</f>
        <v>0</v>
      </c>
      <c r="K187" s="94">
        <f>VLOOKUP($A187,lmic_raw[],11,FALSE)*(1-interactive!$C$7)</f>
        <v>0.91199999999999992</v>
      </c>
      <c r="L187" s="94">
        <f>VLOOKUP($A187,lmic_raw[],12,FALSE)*(1-interactive!$C$7)</f>
        <v>0.8929999999999999</v>
      </c>
      <c r="M187" s="94">
        <f>IFERROR(VLOOKUP(lmic_raw_lb[[#This Row],[iso3]], hbv_prev[[iso3]:[ub]],3,FALSE)/100,0)</f>
        <v>1.7000000000000001E-3</v>
      </c>
      <c r="N187" s="94">
        <f>IFERROR(VLOOKUP(lmic_raw_lb[[#This Row],[setting]],hbe_prev[],4,FALSE),0)</f>
        <v>0.16309999999999999</v>
      </c>
      <c r="O187" s="94">
        <f>VLOOKUP(lmic_raw_lb[[#This Row],[gbd_super]],hbe_risk[],3,FALSE)</f>
        <v>0.7</v>
      </c>
      <c r="P187" s="94">
        <f>VLOOKUP(lmic_raw_lb[[#This Row],[gbd_super]],hbe_risk[],6,FALSE)</f>
        <v>0.05</v>
      </c>
      <c r="Q187" s="94">
        <f>VLOOKUP(lmic_raw_lb[[#This Row],[setting]],lmic_raw[],17,FALSE)*(1-interactive!$C$7)</f>
        <v>12.673388902942659</v>
      </c>
      <c r="R187" s="98">
        <f>VLOOKUP(lmic_raw_lb[[#This Row],[setting]],lmic_raw[],18,FALSE)*(1-interactive!$C$7)</f>
        <v>82.539704999999998</v>
      </c>
      <c r="S187" s="98">
        <f>VLOOKUP(lmic_raw_lb[[#This Row],[setting]],lmic_raw[],19,FALSE)*(1-interactive!$C$7)</f>
        <v>127.894605</v>
      </c>
      <c r="T187" s="98">
        <f>VLOOKUP(lmic_raw_lb[[#This Row],[setting]],lmic_raw[],20,FALSE)*(1-interactive!$C$7)</f>
        <v>127.894605</v>
      </c>
      <c r="U187" s="98">
        <f>VLOOKUP(lmic_raw_lb[[#This Row],[setting]],lmic_raw[],21,FALSE)*(1-interactive!$C$7)</f>
        <v>127.894605</v>
      </c>
      <c r="V187" s="33">
        <f>IFERROR(VLOOKUP(lmic_raw_lb[[#This Row],[setting]],vcost_lb[],3,FALSE),0)</f>
        <v>5.626910559137472</v>
      </c>
      <c r="W187" s="33">
        <f>IFERROR(VLOOKUP(lmic_raw_lb[[#This Row],[setting]],vcost_lb[],4,FALSE),0)</f>
        <v>5.6476205591374722</v>
      </c>
      <c r="X187" s="33">
        <f>IFERROR(VLOOKUP(lmic_raw_lb[[#This Row],[setting]],vcost_lb[],5,FALSE),0)</f>
        <v>5.2515109211825433</v>
      </c>
      <c r="Y187" s="33">
        <f>IFERROR(VLOOKUP(lmic_raw_lb[[#This Row],[setting]],vcost_lb[],6,FALSE),0)</f>
        <v>5.2722209211825435</v>
      </c>
      <c r="Z187" s="33">
        <f>IFERROR(VLOOKUP(lmic_raw_lb[[#This Row],[setting]],vcost_lb[],7,FALSE),0)</f>
        <v>5.2639520322213516</v>
      </c>
      <c r="AA187" s="33">
        <f>IFERROR(VLOOKUP(lmic_raw_lb[[#This Row],[setting]],vcost_lb[],8,FALSE),0)</f>
        <v>5.8424376499252251</v>
      </c>
      <c r="AB187" s="33">
        <f>IFERROR(VLOOKUP(lmic_raw_lb[[#This Row],[setting]],vcost_lb[],9,FALSE),0)</f>
        <v>5.8631476499252253</v>
      </c>
      <c r="AC187" s="94">
        <f>VLOOKUP($A187,lmic_raw[],29,FALSE)*(1-interactive!$C$7)</f>
        <v>1.4247862499999944E-2</v>
      </c>
      <c r="AD187" s="94">
        <f>VLOOKUP($A187,lmic_raw[],30,FALSE)*(1-interactive!$C$7)</f>
        <v>3.4898676627391332E-4</v>
      </c>
      <c r="AE187" s="94">
        <f>VLOOKUP($A187,lmic_raw[],31,FALSE)*(1-interactive!$C$7)</f>
        <v>3.6883636192051118E-4</v>
      </c>
      <c r="AF187" s="94">
        <f>VLOOKUP($A187,lmic_raw[],32,FALSE)*(1-interactive!$C$7)</f>
        <v>3.499004299464131E-4</v>
      </c>
      <c r="AG187" s="94">
        <f>VLOOKUP($A187,lmic_raw[],33,FALSE)*(1-interactive!$C$7)</f>
        <v>8.2157192205398427E-4</v>
      </c>
      <c r="AH187" s="94">
        <f>VLOOKUP($A187,lmic_raw[],34,FALSE)*(1-interactive!$C$7)</f>
        <v>1.1167280710455416E-3</v>
      </c>
      <c r="AI187" s="94">
        <f>VLOOKUP($A187,lmic_raw[],35,FALSE)*(1-interactive!$C$7)</f>
        <v>1.198159607033851E-3</v>
      </c>
      <c r="AJ187" s="94">
        <f>VLOOKUP($A187,lmic_raw[],36,FALSE)*(1-interactive!$C$7)</f>
        <v>1.4336507356103622E-3</v>
      </c>
      <c r="AK187" s="94">
        <f>VLOOKUP($A187,lmic_raw[],37,FALSE)*(1-interactive!$C$7)</f>
        <v>1.9322705454106915E-3</v>
      </c>
      <c r="AL187" s="94">
        <f>VLOOKUP($A187,lmic_raw[],38,FALSE)*(1-interactive!$C$7)</f>
        <v>2.8018530101010112E-3</v>
      </c>
      <c r="AM187" s="94">
        <f>VLOOKUP($A187,lmic_raw[],39,FALSE)*(1-interactive!$C$7)</f>
        <v>4.3059512992896648E-3</v>
      </c>
      <c r="AN187" s="94">
        <f>VLOOKUP($A187,lmic_raw[],40,FALSE)*(1-interactive!$C$7)</f>
        <v>6.6188395954782436E-3</v>
      </c>
      <c r="AO187" s="94">
        <f>VLOOKUP($A187,lmic_raw[],41,FALSE)*(1-interactive!$C$7)</f>
        <v>1.0137431963107391E-2</v>
      </c>
      <c r="AP187" s="94">
        <f>VLOOKUP($A187,lmic_raw[],42,FALSE)*(1-interactive!$C$7)</f>
        <v>1.5718894950576288E-2</v>
      </c>
      <c r="AQ187" s="94">
        <f>VLOOKUP($A187,lmic_raw[],43,FALSE)*(1-interactive!$C$7)</f>
        <v>2.411768066522493E-2</v>
      </c>
      <c r="AR187" s="94">
        <f>VLOOKUP($A187,lmic_raw[],44,FALSE)*(1-interactive!$C$7)</f>
        <v>3.6623710657482433E-2</v>
      </c>
      <c r="AS187" s="94">
        <f>VLOOKUP($A187,lmic_raw[],45,FALSE)*(1-interactive!$C$7)</f>
        <v>5.605169337633116E-2</v>
      </c>
      <c r="AT187" s="94">
        <f>VLOOKUP($A187,lmic_raw[],46,FALSE)*(1-interactive!$C$7)</f>
        <v>8.291855776175229E-2</v>
      </c>
      <c r="AU187" s="94">
        <f>VLOOKUP($A187,lmic_raw[],47,FALSE)*(1-interactive!$C$7)</f>
        <v>0.11464038658512794</v>
      </c>
      <c r="AV187" s="94">
        <f>VLOOKUP($A187,lmic_raw[],48,FALSE)*(1-interactive!$C$7)</f>
        <v>0.14384465882695935</v>
      </c>
      <c r="AW187" s="94">
        <f>VLOOKUP($A187,lmic_raw[],49,FALSE)*(1-interactive!$C$7)</f>
        <v>0.16582874069224438</v>
      </c>
      <c r="AX187" s="94">
        <f>VLOOKUP($A187,lmic_raw[],50,FALSE)*(1-interactive!$C$7)</f>
        <v>68.773349999999994</v>
      </c>
    </row>
    <row r="188" spans="1:50" x14ac:dyDescent="0.25">
      <c r="A188" s="109" t="s">
        <v>256</v>
      </c>
      <c r="B188" s="101" t="s">
        <v>432</v>
      </c>
      <c r="C188" s="102">
        <v>320</v>
      </c>
      <c r="D188" s="121" t="s">
        <v>679</v>
      </c>
      <c r="E188" s="98" t="s">
        <v>604</v>
      </c>
      <c r="F188" s="98" t="s">
        <v>665</v>
      </c>
      <c r="G188" s="98" t="s">
        <v>676</v>
      </c>
      <c r="H188" s="98">
        <f>VLOOKUP(lmic_raw_lb[[#This Row],[setting]],lmic_raw[],8,FALSE)</f>
        <v>17581476</v>
      </c>
      <c r="I188" s="98">
        <f>VLOOKUP(lmic_raw_lb[[#This Row],[setting]],lmic_raw[],9,FALSE)</f>
        <v>435352.50871199998</v>
      </c>
      <c r="J188" s="98">
        <f>VLOOKUP($A188,lmic_raw[],10,FALSE)*(1-interactive!$C$7)</f>
        <v>0.61749999999999994</v>
      </c>
      <c r="K188" s="98">
        <f>VLOOKUP($A188,lmic_raw[],11,FALSE)*(1-interactive!$C$7)</f>
        <v>0.45599999999999996</v>
      </c>
      <c r="L188" s="98">
        <f>VLOOKUP($A188,lmic_raw[],12,FALSE)*(1-interactive!$C$7)</f>
        <v>0.81699999999999995</v>
      </c>
      <c r="M188" s="98">
        <f>IFERROR(VLOOKUP(lmic_raw_lb[[#This Row],[iso3]], hbv_prev[[iso3]:[ub]],3,FALSE)/100,0)</f>
        <v>1E-3</v>
      </c>
      <c r="N188" s="98">
        <f>IFERROR(VLOOKUP(lmic_raw_lb[[#This Row],[setting]],hbe_prev[],4,FALSE),0)</f>
        <v>0.16440000000000002</v>
      </c>
      <c r="O188" s="98">
        <f>VLOOKUP(lmic_raw_lb[[#This Row],[gbd_super]],hbe_risk[],3,FALSE)</f>
        <v>0.7</v>
      </c>
      <c r="P188" s="98">
        <f>VLOOKUP(lmic_raw_lb[[#This Row],[gbd_super]],hbe_risk[],6,FALSE)</f>
        <v>0.05</v>
      </c>
      <c r="Q188" s="98">
        <f>VLOOKUP(lmic_raw_lb[[#This Row],[setting]],lmic_raw[],17,FALSE)*(1-interactive!$C$7)</f>
        <v>5.2878724423015209</v>
      </c>
      <c r="R188" s="98">
        <f>VLOOKUP(lmic_raw_lb[[#This Row],[setting]],lmic_raw[],18,FALSE)*(1-interactive!$C$7)</f>
        <v>82.539704999999998</v>
      </c>
      <c r="S188" s="98">
        <f>VLOOKUP(lmic_raw_lb[[#This Row],[setting]],lmic_raw[],19,FALSE)*(1-interactive!$C$7)</f>
        <v>127.894605</v>
      </c>
      <c r="T188" s="98">
        <f>VLOOKUP(lmic_raw_lb[[#This Row],[setting]],lmic_raw[],20,FALSE)*(1-interactive!$C$7)</f>
        <v>127.894605</v>
      </c>
      <c r="U188" s="98">
        <f>VLOOKUP(lmic_raw_lb[[#This Row],[setting]],lmic_raw[],21,FALSE)*(1-interactive!$C$7)</f>
        <v>127.894605</v>
      </c>
      <c r="V188" s="33">
        <f>IFERROR(VLOOKUP(lmic_raw_lb[[#This Row],[setting]],vcost_lb[],3,FALSE),0)</f>
        <v>1.5005617692701141</v>
      </c>
      <c r="W188" s="33">
        <f>IFERROR(VLOOKUP(lmic_raw_lb[[#This Row],[setting]],vcost_lb[],4,FALSE),0)</f>
        <v>1.5212717692701141</v>
      </c>
      <c r="X188" s="33">
        <f>IFERROR(VLOOKUP(lmic_raw_lb[[#This Row],[setting]],vcost_lb[],5,FALSE),0)</f>
        <v>1.1320175153782155</v>
      </c>
      <c r="Y188" s="33">
        <f>IFERROR(VLOOKUP(lmic_raw_lb[[#This Row],[setting]],vcost_lb[],6,FALSE),0)</f>
        <v>1.1527275153782155</v>
      </c>
      <c r="Z188" s="33">
        <f>IFERROR(VLOOKUP(lmic_raw_lb[[#This Row],[setting]],vcost_lb[],7,FALSE),0)</f>
        <v>1.1480442444719796</v>
      </c>
      <c r="AA188" s="33">
        <f>IFERROR(VLOOKUP(lmic_raw_lb[[#This Row],[setting]],vcost_lb[],8,FALSE),0)</f>
        <v>1.7131508383165683</v>
      </c>
      <c r="AB188" s="33">
        <f>IFERROR(VLOOKUP(lmic_raw_lb[[#This Row],[setting]],vcost_lb[],9,FALSE),0)</f>
        <v>1.7338608383165683</v>
      </c>
      <c r="AC188" s="98">
        <f>VLOOKUP($A188,lmic_raw[],29,FALSE)*(1-interactive!$C$7)</f>
        <v>1.9705080499999972E-2</v>
      </c>
      <c r="AD188" s="98">
        <f>VLOOKUP($A188,lmic_raw[],30,FALSE)*(1-interactive!$C$7)</f>
        <v>1.3000101832223328E-3</v>
      </c>
      <c r="AE188" s="98">
        <f>VLOOKUP($A188,lmic_raw[],31,FALSE)*(1-interactive!$C$7)</f>
        <v>3.4433023873700239E-4</v>
      </c>
      <c r="AF188" s="98">
        <f>VLOOKUP($A188,lmic_raw[],32,FALSE)*(1-interactive!$C$7)</f>
        <v>4.9530266784782639E-4</v>
      </c>
      <c r="AG188" s="98">
        <f>VLOOKUP($A188,lmic_raw[],33,FALSE)*(1-interactive!$C$7)</f>
        <v>1.0541724772765593E-3</v>
      </c>
      <c r="AH188" s="98">
        <f>VLOOKUP($A188,lmic_raw[],34,FALSE)*(1-interactive!$C$7)</f>
        <v>1.8053430504910801E-3</v>
      </c>
      <c r="AI188" s="98">
        <f>VLOOKUP($A188,lmic_raw[],35,FALSE)*(1-interactive!$C$7)</f>
        <v>2.3968133086251261E-3</v>
      </c>
      <c r="AJ188" s="98">
        <f>VLOOKUP($A188,lmic_raw[],36,FALSE)*(1-interactive!$C$7)</f>
        <v>2.7651924105891895E-3</v>
      </c>
      <c r="AK188" s="98">
        <f>VLOOKUP($A188,lmic_raw[],37,FALSE)*(1-interactive!$C$7)</f>
        <v>3.0482398321419035E-3</v>
      </c>
      <c r="AL188" s="98">
        <f>VLOOKUP($A188,lmic_raw[],38,FALSE)*(1-interactive!$C$7)</f>
        <v>3.4611075624254419E-3</v>
      </c>
      <c r="AM188" s="98">
        <f>VLOOKUP($A188,lmic_raw[],39,FALSE)*(1-interactive!$C$7)</f>
        <v>4.2204185630413081E-3</v>
      </c>
      <c r="AN188" s="98">
        <f>VLOOKUP($A188,lmic_raw[],40,FALSE)*(1-interactive!$C$7)</f>
        <v>5.5499853841291186E-3</v>
      </c>
      <c r="AO188" s="98">
        <f>VLOOKUP($A188,lmic_raw[],41,FALSE)*(1-interactive!$C$7)</f>
        <v>7.7181899728539427E-3</v>
      </c>
      <c r="AP188" s="98">
        <f>VLOOKUP($A188,lmic_raw[],42,FALSE)*(1-interactive!$C$7)</f>
        <v>1.1196805319563135E-2</v>
      </c>
      <c r="AQ188" s="98">
        <f>VLOOKUP($A188,lmic_raw[],43,FALSE)*(1-interactive!$C$7)</f>
        <v>1.5101961575920975E-2</v>
      </c>
      <c r="AR188" s="98">
        <f>VLOOKUP($A188,lmic_raw[],44,FALSE)*(1-interactive!$C$7)</f>
        <v>2.1760285323666903E-2</v>
      </c>
      <c r="AS188" s="98">
        <f>VLOOKUP($A188,lmic_raw[],45,FALSE)*(1-interactive!$C$7)</f>
        <v>3.6318258173399523E-2</v>
      </c>
      <c r="AT188" s="98">
        <f>VLOOKUP($A188,lmic_raw[],46,FALSE)*(1-interactive!$C$7)</f>
        <v>5.9502808751017384E-2</v>
      </c>
      <c r="AU188" s="98">
        <f>VLOOKUP($A188,lmic_raw[],47,FALSE)*(1-interactive!$C$7)</f>
        <v>8.8628290632361093E-2</v>
      </c>
      <c r="AV188" s="98">
        <f>VLOOKUP($A188,lmic_raw[],48,FALSE)*(1-interactive!$C$7)</f>
        <v>0.11983919123727396</v>
      </c>
      <c r="AW188" s="98">
        <f>VLOOKUP($A188,lmic_raw[],49,FALSE)*(1-interactive!$C$7)</f>
        <v>0.14641995234470978</v>
      </c>
      <c r="AX188" s="98">
        <f>VLOOKUP($A188,lmic_raw[],50,FALSE)*(1-interactive!$C$7)</f>
        <v>70.239199999999997</v>
      </c>
    </row>
    <row r="189" spans="1:50" x14ac:dyDescent="0.25">
      <c r="A189" s="110" t="s">
        <v>144</v>
      </c>
      <c r="B189" s="104" t="s">
        <v>433</v>
      </c>
      <c r="C189" s="105">
        <v>324</v>
      </c>
      <c r="D189" s="122" t="s">
        <v>677</v>
      </c>
      <c r="E189" s="94" t="s">
        <v>591</v>
      </c>
      <c r="F189" s="94" t="s">
        <v>667</v>
      </c>
      <c r="G189" s="94" t="s">
        <v>674</v>
      </c>
      <c r="H189" s="98">
        <f>VLOOKUP(lmic_raw_lb[[#This Row],[setting]],lmic_raw[],8,FALSE)</f>
        <v>12771246</v>
      </c>
      <c r="I189" s="98">
        <f>VLOOKUP(lmic_raw_lb[[#This Row],[setting]],lmic_raw[],9,FALSE)</f>
        <v>466891.21126799996</v>
      </c>
      <c r="J189" s="94">
        <f>VLOOKUP($A189,lmic_raw[],10,FALSE)*(1-interactive!$C$7)</f>
        <v>0.49969999999999998</v>
      </c>
      <c r="K189" s="94">
        <f>VLOOKUP($A189,lmic_raw[],11,FALSE)*(1-interactive!$C$7)</f>
        <v>0</v>
      </c>
      <c r="L189" s="94">
        <f>VLOOKUP($A189,lmic_raw[],12,FALSE)*(1-interactive!$C$7)</f>
        <v>0.44649999999999995</v>
      </c>
      <c r="M189" s="94">
        <f>IFERROR(VLOOKUP(lmic_raw_lb[[#This Row],[iso3]], hbv_prev[[iso3]:[ub]],3,FALSE)/100,0)</f>
        <v>6.6100000000000006E-2</v>
      </c>
      <c r="N189" s="94">
        <f>IFERROR(VLOOKUP(lmic_raw_lb[[#This Row],[setting]],hbe_prev[],4,FALSE),0)</f>
        <v>0.155</v>
      </c>
      <c r="O189" s="94">
        <f>VLOOKUP(lmic_raw_lb[[#This Row],[gbd_super]],hbe_risk[],3,FALSE)</f>
        <v>7.0000000000000007E-2</v>
      </c>
      <c r="P189" s="94">
        <f>VLOOKUP(lmic_raw_lb[[#This Row],[gbd_super]],hbe_risk[],6,FALSE)</f>
        <v>1E-3</v>
      </c>
      <c r="Q189" s="94">
        <f>VLOOKUP(lmic_raw_lb[[#This Row],[setting]],lmic_raw[],17,FALSE)*(1-interactive!$C$7)</f>
        <v>2.4689730298430725</v>
      </c>
      <c r="R189" s="98">
        <f>VLOOKUP(lmic_raw_lb[[#This Row],[setting]],lmic_raw[],18,FALSE)*(1-interactive!$C$7)</f>
        <v>28.424474999999997</v>
      </c>
      <c r="S189" s="98">
        <f>VLOOKUP(lmic_raw_lb[[#This Row],[setting]],lmic_raw[],19,FALSE)*(1-interactive!$C$7)</f>
        <v>73.779375000000002</v>
      </c>
      <c r="T189" s="98">
        <f>VLOOKUP(lmic_raw_lb[[#This Row],[setting]],lmic_raw[],20,FALSE)*(1-interactive!$C$7)</f>
        <v>73.779375000000002</v>
      </c>
      <c r="U189" s="98">
        <f>VLOOKUP(lmic_raw_lb[[#This Row],[setting]],lmic_raw[],21,FALSE)*(1-interactive!$C$7)</f>
        <v>73.779375000000002</v>
      </c>
      <c r="V189" s="33">
        <f>IFERROR(VLOOKUP(lmic_raw_lb[[#This Row],[setting]],vcost_lb[],3,FALSE),0)</f>
        <v>0.46351407326994121</v>
      </c>
      <c r="W189" s="33">
        <f>IFERROR(VLOOKUP(lmic_raw_lb[[#This Row],[setting]],vcost_lb[],4,FALSE),0)</f>
        <v>5.0507790732699416</v>
      </c>
      <c r="X189" s="33">
        <f>IFERROR(VLOOKUP(lmic_raw_lb[[#This Row],[setting]],vcost_lb[],5,FALSE),0)</f>
        <v>9.7871811848702028E-2</v>
      </c>
      <c r="Y189" s="33">
        <f>IFERROR(VLOOKUP(lmic_raw_lb[[#This Row],[setting]],vcost_lb[],6,FALSE),0)</f>
        <v>4.685136811848702</v>
      </c>
      <c r="Z189" s="33">
        <f>IFERROR(VLOOKUP(lmic_raw_lb[[#This Row],[setting]],vcost_lb[],7,FALSE),0)</f>
        <v>4.6827138485044566</v>
      </c>
      <c r="AA189" s="33">
        <f>IFERROR(VLOOKUP(lmic_raw_lb[[#This Row],[setting]],vcost_lb[],8,FALSE),0)</f>
        <v>0.67485943125754155</v>
      </c>
      <c r="AB189" s="33">
        <f>IFERROR(VLOOKUP(lmic_raw_lb[[#This Row],[setting]],vcost_lb[],9,FALSE),0)</f>
        <v>5.2621244312575417</v>
      </c>
      <c r="AC189" s="94">
        <f>VLOOKUP($A189,lmic_raw[],29,FALSE)*(1-interactive!$C$7)</f>
        <v>4.9077883499999933E-2</v>
      </c>
      <c r="AD189" s="94">
        <f>VLOOKUP($A189,lmic_raw[],30,FALSE)*(1-interactive!$C$7)</f>
        <v>7.2848840077842899E-3</v>
      </c>
      <c r="AE189" s="94">
        <f>VLOOKUP($A189,lmic_raw[],31,FALSE)*(1-interactive!$C$7)</f>
        <v>2.6154610221144551E-3</v>
      </c>
      <c r="AF189" s="94">
        <f>VLOOKUP($A189,lmic_raw[],32,FALSE)*(1-interactive!$C$7)</f>
        <v>1.5409173338267563E-3</v>
      </c>
      <c r="AG189" s="94">
        <f>VLOOKUP($A189,lmic_raw[],33,FALSE)*(1-interactive!$C$7)</f>
        <v>2.3491639442683875E-3</v>
      </c>
      <c r="AH189" s="94">
        <f>VLOOKUP($A189,lmic_raw[],34,FALSE)*(1-interactive!$C$7)</f>
        <v>3.291842805884192E-3</v>
      </c>
      <c r="AI189" s="94">
        <f>VLOOKUP($A189,lmic_raw[],35,FALSE)*(1-interactive!$C$7)</f>
        <v>3.5300912621697238E-3</v>
      </c>
      <c r="AJ189" s="94">
        <f>VLOOKUP($A189,lmic_raw[],36,FALSE)*(1-interactive!$C$7)</f>
        <v>3.8955789440060025E-3</v>
      </c>
      <c r="AK189" s="94">
        <f>VLOOKUP($A189,lmic_raw[],37,FALSE)*(1-interactive!$C$7)</f>
        <v>4.4742357127749944E-3</v>
      </c>
      <c r="AL189" s="94">
        <f>VLOOKUP($A189,lmic_raw[],38,FALSE)*(1-interactive!$C$7)</f>
        <v>5.4451483363109942E-3</v>
      </c>
      <c r="AM189" s="94">
        <f>VLOOKUP($A189,lmic_raw[],39,FALSE)*(1-interactive!$C$7)</f>
        <v>6.7534989390977416E-3</v>
      </c>
      <c r="AN189" s="94">
        <f>VLOOKUP($A189,lmic_raw[],40,FALSE)*(1-interactive!$C$7)</f>
        <v>9.4871039450819157E-3</v>
      </c>
      <c r="AO189" s="94">
        <f>VLOOKUP($A189,lmic_raw[],41,FALSE)*(1-interactive!$C$7)</f>
        <v>1.3530314709319946E-2</v>
      </c>
      <c r="AP189" s="94">
        <f>VLOOKUP($A189,lmic_raw[],42,FALSE)*(1-interactive!$C$7)</f>
        <v>2.1260912018048132E-2</v>
      </c>
      <c r="AQ189" s="94">
        <f>VLOOKUP($A189,lmic_raw[],43,FALSE)*(1-interactive!$C$7)</f>
        <v>3.2945890162495745E-2</v>
      </c>
      <c r="AR189" s="94">
        <f>VLOOKUP($A189,lmic_raw[],44,FALSE)*(1-interactive!$C$7)</f>
        <v>5.2868349259400926E-2</v>
      </c>
      <c r="AS189" s="94">
        <f>VLOOKUP($A189,lmic_raw[],45,FALSE)*(1-interactive!$C$7)</f>
        <v>8.1146062908274016E-2</v>
      </c>
      <c r="AT189" s="94">
        <f>VLOOKUP($A189,lmic_raw[],46,FALSE)*(1-interactive!$C$7)</f>
        <v>0.11566962410009884</v>
      </c>
      <c r="AU189" s="94">
        <f>VLOOKUP($A189,lmic_raw[],47,FALSE)*(1-interactive!$C$7)</f>
        <v>0.14699370298463021</v>
      </c>
      <c r="AV189" s="94">
        <f>VLOOKUP($A189,lmic_raw[],48,FALSE)*(1-interactive!$C$7)</f>
        <v>0.16833654448021768</v>
      </c>
      <c r="AW189" s="94">
        <f>VLOOKUP($A189,lmic_raw[],49,FALSE)*(1-interactive!$C$7)</f>
        <v>0.17861629641021978</v>
      </c>
      <c r="AX189" s="94">
        <f>VLOOKUP($A189,lmic_raw[],50,FALSE)*(1-interactive!$C$7)</f>
        <v>57.991799999999998</v>
      </c>
    </row>
    <row r="190" spans="1:50" x14ac:dyDescent="0.25">
      <c r="A190" s="109" t="s">
        <v>145</v>
      </c>
      <c r="B190" s="101" t="s">
        <v>434</v>
      </c>
      <c r="C190" s="102">
        <v>624</v>
      </c>
      <c r="D190" s="121" t="s">
        <v>677</v>
      </c>
      <c r="E190" s="98" t="s">
        <v>591</v>
      </c>
      <c r="F190" s="98" t="s">
        <v>667</v>
      </c>
      <c r="G190" s="98" t="s">
        <v>674</v>
      </c>
      <c r="H190" s="98">
        <f>VLOOKUP(lmic_raw_lb[[#This Row],[setting]],lmic_raw[],8,FALSE)</f>
        <v>1920917</v>
      </c>
      <c r="I190" s="98">
        <f>VLOOKUP(lmic_raw_lb[[#This Row],[setting]],lmic_raw[],9,FALSE)</f>
        <v>67979.331713000007</v>
      </c>
      <c r="J190" s="98">
        <f>VLOOKUP($A190,lmic_raw[],10,FALSE)*(1-interactive!$C$7)</f>
        <v>0.41799999999999998</v>
      </c>
      <c r="K190" s="98">
        <f>VLOOKUP($A190,lmic_raw[],11,FALSE)*(1-interactive!$C$7)</f>
        <v>0</v>
      </c>
      <c r="L190" s="98">
        <f>VLOOKUP($A190,lmic_raw[],12,FALSE)*(1-interactive!$C$7)</f>
        <v>0.79799999999999993</v>
      </c>
      <c r="M190" s="98">
        <f>IFERROR(VLOOKUP(lmic_raw_lb[[#This Row],[iso3]], hbv_prev[[iso3]:[ub]],3,FALSE)/100,0)</f>
        <v>4.0999999999999995E-3</v>
      </c>
      <c r="N190" s="98">
        <f>IFERROR(VLOOKUP(lmic_raw_lb[[#This Row],[setting]],hbe_prev[],4,FALSE),0)</f>
        <v>0.155</v>
      </c>
      <c r="O190" s="98">
        <f>VLOOKUP(lmic_raw_lb[[#This Row],[gbd_super]],hbe_risk[],3,FALSE)</f>
        <v>7.0000000000000007E-2</v>
      </c>
      <c r="P190" s="98">
        <f>VLOOKUP(lmic_raw_lb[[#This Row],[gbd_super]],hbe_risk[],6,FALSE)</f>
        <v>1E-3</v>
      </c>
      <c r="Q190" s="98">
        <f>VLOOKUP(lmic_raw_lb[[#This Row],[setting]],lmic_raw[],17,FALSE)*(1-interactive!$C$7)</f>
        <v>0</v>
      </c>
      <c r="R190" s="98">
        <f>VLOOKUP(lmic_raw_lb[[#This Row],[setting]],lmic_raw[],18,FALSE)*(1-interactive!$C$7)</f>
        <v>28.424474999999997</v>
      </c>
      <c r="S190" s="98">
        <f>VLOOKUP(lmic_raw_lb[[#This Row],[setting]],lmic_raw[],19,FALSE)*(1-interactive!$C$7)</f>
        <v>73.779375000000002</v>
      </c>
      <c r="T190" s="98">
        <f>VLOOKUP(lmic_raw_lb[[#This Row],[setting]],lmic_raw[],20,FALSE)*(1-interactive!$C$7)</f>
        <v>73.779375000000002</v>
      </c>
      <c r="U190" s="98">
        <f>VLOOKUP(lmic_raw_lb[[#This Row],[setting]],lmic_raw[],21,FALSE)*(1-interactive!$C$7)</f>
        <v>73.779375000000002</v>
      </c>
      <c r="V190" s="33">
        <f>IFERROR(VLOOKUP(lmic_raw_lb[[#This Row],[setting]],vcost_lb[],3,FALSE),0)</f>
        <v>1.6143761064215623</v>
      </c>
      <c r="W190" s="33">
        <f>IFERROR(VLOOKUP(lmic_raw_lb[[#This Row],[setting]],vcost_lb[],4,FALSE),0)</f>
        <v>6.2016411064215626</v>
      </c>
      <c r="X190" s="33">
        <f>IFERROR(VLOOKUP(lmic_raw_lb[[#This Row],[setting]],vcost_lb[],5,FALSE),0)</f>
        <v>1.2498612431143614</v>
      </c>
      <c r="Y190" s="33">
        <f>IFERROR(VLOOKUP(lmic_raw_lb[[#This Row],[setting]],vcost_lb[],6,FALSE),0)</f>
        <v>5.837126243114362</v>
      </c>
      <c r="Z190" s="33">
        <f>IFERROR(VLOOKUP(lmic_raw_lb[[#This Row],[setting]],vcost_lb[],7,FALSE),0)</f>
        <v>5.8355557339732798</v>
      </c>
      <c r="AA190" s="33">
        <f>IFERROR(VLOOKUP(lmic_raw_lb[[#This Row],[setting]],vcost_lb[],8,FALSE),0)</f>
        <v>1.8252382937888605</v>
      </c>
      <c r="AB190" s="33">
        <f>IFERROR(VLOOKUP(lmic_raw_lb[[#This Row],[setting]],vcost_lb[],9,FALSE),0)</f>
        <v>6.4125032937888609</v>
      </c>
      <c r="AC190" s="98">
        <f>VLOOKUP($A190,lmic_raw[],29,FALSE)*(1-interactive!$C$7)</f>
        <v>5.4280187999999979E-2</v>
      </c>
      <c r="AD190" s="98">
        <f>VLOOKUP($A190,lmic_raw[],30,FALSE)*(1-interactive!$C$7)</f>
        <v>6.3784592832027255E-3</v>
      </c>
      <c r="AE190" s="98">
        <f>VLOOKUP($A190,lmic_raw[],31,FALSE)*(1-interactive!$C$7)</f>
        <v>2.5100441310075871E-3</v>
      </c>
      <c r="AF190" s="98">
        <f>VLOOKUP($A190,lmic_raw[],32,FALSE)*(1-interactive!$C$7)</f>
        <v>1.7653610223655695E-3</v>
      </c>
      <c r="AG190" s="98">
        <f>VLOOKUP($A190,lmic_raw[],33,FALSE)*(1-interactive!$C$7)</f>
        <v>2.6205185958456468E-3</v>
      </c>
      <c r="AH190" s="98">
        <f>VLOOKUP($A190,lmic_raw[],34,FALSE)*(1-interactive!$C$7)</f>
        <v>3.8639883269384065E-3</v>
      </c>
      <c r="AI190" s="98">
        <f>VLOOKUP($A190,lmic_raw[],35,FALSE)*(1-interactive!$C$7)</f>
        <v>4.8825981662353277E-3</v>
      </c>
      <c r="AJ190" s="98">
        <f>VLOOKUP($A190,lmic_raw[],36,FALSE)*(1-interactive!$C$7)</f>
        <v>5.9657099155428573E-3</v>
      </c>
      <c r="AK190" s="98">
        <f>VLOOKUP($A190,lmic_raw[],37,FALSE)*(1-interactive!$C$7)</f>
        <v>7.4527575879289789E-3</v>
      </c>
      <c r="AL190" s="98">
        <f>VLOOKUP($A190,lmic_raw[],38,FALSE)*(1-interactive!$C$7)</f>
        <v>9.0333540197626433E-3</v>
      </c>
      <c r="AM190" s="98">
        <f>VLOOKUP($A190,lmic_raw[],39,FALSE)*(1-interactive!$C$7)</f>
        <v>1.083185133686196E-2</v>
      </c>
      <c r="AN190" s="98">
        <f>VLOOKUP($A190,lmic_raw[],40,FALSE)*(1-interactive!$C$7)</f>
        <v>1.41014984561626E-2</v>
      </c>
      <c r="AO190" s="98">
        <f>VLOOKUP($A190,lmic_raw[],41,FALSE)*(1-interactive!$C$7)</f>
        <v>1.7932651662926315E-2</v>
      </c>
      <c r="AP190" s="98">
        <f>VLOOKUP($A190,lmic_raw[],42,FALSE)*(1-interactive!$C$7)</f>
        <v>2.5244433152075946E-2</v>
      </c>
      <c r="AQ190" s="98">
        <f>VLOOKUP($A190,lmic_raw[],43,FALSE)*(1-interactive!$C$7)</f>
        <v>3.6891059563204813E-2</v>
      </c>
      <c r="AR190" s="98">
        <f>VLOOKUP($A190,lmic_raw[],44,FALSE)*(1-interactive!$C$7)</f>
        <v>5.4910446938156561E-2</v>
      </c>
      <c r="AS190" s="98">
        <f>VLOOKUP($A190,lmic_raw[],45,FALSE)*(1-interactive!$C$7)</f>
        <v>8.0257890686713601E-2</v>
      </c>
      <c r="AT190" s="98">
        <f>VLOOKUP($A190,lmic_raw[],46,FALSE)*(1-interactive!$C$7)</f>
        <v>0.11472913908092124</v>
      </c>
      <c r="AU190" s="98">
        <f>VLOOKUP($A190,lmic_raw[],47,FALSE)*(1-interactive!$C$7)</f>
        <v>0.15050121704684408</v>
      </c>
      <c r="AV190" s="98">
        <f>VLOOKUP($A190,lmic_raw[],48,FALSE)*(1-interactive!$C$7)</f>
        <v>0.17507744438665621</v>
      </c>
      <c r="AW190" s="98">
        <f>VLOOKUP($A190,lmic_raw[],49,FALSE)*(1-interactive!$C$7)</f>
        <v>0.18034935240873903</v>
      </c>
      <c r="AX190" s="98">
        <f>VLOOKUP($A190,lmic_raw[],50,FALSE)*(1-interactive!$C$7)</f>
        <v>54.928049999999999</v>
      </c>
    </row>
    <row r="191" spans="1:50" x14ac:dyDescent="0.25">
      <c r="A191" s="110" t="s">
        <v>270</v>
      </c>
      <c r="B191" s="104" t="s">
        <v>435</v>
      </c>
      <c r="C191" s="105">
        <v>328</v>
      </c>
      <c r="D191" s="122" t="s">
        <v>679</v>
      </c>
      <c r="E191" s="94" t="s">
        <v>223</v>
      </c>
      <c r="F191" s="94" t="s">
        <v>665</v>
      </c>
      <c r="G191" s="94" t="s">
        <v>676</v>
      </c>
      <c r="H191" s="98">
        <f>VLOOKUP(lmic_raw_lb[[#This Row],[setting]],lmic_raw[],8,FALSE)</f>
        <v>782775</v>
      </c>
      <c r="I191" s="98">
        <f>VLOOKUP(lmic_raw_lb[[#This Row],[setting]],lmic_raw[],9,FALSE)</f>
        <v>15707.945925</v>
      </c>
      <c r="J191" s="94">
        <f>VLOOKUP($A191,lmic_raw[],10,FALSE)*(1-interactive!$C$7)</f>
        <v>0.88065000000000004</v>
      </c>
      <c r="K191" s="94">
        <f>VLOOKUP($A191,lmic_raw[],11,FALSE)*(1-interactive!$C$7)</f>
        <v>0</v>
      </c>
      <c r="L191" s="94">
        <f>VLOOKUP($A191,lmic_raw[],12,FALSE)*(1-interactive!$C$7)</f>
        <v>0.9405</v>
      </c>
      <c r="M191" s="94">
        <f>IFERROR(VLOOKUP(lmic_raw_lb[[#This Row],[iso3]], hbv_prev[[iso3]:[ub]],3,FALSE)/100,0)</f>
        <v>1.8E-3</v>
      </c>
      <c r="N191" s="94">
        <f>IFERROR(VLOOKUP(lmic_raw_lb[[#This Row],[setting]],hbe_prev[],4,FALSE),0)</f>
        <v>0.16309999999999999</v>
      </c>
      <c r="O191" s="94">
        <f>VLOOKUP(lmic_raw_lb[[#This Row],[gbd_super]],hbe_risk[],3,FALSE)</f>
        <v>0.7</v>
      </c>
      <c r="P191" s="94">
        <f>VLOOKUP(lmic_raw_lb[[#This Row],[gbd_super]],hbe_risk[],6,FALSE)</f>
        <v>0.05</v>
      </c>
      <c r="Q191" s="94">
        <f>VLOOKUP(lmic_raw_lb[[#This Row],[setting]],lmic_raw[],17,FALSE)*(1-interactive!$C$7)</f>
        <v>7.0355900780257601</v>
      </c>
      <c r="R191" s="98">
        <f>VLOOKUP(lmic_raw_lb[[#This Row],[setting]],lmic_raw[],18,FALSE)*(1-interactive!$C$7)</f>
        <v>82.539704999999998</v>
      </c>
      <c r="S191" s="98">
        <f>VLOOKUP(lmic_raw_lb[[#This Row],[setting]],lmic_raw[],19,FALSE)*(1-interactive!$C$7)</f>
        <v>127.894605</v>
      </c>
      <c r="T191" s="98">
        <f>VLOOKUP(lmic_raw_lb[[#This Row],[setting]],lmic_raw[],20,FALSE)*(1-interactive!$C$7)</f>
        <v>127.894605</v>
      </c>
      <c r="U191" s="98">
        <f>VLOOKUP(lmic_raw_lb[[#This Row],[setting]],lmic_raw[],21,FALSE)*(1-interactive!$C$7)</f>
        <v>127.894605</v>
      </c>
      <c r="V191" s="33">
        <f>IFERROR(VLOOKUP(lmic_raw_lb[[#This Row],[setting]],vcost_lb[],3,FALSE),0)</f>
        <v>3.7407833930727397</v>
      </c>
      <c r="W191" s="33">
        <f>IFERROR(VLOOKUP(lmic_raw_lb[[#This Row],[setting]],vcost_lb[],4,FALSE),0)</f>
        <v>3.7614933930727394</v>
      </c>
      <c r="X191" s="33">
        <f>IFERROR(VLOOKUP(lmic_raw_lb[[#This Row],[setting]],vcost_lb[],5,FALSE),0)</f>
        <v>3.370130235262113</v>
      </c>
      <c r="Y191" s="33">
        <f>IFERROR(VLOOKUP(lmic_raw_lb[[#This Row],[setting]],vcost_lb[],6,FALSE),0)</f>
        <v>3.3908402352621128</v>
      </c>
      <c r="Z191" s="33">
        <f>IFERROR(VLOOKUP(lmic_raw_lb[[#This Row],[setting]],vcost_lb[],7,FALSE),0)</f>
        <v>3.3851399863831353</v>
      </c>
      <c r="AA191" s="33">
        <f>IFERROR(VLOOKUP(lmic_raw_lb[[#This Row],[setting]],vcost_lb[],8,FALSE),0)</f>
        <v>3.9542762780843637</v>
      </c>
      <c r="AB191" s="33">
        <f>IFERROR(VLOOKUP(lmic_raw_lb[[#This Row],[setting]],vcost_lb[],9,FALSE),0)</f>
        <v>3.9749862780843634</v>
      </c>
      <c r="AC191" s="94">
        <f>VLOOKUP($A191,lmic_raw[],29,FALSE)*(1-interactive!$C$7)</f>
        <v>2.5432554500000041E-2</v>
      </c>
      <c r="AD191" s="94">
        <f>VLOOKUP($A191,lmic_raw[],30,FALSE)*(1-interactive!$C$7)</f>
        <v>1.3488779602504196E-3</v>
      </c>
      <c r="AE191" s="94">
        <f>VLOOKUP($A191,lmic_raw[],31,FALSE)*(1-interactive!$C$7)</f>
        <v>8.9838431057430999E-4</v>
      </c>
      <c r="AF191" s="94">
        <f>VLOOKUP($A191,lmic_raw[],32,FALSE)*(1-interactive!$C$7)</f>
        <v>7.3346792080115344E-4</v>
      </c>
      <c r="AG191" s="94">
        <f>VLOOKUP($A191,lmic_raw[],33,FALSE)*(1-interactive!$C$7)</f>
        <v>1.6392921416879963E-3</v>
      </c>
      <c r="AH191" s="94">
        <f>VLOOKUP($A191,lmic_raw[],34,FALSE)*(1-interactive!$C$7)</f>
        <v>2.6731378382595546E-3</v>
      </c>
      <c r="AI191" s="94">
        <f>VLOOKUP($A191,lmic_raw[],35,FALSE)*(1-interactive!$C$7)</f>
        <v>3.3401634510571271E-3</v>
      </c>
      <c r="AJ191" s="94">
        <f>VLOOKUP($A191,lmic_raw[],36,FALSE)*(1-interactive!$C$7)</f>
        <v>3.587777785448405E-3</v>
      </c>
      <c r="AK191" s="94">
        <f>VLOOKUP($A191,lmic_raw[],37,FALSE)*(1-interactive!$C$7)</f>
        <v>4.1709101841110744E-3</v>
      </c>
      <c r="AL191" s="94">
        <f>VLOOKUP($A191,lmic_raw[],38,FALSE)*(1-interactive!$C$7)</f>
        <v>4.7600355410731179E-3</v>
      </c>
      <c r="AM191" s="94">
        <f>VLOOKUP($A191,lmic_raw[],39,FALSE)*(1-interactive!$C$7)</f>
        <v>5.6855445486840286E-3</v>
      </c>
      <c r="AN191" s="94">
        <f>VLOOKUP($A191,lmic_raw[],40,FALSE)*(1-interactive!$C$7)</f>
        <v>1.0408046411438027E-2</v>
      </c>
      <c r="AO191" s="94">
        <f>VLOOKUP($A191,lmic_raw[],41,FALSE)*(1-interactive!$C$7)</f>
        <v>1.1912816261913439E-2</v>
      </c>
      <c r="AP191" s="94">
        <f>VLOOKUP($A191,lmic_raw[],42,FALSE)*(1-interactive!$C$7)</f>
        <v>1.6518627991128972E-2</v>
      </c>
      <c r="AQ191" s="94">
        <f>VLOOKUP($A191,lmic_raw[],43,FALSE)*(1-interactive!$C$7)</f>
        <v>2.1811842252690485E-2</v>
      </c>
      <c r="AR191" s="94">
        <f>VLOOKUP($A191,lmic_raw[],44,FALSE)*(1-interactive!$C$7)</f>
        <v>2.9339403379639962E-2</v>
      </c>
      <c r="AS191" s="94">
        <f>VLOOKUP($A191,lmic_raw[],45,FALSE)*(1-interactive!$C$7)</f>
        <v>4.437799726488096E-2</v>
      </c>
      <c r="AT191" s="94">
        <f>VLOOKUP($A191,lmic_raw[],46,FALSE)*(1-interactive!$C$7)</f>
        <v>5.676019434638583E-2</v>
      </c>
      <c r="AU191" s="94">
        <f>VLOOKUP($A191,lmic_raw[],47,FALSE)*(1-interactive!$C$7)</f>
        <v>7.4769691525443174E-2</v>
      </c>
      <c r="AV191" s="94">
        <f>VLOOKUP($A191,lmic_raw[],48,FALSE)*(1-interactive!$C$7)</f>
        <v>9.417813447461669E-2</v>
      </c>
      <c r="AW191" s="94">
        <f>VLOOKUP($A191,lmic_raw[],49,FALSE)*(1-interactive!$C$7)</f>
        <v>0.11376314473843613</v>
      </c>
      <c r="AX191" s="94">
        <f>VLOOKUP($A191,lmic_raw[],50,FALSE)*(1-interactive!$C$7)</f>
        <v>66.227349999999987</v>
      </c>
    </row>
    <row r="192" spans="1:50" x14ac:dyDescent="0.25">
      <c r="A192" s="109" t="s">
        <v>238</v>
      </c>
      <c r="B192" s="101" t="s">
        <v>436</v>
      </c>
      <c r="C192" s="102">
        <v>332</v>
      </c>
      <c r="D192" s="121" t="s">
        <v>679</v>
      </c>
      <c r="E192" s="98" t="s">
        <v>223</v>
      </c>
      <c r="F192" s="98" t="s">
        <v>665</v>
      </c>
      <c r="G192" s="98" t="s">
        <v>674</v>
      </c>
      <c r="H192" s="98">
        <f>VLOOKUP(lmic_raw_lb[[#This Row],[setting]],lmic_raw[],8,FALSE)</f>
        <v>11263079</v>
      </c>
      <c r="I192" s="98">
        <f>VLOOKUP(lmic_raw_lb[[#This Row],[setting]],lmic_raw[],9,FALSE)</f>
        <v>276317.11710700003</v>
      </c>
      <c r="J192" s="98">
        <f>VLOOKUP($A192,lmic_raw[],10,FALSE)*(1-interactive!$C$7)</f>
        <v>0.37429999999999997</v>
      </c>
      <c r="K192" s="98">
        <f>VLOOKUP($A192,lmic_raw[],11,FALSE)*(1-interactive!$C$7)</f>
        <v>0</v>
      </c>
      <c r="L192" s="98">
        <f>VLOOKUP($A192,lmic_raw[],12,FALSE)*(1-interactive!$C$7)</f>
        <v>0.48449999999999999</v>
      </c>
      <c r="M192" s="98">
        <f>IFERROR(VLOOKUP(lmic_raw_lb[[#This Row],[iso3]], hbv_prev[[iso3]:[ub]],3,FALSE)/100,0)</f>
        <v>2.0199999999999999E-2</v>
      </c>
      <c r="N192" s="98">
        <f>IFERROR(VLOOKUP(lmic_raw_lb[[#This Row],[setting]],hbe_prev[],4,FALSE),0)</f>
        <v>0.16309999999999999</v>
      </c>
      <c r="O192" s="98">
        <f>VLOOKUP(lmic_raw_lb[[#This Row],[gbd_super]],hbe_risk[],3,FALSE)</f>
        <v>0.7</v>
      </c>
      <c r="P192" s="98">
        <f>VLOOKUP(lmic_raw_lb[[#This Row],[gbd_super]],hbe_risk[],6,FALSE)</f>
        <v>0.05</v>
      </c>
      <c r="Q192" s="98">
        <f>VLOOKUP(lmic_raw_lb[[#This Row],[setting]],lmic_raw[],17,FALSE)*(1-interactive!$C$7)</f>
        <v>3.1342332911832664</v>
      </c>
      <c r="R192" s="98">
        <f>VLOOKUP(lmic_raw_lb[[#This Row],[setting]],lmic_raw[],18,FALSE)*(1-interactive!$C$7)</f>
        <v>82.539704999999998</v>
      </c>
      <c r="S192" s="98">
        <f>VLOOKUP(lmic_raw_lb[[#This Row],[setting]],lmic_raw[],19,FALSE)*(1-interactive!$C$7)</f>
        <v>127.894605</v>
      </c>
      <c r="T192" s="98">
        <f>VLOOKUP(lmic_raw_lb[[#This Row],[setting]],lmic_raw[],20,FALSE)*(1-interactive!$C$7)</f>
        <v>127.894605</v>
      </c>
      <c r="U192" s="98">
        <f>VLOOKUP(lmic_raw_lb[[#This Row],[setting]],lmic_raw[],21,FALSE)*(1-interactive!$C$7)</f>
        <v>127.894605</v>
      </c>
      <c r="V192" s="33">
        <f>IFERROR(VLOOKUP(lmic_raw_lb[[#This Row],[setting]],vcost_lb[],3,FALSE),0)</f>
        <v>0.67200290172810917</v>
      </c>
      <c r="W192" s="33">
        <f>IFERROR(VLOOKUP(lmic_raw_lb[[#This Row],[setting]],vcost_lb[],4,FALSE),0)</f>
        <v>0.69271290172810918</v>
      </c>
      <c r="X192" s="33">
        <f>IFERROR(VLOOKUP(lmic_raw_lb[[#This Row],[setting]],vcost_lb[],5,FALSE),0)</f>
        <v>0.30533582858880082</v>
      </c>
      <c r="Y192" s="33">
        <f>IFERROR(VLOOKUP(lmic_raw_lb[[#This Row],[setting]],vcost_lb[],6,FALSE),0)</f>
        <v>0.32604582858880082</v>
      </c>
      <c r="Z192" s="33">
        <f>IFERROR(VLOOKUP(lmic_raw_lb[[#This Row],[setting]],vcost_lb[],7,FALSE),0)</f>
        <v>0.32304288304112</v>
      </c>
      <c r="AA192" s="33">
        <f>IFERROR(VLOOKUP(lmic_raw_lb[[#This Row],[setting]],vcost_lb[],8,FALSE),0)</f>
        <v>0.88378746473773917</v>
      </c>
      <c r="AB192" s="33">
        <f>IFERROR(VLOOKUP(lmic_raw_lb[[#This Row],[setting]],vcost_lb[],9,FALSE),0)</f>
        <v>0.90449746473773918</v>
      </c>
      <c r="AC192" s="98">
        <f>VLOOKUP($A192,lmic_raw[],29,FALSE)*(1-interactive!$C$7)</f>
        <v>5.1607752500000034E-2</v>
      </c>
      <c r="AD192" s="98">
        <f>VLOOKUP($A192,lmic_raw[],30,FALSE)*(1-interactive!$C$7)</f>
        <v>6.713845745591215E-3</v>
      </c>
      <c r="AE192" s="98">
        <f>VLOOKUP($A192,lmic_raw[],31,FALSE)*(1-interactive!$C$7)</f>
        <v>2.3889735695220918E-3</v>
      </c>
      <c r="AF192" s="98">
        <f>VLOOKUP($A192,lmic_raw[],32,FALSE)*(1-interactive!$C$7)</f>
        <v>1.9440235816073196E-3</v>
      </c>
      <c r="AG192" s="98">
        <f>VLOOKUP($A192,lmic_raw[],33,FALSE)*(1-interactive!$C$7)</f>
        <v>2.4055879249673126E-3</v>
      </c>
      <c r="AH192" s="98">
        <f>VLOOKUP($A192,lmic_raw[],34,FALSE)*(1-interactive!$C$7)</f>
        <v>3.0394372938494195E-3</v>
      </c>
      <c r="AI192" s="98">
        <f>VLOOKUP($A192,lmic_raw[],35,FALSE)*(1-interactive!$C$7)</f>
        <v>3.6100262174568027E-3</v>
      </c>
      <c r="AJ192" s="98">
        <f>VLOOKUP($A192,lmic_raw[],36,FALSE)*(1-interactive!$C$7)</f>
        <v>4.1028881554310802E-3</v>
      </c>
      <c r="AK192" s="98">
        <f>VLOOKUP($A192,lmic_raw[],37,FALSE)*(1-interactive!$C$7)</f>
        <v>4.6041483300399986E-3</v>
      </c>
      <c r="AL192" s="98">
        <f>VLOOKUP($A192,lmic_raw[],38,FALSE)*(1-interactive!$C$7)</f>
        <v>5.2702729491879456E-3</v>
      </c>
      <c r="AM192" s="98">
        <f>VLOOKUP($A192,lmic_raw[],39,FALSE)*(1-interactive!$C$7)</f>
        <v>6.3349620943564267E-3</v>
      </c>
      <c r="AN192" s="98">
        <f>VLOOKUP($A192,lmic_raw[],40,FALSE)*(1-interactive!$C$7)</f>
        <v>8.1465952735742218E-3</v>
      </c>
      <c r="AO192" s="98">
        <f>VLOOKUP($A192,lmic_raw[],41,FALSE)*(1-interactive!$C$7)</f>
        <v>1.1219330259294506E-2</v>
      </c>
      <c r="AP192" s="98">
        <f>VLOOKUP($A192,lmic_raw[],42,FALSE)*(1-interactive!$C$7)</f>
        <v>1.6330077641416817E-2</v>
      </c>
      <c r="AQ192" s="98">
        <f>VLOOKUP($A192,lmic_raw[],43,FALSE)*(1-interactive!$C$7)</f>
        <v>2.4561916833615239E-2</v>
      </c>
      <c r="AR192" s="98">
        <f>VLOOKUP($A192,lmic_raw[],44,FALSE)*(1-interactive!$C$7)</f>
        <v>3.7446162366875341E-2</v>
      </c>
      <c r="AS192" s="98">
        <f>VLOOKUP($A192,lmic_raw[],45,FALSE)*(1-interactive!$C$7)</f>
        <v>5.6435457665112577E-2</v>
      </c>
      <c r="AT192" s="98">
        <f>VLOOKUP($A192,lmic_raw[],46,FALSE)*(1-interactive!$C$7)</f>
        <v>7.7712849419006927E-2</v>
      </c>
      <c r="AU192" s="98">
        <f>VLOOKUP($A192,lmic_raw[],47,FALSE)*(1-interactive!$C$7)</f>
        <v>0.10054840629879461</v>
      </c>
      <c r="AV192" s="98">
        <f>VLOOKUP($A192,lmic_raw[],48,FALSE)*(1-interactive!$C$7)</f>
        <v>0.12214049399050121</v>
      </c>
      <c r="AW192" s="98">
        <f>VLOOKUP($A192,lmic_raw[],49,FALSE)*(1-interactive!$C$7)</f>
        <v>0.14082283241957885</v>
      </c>
      <c r="AX192" s="98">
        <f>VLOOKUP($A192,lmic_raw[],50,FALSE)*(1-interactive!$C$7)</f>
        <v>60.343049999999998</v>
      </c>
    </row>
    <row r="193" spans="1:50" x14ac:dyDescent="0.25">
      <c r="A193" s="110" t="s">
        <v>257</v>
      </c>
      <c r="B193" s="104" t="s">
        <v>437</v>
      </c>
      <c r="C193" s="105">
        <v>340</v>
      </c>
      <c r="D193" s="122" t="s">
        <v>679</v>
      </c>
      <c r="E193" s="94" t="s">
        <v>604</v>
      </c>
      <c r="F193" s="94" t="s">
        <v>665</v>
      </c>
      <c r="G193" s="94" t="s">
        <v>678</v>
      </c>
      <c r="H193" s="98">
        <f>VLOOKUP(lmic_raw_lb[[#This Row],[setting]],lmic_raw[],8,FALSE)</f>
        <v>9746115</v>
      </c>
      <c r="I193" s="98">
        <f>VLOOKUP(lmic_raw_lb[[#This Row],[setting]],lmic_raw[],9,FALSE)</f>
        <v>212504.29145999998</v>
      </c>
      <c r="J193" s="94">
        <f>VLOOKUP($A193,lmic_raw[],10,FALSE)*(1-interactive!$C$7)</f>
        <v>0.78565000000000007</v>
      </c>
      <c r="K193" s="94">
        <f>VLOOKUP($A193,lmic_raw[],11,FALSE)*(1-interactive!$C$7)</f>
        <v>0.71249999999999991</v>
      </c>
      <c r="L193" s="94">
        <f>VLOOKUP($A193,lmic_raw[],12,FALSE)*(1-interactive!$C$7)</f>
        <v>0.82650000000000001</v>
      </c>
      <c r="M193" s="94">
        <f>IFERROR(VLOOKUP(lmic_raw_lb[[#This Row],[iso3]], hbv_prev[[iso3]:[ub]],3,FALSE)/100,0)</f>
        <v>8.0000000000000004E-4</v>
      </c>
      <c r="N193" s="94">
        <f>IFERROR(VLOOKUP(lmic_raw_lb[[#This Row],[setting]],hbe_prev[],4,FALSE),0)</f>
        <v>0.16440000000000002</v>
      </c>
      <c r="O193" s="94">
        <f>VLOOKUP(lmic_raw_lb[[#This Row],[gbd_super]],hbe_risk[],3,FALSE)</f>
        <v>0.7</v>
      </c>
      <c r="P193" s="94">
        <f>VLOOKUP(lmic_raw_lb[[#This Row],[gbd_super]],hbe_risk[],6,FALSE)</f>
        <v>0.05</v>
      </c>
      <c r="Q193" s="94">
        <f>VLOOKUP(lmic_raw_lb[[#This Row],[setting]],lmic_raw[],17,FALSE)*(1-interactive!$C$7)</f>
        <v>5.1074628799041806</v>
      </c>
      <c r="R193" s="98">
        <f>VLOOKUP(lmic_raw_lb[[#This Row],[setting]],lmic_raw[],18,FALSE)*(1-interactive!$C$7)</f>
        <v>82.539704999999998</v>
      </c>
      <c r="S193" s="98">
        <f>VLOOKUP(lmic_raw_lb[[#This Row],[setting]],lmic_raw[],19,FALSE)*(1-interactive!$C$7)</f>
        <v>127.894605</v>
      </c>
      <c r="T193" s="98">
        <f>VLOOKUP(lmic_raw_lb[[#This Row],[setting]],lmic_raw[],20,FALSE)*(1-interactive!$C$7)</f>
        <v>127.894605</v>
      </c>
      <c r="U193" s="98">
        <f>VLOOKUP(lmic_raw_lb[[#This Row],[setting]],lmic_raw[],21,FALSE)*(1-interactive!$C$7)</f>
        <v>127.894605</v>
      </c>
      <c r="V193" s="33">
        <f>IFERROR(VLOOKUP(lmic_raw_lb[[#This Row],[setting]],vcost_lb[],3,FALSE),0)</f>
        <v>1.7264067098592824</v>
      </c>
      <c r="W193" s="33">
        <f>IFERROR(VLOOKUP(lmic_raw_lb[[#This Row],[setting]],vcost_lb[],4,FALSE),0)</f>
        <v>1.7471167098592824</v>
      </c>
      <c r="X193" s="33">
        <f>IFERROR(VLOOKUP(lmic_raw_lb[[#This Row],[setting]],vcost_lb[],5,FALSE),0)</f>
        <v>1.3581733627836086</v>
      </c>
      <c r="Y193" s="33">
        <f>IFERROR(VLOOKUP(lmic_raw_lb[[#This Row],[setting]],vcost_lb[],6,FALSE),0)</f>
        <v>1.3788833627836086</v>
      </c>
      <c r="Z193" s="33">
        <f>IFERROR(VLOOKUP(lmic_raw_lb[[#This Row],[setting]],vcost_lb[],7,FALSE),0)</f>
        <v>1.3747783559086566</v>
      </c>
      <c r="AA193" s="33">
        <f>IFERROR(VLOOKUP(lmic_raw_lb[[#This Row],[setting]],vcost_lb[],8,FALSE),0)</f>
        <v>1.9388625331273548</v>
      </c>
      <c r="AB193" s="33">
        <f>IFERROR(VLOOKUP(lmic_raw_lb[[#This Row],[setting]],vcost_lb[],9,FALSE),0)</f>
        <v>1.9595725331273548</v>
      </c>
      <c r="AC193" s="94">
        <f>VLOOKUP($A193,lmic_raw[],29,FALSE)*(1-interactive!$C$7)</f>
        <v>1.4288066499999979E-2</v>
      </c>
      <c r="AD193" s="94">
        <f>VLOOKUP($A193,lmic_raw[],30,FALSE)*(1-interactive!$C$7)</f>
        <v>1.5125483328037508E-3</v>
      </c>
      <c r="AE193" s="94">
        <f>VLOOKUP($A193,lmic_raw[],31,FALSE)*(1-interactive!$C$7)</f>
        <v>8.1599349593953596E-4</v>
      </c>
      <c r="AF193" s="94">
        <f>VLOOKUP($A193,lmic_raw[],32,FALSE)*(1-interactive!$C$7)</f>
        <v>6.5990652775472971E-4</v>
      </c>
      <c r="AG193" s="94">
        <f>VLOOKUP($A193,lmic_raw[],33,FALSE)*(1-interactive!$C$7)</f>
        <v>9.4784452280810138E-4</v>
      </c>
      <c r="AH193" s="94">
        <f>VLOOKUP($A193,lmic_raw[],34,FALSE)*(1-interactive!$C$7)</f>
        <v>1.3862861048244905E-3</v>
      </c>
      <c r="AI193" s="94">
        <f>VLOOKUP($A193,lmic_raw[],35,FALSE)*(1-interactive!$C$7)</f>
        <v>1.8311375493059484E-3</v>
      </c>
      <c r="AJ193" s="94">
        <f>VLOOKUP($A193,lmic_raw[],36,FALSE)*(1-interactive!$C$7)</f>
        <v>2.2541498675460458E-3</v>
      </c>
      <c r="AK193" s="94">
        <f>VLOOKUP($A193,lmic_raw[],37,FALSE)*(1-interactive!$C$7)</f>
        <v>2.6905937737751557E-3</v>
      </c>
      <c r="AL193" s="94">
        <f>VLOOKUP($A193,lmic_raw[],38,FALSE)*(1-interactive!$C$7)</f>
        <v>3.231150813215543E-3</v>
      </c>
      <c r="AM193" s="94">
        <f>VLOOKUP($A193,lmic_raw[],39,FALSE)*(1-interactive!$C$7)</f>
        <v>4.0129777500712031E-3</v>
      </c>
      <c r="AN193" s="94">
        <f>VLOOKUP($A193,lmic_raw[],40,FALSE)*(1-interactive!$C$7)</f>
        <v>5.2451009106526045E-3</v>
      </c>
      <c r="AO193" s="94">
        <f>VLOOKUP($A193,lmic_raw[],41,FALSE)*(1-interactive!$C$7)</f>
        <v>7.2414247143800427E-3</v>
      </c>
      <c r="AP193" s="94">
        <f>VLOOKUP($A193,lmic_raw[],42,FALSE)*(1-interactive!$C$7)</f>
        <v>1.0480895411284451E-2</v>
      </c>
      <c r="AQ193" s="94">
        <f>VLOOKUP($A193,lmic_raw[],43,FALSE)*(1-interactive!$C$7)</f>
        <v>1.5684628521288921E-2</v>
      </c>
      <c r="AR193" s="94">
        <f>VLOOKUP($A193,lmic_raw[],44,FALSE)*(1-interactive!$C$7)</f>
        <v>2.3880525119129324E-2</v>
      </c>
      <c r="AS193" s="94">
        <f>VLOOKUP($A193,lmic_raw[],45,FALSE)*(1-interactive!$C$7)</f>
        <v>3.6388866753624197E-2</v>
      </c>
      <c r="AT193" s="94">
        <f>VLOOKUP($A193,lmic_raw[],46,FALSE)*(1-interactive!$C$7)</f>
        <v>5.4568261849513647E-2</v>
      </c>
      <c r="AU193" s="94">
        <f>VLOOKUP($A193,lmic_raw[],47,FALSE)*(1-interactive!$C$7)</f>
        <v>7.9143484351339249E-2</v>
      </c>
      <c r="AV193" s="94">
        <f>VLOOKUP($A193,lmic_raw[],48,FALSE)*(1-interactive!$C$7)</f>
        <v>0.10899640282176783</v>
      </c>
      <c r="AW193" s="94">
        <f>VLOOKUP($A193,lmic_raw[],49,FALSE)*(1-interactive!$C$7)</f>
        <v>0.1418739689138081</v>
      </c>
      <c r="AX193" s="94">
        <f>VLOOKUP($A193,lmic_raw[],50,FALSE)*(1-interactive!$C$7)</f>
        <v>71.242400000000004</v>
      </c>
    </row>
    <row r="194" spans="1:50" x14ac:dyDescent="0.25">
      <c r="A194" s="109" t="s">
        <v>194</v>
      </c>
      <c r="B194" s="101" t="s">
        <v>438</v>
      </c>
      <c r="C194" s="102">
        <v>356</v>
      </c>
      <c r="D194" s="121" t="s">
        <v>680</v>
      </c>
      <c r="E194" s="98" t="s">
        <v>589</v>
      </c>
      <c r="F194" s="98" t="s">
        <v>589</v>
      </c>
      <c r="G194" s="98" t="s">
        <v>678</v>
      </c>
      <c r="H194" s="98">
        <f>VLOOKUP(lmic_raw_lb[[#This Row],[setting]],lmic_raw[],8,FALSE)</f>
        <v>1366417756</v>
      </c>
      <c r="I194" s="98">
        <f>VLOOKUP(lmic_raw_lb[[#This Row],[setting]],lmic_raw[],9,FALSE)</f>
        <v>24622847.963119999</v>
      </c>
      <c r="J194" s="98">
        <f>VLOOKUP($A194,lmic_raw[],10,FALSE)*(1-interactive!$C$7)</f>
        <v>0.74955000000000005</v>
      </c>
      <c r="K194" s="98">
        <f>VLOOKUP($A194,lmic_raw[],11,FALSE)*(1-interactive!$C$7)</f>
        <v>0.53200000000000003</v>
      </c>
      <c r="L194" s="98">
        <f>VLOOKUP($A194,lmic_raw[],12,FALSE)*(1-interactive!$C$7)</f>
        <v>0.86449999999999994</v>
      </c>
      <c r="M194" s="98">
        <f>IFERROR(VLOOKUP(lmic_raw_lb[[#This Row],[iso3]], hbv_prev[[iso3]:[ub]],3,FALSE)/100,0)</f>
        <v>1.3300000000000001E-2</v>
      </c>
      <c r="N194" s="98">
        <f>IFERROR(VLOOKUP(lmic_raw_lb[[#This Row],[setting]],hbe_prev[],4,FALSE),0)</f>
        <v>0.1482</v>
      </c>
      <c r="O194" s="98">
        <f>VLOOKUP(lmic_raw_lb[[#This Row],[gbd_super]],hbe_risk[],3,FALSE)</f>
        <v>0.7</v>
      </c>
      <c r="P194" s="98">
        <f>VLOOKUP(lmic_raw_lb[[#This Row],[gbd_super]],hbe_risk[],6,FALSE)</f>
        <v>0.05</v>
      </c>
      <c r="Q194" s="98">
        <f>VLOOKUP(lmic_raw_lb[[#This Row],[setting]],lmic_raw[],17,FALSE)*(1-interactive!$C$7)</f>
        <v>3.6641863807254551</v>
      </c>
      <c r="R194" s="98">
        <f>VLOOKUP(lmic_raw_lb[[#This Row],[setting]],lmic_raw[],18,FALSE)*(1-interactive!$C$7)</f>
        <v>43.604905000000002</v>
      </c>
      <c r="S194" s="98">
        <f>VLOOKUP(lmic_raw_lb[[#This Row],[setting]],lmic_raw[],19,FALSE)*(1-interactive!$C$7)</f>
        <v>88.959805000000003</v>
      </c>
      <c r="T194" s="98">
        <f>VLOOKUP(lmic_raw_lb[[#This Row],[setting]],lmic_raw[],20,FALSE)*(1-interactive!$C$7)</f>
        <v>88.959805000000003</v>
      </c>
      <c r="U194" s="98">
        <f>VLOOKUP(lmic_raw_lb[[#This Row],[setting]],lmic_raw[],21,FALSE)*(1-interactive!$C$7)</f>
        <v>88.959805000000003</v>
      </c>
      <c r="V194" s="33">
        <f>IFERROR(VLOOKUP(lmic_raw_lb[[#This Row],[setting]],vcost_lb[],3,FALSE),0)</f>
        <v>0.63191130299512144</v>
      </c>
      <c r="W194" s="33">
        <f>IFERROR(VLOOKUP(lmic_raw_lb[[#This Row],[setting]],vcost_lb[],4,FALSE),0)</f>
        <v>2.9594113029951217</v>
      </c>
      <c r="X194" s="33">
        <f>IFERROR(VLOOKUP(lmic_raw_lb[[#This Row],[setting]],vcost_lb[],5,FALSE),0)</f>
        <v>0.26478782933410211</v>
      </c>
      <c r="Y194" s="33">
        <f>IFERROR(VLOOKUP(lmic_raw_lb[[#This Row],[setting]],vcost_lb[],6,FALSE),0)</f>
        <v>2.5922878293341021</v>
      </c>
      <c r="Z194" s="33">
        <f>IFERROR(VLOOKUP(lmic_raw_lb[[#This Row],[setting]],vcost_lb[],7,FALSE),0)</f>
        <v>2.5888881463853863</v>
      </c>
      <c r="AA194" s="33">
        <f>IFERROR(VLOOKUP(lmic_raw_lb[[#This Row],[setting]],vcost_lb[],8,FALSE),0)</f>
        <v>0.84389146622834166</v>
      </c>
      <c r="AB194" s="33">
        <f>IFERROR(VLOOKUP(lmic_raw_lb[[#This Row],[setting]],vcost_lb[],9,FALSE),0)</f>
        <v>3.171391466228342</v>
      </c>
      <c r="AC194" s="98">
        <f>VLOOKUP($A194,lmic_raw[],29,FALSE)*(1-interactive!$C$7)</f>
        <v>3.04E-2</v>
      </c>
      <c r="AD194" s="98">
        <f>VLOOKUP($A194,lmic_raw[],30,FALSE)*(1-interactive!$C$7)</f>
        <v>1.8169289772727304E-3</v>
      </c>
      <c r="AE194" s="98">
        <f>VLOOKUP($A194,lmic_raw[],31,FALSE)*(1-interactive!$C$7)</f>
        <v>6.7958315983836866E-4</v>
      </c>
      <c r="AF194" s="98">
        <f>VLOOKUP($A194,lmic_raw[],32,FALSE)*(1-interactive!$C$7)</f>
        <v>5.7152524444820704E-4</v>
      </c>
      <c r="AG194" s="98">
        <f>VLOOKUP($A194,lmic_raw[],33,FALSE)*(1-interactive!$C$7)</f>
        <v>8.9910167943334945E-4</v>
      </c>
      <c r="AH194" s="98">
        <f>VLOOKUP($A194,lmic_raw[],34,FALSE)*(1-interactive!$C$7)</f>
        <v>1.3045542847308646E-3</v>
      </c>
      <c r="AI194" s="98">
        <f>VLOOKUP($A194,lmic_raw[],35,FALSE)*(1-interactive!$C$7)</f>
        <v>1.4750277950733364E-3</v>
      </c>
      <c r="AJ194" s="98">
        <f>VLOOKUP($A194,lmic_raw[],36,FALSE)*(1-interactive!$C$7)</f>
        <v>1.8824965406766181E-3</v>
      </c>
      <c r="AK194" s="98">
        <f>VLOOKUP($A194,lmic_raw[],37,FALSE)*(1-interactive!$C$7)</f>
        <v>2.6065319325899801E-3</v>
      </c>
      <c r="AL194" s="98">
        <f>VLOOKUP($A194,lmic_raw[],38,FALSE)*(1-interactive!$C$7)</f>
        <v>3.5048022848458496E-3</v>
      </c>
      <c r="AM194" s="98">
        <f>VLOOKUP($A194,lmic_raw[],39,FALSE)*(1-interactive!$C$7)</f>
        <v>5.0334868502391371E-3</v>
      </c>
      <c r="AN194" s="98">
        <f>VLOOKUP($A194,lmic_raw[],40,FALSE)*(1-interactive!$C$7)</f>
        <v>8.0546747947557399E-3</v>
      </c>
      <c r="AO194" s="98">
        <f>VLOOKUP($A194,lmic_raw[],41,FALSE)*(1-interactive!$C$7)</f>
        <v>1.1967367571635216E-2</v>
      </c>
      <c r="AP194" s="98">
        <f>VLOOKUP($A194,lmic_raw[],42,FALSE)*(1-interactive!$C$7)</f>
        <v>1.766751677082555E-2</v>
      </c>
      <c r="AQ194" s="98">
        <f>VLOOKUP($A194,lmic_raw[],43,FALSE)*(1-interactive!$C$7)</f>
        <v>2.6502618776496203E-2</v>
      </c>
      <c r="AR194" s="98">
        <f>VLOOKUP($A194,lmic_raw[],44,FALSE)*(1-interactive!$C$7)</f>
        <v>4.0707180328769986E-2</v>
      </c>
      <c r="AS194" s="98">
        <f>VLOOKUP($A194,lmic_raw[],45,FALSE)*(1-interactive!$C$7)</f>
        <v>5.7645979226863639E-2</v>
      </c>
      <c r="AT194" s="98">
        <f>VLOOKUP($A194,lmic_raw[],46,FALSE)*(1-interactive!$C$7)</f>
        <v>8.2289111880304536E-2</v>
      </c>
      <c r="AU194" s="98">
        <f>VLOOKUP($A194,lmic_raw[],47,FALSE)*(1-interactive!$C$7)</f>
        <v>0.11020584860932035</v>
      </c>
      <c r="AV194" s="98">
        <f>VLOOKUP($A194,lmic_raw[],48,FALSE)*(1-interactive!$C$7)</f>
        <v>0.13595182421856622</v>
      </c>
      <c r="AW194" s="98">
        <f>VLOOKUP($A194,lmic_raw[],49,FALSE)*(1-interactive!$C$7)</f>
        <v>0.13110623605364519</v>
      </c>
      <c r="AX194" s="98">
        <f>VLOOKUP($A194,lmic_raw[],50,FALSE)*(1-interactive!$C$7)</f>
        <v>65.808400000000006</v>
      </c>
    </row>
    <row r="195" spans="1:50" x14ac:dyDescent="0.25">
      <c r="A195" s="110" t="s">
        <v>213</v>
      </c>
      <c r="B195" s="104" t="s">
        <v>439</v>
      </c>
      <c r="C195" s="105">
        <v>360</v>
      </c>
      <c r="D195" s="122" t="s">
        <v>680</v>
      </c>
      <c r="E195" s="94" t="s">
        <v>598</v>
      </c>
      <c r="F195" s="94" t="s">
        <v>666</v>
      </c>
      <c r="G195" s="94" t="s">
        <v>678</v>
      </c>
      <c r="H195" s="98">
        <f>VLOOKUP(lmic_raw_lb[[#This Row],[setting]],lmic_raw[],8,FALSE)</f>
        <v>270625567</v>
      </c>
      <c r="I195" s="98">
        <f>VLOOKUP(lmic_raw_lb[[#This Row],[setting]],lmic_raw[],9,FALSE)</f>
        <v>4926738.4472349994</v>
      </c>
      <c r="J195" s="94">
        <f>VLOOKUP($A195,lmic_raw[],10,FALSE)*(1-interactive!$C$7)</f>
        <v>0.75049999999999994</v>
      </c>
      <c r="K195" s="94">
        <f>VLOOKUP($A195,lmic_raw[],11,FALSE)*(1-interactive!$C$7)</f>
        <v>0.79799999999999993</v>
      </c>
      <c r="L195" s="94">
        <f>VLOOKUP($A195,lmic_raw[],12,FALSE)*(1-interactive!$C$7)</f>
        <v>0.8075</v>
      </c>
      <c r="M195" s="94">
        <f>IFERROR(VLOOKUP(lmic_raw_lb[[#This Row],[iso3]], hbv_prev[[iso3]:[ub]],3,FALSE)/100,0)</f>
        <v>1.8100000000000002E-2</v>
      </c>
      <c r="N195" s="94">
        <f>IFERROR(VLOOKUP(lmic_raw_lb[[#This Row],[setting]],hbe_prev[],4,FALSE),0)</f>
        <v>0.18100000000000002</v>
      </c>
      <c r="O195" s="94">
        <f>VLOOKUP(lmic_raw_lb[[#This Row],[gbd_super]],hbe_risk[],3,FALSE)</f>
        <v>0.7</v>
      </c>
      <c r="P195" s="94">
        <f>VLOOKUP(lmic_raw_lb[[#This Row],[gbd_super]],hbe_risk[],6,FALSE)</f>
        <v>0.05</v>
      </c>
      <c r="Q195" s="94">
        <f>VLOOKUP(lmic_raw_lb[[#This Row],[setting]],lmic_raw[],17,FALSE)*(1-interactive!$C$7)</f>
        <v>4.5549585950623239</v>
      </c>
      <c r="R195" s="98">
        <f>VLOOKUP(lmic_raw_lb[[#This Row],[setting]],lmic_raw[],18,FALSE)*(1-interactive!$C$7)</f>
        <v>69.430275000000009</v>
      </c>
      <c r="S195" s="98">
        <f>VLOOKUP(lmic_raw_lb[[#This Row],[setting]],lmic_raw[],19,FALSE)*(1-interactive!$C$7)</f>
        <v>114.785175</v>
      </c>
      <c r="T195" s="98">
        <f>VLOOKUP(lmic_raw_lb[[#This Row],[setting]],lmic_raw[],20,FALSE)*(1-interactive!$C$7)</f>
        <v>114.785175</v>
      </c>
      <c r="U195" s="98">
        <f>VLOOKUP(lmic_raw_lb[[#This Row],[setting]],lmic_raw[],21,FALSE)*(1-interactive!$C$7)</f>
        <v>114.785175</v>
      </c>
      <c r="V195" s="33">
        <f>IFERROR(VLOOKUP(lmic_raw_lb[[#This Row],[setting]],vcost_lb[],3,FALSE),0)</f>
        <v>0.70483945930028902</v>
      </c>
      <c r="W195" s="33">
        <f>IFERROR(VLOOKUP(lmic_raw_lb[[#This Row],[setting]],vcost_lb[],4,FALSE),0)</f>
        <v>1.3054294593002891</v>
      </c>
      <c r="X195" s="33">
        <f>IFERROR(VLOOKUP(lmic_raw_lb[[#This Row],[setting]],vcost_lb[],5,FALSE),0)</f>
        <v>0.33313380363125955</v>
      </c>
      <c r="Y195" s="33">
        <f>IFERROR(VLOOKUP(lmic_raw_lb[[#This Row],[setting]],vcost_lb[],6,FALSE),0)</f>
        <v>0.93372380363125951</v>
      </c>
      <c r="Z195" s="33">
        <f>IFERROR(VLOOKUP(lmic_raw_lb[[#This Row],[setting]],vcost_lb[],7,FALSE),0)</f>
        <v>0.92754846159780646</v>
      </c>
      <c r="AA195" s="33">
        <f>IFERROR(VLOOKUP(lmic_raw_lb[[#This Row],[setting]],vcost_lb[],8,FALSE),0)</f>
        <v>0.91878341482265657</v>
      </c>
      <c r="AB195" s="33">
        <f>IFERROR(VLOOKUP(lmic_raw_lb[[#This Row],[setting]],vcost_lb[],9,FALSE),0)</f>
        <v>1.5193734148226565</v>
      </c>
      <c r="AC195" s="94">
        <f>VLOOKUP($A195,lmic_raw[],29,FALSE)*(1-interactive!$C$7)</f>
        <v>1.7976736000000004E-2</v>
      </c>
      <c r="AD195" s="94">
        <f>VLOOKUP($A195,lmic_raw[],30,FALSE)*(1-interactive!$C$7)</f>
        <v>1.4461063723512505E-3</v>
      </c>
      <c r="AE195" s="94">
        <f>VLOOKUP($A195,lmic_raw[],31,FALSE)*(1-interactive!$C$7)</f>
        <v>4.8112248026353766E-4</v>
      </c>
      <c r="AF195" s="94">
        <f>VLOOKUP($A195,lmic_raw[],32,FALSE)*(1-interactive!$C$7)</f>
        <v>4.2516812768343719E-4</v>
      </c>
      <c r="AG195" s="94">
        <f>VLOOKUP($A195,lmic_raw[],33,FALSE)*(1-interactive!$C$7)</f>
        <v>8.9141969903277455E-4</v>
      </c>
      <c r="AH195" s="94">
        <f>VLOOKUP($A195,lmic_raw[],34,FALSE)*(1-interactive!$C$7)</f>
        <v>1.1712550695476478E-3</v>
      </c>
      <c r="AI195" s="94">
        <f>VLOOKUP($A195,lmic_raw[],35,FALSE)*(1-interactive!$C$7)</f>
        <v>1.2412153794612581E-3</v>
      </c>
      <c r="AJ195" s="94">
        <f>VLOOKUP($A195,lmic_raw[],36,FALSE)*(1-interactive!$C$7)</f>
        <v>1.4764995638156372E-3</v>
      </c>
      <c r="AK195" s="94">
        <f>VLOOKUP($A195,lmic_raw[],37,FALSE)*(1-interactive!$C$7)</f>
        <v>1.9864591670799478E-3</v>
      </c>
      <c r="AL195" s="94">
        <f>VLOOKUP($A195,lmic_raw[],38,FALSE)*(1-interactive!$C$7)</f>
        <v>2.8497820237502118E-3</v>
      </c>
      <c r="AM195" s="94">
        <f>VLOOKUP($A195,lmic_raw[],39,FALSE)*(1-interactive!$C$7)</f>
        <v>4.3663869259866093E-3</v>
      </c>
      <c r="AN195" s="94">
        <f>VLOOKUP($A195,lmic_raw[],40,FALSE)*(1-interactive!$C$7)</f>
        <v>6.7520635158571218E-3</v>
      </c>
      <c r="AO195" s="94">
        <f>VLOOKUP($A195,lmic_raw[],41,FALSE)*(1-interactive!$C$7)</f>
        <v>1.0485710350985602E-2</v>
      </c>
      <c r="AP195" s="94">
        <f>VLOOKUP($A195,lmic_raw[],42,FALSE)*(1-interactive!$C$7)</f>
        <v>1.6158428876009805E-2</v>
      </c>
      <c r="AQ195" s="94">
        <f>VLOOKUP($A195,lmic_raw[],43,FALSE)*(1-interactive!$C$7)</f>
        <v>2.4502811474040997E-2</v>
      </c>
      <c r="AR195" s="94">
        <f>VLOOKUP($A195,lmic_raw[],44,FALSE)*(1-interactive!$C$7)</f>
        <v>3.7508987442541421E-2</v>
      </c>
      <c r="AS195" s="94">
        <f>VLOOKUP($A195,lmic_raw[],45,FALSE)*(1-interactive!$C$7)</f>
        <v>5.7953958692443013E-2</v>
      </c>
      <c r="AT195" s="94">
        <f>VLOOKUP($A195,lmic_raw[],46,FALSE)*(1-interactive!$C$7)</f>
        <v>8.4948585671753729E-2</v>
      </c>
      <c r="AU195" s="94">
        <f>VLOOKUP($A195,lmic_raw[],47,FALSE)*(1-interactive!$C$7)</f>
        <v>0.11671643713753929</v>
      </c>
      <c r="AV195" s="94">
        <f>VLOOKUP($A195,lmic_raw[],48,FALSE)*(1-interactive!$C$7)</f>
        <v>0.1447334702434302</v>
      </c>
      <c r="AW195" s="94">
        <f>VLOOKUP($A195,lmic_raw[],49,FALSE)*(1-interactive!$C$7)</f>
        <v>0.16546159770789753</v>
      </c>
      <c r="AX195" s="94">
        <f>VLOOKUP($A195,lmic_raw[],50,FALSE)*(1-interactive!$C$7)</f>
        <v>67.838549999999998</v>
      </c>
    </row>
    <row r="196" spans="1:50" x14ac:dyDescent="0.25">
      <c r="A196" s="82" t="s">
        <v>195</v>
      </c>
      <c r="B196" s="101" t="s">
        <v>440</v>
      </c>
      <c r="C196" s="102">
        <v>364</v>
      </c>
      <c r="D196" s="121" t="s">
        <v>673</v>
      </c>
      <c r="E196" s="98" t="s">
        <v>579</v>
      </c>
      <c r="F196" s="98" t="s">
        <v>579</v>
      </c>
      <c r="G196" s="98" t="s">
        <v>676</v>
      </c>
      <c r="H196" s="98">
        <f>VLOOKUP(lmic_raw_lb[[#This Row],[setting]],lmic_raw[],8,FALSE)</f>
        <v>82913893</v>
      </c>
      <c r="I196" s="98">
        <f>VLOOKUP(lmic_raw_lb[[#This Row],[setting]],lmic_raw[],9,FALSE)</f>
        <v>1583406.6146210001</v>
      </c>
      <c r="J196" s="98">
        <f>VLOOKUP($A196,lmic_raw[],10,FALSE)*(1-interactive!$C$7)</f>
        <v>0.90534999999999988</v>
      </c>
      <c r="K196" s="98">
        <f>VLOOKUP($A196,lmic_raw[],11,FALSE)*(1-interactive!$C$7)</f>
        <v>0.90249999999999997</v>
      </c>
      <c r="L196" s="98">
        <f>VLOOKUP($A196,lmic_raw[],12,FALSE)*(1-interactive!$C$7)</f>
        <v>0.9405</v>
      </c>
      <c r="M196" s="98">
        <f>IFERROR(VLOOKUP(lmic_raw_lb[[#This Row],[iso3]], hbv_prev[[iso3]:[ub]],3,FALSE)/100,0)</f>
        <v>1.1000000000000001E-3</v>
      </c>
      <c r="N196" s="98">
        <f>IFERROR(VLOOKUP(lmic_raw_lb[[#This Row],[setting]],hbe_prev[],4,FALSE),0)</f>
        <v>0.14980000000000002</v>
      </c>
      <c r="O196" s="98">
        <f>VLOOKUP(lmic_raw_lb[[#This Row],[gbd_super]],hbe_risk[],3,FALSE)</f>
        <v>0.7</v>
      </c>
      <c r="P196" s="98">
        <f>VLOOKUP(lmic_raw_lb[[#This Row],[gbd_super]],hbe_risk[],6,FALSE)</f>
        <v>0.05</v>
      </c>
      <c r="Q196" s="98">
        <f>VLOOKUP(lmic_raw_lb[[#This Row],[setting]],lmic_raw[],17,FALSE)*(1-interactive!$C$7)</f>
        <v>9.9897966622822132</v>
      </c>
      <c r="R196" s="98">
        <f>VLOOKUP(lmic_raw_lb[[#This Row],[setting]],lmic_raw[],18,FALSE)*(1-interactive!$C$7)</f>
        <v>44.019105000000003</v>
      </c>
      <c r="S196" s="98">
        <f>VLOOKUP(lmic_raw_lb[[#This Row],[setting]],lmic_raw[],19,FALSE)*(1-interactive!$C$7)</f>
        <v>89.374005000000011</v>
      </c>
      <c r="T196" s="98">
        <f>VLOOKUP(lmic_raw_lb[[#This Row],[setting]],lmic_raw[],20,FALSE)*(1-interactive!$C$7)</f>
        <v>89.374005000000011</v>
      </c>
      <c r="U196" s="98">
        <f>VLOOKUP(lmic_raw_lb[[#This Row],[setting]],lmic_raw[],21,FALSE)*(1-interactive!$C$7)</f>
        <v>89.374005000000011</v>
      </c>
      <c r="V196" s="33">
        <f>IFERROR(VLOOKUP(lmic_raw_lb[[#This Row],[setting]],vcost_lb[],3,FALSE),0)</f>
        <v>1.6271829196874248</v>
      </c>
      <c r="W196" s="33">
        <f>IFERROR(VLOOKUP(lmic_raw_lb[[#This Row],[setting]],vcost_lb[],4,FALSE),0)</f>
        <v>2.0828029196874249</v>
      </c>
      <c r="X196" s="33">
        <f>IFERROR(VLOOKUP(lmic_raw_lb[[#This Row],[setting]],vcost_lb[],5,FALSE),0)</f>
        <v>1.2573946626825159</v>
      </c>
      <c r="Y196" s="33">
        <f>IFERROR(VLOOKUP(lmic_raw_lb[[#This Row],[setting]],vcost_lb[],6,FALSE),0)</f>
        <v>1.7130146626825158</v>
      </c>
      <c r="Z196" s="33">
        <f>IFERROR(VLOOKUP(lmic_raw_lb[[#This Row],[setting]],vcost_lb[],7,FALSE),0)</f>
        <v>1.7074871907747835</v>
      </c>
      <c r="AA196" s="33">
        <f>IFERROR(VLOOKUP(lmic_raw_lb[[#This Row],[setting]],vcost_lb[],8,FALSE),0)</f>
        <v>1.8403051329251694</v>
      </c>
      <c r="AB196" s="33">
        <f>IFERROR(VLOOKUP(lmic_raw_lb[[#This Row],[setting]],vcost_lb[],9,FALSE),0)</f>
        <v>2.2959251329251695</v>
      </c>
      <c r="AC196" s="98">
        <f>VLOOKUP($A196,lmic_raw[],29,FALSE)*(1-interactive!$C$7)</f>
        <v>1.2176577499999956E-2</v>
      </c>
      <c r="AD196" s="98">
        <f>VLOOKUP($A196,lmic_raw[],30,FALSE)*(1-interactive!$C$7)</f>
        <v>5.0523051688871343E-4</v>
      </c>
      <c r="AE196" s="98">
        <f>VLOOKUP($A196,lmic_raw[],31,FALSE)*(1-interactive!$C$7)</f>
        <v>1.6712427130344295E-4</v>
      </c>
      <c r="AF196" s="98">
        <f>VLOOKUP($A196,lmic_raw[],32,FALSE)*(1-interactive!$C$7)</f>
        <v>1.8614754351952011E-4</v>
      </c>
      <c r="AG196" s="98">
        <f>VLOOKUP($A196,lmic_raw[],33,FALSE)*(1-interactive!$C$7)</f>
        <v>4.0538283688251807E-4</v>
      </c>
      <c r="AH196" s="98">
        <f>VLOOKUP($A196,lmic_raw[],34,FALSE)*(1-interactive!$C$7)</f>
        <v>7.214393973838521E-4</v>
      </c>
      <c r="AI196" s="98">
        <f>VLOOKUP($A196,lmic_raw[],35,FALSE)*(1-interactive!$C$7)</f>
        <v>5.621962463052396E-4</v>
      </c>
      <c r="AJ196" s="98">
        <f>VLOOKUP($A196,lmic_raw[],36,FALSE)*(1-interactive!$C$7)</f>
        <v>6.1280662403239263E-4</v>
      </c>
      <c r="AK196" s="98">
        <f>VLOOKUP($A196,lmic_raw[],37,FALSE)*(1-interactive!$C$7)</f>
        <v>6.7054005210020952E-4</v>
      </c>
      <c r="AL196" s="98">
        <f>VLOOKUP($A196,lmic_raw[],38,FALSE)*(1-interactive!$C$7)</f>
        <v>9.8768836594111771E-4</v>
      </c>
      <c r="AM196" s="98">
        <f>VLOOKUP($A196,lmic_raw[],39,FALSE)*(1-interactive!$C$7)</f>
        <v>1.6527202149349742E-3</v>
      </c>
      <c r="AN196" s="98">
        <f>VLOOKUP($A196,lmic_raw[],40,FALSE)*(1-interactive!$C$7)</f>
        <v>3.0771693047141166E-3</v>
      </c>
      <c r="AO196" s="98">
        <f>VLOOKUP($A196,lmic_raw[],41,FALSE)*(1-interactive!$C$7)</f>
        <v>4.5583518045280401E-3</v>
      </c>
      <c r="AP196" s="98">
        <f>VLOOKUP($A196,lmic_raw[],42,FALSE)*(1-interactive!$C$7)</f>
        <v>8.4264868272173245E-3</v>
      </c>
      <c r="AQ196" s="98">
        <f>VLOOKUP($A196,lmic_raw[],43,FALSE)*(1-interactive!$C$7)</f>
        <v>1.5354750145581632E-2</v>
      </c>
      <c r="AR196" s="98">
        <f>VLOOKUP($A196,lmic_raw[],44,FALSE)*(1-interactive!$C$7)</f>
        <v>3.0609009598516587E-2</v>
      </c>
      <c r="AS196" s="98">
        <f>VLOOKUP($A196,lmic_raw[],45,FALSE)*(1-interactive!$C$7)</f>
        <v>6.0827125542031693E-2</v>
      </c>
      <c r="AT196" s="98">
        <f>VLOOKUP($A196,lmic_raw[],46,FALSE)*(1-interactive!$C$7)</f>
        <v>8.7543564897937881E-2</v>
      </c>
      <c r="AU196" s="98">
        <f>VLOOKUP($A196,lmic_raw[],47,FALSE)*(1-interactive!$C$7)</f>
        <v>0.11934822028144469</v>
      </c>
      <c r="AV196" s="98">
        <f>VLOOKUP($A196,lmic_raw[],48,FALSE)*(1-interactive!$C$7)</f>
        <v>0.14981808619032058</v>
      </c>
      <c r="AW196" s="98">
        <f>VLOOKUP($A196,lmic_raw[],49,FALSE)*(1-interactive!$C$7)</f>
        <v>0.16987327049633713</v>
      </c>
      <c r="AX196" s="98">
        <f>VLOOKUP($A196,lmic_raw[],50,FALSE)*(1-interactive!$C$7)</f>
        <v>72.528700000000001</v>
      </c>
    </row>
    <row r="197" spans="1:50" x14ac:dyDescent="0.25">
      <c r="A197" s="110" t="s">
        <v>170</v>
      </c>
      <c r="B197" s="104" t="s">
        <v>441</v>
      </c>
      <c r="C197" s="105">
        <v>368</v>
      </c>
      <c r="D197" s="122" t="s">
        <v>673</v>
      </c>
      <c r="E197" s="94" t="s">
        <v>579</v>
      </c>
      <c r="F197" s="94" t="s">
        <v>579</v>
      </c>
      <c r="G197" s="94" t="s">
        <v>676</v>
      </c>
      <c r="H197" s="98">
        <f>VLOOKUP(lmic_raw_lb[[#This Row],[setting]],lmic_raw[],8,FALSE)</f>
        <v>39309789</v>
      </c>
      <c r="I197" s="98">
        <f>VLOOKUP(lmic_raw_lb[[#This Row],[setting]],lmic_raw[],9,FALSE)</f>
        <v>1145133.4633589999</v>
      </c>
      <c r="J197" s="94">
        <f>VLOOKUP($A197,lmic_raw[],10,FALSE)*(1-interactive!$C$7)</f>
        <v>0.82269999999999999</v>
      </c>
      <c r="K197" s="94">
        <f>VLOOKUP($A197,lmic_raw[],11,FALSE)*(1-interactive!$C$7)</f>
        <v>0.38949999999999996</v>
      </c>
      <c r="L197" s="94">
        <f>VLOOKUP($A197,lmic_raw[],12,FALSE)*(1-interactive!$C$7)</f>
        <v>0.79799999999999993</v>
      </c>
      <c r="M197" s="94">
        <f>IFERROR(VLOOKUP(lmic_raw_lb[[#This Row],[iso3]], hbv_prev[[iso3]:[ub]],3,FALSE)/100,0)</f>
        <v>1.1000000000000001E-3</v>
      </c>
      <c r="N197" s="94">
        <f>IFERROR(VLOOKUP(lmic_raw_lb[[#This Row],[setting]],hbe_prev[],4,FALSE),0)</f>
        <v>0.14980000000000002</v>
      </c>
      <c r="O197" s="94">
        <f>VLOOKUP(lmic_raw_lb[[#This Row],[gbd_super]],hbe_risk[],3,FALSE)</f>
        <v>0.7</v>
      </c>
      <c r="P197" s="94">
        <f>VLOOKUP(lmic_raw_lb[[#This Row],[gbd_super]],hbe_risk[],6,FALSE)</f>
        <v>0.05</v>
      </c>
      <c r="Q197" s="94">
        <f>VLOOKUP(lmic_raw_lb[[#This Row],[setting]],lmic_raw[],17,FALSE)*(1-interactive!$C$7)</f>
        <v>4.1941394702676433</v>
      </c>
      <c r="R197" s="98">
        <f>VLOOKUP(lmic_raw_lb[[#This Row],[setting]],lmic_raw[],18,FALSE)*(1-interactive!$C$7)</f>
        <v>44.019105000000003</v>
      </c>
      <c r="S197" s="98">
        <f>VLOOKUP(lmic_raw_lb[[#This Row],[setting]],lmic_raw[],19,FALSE)*(1-interactive!$C$7)</f>
        <v>89.374005000000011</v>
      </c>
      <c r="T197" s="98">
        <f>VLOOKUP(lmic_raw_lb[[#This Row],[setting]],lmic_raw[],20,FALSE)*(1-interactive!$C$7)</f>
        <v>89.374005000000011</v>
      </c>
      <c r="U197" s="98">
        <f>VLOOKUP(lmic_raw_lb[[#This Row],[setting]],lmic_raw[],21,FALSE)*(1-interactive!$C$7)</f>
        <v>89.374005000000011</v>
      </c>
      <c r="V197" s="33">
        <f>IFERROR(VLOOKUP(lmic_raw_lb[[#This Row],[setting]],vcost_lb[],3,FALSE),0)</f>
        <v>1.2248117168788946</v>
      </c>
      <c r="W197" s="33">
        <f>IFERROR(VLOOKUP(lmic_raw_lb[[#This Row],[setting]],vcost_lb[],4,FALSE),0)</f>
        <v>1.6804317168788945</v>
      </c>
      <c r="X197" s="33">
        <f>IFERROR(VLOOKUP(lmic_raw_lb[[#This Row],[setting]],vcost_lb[],5,FALSE),0)</f>
        <v>0.85529983750102756</v>
      </c>
      <c r="Y197" s="33">
        <f>IFERROR(VLOOKUP(lmic_raw_lb[[#This Row],[setting]],vcost_lb[],6,FALSE),0)</f>
        <v>1.3109198375010276</v>
      </c>
      <c r="Z197" s="33">
        <f>IFERROR(VLOOKUP(lmic_raw_lb[[#This Row],[setting]],vcost_lb[],7,FALSE),0)</f>
        <v>1.3061934889764495</v>
      </c>
      <c r="AA197" s="33">
        <f>IFERROR(VLOOKUP(lmic_raw_lb[[#This Row],[setting]],vcost_lb[],8,FALSE),0)</f>
        <v>1.4378154825621927</v>
      </c>
      <c r="AB197" s="33">
        <f>IFERROR(VLOOKUP(lmic_raw_lb[[#This Row],[setting]],vcost_lb[],9,FALSE),0)</f>
        <v>1.8934354825621926</v>
      </c>
      <c r="AC197" s="94">
        <f>VLOOKUP($A197,lmic_raw[],29,FALSE)*(1-interactive!$C$7)</f>
        <v>2.2905260000000018E-2</v>
      </c>
      <c r="AD197" s="94">
        <f>VLOOKUP($A197,lmic_raw[],30,FALSE)*(1-interactive!$C$7)</f>
        <v>1.0259826371682476E-3</v>
      </c>
      <c r="AE197" s="94">
        <f>VLOOKUP($A197,lmic_raw[],31,FALSE)*(1-interactive!$C$7)</f>
        <v>6.4430474341568335E-4</v>
      </c>
      <c r="AF197" s="94">
        <f>VLOOKUP($A197,lmic_raw[],32,FALSE)*(1-interactive!$C$7)</f>
        <v>5.3729956660226357E-4</v>
      </c>
      <c r="AG197" s="94">
        <f>VLOOKUP($A197,lmic_raw[],33,FALSE)*(1-interactive!$C$7)</f>
        <v>9.5039358044780929E-4</v>
      </c>
      <c r="AH197" s="94">
        <f>VLOOKUP($A197,lmic_raw[],34,FALSE)*(1-interactive!$C$7)</f>
        <v>1.3443688653697427E-3</v>
      </c>
      <c r="AI197" s="94">
        <f>VLOOKUP($A197,lmic_raw[],35,FALSE)*(1-interactive!$C$7)</f>
        <v>1.447997776043364E-3</v>
      </c>
      <c r="AJ197" s="94">
        <f>VLOOKUP($A197,lmic_raw[],36,FALSE)*(1-interactive!$C$7)</f>
        <v>1.6605167084530117E-3</v>
      </c>
      <c r="AK197" s="94">
        <f>VLOOKUP($A197,lmic_raw[],37,FALSE)*(1-interactive!$C$7)</f>
        <v>2.093552275560108E-3</v>
      </c>
      <c r="AL197" s="94">
        <f>VLOOKUP($A197,lmic_raw[],38,FALSE)*(1-interactive!$C$7)</f>
        <v>2.9362824599895128E-3</v>
      </c>
      <c r="AM197" s="94">
        <f>VLOOKUP($A197,lmic_raw[],39,FALSE)*(1-interactive!$C$7)</f>
        <v>4.4577551096119435E-3</v>
      </c>
      <c r="AN197" s="94">
        <f>VLOOKUP($A197,lmic_raw[],40,FALSE)*(1-interactive!$C$7)</f>
        <v>6.8064963537309963E-3</v>
      </c>
      <c r="AO197" s="94">
        <f>VLOOKUP($A197,lmic_raw[],41,FALSE)*(1-interactive!$C$7)</f>
        <v>1.0522699576347159E-2</v>
      </c>
      <c r="AP197" s="94">
        <f>VLOOKUP($A197,lmic_raw[],42,FALSE)*(1-interactive!$C$7)</f>
        <v>1.6354675115820911E-2</v>
      </c>
      <c r="AQ197" s="94">
        <f>VLOOKUP($A197,lmic_raw[],43,FALSE)*(1-interactive!$C$7)</f>
        <v>2.5879192606524045E-2</v>
      </c>
      <c r="AR197" s="94">
        <f>VLOOKUP($A197,lmic_raw[],44,FALSE)*(1-interactive!$C$7)</f>
        <v>4.090602584247327E-2</v>
      </c>
      <c r="AS197" s="94">
        <f>VLOOKUP($A197,lmic_raw[],45,FALSE)*(1-interactive!$C$7)</f>
        <v>6.2645623398801045E-2</v>
      </c>
      <c r="AT197" s="94">
        <f>VLOOKUP($A197,lmic_raw[],46,FALSE)*(1-interactive!$C$7)</f>
        <v>9.2313976051498783E-2</v>
      </c>
      <c r="AU197" s="94">
        <f>VLOOKUP($A197,lmic_raw[],47,FALSE)*(1-interactive!$C$7)</f>
        <v>0.12425329947591431</v>
      </c>
      <c r="AV197" s="94">
        <f>VLOOKUP($A197,lmic_raw[],48,FALSE)*(1-interactive!$C$7)</f>
        <v>0.15175772633462509</v>
      </c>
      <c r="AW197" s="94">
        <f>VLOOKUP($A197,lmic_raw[],49,FALSE)*(1-interactive!$C$7)</f>
        <v>0.16895628959385356</v>
      </c>
      <c r="AX197" s="94">
        <f>VLOOKUP($A197,lmic_raw[],50,FALSE)*(1-interactive!$C$7)</f>
        <v>66.849599999999995</v>
      </c>
    </row>
    <row r="198" spans="1:50" x14ac:dyDescent="0.25">
      <c r="A198" s="109" t="s">
        <v>239</v>
      </c>
      <c r="B198" s="101" t="s">
        <v>444</v>
      </c>
      <c r="C198" s="102">
        <v>388</v>
      </c>
      <c r="D198" s="121" t="s">
        <v>679</v>
      </c>
      <c r="E198" s="98" t="s">
        <v>223</v>
      </c>
      <c r="F198" s="98" t="s">
        <v>665</v>
      </c>
      <c r="G198" s="98" t="s">
        <v>676</v>
      </c>
      <c r="H198" s="98">
        <f>VLOOKUP(lmic_raw_lb[[#This Row],[setting]],lmic_raw[],8,FALSE)</f>
        <v>2948277</v>
      </c>
      <c r="I198" s="98">
        <f>VLOOKUP(lmic_raw_lb[[#This Row],[setting]],lmic_raw[],9,FALSE)</f>
        <v>47847.587433000001</v>
      </c>
      <c r="J198" s="98">
        <f>VLOOKUP($A198,lmic_raw[],10,FALSE)*(1-interactive!$C$7)</f>
        <v>0.93669999999999998</v>
      </c>
      <c r="K198" s="98">
        <f>VLOOKUP($A198,lmic_raw[],11,FALSE)*(1-interactive!$C$7)</f>
        <v>0</v>
      </c>
      <c r="L198" s="98">
        <f>VLOOKUP($A198,lmic_raw[],12,FALSE)*(1-interactive!$C$7)</f>
        <v>0.91199999999999992</v>
      </c>
      <c r="M198" s="98">
        <f>IFERROR(VLOOKUP(lmic_raw_lb[[#This Row],[iso3]], hbv_prev[[iso3]:[ub]],3,FALSE)/100,0)</f>
        <v>1.1000000000000001E-3</v>
      </c>
      <c r="N198" s="98">
        <f>IFERROR(VLOOKUP(lmic_raw_lb[[#This Row],[setting]],hbe_prev[],4,FALSE),0)</f>
        <v>0.16309999999999999</v>
      </c>
      <c r="O198" s="98">
        <f>VLOOKUP(lmic_raw_lb[[#This Row],[gbd_super]],hbe_risk[],3,FALSE)</f>
        <v>0.7</v>
      </c>
      <c r="P198" s="98">
        <f>VLOOKUP(lmic_raw_lb[[#This Row],[gbd_super]],hbe_risk[],6,FALSE)</f>
        <v>0.05</v>
      </c>
      <c r="Q198" s="98">
        <f>VLOOKUP(lmic_raw_lb[[#This Row],[setting]],lmic_raw[],17,FALSE)*(1-interactive!$C$7)</f>
        <v>8.9862684714470067</v>
      </c>
      <c r="R198" s="98">
        <f>VLOOKUP(lmic_raw_lb[[#This Row],[setting]],lmic_raw[],18,FALSE)*(1-interactive!$C$7)</f>
        <v>82.539704999999998</v>
      </c>
      <c r="S198" s="98">
        <f>VLOOKUP(lmic_raw_lb[[#This Row],[setting]],lmic_raw[],19,FALSE)*(1-interactive!$C$7)</f>
        <v>127.894605</v>
      </c>
      <c r="T198" s="98">
        <f>VLOOKUP(lmic_raw_lb[[#This Row],[setting]],lmic_raw[],20,FALSE)*(1-interactive!$C$7)</f>
        <v>127.894605</v>
      </c>
      <c r="U198" s="98">
        <f>VLOOKUP(lmic_raw_lb[[#This Row],[setting]],lmic_raw[],21,FALSE)*(1-interactive!$C$7)</f>
        <v>127.894605</v>
      </c>
      <c r="V198" s="33">
        <f>IFERROR(VLOOKUP(lmic_raw_lb[[#This Row],[setting]],vcost_lb[],3,FALSE),0)</f>
        <v>3.2643942172457794</v>
      </c>
      <c r="W198" s="33">
        <f>IFERROR(VLOOKUP(lmic_raw_lb[[#This Row],[setting]],vcost_lb[],4,FALSE),0)</f>
        <v>3.2851042172457792</v>
      </c>
      <c r="X198" s="33">
        <f>IFERROR(VLOOKUP(lmic_raw_lb[[#This Row],[setting]],vcost_lb[],5,FALSE),0)</f>
        <v>2.8948071906580188</v>
      </c>
      <c r="Y198" s="33">
        <f>IFERROR(VLOOKUP(lmic_raw_lb[[#This Row],[setting]],vcost_lb[],6,FALSE),0)</f>
        <v>2.9155171906580186</v>
      </c>
      <c r="Z198" s="33">
        <f>IFERROR(VLOOKUP(lmic_raw_lb[[#This Row],[setting]],vcost_lb[],7,FALSE),0)</f>
        <v>2.9103094929867419</v>
      </c>
      <c r="AA198" s="33">
        <f>IFERROR(VLOOKUP(lmic_raw_lb[[#This Row],[setting]],vcost_lb[],8,FALSE),0)</f>
        <v>3.4774301888761747</v>
      </c>
      <c r="AB198" s="33">
        <f>IFERROR(VLOOKUP(lmic_raw_lb[[#This Row],[setting]],vcost_lb[],9,FALSE),0)</f>
        <v>3.4981401888761745</v>
      </c>
      <c r="AC198" s="98">
        <f>VLOOKUP($A198,lmic_raw[],29,FALSE)*(1-interactive!$C$7)</f>
        <v>1.1183960500000052E-2</v>
      </c>
      <c r="AD198" s="98">
        <f>VLOOKUP($A198,lmic_raw[],30,FALSE)*(1-interactive!$C$7)</f>
        <v>7.6759976228545936E-4</v>
      </c>
      <c r="AE198" s="98">
        <f>VLOOKUP($A198,lmic_raw[],31,FALSE)*(1-interactive!$C$7)</f>
        <v>3.2595369907537525E-4</v>
      </c>
      <c r="AF198" s="98">
        <f>VLOOKUP($A198,lmic_raw[],32,FALSE)*(1-interactive!$C$7)</f>
        <v>3.1079553790552291E-4</v>
      </c>
      <c r="AG198" s="98">
        <f>VLOOKUP($A198,lmic_raw[],33,FALSE)*(1-interactive!$C$7)</f>
        <v>7.4947745321963068E-4</v>
      </c>
      <c r="AH198" s="98">
        <f>VLOOKUP($A198,lmic_raw[],34,FALSE)*(1-interactive!$C$7)</f>
        <v>1.0241507369389818E-3</v>
      </c>
      <c r="AI198" s="98">
        <f>VLOOKUP($A198,lmic_raw[],35,FALSE)*(1-interactive!$C$7)</f>
        <v>1.0906282180774961E-3</v>
      </c>
      <c r="AJ198" s="98">
        <f>VLOOKUP($A198,lmic_raw[],36,FALSE)*(1-interactive!$C$7)</f>
        <v>1.3050033032793356E-3</v>
      </c>
      <c r="AK198" s="98">
        <f>VLOOKUP($A198,lmic_raw[],37,FALSE)*(1-interactive!$C$7)</f>
        <v>1.7658877039598052E-3</v>
      </c>
      <c r="AL198" s="98">
        <f>VLOOKUP($A198,lmic_raw[],38,FALSE)*(1-interactive!$C$7)</f>
        <v>2.5816257823881653E-3</v>
      </c>
      <c r="AM198" s="98">
        <f>VLOOKUP($A198,lmic_raw[],39,FALSE)*(1-interactive!$C$7)</f>
        <v>4.0059951195155988E-3</v>
      </c>
      <c r="AN198" s="98">
        <f>VLOOKUP($A198,lmic_raw[],40,FALSE)*(1-interactive!$C$7)</f>
        <v>6.240226828987604E-3</v>
      </c>
      <c r="AO198" s="98">
        <f>VLOOKUP($A198,lmic_raw[],41,FALSE)*(1-interactive!$C$7)</f>
        <v>9.6017170099614909E-3</v>
      </c>
      <c r="AP198" s="98">
        <f>VLOOKUP($A198,lmic_raw[],42,FALSE)*(1-interactive!$C$7)</f>
        <v>1.3453134194440915E-2</v>
      </c>
      <c r="AQ198" s="98">
        <f>VLOOKUP($A198,lmic_raw[],43,FALSE)*(1-interactive!$C$7)</f>
        <v>1.9021432632921435E-2</v>
      </c>
      <c r="AR198" s="98">
        <f>VLOOKUP($A198,lmic_raw[],44,FALSE)*(1-interactive!$C$7)</f>
        <v>2.8732949503984993E-2</v>
      </c>
      <c r="AS198" s="98">
        <f>VLOOKUP($A198,lmic_raw[],45,FALSE)*(1-interactive!$C$7)</f>
        <v>4.6159497716422138E-2</v>
      </c>
      <c r="AT198" s="98">
        <f>VLOOKUP($A198,lmic_raw[],46,FALSE)*(1-interactive!$C$7)</f>
        <v>7.1131507106431027E-2</v>
      </c>
      <c r="AU198" s="98">
        <f>VLOOKUP($A198,lmic_raw[],47,FALSE)*(1-interactive!$C$7)</f>
        <v>0.10228523906004958</v>
      </c>
      <c r="AV198" s="98">
        <f>VLOOKUP($A198,lmic_raw[],48,FALSE)*(1-interactive!$C$7)</f>
        <v>0.1322878701624764</v>
      </c>
      <c r="AW198" s="98">
        <f>VLOOKUP($A198,lmic_raw[],49,FALSE)*(1-interactive!$C$7)</f>
        <v>0.15578765576222733</v>
      </c>
      <c r="AX198" s="98">
        <f>VLOOKUP($A198,lmic_raw[],50,FALSE)*(1-interactive!$C$7)</f>
        <v>70.615399999999994</v>
      </c>
    </row>
    <row r="199" spans="1:50" x14ac:dyDescent="0.25">
      <c r="A199" s="110" t="s">
        <v>172</v>
      </c>
      <c r="B199" s="104" t="s">
        <v>446</v>
      </c>
      <c r="C199" s="105">
        <v>400</v>
      </c>
      <c r="D199" s="122" t="s">
        <v>673</v>
      </c>
      <c r="E199" s="94" t="s">
        <v>579</v>
      </c>
      <c r="F199" s="94" t="s">
        <v>579</v>
      </c>
      <c r="G199" s="94" t="s">
        <v>676</v>
      </c>
      <c r="H199" s="98">
        <f>VLOOKUP(lmic_raw_lb[[#This Row],[setting]],lmic_raw[],8,FALSE)</f>
        <v>10101697</v>
      </c>
      <c r="I199" s="98">
        <f>VLOOKUP(lmic_raw_lb[[#This Row],[setting]],lmic_raw[],9,FALSE)</f>
        <v>222732.31715300001</v>
      </c>
      <c r="J199" s="94">
        <f>VLOOKUP($A199,lmic_raw[],10,FALSE)*(1-interactive!$C$7)</f>
        <v>0.93194999999999995</v>
      </c>
      <c r="K199" s="94">
        <f>VLOOKUP($A199,lmic_raw[],11,FALSE)*(1-interactive!$C$7)</f>
        <v>0</v>
      </c>
      <c r="L199" s="94">
        <f>VLOOKUP($A199,lmic_raw[],12,FALSE)*(1-interactive!$C$7)</f>
        <v>0.84549999999999992</v>
      </c>
      <c r="M199" s="94">
        <f>IFERROR(VLOOKUP(lmic_raw_lb[[#This Row],[iso3]], hbv_prev[[iso3]:[ub]],3,FALSE)/100,0)</f>
        <v>1.6399999999999998E-2</v>
      </c>
      <c r="N199" s="94">
        <f>IFERROR(VLOOKUP(lmic_raw_lb[[#This Row],[setting]],hbe_prev[],4,FALSE),0)</f>
        <v>0.14980000000000002</v>
      </c>
      <c r="O199" s="94">
        <f>VLOOKUP(lmic_raw_lb[[#This Row],[gbd_super]],hbe_risk[],3,FALSE)</f>
        <v>0.7</v>
      </c>
      <c r="P199" s="94">
        <f>VLOOKUP(lmic_raw_lb[[#This Row],[gbd_super]],hbe_risk[],6,FALSE)</f>
        <v>0.05</v>
      </c>
      <c r="Q199" s="94">
        <f>VLOOKUP(lmic_raw_lb[[#This Row],[setting]],lmic_raw[],17,FALSE)*(1-interactive!$C$7)</f>
        <v>0</v>
      </c>
      <c r="R199" s="98">
        <f>VLOOKUP(lmic_raw_lb[[#This Row],[setting]],lmic_raw[],18,FALSE)*(1-interactive!$C$7)</f>
        <v>44.019105000000003</v>
      </c>
      <c r="S199" s="98">
        <f>VLOOKUP(lmic_raw_lb[[#This Row],[setting]],lmic_raw[],19,FALSE)*(1-interactive!$C$7)</f>
        <v>89.374005000000011</v>
      </c>
      <c r="T199" s="98">
        <f>VLOOKUP(lmic_raw_lb[[#This Row],[setting]],lmic_raw[],20,FALSE)*(1-interactive!$C$7)</f>
        <v>89.374005000000011</v>
      </c>
      <c r="U199" s="98">
        <f>VLOOKUP(lmic_raw_lb[[#This Row],[setting]],lmic_raw[],21,FALSE)*(1-interactive!$C$7)</f>
        <v>89.374005000000011</v>
      </c>
      <c r="V199" s="33">
        <f>IFERROR(VLOOKUP(lmic_raw_lb[[#This Row],[setting]],vcost_lb[],3,FALSE),0)</f>
        <v>2.2712405073693454</v>
      </c>
      <c r="W199" s="33">
        <f>IFERROR(VLOOKUP(lmic_raw_lb[[#This Row],[setting]],vcost_lb[],4,FALSE),0)</f>
        <v>2.7268605073693455</v>
      </c>
      <c r="X199" s="33">
        <f>IFERROR(VLOOKUP(lmic_raw_lb[[#This Row],[setting]],vcost_lb[],5,FALSE),0)</f>
        <v>1.9034461848483515</v>
      </c>
      <c r="Y199" s="33">
        <f>IFERROR(VLOOKUP(lmic_raw_lb[[#This Row],[setting]],vcost_lb[],6,FALSE),0)</f>
        <v>2.3590661848483516</v>
      </c>
      <c r="Z199" s="33">
        <f>IFERROR(VLOOKUP(lmic_raw_lb[[#This Row],[setting]],vcost_lb[],7,FALSE),0)</f>
        <v>2.3552390855987664</v>
      </c>
      <c r="AA199" s="33">
        <f>IFERROR(VLOOKUP(lmic_raw_lb[[#This Row],[setting]],vcost_lb[],8,FALSE),0)</f>
        <v>2.4835081772568408</v>
      </c>
      <c r="AB199" s="33">
        <f>IFERROR(VLOOKUP(lmic_raw_lb[[#This Row],[setting]],vcost_lb[],9,FALSE),0)</f>
        <v>2.9391281772568409</v>
      </c>
      <c r="AC199" s="94">
        <f>VLOOKUP($A199,lmic_raw[],29,FALSE)*(1-interactive!$C$7)</f>
        <v>1.3901112499999943E-2</v>
      </c>
      <c r="AD199" s="94">
        <f>VLOOKUP($A199,lmic_raw[],30,FALSE)*(1-interactive!$C$7)</f>
        <v>5.7916591504337948E-4</v>
      </c>
      <c r="AE199" s="94">
        <f>VLOOKUP($A199,lmic_raw[],31,FALSE)*(1-interactive!$C$7)</f>
        <v>3.1187224960774174E-4</v>
      </c>
      <c r="AF199" s="94">
        <f>VLOOKUP($A199,lmic_raw[],32,FALSE)*(1-interactive!$C$7)</f>
        <v>2.6198427887469487E-4</v>
      </c>
      <c r="AG199" s="94">
        <f>VLOOKUP($A199,lmic_raw[],33,FALSE)*(1-interactive!$C$7)</f>
        <v>4.8641858064730153E-4</v>
      </c>
      <c r="AH199" s="94">
        <f>VLOOKUP($A199,lmic_raw[],34,FALSE)*(1-interactive!$C$7)</f>
        <v>6.8031467940150262E-4</v>
      </c>
      <c r="AI199" s="94">
        <f>VLOOKUP($A199,lmic_raw[],35,FALSE)*(1-interactive!$C$7)</f>
        <v>7.3319382933787088E-4</v>
      </c>
      <c r="AJ199" s="94">
        <f>VLOOKUP($A199,lmic_raw[],36,FALSE)*(1-interactive!$C$7)</f>
        <v>8.6509574958743322E-4</v>
      </c>
      <c r="AK199" s="94">
        <f>VLOOKUP($A199,lmic_raw[],37,FALSE)*(1-interactive!$C$7)</f>
        <v>1.1613375968239025E-3</v>
      </c>
      <c r="AL199" s="94">
        <f>VLOOKUP($A199,lmic_raw[],38,FALSE)*(1-interactive!$C$7)</f>
        <v>1.7587110516351365E-3</v>
      </c>
      <c r="AM199" s="94">
        <f>VLOOKUP($A199,lmic_raw[],39,FALSE)*(1-interactive!$C$7)</f>
        <v>2.9566348099198357E-3</v>
      </c>
      <c r="AN199" s="94">
        <f>VLOOKUP($A199,lmic_raw[],40,FALSE)*(1-interactive!$C$7)</f>
        <v>4.8192837668066145E-3</v>
      </c>
      <c r="AO199" s="94">
        <f>VLOOKUP($A199,lmic_raw[],41,FALSE)*(1-interactive!$C$7)</f>
        <v>7.9514662244715012E-3</v>
      </c>
      <c r="AP199" s="94">
        <f>VLOOKUP($A199,lmic_raw[],42,FALSE)*(1-interactive!$C$7)</f>
        <v>1.2722304524474579E-2</v>
      </c>
      <c r="AQ199" s="94">
        <f>VLOOKUP($A199,lmic_raw[],43,FALSE)*(1-interactive!$C$7)</f>
        <v>2.1018061895350815E-2</v>
      </c>
      <c r="AR199" s="94">
        <f>VLOOKUP($A199,lmic_raw[],44,FALSE)*(1-interactive!$C$7)</f>
        <v>3.437813604581396E-2</v>
      </c>
      <c r="AS199" s="94">
        <f>VLOOKUP($A199,lmic_raw[],45,FALSE)*(1-interactive!$C$7)</f>
        <v>5.475833001760036E-2</v>
      </c>
      <c r="AT199" s="94">
        <f>VLOOKUP($A199,lmic_raw[],46,FALSE)*(1-interactive!$C$7)</f>
        <v>8.4421697125510189E-2</v>
      </c>
      <c r="AU199" s="94">
        <f>VLOOKUP($A199,lmic_raw[],47,FALSE)*(1-interactive!$C$7)</f>
        <v>0.11721309865415828</v>
      </c>
      <c r="AV199" s="94">
        <f>VLOOKUP($A199,lmic_raw[],48,FALSE)*(1-interactive!$C$7)</f>
        <v>0.14698254819329756</v>
      </c>
      <c r="AW199" s="94">
        <f>VLOOKUP($A199,lmic_raw[],49,FALSE)*(1-interactive!$C$7)</f>
        <v>0.16772213601864666</v>
      </c>
      <c r="AX199" s="94">
        <f>VLOOKUP($A199,lmic_raw[],50,FALSE)*(1-interactive!$C$7)</f>
        <v>70.610649999999993</v>
      </c>
    </row>
    <row r="200" spans="1:50" x14ac:dyDescent="0.25">
      <c r="A200" s="109" t="s">
        <v>185</v>
      </c>
      <c r="B200" s="101" t="s">
        <v>447</v>
      </c>
      <c r="C200" s="102">
        <v>398</v>
      </c>
      <c r="D200" s="121" t="s">
        <v>675</v>
      </c>
      <c r="E200" s="98" t="s">
        <v>184</v>
      </c>
      <c r="F200" s="98" t="s">
        <v>663</v>
      </c>
      <c r="G200" s="98" t="s">
        <v>676</v>
      </c>
      <c r="H200" s="98">
        <f>VLOOKUP(lmic_raw_lb[[#This Row],[setting]],lmic_raw[],8,FALSE)</f>
        <v>18551428</v>
      </c>
      <c r="I200" s="98">
        <f>VLOOKUP(lmic_raw_lb[[#This Row],[setting]],lmic_raw[],9,FALSE)</f>
        <v>396573.87635599996</v>
      </c>
      <c r="J200" s="98">
        <f>VLOOKUP($A200,lmic_raw[],10,FALSE)*(1-interactive!$C$7)</f>
        <v>0.94334999999999991</v>
      </c>
      <c r="K200" s="98">
        <f>VLOOKUP($A200,lmic_raw[],11,FALSE)*(1-interactive!$C$7)</f>
        <v>0.88349999999999995</v>
      </c>
      <c r="L200" s="98">
        <f>VLOOKUP($A200,lmic_raw[],12,FALSE)*(1-interactive!$C$7)</f>
        <v>0.92149999999999999</v>
      </c>
      <c r="M200" s="98">
        <f>IFERROR(VLOOKUP(lmic_raw_lb[[#This Row],[iso3]], hbv_prev[[iso3]:[ub]],3,FALSE)/100,0)</f>
        <v>1.2199999999999999E-2</v>
      </c>
      <c r="N200" s="98">
        <f>IFERROR(VLOOKUP(lmic_raw_lb[[#This Row],[setting]],hbe_prev[],4,FALSE),0)</f>
        <v>0.16309999999999999</v>
      </c>
      <c r="O200" s="98">
        <f>VLOOKUP(lmic_raw_lb[[#This Row],[gbd_super]],hbe_risk[],3,FALSE)</f>
        <v>0.7</v>
      </c>
      <c r="P200" s="98">
        <f>VLOOKUP(lmic_raw_lb[[#This Row],[gbd_super]],hbe_risk[],6,FALSE)</f>
        <v>0.05</v>
      </c>
      <c r="Q200" s="98">
        <f>VLOOKUP(lmic_raw_lb[[#This Row],[setting]],lmic_raw[],17,FALSE)*(1-interactive!$C$7)</f>
        <v>10.677608118922075</v>
      </c>
      <c r="R200" s="98">
        <f>VLOOKUP(lmic_raw_lb[[#This Row],[setting]],lmic_raw[],18,FALSE)*(1-interactive!$C$7)</f>
        <v>42.31053</v>
      </c>
      <c r="S200" s="98">
        <f>VLOOKUP(lmic_raw_lb[[#This Row],[setting]],lmic_raw[],19,FALSE)*(1-interactive!$C$7)</f>
        <v>87.665430000000001</v>
      </c>
      <c r="T200" s="98">
        <f>VLOOKUP(lmic_raw_lb[[#This Row],[setting]],lmic_raw[],20,FALSE)*(1-interactive!$C$7)</f>
        <v>87.665430000000001</v>
      </c>
      <c r="U200" s="98">
        <f>VLOOKUP(lmic_raw_lb[[#This Row],[setting]],lmic_raw[],21,FALSE)*(1-interactive!$C$7)</f>
        <v>87.665430000000001</v>
      </c>
      <c r="V200" s="33">
        <f>IFERROR(VLOOKUP(lmic_raw_lb[[#This Row],[setting]],vcost_lb[],3,FALSE),0)</f>
        <v>2.3187105374204924</v>
      </c>
      <c r="W200" s="33">
        <f>IFERROR(VLOOKUP(lmic_raw_lb[[#This Row],[setting]],vcost_lb[],4,FALSE),0)</f>
        <v>6.1811255374204928</v>
      </c>
      <c r="X200" s="33">
        <f>IFERROR(VLOOKUP(lmic_raw_lb[[#This Row],[setting]],vcost_lb[],5,FALSE),0)</f>
        <v>1.9440932613490263</v>
      </c>
      <c r="Y200" s="33">
        <f>IFERROR(VLOOKUP(lmic_raw_lb[[#This Row],[setting]],vcost_lb[],6,FALSE),0)</f>
        <v>5.8065082613490269</v>
      </c>
      <c r="Z200" s="33">
        <f>IFERROR(VLOOKUP(lmic_raw_lb[[#This Row],[setting]],vcost_lb[],7,FALSE),0)</f>
        <v>5.7983576755316211</v>
      </c>
      <c r="AA200" s="33">
        <f>IFERROR(VLOOKUP(lmic_raw_lb[[#This Row],[setting]],vcost_lb[],8,FALSE),0)</f>
        <v>2.53390233025819</v>
      </c>
      <c r="AB200" s="33">
        <f>IFERROR(VLOOKUP(lmic_raw_lb[[#This Row],[setting]],vcost_lb[],9,FALSE),0)</f>
        <v>6.3963173302581904</v>
      </c>
      <c r="AC200" s="98">
        <f>VLOOKUP($A200,lmic_raw[],29,FALSE)*(1-interactive!$C$7)</f>
        <v>7.2899675000000497E-3</v>
      </c>
      <c r="AD200" s="98">
        <f>VLOOKUP($A200,lmic_raw[],30,FALSE)*(1-interactive!$C$7)</f>
        <v>5.3083418574946311E-4</v>
      </c>
      <c r="AE200" s="98">
        <f>VLOOKUP($A200,lmic_raw[],31,FALSE)*(1-interactive!$C$7)</f>
        <v>2.5986275583701225E-4</v>
      </c>
      <c r="AF200" s="98">
        <f>VLOOKUP($A200,lmic_raw[],32,FALSE)*(1-interactive!$C$7)</f>
        <v>2.7824527963590925E-4</v>
      </c>
      <c r="AG200" s="98">
        <f>VLOOKUP($A200,lmic_raw[],33,FALSE)*(1-interactive!$C$7)</f>
        <v>5.6104587040702871E-4</v>
      </c>
      <c r="AH200" s="98">
        <f>VLOOKUP($A200,lmic_raw[],34,FALSE)*(1-interactive!$C$7)</f>
        <v>8.2462193092057835E-4</v>
      </c>
      <c r="AI200" s="98">
        <f>VLOOKUP($A200,lmic_raw[],35,FALSE)*(1-interactive!$C$7)</f>
        <v>1.0756383029195131E-3</v>
      </c>
      <c r="AJ200" s="98">
        <f>VLOOKUP($A200,lmic_raw[],36,FALSE)*(1-interactive!$C$7)</f>
        <v>1.6493957641617906E-3</v>
      </c>
      <c r="AK200" s="98">
        <f>VLOOKUP($A200,lmic_raw[],37,FALSE)*(1-interactive!$C$7)</f>
        <v>2.6268828959796994E-3</v>
      </c>
      <c r="AL200" s="98">
        <f>VLOOKUP($A200,lmic_raw[],38,FALSE)*(1-interactive!$C$7)</f>
        <v>3.6210489065264979E-3</v>
      </c>
      <c r="AM200" s="98">
        <f>VLOOKUP($A200,lmic_raw[],39,FALSE)*(1-interactive!$C$7)</f>
        <v>4.8553143395240004E-3</v>
      </c>
      <c r="AN200" s="98">
        <f>VLOOKUP($A200,lmic_raw[],40,FALSE)*(1-interactive!$C$7)</f>
        <v>6.7925987869334684E-3</v>
      </c>
      <c r="AO200" s="98">
        <f>VLOOKUP($A200,lmic_raw[],41,FALSE)*(1-interactive!$C$7)</f>
        <v>1.0189283450566265E-2</v>
      </c>
      <c r="AP200" s="98">
        <f>VLOOKUP($A200,lmic_raw[],42,FALSE)*(1-interactive!$C$7)</f>
        <v>1.5711752580827729E-2</v>
      </c>
      <c r="AQ200" s="98">
        <f>VLOOKUP($A200,lmic_raw[],43,FALSE)*(1-interactive!$C$7)</f>
        <v>2.3492002936812448E-2</v>
      </c>
      <c r="AR200" s="98">
        <f>VLOOKUP($A200,lmic_raw[],44,FALSE)*(1-interactive!$C$7)</f>
        <v>3.2854746244385759E-2</v>
      </c>
      <c r="AS200" s="98">
        <f>VLOOKUP($A200,lmic_raw[],45,FALSE)*(1-interactive!$C$7)</f>
        <v>5.1561221084653504E-2</v>
      </c>
      <c r="AT200" s="98">
        <f>VLOOKUP($A200,lmic_raw[],46,FALSE)*(1-interactive!$C$7)</f>
        <v>7.5699500501644382E-2</v>
      </c>
      <c r="AU200" s="98">
        <f>VLOOKUP($A200,lmic_raw[],47,FALSE)*(1-interactive!$C$7)</f>
        <v>0.10563124341170331</v>
      </c>
      <c r="AV200" s="98">
        <f>VLOOKUP($A200,lmic_raw[],48,FALSE)*(1-interactive!$C$7)</f>
        <v>0.13702436295945719</v>
      </c>
      <c r="AW200" s="98">
        <f>VLOOKUP($A200,lmic_raw[],49,FALSE)*(1-interactive!$C$7)</f>
        <v>0.16122366444678765</v>
      </c>
      <c r="AX200" s="98">
        <f>VLOOKUP($A200,lmic_raw[],50,FALSE)*(1-interactive!$C$7)</f>
        <v>69.563749999999985</v>
      </c>
    </row>
    <row r="201" spans="1:50" x14ac:dyDescent="0.25">
      <c r="A201" s="110" t="s">
        <v>106</v>
      </c>
      <c r="B201" s="104" t="s">
        <v>448</v>
      </c>
      <c r="C201" s="105">
        <v>404</v>
      </c>
      <c r="D201" s="122" t="s">
        <v>677</v>
      </c>
      <c r="E201" s="94" t="s">
        <v>597</v>
      </c>
      <c r="F201" s="94" t="s">
        <v>667</v>
      </c>
      <c r="G201" s="94" t="s">
        <v>678</v>
      </c>
      <c r="H201" s="98">
        <f>VLOOKUP(lmic_raw_lb[[#This Row],[setting]],lmic_raw[],8,FALSE)</f>
        <v>52573967</v>
      </c>
      <c r="I201" s="98">
        <f>VLOOKUP(lmic_raw_lb[[#This Row],[setting]],lmic_raw[],9,FALSE)</f>
        <v>1519650.5161349999</v>
      </c>
      <c r="J201" s="94">
        <f>VLOOKUP($A201,lmic_raw[],10,FALSE)*(1-interactive!$C$7)</f>
        <v>0.58139999999999992</v>
      </c>
      <c r="K201" s="94">
        <f>VLOOKUP($A201,lmic_raw[],11,FALSE)*(1-interactive!$C$7)</f>
        <v>0</v>
      </c>
      <c r="L201" s="94">
        <f>VLOOKUP($A201,lmic_raw[],12,FALSE)*(1-interactive!$C$7)</f>
        <v>0.874</v>
      </c>
      <c r="M201" s="94">
        <f>IFERROR(VLOOKUP(lmic_raw_lb[[#This Row],[iso3]], hbv_prev[[iso3]:[ub]],3,FALSE)/100,0)</f>
        <v>1.6299999999999999E-2</v>
      </c>
      <c r="N201" s="94">
        <f>IFERROR(VLOOKUP(lmic_raw_lb[[#This Row],[setting]],hbe_prev[],4,FALSE),0)</f>
        <v>0.15560000000000002</v>
      </c>
      <c r="O201" s="94">
        <f>VLOOKUP(lmic_raw_lb[[#This Row],[gbd_super]],hbe_risk[],3,FALSE)</f>
        <v>7.0000000000000007E-2</v>
      </c>
      <c r="P201" s="94">
        <f>VLOOKUP(lmic_raw_lb[[#This Row],[gbd_super]],hbe_risk[],6,FALSE)</f>
        <v>1E-3</v>
      </c>
      <c r="Q201" s="94">
        <f>VLOOKUP(lmic_raw_lb[[#This Row],[setting]],lmic_raw[],17,FALSE)*(1-interactive!$C$7)</f>
        <v>2.9876505217354268</v>
      </c>
      <c r="R201" s="98">
        <f>VLOOKUP(lmic_raw_lb[[#This Row],[setting]],lmic_raw[],18,FALSE)*(1-interactive!$C$7)</f>
        <v>28.424474999999997</v>
      </c>
      <c r="S201" s="98">
        <f>VLOOKUP(lmic_raw_lb[[#This Row],[setting]],lmic_raw[],19,FALSE)*(1-interactive!$C$7)</f>
        <v>73.779375000000002</v>
      </c>
      <c r="T201" s="98">
        <f>VLOOKUP(lmic_raw_lb[[#This Row],[setting]],lmic_raw[],20,FALSE)*(1-interactive!$C$7)</f>
        <v>73.779375000000002</v>
      </c>
      <c r="U201" s="98">
        <f>VLOOKUP(lmic_raw_lb[[#This Row],[setting]],lmic_raw[],21,FALSE)*(1-interactive!$C$7)</f>
        <v>73.779375000000002</v>
      </c>
      <c r="V201" s="33">
        <f>IFERROR(VLOOKUP(lmic_raw_lb[[#This Row],[setting]],vcost_lb[],3,FALSE),0)</f>
        <v>1.1756843122973613</v>
      </c>
      <c r="W201" s="33">
        <f>IFERROR(VLOOKUP(lmic_raw_lb[[#This Row],[setting]],vcost_lb[],4,FALSE),0)</f>
        <v>5.7629493122973621</v>
      </c>
      <c r="X201" s="33">
        <f>IFERROR(VLOOKUP(lmic_raw_lb[[#This Row],[setting]],vcost_lb[],5,FALSE),0)</f>
        <v>0.80943665833541967</v>
      </c>
      <c r="Y201" s="33">
        <f>IFERROR(VLOOKUP(lmic_raw_lb[[#This Row],[setting]],vcost_lb[],6,FALSE),0)</f>
        <v>5.3967016583354201</v>
      </c>
      <c r="Z201" s="33">
        <f>IFERROR(VLOOKUP(lmic_raw_lb[[#This Row],[setting]],vcost_lb[],7,FALSE),0)</f>
        <v>5.3940289757711835</v>
      </c>
      <c r="AA201" s="33">
        <f>IFERROR(VLOOKUP(lmic_raw_lb[[#This Row],[setting]],vcost_lb[],8,FALSE),0)</f>
        <v>1.3872891242309768</v>
      </c>
      <c r="AB201" s="33">
        <f>IFERROR(VLOOKUP(lmic_raw_lb[[#This Row],[setting]],vcost_lb[],9,FALSE),0)</f>
        <v>5.974554124230977</v>
      </c>
      <c r="AC201" s="94">
        <f>VLOOKUP($A201,lmic_raw[],29,FALSE)*(1-interactive!$C$7)</f>
        <v>3.4553096000000047E-2</v>
      </c>
      <c r="AD201" s="94">
        <f>VLOOKUP($A201,lmic_raw[],30,FALSE)*(1-interactive!$C$7)</f>
        <v>2.7339646369047943E-3</v>
      </c>
      <c r="AE201" s="94">
        <f>VLOOKUP($A201,lmic_raw[],31,FALSE)*(1-interactive!$C$7)</f>
        <v>8.4434242340849727E-4</v>
      </c>
      <c r="AF201" s="94">
        <f>VLOOKUP($A201,lmic_raw[],32,FALSE)*(1-interactive!$C$7)</f>
        <v>6.8582338591078229E-4</v>
      </c>
      <c r="AG201" s="94">
        <f>VLOOKUP($A201,lmic_raw[],33,FALSE)*(1-interactive!$C$7)</f>
        <v>1.1908887524835054E-3</v>
      </c>
      <c r="AH201" s="94">
        <f>VLOOKUP($A201,lmic_raw[],34,FALSE)*(1-interactive!$C$7)</f>
        <v>1.9143543338703032E-3</v>
      </c>
      <c r="AI201" s="94">
        <f>VLOOKUP($A201,lmic_raw[],35,FALSE)*(1-interactive!$C$7)</f>
        <v>2.6356209421926559E-3</v>
      </c>
      <c r="AJ201" s="94">
        <f>VLOOKUP($A201,lmic_raw[],36,FALSE)*(1-interactive!$C$7)</f>
        <v>3.4362730580454102E-3</v>
      </c>
      <c r="AK201" s="94">
        <f>VLOOKUP($A201,lmic_raw[],37,FALSE)*(1-interactive!$C$7)</f>
        <v>4.5932433929386854E-3</v>
      </c>
      <c r="AL201" s="94">
        <f>VLOOKUP($A201,lmic_raw[],38,FALSE)*(1-interactive!$C$7)</f>
        <v>5.7735412786086735E-3</v>
      </c>
      <c r="AM201" s="94">
        <f>VLOOKUP($A201,lmic_raw[],39,FALSE)*(1-interactive!$C$7)</f>
        <v>7.2581936082924967E-3</v>
      </c>
      <c r="AN201" s="94">
        <f>VLOOKUP($A201,lmic_raw[],40,FALSE)*(1-interactive!$C$7)</f>
        <v>9.7714353716543811E-3</v>
      </c>
      <c r="AO201" s="94">
        <f>VLOOKUP($A201,lmic_raw[],41,FALSE)*(1-interactive!$C$7)</f>
        <v>1.2651247401441407E-2</v>
      </c>
      <c r="AP201" s="94">
        <f>VLOOKUP($A201,lmic_raw[],42,FALSE)*(1-interactive!$C$7)</f>
        <v>1.8066508419334458E-2</v>
      </c>
      <c r="AQ201" s="94">
        <f>VLOOKUP($A201,lmic_raw[],43,FALSE)*(1-interactive!$C$7)</f>
        <v>2.6912745015916267E-2</v>
      </c>
      <c r="AR201" s="94">
        <f>VLOOKUP($A201,lmic_raw[],44,FALSE)*(1-interactive!$C$7)</f>
        <v>4.0692427216648987E-2</v>
      </c>
      <c r="AS201" s="94">
        <f>VLOOKUP($A201,lmic_raw[],45,FALSE)*(1-interactive!$C$7)</f>
        <v>6.1431662682737823E-2</v>
      </c>
      <c r="AT201" s="94">
        <f>VLOOKUP($A201,lmic_raw[],46,FALSE)*(1-interactive!$C$7)</f>
        <v>9.2356305067431463E-2</v>
      </c>
      <c r="AU201" s="94">
        <f>VLOOKUP($A201,lmic_raw[],47,FALSE)*(1-interactive!$C$7)</f>
        <v>0.13003850817267606</v>
      </c>
      <c r="AV201" s="94">
        <f>VLOOKUP($A201,lmic_raw[],48,FALSE)*(1-interactive!$C$7)</f>
        <v>0.16365423678515964</v>
      </c>
      <c r="AW201" s="94">
        <f>VLOOKUP($A201,lmic_raw[],49,FALSE)*(1-interactive!$C$7)</f>
        <v>0.17741853318210629</v>
      </c>
      <c r="AX201" s="94">
        <f>VLOOKUP($A201,lmic_raw[],50,FALSE)*(1-interactive!$C$7)</f>
        <v>62.869099999999996</v>
      </c>
    </row>
    <row r="202" spans="1:50" x14ac:dyDescent="0.25">
      <c r="A202" s="109" t="s">
        <v>288</v>
      </c>
      <c r="B202" s="101" t="s">
        <v>449</v>
      </c>
      <c r="C202" s="102">
        <v>296</v>
      </c>
      <c r="D202" s="121" t="s">
        <v>681</v>
      </c>
      <c r="E202" s="98" t="s">
        <v>98</v>
      </c>
      <c r="F202" s="98" t="s">
        <v>666</v>
      </c>
      <c r="G202" s="98" t="s">
        <v>678</v>
      </c>
      <c r="H202" s="98">
        <f>VLOOKUP(lmic_raw_lb[[#This Row],[setting]],lmic_raw[],8,FALSE)</f>
        <v>117608</v>
      </c>
      <c r="I202" s="98">
        <f>VLOOKUP(lmic_raw_lb[[#This Row],[setting]],lmic_raw[],9,FALSE)</f>
        <v>3301.6093840000003</v>
      </c>
      <c r="J202" s="98">
        <f>VLOOKUP($A202,lmic_raw[],10,FALSE)*(1-interactive!$C$7)</f>
        <v>0.81794999999999995</v>
      </c>
      <c r="K202" s="98">
        <f>VLOOKUP($A202,lmic_raw[],11,FALSE)*(1-interactive!$C$7)</f>
        <v>0.9405</v>
      </c>
      <c r="L202" s="98">
        <f>VLOOKUP($A202,lmic_raw[],12,FALSE)*(1-interactive!$C$7)</f>
        <v>0.8929999999999999</v>
      </c>
      <c r="M202" s="98">
        <f>IFERROR(VLOOKUP(lmic_raw_lb[[#This Row],[iso3]], hbv_prev[[iso3]:[ub]],3,FALSE)/100,0)</f>
        <v>0.12279999999999999</v>
      </c>
      <c r="N202" s="98">
        <f>IFERROR(VLOOKUP(lmic_raw_lb[[#This Row],[setting]],hbe_prev[],4,FALSE),0)</f>
        <v>0.1832</v>
      </c>
      <c r="O202" s="98">
        <f>VLOOKUP(lmic_raw_lb[[#This Row],[gbd_super]],hbe_risk[],3,FALSE)</f>
        <v>0.7</v>
      </c>
      <c r="P202" s="98">
        <f>VLOOKUP(lmic_raw_lb[[#This Row],[gbd_super]],hbe_risk[],6,FALSE)</f>
        <v>0.05</v>
      </c>
      <c r="Q202" s="98">
        <f>VLOOKUP(lmic_raw_lb[[#This Row],[setting]],lmic_raw[],17,FALSE)*(1-interactive!$C$7)</f>
        <v>5.7501719459447074</v>
      </c>
      <c r="R202" s="98">
        <f>VLOOKUP(lmic_raw_lb[[#This Row],[setting]],lmic_raw[],18,FALSE)*(1-interactive!$C$7)</f>
        <v>69.430275000000009</v>
      </c>
      <c r="S202" s="98">
        <f>VLOOKUP(lmic_raw_lb[[#This Row],[setting]],lmic_raw[],19,FALSE)*(1-interactive!$C$7)</f>
        <v>114.785175</v>
      </c>
      <c r="T202" s="98">
        <f>VLOOKUP(lmic_raw_lb[[#This Row],[setting]],lmic_raw[],20,FALSE)*(1-interactive!$C$7)</f>
        <v>114.785175</v>
      </c>
      <c r="U202" s="98">
        <f>VLOOKUP(lmic_raw_lb[[#This Row],[setting]],lmic_raw[],21,FALSE)*(1-interactive!$C$7)</f>
        <v>114.785175</v>
      </c>
      <c r="V202" s="33">
        <f>IFERROR(VLOOKUP(lmic_raw_lb[[#This Row],[setting]],vcost_lb[],3,FALSE),0)</f>
        <v>3.1522389633226</v>
      </c>
      <c r="W202" s="33">
        <f>IFERROR(VLOOKUP(lmic_raw_lb[[#This Row],[setting]],vcost_lb[],4,FALSE),0)</f>
        <v>3.7528289633226</v>
      </c>
      <c r="X202" s="33">
        <f>IFERROR(VLOOKUP(lmic_raw_lb[[#This Row],[setting]],vcost_lb[],5,FALSE),0)</f>
        <v>2.7864217471737955</v>
      </c>
      <c r="Y202" s="33">
        <f>IFERROR(VLOOKUP(lmic_raw_lb[[#This Row],[setting]],vcost_lb[],6,FALSE),0)</f>
        <v>3.3870117471737955</v>
      </c>
      <c r="Z202" s="33">
        <f>IFERROR(VLOOKUP(lmic_raw_lb[[#This Row],[setting]],vcost_lb[],7,FALSE),0)</f>
        <v>3.3846549608130738</v>
      </c>
      <c r="AA202" s="33">
        <f>IFERROR(VLOOKUP(lmic_raw_lb[[#This Row],[setting]],vcost_lb[],8,FALSE),0)</f>
        <v>3.3636593019077283</v>
      </c>
      <c r="AB202" s="33">
        <f>IFERROR(VLOOKUP(lmic_raw_lb[[#This Row],[setting]],vcost_lb[],9,FALSE),0)</f>
        <v>3.9642493019077283</v>
      </c>
      <c r="AC202" s="98">
        <f>VLOOKUP($A202,lmic_raw[],29,FALSE)*(1-interactive!$C$7)</f>
        <v>4.067005100000004E-2</v>
      </c>
      <c r="AD202" s="98">
        <f>VLOOKUP($A202,lmic_raw[],30,FALSE)*(1-interactive!$C$7)</f>
        <v>2.8247999492096113E-3</v>
      </c>
      <c r="AE202" s="98">
        <f>VLOOKUP($A202,lmic_raw[],31,FALSE)*(1-interactive!$C$7)</f>
        <v>9.5975436620526343E-4</v>
      </c>
      <c r="AF202" s="98">
        <f>VLOOKUP($A202,lmic_raw[],32,FALSE)*(1-interactive!$C$7)</f>
        <v>7.3176763777256851E-4</v>
      </c>
      <c r="AG202" s="98">
        <f>VLOOKUP($A202,lmic_raw[],33,FALSE)*(1-interactive!$C$7)</f>
        <v>1.2930845047036017E-3</v>
      </c>
      <c r="AH202" s="98">
        <f>VLOOKUP($A202,lmic_raw[],34,FALSE)*(1-interactive!$C$7)</f>
        <v>1.7182919488275903E-3</v>
      </c>
      <c r="AI202" s="98">
        <f>VLOOKUP($A202,lmic_raw[],35,FALSE)*(1-interactive!$C$7)</f>
        <v>1.8354457037939077E-3</v>
      </c>
      <c r="AJ202" s="98">
        <f>VLOOKUP($A202,lmic_raw[],36,FALSE)*(1-interactive!$C$7)</f>
        <v>2.151569554578485E-3</v>
      </c>
      <c r="AK202" s="98">
        <f>VLOOKUP($A202,lmic_raw[],37,FALSE)*(1-interactive!$C$7)</f>
        <v>2.8181011914983965E-3</v>
      </c>
      <c r="AL202" s="98">
        <f>VLOOKUP($A202,lmic_raw[],38,FALSE)*(1-interactive!$C$7)</f>
        <v>3.8857910152864674E-3</v>
      </c>
      <c r="AM202" s="98">
        <f>VLOOKUP($A202,lmic_raw[],39,FALSE)*(1-interactive!$C$7)</f>
        <v>5.648200123517814E-3</v>
      </c>
      <c r="AN202" s="98">
        <f>VLOOKUP($A202,lmic_raw[],40,FALSE)*(1-interactive!$C$7)</f>
        <v>8.4439545982601238E-3</v>
      </c>
      <c r="AO202" s="98">
        <f>VLOOKUP($A202,lmic_raw[],41,FALSE)*(1-interactive!$C$7)</f>
        <v>1.2677494863003949E-2</v>
      </c>
      <c r="AP202" s="98">
        <f>VLOOKUP($A202,lmic_raw[],42,FALSE)*(1-interactive!$C$7)</f>
        <v>1.7717803588081657E-2</v>
      </c>
      <c r="AQ202" s="98">
        <f>VLOOKUP($A202,lmic_raw[],43,FALSE)*(1-interactive!$C$7)</f>
        <v>2.4502664830115557E-2</v>
      </c>
      <c r="AR202" s="98">
        <f>VLOOKUP($A202,lmic_raw[],44,FALSE)*(1-interactive!$C$7)</f>
        <v>3.5398602787191216E-2</v>
      </c>
      <c r="AS202" s="98">
        <f>VLOOKUP($A202,lmic_raw[],45,FALSE)*(1-interactive!$C$7)</f>
        <v>5.3433248068609711E-2</v>
      </c>
      <c r="AT202" s="98">
        <f>VLOOKUP($A202,lmic_raw[],46,FALSE)*(1-interactive!$C$7)</f>
        <v>7.7597481023399459E-2</v>
      </c>
      <c r="AU202" s="98">
        <f>VLOOKUP($A202,lmic_raw[],47,FALSE)*(1-interactive!$C$7)</f>
        <v>0.10352838812147862</v>
      </c>
      <c r="AV202" s="98">
        <f>VLOOKUP($A202,lmic_raw[],48,FALSE)*(1-interactive!$C$7)</f>
        <v>0.12514707270579581</v>
      </c>
      <c r="AW202" s="98">
        <f>VLOOKUP($A202,lmic_raw[],49,FALSE)*(1-interactive!$C$7)</f>
        <v>0.14574671758464747</v>
      </c>
      <c r="AX202" s="98">
        <f>VLOOKUP($A202,lmic_raw[],50,FALSE)*(1-interactive!$C$7)</f>
        <v>64.590499999999992</v>
      </c>
    </row>
    <row r="203" spans="1:50" x14ac:dyDescent="0.25">
      <c r="A203" s="82" t="s">
        <v>610</v>
      </c>
      <c r="B203" s="104" t="s">
        <v>410</v>
      </c>
      <c r="C203" s="105">
        <v>408</v>
      </c>
      <c r="D203" s="122" t="s">
        <v>680</v>
      </c>
      <c r="E203" s="94" t="s">
        <v>603</v>
      </c>
      <c r="F203" s="94" t="s">
        <v>666</v>
      </c>
      <c r="G203" s="94" t="s">
        <v>674</v>
      </c>
      <c r="H203" s="98">
        <f>VLOOKUP(lmic_raw_lb[[#This Row],[setting]],lmic_raw[],8,FALSE)</f>
        <v>25666158</v>
      </c>
      <c r="I203" s="98">
        <f>VLOOKUP(lmic_raw_lb[[#This Row],[setting]],lmic_raw[],9,FALSE)</f>
        <v>357760.57636200002</v>
      </c>
      <c r="J203" s="94">
        <f>VLOOKUP($A203,lmic_raw[],10,FALSE)*(1-interactive!$C$7)</f>
        <v>0.87590000000000001</v>
      </c>
      <c r="K203" s="94">
        <f>VLOOKUP($A203,lmic_raw[],11,FALSE)*(1-interactive!$C$7)</f>
        <v>0.93099999999999994</v>
      </c>
      <c r="L203" s="94">
        <f>VLOOKUP($A203,lmic_raw[],12,FALSE)*(1-interactive!$C$7)</f>
        <v>0.92149999999999999</v>
      </c>
      <c r="M203" s="94">
        <f>IFERROR(VLOOKUP(lmic_raw_lb[[#This Row],[iso3]], hbv_prev[[iso3]:[ub]],3,FALSE)/100,0)</f>
        <v>3.4999999999999996E-3</v>
      </c>
      <c r="N203" s="94">
        <f>IFERROR(VLOOKUP(lmic_raw_lb[[#This Row],[setting]],hbe_prev[],4,FALSE),0)</f>
        <v>0.18350000000000002</v>
      </c>
      <c r="O203" s="94">
        <f>VLOOKUP(lmic_raw_lb[[#This Row],[gbd_super]],hbe_risk[],3,FALSE)</f>
        <v>0.7</v>
      </c>
      <c r="P203" s="94">
        <f>VLOOKUP(lmic_raw_lb[[#This Row],[gbd_super]],hbe_risk[],6,FALSE)</f>
        <v>0.05</v>
      </c>
      <c r="Q203" s="94">
        <f>VLOOKUP(lmic_raw_lb[[#This Row],[setting]],lmic_raw[],17,FALSE)*(1-interactive!$C$7)</f>
        <v>0</v>
      </c>
      <c r="R203" s="98">
        <f>VLOOKUP(lmic_raw_lb[[#This Row],[setting]],lmic_raw[],18,FALSE)*(1-interactive!$C$7)</f>
        <v>69.430275000000009</v>
      </c>
      <c r="S203" s="98">
        <f>VLOOKUP(lmic_raw_lb[[#This Row],[setting]],lmic_raw[],19,FALSE)*(1-interactive!$C$7)</f>
        <v>114.785175</v>
      </c>
      <c r="T203" s="98">
        <f>VLOOKUP(lmic_raw_lb[[#This Row],[setting]],lmic_raw[],20,FALSE)*(1-interactive!$C$7)</f>
        <v>114.785175</v>
      </c>
      <c r="U203" s="98">
        <f>VLOOKUP(lmic_raw_lb[[#This Row],[setting]],lmic_raw[],21,FALSE)*(1-interactive!$C$7)</f>
        <v>114.785175</v>
      </c>
      <c r="V203" s="33">
        <f>IFERROR(VLOOKUP(lmic_raw_lb[[#This Row],[setting]],vcost_lb[],3,FALSE),0)</f>
        <v>1.1860219931271478</v>
      </c>
      <c r="W203" s="33">
        <f>IFERROR(VLOOKUP(lmic_raw_lb[[#This Row],[setting]],vcost_lb[],4,FALSE),0)</f>
        <v>1.7866119931271478</v>
      </c>
      <c r="X203" s="33">
        <f>IFERROR(VLOOKUP(lmic_raw_lb[[#This Row],[setting]],vcost_lb[],5,FALSE),0)</f>
        <v>0.82400000000000007</v>
      </c>
      <c r="Y203" s="33">
        <f>IFERROR(VLOOKUP(lmic_raw_lb[[#This Row],[setting]],vcost_lb[],6,FALSE),0)</f>
        <v>1.42459</v>
      </c>
      <c r="Z203" s="33">
        <f>IFERROR(VLOOKUP(lmic_raw_lb[[#This Row],[setting]],vcost_lb[],7,FALSE),0)</f>
        <v>1.42459</v>
      </c>
      <c r="AA203" s="33">
        <f>IFERROR(VLOOKUP(lmic_raw_lb[[#This Row],[setting]],vcost_lb[],8,FALSE),0)</f>
        <v>1.3958158075601377</v>
      </c>
      <c r="AB203" s="33">
        <f>IFERROR(VLOOKUP(lmic_raw_lb[[#This Row],[setting]],vcost_lb[],9,FALSE),0)</f>
        <v>1.9964058075601376</v>
      </c>
      <c r="AC203" s="94">
        <f>VLOOKUP($A203,lmic_raw[],29,FALSE)*(1-interactive!$C$7)</f>
        <v>1.3203204500000015E-2</v>
      </c>
      <c r="AD203" s="94">
        <f>VLOOKUP($A203,lmic_raw[],30,FALSE)*(1-interactive!$C$7)</f>
        <v>1.0949425063975875E-3</v>
      </c>
      <c r="AE203" s="94">
        <f>VLOOKUP($A203,lmic_raw[],31,FALSE)*(1-interactive!$C$7)</f>
        <v>6.1250279759982463E-4</v>
      </c>
      <c r="AF203" s="94">
        <f>VLOOKUP($A203,lmic_raw[],32,FALSE)*(1-interactive!$C$7)</f>
        <v>5.689679787059548E-4</v>
      </c>
      <c r="AG203" s="94">
        <f>VLOOKUP($A203,lmic_raw[],33,FALSE)*(1-interactive!$C$7)</f>
        <v>8.2166598504063572E-4</v>
      </c>
      <c r="AH203" s="94">
        <f>VLOOKUP($A203,lmic_raw[],34,FALSE)*(1-interactive!$C$7)</f>
        <v>1.1783467525958498E-3</v>
      </c>
      <c r="AI203" s="94">
        <f>VLOOKUP($A203,lmic_raw[],35,FALSE)*(1-interactive!$C$7)</f>
        <v>1.4626867422074634E-3</v>
      </c>
      <c r="AJ203" s="94">
        <f>VLOOKUP($A203,lmic_raw[],36,FALSE)*(1-interactive!$C$7)</f>
        <v>1.6612434474872798E-3</v>
      </c>
      <c r="AK203" s="94">
        <f>VLOOKUP($A203,lmic_raw[],37,FALSE)*(1-interactive!$C$7)</f>
        <v>1.9155981294328806E-3</v>
      </c>
      <c r="AL203" s="94">
        <f>VLOOKUP($A203,lmic_raw[],38,FALSE)*(1-interactive!$C$7)</f>
        <v>2.3270304874970235E-3</v>
      </c>
      <c r="AM203" s="94">
        <f>VLOOKUP($A203,lmic_raw[],39,FALSE)*(1-interactive!$C$7)</f>
        <v>3.1760080634953935E-3</v>
      </c>
      <c r="AN203" s="94">
        <f>VLOOKUP($A203,lmic_raw[],40,FALSE)*(1-interactive!$C$7)</f>
        <v>4.5577088284551731E-3</v>
      </c>
      <c r="AO203" s="94">
        <f>VLOOKUP($A203,lmic_raw[],41,FALSE)*(1-interactive!$C$7)</f>
        <v>9.1973374909347459E-3</v>
      </c>
      <c r="AP203" s="94">
        <f>VLOOKUP($A203,lmic_raw[],42,FALSE)*(1-interactive!$C$7)</f>
        <v>1.8810377819010453E-2</v>
      </c>
      <c r="AQ203" s="94">
        <f>VLOOKUP($A203,lmic_raw[],43,FALSE)*(1-interactive!$C$7)</f>
        <v>2.7423081469331454E-2</v>
      </c>
      <c r="AR203" s="94">
        <f>VLOOKUP($A203,lmic_raw[],44,FALSE)*(1-interactive!$C$7)</f>
        <v>3.8445192890859937E-2</v>
      </c>
      <c r="AS203" s="94">
        <f>VLOOKUP($A203,lmic_raw[],45,FALSE)*(1-interactive!$C$7)</f>
        <v>5.9884081015736869E-2</v>
      </c>
      <c r="AT203" s="94">
        <f>VLOOKUP($A203,lmic_raw[],46,FALSE)*(1-interactive!$C$7)</f>
        <v>8.3644259806461535E-2</v>
      </c>
      <c r="AU203" s="94">
        <f>VLOOKUP($A203,lmic_raw[],47,FALSE)*(1-interactive!$C$7)</f>
        <v>0.11297128458664052</v>
      </c>
      <c r="AV203" s="94">
        <f>VLOOKUP($A203,lmic_raw[],48,FALSE)*(1-interactive!$C$7)</f>
        <v>0.14108148886487673</v>
      </c>
      <c r="AW203" s="94">
        <f>VLOOKUP($A203,lmic_raw[],49,FALSE)*(1-interactive!$C$7)</f>
        <v>0.16179247964187476</v>
      </c>
      <c r="AX203" s="94">
        <f>VLOOKUP($A203,lmic_raw[],50,FALSE)*(1-interactive!$C$7)</f>
        <v>68.365799999999993</v>
      </c>
    </row>
    <row r="204" spans="1:50" x14ac:dyDescent="0.25">
      <c r="A204" s="82" t="s">
        <v>186</v>
      </c>
      <c r="B204" s="101" t="s">
        <v>453</v>
      </c>
      <c r="C204" s="102">
        <v>417</v>
      </c>
      <c r="D204" s="121" t="s">
        <v>675</v>
      </c>
      <c r="E204" s="98" t="s">
        <v>184</v>
      </c>
      <c r="F204" s="98" t="s">
        <v>663</v>
      </c>
      <c r="G204" s="98" t="s">
        <v>678</v>
      </c>
      <c r="H204" s="98">
        <f>VLOOKUP(lmic_raw_lb[[#This Row],[setting]],lmic_raw[],8,FALSE)</f>
        <v>6415851</v>
      </c>
      <c r="I204" s="98">
        <f>VLOOKUP(lmic_raw_lb[[#This Row],[setting]],lmic_raw[],9,FALSE)</f>
        <v>159190.09501200001</v>
      </c>
      <c r="J204" s="98">
        <f>VLOOKUP($A204,lmic_raw[],10,FALSE)*(1-interactive!$C$7)</f>
        <v>0.94619999999999993</v>
      </c>
      <c r="K204" s="98">
        <f>VLOOKUP($A204,lmic_raw[],11,FALSE)*(1-interactive!$C$7)</f>
        <v>0.91199999999999992</v>
      </c>
      <c r="L204" s="98">
        <f>VLOOKUP($A204,lmic_raw[],12,FALSE)*(1-interactive!$C$7)</f>
        <v>0.90249999999999997</v>
      </c>
      <c r="M204" s="98">
        <f>IFERROR(VLOOKUP(lmic_raw_lb[[#This Row],[iso3]], hbv_prev[[iso3]:[ub]],3,FALSE)/100,0)</f>
        <v>3.4000000000000002E-3</v>
      </c>
      <c r="N204" s="98">
        <f>IFERROR(VLOOKUP(lmic_raw_lb[[#This Row],[setting]],hbe_prev[],4,FALSE),0)</f>
        <v>0.16309999999999999</v>
      </c>
      <c r="O204" s="98">
        <f>VLOOKUP(lmic_raw_lb[[#This Row],[gbd_super]],hbe_risk[],3,FALSE)</f>
        <v>0.7</v>
      </c>
      <c r="P204" s="98">
        <f>VLOOKUP(lmic_raw_lb[[#This Row],[gbd_super]],hbe_risk[],6,FALSE)</f>
        <v>0.05</v>
      </c>
      <c r="Q204" s="98">
        <f>VLOOKUP(lmic_raw_lb[[#This Row],[setting]],lmic_raw[],17,FALSE)*(1-interactive!$C$7)</f>
        <v>3.1229576935334329</v>
      </c>
      <c r="R204" s="98">
        <f>VLOOKUP(lmic_raw_lb[[#This Row],[setting]],lmic_raw[],18,FALSE)*(1-interactive!$C$7)</f>
        <v>42.31053</v>
      </c>
      <c r="S204" s="98">
        <f>VLOOKUP(lmic_raw_lb[[#This Row],[setting]],lmic_raw[],19,FALSE)*(1-interactive!$C$7)</f>
        <v>87.665430000000001</v>
      </c>
      <c r="T204" s="98">
        <f>VLOOKUP(lmic_raw_lb[[#This Row],[setting]],lmic_raw[],20,FALSE)*(1-interactive!$C$7)</f>
        <v>87.665430000000001</v>
      </c>
      <c r="U204" s="98">
        <f>VLOOKUP(lmic_raw_lb[[#This Row],[setting]],lmic_raw[],21,FALSE)*(1-interactive!$C$7)</f>
        <v>87.665430000000001</v>
      </c>
      <c r="V204" s="33">
        <f>IFERROR(VLOOKUP(lmic_raw_lb[[#This Row],[setting]],vcost_lb[],3,FALSE),0)</f>
        <v>1.6674551068719687</v>
      </c>
      <c r="W204" s="33">
        <f>IFERROR(VLOOKUP(lmic_raw_lb[[#This Row],[setting]],vcost_lb[],4,FALSE),0)</f>
        <v>5.5298701068719689</v>
      </c>
      <c r="X204" s="33">
        <f>IFERROR(VLOOKUP(lmic_raw_lb[[#This Row],[setting]],vcost_lb[],5,FALSE),0)</f>
        <v>1.3022900669087183</v>
      </c>
      <c r="Y204" s="33">
        <f>IFERROR(VLOOKUP(lmic_raw_lb[[#This Row],[setting]],vcost_lb[],6,FALSE),0)</f>
        <v>5.1647050669087182</v>
      </c>
      <c r="Z204" s="33">
        <f>IFERROR(VLOOKUP(lmic_raw_lb[[#This Row],[setting]],vcost_lb[],7,FALSE),0)</f>
        <v>5.1626398018363986</v>
      </c>
      <c r="AA204" s="33">
        <f>IFERROR(VLOOKUP(lmic_raw_lb[[#This Row],[setting]],vcost_lb[],8,FALSE),0)</f>
        <v>1.8785959413775737</v>
      </c>
      <c r="AB204" s="33">
        <f>IFERROR(VLOOKUP(lmic_raw_lb[[#This Row],[setting]],vcost_lb[],9,FALSE),0)</f>
        <v>5.7410109413775743</v>
      </c>
      <c r="AC204" s="98">
        <f>VLOOKUP($A204,lmic_raw[],29,FALSE)*(1-interactive!$C$7)</f>
        <v>1.4730927999999963E-2</v>
      </c>
      <c r="AD204" s="98">
        <f>VLOOKUP($A204,lmic_raw[],30,FALSE)*(1-interactive!$C$7)</f>
        <v>6.8101536265706148E-4</v>
      </c>
      <c r="AE204" s="98">
        <f>VLOOKUP($A204,lmic_raw[],31,FALSE)*(1-interactive!$C$7)</f>
        <v>2.8536073687186156E-4</v>
      </c>
      <c r="AF204" s="98">
        <f>VLOOKUP($A204,lmic_raw[],32,FALSE)*(1-interactive!$C$7)</f>
        <v>3.4296268904961038E-4</v>
      </c>
      <c r="AG204" s="98">
        <f>VLOOKUP($A204,lmic_raw[],33,FALSE)*(1-interactive!$C$7)</f>
        <v>5.3838379987635832E-4</v>
      </c>
      <c r="AH204" s="98">
        <f>VLOOKUP($A204,lmic_raw[],34,FALSE)*(1-interactive!$C$7)</f>
        <v>7.3490985227015653E-4</v>
      </c>
      <c r="AI204" s="98">
        <f>VLOOKUP($A204,lmic_raw[],35,FALSE)*(1-interactive!$C$7)</f>
        <v>9.4390356595667059E-4</v>
      </c>
      <c r="AJ204" s="98">
        <f>VLOOKUP($A204,lmic_raw[],36,FALSE)*(1-interactive!$C$7)</f>
        <v>1.5149779386878037E-3</v>
      </c>
      <c r="AK204" s="98">
        <f>VLOOKUP($A204,lmic_raw[],37,FALSE)*(1-interactive!$C$7)</f>
        <v>2.2553600475459334E-3</v>
      </c>
      <c r="AL204" s="98">
        <f>VLOOKUP($A204,lmic_raw[],38,FALSE)*(1-interactive!$C$7)</f>
        <v>3.4224084989433251E-3</v>
      </c>
      <c r="AM204" s="98">
        <f>VLOOKUP($A204,lmic_raw[],39,FALSE)*(1-interactive!$C$7)</f>
        <v>4.7632890246334814E-3</v>
      </c>
      <c r="AN204" s="98">
        <f>VLOOKUP($A204,lmic_raw[],40,FALSE)*(1-interactive!$C$7)</f>
        <v>6.8660743024059594E-3</v>
      </c>
      <c r="AO204" s="98">
        <f>VLOOKUP($A204,lmic_raw[],41,FALSE)*(1-interactive!$C$7)</f>
        <v>1.0058821434012995E-2</v>
      </c>
      <c r="AP204" s="98">
        <f>VLOOKUP($A204,lmic_raw[],42,FALSE)*(1-interactive!$C$7)</f>
        <v>1.5863814053402096E-2</v>
      </c>
      <c r="AQ204" s="98">
        <f>VLOOKUP($A204,lmic_raw[],43,FALSE)*(1-interactive!$C$7)</f>
        <v>2.303282000500247E-2</v>
      </c>
      <c r="AR204" s="98">
        <f>VLOOKUP($A204,lmic_raw[],44,FALSE)*(1-interactive!$C$7)</f>
        <v>4.6328842003960494E-2</v>
      </c>
      <c r="AS204" s="98">
        <f>VLOOKUP($A204,lmic_raw[],45,FALSE)*(1-interactive!$C$7)</f>
        <v>7.8441049770473892E-2</v>
      </c>
      <c r="AT204" s="98">
        <f>VLOOKUP($A204,lmic_raw[],46,FALSE)*(1-interactive!$C$7)</f>
        <v>0.10114010836409791</v>
      </c>
      <c r="AU204" s="98">
        <f>VLOOKUP($A204,lmic_raw[],47,FALSE)*(1-interactive!$C$7)</f>
        <v>0.11997086332119189</v>
      </c>
      <c r="AV204" s="98">
        <f>VLOOKUP($A204,lmic_raw[],48,FALSE)*(1-interactive!$C$7)</f>
        <v>0.13438718112986012</v>
      </c>
      <c r="AW204" s="98">
        <f>VLOOKUP($A204,lmic_raw[],49,FALSE)*(1-interactive!$C$7)</f>
        <v>0.15097219836106582</v>
      </c>
      <c r="AX204" s="98">
        <f>VLOOKUP($A204,lmic_raw[],50,FALSE)*(1-interactive!$C$7)</f>
        <v>67.622900000000001</v>
      </c>
    </row>
    <row r="205" spans="1:50" x14ac:dyDescent="0.25">
      <c r="A205" s="82" t="s">
        <v>628</v>
      </c>
      <c r="B205" s="104" t="s">
        <v>454</v>
      </c>
      <c r="C205" s="105">
        <v>418</v>
      </c>
      <c r="D205" s="122" t="s">
        <v>681</v>
      </c>
      <c r="E205" s="94" t="s">
        <v>598</v>
      </c>
      <c r="F205" s="94" t="s">
        <v>666</v>
      </c>
      <c r="G205" s="94" t="s">
        <v>678</v>
      </c>
      <c r="H205" s="98">
        <f>VLOOKUP(lmic_raw_lb[[#This Row],[setting]],lmic_raw[],8,FALSE)</f>
        <v>7169456</v>
      </c>
      <c r="I205" s="98">
        <f>VLOOKUP(lmic_raw_lb[[#This Row],[setting]],lmic_raw[],9,FALSE)</f>
        <v>170833.79756800001</v>
      </c>
      <c r="J205" s="94">
        <f>VLOOKUP($A205,lmic_raw[],10,FALSE)*(1-interactive!$C$7)</f>
        <v>0.61275000000000002</v>
      </c>
      <c r="K205" s="94">
        <f>VLOOKUP($A205,lmic_raw[],11,FALSE)*(1-interactive!$C$7)</f>
        <v>0.52249999999999996</v>
      </c>
      <c r="L205" s="94">
        <f>VLOOKUP($A205,lmic_raw[],12,FALSE)*(1-interactive!$C$7)</f>
        <v>0.64600000000000002</v>
      </c>
      <c r="M205" s="94">
        <f>IFERROR(VLOOKUP(lmic_raw_lb[[#This Row],[iso3]], hbv_prev[[iso3]:[ub]],3,FALSE)/100,0)</f>
        <v>3.7400000000000003E-2</v>
      </c>
      <c r="N205" s="94">
        <f>IFERROR(VLOOKUP(lmic_raw_lb[[#This Row],[setting]],hbe_prev[],4,FALSE),0)</f>
        <v>0.18100000000000002</v>
      </c>
      <c r="O205" s="94">
        <f>VLOOKUP(lmic_raw_lb[[#This Row],[gbd_super]],hbe_risk[],3,FALSE)</f>
        <v>0.7</v>
      </c>
      <c r="P205" s="94">
        <f>VLOOKUP(lmic_raw_lb[[#This Row],[gbd_super]],hbe_risk[],6,FALSE)</f>
        <v>0.05</v>
      </c>
      <c r="Q205" s="94">
        <f>VLOOKUP(lmic_raw_lb[[#This Row],[setting]],lmic_raw[],17,FALSE)*(1-interactive!$C$7)</f>
        <v>0</v>
      </c>
      <c r="R205" s="98">
        <f>VLOOKUP(lmic_raw_lb[[#This Row],[setting]],lmic_raw[],18,FALSE)*(1-interactive!$C$7)</f>
        <v>69.430275000000009</v>
      </c>
      <c r="S205" s="98">
        <f>VLOOKUP(lmic_raw_lb[[#This Row],[setting]],lmic_raw[],19,FALSE)*(1-interactive!$C$7)</f>
        <v>114.785175</v>
      </c>
      <c r="T205" s="98">
        <f>VLOOKUP(lmic_raw_lb[[#This Row],[setting]],lmic_raw[],20,FALSE)*(1-interactive!$C$7)</f>
        <v>114.785175</v>
      </c>
      <c r="U205" s="98">
        <f>VLOOKUP(lmic_raw_lb[[#This Row],[setting]],lmic_raw[],21,FALSE)*(1-interactive!$C$7)</f>
        <v>114.785175</v>
      </c>
      <c r="V205" s="33">
        <f>IFERROR(VLOOKUP(lmic_raw_lb[[#This Row],[setting]],vcost_lb[],3,FALSE),0)</f>
        <v>0.91242984677055738</v>
      </c>
      <c r="W205" s="33">
        <f>IFERROR(VLOOKUP(lmic_raw_lb[[#This Row],[setting]],vcost_lb[],4,FALSE),0)</f>
        <v>1.5130198467705573</v>
      </c>
      <c r="X205" s="33">
        <f>IFERROR(VLOOKUP(lmic_raw_lb[[#This Row],[setting]],vcost_lb[],5,FALSE),0)</f>
        <v>0.54431050214318222</v>
      </c>
      <c r="Y205" s="33">
        <f>IFERROR(VLOOKUP(lmic_raw_lb[[#This Row],[setting]],vcost_lb[],6,FALSE),0)</f>
        <v>1.1449005021431822</v>
      </c>
      <c r="Z205" s="33">
        <f>IFERROR(VLOOKUP(lmic_raw_lb[[#This Row],[setting]],vcost_lb[],7,FALSE),0)</f>
        <v>1.1408842560739099</v>
      </c>
      <c r="AA205" s="33">
        <f>IFERROR(VLOOKUP(lmic_raw_lb[[#This Row],[setting]],vcost_lb[],8,FALSE),0)</f>
        <v>1.1248368118465017</v>
      </c>
      <c r="AB205" s="33">
        <f>IFERROR(VLOOKUP(lmic_raw_lb[[#This Row],[setting]],vcost_lb[],9,FALSE),0)</f>
        <v>1.7254268118465017</v>
      </c>
      <c r="AC205" s="94">
        <f>VLOOKUP($A205,lmic_raw[],29,FALSE)*(1-interactive!$C$7)</f>
        <v>3.6838900499999952E-2</v>
      </c>
      <c r="AD205" s="94">
        <f>VLOOKUP($A205,lmic_raw[],30,FALSE)*(1-interactive!$C$7)</f>
        <v>2.3627318963010588E-3</v>
      </c>
      <c r="AE205" s="94">
        <f>VLOOKUP($A205,lmic_raw[],31,FALSE)*(1-interactive!$C$7)</f>
        <v>8.5483061990526471E-4</v>
      </c>
      <c r="AF205" s="94">
        <f>VLOOKUP($A205,lmic_raw[],32,FALSE)*(1-interactive!$C$7)</f>
        <v>6.8463758532205838E-4</v>
      </c>
      <c r="AG205" s="94">
        <f>VLOOKUP($A205,lmic_raw[],33,FALSE)*(1-interactive!$C$7)</f>
        <v>1.1580958338805059E-3</v>
      </c>
      <c r="AH205" s="94">
        <f>VLOOKUP($A205,lmic_raw[],34,FALSE)*(1-interactive!$C$7)</f>
        <v>1.6276894721471765E-3</v>
      </c>
      <c r="AI205" s="94">
        <f>VLOOKUP($A205,lmic_raw[],35,FALSE)*(1-interactive!$C$7)</f>
        <v>1.765578287930363E-3</v>
      </c>
      <c r="AJ205" s="94">
        <f>VLOOKUP($A205,lmic_raw[],36,FALSE)*(1-interactive!$C$7)</f>
        <v>2.0367203875374627E-3</v>
      </c>
      <c r="AK205" s="94">
        <f>VLOOKUP($A205,lmic_raw[],37,FALSE)*(1-interactive!$C$7)</f>
        <v>2.5961849351398688E-3</v>
      </c>
      <c r="AL205" s="94">
        <f>VLOOKUP($A205,lmic_raw[],38,FALSE)*(1-interactive!$C$7)</f>
        <v>3.5799300564852373E-3</v>
      </c>
      <c r="AM205" s="94">
        <f>VLOOKUP($A205,lmic_raw[],39,FALSE)*(1-interactive!$C$7)</f>
        <v>5.2880732074011708E-3</v>
      </c>
      <c r="AN205" s="94">
        <f>VLOOKUP($A205,lmic_raw[],40,FALSE)*(1-interactive!$C$7)</f>
        <v>7.9531063523157215E-3</v>
      </c>
      <c r="AO205" s="94">
        <f>VLOOKUP($A205,lmic_raw[],41,FALSE)*(1-interactive!$C$7)</f>
        <v>1.2110019613039555E-2</v>
      </c>
      <c r="AP205" s="94">
        <f>VLOOKUP($A205,lmic_raw[],42,FALSE)*(1-interactive!$C$7)</f>
        <v>1.8559776864647014E-2</v>
      </c>
      <c r="AQ205" s="94">
        <f>VLOOKUP($A205,lmic_raw[],43,FALSE)*(1-interactive!$C$7)</f>
        <v>2.8501119188533906E-2</v>
      </c>
      <c r="AR205" s="94">
        <f>VLOOKUP($A205,lmic_raw[],44,FALSE)*(1-interactive!$C$7)</f>
        <v>4.4087674404212497E-2</v>
      </c>
      <c r="AS205" s="94">
        <f>VLOOKUP($A205,lmic_raw[],45,FALSE)*(1-interactive!$C$7)</f>
        <v>6.6778949535542156E-2</v>
      </c>
      <c r="AT205" s="94">
        <f>VLOOKUP($A205,lmic_raw[],46,FALSE)*(1-interactive!$C$7)</f>
        <v>9.6756167523152511E-2</v>
      </c>
      <c r="AU205" s="94">
        <f>VLOOKUP($A205,lmic_raw[],47,FALSE)*(1-interactive!$C$7)</f>
        <v>0.12847787610374051</v>
      </c>
      <c r="AV205" s="94">
        <f>VLOOKUP($A205,lmic_raw[],48,FALSE)*(1-interactive!$C$7)</f>
        <v>0.15418902774612428</v>
      </c>
      <c r="AW205" s="94">
        <f>VLOOKUP($A205,lmic_raw[],49,FALSE)*(1-interactive!$C$7)</f>
        <v>0.17071958321636557</v>
      </c>
      <c r="AX205" s="94">
        <f>VLOOKUP($A205,lmic_raw[],50,FALSE)*(1-interactive!$C$7)</f>
        <v>64.068950000000001</v>
      </c>
    </row>
    <row r="206" spans="1:50" x14ac:dyDescent="0.25">
      <c r="A206" s="109" t="s">
        <v>174</v>
      </c>
      <c r="B206" s="101" t="s">
        <v>456</v>
      </c>
      <c r="C206" s="102">
        <v>422</v>
      </c>
      <c r="D206" s="121" t="s">
        <v>673</v>
      </c>
      <c r="E206" s="98" t="s">
        <v>579</v>
      </c>
      <c r="F206" s="98" t="s">
        <v>579</v>
      </c>
      <c r="G206" s="98" t="s">
        <v>676</v>
      </c>
      <c r="H206" s="98">
        <f>VLOOKUP(lmic_raw_lb[[#This Row],[setting]],lmic_raw[],8,FALSE)</f>
        <v>6855709</v>
      </c>
      <c r="I206" s="98">
        <f>VLOOKUP(lmic_raw_lb[[#This Row],[setting]],lmic_raw[],9,FALSE)</f>
        <v>120441.09571200001</v>
      </c>
      <c r="J206" s="98">
        <f>VLOOKUP($A206,lmic_raw[],10,FALSE)*(1-interactive!$C$7)</f>
        <v>0.94905000000000006</v>
      </c>
      <c r="K206" s="98">
        <f>VLOOKUP($A206,lmic_raw[],11,FALSE)*(1-interactive!$C$7)</f>
        <v>0.76</v>
      </c>
      <c r="L206" s="98">
        <f>VLOOKUP($A206,lmic_raw[],12,FALSE)*(1-interactive!$C$7)</f>
        <v>0.76</v>
      </c>
      <c r="M206" s="98">
        <f>IFERROR(VLOOKUP(lmic_raw_lb[[#This Row],[iso3]], hbv_prev[[iso3]:[ub]],3,FALSE)/100,0)</f>
        <v>1.03E-2</v>
      </c>
      <c r="N206" s="98">
        <f>IFERROR(VLOOKUP(lmic_raw_lb[[#This Row],[setting]],hbe_prev[],4,FALSE),0)</f>
        <v>0.14980000000000002</v>
      </c>
      <c r="O206" s="98">
        <f>VLOOKUP(lmic_raw_lb[[#This Row],[gbd_super]],hbe_risk[],3,FALSE)</f>
        <v>0.7</v>
      </c>
      <c r="P206" s="98">
        <f>VLOOKUP(lmic_raw_lb[[#This Row],[gbd_super]],hbe_risk[],6,FALSE)</f>
        <v>0.05</v>
      </c>
      <c r="Q206" s="98">
        <f>VLOOKUP(lmic_raw_lb[[#This Row],[setting]],lmic_raw[],17,FALSE)*(1-interactive!$C$7)</f>
        <v>13.022932430087504</v>
      </c>
      <c r="R206" s="98">
        <f>VLOOKUP(lmic_raw_lb[[#This Row],[setting]],lmic_raw[],18,FALSE)*(1-interactive!$C$7)</f>
        <v>44.019105000000003</v>
      </c>
      <c r="S206" s="98">
        <f>VLOOKUP(lmic_raw_lb[[#This Row],[setting]],lmic_raw[],19,FALSE)*(1-interactive!$C$7)</f>
        <v>89.374005000000011</v>
      </c>
      <c r="T206" s="98">
        <f>VLOOKUP(lmic_raw_lb[[#This Row],[setting]],lmic_raw[],20,FALSE)*(1-interactive!$C$7)</f>
        <v>89.374005000000011</v>
      </c>
      <c r="U206" s="98">
        <f>VLOOKUP(lmic_raw_lb[[#This Row],[setting]],lmic_raw[],21,FALSE)*(1-interactive!$C$7)</f>
        <v>89.374005000000011</v>
      </c>
      <c r="V206" s="33">
        <f>IFERROR(VLOOKUP(lmic_raw_lb[[#This Row],[setting]],vcost_lb[],3,FALSE),0)</f>
        <v>1.7153770302947919</v>
      </c>
      <c r="W206" s="33">
        <f>IFERROR(VLOOKUP(lmic_raw_lb[[#This Row],[setting]],vcost_lb[],4,FALSE),0)</f>
        <v>2.1709970302947919</v>
      </c>
      <c r="X206" s="33">
        <f>IFERROR(VLOOKUP(lmic_raw_lb[[#This Row],[setting]],vcost_lb[],5,FALSE),0)</f>
        <v>1.3432029630397908</v>
      </c>
      <c r="Y206" s="33">
        <f>IFERROR(VLOOKUP(lmic_raw_lb[[#This Row],[setting]],vcost_lb[],6,FALSE),0)</f>
        <v>1.7988229630397909</v>
      </c>
      <c r="Z206" s="33">
        <f>IFERROR(VLOOKUP(lmic_raw_lb[[#This Row],[setting]],vcost_lb[],7,FALSE),0)</f>
        <v>1.7919271011868969</v>
      </c>
      <c r="AA206" s="33">
        <f>IFERROR(VLOOKUP(lmic_raw_lb[[#This Row],[setting]],vcost_lb[],8,FALSE),0)</f>
        <v>1.9295217336397188</v>
      </c>
      <c r="AB206" s="33">
        <f>IFERROR(VLOOKUP(lmic_raw_lb[[#This Row],[setting]],vcost_lb[],9,FALSE),0)</f>
        <v>2.3851417336397187</v>
      </c>
      <c r="AC206" s="98">
        <f>VLOOKUP($A206,lmic_raw[],29,FALSE)*(1-interactive!$C$7)</f>
        <v>8.9439839999999448E-3</v>
      </c>
      <c r="AD206" s="98">
        <f>VLOOKUP($A206,lmic_raw[],30,FALSE)*(1-interactive!$C$7)</f>
        <v>3.5771781304889532E-4</v>
      </c>
      <c r="AE206" s="98">
        <f>VLOOKUP($A206,lmic_raw[],31,FALSE)*(1-interactive!$C$7)</f>
        <v>1.7405355337161578E-4</v>
      </c>
      <c r="AF206" s="98">
        <f>VLOOKUP($A206,lmic_raw[],32,FALSE)*(1-interactive!$C$7)</f>
        <v>1.4579160709630906E-4</v>
      </c>
      <c r="AG206" s="98">
        <f>VLOOKUP($A206,lmic_raw[],33,FALSE)*(1-interactive!$C$7)</f>
        <v>2.7333490954801516E-4</v>
      </c>
      <c r="AH206" s="98">
        <f>VLOOKUP($A206,lmic_raw[],34,FALSE)*(1-interactive!$C$7)</f>
        <v>3.8105851063625532E-4</v>
      </c>
      <c r="AI206" s="98">
        <f>VLOOKUP($A206,lmic_raw[],35,FALSE)*(1-interactive!$C$7)</f>
        <v>4.079079182583706E-4</v>
      </c>
      <c r="AJ206" s="98">
        <f>VLOOKUP($A206,lmic_raw[],36,FALSE)*(1-interactive!$C$7)</f>
        <v>4.8028913932769658E-4</v>
      </c>
      <c r="AK206" s="98">
        <f>VLOOKUP($A206,lmic_raw[],37,FALSE)*(1-interactive!$C$7)</f>
        <v>6.4653482578109296E-4</v>
      </c>
      <c r="AL206" s="98">
        <f>VLOOKUP($A206,lmic_raw[],38,FALSE)*(1-interactive!$C$7)</f>
        <v>9.9429943554951413E-4</v>
      </c>
      <c r="AM206" s="98">
        <f>VLOOKUP($A206,lmic_raw[],39,FALSE)*(1-interactive!$C$7)</f>
        <v>1.7342095312434496E-3</v>
      </c>
      <c r="AN206" s="98">
        <f>VLOOKUP($A206,lmic_raw[],40,FALSE)*(1-interactive!$C$7)</f>
        <v>2.963526460428678E-3</v>
      </c>
      <c r="AO206" s="98">
        <f>VLOOKUP($A206,lmic_raw[],41,FALSE)*(1-interactive!$C$7)</f>
        <v>5.1683232243441889E-3</v>
      </c>
      <c r="AP206" s="98">
        <f>VLOOKUP($A206,lmic_raw[],42,FALSE)*(1-interactive!$C$7)</f>
        <v>8.2098292152751988E-3</v>
      </c>
      <c r="AQ206" s="98">
        <f>VLOOKUP($A206,lmic_raw[],43,FALSE)*(1-interactive!$C$7)</f>
        <v>1.3997440464389036E-2</v>
      </c>
      <c r="AR206" s="98">
        <f>VLOOKUP($A206,lmic_raw[],44,FALSE)*(1-interactive!$C$7)</f>
        <v>2.4229152548782214E-2</v>
      </c>
      <c r="AS206" s="98">
        <f>VLOOKUP($A206,lmic_raw[],45,FALSE)*(1-interactive!$C$7)</f>
        <v>4.0061017927271535E-2</v>
      </c>
      <c r="AT206" s="98">
        <f>VLOOKUP($A206,lmic_raw[],46,FALSE)*(1-interactive!$C$7)</f>
        <v>6.4722135995976857E-2</v>
      </c>
      <c r="AU206" s="98">
        <f>VLOOKUP($A206,lmic_raw[],47,FALSE)*(1-interactive!$C$7)</f>
        <v>9.6883284803762335E-2</v>
      </c>
      <c r="AV206" s="98">
        <f>VLOOKUP($A206,lmic_raw[],48,FALSE)*(1-interactive!$C$7)</f>
        <v>0.12925083737600901</v>
      </c>
      <c r="AW206" s="98">
        <f>VLOOKUP($A206,lmic_raw[],49,FALSE)*(1-interactive!$C$7)</f>
        <v>0.15491953009875059</v>
      </c>
      <c r="AX206" s="98">
        <f>VLOOKUP($A206,lmic_raw[],50,FALSE)*(1-interactive!$C$7)</f>
        <v>74.881849999999986</v>
      </c>
    </row>
    <row r="207" spans="1:50" x14ac:dyDescent="0.25">
      <c r="A207" s="110" t="s">
        <v>134</v>
      </c>
      <c r="B207" s="104" t="s">
        <v>457</v>
      </c>
      <c r="C207" s="105">
        <v>426</v>
      </c>
      <c r="D207" s="122" t="s">
        <v>677</v>
      </c>
      <c r="E207" s="94" t="s">
        <v>594</v>
      </c>
      <c r="F207" s="94" t="s">
        <v>667</v>
      </c>
      <c r="G207" s="94" t="s">
        <v>678</v>
      </c>
      <c r="H207" s="98">
        <f>VLOOKUP(lmic_raw_lb[[#This Row],[setting]],lmic_raw[],8,FALSE)</f>
        <v>2125267</v>
      </c>
      <c r="I207" s="98">
        <f>VLOOKUP(lmic_raw_lb[[#This Row],[setting]],lmic_raw[],9,FALSE)</f>
        <v>57454.468077999991</v>
      </c>
      <c r="J207" s="94">
        <f>VLOOKUP($A207,lmic_raw[],10,FALSE)*(1-interactive!$C$7)</f>
        <v>0.84929999999999994</v>
      </c>
      <c r="K207" s="94">
        <f>VLOOKUP($A207,lmic_raw[],11,FALSE)*(1-interactive!$C$7)</f>
        <v>0</v>
      </c>
      <c r="L207" s="94">
        <f>VLOOKUP($A207,lmic_raw[],12,FALSE)*(1-interactive!$C$7)</f>
        <v>0.82650000000000001</v>
      </c>
      <c r="M207" s="94">
        <f>IFERROR(VLOOKUP(lmic_raw_lb[[#This Row],[iso3]], hbv_prev[[iso3]:[ub]],3,FALSE)/100,0)</f>
        <v>4.5999999999999999E-3</v>
      </c>
      <c r="N207" s="94">
        <f>IFERROR(VLOOKUP(lmic_raw_lb[[#This Row],[setting]],hbe_prev[],4,FALSE),0)</f>
        <v>0.15109999999999998</v>
      </c>
      <c r="O207" s="94">
        <f>VLOOKUP(lmic_raw_lb[[#This Row],[gbd_super]],hbe_risk[],3,FALSE)</f>
        <v>7.0000000000000007E-2</v>
      </c>
      <c r="P207" s="94">
        <f>VLOOKUP(lmic_raw_lb[[#This Row],[gbd_super]],hbe_risk[],6,FALSE)</f>
        <v>1E-3</v>
      </c>
      <c r="Q207" s="94">
        <f>VLOOKUP(lmic_raw_lb[[#This Row],[setting]],lmic_raw[],17,FALSE)*(1-interactive!$C$7)</f>
        <v>3.4612256230284464</v>
      </c>
      <c r="R207" s="98">
        <f>VLOOKUP(lmic_raw_lb[[#This Row],[setting]],lmic_raw[],18,FALSE)*(1-interactive!$C$7)</f>
        <v>28.424474999999997</v>
      </c>
      <c r="S207" s="98">
        <f>VLOOKUP(lmic_raw_lb[[#This Row],[setting]],lmic_raw[],19,FALSE)*(1-interactive!$C$7)</f>
        <v>73.779375000000002</v>
      </c>
      <c r="T207" s="98">
        <f>VLOOKUP(lmic_raw_lb[[#This Row],[setting]],lmic_raw[],20,FALSE)*(1-interactive!$C$7)</f>
        <v>73.779375000000002</v>
      </c>
      <c r="U207" s="98">
        <f>VLOOKUP(lmic_raw_lb[[#This Row],[setting]],lmic_raw[],21,FALSE)*(1-interactive!$C$7)</f>
        <v>73.779375000000002</v>
      </c>
      <c r="V207" s="33">
        <f>IFERROR(VLOOKUP(lmic_raw_lb[[#This Row],[setting]],vcost_lb[],3,FALSE),0)</f>
        <v>2.0780094528348232</v>
      </c>
      <c r="W207" s="33">
        <f>IFERROR(VLOOKUP(lmic_raw_lb[[#This Row],[setting]],vcost_lb[],4,FALSE),0)</f>
        <v>6.665274452834824</v>
      </c>
      <c r="X207" s="33">
        <f>IFERROR(VLOOKUP(lmic_raw_lb[[#This Row],[setting]],vcost_lb[],5,FALSE),0)</f>
        <v>1.7134396821809856</v>
      </c>
      <c r="Y207" s="33">
        <f>IFERROR(VLOOKUP(lmic_raw_lb[[#This Row],[setting]],vcost_lb[],6,FALSE),0)</f>
        <v>6.300704682180986</v>
      </c>
      <c r="Z207" s="33">
        <f>IFERROR(VLOOKUP(lmic_raw_lb[[#This Row],[setting]],vcost_lb[],7,FALSE),0)</f>
        <v>6.2991356134885219</v>
      </c>
      <c r="AA207" s="33">
        <f>IFERROR(VLOOKUP(lmic_raw_lb[[#This Row],[setting]],vcost_lb[],8,FALSE),0)</f>
        <v>2.2888951719221087</v>
      </c>
      <c r="AB207" s="33">
        <f>IFERROR(VLOOKUP(lmic_raw_lb[[#This Row],[setting]],vcost_lb[],9,FALSE),0)</f>
        <v>6.876160171922109</v>
      </c>
      <c r="AC207" s="94">
        <f>VLOOKUP($A207,lmic_raw[],29,FALSE)*(1-interactive!$C$7)</f>
        <v>5.9145764999999954E-2</v>
      </c>
      <c r="AD207" s="94">
        <f>VLOOKUP($A207,lmic_raw[],30,FALSE)*(1-interactive!$C$7)</f>
        <v>6.2825696170148559E-3</v>
      </c>
      <c r="AE207" s="94">
        <f>VLOOKUP($A207,lmic_raw[],31,FALSE)*(1-interactive!$C$7)</f>
        <v>1.6403385869732461E-3</v>
      </c>
      <c r="AF207" s="94">
        <f>VLOOKUP($A207,lmic_raw[],32,FALSE)*(1-interactive!$C$7)</f>
        <v>1.3570381908872605E-3</v>
      </c>
      <c r="AG207" s="94">
        <f>VLOOKUP($A207,lmic_raw[],33,FALSE)*(1-interactive!$C$7)</f>
        <v>2.0843198656365284E-3</v>
      </c>
      <c r="AH207" s="94">
        <f>VLOOKUP($A207,lmic_raw[],34,FALSE)*(1-interactive!$C$7)</f>
        <v>3.8236585680442759E-3</v>
      </c>
      <c r="AI207" s="94">
        <f>VLOOKUP($A207,lmic_raw[],35,FALSE)*(1-interactive!$C$7)</f>
        <v>7.0647665568528157E-3</v>
      </c>
      <c r="AJ207" s="94">
        <f>VLOOKUP($A207,lmic_raw[],36,FALSE)*(1-interactive!$C$7)</f>
        <v>1.0660175255321086E-2</v>
      </c>
      <c r="AK207" s="94">
        <f>VLOOKUP($A207,lmic_raw[],37,FALSE)*(1-interactive!$C$7)</f>
        <v>1.5634498463728712E-2</v>
      </c>
      <c r="AL207" s="94">
        <f>VLOOKUP($A207,lmic_raw[],38,FALSE)*(1-interactive!$C$7)</f>
        <v>1.7641642103208021E-2</v>
      </c>
      <c r="AM207" s="94">
        <f>VLOOKUP($A207,lmic_raw[],39,FALSE)*(1-interactive!$C$7)</f>
        <v>1.9584920894772404E-2</v>
      </c>
      <c r="AN207" s="94">
        <f>VLOOKUP($A207,lmic_raw[],40,FALSE)*(1-interactive!$C$7)</f>
        <v>2.1086391397267919E-2</v>
      </c>
      <c r="AO207" s="94">
        <f>VLOOKUP($A207,lmic_raw[],41,FALSE)*(1-interactive!$C$7)</f>
        <v>2.3722252055549231E-2</v>
      </c>
      <c r="AP207" s="94">
        <f>VLOOKUP($A207,lmic_raw[],42,FALSE)*(1-interactive!$C$7)</f>
        <v>2.8712471090952599E-2</v>
      </c>
      <c r="AQ207" s="94">
        <f>VLOOKUP($A207,lmic_raw[],43,FALSE)*(1-interactive!$C$7)</f>
        <v>3.765965321477123E-2</v>
      </c>
      <c r="AR207" s="94">
        <f>VLOOKUP($A207,lmic_raw[],44,FALSE)*(1-interactive!$C$7)</f>
        <v>5.1745341650435463E-2</v>
      </c>
      <c r="AS207" s="94">
        <f>VLOOKUP($A207,lmic_raw[],45,FALSE)*(1-interactive!$C$7)</f>
        <v>7.0862512193891225E-2</v>
      </c>
      <c r="AT207" s="94">
        <f>VLOOKUP($A207,lmic_raw[],46,FALSE)*(1-interactive!$C$7)</f>
        <v>0.10045394695280414</v>
      </c>
      <c r="AU207" s="94">
        <f>VLOOKUP($A207,lmic_raw[],47,FALSE)*(1-interactive!$C$7)</f>
        <v>0.1358674548649042</v>
      </c>
      <c r="AV207" s="94">
        <f>VLOOKUP($A207,lmic_raw[],48,FALSE)*(1-interactive!$C$7)</f>
        <v>0.16247283077024666</v>
      </c>
      <c r="AW207" s="94">
        <f>VLOOKUP($A207,lmic_raw[],49,FALSE)*(1-interactive!$C$7)</f>
        <v>0.17327074249170982</v>
      </c>
      <c r="AX207" s="94">
        <f>VLOOKUP($A207,lmic_raw[],50,FALSE)*(1-interactive!$C$7)</f>
        <v>50.835450000000002</v>
      </c>
    </row>
    <row r="208" spans="1:50" x14ac:dyDescent="0.25">
      <c r="A208" s="109" t="s">
        <v>146</v>
      </c>
      <c r="B208" s="101" t="s">
        <v>458</v>
      </c>
      <c r="C208" s="102">
        <v>430</v>
      </c>
      <c r="D208" s="121" t="s">
        <v>677</v>
      </c>
      <c r="E208" s="98" t="s">
        <v>591</v>
      </c>
      <c r="F208" s="98" t="s">
        <v>667</v>
      </c>
      <c r="G208" s="98" t="s">
        <v>674</v>
      </c>
      <c r="H208" s="98">
        <f>VLOOKUP(lmic_raw_lb[[#This Row],[setting]],lmic_raw[],8,FALSE)</f>
        <v>4937374</v>
      </c>
      <c r="I208" s="98">
        <f>VLOOKUP(lmic_raw_lb[[#This Row],[setting]],lmic_raw[],9,FALSE)</f>
        <v>164024.50165399996</v>
      </c>
      <c r="J208" s="98">
        <f>VLOOKUP($A208,lmic_raw[],10,FALSE)*(1-interactive!$C$7)</f>
        <v>0.75809999999999989</v>
      </c>
      <c r="K208" s="98">
        <f>VLOOKUP($A208,lmic_raw[],11,FALSE)*(1-interactive!$C$7)</f>
        <v>0</v>
      </c>
      <c r="L208" s="98">
        <f>VLOOKUP($A208,lmic_raw[],12,FALSE)*(1-interactive!$C$7)</f>
        <v>0.70299999999999996</v>
      </c>
      <c r="M208" s="98">
        <f>IFERROR(VLOOKUP(lmic_raw_lb[[#This Row],[iso3]], hbv_prev[[iso3]:[ub]],3,FALSE)/100,0)</f>
        <v>0.11939999999999999</v>
      </c>
      <c r="N208" s="98">
        <f>IFERROR(VLOOKUP(lmic_raw_lb[[#This Row],[setting]],hbe_prev[],4,FALSE),0)</f>
        <v>0.155</v>
      </c>
      <c r="O208" s="98">
        <f>VLOOKUP(lmic_raw_lb[[#This Row],[gbd_super]],hbe_risk[],3,FALSE)</f>
        <v>7.0000000000000007E-2</v>
      </c>
      <c r="P208" s="98">
        <f>VLOOKUP(lmic_raw_lb[[#This Row],[gbd_super]],hbe_risk[],6,FALSE)</f>
        <v>1E-3</v>
      </c>
      <c r="Q208" s="98">
        <f>VLOOKUP(lmic_raw_lb[[#This Row],[setting]],lmic_raw[],17,FALSE)*(1-interactive!$C$7)</f>
        <v>2.3336658580450673</v>
      </c>
      <c r="R208" s="98">
        <f>VLOOKUP(lmic_raw_lb[[#This Row],[setting]],lmic_raw[],18,FALSE)*(1-interactive!$C$7)</f>
        <v>28.424474999999997</v>
      </c>
      <c r="S208" s="98">
        <f>VLOOKUP(lmic_raw_lb[[#This Row],[setting]],lmic_raw[],19,FALSE)*(1-interactive!$C$7)</f>
        <v>73.779375000000002</v>
      </c>
      <c r="T208" s="98">
        <f>VLOOKUP(lmic_raw_lb[[#This Row],[setting]],lmic_raw[],20,FALSE)*(1-interactive!$C$7)</f>
        <v>73.779375000000002</v>
      </c>
      <c r="U208" s="98">
        <f>VLOOKUP(lmic_raw_lb[[#This Row],[setting]],lmic_raw[],21,FALSE)*(1-interactive!$C$7)</f>
        <v>73.779375000000002</v>
      </c>
      <c r="V208" s="33">
        <f>IFERROR(VLOOKUP(lmic_raw_lb[[#This Row],[setting]],vcost_lb[],3,FALSE),0)</f>
        <v>1.1913189599615537</v>
      </c>
      <c r="W208" s="33">
        <f>IFERROR(VLOOKUP(lmic_raw_lb[[#This Row],[setting]],vcost_lb[],4,FALSE),0)</f>
        <v>5.7785839599615541</v>
      </c>
      <c r="X208" s="33">
        <f>IFERROR(VLOOKUP(lmic_raw_lb[[#This Row],[setting]],vcost_lb[],5,FALSE),0)</f>
        <v>0.82711586284376815</v>
      </c>
      <c r="Y208" s="33">
        <f>IFERROR(VLOOKUP(lmic_raw_lb[[#This Row],[setting]],vcost_lb[],6,FALSE),0)</f>
        <v>5.4143808628437684</v>
      </c>
      <c r="Z208" s="33">
        <f>IFERROR(VLOOKUP(lmic_raw_lb[[#This Row],[setting]],vcost_lb[],7,FALSE),0)</f>
        <v>5.4130404659941398</v>
      </c>
      <c r="AA208" s="33">
        <f>IFERROR(VLOOKUP(lmic_raw_lb[[#This Row],[setting]],vcost_lb[],8,FALSE),0)</f>
        <v>1.4020475332476738</v>
      </c>
      <c r="AB208" s="33">
        <f>IFERROR(VLOOKUP(lmic_raw_lb[[#This Row],[setting]],vcost_lb[],9,FALSE),0)</f>
        <v>5.9893125332476744</v>
      </c>
      <c r="AC208" s="98">
        <f>VLOOKUP($A208,lmic_raw[],29,FALSE)*(1-interactive!$C$7)</f>
        <v>5.1370261999999937E-2</v>
      </c>
      <c r="AD208" s="98">
        <f>VLOOKUP($A208,lmic_raw[],30,FALSE)*(1-interactive!$C$7)</f>
        <v>5.030967193798818E-3</v>
      </c>
      <c r="AE208" s="98">
        <f>VLOOKUP($A208,lmic_raw[],31,FALSE)*(1-interactive!$C$7)</f>
        <v>1.4482350125820259E-3</v>
      </c>
      <c r="AF208" s="98">
        <f>VLOOKUP($A208,lmic_raw[],32,FALSE)*(1-interactive!$C$7)</f>
        <v>1.0289491948835411E-3</v>
      </c>
      <c r="AG208" s="98">
        <f>VLOOKUP($A208,lmic_raw[],33,FALSE)*(1-interactive!$C$7)</f>
        <v>1.6172831463998017E-3</v>
      </c>
      <c r="AH208" s="98">
        <f>VLOOKUP($A208,lmic_raw[],34,FALSE)*(1-interactive!$C$7)</f>
        <v>2.3798681298810619E-3</v>
      </c>
      <c r="AI208" s="98">
        <f>VLOOKUP($A208,lmic_raw[],35,FALSE)*(1-interactive!$C$7)</f>
        <v>2.8924034846330602E-3</v>
      </c>
      <c r="AJ208" s="98">
        <f>VLOOKUP($A208,lmic_raw[],36,FALSE)*(1-interactive!$C$7)</f>
        <v>3.4827659108951012E-3</v>
      </c>
      <c r="AK208" s="98">
        <f>VLOOKUP($A208,lmic_raw[],37,FALSE)*(1-interactive!$C$7)</f>
        <v>4.3390493914699201E-3</v>
      </c>
      <c r="AL208" s="98">
        <f>VLOOKUP($A208,lmic_raw[],38,FALSE)*(1-interactive!$C$7)</f>
        <v>5.4400846282349809E-3</v>
      </c>
      <c r="AM208" s="98">
        <f>VLOOKUP($A208,lmic_raw[],39,FALSE)*(1-interactive!$C$7)</f>
        <v>6.7682314171223926E-3</v>
      </c>
      <c r="AN208" s="98">
        <f>VLOOKUP($A208,lmic_raw[],40,FALSE)*(1-interactive!$C$7)</f>
        <v>9.3566797810908289E-3</v>
      </c>
      <c r="AO208" s="98">
        <f>VLOOKUP($A208,lmic_raw[],41,FALSE)*(1-interactive!$C$7)</f>
        <v>1.2409499545615833E-2</v>
      </c>
      <c r="AP208" s="98">
        <f>VLOOKUP($A208,lmic_raw[],42,FALSE)*(1-interactive!$C$7)</f>
        <v>1.842281795731323E-2</v>
      </c>
      <c r="AQ208" s="98">
        <f>VLOOKUP($A208,lmic_raw[],43,FALSE)*(1-interactive!$C$7)</f>
        <v>2.8283466633527338E-2</v>
      </c>
      <c r="AR208" s="98">
        <f>VLOOKUP($A208,lmic_raw[],44,FALSE)*(1-interactive!$C$7)</f>
        <v>4.3953769461105199E-2</v>
      </c>
      <c r="AS208" s="98">
        <f>VLOOKUP($A208,lmic_raw[],45,FALSE)*(1-interactive!$C$7)</f>
        <v>6.7267336478127895E-2</v>
      </c>
      <c r="AT208" s="98">
        <f>VLOOKUP($A208,lmic_raw[],46,FALSE)*(1-interactive!$C$7)</f>
        <v>0.1004660498728287</v>
      </c>
      <c r="AU208" s="98">
        <f>VLOOKUP($A208,lmic_raw[],47,FALSE)*(1-interactive!$C$7)</f>
        <v>0.13833679232578644</v>
      </c>
      <c r="AV208" s="98">
        <f>VLOOKUP($A208,lmic_raw[],48,FALSE)*(1-interactive!$C$7)</f>
        <v>0.16946087051170691</v>
      </c>
      <c r="AW208" s="98">
        <f>VLOOKUP($A208,lmic_raw[],49,FALSE)*(1-interactive!$C$7)</f>
        <v>0.17959427908577799</v>
      </c>
      <c r="AX208" s="98">
        <f>VLOOKUP($A208,lmic_raw[],50,FALSE)*(1-interactive!$C$7)</f>
        <v>60.416199999999996</v>
      </c>
    </row>
    <row r="209" spans="1:50" x14ac:dyDescent="0.25">
      <c r="A209" s="110" t="s">
        <v>159</v>
      </c>
      <c r="B209" s="104" t="s">
        <v>459</v>
      </c>
      <c r="C209" s="105">
        <v>434</v>
      </c>
      <c r="D209" s="122" t="s">
        <v>673</v>
      </c>
      <c r="E209" s="94" t="s">
        <v>579</v>
      </c>
      <c r="F209" s="94" t="s">
        <v>579</v>
      </c>
      <c r="G209" s="94" t="s">
        <v>676</v>
      </c>
      <c r="H209" s="98">
        <f>VLOOKUP(lmic_raw_lb[[#This Row],[setting]],lmic_raw[],8,FALSE)</f>
        <v>6777453</v>
      </c>
      <c r="I209" s="98">
        <f>VLOOKUP(lmic_raw_lb[[#This Row],[setting]],lmic_raw[],9,FALSE)</f>
        <v>128805.494265</v>
      </c>
      <c r="J209" s="94">
        <f>VLOOKUP($A209,lmic_raw[],10,FALSE)*(1-interactive!$C$7)</f>
        <v>0.94905000000000006</v>
      </c>
      <c r="K209" s="94">
        <f>VLOOKUP($A209,lmic_raw[],11,FALSE)*(1-interactive!$C$7)</f>
        <v>0</v>
      </c>
      <c r="L209" s="94">
        <f>VLOOKUP($A209,lmic_raw[],12,FALSE)*(1-interactive!$C$7)</f>
        <v>0.69350000000000001</v>
      </c>
      <c r="M209" s="94">
        <f>IFERROR(VLOOKUP(lmic_raw_lb[[#This Row],[iso3]], hbv_prev[[iso3]:[ub]],3,FALSE)/100,0)</f>
        <v>1.5300000000000001E-2</v>
      </c>
      <c r="N209" s="94">
        <f>IFERROR(VLOOKUP(lmic_raw_lb[[#This Row],[setting]],hbe_prev[],4,FALSE),0)</f>
        <v>0.14980000000000002</v>
      </c>
      <c r="O209" s="94">
        <f>VLOOKUP(lmic_raw_lb[[#This Row],[gbd_super]],hbe_risk[],3,FALSE)</f>
        <v>0.7</v>
      </c>
      <c r="P209" s="94">
        <f>VLOOKUP(lmic_raw_lb[[#This Row],[gbd_super]],hbe_risk[],6,FALSE)</f>
        <v>0.05</v>
      </c>
      <c r="Q209" s="94">
        <f>VLOOKUP(lmic_raw_lb[[#This Row],[setting]],lmic_raw[],17,FALSE)*(1-interactive!$C$7)</f>
        <v>12.323845375797809</v>
      </c>
      <c r="R209" s="98">
        <f>VLOOKUP(lmic_raw_lb[[#This Row],[setting]],lmic_raw[],18,FALSE)*(1-interactive!$C$7)</f>
        <v>44.019105000000003</v>
      </c>
      <c r="S209" s="98">
        <f>VLOOKUP(lmic_raw_lb[[#This Row],[setting]],lmic_raw[],19,FALSE)*(1-interactive!$C$7)</f>
        <v>89.374005000000011</v>
      </c>
      <c r="T209" s="98">
        <f>VLOOKUP(lmic_raw_lb[[#This Row],[setting]],lmic_raw[],20,FALSE)*(1-interactive!$C$7)</f>
        <v>89.374005000000011</v>
      </c>
      <c r="U209" s="98">
        <f>VLOOKUP(lmic_raw_lb[[#This Row],[setting]],lmic_raw[],21,FALSE)*(1-interactive!$C$7)</f>
        <v>89.374005000000011</v>
      </c>
      <c r="V209" s="33">
        <f>IFERROR(VLOOKUP(lmic_raw_lb[[#This Row],[setting]],vcost_lb[],3,FALSE),0)</f>
        <v>2.7853246486619399</v>
      </c>
      <c r="W209" s="33">
        <f>IFERROR(VLOOKUP(lmic_raw_lb[[#This Row],[setting]],vcost_lb[],4,FALSE),0)</f>
        <v>3.24094464866194</v>
      </c>
      <c r="X209" s="33">
        <f>IFERROR(VLOOKUP(lmic_raw_lb[[#This Row],[setting]],vcost_lb[],5,FALSE),0)</f>
        <v>2.4136662679616427</v>
      </c>
      <c r="Y209" s="33">
        <f>IFERROR(VLOOKUP(lmic_raw_lb[[#This Row],[setting]],vcost_lb[],6,FALSE),0)</f>
        <v>2.8692862679616429</v>
      </c>
      <c r="Z209" s="33">
        <f>IFERROR(VLOOKUP(lmic_raw_lb[[#This Row],[setting]],vcost_lb[],7,FALSE),0)</f>
        <v>2.8632296713321677</v>
      </c>
      <c r="AA209" s="33">
        <f>IFERROR(VLOOKUP(lmic_raw_lb[[#This Row],[setting]],vcost_lb[],8,FALSE),0)</f>
        <v>2.9992483434834227</v>
      </c>
      <c r="AB209" s="33">
        <f>IFERROR(VLOOKUP(lmic_raw_lb[[#This Row],[setting]],vcost_lb[],9,FALSE),0)</f>
        <v>3.4548683434834229</v>
      </c>
      <c r="AC209" s="94">
        <f>VLOOKUP($A209,lmic_raw[],29,FALSE)*(1-interactive!$C$7)</f>
        <v>1.0004849000000067E-2</v>
      </c>
      <c r="AD209" s="94">
        <f>VLOOKUP($A209,lmic_raw[],30,FALSE)*(1-interactive!$C$7)</f>
        <v>5.212444441641328E-4</v>
      </c>
      <c r="AE209" s="94">
        <f>VLOOKUP($A209,lmic_raw[],31,FALSE)*(1-interactive!$C$7)</f>
        <v>3.6694379435861898E-4</v>
      </c>
      <c r="AF209" s="94">
        <f>VLOOKUP($A209,lmic_raw[],32,FALSE)*(1-interactive!$C$7)</f>
        <v>3.7363887807167568E-4</v>
      </c>
      <c r="AG209" s="94">
        <f>VLOOKUP($A209,lmic_raw[],33,FALSE)*(1-interactive!$C$7)</f>
        <v>9.4089420328248086E-4</v>
      </c>
      <c r="AH209" s="94">
        <f>VLOOKUP($A209,lmic_raw[],34,FALSE)*(1-interactive!$C$7)</f>
        <v>1.2732191122482193E-3</v>
      </c>
      <c r="AI209" s="94">
        <f>VLOOKUP($A209,lmic_raw[],35,FALSE)*(1-interactive!$C$7)</f>
        <v>1.3529884858479106E-3</v>
      </c>
      <c r="AJ209" s="94">
        <f>VLOOKUP($A209,lmic_raw[],36,FALSE)*(1-interactive!$C$7)</f>
        <v>1.4910850438849372E-3</v>
      </c>
      <c r="AK209" s="94">
        <f>VLOOKUP($A209,lmic_raw[],37,FALSE)*(1-interactive!$C$7)</f>
        <v>1.8718313425406066E-3</v>
      </c>
      <c r="AL209" s="94">
        <f>VLOOKUP($A209,lmic_raw[],38,FALSE)*(1-interactive!$C$7)</f>
        <v>2.637260680520827E-3</v>
      </c>
      <c r="AM209" s="94">
        <f>VLOOKUP($A209,lmic_raw[],39,FALSE)*(1-interactive!$C$7)</f>
        <v>3.7594967354708428E-3</v>
      </c>
      <c r="AN209" s="94">
        <f>VLOOKUP($A209,lmic_raw[],40,FALSE)*(1-interactive!$C$7)</f>
        <v>5.9076461328454229E-3</v>
      </c>
      <c r="AO209" s="94">
        <f>VLOOKUP($A209,lmic_raw[],41,FALSE)*(1-interactive!$C$7)</f>
        <v>9.431230676518498E-3</v>
      </c>
      <c r="AP209" s="94">
        <f>VLOOKUP($A209,lmic_raw[],42,FALSE)*(1-interactive!$C$7)</f>
        <v>1.486770838024049E-2</v>
      </c>
      <c r="AQ209" s="94">
        <f>VLOOKUP($A209,lmic_raw[],43,FALSE)*(1-interactive!$C$7)</f>
        <v>2.3943980951375943E-2</v>
      </c>
      <c r="AR209" s="94">
        <f>VLOOKUP($A209,lmic_raw[],44,FALSE)*(1-interactive!$C$7)</f>
        <v>3.6906024800835338E-2</v>
      </c>
      <c r="AS209" s="94">
        <f>VLOOKUP($A209,lmic_raw[],45,FALSE)*(1-interactive!$C$7)</f>
        <v>5.7894581415307865E-2</v>
      </c>
      <c r="AT209" s="94">
        <f>VLOOKUP($A209,lmic_raw[],46,FALSE)*(1-interactive!$C$7)</f>
        <v>8.7590227523592828E-2</v>
      </c>
      <c r="AU209" s="94">
        <f>VLOOKUP($A209,lmic_raw[],47,FALSE)*(1-interactive!$C$7)</f>
        <v>0.12061919792252451</v>
      </c>
      <c r="AV209" s="94">
        <f>VLOOKUP($A209,lmic_raw[],48,FALSE)*(1-interactive!$C$7)</f>
        <v>0.14981592306342881</v>
      </c>
      <c r="AW209" s="94">
        <f>VLOOKUP($A209,lmic_raw[],49,FALSE)*(1-interactive!$C$7)</f>
        <v>0.16756979371027877</v>
      </c>
      <c r="AX209" s="94">
        <f>VLOOKUP($A209,lmic_raw[],50,FALSE)*(1-interactive!$C$7)</f>
        <v>69.065949999999987</v>
      </c>
    </row>
    <row r="210" spans="1:50" x14ac:dyDescent="0.25">
      <c r="A210" s="109" t="s">
        <v>107</v>
      </c>
      <c r="B210" s="101" t="s">
        <v>461</v>
      </c>
      <c r="C210" s="102">
        <v>450</v>
      </c>
      <c r="D210" s="121" t="s">
        <v>677</v>
      </c>
      <c r="E210" s="98" t="s">
        <v>597</v>
      </c>
      <c r="F210" s="98" t="s">
        <v>667</v>
      </c>
      <c r="G210" s="98" t="s">
        <v>674</v>
      </c>
      <c r="H210" s="98">
        <f>VLOOKUP(lmic_raw_lb[[#This Row],[setting]],lmic_raw[],8,FALSE)</f>
        <v>26969306</v>
      </c>
      <c r="I210" s="98">
        <f>VLOOKUP(lmic_raw_lb[[#This Row],[setting]],lmic_raw[],9,FALSE)</f>
        <v>885024.74569600006</v>
      </c>
      <c r="J210" s="98">
        <f>VLOOKUP($A210,lmic_raw[],10,FALSE)*(1-interactive!$C$7)</f>
        <v>0.36764999999999998</v>
      </c>
      <c r="K210" s="98">
        <f>VLOOKUP($A210,lmic_raw[],11,FALSE)*(1-interactive!$C$7)</f>
        <v>0</v>
      </c>
      <c r="L210" s="98">
        <f>VLOOKUP($A210,lmic_raw[],12,FALSE)*(1-interactive!$C$7)</f>
        <v>0.75049999999999994</v>
      </c>
      <c r="M210" s="98">
        <f>IFERROR(VLOOKUP(lmic_raw_lb[[#This Row],[iso3]], hbv_prev[[iso3]:[ub]],3,FALSE)/100,0)</f>
        <v>6.54E-2</v>
      </c>
      <c r="N210" s="98">
        <f>IFERROR(VLOOKUP(lmic_raw_lb[[#This Row],[setting]],hbe_prev[],4,FALSE),0)</f>
        <v>0.15560000000000002</v>
      </c>
      <c r="O210" s="98">
        <f>VLOOKUP(lmic_raw_lb[[#This Row],[gbd_super]],hbe_risk[],3,FALSE)</f>
        <v>7.0000000000000007E-2</v>
      </c>
      <c r="P210" s="98">
        <f>VLOOKUP(lmic_raw_lb[[#This Row],[gbd_super]],hbe_risk[],6,FALSE)</f>
        <v>1E-3</v>
      </c>
      <c r="Q210" s="98">
        <f>VLOOKUP(lmic_raw_lb[[#This Row],[setting]],lmic_raw[],17,FALSE)*(1-interactive!$C$7)</f>
        <v>2.3223902603952329</v>
      </c>
      <c r="R210" s="98">
        <f>VLOOKUP(lmic_raw_lb[[#This Row],[setting]],lmic_raw[],18,FALSE)*(1-interactive!$C$7)</f>
        <v>28.424474999999997</v>
      </c>
      <c r="S210" s="98">
        <f>VLOOKUP(lmic_raw_lb[[#This Row],[setting]],lmic_raw[],19,FALSE)*(1-interactive!$C$7)</f>
        <v>73.779375000000002</v>
      </c>
      <c r="T210" s="98">
        <f>VLOOKUP(lmic_raw_lb[[#This Row],[setting]],lmic_raw[],20,FALSE)*(1-interactive!$C$7)</f>
        <v>73.779375000000002</v>
      </c>
      <c r="U210" s="98">
        <f>VLOOKUP(lmic_raw_lb[[#This Row],[setting]],lmic_raw[],21,FALSE)*(1-interactive!$C$7)</f>
        <v>73.779375000000002</v>
      </c>
      <c r="V210" s="33">
        <f>IFERROR(VLOOKUP(lmic_raw_lb[[#This Row],[setting]],vcost_lb[],3,FALSE),0)</f>
        <v>0.6965476136272154</v>
      </c>
      <c r="W210" s="33">
        <f>IFERROR(VLOOKUP(lmic_raw_lb[[#This Row],[setting]],vcost_lb[],4,FALSE),0)</f>
        <v>5.2838126136272159</v>
      </c>
      <c r="X210" s="33">
        <f>IFERROR(VLOOKUP(lmic_raw_lb[[#This Row],[setting]],vcost_lb[],5,FALSE),0)</f>
        <v>0.33249742382356923</v>
      </c>
      <c r="Y210" s="33">
        <f>IFERROR(VLOOKUP(lmic_raw_lb[[#This Row],[setting]],vcost_lb[],6,FALSE),0)</f>
        <v>4.9197624238235695</v>
      </c>
      <c r="Z210" s="33">
        <f>IFERROR(VLOOKUP(lmic_raw_lb[[#This Row],[setting]],vcost_lb[],7,FALSE),0)</f>
        <v>4.9183591578229207</v>
      </c>
      <c r="AA210" s="33">
        <f>IFERROR(VLOOKUP(lmic_raw_lb[[#This Row],[setting]],vcost_lb[],8,FALSE),0)</f>
        <v>0.90721065520727595</v>
      </c>
      <c r="AB210" s="33">
        <f>IFERROR(VLOOKUP(lmic_raw_lb[[#This Row],[setting]],vcost_lb[],9,FALSE),0)</f>
        <v>5.4944756552072764</v>
      </c>
      <c r="AC210" s="98">
        <f>VLOOKUP($A210,lmic_raw[],29,FALSE)*(1-interactive!$C$7)</f>
        <v>2.7590118499999983E-2</v>
      </c>
      <c r="AD210" s="98">
        <f>VLOOKUP($A210,lmic_raw[],30,FALSE)*(1-interactive!$C$7)</f>
        <v>3.4617680900787384E-3</v>
      </c>
      <c r="AE210" s="98">
        <f>VLOOKUP($A210,lmic_raw[],31,FALSE)*(1-interactive!$C$7)</f>
        <v>1.5992797363710079E-3</v>
      </c>
      <c r="AF210" s="98">
        <f>VLOOKUP($A210,lmic_raw[],32,FALSE)*(1-interactive!$C$7)</f>
        <v>1.2573723991004023E-3</v>
      </c>
      <c r="AG210" s="98">
        <f>VLOOKUP($A210,lmic_raw[],33,FALSE)*(1-interactive!$C$7)</f>
        <v>1.7485279736519535E-3</v>
      </c>
      <c r="AH210" s="98">
        <f>VLOOKUP($A210,lmic_raw[],34,FALSE)*(1-interactive!$C$7)</f>
        <v>2.0232221781811286E-3</v>
      </c>
      <c r="AI210" s="98">
        <f>VLOOKUP($A210,lmic_raw[],35,FALSE)*(1-interactive!$C$7)</f>
        <v>2.2417675127433482E-3</v>
      </c>
      <c r="AJ210" s="98">
        <f>VLOOKUP($A210,lmic_raw[],36,FALSE)*(1-interactive!$C$7)</f>
        <v>2.8939676803559728E-3</v>
      </c>
      <c r="AK210" s="98">
        <f>VLOOKUP($A210,lmic_raw[],37,FALSE)*(1-interactive!$C$7)</f>
        <v>3.7200459373783585E-3</v>
      </c>
      <c r="AL210" s="98">
        <f>VLOOKUP($A210,lmic_raw[],38,FALSE)*(1-interactive!$C$7)</f>
        <v>4.8032887001881247E-3</v>
      </c>
      <c r="AM210" s="98">
        <f>VLOOKUP($A210,lmic_raw[],39,FALSE)*(1-interactive!$C$7)</f>
        <v>6.3278980997258389E-3</v>
      </c>
      <c r="AN210" s="98">
        <f>VLOOKUP($A210,lmic_raw[],40,FALSE)*(1-interactive!$C$7)</f>
        <v>8.4636902708689378E-3</v>
      </c>
      <c r="AO210" s="98">
        <f>VLOOKUP($A210,lmic_raw[],41,FALSE)*(1-interactive!$C$7)</f>
        <v>1.1912948115099546E-2</v>
      </c>
      <c r="AP210" s="98">
        <f>VLOOKUP($A210,lmic_raw[],42,FALSE)*(1-interactive!$C$7)</f>
        <v>1.8205612353105891E-2</v>
      </c>
      <c r="AQ210" s="98">
        <f>VLOOKUP($A210,lmic_raw[],43,FALSE)*(1-interactive!$C$7)</f>
        <v>2.9325298194772514E-2</v>
      </c>
      <c r="AR210" s="98">
        <f>VLOOKUP($A210,lmic_raw[],44,FALSE)*(1-interactive!$C$7)</f>
        <v>4.4796108625900229E-2</v>
      </c>
      <c r="AS210" s="98">
        <f>VLOOKUP($A210,lmic_raw[],45,FALSE)*(1-interactive!$C$7)</f>
        <v>6.516716339746334E-2</v>
      </c>
      <c r="AT210" s="98">
        <f>VLOOKUP($A210,lmic_raw[],46,FALSE)*(1-interactive!$C$7)</f>
        <v>9.0217700418039407E-2</v>
      </c>
      <c r="AU210" s="98">
        <f>VLOOKUP($A210,lmic_raw[],47,FALSE)*(1-interactive!$C$7)</f>
        <v>0.11736498573978038</v>
      </c>
      <c r="AV210" s="98">
        <f>VLOOKUP($A210,lmic_raw[],48,FALSE)*(1-interactive!$C$7)</f>
        <v>0.14240799063333512</v>
      </c>
      <c r="AW210" s="98">
        <f>VLOOKUP($A210,lmic_raw[],49,FALSE)*(1-interactive!$C$7)</f>
        <v>0.16129594414486181</v>
      </c>
      <c r="AX210" s="98">
        <f>VLOOKUP($A210,lmic_raw[],50,FALSE)*(1-interactive!$C$7)</f>
        <v>63.162649999999992</v>
      </c>
    </row>
    <row r="211" spans="1:50" x14ac:dyDescent="0.25">
      <c r="A211" s="110" t="s">
        <v>108</v>
      </c>
      <c r="B211" s="104" t="s">
        <v>462</v>
      </c>
      <c r="C211" s="105">
        <v>454</v>
      </c>
      <c r="D211" s="122" t="s">
        <v>677</v>
      </c>
      <c r="E211" s="94" t="s">
        <v>597</v>
      </c>
      <c r="F211" s="94" t="s">
        <v>667</v>
      </c>
      <c r="G211" s="94" t="s">
        <v>674</v>
      </c>
      <c r="H211" s="98">
        <f>VLOOKUP(lmic_raw_lb[[#This Row],[setting]],lmic_raw[],8,FALSE)</f>
        <v>18628749</v>
      </c>
      <c r="I211" s="98">
        <f>VLOOKUP(lmic_raw_lb[[#This Row],[setting]],lmic_raw[],9,FALSE)</f>
        <v>638127.7969950001</v>
      </c>
      <c r="J211" s="94">
        <f>VLOOKUP($A211,lmic_raw[],10,FALSE)*(1-interactive!$C$7)</f>
        <v>0.86829999999999996</v>
      </c>
      <c r="K211" s="94">
        <f>VLOOKUP($A211,lmic_raw[],11,FALSE)*(1-interactive!$C$7)</f>
        <v>0</v>
      </c>
      <c r="L211" s="94">
        <f>VLOOKUP($A211,lmic_raw[],12,FALSE)*(1-interactive!$C$7)</f>
        <v>0.90249999999999997</v>
      </c>
      <c r="M211" s="94">
        <f>IFERROR(VLOOKUP(lmic_raw_lb[[#This Row],[iso3]], hbv_prev[[iso3]:[ub]],3,FALSE)/100,0)</f>
        <v>5.2499999999999998E-2</v>
      </c>
      <c r="N211" s="94">
        <f>IFERROR(VLOOKUP(lmic_raw_lb[[#This Row],[setting]],hbe_prev[],4,FALSE),0)</f>
        <v>0.15560000000000002</v>
      </c>
      <c r="O211" s="94">
        <f>VLOOKUP(lmic_raw_lb[[#This Row],[gbd_super]],hbe_risk[],3,FALSE)</f>
        <v>7.0000000000000007E-2</v>
      </c>
      <c r="P211" s="94">
        <f>VLOOKUP(lmic_raw_lb[[#This Row],[gbd_super]],hbe_risk[],6,FALSE)</f>
        <v>1E-3</v>
      </c>
      <c r="Q211" s="94">
        <f>VLOOKUP(lmic_raw_lb[[#This Row],[setting]],lmic_raw[],17,FALSE)*(1-interactive!$C$7)</f>
        <v>2.6493825922404133</v>
      </c>
      <c r="R211" s="98">
        <f>VLOOKUP(lmic_raw_lb[[#This Row],[setting]],lmic_raw[],18,FALSE)*(1-interactive!$C$7)</f>
        <v>28.424474999999997</v>
      </c>
      <c r="S211" s="98">
        <f>VLOOKUP(lmic_raw_lb[[#This Row],[setting]],lmic_raw[],19,FALSE)*(1-interactive!$C$7)</f>
        <v>73.779375000000002</v>
      </c>
      <c r="T211" s="98">
        <f>VLOOKUP(lmic_raw_lb[[#This Row],[setting]],lmic_raw[],20,FALSE)*(1-interactive!$C$7)</f>
        <v>73.779375000000002</v>
      </c>
      <c r="U211" s="98">
        <f>VLOOKUP(lmic_raw_lb[[#This Row],[setting]],lmic_raw[],21,FALSE)*(1-interactive!$C$7)</f>
        <v>73.779375000000002</v>
      </c>
      <c r="V211" s="33">
        <f>IFERROR(VLOOKUP(lmic_raw_lb[[#This Row],[setting]],vcost_lb[],3,FALSE),0)</f>
        <v>0.90113428081369218</v>
      </c>
      <c r="W211" s="33">
        <f>IFERROR(VLOOKUP(lmic_raw_lb[[#This Row],[setting]],vcost_lb[],4,FALSE),0)</f>
        <v>5.4883992808136925</v>
      </c>
      <c r="X211" s="33">
        <f>IFERROR(VLOOKUP(lmic_raw_lb[[#This Row],[setting]],vcost_lb[],5,FALSE),0)</f>
        <v>0.53766605158032021</v>
      </c>
      <c r="Y211" s="33">
        <f>IFERROR(VLOOKUP(lmic_raw_lb[[#This Row],[setting]],vcost_lb[],6,FALSE),0)</f>
        <v>5.1249310515803206</v>
      </c>
      <c r="Z211" s="33">
        <f>IFERROR(VLOOKUP(lmic_raw_lb[[#This Row],[setting]],vcost_lb[],7,FALSE),0)</f>
        <v>5.1240399565274446</v>
      </c>
      <c r="AA211" s="33">
        <f>IFERROR(VLOOKUP(lmic_raw_lb[[#This Row],[setting]],vcost_lb[],8,FALSE),0)</f>
        <v>1.1115479107207777</v>
      </c>
      <c r="AB211" s="33">
        <f>IFERROR(VLOOKUP(lmic_raw_lb[[#This Row],[setting]],vcost_lb[],9,FALSE),0)</f>
        <v>5.6988129107207781</v>
      </c>
      <c r="AC211" s="94">
        <f>VLOOKUP($A211,lmic_raw[],29,FALSE)*(1-interactive!$C$7)</f>
        <v>3.9268696500000054E-2</v>
      </c>
      <c r="AD211" s="94">
        <f>VLOOKUP($A211,lmic_raw[],30,FALSE)*(1-interactive!$C$7)</f>
        <v>3.4973670612388034E-3</v>
      </c>
      <c r="AE211" s="94">
        <f>VLOOKUP($A211,lmic_raw[],31,FALSE)*(1-interactive!$C$7)</f>
        <v>1.1846171161731017E-3</v>
      </c>
      <c r="AF211" s="94">
        <f>VLOOKUP($A211,lmic_raw[],32,FALSE)*(1-interactive!$C$7)</f>
        <v>9.2400528081368186E-4</v>
      </c>
      <c r="AG211" s="94">
        <f>VLOOKUP($A211,lmic_raw[],33,FALSE)*(1-interactive!$C$7)</f>
        <v>1.5194186500664185E-3</v>
      </c>
      <c r="AH211" s="94">
        <f>VLOOKUP($A211,lmic_raw[],34,FALSE)*(1-interactive!$C$7)</f>
        <v>2.4011463251929384E-3</v>
      </c>
      <c r="AI211" s="94">
        <f>VLOOKUP($A211,lmic_raw[],35,FALSE)*(1-interactive!$C$7)</f>
        <v>3.2978673137895645E-3</v>
      </c>
      <c r="AJ211" s="94">
        <f>VLOOKUP($A211,lmic_raw[],36,FALSE)*(1-interactive!$C$7)</f>
        <v>4.2998613910693005E-3</v>
      </c>
      <c r="AK211" s="94">
        <f>VLOOKUP($A211,lmic_raw[],37,FALSE)*(1-interactive!$C$7)</f>
        <v>5.7363046527028989E-3</v>
      </c>
      <c r="AL211" s="94">
        <f>VLOOKUP($A211,lmic_raw[],38,FALSE)*(1-interactive!$C$7)</f>
        <v>7.1231366687273343E-3</v>
      </c>
      <c r="AM211" s="94">
        <f>VLOOKUP($A211,lmic_raw[],39,FALSE)*(1-interactive!$C$7)</f>
        <v>8.7728184576895598E-3</v>
      </c>
      <c r="AN211" s="94">
        <f>VLOOKUP($A211,lmic_raw[],40,FALSE)*(1-interactive!$C$7)</f>
        <v>1.1495673451895482E-2</v>
      </c>
      <c r="AO211" s="94">
        <f>VLOOKUP($A211,lmic_raw[],41,FALSE)*(1-interactive!$C$7)</f>
        <v>1.4687690279240143E-2</v>
      </c>
      <c r="AP211" s="94">
        <f>VLOOKUP($A211,lmic_raw[],42,FALSE)*(1-interactive!$C$7)</f>
        <v>2.0709775178139746E-2</v>
      </c>
      <c r="AQ211" s="94">
        <f>VLOOKUP($A211,lmic_raw[],43,FALSE)*(1-interactive!$C$7)</f>
        <v>3.0408194965134264E-2</v>
      </c>
      <c r="AR211" s="94">
        <f>VLOOKUP($A211,lmic_raw[],44,FALSE)*(1-interactive!$C$7)</f>
        <v>4.5390438167418071E-2</v>
      </c>
      <c r="AS211" s="94">
        <f>VLOOKUP($A211,lmic_raw[],45,FALSE)*(1-interactive!$C$7)</f>
        <v>6.7483924337195605E-2</v>
      </c>
      <c r="AT211" s="94">
        <f>VLOOKUP($A211,lmic_raw[],46,FALSE)*(1-interactive!$C$7)</f>
        <v>9.9851176084888263E-2</v>
      </c>
      <c r="AU211" s="94">
        <f>VLOOKUP($A211,lmic_raw[],47,FALSE)*(1-interactive!$C$7)</f>
        <v>0.13748125082601351</v>
      </c>
      <c r="AV211" s="94">
        <f>VLOOKUP($A211,lmic_raw[],48,FALSE)*(1-interactive!$C$7)</f>
        <v>0.16834140552339177</v>
      </c>
      <c r="AW211" s="94">
        <f>VLOOKUP($A211,lmic_raw[],49,FALSE)*(1-interactive!$C$7)</f>
        <v>0.17912613461231874</v>
      </c>
      <c r="AX211" s="94">
        <f>VLOOKUP($A211,lmic_raw[],50,FALSE)*(1-interactive!$C$7)</f>
        <v>60.260399999999997</v>
      </c>
    </row>
    <row r="212" spans="1:50" x14ac:dyDescent="0.25">
      <c r="A212" s="109" t="s">
        <v>215</v>
      </c>
      <c r="B212" s="101" t="s">
        <v>463</v>
      </c>
      <c r="C212" s="102">
        <v>458</v>
      </c>
      <c r="D212" s="121" t="s">
        <v>681</v>
      </c>
      <c r="E212" s="98" t="s">
        <v>598</v>
      </c>
      <c r="F212" s="98" t="s">
        <v>666</v>
      </c>
      <c r="G212" s="98" t="s">
        <v>676</v>
      </c>
      <c r="H212" s="98">
        <f>VLOOKUP(lmic_raw_lb[[#This Row],[setting]],lmic_raw[],8,FALSE)</f>
        <v>31949789</v>
      </c>
      <c r="I212" s="98">
        <f>VLOOKUP(lmic_raw_lb[[#This Row],[setting]],lmic_raw[],9,FALSE)</f>
        <v>537906.64760399994</v>
      </c>
      <c r="J212" s="98">
        <f>VLOOKUP($A212,lmic_raw[],10,FALSE)*(1-interactive!$C$7)</f>
        <v>0.93955000000000011</v>
      </c>
      <c r="K212" s="98">
        <f>VLOOKUP($A212,lmic_raw[],11,FALSE)*(1-interactive!$C$7)</f>
        <v>0.9405</v>
      </c>
      <c r="L212" s="98">
        <f>VLOOKUP($A212,lmic_raw[],12,FALSE)*(1-interactive!$C$7)</f>
        <v>0.92149999999999999</v>
      </c>
      <c r="M212" s="98">
        <f>IFERROR(VLOOKUP(lmic_raw_lb[[#This Row],[iso3]], hbv_prev[[iso3]:[ub]],3,FALSE)/100,0)</f>
        <v>7.9000000000000008E-3</v>
      </c>
      <c r="N212" s="98">
        <f>IFERROR(VLOOKUP(lmic_raw_lb[[#This Row],[setting]],hbe_prev[],4,FALSE),0)</f>
        <v>0.18100000000000002</v>
      </c>
      <c r="O212" s="98">
        <f>VLOOKUP(lmic_raw_lb[[#This Row],[gbd_super]],hbe_risk[],3,FALSE)</f>
        <v>0.7</v>
      </c>
      <c r="P212" s="98">
        <f>VLOOKUP(lmic_raw_lb[[#This Row],[gbd_super]],hbe_risk[],6,FALSE)</f>
        <v>0.05</v>
      </c>
      <c r="Q212" s="98">
        <f>VLOOKUP(lmic_raw_lb[[#This Row],[setting]],lmic_raw[],17,FALSE)*(1-interactive!$C$7)</f>
        <v>11.658585114457617</v>
      </c>
      <c r="R212" s="98">
        <f>VLOOKUP(lmic_raw_lb[[#This Row],[setting]],lmic_raw[],18,FALSE)*(1-interactive!$C$7)</f>
        <v>69.430275000000009</v>
      </c>
      <c r="S212" s="98">
        <f>VLOOKUP(lmic_raw_lb[[#This Row],[setting]],lmic_raw[],19,FALSE)*(1-interactive!$C$7)</f>
        <v>114.785175</v>
      </c>
      <c r="T212" s="98">
        <f>VLOOKUP(lmic_raw_lb[[#This Row],[setting]],lmic_raw[],20,FALSE)*(1-interactive!$C$7)</f>
        <v>114.785175</v>
      </c>
      <c r="U212" s="98">
        <f>VLOOKUP(lmic_raw_lb[[#This Row],[setting]],lmic_raw[],21,FALSE)*(1-interactive!$C$7)</f>
        <v>114.785175</v>
      </c>
      <c r="V212" s="33">
        <f>IFERROR(VLOOKUP(lmic_raw_lb[[#This Row],[setting]],vcost_lb[],3,FALSE),0)</f>
        <v>2.148259052804383</v>
      </c>
      <c r="W212" s="33">
        <f>IFERROR(VLOOKUP(lmic_raw_lb[[#This Row],[setting]],vcost_lb[],4,FALSE),0)</f>
        <v>2.748849052804383</v>
      </c>
      <c r="X212" s="33">
        <f>IFERROR(VLOOKUP(lmic_raw_lb[[#This Row],[setting]],vcost_lb[],5,FALSE),0)</f>
        <v>1.7717276821630796</v>
      </c>
      <c r="Y212" s="33">
        <f>IFERROR(VLOOKUP(lmic_raw_lb[[#This Row],[setting]],vcost_lb[],6,FALSE),0)</f>
        <v>2.3723176821630796</v>
      </c>
      <c r="Z212" s="33">
        <f>IFERROR(VLOOKUP(lmic_raw_lb[[#This Row],[setting]],vcost_lb[],7,FALSE),0)</f>
        <v>2.363039436010399</v>
      </c>
      <c r="AA212" s="33">
        <f>IFERROR(VLOOKUP(lmic_raw_lb[[#This Row],[setting]],vcost_lb[],8,FALSE),0)</f>
        <v>2.3642711718862968</v>
      </c>
      <c r="AB212" s="33">
        <f>IFERROR(VLOOKUP(lmic_raw_lb[[#This Row],[setting]],vcost_lb[],9,FALSE),0)</f>
        <v>2.9648611718862967</v>
      </c>
      <c r="AC212" s="98">
        <f>VLOOKUP($A212,lmic_raw[],29,FALSE)*(1-interactive!$C$7)</f>
        <v>5.6030715000000564E-3</v>
      </c>
      <c r="AD212" s="98">
        <f>VLOOKUP($A212,lmic_raw[],30,FALSE)*(1-interactive!$C$7)</f>
        <v>2.5564227044179959E-4</v>
      </c>
      <c r="AE212" s="98">
        <f>VLOOKUP($A212,lmic_raw[],31,FALSE)*(1-interactive!$C$7)</f>
        <v>1.6530806827277973E-4</v>
      </c>
      <c r="AF212" s="98">
        <f>VLOOKUP($A212,lmic_raw[],32,FALSE)*(1-interactive!$C$7)</f>
        <v>2.2946083496484381E-4</v>
      </c>
      <c r="AG212" s="98">
        <f>VLOOKUP($A212,lmic_raw[],33,FALSE)*(1-interactive!$C$7)</f>
        <v>5.3639153355413587E-4</v>
      </c>
      <c r="AH212" s="98">
        <f>VLOOKUP($A212,lmic_raw[],34,FALSE)*(1-interactive!$C$7)</f>
        <v>5.6242699652660915E-4</v>
      </c>
      <c r="AI212" s="98">
        <f>VLOOKUP($A212,lmic_raw[],35,FALSE)*(1-interactive!$C$7)</f>
        <v>5.9130530949175067E-4</v>
      </c>
      <c r="AJ212" s="98">
        <f>VLOOKUP($A212,lmic_raw[],36,FALSE)*(1-interactive!$C$7)</f>
        <v>1.022435471937195E-3</v>
      </c>
      <c r="AK212" s="98">
        <f>VLOOKUP($A212,lmic_raw[],37,FALSE)*(1-interactive!$C$7)</f>
        <v>1.5222242920445209E-3</v>
      </c>
      <c r="AL212" s="98">
        <f>VLOOKUP($A212,lmic_raw[],38,FALSE)*(1-interactive!$C$7)</f>
        <v>2.2612981290101456E-3</v>
      </c>
      <c r="AM212" s="98">
        <f>VLOOKUP($A212,lmic_raw[],39,FALSE)*(1-interactive!$C$7)</f>
        <v>3.9489686971579752E-3</v>
      </c>
      <c r="AN212" s="98">
        <f>VLOOKUP($A212,lmic_raw[],40,FALSE)*(1-interactive!$C$7)</f>
        <v>5.9861733250361152E-3</v>
      </c>
      <c r="AO212" s="98">
        <f>VLOOKUP($A212,lmic_raw[],41,FALSE)*(1-interactive!$C$7)</f>
        <v>8.7120669508740749E-3</v>
      </c>
      <c r="AP212" s="98">
        <f>VLOOKUP($A212,lmic_raw[],42,FALSE)*(1-interactive!$C$7)</f>
        <v>1.1995452753091542E-2</v>
      </c>
      <c r="AQ212" s="98">
        <f>VLOOKUP($A212,lmic_raw[],43,FALSE)*(1-interactive!$C$7)</f>
        <v>1.9262594686177689E-2</v>
      </c>
      <c r="AR212" s="98">
        <f>VLOOKUP($A212,lmic_raw[],44,FALSE)*(1-interactive!$C$7)</f>
        <v>3.2368596829322693E-2</v>
      </c>
      <c r="AS212" s="98">
        <f>VLOOKUP($A212,lmic_raw[],45,FALSE)*(1-interactive!$C$7)</f>
        <v>4.5957029309086114E-2</v>
      </c>
      <c r="AT212" s="98">
        <f>VLOOKUP($A212,lmic_raw[],46,FALSE)*(1-interactive!$C$7)</f>
        <v>6.6824583168029764E-2</v>
      </c>
      <c r="AU212" s="98">
        <f>VLOOKUP($A212,lmic_raw[],47,FALSE)*(1-interactive!$C$7)</f>
        <v>9.1253303884483258E-2</v>
      </c>
      <c r="AV212" s="98">
        <f>VLOOKUP($A212,lmic_raw[],48,FALSE)*(1-interactive!$C$7)</f>
        <v>0.11535209519162341</v>
      </c>
      <c r="AW212" s="98">
        <f>VLOOKUP($A212,lmic_raw[],49,FALSE)*(1-interactive!$C$7)</f>
        <v>0.13412686171627208</v>
      </c>
      <c r="AX212" s="98">
        <f>VLOOKUP($A212,lmic_raw[],50,FALSE)*(1-interactive!$C$7)</f>
        <v>72.130650000000003</v>
      </c>
    </row>
    <row r="213" spans="1:50" x14ac:dyDescent="0.25">
      <c r="A213" s="110" t="s">
        <v>196</v>
      </c>
      <c r="B213" s="104" t="s">
        <v>464</v>
      </c>
      <c r="C213" s="105">
        <v>462</v>
      </c>
      <c r="D213" s="122" t="s">
        <v>680</v>
      </c>
      <c r="E213" s="94" t="s">
        <v>598</v>
      </c>
      <c r="F213" s="94" t="s">
        <v>666</v>
      </c>
      <c r="G213" s="94" t="s">
        <v>676</v>
      </c>
      <c r="H213" s="98">
        <f>VLOOKUP(lmic_raw_lb[[#This Row],[setting]],lmic_raw[],8,FALSE)</f>
        <v>530957</v>
      </c>
      <c r="I213" s="98">
        <f>VLOOKUP(lmic_raw_lb[[#This Row],[setting]],lmic_raw[],9,FALSE)</f>
        <v>7646.3117569999995</v>
      </c>
      <c r="J213" s="94">
        <f>VLOOKUP($A213,lmic_raw[],10,FALSE)*(1-interactive!$C$7)</f>
        <v>0.89774999999999994</v>
      </c>
      <c r="K213" s="94">
        <f>VLOOKUP($A213,lmic_raw[],11,FALSE)*(1-interactive!$C$7)</f>
        <v>0.9405</v>
      </c>
      <c r="L213" s="94">
        <f>VLOOKUP($A213,lmic_raw[],12,FALSE)*(1-interactive!$C$7)</f>
        <v>0.9405</v>
      </c>
      <c r="M213" s="94">
        <f>IFERROR(VLOOKUP(lmic_raw_lb[[#This Row],[iso3]], hbv_prev[[iso3]:[ub]],3,FALSE)/100,0)</f>
        <v>1.1999999999999999E-3</v>
      </c>
      <c r="N213" s="94">
        <f>IFERROR(VLOOKUP(lmic_raw_lb[[#This Row],[setting]],hbe_prev[],4,FALSE),0)</f>
        <v>0.18100000000000002</v>
      </c>
      <c r="O213" s="94">
        <f>VLOOKUP(lmic_raw_lb[[#This Row],[gbd_super]],hbe_risk[],3,FALSE)</f>
        <v>0.7</v>
      </c>
      <c r="P213" s="94">
        <f>VLOOKUP(lmic_raw_lb[[#This Row],[gbd_super]],hbe_risk[],6,FALSE)</f>
        <v>0.05</v>
      </c>
      <c r="Q213" s="94">
        <f>VLOOKUP(lmic_raw_lb[[#This Row],[setting]],lmic_raw[],17,FALSE)*(1-interactive!$C$7)</f>
        <v>0</v>
      </c>
      <c r="R213" s="98">
        <f>VLOOKUP(lmic_raw_lb[[#This Row],[setting]],lmic_raw[],18,FALSE)*(1-interactive!$C$7)</f>
        <v>69.430275000000009</v>
      </c>
      <c r="S213" s="98">
        <f>VLOOKUP(lmic_raw_lb[[#This Row],[setting]],lmic_raw[],19,FALSE)*(1-interactive!$C$7)</f>
        <v>114.785175</v>
      </c>
      <c r="T213" s="98">
        <f>VLOOKUP(lmic_raw_lb[[#This Row],[setting]],lmic_raw[],20,FALSE)*(1-interactive!$C$7)</f>
        <v>114.785175</v>
      </c>
      <c r="U213" s="98">
        <f>VLOOKUP(lmic_raw_lb[[#This Row],[setting]],lmic_raw[],21,FALSE)*(1-interactive!$C$7)</f>
        <v>114.785175</v>
      </c>
      <c r="V213" s="33">
        <f>IFERROR(VLOOKUP(lmic_raw_lb[[#This Row],[setting]],vcost_lb[],3,FALSE),0)</f>
        <v>5.2674814750491734</v>
      </c>
      <c r="W213" s="33">
        <f>IFERROR(VLOOKUP(lmic_raw_lb[[#This Row],[setting]],vcost_lb[],4,FALSE),0)</f>
        <v>5.8680714750491738</v>
      </c>
      <c r="X213" s="33">
        <f>IFERROR(VLOOKUP(lmic_raw_lb[[#This Row],[setting]],vcost_lb[],5,FALSE),0)</f>
        <v>4.8916408717188391</v>
      </c>
      <c r="Y213" s="33">
        <f>IFERROR(VLOOKUP(lmic_raw_lb[[#This Row],[setting]],vcost_lb[],6,FALSE),0)</f>
        <v>5.4922308717188386</v>
      </c>
      <c r="Z213" s="33">
        <f>IFERROR(VLOOKUP(lmic_raw_lb[[#This Row],[setting]],vcost_lb[],7,FALSE),0)</f>
        <v>5.4831493112831104</v>
      </c>
      <c r="AA213" s="33">
        <f>IFERROR(VLOOKUP(lmic_raw_lb[[#This Row],[setting]],vcost_lb[],8,FALSE),0)</f>
        <v>5.483197550997815</v>
      </c>
      <c r="AB213" s="33">
        <f>IFERROR(VLOOKUP(lmic_raw_lb[[#This Row],[setting]],vcost_lb[],9,FALSE),0)</f>
        <v>6.0837875509978154</v>
      </c>
      <c r="AC213" s="94">
        <f>VLOOKUP($A213,lmic_raw[],29,FALSE)*(1-interactive!$C$7)</f>
        <v>6.4266739999999838E-3</v>
      </c>
      <c r="AD213" s="94">
        <f>VLOOKUP($A213,lmic_raw[],30,FALSE)*(1-interactive!$C$7)</f>
        <v>2.7666864122438673E-4</v>
      </c>
      <c r="AE213" s="94">
        <f>VLOOKUP($A213,lmic_raw[],31,FALSE)*(1-interactive!$C$7)</f>
        <v>2.3997487133171509E-4</v>
      </c>
      <c r="AF213" s="94">
        <f>VLOOKUP($A213,lmic_raw[],32,FALSE)*(1-interactive!$C$7)</f>
        <v>3.222152181824975E-4</v>
      </c>
      <c r="AG213" s="94">
        <f>VLOOKUP($A213,lmic_raw[],33,FALSE)*(1-interactive!$C$7)</f>
        <v>3.2903608209157914E-4</v>
      </c>
      <c r="AH213" s="94">
        <f>VLOOKUP($A213,lmic_raw[],34,FALSE)*(1-interactive!$C$7)</f>
        <v>4.8147307883782337E-4</v>
      </c>
      <c r="AI213" s="94">
        <f>VLOOKUP($A213,lmic_raw[],35,FALSE)*(1-interactive!$C$7)</f>
        <v>4.4706823286200405E-4</v>
      </c>
      <c r="AJ213" s="94">
        <f>VLOOKUP($A213,lmic_raw[],36,FALSE)*(1-interactive!$C$7)</f>
        <v>4.9983351007145598E-4</v>
      </c>
      <c r="AK213" s="94">
        <f>VLOOKUP($A213,lmic_raw[],37,FALSE)*(1-interactive!$C$7)</f>
        <v>5.5668658445061315E-4</v>
      </c>
      <c r="AL213" s="94">
        <f>VLOOKUP($A213,lmic_raw[],38,FALSE)*(1-interactive!$C$7)</f>
        <v>8.872811886401473E-4</v>
      </c>
      <c r="AM213" s="94">
        <f>VLOOKUP($A213,lmic_raw[],39,FALSE)*(1-interactive!$C$7)</f>
        <v>1.5628921221263888E-3</v>
      </c>
      <c r="AN213" s="94">
        <f>VLOOKUP($A213,lmic_raw[],40,FALSE)*(1-interactive!$C$7)</f>
        <v>2.2723878829196452E-3</v>
      </c>
      <c r="AO213" s="94">
        <f>VLOOKUP($A213,lmic_raw[],41,FALSE)*(1-interactive!$C$7)</f>
        <v>4.3759788253286067E-3</v>
      </c>
      <c r="AP213" s="94">
        <f>VLOOKUP($A213,lmic_raw[],42,FALSE)*(1-interactive!$C$7)</f>
        <v>8.1702140757710234E-3</v>
      </c>
      <c r="AQ213" s="94">
        <f>VLOOKUP($A213,lmic_raw[],43,FALSE)*(1-interactive!$C$7)</f>
        <v>1.530261081775925E-2</v>
      </c>
      <c r="AR213" s="94">
        <f>VLOOKUP($A213,lmic_raw[],44,FALSE)*(1-interactive!$C$7)</f>
        <v>2.8225627597170649E-2</v>
      </c>
      <c r="AS213" s="94">
        <f>VLOOKUP($A213,lmic_raw[],45,FALSE)*(1-interactive!$C$7)</f>
        <v>5.0530930055292939E-2</v>
      </c>
      <c r="AT213" s="94">
        <f>VLOOKUP($A213,lmic_raw[],46,FALSE)*(1-interactive!$C$7)</f>
        <v>6.8852287780459556E-2</v>
      </c>
      <c r="AU213" s="94">
        <f>VLOOKUP($A213,lmic_raw[],47,FALSE)*(1-interactive!$C$7)</f>
        <v>9.3330233296054277E-2</v>
      </c>
      <c r="AV213" s="94">
        <f>VLOOKUP($A213,lmic_raw[],48,FALSE)*(1-interactive!$C$7)</f>
        <v>0.11814213132546875</v>
      </c>
      <c r="AW213" s="94">
        <f>VLOOKUP($A213,lmic_raw[],49,FALSE)*(1-interactive!$C$7)</f>
        <v>0.14006579850125997</v>
      </c>
      <c r="AX213" s="94">
        <f>VLOOKUP($A213,lmic_raw[],50,FALSE)*(1-interactive!$C$7)</f>
        <v>74.542699999999996</v>
      </c>
    </row>
    <row r="214" spans="1:50" x14ac:dyDescent="0.25">
      <c r="A214" s="109" t="s">
        <v>147</v>
      </c>
      <c r="B214" s="101" t="s">
        <v>465</v>
      </c>
      <c r="C214" s="102">
        <v>466</v>
      </c>
      <c r="D214" s="121" t="s">
        <v>677</v>
      </c>
      <c r="E214" s="98" t="s">
        <v>591</v>
      </c>
      <c r="F214" s="98" t="s">
        <v>667</v>
      </c>
      <c r="G214" s="98" t="s">
        <v>674</v>
      </c>
      <c r="H214" s="98">
        <f>VLOOKUP(lmic_raw_lb[[#This Row],[setting]],lmic_raw[],8,FALSE)</f>
        <v>19658023</v>
      </c>
      <c r="I214" s="98">
        <f>VLOOKUP(lmic_raw_lb[[#This Row],[setting]],lmic_raw[],9,FALSE)</f>
        <v>821469.46512399998</v>
      </c>
      <c r="J214" s="98">
        <f>VLOOKUP($A214,lmic_raw[],10,FALSE)*(1-interactive!$C$7)</f>
        <v>0.63459999999999994</v>
      </c>
      <c r="K214" s="98">
        <f>VLOOKUP($A214,lmic_raw[],11,FALSE)*(1-interactive!$C$7)</f>
        <v>0</v>
      </c>
      <c r="L214" s="98">
        <f>VLOOKUP($A214,lmic_raw[],12,FALSE)*(1-interactive!$C$7)</f>
        <v>0.73149999999999993</v>
      </c>
      <c r="M214" s="98">
        <f>IFERROR(VLOOKUP(lmic_raw_lb[[#This Row],[iso3]], hbv_prev[[iso3]:[ub]],3,FALSE)/100,0)</f>
        <v>6.480000000000001E-2</v>
      </c>
      <c r="N214" s="98">
        <f>IFERROR(VLOOKUP(lmic_raw_lb[[#This Row],[setting]],hbe_prev[],4,FALSE),0)</f>
        <v>0.155</v>
      </c>
      <c r="O214" s="98">
        <f>VLOOKUP(lmic_raw_lb[[#This Row],[gbd_super]],hbe_risk[],3,FALSE)</f>
        <v>7.0000000000000007E-2</v>
      </c>
      <c r="P214" s="98">
        <f>VLOOKUP(lmic_raw_lb[[#This Row],[gbd_super]],hbe_risk[],6,FALSE)</f>
        <v>1E-3</v>
      </c>
      <c r="Q214" s="98">
        <f>VLOOKUP(lmic_raw_lb[[#This Row],[setting]],lmic_raw[],17,FALSE)*(1-interactive!$C$7)</f>
        <v>2.7621385687387514</v>
      </c>
      <c r="R214" s="98">
        <f>VLOOKUP(lmic_raw_lb[[#This Row],[setting]],lmic_raw[],18,FALSE)*(1-interactive!$C$7)</f>
        <v>28.424474999999997</v>
      </c>
      <c r="S214" s="98">
        <f>VLOOKUP(lmic_raw_lb[[#This Row],[setting]],lmic_raw[],19,FALSE)*(1-interactive!$C$7)</f>
        <v>73.779375000000002</v>
      </c>
      <c r="T214" s="98">
        <f>VLOOKUP(lmic_raw_lb[[#This Row],[setting]],lmic_raw[],20,FALSE)*(1-interactive!$C$7)</f>
        <v>73.779375000000002</v>
      </c>
      <c r="U214" s="98">
        <f>VLOOKUP(lmic_raw_lb[[#This Row],[setting]],lmic_raw[],21,FALSE)*(1-interactive!$C$7)</f>
        <v>73.779375000000002</v>
      </c>
      <c r="V214" s="33">
        <f>IFERROR(VLOOKUP(lmic_raw_lb[[#This Row],[setting]],vcost_lb[],3,FALSE),0)</f>
        <v>0.74062803145813028</v>
      </c>
      <c r="W214" s="33">
        <f>IFERROR(VLOOKUP(lmic_raw_lb[[#This Row],[setting]],vcost_lb[],4,FALSE),0)</f>
        <v>5.3278930314581308</v>
      </c>
      <c r="X214" s="33">
        <f>IFERROR(VLOOKUP(lmic_raw_lb[[#This Row],[setting]],vcost_lb[],5,FALSE),0)</f>
        <v>0.37539178725351913</v>
      </c>
      <c r="Y214" s="33">
        <f>IFERROR(VLOOKUP(lmic_raw_lb[[#This Row],[setting]],vcost_lb[],6,FALSE),0)</f>
        <v>4.9626567872535192</v>
      </c>
      <c r="Z214" s="33">
        <f>IFERROR(VLOOKUP(lmic_raw_lb[[#This Row],[setting]],vcost_lb[],7,FALSE),0)</f>
        <v>4.9605745136100721</v>
      </c>
      <c r="AA214" s="33">
        <f>IFERROR(VLOOKUP(lmic_raw_lb[[#This Row],[setting]],vcost_lb[],8,FALSE),0)</f>
        <v>0.95179938206717574</v>
      </c>
      <c r="AB214" s="33">
        <f>IFERROR(VLOOKUP(lmic_raw_lb[[#This Row],[setting]],vcost_lb[],9,FALSE),0)</f>
        <v>5.5390643820671759</v>
      </c>
      <c r="AC214" s="98">
        <f>VLOOKUP($A214,lmic_raw[],29,FALSE)*(1-interactive!$C$7)</f>
        <v>6.2529199499999938E-2</v>
      </c>
      <c r="AD214" s="98">
        <f>VLOOKUP($A214,lmic_raw[],30,FALSE)*(1-interactive!$C$7)</f>
        <v>1.0076756745080092E-2</v>
      </c>
      <c r="AE214" s="98">
        <f>VLOOKUP($A214,lmic_raw[],31,FALSE)*(1-interactive!$C$7)</f>
        <v>3.2967871149634765E-3</v>
      </c>
      <c r="AF214" s="98">
        <f>VLOOKUP($A214,lmic_raw[],32,FALSE)*(1-interactive!$C$7)</f>
        <v>1.8671165680324471E-3</v>
      </c>
      <c r="AG214" s="98">
        <f>VLOOKUP($A214,lmic_raw[],33,FALSE)*(1-interactive!$C$7)</f>
        <v>2.8206605448414528E-3</v>
      </c>
      <c r="AH214" s="98">
        <f>VLOOKUP($A214,lmic_raw[],34,FALSE)*(1-interactive!$C$7)</f>
        <v>3.6329197235775304E-3</v>
      </c>
      <c r="AI214" s="98">
        <f>VLOOKUP($A214,lmic_raw[],35,FALSE)*(1-interactive!$C$7)</f>
        <v>4.079202454613593E-3</v>
      </c>
      <c r="AJ214" s="98">
        <f>VLOOKUP($A214,lmic_raw[],36,FALSE)*(1-interactive!$C$7)</f>
        <v>4.3301449205382135E-3</v>
      </c>
      <c r="AK214" s="98">
        <f>VLOOKUP($A214,lmic_raw[],37,FALSE)*(1-interactive!$C$7)</f>
        <v>4.8594510093226588E-3</v>
      </c>
      <c r="AL214" s="98">
        <f>VLOOKUP($A214,lmic_raw[],38,FALSE)*(1-interactive!$C$7)</f>
        <v>5.7754165967564804E-3</v>
      </c>
      <c r="AM214" s="98">
        <f>VLOOKUP($A214,lmic_raw[],39,FALSE)*(1-interactive!$C$7)</f>
        <v>6.7510639095889188E-3</v>
      </c>
      <c r="AN214" s="98">
        <f>VLOOKUP($A214,lmic_raw[],40,FALSE)*(1-interactive!$C$7)</f>
        <v>9.5116052570416564E-3</v>
      </c>
      <c r="AO214" s="98">
        <f>VLOOKUP($A214,lmic_raw[],41,FALSE)*(1-interactive!$C$7)</f>
        <v>1.3588202027475222E-2</v>
      </c>
      <c r="AP214" s="98">
        <f>VLOOKUP($A214,lmic_raw[],42,FALSE)*(1-interactive!$C$7)</f>
        <v>2.1265903032231692E-2</v>
      </c>
      <c r="AQ214" s="98">
        <f>VLOOKUP($A214,lmic_raw[],43,FALSE)*(1-interactive!$C$7)</f>
        <v>3.2883552086836097E-2</v>
      </c>
      <c r="AR214" s="98">
        <f>VLOOKUP($A214,lmic_raw[],44,FALSE)*(1-interactive!$C$7)</f>
        <v>5.2730089744085065E-2</v>
      </c>
      <c r="AS214" s="98">
        <f>VLOOKUP($A214,lmic_raw[],45,FALSE)*(1-interactive!$C$7)</f>
        <v>8.1038455824475025E-2</v>
      </c>
      <c r="AT214" s="98">
        <f>VLOOKUP($A214,lmic_raw[],46,FALSE)*(1-interactive!$C$7)</f>
        <v>0.11558826376136665</v>
      </c>
      <c r="AU214" s="98">
        <f>VLOOKUP($A214,lmic_raw[],47,FALSE)*(1-interactive!$C$7)</f>
        <v>0.14704748639536355</v>
      </c>
      <c r="AV214" s="98">
        <f>VLOOKUP($A214,lmic_raw[],48,FALSE)*(1-interactive!$C$7)</f>
        <v>0.16862114773887582</v>
      </c>
      <c r="AW214" s="98">
        <f>VLOOKUP($A214,lmic_raw[],49,FALSE)*(1-interactive!$C$7)</f>
        <v>0.17859081359848822</v>
      </c>
      <c r="AX214" s="98">
        <f>VLOOKUP($A214,lmic_raw[],50,FALSE)*(1-interactive!$C$7)</f>
        <v>55.774499999999996</v>
      </c>
    </row>
    <row r="215" spans="1:50" x14ac:dyDescent="0.25">
      <c r="A215" s="110" t="s">
        <v>682</v>
      </c>
      <c r="B215" s="104" t="s">
        <v>467</v>
      </c>
      <c r="C215" s="105">
        <v>584</v>
      </c>
      <c r="D215" s="122" t="s">
        <v>681</v>
      </c>
      <c r="E215" s="94" t="s">
        <v>98</v>
      </c>
      <c r="F215" s="94" t="s">
        <v>666</v>
      </c>
      <c r="G215" s="94" t="s">
        <v>676</v>
      </c>
      <c r="H215" s="98">
        <f>VLOOKUP(lmic_raw_lb[[#This Row],[setting]],lmic_raw[],8,FALSE)</f>
        <v>58791</v>
      </c>
      <c r="I215" s="98">
        <f>VLOOKUP(lmic_raw_lb[[#This Row],[setting]],lmic_raw[],9,FALSE)</f>
        <v>1706.70273</v>
      </c>
      <c r="J215" s="94">
        <f>VLOOKUP($A215,lmic_raw[],10,FALSE)*(1-interactive!$C$7)</f>
        <v>0.80844999999999989</v>
      </c>
      <c r="K215" s="94">
        <f>VLOOKUP($A215,lmic_raw[],11,FALSE)*(1-interactive!$C$7)</f>
        <v>0.93099999999999994</v>
      </c>
      <c r="L215" s="94">
        <f>VLOOKUP($A215,lmic_raw[],12,FALSE)*(1-interactive!$C$7)</f>
        <v>0.77899999999999991</v>
      </c>
      <c r="M215" s="94">
        <f>IFERROR(VLOOKUP(lmic_raw_lb[[#This Row],[iso3]], hbv_prev[[iso3]:[ub]],3,FALSE)/100,0)</f>
        <v>6.4299999999999996E-2</v>
      </c>
      <c r="N215" s="94">
        <f>IFERROR(VLOOKUP(lmic_raw_lb[[#This Row],[setting]],hbe_prev[],4,FALSE),0)</f>
        <v>0</v>
      </c>
      <c r="O215" s="94">
        <f>VLOOKUP(lmic_raw_lb[[#This Row],[gbd_super]],hbe_risk[],3,FALSE)</f>
        <v>0.7</v>
      </c>
      <c r="P215" s="94">
        <f>VLOOKUP(lmic_raw_lb[[#This Row],[gbd_super]],hbe_risk[],6,FALSE)</f>
        <v>0.05</v>
      </c>
      <c r="Q215" s="94">
        <f>VLOOKUP(lmic_raw_lb[[#This Row],[setting]],lmic_raw[],17,FALSE)*(1-interactive!$C$7)</f>
        <v>6.0207862895407178</v>
      </c>
      <c r="R215" s="98">
        <f>VLOOKUP(lmic_raw_lb[[#This Row],[setting]],lmic_raw[],18,FALSE)*(1-interactive!$C$7)</f>
        <v>69.430275000000009</v>
      </c>
      <c r="S215" s="98">
        <f>VLOOKUP(lmic_raw_lb[[#This Row],[setting]],lmic_raw[],19,FALSE)*(1-interactive!$C$7)</f>
        <v>114.785175</v>
      </c>
      <c r="T215" s="98">
        <f>VLOOKUP(lmic_raw_lb[[#This Row],[setting]],lmic_raw[],20,FALSE)*(1-interactive!$C$7)</f>
        <v>114.785175</v>
      </c>
      <c r="U215" s="98">
        <f>VLOOKUP(lmic_raw_lb[[#This Row],[setting]],lmic_raw[],21,FALSE)*(1-interactive!$C$7)</f>
        <v>114.785175</v>
      </c>
      <c r="V215" s="33">
        <f>IFERROR(VLOOKUP(lmic_raw_lb[[#This Row],[setting]],vcost_lb[],3,FALSE),0)</f>
        <v>2.9482332449821462</v>
      </c>
      <c r="W215" s="33">
        <f>IFERROR(VLOOKUP(lmic_raw_lb[[#This Row],[setting]],vcost_lb[],4,FALSE),0)</f>
        <v>3.5488232449821462</v>
      </c>
      <c r="X215" s="33">
        <f>IFERROR(VLOOKUP(lmic_raw_lb[[#This Row],[setting]],vcost_lb[],5,FALSE),0)</f>
        <v>2.5815948540323519</v>
      </c>
      <c r="Y215" s="33">
        <f>IFERROR(VLOOKUP(lmic_raw_lb[[#This Row],[setting]],vcost_lb[],6,FALSE),0)</f>
        <v>3.1821848540323519</v>
      </c>
      <c r="Z215" s="33">
        <f>IFERROR(VLOOKUP(lmic_raw_lb[[#This Row],[setting]],vcost_lb[],7,FALSE),0)</f>
        <v>3.1793898554566642</v>
      </c>
      <c r="AA215" s="33">
        <f>IFERROR(VLOOKUP(lmic_raw_lb[[#This Row],[setting]],vcost_lb[],8,FALSE),0)</f>
        <v>3.160005515624841</v>
      </c>
      <c r="AB215" s="33">
        <f>IFERROR(VLOOKUP(lmic_raw_lb[[#This Row],[setting]],vcost_lb[],9,FALSE),0)</f>
        <v>3.760595515624841</v>
      </c>
      <c r="AC215" s="94">
        <f>VLOOKUP($A215,lmic_raw[],29,FALSE)*(1-interactive!$C$7)</f>
        <v>0</v>
      </c>
      <c r="AD215" s="94">
        <f>VLOOKUP($A215,lmic_raw[],30,FALSE)*(1-interactive!$C$7)</f>
        <v>0</v>
      </c>
      <c r="AE215" s="94">
        <f>VLOOKUP($A215,lmic_raw[],31,FALSE)*(1-interactive!$C$7)</f>
        <v>0</v>
      </c>
      <c r="AF215" s="94">
        <f>VLOOKUP($A215,lmic_raw[],32,FALSE)*(1-interactive!$C$7)</f>
        <v>0</v>
      </c>
      <c r="AG215" s="94">
        <f>VLOOKUP($A215,lmic_raw[],33,FALSE)*(1-interactive!$C$7)</f>
        <v>0</v>
      </c>
      <c r="AH215" s="94">
        <f>VLOOKUP($A215,lmic_raw[],34,FALSE)*(1-interactive!$C$7)</f>
        <v>0</v>
      </c>
      <c r="AI215" s="94">
        <f>VLOOKUP($A215,lmic_raw[],35,FALSE)*(1-interactive!$C$7)</f>
        <v>0</v>
      </c>
      <c r="AJ215" s="94">
        <f>VLOOKUP($A215,lmic_raw[],36,FALSE)*(1-interactive!$C$7)</f>
        <v>0</v>
      </c>
      <c r="AK215" s="94">
        <f>VLOOKUP($A215,lmic_raw[],37,FALSE)*(1-interactive!$C$7)</f>
        <v>0</v>
      </c>
      <c r="AL215" s="94">
        <f>VLOOKUP($A215,lmic_raw[],38,FALSE)*(1-interactive!$C$7)</f>
        <v>0</v>
      </c>
      <c r="AM215" s="94">
        <f>VLOOKUP($A215,lmic_raw[],39,FALSE)*(1-interactive!$C$7)</f>
        <v>0</v>
      </c>
      <c r="AN215" s="94">
        <f>VLOOKUP($A215,lmic_raw[],40,FALSE)*(1-interactive!$C$7)</f>
        <v>0</v>
      </c>
      <c r="AO215" s="94">
        <f>VLOOKUP($A215,lmic_raw[],41,FALSE)*(1-interactive!$C$7)</f>
        <v>0</v>
      </c>
      <c r="AP215" s="94">
        <f>VLOOKUP($A215,lmic_raw[],42,FALSE)*(1-interactive!$C$7)</f>
        <v>0</v>
      </c>
      <c r="AQ215" s="94">
        <f>VLOOKUP($A215,lmic_raw[],43,FALSE)*(1-interactive!$C$7)</f>
        <v>0</v>
      </c>
      <c r="AR215" s="94">
        <f>VLOOKUP($A215,lmic_raw[],44,FALSE)*(1-interactive!$C$7)</f>
        <v>0</v>
      </c>
      <c r="AS215" s="94">
        <f>VLOOKUP($A215,lmic_raw[],45,FALSE)*(1-interactive!$C$7)</f>
        <v>0</v>
      </c>
      <c r="AT215" s="94">
        <f>VLOOKUP($A215,lmic_raw[],46,FALSE)*(1-interactive!$C$7)</f>
        <v>0</v>
      </c>
      <c r="AU215" s="94">
        <f>VLOOKUP($A215,lmic_raw[],47,FALSE)*(1-interactive!$C$7)</f>
        <v>0</v>
      </c>
      <c r="AV215" s="94">
        <f>VLOOKUP($A215,lmic_raw[],48,FALSE)*(1-interactive!$C$7)</f>
        <v>0</v>
      </c>
      <c r="AW215" s="94">
        <f>VLOOKUP($A215,lmic_raw[],49,FALSE)*(1-interactive!$C$7)</f>
        <v>0</v>
      </c>
      <c r="AX215" s="94">
        <f>VLOOKUP($A215,lmic_raw[],50,FALSE)*(1-interactive!$C$7)</f>
        <v>0</v>
      </c>
    </row>
    <row r="216" spans="1:50" x14ac:dyDescent="0.25">
      <c r="A216" s="109" t="s">
        <v>148</v>
      </c>
      <c r="B216" s="101" t="s">
        <v>468</v>
      </c>
      <c r="C216" s="102">
        <v>478</v>
      </c>
      <c r="D216" s="121" t="s">
        <v>677</v>
      </c>
      <c r="E216" s="98" t="s">
        <v>591</v>
      </c>
      <c r="F216" s="98" t="s">
        <v>667</v>
      </c>
      <c r="G216" s="98" t="s">
        <v>678</v>
      </c>
      <c r="H216" s="98">
        <f>VLOOKUP(lmic_raw_lb[[#This Row],[setting]],lmic_raw[],8,FALSE)</f>
        <v>4525698</v>
      </c>
      <c r="I216" s="98">
        <f>VLOOKUP(lmic_raw_lb[[#This Row],[setting]],lmic_raw[],9,FALSE)</f>
        <v>153294.442656</v>
      </c>
      <c r="J216" s="98">
        <f>VLOOKUP($A216,lmic_raw[],10,FALSE)*(1-interactive!$C$7)</f>
        <v>0.65834999999999988</v>
      </c>
      <c r="K216" s="98">
        <f>VLOOKUP($A216,lmic_raw[],11,FALSE)*(1-interactive!$C$7)</f>
        <v>0</v>
      </c>
      <c r="L216" s="98">
        <f>VLOOKUP($A216,lmic_raw[],12,FALSE)*(1-interactive!$C$7)</f>
        <v>0.76949999999999996</v>
      </c>
      <c r="M216" s="98">
        <f>IFERROR(VLOOKUP(lmic_raw_lb[[#This Row],[iso3]], hbv_prev[[iso3]:[ub]],3,FALSE)/100,0)</f>
        <v>7.9199999999999993E-2</v>
      </c>
      <c r="N216" s="98">
        <f>IFERROR(VLOOKUP(lmic_raw_lb[[#This Row],[setting]],hbe_prev[],4,FALSE),0)</f>
        <v>0.155</v>
      </c>
      <c r="O216" s="98">
        <f>VLOOKUP(lmic_raw_lb[[#This Row],[gbd_super]],hbe_risk[],3,FALSE)</f>
        <v>7.0000000000000007E-2</v>
      </c>
      <c r="P216" s="98">
        <f>VLOOKUP(lmic_raw_lb[[#This Row],[gbd_super]],hbe_risk[],6,FALSE)</f>
        <v>1E-3</v>
      </c>
      <c r="Q216" s="98">
        <f>VLOOKUP(lmic_raw_lb[[#This Row],[setting]],lmic_raw[],17,FALSE)*(1-interactive!$C$7)</f>
        <v>3.3146428535806072</v>
      </c>
      <c r="R216" s="98">
        <f>VLOOKUP(lmic_raw_lb[[#This Row],[setting]],lmic_raw[],18,FALSE)*(1-interactive!$C$7)</f>
        <v>28.424474999999997</v>
      </c>
      <c r="S216" s="98">
        <f>VLOOKUP(lmic_raw_lb[[#This Row],[setting]],lmic_raw[],19,FALSE)*(1-interactive!$C$7)</f>
        <v>73.779375000000002</v>
      </c>
      <c r="T216" s="98">
        <f>VLOOKUP(lmic_raw_lb[[#This Row],[setting]],lmic_raw[],20,FALSE)*(1-interactive!$C$7)</f>
        <v>73.779375000000002</v>
      </c>
      <c r="U216" s="98">
        <f>VLOOKUP(lmic_raw_lb[[#This Row],[setting]],lmic_raw[],21,FALSE)*(1-interactive!$C$7)</f>
        <v>73.779375000000002</v>
      </c>
      <c r="V216" s="33">
        <f>IFERROR(VLOOKUP(lmic_raw_lb[[#This Row],[setting]],vcost_lb[],3,FALSE),0)</f>
        <v>1.1853079083129909</v>
      </c>
      <c r="W216" s="33">
        <f>IFERROR(VLOOKUP(lmic_raw_lb[[#This Row],[setting]],vcost_lb[],4,FALSE),0)</f>
        <v>5.7725729083129913</v>
      </c>
      <c r="X216" s="33">
        <f>IFERROR(VLOOKUP(lmic_raw_lb[[#This Row],[setting]],vcost_lb[],5,FALSE),0)</f>
        <v>0.81933877363873131</v>
      </c>
      <c r="Y216" s="33">
        <f>IFERROR(VLOOKUP(lmic_raw_lb[[#This Row],[setting]],vcost_lb[],6,FALSE),0)</f>
        <v>5.4066037736387313</v>
      </c>
      <c r="Z216" s="33">
        <f>IFERROR(VLOOKUP(lmic_raw_lb[[#This Row],[setting]],vcost_lb[],7,FALSE),0)</f>
        <v>5.4040750830981565</v>
      </c>
      <c r="AA216" s="33">
        <f>IFERROR(VLOOKUP(lmic_raw_lb[[#This Row],[setting]],vcost_lb[],8,FALSE),0)</f>
        <v>1.3967933548376001</v>
      </c>
      <c r="AB216" s="33">
        <f>IFERROR(VLOOKUP(lmic_raw_lb[[#This Row],[setting]],vcost_lb[],9,FALSE),0)</f>
        <v>5.9840583548376003</v>
      </c>
      <c r="AC216" s="98">
        <f>VLOOKUP($A216,lmic_raw[],29,FALSE)*(1-interactive!$C$7)</f>
        <v>5.0788538999999966E-2</v>
      </c>
      <c r="AD216" s="98">
        <f>VLOOKUP($A216,lmic_raw[],30,FALSE)*(1-interactive!$C$7)</f>
        <v>6.3701566438330928E-3</v>
      </c>
      <c r="AE216" s="98">
        <f>VLOOKUP($A216,lmic_raw[],31,FALSE)*(1-interactive!$C$7)</f>
        <v>1.0309950403332392E-3</v>
      </c>
      <c r="AF216" s="98">
        <f>VLOOKUP($A216,lmic_raw[],32,FALSE)*(1-interactive!$C$7)</f>
        <v>8.1349629941935967E-4</v>
      </c>
      <c r="AG216" s="98">
        <f>VLOOKUP($A216,lmic_raw[],33,FALSE)*(1-interactive!$C$7)</f>
        <v>1.3397897706916107E-3</v>
      </c>
      <c r="AH216" s="98">
        <f>VLOOKUP($A216,lmic_raw[],34,FALSE)*(1-interactive!$C$7)</f>
        <v>1.8756972036780776E-3</v>
      </c>
      <c r="AI216" s="98">
        <f>VLOOKUP($A216,lmic_raw[],35,FALSE)*(1-interactive!$C$7)</f>
        <v>2.0353033922800921E-3</v>
      </c>
      <c r="AJ216" s="98">
        <f>VLOOKUP($A216,lmic_raw[],36,FALSE)*(1-interactive!$C$7)</f>
        <v>2.3353861273031043E-3</v>
      </c>
      <c r="AK216" s="98">
        <f>VLOOKUP($A216,lmic_raw[],37,FALSE)*(1-interactive!$C$7)</f>
        <v>2.9359694318449297E-3</v>
      </c>
      <c r="AL216" s="98">
        <f>VLOOKUP($A216,lmic_raw[],38,FALSE)*(1-interactive!$C$7)</f>
        <v>3.960813254597303E-3</v>
      </c>
      <c r="AM216" s="98">
        <f>VLOOKUP($A216,lmic_raw[],39,FALSE)*(1-interactive!$C$7)</f>
        <v>5.7058892267120472E-3</v>
      </c>
      <c r="AN216" s="98">
        <f>VLOOKUP($A216,lmic_raw[],40,FALSE)*(1-interactive!$C$7)</f>
        <v>8.4430735574909099E-3</v>
      </c>
      <c r="AO216" s="98">
        <f>VLOOKUP($A216,lmic_raw[],41,FALSE)*(1-interactive!$C$7)</f>
        <v>1.2645849474961805E-2</v>
      </c>
      <c r="AP216" s="98">
        <f>VLOOKUP($A216,lmic_raw[],42,FALSE)*(1-interactive!$C$7)</f>
        <v>1.9247844416728156E-2</v>
      </c>
      <c r="AQ216" s="98">
        <f>VLOOKUP($A216,lmic_raw[],43,FALSE)*(1-interactive!$C$7)</f>
        <v>2.9395890883833334E-2</v>
      </c>
      <c r="AR216" s="98">
        <f>VLOOKUP($A216,lmic_raw[],44,FALSE)*(1-interactive!$C$7)</f>
        <v>4.5204664221939167E-2</v>
      </c>
      <c r="AS216" s="98">
        <f>VLOOKUP($A216,lmic_raw[],45,FALSE)*(1-interactive!$C$7)</f>
        <v>6.7948878119314951E-2</v>
      </c>
      <c r="AT216" s="98">
        <f>VLOOKUP($A216,lmic_raw[],46,FALSE)*(1-interactive!$C$7)</f>
        <v>9.7808108107710359E-2</v>
      </c>
      <c r="AU216" s="98">
        <f>VLOOKUP($A216,lmic_raw[],47,FALSE)*(1-interactive!$C$7)</f>
        <v>0.12919281889273748</v>
      </c>
      <c r="AV216" s="98">
        <f>VLOOKUP($A216,lmic_raw[],48,FALSE)*(1-interactive!$C$7)</f>
        <v>0.15450957696918016</v>
      </c>
      <c r="AW216" s="98">
        <f>VLOOKUP($A216,lmic_raw[],49,FALSE)*(1-interactive!$C$7)</f>
        <v>0.17076640927830899</v>
      </c>
      <c r="AX216" s="98">
        <f>VLOOKUP($A216,lmic_raw[],50,FALSE)*(1-interactive!$C$7)</f>
        <v>61.376649999999998</v>
      </c>
    </row>
    <row r="217" spans="1:50" x14ac:dyDescent="0.25">
      <c r="A217" s="110" t="s">
        <v>109</v>
      </c>
      <c r="B217" s="104" t="s">
        <v>469</v>
      </c>
      <c r="C217" s="105">
        <v>480</v>
      </c>
      <c r="D217" s="122" t="s">
        <v>677</v>
      </c>
      <c r="E217" s="94" t="s">
        <v>598</v>
      </c>
      <c r="F217" s="94" t="s">
        <v>666</v>
      </c>
      <c r="G217" s="94" t="s">
        <v>676</v>
      </c>
      <c r="H217" s="98">
        <f>VLOOKUP(lmic_raw_lb[[#This Row],[setting]],lmic_raw[],8,FALSE)</f>
        <v>1269670</v>
      </c>
      <c r="I217" s="98">
        <f>VLOOKUP(lmic_raw_lb[[#This Row],[setting]],lmic_raw[],9,FALSE)</f>
        <v>13006.49948</v>
      </c>
      <c r="J217" s="94">
        <f>VLOOKUP($A217,lmic_raw[],10,FALSE)*(1-interactive!$C$7)</f>
        <v>0.93480000000000008</v>
      </c>
      <c r="K217" s="94">
        <f>VLOOKUP($A217,lmic_raw[],11,FALSE)*(1-interactive!$C$7)</f>
        <v>0</v>
      </c>
      <c r="L217" s="94">
        <f>VLOOKUP($A217,lmic_raw[],12,FALSE)*(1-interactive!$C$7)</f>
        <v>0.92149999999999999</v>
      </c>
      <c r="M217" s="94">
        <f>IFERROR(VLOOKUP(lmic_raw_lb[[#This Row],[iso3]], hbv_prev[[iso3]:[ub]],3,FALSE)/100,0)</f>
        <v>2.0999999999999999E-3</v>
      </c>
      <c r="N217" s="94">
        <f>IFERROR(VLOOKUP(lmic_raw_lb[[#This Row],[setting]],hbe_prev[],4,FALSE),0)</f>
        <v>0.18100000000000002</v>
      </c>
      <c r="O217" s="94">
        <f>VLOOKUP(lmic_raw_lb[[#This Row],[gbd_super]],hbe_risk[],3,FALSE)</f>
        <v>0.7</v>
      </c>
      <c r="P217" s="94">
        <f>VLOOKUP(lmic_raw_lb[[#This Row],[gbd_super]],hbe_risk[],6,FALSE)</f>
        <v>0.05</v>
      </c>
      <c r="Q217" s="94">
        <f>VLOOKUP(lmic_raw_lb[[#This Row],[setting]],lmic_raw[],17,FALSE)*(1-interactive!$C$7)</f>
        <v>0</v>
      </c>
      <c r="R217" s="98">
        <f>VLOOKUP(lmic_raw_lb[[#This Row],[setting]],lmic_raw[],18,FALSE)*(1-interactive!$C$7)</f>
        <v>69.430275000000009</v>
      </c>
      <c r="S217" s="98">
        <f>VLOOKUP(lmic_raw_lb[[#This Row],[setting]],lmic_raw[],19,FALSE)*(1-interactive!$C$7)</f>
        <v>114.785175</v>
      </c>
      <c r="T217" s="98">
        <f>VLOOKUP(lmic_raw_lb[[#This Row],[setting]],lmic_raw[],20,FALSE)*(1-interactive!$C$7)</f>
        <v>114.785175</v>
      </c>
      <c r="U217" s="98">
        <f>VLOOKUP(lmic_raw_lb[[#This Row],[setting]],lmic_raw[],21,FALSE)*(1-interactive!$C$7)</f>
        <v>114.785175</v>
      </c>
      <c r="V217" s="33">
        <f>IFERROR(VLOOKUP(lmic_raw_lb[[#This Row],[setting]],vcost_lb[],3,FALSE),0)</f>
        <v>4.1772010197199005</v>
      </c>
      <c r="W217" s="33">
        <f>IFERROR(VLOOKUP(lmic_raw_lb[[#This Row],[setting]],vcost_lb[],4,FALSE),0)</f>
        <v>4.7777910197199009</v>
      </c>
      <c r="X217" s="33">
        <f>IFERROR(VLOOKUP(lmic_raw_lb[[#This Row],[setting]],vcost_lb[],5,FALSE),0)</f>
        <v>3.8007347215251488</v>
      </c>
      <c r="Y217" s="33">
        <f>IFERROR(VLOOKUP(lmic_raw_lb[[#This Row],[setting]],vcost_lb[],6,FALSE),0)</f>
        <v>4.4013247215251488</v>
      </c>
      <c r="Z217" s="33">
        <f>IFERROR(VLOOKUP(lmic_raw_lb[[#This Row],[setting]],vcost_lb[],7,FALSE),0)</f>
        <v>4.3918234971980237</v>
      </c>
      <c r="AA217" s="33">
        <f>IFERROR(VLOOKUP(lmic_raw_lb[[#This Row],[setting]],vcost_lb[],8,FALSE),0)</f>
        <v>4.3931852506104354</v>
      </c>
      <c r="AB217" s="33">
        <f>IFERROR(VLOOKUP(lmic_raw_lb[[#This Row],[setting]],vcost_lb[],9,FALSE),0)</f>
        <v>4.9937752506104349</v>
      </c>
      <c r="AC217" s="94">
        <f>VLOOKUP($A217,lmic_raw[],29,FALSE)*(1-interactive!$C$7)</f>
        <v>1.0658762500000054E-2</v>
      </c>
      <c r="AD217" s="94">
        <f>VLOOKUP($A217,lmic_raw[],30,FALSE)*(1-interactive!$C$7)</f>
        <v>4.7073641994770777E-4</v>
      </c>
      <c r="AE217" s="94">
        <f>VLOOKUP($A217,lmic_raw[],31,FALSE)*(1-interactive!$C$7)</f>
        <v>1.3664775731640619E-4</v>
      </c>
      <c r="AF217" s="94">
        <f>VLOOKUP($A217,lmic_raw[],32,FALSE)*(1-interactive!$C$7)</f>
        <v>1.8406350962293339E-4</v>
      </c>
      <c r="AG217" s="94">
        <f>VLOOKUP($A217,lmic_raw[],33,FALSE)*(1-interactive!$C$7)</f>
        <v>5.2348795888471523E-4</v>
      </c>
      <c r="AH217" s="94">
        <f>VLOOKUP($A217,lmic_raw[],34,FALSE)*(1-interactive!$C$7)</f>
        <v>8.3950028476004472E-4</v>
      </c>
      <c r="AI217" s="94">
        <f>VLOOKUP($A217,lmic_raw[],35,FALSE)*(1-interactive!$C$7)</f>
        <v>1.1556837505455123E-3</v>
      </c>
      <c r="AJ217" s="94">
        <f>VLOOKUP($A217,lmic_raw[],36,FALSE)*(1-interactive!$C$7)</f>
        <v>1.4347150659546808E-3</v>
      </c>
      <c r="AK217" s="94">
        <f>VLOOKUP($A217,lmic_raw[],37,FALSE)*(1-interactive!$C$7)</f>
        <v>2.1142379210167929E-3</v>
      </c>
      <c r="AL217" s="94">
        <f>VLOOKUP($A217,lmic_raw[],38,FALSE)*(1-interactive!$C$7)</f>
        <v>3.0230336089929039E-3</v>
      </c>
      <c r="AM217" s="94">
        <f>VLOOKUP($A217,lmic_raw[],39,FALSE)*(1-interactive!$C$7)</f>
        <v>4.3969258216251311E-3</v>
      </c>
      <c r="AN217" s="94">
        <f>VLOOKUP($A217,lmic_raw[],40,FALSE)*(1-interactive!$C$7)</f>
        <v>6.4932344345328781E-3</v>
      </c>
      <c r="AO217" s="94">
        <f>VLOOKUP($A217,lmic_raw[],41,FALSE)*(1-interactive!$C$7)</f>
        <v>9.0343615262566991E-3</v>
      </c>
      <c r="AP217" s="94">
        <f>VLOOKUP($A217,lmic_raw[],42,FALSE)*(1-interactive!$C$7)</f>
        <v>1.4013320339807114E-2</v>
      </c>
      <c r="AQ217" s="94">
        <f>VLOOKUP($A217,lmic_raw[],43,FALSE)*(1-interactive!$C$7)</f>
        <v>2.0068139306526202E-2</v>
      </c>
      <c r="AR217" s="94">
        <f>VLOOKUP($A217,lmic_raw[],44,FALSE)*(1-interactive!$C$7)</f>
        <v>3.0323985068246982E-2</v>
      </c>
      <c r="AS217" s="94">
        <f>VLOOKUP($A217,lmic_raw[],45,FALSE)*(1-interactive!$C$7)</f>
        <v>4.2939351201416932E-2</v>
      </c>
      <c r="AT217" s="94">
        <f>VLOOKUP($A217,lmic_raw[],46,FALSE)*(1-interactive!$C$7)</f>
        <v>6.4188418248803364E-2</v>
      </c>
      <c r="AU217" s="94">
        <f>VLOOKUP($A217,lmic_raw[],47,FALSE)*(1-interactive!$C$7)</f>
        <v>8.9982162846982072E-2</v>
      </c>
      <c r="AV217" s="94">
        <f>VLOOKUP($A217,lmic_raw[],48,FALSE)*(1-interactive!$C$7)</f>
        <v>0.11623266703021869</v>
      </c>
      <c r="AW217" s="94">
        <f>VLOOKUP($A217,lmic_raw[],49,FALSE)*(1-interactive!$C$7)</f>
        <v>0.14035236841560361</v>
      </c>
      <c r="AX217" s="94">
        <f>VLOOKUP($A217,lmic_raw[],50,FALSE)*(1-interactive!$C$7)</f>
        <v>71.024850000000001</v>
      </c>
    </row>
    <row r="218" spans="1:50" x14ac:dyDescent="0.25">
      <c r="A218" s="109" t="s">
        <v>258</v>
      </c>
      <c r="B218" s="101" t="s">
        <v>470</v>
      </c>
      <c r="C218" s="102">
        <v>484</v>
      </c>
      <c r="D218" s="121" t="s">
        <v>679</v>
      </c>
      <c r="E218" s="98" t="s">
        <v>604</v>
      </c>
      <c r="F218" s="98" t="s">
        <v>665</v>
      </c>
      <c r="G218" s="98" t="s">
        <v>676</v>
      </c>
      <c r="H218" s="98">
        <f>VLOOKUP(lmic_raw_lb[[#This Row],[setting]],lmic_raw[],8,FALSE)</f>
        <v>127575529</v>
      </c>
      <c r="I218" s="98">
        <f>VLOOKUP(lmic_raw_lb[[#This Row],[setting]],lmic_raw[],9,FALSE)</f>
        <v>2262679.5823439998</v>
      </c>
      <c r="J218" s="98">
        <f>VLOOKUP($A218,lmic_raw[],10,FALSE)*(1-interactive!$C$7)</f>
        <v>0.92055000000000009</v>
      </c>
      <c r="K218" s="98">
        <f>VLOOKUP($A218,lmic_raw[],11,FALSE)*(1-interactive!$C$7)</f>
        <v>0</v>
      </c>
      <c r="L218" s="98">
        <f>VLOOKUP($A218,lmic_raw[],12,FALSE)*(1-interactive!$C$7)</f>
        <v>0.53200000000000003</v>
      </c>
      <c r="M218" s="98">
        <f>IFERROR(VLOOKUP(lmic_raw_lb[[#This Row],[iso3]], hbv_prev[[iso3]:[ub]],3,FALSE)/100,0)</f>
        <v>2E-3</v>
      </c>
      <c r="N218" s="98">
        <f>IFERROR(VLOOKUP(lmic_raw_lb[[#This Row],[setting]],hbe_prev[],4,FALSE),0)</f>
        <v>0.16440000000000002</v>
      </c>
      <c r="O218" s="98">
        <f>VLOOKUP(lmic_raw_lb[[#This Row],[gbd_super]],hbe_risk[],3,FALSE)</f>
        <v>0.7</v>
      </c>
      <c r="P218" s="98">
        <f>VLOOKUP(lmic_raw_lb[[#This Row],[gbd_super]],hbe_risk[],6,FALSE)</f>
        <v>0.05</v>
      </c>
      <c r="Q218" s="98">
        <f>VLOOKUP(lmic_raw_lb[[#This Row],[setting]],lmic_raw[],17,FALSE)*(1-interactive!$C$7)</f>
        <v>15.819280647246286</v>
      </c>
      <c r="R218" s="98">
        <f>VLOOKUP(lmic_raw_lb[[#This Row],[setting]],lmic_raw[],18,FALSE)*(1-interactive!$C$7)</f>
        <v>82.539704999999998</v>
      </c>
      <c r="S218" s="98">
        <f>VLOOKUP(lmic_raw_lb[[#This Row],[setting]],lmic_raw[],19,FALSE)*(1-interactive!$C$7)</f>
        <v>127.894605</v>
      </c>
      <c r="T218" s="98">
        <f>VLOOKUP(lmic_raw_lb[[#This Row],[setting]],lmic_raw[],20,FALSE)*(1-interactive!$C$7)</f>
        <v>127.894605</v>
      </c>
      <c r="U218" s="98">
        <f>VLOOKUP(lmic_raw_lb[[#This Row],[setting]],lmic_raw[],21,FALSE)*(1-interactive!$C$7)</f>
        <v>127.894605</v>
      </c>
      <c r="V218" s="33">
        <f>IFERROR(VLOOKUP(lmic_raw_lb[[#This Row],[setting]],vcost_lb[],3,FALSE),0)</f>
        <v>1.1355770334752677</v>
      </c>
      <c r="W218" s="33">
        <f>IFERROR(VLOOKUP(lmic_raw_lb[[#This Row],[setting]],vcost_lb[],4,FALSE),0)</f>
        <v>1.1562870334752677</v>
      </c>
      <c r="X218" s="33">
        <f>IFERROR(VLOOKUP(lmic_raw_lb[[#This Row],[setting]],vcost_lb[],5,FALSE),0)</f>
        <v>0.76039708255771765</v>
      </c>
      <c r="Y218" s="33">
        <f>IFERROR(VLOOKUP(lmic_raw_lb[[#This Row],[setting]],vcost_lb[],6,FALSE),0)</f>
        <v>0.78110708255771766</v>
      </c>
      <c r="Z218" s="33">
        <f>IFERROR(VLOOKUP(lmic_raw_lb[[#This Row],[setting]],vcost_lb[],7,FALSE),0)</f>
        <v>0.77228673146406612</v>
      </c>
      <c r="AA218" s="33">
        <f>IFERROR(VLOOKUP(lmic_raw_lb[[#This Row],[setting]],vcost_lb[],8,FALSE),0)</f>
        <v>1.3510099726755727</v>
      </c>
      <c r="AB218" s="33">
        <f>IFERROR(VLOOKUP(lmic_raw_lb[[#This Row],[setting]],vcost_lb[],9,FALSE),0)</f>
        <v>1.3717199726755727</v>
      </c>
      <c r="AC218" s="98">
        <f>VLOOKUP($A218,lmic_raw[],29,FALSE)*(1-interactive!$C$7)</f>
        <v>1.2837302499999982E-2</v>
      </c>
      <c r="AD218" s="98">
        <f>VLOOKUP($A218,lmic_raw[],30,FALSE)*(1-interactive!$C$7)</f>
        <v>4.9445910111036025E-4</v>
      </c>
      <c r="AE218" s="98">
        <f>VLOOKUP($A218,lmic_raw[],31,FALSE)*(1-interactive!$C$7)</f>
        <v>2.4236534066681965E-4</v>
      </c>
      <c r="AF218" s="98">
        <f>VLOOKUP($A218,lmic_raw[],32,FALSE)*(1-interactive!$C$7)</f>
        <v>3.4426499792763814E-4</v>
      </c>
      <c r="AG218" s="98">
        <f>VLOOKUP($A218,lmic_raw[],33,FALSE)*(1-interactive!$C$7)</f>
        <v>7.2822332300784623E-4</v>
      </c>
      <c r="AH218" s="98">
        <f>VLOOKUP($A218,lmic_raw[],34,FALSE)*(1-interactive!$C$7)</f>
        <v>1.1858351659624526E-3</v>
      </c>
      <c r="AI218" s="98">
        <f>VLOOKUP($A218,lmic_raw[],35,FALSE)*(1-interactive!$C$7)</f>
        <v>1.489130950328223E-3</v>
      </c>
      <c r="AJ218" s="98">
        <f>VLOOKUP($A218,lmic_raw[],36,FALSE)*(1-interactive!$C$7)</f>
        <v>1.7155907178629667E-3</v>
      </c>
      <c r="AK218" s="98">
        <f>VLOOKUP($A218,lmic_raw[],37,FALSE)*(1-interactive!$C$7)</f>
        <v>2.0774520782972281E-3</v>
      </c>
      <c r="AL218" s="98">
        <f>VLOOKUP($A218,lmic_raw[],38,FALSE)*(1-interactive!$C$7)</f>
        <v>2.7558679507215167E-3</v>
      </c>
      <c r="AM218" s="98">
        <f>VLOOKUP($A218,lmic_raw[],39,FALSE)*(1-interactive!$C$7)</f>
        <v>3.9164624583357139E-3</v>
      </c>
      <c r="AN218" s="98">
        <f>VLOOKUP($A218,lmic_raw[],40,FALSE)*(1-interactive!$C$7)</f>
        <v>5.7745617330110487E-3</v>
      </c>
      <c r="AO218" s="98">
        <f>VLOOKUP($A218,lmic_raw[],41,FALSE)*(1-interactive!$C$7)</f>
        <v>8.634338074562653E-3</v>
      </c>
      <c r="AP218" s="98">
        <f>VLOOKUP($A218,lmic_raw[],42,FALSE)*(1-interactive!$C$7)</f>
        <v>1.2922402733861582E-2</v>
      </c>
      <c r="AQ218" s="98">
        <f>VLOOKUP($A218,lmic_raw[],43,FALSE)*(1-interactive!$C$7)</f>
        <v>1.9275278055675662E-2</v>
      </c>
      <c r="AR218" s="98">
        <f>VLOOKUP($A218,lmic_raw[],44,FALSE)*(1-interactive!$C$7)</f>
        <v>2.8491125987073776E-2</v>
      </c>
      <c r="AS218" s="98">
        <f>VLOOKUP($A218,lmic_raw[],45,FALSE)*(1-interactive!$C$7)</f>
        <v>4.1450669254957828E-2</v>
      </c>
      <c r="AT218" s="98">
        <f>VLOOKUP($A218,lmic_raw[],46,FALSE)*(1-interactive!$C$7)</f>
        <v>5.8981685553913532E-2</v>
      </c>
      <c r="AU218" s="98">
        <f>VLOOKUP($A218,lmic_raw[],47,FALSE)*(1-interactive!$C$7)</f>
        <v>8.1945657136716088E-2</v>
      </c>
      <c r="AV218" s="98">
        <f>VLOOKUP($A218,lmic_raw[],48,FALSE)*(1-interactive!$C$7)</f>
        <v>0.11087861754099526</v>
      </c>
      <c r="AW218" s="98">
        <f>VLOOKUP($A218,lmic_raw[],49,FALSE)*(1-interactive!$C$7)</f>
        <v>0.14263497998635119</v>
      </c>
      <c r="AX218" s="98">
        <f>VLOOKUP($A218,lmic_raw[],50,FALSE)*(1-interactive!$C$7)</f>
        <v>71.228149999999999</v>
      </c>
    </row>
    <row r="219" spans="1:50" x14ac:dyDescent="0.25">
      <c r="A219" s="82" t="s">
        <v>472</v>
      </c>
      <c r="B219" s="104" t="s">
        <v>471</v>
      </c>
      <c r="C219" s="105">
        <v>583</v>
      </c>
      <c r="D219" s="122" t="s">
        <v>681</v>
      </c>
      <c r="E219" s="94" t="s">
        <v>98</v>
      </c>
      <c r="F219" s="94" t="s">
        <v>666</v>
      </c>
      <c r="G219" s="94" t="s">
        <v>678</v>
      </c>
      <c r="H219" s="98">
        <f>VLOOKUP(lmic_raw_lb[[#This Row],[setting]],lmic_raw[],8,FALSE)</f>
        <v>113811</v>
      </c>
      <c r="I219" s="98">
        <f>VLOOKUP(lmic_raw_lb[[#This Row],[setting]],lmic_raw[],9,FALSE)</f>
        <v>2601.3780270000002</v>
      </c>
      <c r="J219" s="94">
        <f>VLOOKUP($A219,lmic_raw[],10,FALSE)*(1-interactive!$C$7)</f>
        <v>0.82650000000000001</v>
      </c>
      <c r="K219" s="94">
        <f>VLOOKUP($A219,lmic_raw[],11,FALSE)*(1-interactive!$C$7)</f>
        <v>0.66499999999999992</v>
      </c>
      <c r="L219" s="94">
        <f>VLOOKUP($A219,lmic_raw[],12,FALSE)*(1-interactive!$C$7)</f>
        <v>0.79799999999999993</v>
      </c>
      <c r="M219" s="94">
        <f>IFERROR(VLOOKUP(lmic_raw_lb[[#This Row],[iso3]], hbv_prev[[iso3]:[ub]],3,FALSE)/100,0)</f>
        <v>2.5000000000000001E-2</v>
      </c>
      <c r="N219" s="94">
        <f>IFERROR(VLOOKUP(lmic_raw_lb[[#This Row],[setting]],hbe_prev[],4,FALSE),0)</f>
        <v>0.1832</v>
      </c>
      <c r="O219" s="94">
        <f>VLOOKUP(lmic_raw_lb[[#This Row],[gbd_super]],hbe_risk[],3,FALSE)</f>
        <v>0.7</v>
      </c>
      <c r="P219" s="94">
        <f>VLOOKUP(lmic_raw_lb[[#This Row],[gbd_super]],hbe_risk[],6,FALSE)</f>
        <v>0.05</v>
      </c>
      <c r="Q219" s="94">
        <f>VLOOKUP(lmic_raw_lb[[#This Row],[setting]],lmic_raw[],17,FALSE)*(1-interactive!$C$7)</f>
        <v>7.2611020310224363</v>
      </c>
      <c r="R219" s="98">
        <f>VLOOKUP(lmic_raw_lb[[#This Row],[setting]],lmic_raw[],18,FALSE)*(1-interactive!$C$7)</f>
        <v>69.430275000000009</v>
      </c>
      <c r="S219" s="98">
        <f>VLOOKUP(lmic_raw_lb[[#This Row],[setting]],lmic_raw[],19,FALSE)*(1-interactive!$C$7)</f>
        <v>114.785175</v>
      </c>
      <c r="T219" s="98">
        <f>VLOOKUP(lmic_raw_lb[[#This Row],[setting]],lmic_raw[],20,FALSE)*(1-interactive!$C$7)</f>
        <v>114.785175</v>
      </c>
      <c r="U219" s="98">
        <f>VLOOKUP(lmic_raw_lb[[#This Row],[setting]],lmic_raw[],21,FALSE)*(1-interactive!$C$7)</f>
        <v>114.785175</v>
      </c>
      <c r="V219" s="33">
        <f>IFERROR(VLOOKUP(lmic_raw_lb[[#This Row],[setting]],vcost_lb[],3,FALSE),0)</f>
        <v>2.1433459610092056</v>
      </c>
      <c r="W219" s="33">
        <f>IFERROR(VLOOKUP(lmic_raw_lb[[#This Row],[setting]],vcost_lb[],4,FALSE),0)</f>
        <v>2.7439359610092056</v>
      </c>
      <c r="X219" s="33">
        <f>IFERROR(VLOOKUP(lmic_raw_lb[[#This Row],[setting]],vcost_lb[],5,FALSE),0)</f>
        <v>1.7730788046365045</v>
      </c>
      <c r="Y219" s="33">
        <f>IFERROR(VLOOKUP(lmic_raw_lb[[#This Row],[setting]],vcost_lb[],6,FALSE),0)</f>
        <v>2.3736688046365044</v>
      </c>
      <c r="Z219" s="33">
        <f>IFERROR(VLOOKUP(lmic_raw_lb[[#This Row],[setting]],vcost_lb[],7,FALSE),0)</f>
        <v>2.3684979463252316</v>
      </c>
      <c r="AA219" s="33">
        <f>IFERROR(VLOOKUP(lmic_raw_lb[[#This Row],[setting]],vcost_lb[],8,FALSE),0)</f>
        <v>2.3566734168331465</v>
      </c>
      <c r="AB219" s="33">
        <f>IFERROR(VLOOKUP(lmic_raw_lb[[#This Row],[setting]],vcost_lb[],9,FALSE),0)</f>
        <v>2.9572634168331464</v>
      </c>
      <c r="AC219" s="94">
        <f>VLOOKUP($A219,lmic_raw[],29,FALSE)*(1-interactive!$C$7)</f>
        <v>2.2268826499999995E-2</v>
      </c>
      <c r="AD219" s="94">
        <f>VLOOKUP($A219,lmic_raw[],30,FALSE)*(1-interactive!$C$7)</f>
        <v>2.0566424892264393E-3</v>
      </c>
      <c r="AE219" s="94">
        <f>VLOOKUP($A219,lmic_raw[],31,FALSE)*(1-interactive!$C$7)</f>
        <v>6.0817698273438431E-4</v>
      </c>
      <c r="AF219" s="94">
        <f>VLOOKUP($A219,lmic_raw[],32,FALSE)*(1-interactive!$C$7)</f>
        <v>5.2006244037974846E-4</v>
      </c>
      <c r="AG219" s="94">
        <f>VLOOKUP($A219,lmic_raw[],33,FALSE)*(1-interactive!$C$7)</f>
        <v>1.0209858997394673E-3</v>
      </c>
      <c r="AH219" s="94">
        <f>VLOOKUP($A219,lmic_raw[],34,FALSE)*(1-interactive!$C$7)</f>
        <v>1.3211932623687611E-3</v>
      </c>
      <c r="AI219" s="94">
        <f>VLOOKUP($A219,lmic_raw[],35,FALSE)*(1-interactive!$C$7)</f>
        <v>1.4028519285606894E-3</v>
      </c>
      <c r="AJ219" s="94">
        <f>VLOOKUP($A219,lmic_raw[],36,FALSE)*(1-interactive!$C$7)</f>
        <v>1.6514360602495643E-3</v>
      </c>
      <c r="AK219" s="94">
        <f>VLOOKUP($A219,lmic_raw[],37,FALSE)*(1-interactive!$C$7)</f>
        <v>2.186388687741788E-3</v>
      </c>
      <c r="AL219" s="94">
        <f>VLOOKUP($A219,lmic_raw[],38,FALSE)*(1-interactive!$C$7)</f>
        <v>3.0708404370362687E-3</v>
      </c>
      <c r="AM219" s="94">
        <f>VLOOKUP($A219,lmic_raw[],39,FALSE)*(1-interactive!$C$7)</f>
        <v>4.615029120718866E-3</v>
      </c>
      <c r="AN219" s="94">
        <f>VLOOKUP($A219,lmic_raw[],40,FALSE)*(1-interactive!$C$7)</f>
        <v>7.0759433398840657E-3</v>
      </c>
      <c r="AO219" s="94">
        <f>VLOOKUP($A219,lmic_raw[],41,FALSE)*(1-interactive!$C$7)</f>
        <v>1.0969510089321472E-2</v>
      </c>
      <c r="AP219" s="94">
        <f>VLOOKUP($A219,lmic_raw[],42,FALSE)*(1-interactive!$C$7)</f>
        <v>2.0804818467542251E-2</v>
      </c>
      <c r="AQ219" s="94">
        <f>VLOOKUP($A219,lmic_raw[],43,FALSE)*(1-interactive!$C$7)</f>
        <v>3.846332129457454E-2</v>
      </c>
      <c r="AR219" s="94">
        <f>VLOOKUP($A219,lmic_raw[],44,FALSE)*(1-interactive!$C$7)</f>
        <v>6.0833631878848035E-2</v>
      </c>
      <c r="AS219" s="94">
        <f>VLOOKUP($A219,lmic_raw[],45,FALSE)*(1-interactive!$C$7)</f>
        <v>8.6802476440788007E-2</v>
      </c>
      <c r="AT219" s="94">
        <f>VLOOKUP($A219,lmic_raw[],46,FALSE)*(1-interactive!$C$7)</f>
        <v>0.118263570156922</v>
      </c>
      <c r="AU219" s="94">
        <f>VLOOKUP($A219,lmic_raw[],47,FALSE)*(1-interactive!$C$7)</f>
        <v>0.14966755659005301</v>
      </c>
      <c r="AV219" s="94">
        <f>VLOOKUP($A219,lmic_raw[],48,FALSE)*(1-interactive!$C$7)</f>
        <v>0.17032987991889367</v>
      </c>
      <c r="AW219" s="94">
        <f>VLOOKUP($A219,lmic_raw[],49,FALSE)*(1-interactive!$C$7)</f>
        <v>0.17982245974531211</v>
      </c>
      <c r="AX219" s="94">
        <f>VLOOKUP($A219,lmic_raw[],50,FALSE)*(1-interactive!$C$7)</f>
        <v>64.311199999999999</v>
      </c>
    </row>
    <row r="220" spans="1:50" x14ac:dyDescent="0.25">
      <c r="A220" s="82" t="s">
        <v>639</v>
      </c>
      <c r="B220" s="101" t="s">
        <v>499</v>
      </c>
      <c r="C220" s="102">
        <v>498</v>
      </c>
      <c r="D220" s="121" t="s">
        <v>675</v>
      </c>
      <c r="E220" s="98" t="s">
        <v>306</v>
      </c>
      <c r="F220" s="98" t="s">
        <v>663</v>
      </c>
      <c r="G220" s="98" t="s">
        <v>678</v>
      </c>
      <c r="H220" s="98">
        <f>VLOOKUP(lmic_raw_lb[[#This Row],[setting]],lmic_raw[],8,FALSE)</f>
        <v>4043258</v>
      </c>
      <c r="I220" s="98">
        <f>VLOOKUP(lmic_raw_lb[[#This Row],[setting]],lmic_raw[],9,FALSE)</f>
        <v>41039.068699999996</v>
      </c>
      <c r="J220" s="98">
        <f>VLOOKUP($A220,lmic_raw[],10,FALSE)*(1-interactive!$C$7)</f>
        <v>0.94430000000000003</v>
      </c>
      <c r="K220" s="98">
        <f>VLOOKUP($A220,lmic_raw[],11,FALSE)*(1-interactive!$C$7)</f>
        <v>0.88349999999999995</v>
      </c>
      <c r="L220" s="98">
        <f>VLOOKUP($A220,lmic_raw[],12,FALSE)*(1-interactive!$C$7)</f>
        <v>0.8929999999999999</v>
      </c>
      <c r="M220" s="98">
        <f>IFERROR(VLOOKUP(lmic_raw_lb[[#This Row],[iso3]], hbv_prev[[iso3]:[ub]],3,FALSE)/100,0)</f>
        <v>3.6299999999999999E-2</v>
      </c>
      <c r="N220" s="98">
        <f>IFERROR(VLOOKUP(lmic_raw_lb[[#This Row],[setting]],hbe_prev[],4,FALSE),0)</f>
        <v>0.16339999999999999</v>
      </c>
      <c r="O220" s="98">
        <f>VLOOKUP(lmic_raw_lb[[#This Row],[gbd_super]],hbe_risk[],3,FALSE)</f>
        <v>0.7</v>
      </c>
      <c r="P220" s="98">
        <f>VLOOKUP(lmic_raw_lb[[#This Row],[gbd_super]],hbe_risk[],6,FALSE)</f>
        <v>0.05</v>
      </c>
      <c r="Q220" s="98">
        <f>VLOOKUP(lmic_raw_lb[[#This Row],[setting]],lmic_raw[],17,FALSE)*(1-interactive!$C$7)</f>
        <v>0</v>
      </c>
      <c r="R220" s="98">
        <f>VLOOKUP(lmic_raw_lb[[#This Row],[setting]],lmic_raw[],18,FALSE)*(1-interactive!$C$7)</f>
        <v>42.31053</v>
      </c>
      <c r="S220" s="98">
        <f>VLOOKUP(lmic_raw_lb[[#This Row],[setting]],lmic_raw[],19,FALSE)*(1-interactive!$C$7)</f>
        <v>87.665430000000001</v>
      </c>
      <c r="T220" s="98">
        <f>VLOOKUP(lmic_raw_lb[[#This Row],[setting]],lmic_raw[],20,FALSE)*(1-interactive!$C$7)</f>
        <v>87.665430000000001</v>
      </c>
      <c r="U220" s="98">
        <f>VLOOKUP(lmic_raw_lb[[#This Row],[setting]],lmic_raw[],21,FALSE)*(1-interactive!$C$7)</f>
        <v>87.665430000000001</v>
      </c>
      <c r="V220" s="33">
        <f>IFERROR(VLOOKUP(lmic_raw_lb[[#This Row],[setting]],vcost_lb[],3,FALSE),0)</f>
        <v>2.4283300106832124</v>
      </c>
      <c r="W220" s="33">
        <f>IFERROR(VLOOKUP(lmic_raw_lb[[#This Row],[setting]],vcost_lb[],4,FALSE),0)</f>
        <v>6.2907450106832128</v>
      </c>
      <c r="X220" s="33">
        <f>IFERROR(VLOOKUP(lmic_raw_lb[[#This Row],[setting]],vcost_lb[],5,FALSE),0)</f>
        <v>2.0552282456212145</v>
      </c>
      <c r="Y220" s="33">
        <f>IFERROR(VLOOKUP(lmic_raw_lb[[#This Row],[setting]],vcost_lb[],6,FALSE),0)</f>
        <v>5.9176432456212149</v>
      </c>
      <c r="Z220" s="33">
        <f>IFERROR(VLOOKUP(lmic_raw_lb[[#This Row],[setting]],vcost_lb[],7,FALSE),0)</f>
        <v>5.9101548462692381</v>
      </c>
      <c r="AA220" s="33">
        <f>IFERROR(VLOOKUP(lmic_raw_lb[[#This Row],[setting]],vcost_lb[],8,FALSE),0)</f>
        <v>2.6428722988025668</v>
      </c>
      <c r="AB220" s="33">
        <f>IFERROR(VLOOKUP(lmic_raw_lb[[#This Row],[setting]],vcost_lb[],9,FALSE),0)</f>
        <v>6.5052872988025676</v>
      </c>
      <c r="AC220" s="98">
        <f>VLOOKUP($A220,lmic_raw[],29,FALSE)*(1-interactive!$C$7)</f>
        <v>1.1738266500000035E-2</v>
      </c>
      <c r="AD220" s="98">
        <f>VLOOKUP($A220,lmic_raw[],30,FALSE)*(1-interactive!$C$7)</f>
        <v>4.9070569390326181E-4</v>
      </c>
      <c r="AE220" s="98">
        <f>VLOOKUP($A220,lmic_raw[],31,FALSE)*(1-interactive!$C$7)</f>
        <v>2.1444712448363674E-4</v>
      </c>
      <c r="AF220" s="98">
        <f>VLOOKUP($A220,lmic_raw[],32,FALSE)*(1-interactive!$C$7)</f>
        <v>1.6767244707217139E-4</v>
      </c>
      <c r="AG220" s="98">
        <f>VLOOKUP($A220,lmic_raw[],33,FALSE)*(1-interactive!$C$7)</f>
        <v>3.916121812267729E-4</v>
      </c>
      <c r="AH220" s="98">
        <f>VLOOKUP($A220,lmic_raw[],34,FALSE)*(1-interactive!$C$7)</f>
        <v>5.3046595858423969E-4</v>
      </c>
      <c r="AI220" s="98">
        <f>VLOOKUP($A220,lmic_raw[],35,FALSE)*(1-interactive!$C$7)</f>
        <v>7.9779275812687635E-4</v>
      </c>
      <c r="AJ220" s="98">
        <f>VLOOKUP($A220,lmic_raw[],36,FALSE)*(1-interactive!$C$7)</f>
        <v>1.2265838923937525E-3</v>
      </c>
      <c r="AK220" s="98">
        <f>VLOOKUP($A220,lmic_raw[],37,FALSE)*(1-interactive!$C$7)</f>
        <v>2.1935378834641124E-3</v>
      </c>
      <c r="AL220" s="98">
        <f>VLOOKUP($A220,lmic_raw[],38,FALSE)*(1-interactive!$C$7)</f>
        <v>3.0848464685099795E-3</v>
      </c>
      <c r="AM220" s="98">
        <f>VLOOKUP($A220,lmic_raw[],39,FALSE)*(1-interactive!$C$7)</f>
        <v>5.4709328944127266E-3</v>
      </c>
      <c r="AN220" s="98">
        <f>VLOOKUP($A220,lmic_raw[],40,FALSE)*(1-interactive!$C$7)</f>
        <v>8.1243798531169704E-3</v>
      </c>
      <c r="AO220" s="98">
        <f>VLOOKUP($A220,lmic_raw[],41,FALSE)*(1-interactive!$C$7)</f>
        <v>1.2180832134898763E-2</v>
      </c>
      <c r="AP220" s="98">
        <f>VLOOKUP($A220,lmic_raw[],42,FALSE)*(1-interactive!$C$7)</f>
        <v>2.0037179311686134E-2</v>
      </c>
      <c r="AQ220" s="98">
        <f>VLOOKUP($A220,lmic_raw[],43,FALSE)*(1-interactive!$C$7)</f>
        <v>2.600372432669678E-2</v>
      </c>
      <c r="AR220" s="98">
        <f>VLOOKUP($A220,lmic_raw[],44,FALSE)*(1-interactive!$C$7)</f>
        <v>4.0310558335660829E-2</v>
      </c>
      <c r="AS220" s="98">
        <f>VLOOKUP($A220,lmic_raw[],45,FALSE)*(1-interactive!$C$7)</f>
        <v>6.0562429311274202E-2</v>
      </c>
      <c r="AT220" s="98">
        <f>VLOOKUP($A220,lmic_raw[],46,FALSE)*(1-interactive!$C$7)</f>
        <v>8.7519550326657244E-2</v>
      </c>
      <c r="AU220" s="98">
        <f>VLOOKUP($A220,lmic_raw[],47,FALSE)*(1-interactive!$C$7)</f>
        <v>0.11769538150225735</v>
      </c>
      <c r="AV220" s="98">
        <f>VLOOKUP($A220,lmic_raw[],48,FALSE)*(1-interactive!$C$7)</f>
        <v>0.14262414438552201</v>
      </c>
      <c r="AW220" s="98">
        <f>VLOOKUP($A220,lmic_raw[],49,FALSE)*(1-interactive!$C$7)</f>
        <v>0.16449709277903463</v>
      </c>
      <c r="AX220" s="98">
        <f>VLOOKUP($A220,lmic_raw[],50,FALSE)*(1-interactive!$C$7)</f>
        <v>68.099799999999988</v>
      </c>
    </row>
    <row r="221" spans="1:50" x14ac:dyDescent="0.25">
      <c r="A221" s="110" t="s">
        <v>208</v>
      </c>
      <c r="B221" s="104" t="s">
        <v>473</v>
      </c>
      <c r="C221" s="105">
        <v>496</v>
      </c>
      <c r="D221" s="122" t="s">
        <v>681</v>
      </c>
      <c r="E221" s="94" t="s">
        <v>184</v>
      </c>
      <c r="F221" s="94" t="s">
        <v>663</v>
      </c>
      <c r="G221" s="94" t="s">
        <v>678</v>
      </c>
      <c r="H221" s="98">
        <f>VLOOKUP(lmic_raw_lb[[#This Row],[setting]],lmic_raw[],8,FALSE)</f>
        <v>3225166</v>
      </c>
      <c r="I221" s="98">
        <f>VLOOKUP(lmic_raw_lb[[#This Row],[setting]],lmic_raw[],9,FALSE)</f>
        <v>78826.282206000003</v>
      </c>
      <c r="J221" s="94">
        <f>VLOOKUP($A221,lmic_raw[],10,FALSE)*(1-interactive!$C$7)</f>
        <v>0.93480000000000008</v>
      </c>
      <c r="K221" s="94">
        <f>VLOOKUP($A221,lmic_raw[],11,FALSE)*(1-interactive!$C$7)</f>
        <v>0.93099999999999994</v>
      </c>
      <c r="L221" s="94">
        <f>VLOOKUP($A221,lmic_raw[],12,FALSE)*(1-interactive!$C$7)</f>
        <v>0.93099999999999994</v>
      </c>
      <c r="M221" s="94">
        <f>IFERROR(VLOOKUP(lmic_raw_lb[[#This Row],[iso3]], hbv_prev[[iso3]:[ub]],3,FALSE)/100,0)</f>
        <v>8.8000000000000009E-2</v>
      </c>
      <c r="N221" s="94">
        <f>IFERROR(VLOOKUP(lmic_raw_lb[[#This Row],[setting]],hbe_prev[],4,FALSE),0)</f>
        <v>0.16309999999999999</v>
      </c>
      <c r="O221" s="94">
        <f>VLOOKUP(lmic_raw_lb[[#This Row],[gbd_super]],hbe_risk[],3,FALSE)</f>
        <v>0.7</v>
      </c>
      <c r="P221" s="94">
        <f>VLOOKUP(lmic_raw_lb[[#This Row],[gbd_super]],hbe_risk[],6,FALSE)</f>
        <v>0.05</v>
      </c>
      <c r="Q221" s="94">
        <f>VLOOKUP(lmic_raw_lb[[#This Row],[setting]],lmic_raw[],17,FALSE)*(1-interactive!$C$7)</f>
        <v>4.3181710444158155</v>
      </c>
      <c r="R221" s="98">
        <f>VLOOKUP(lmic_raw_lb[[#This Row],[setting]],lmic_raw[],18,FALSE)*(1-interactive!$C$7)</f>
        <v>42.31053</v>
      </c>
      <c r="S221" s="98">
        <f>VLOOKUP(lmic_raw_lb[[#This Row],[setting]],lmic_raw[],19,FALSE)*(1-interactive!$C$7)</f>
        <v>87.665430000000001</v>
      </c>
      <c r="T221" s="98">
        <f>VLOOKUP(lmic_raw_lb[[#This Row],[setting]],lmic_raw[],20,FALSE)*(1-interactive!$C$7)</f>
        <v>87.665430000000001</v>
      </c>
      <c r="U221" s="98">
        <f>VLOOKUP(lmic_raw_lb[[#This Row],[setting]],lmic_raw[],21,FALSE)*(1-interactive!$C$7)</f>
        <v>87.665430000000001</v>
      </c>
      <c r="V221" s="33">
        <f>IFERROR(VLOOKUP(lmic_raw_lb[[#This Row],[setting]],vcost_lb[],3,FALSE),0)</f>
        <v>3.1382004064418103</v>
      </c>
      <c r="W221" s="33">
        <f>IFERROR(VLOOKUP(lmic_raw_lb[[#This Row],[setting]],vcost_lb[],4,FALSE),0)</f>
        <v>7.0006154064418107</v>
      </c>
      <c r="X221" s="33">
        <f>IFERROR(VLOOKUP(lmic_raw_lb[[#This Row],[setting]],vcost_lb[],5,FALSE),0)</f>
        <v>2.7654402431262723</v>
      </c>
      <c r="Y221" s="33">
        <f>IFERROR(VLOOKUP(lmic_raw_lb[[#This Row],[setting]],vcost_lb[],6,FALSE),0)</f>
        <v>6.6278552431262732</v>
      </c>
      <c r="Z221" s="33">
        <f>IFERROR(VLOOKUP(lmic_raw_lb[[#This Row],[setting]],vcost_lb[],7,FALSE),0)</f>
        <v>6.620551746813427</v>
      </c>
      <c r="AA221" s="33">
        <f>IFERROR(VLOOKUP(lmic_raw_lb[[#This Row],[setting]],vcost_lb[],8,FALSE),0)</f>
        <v>3.3525962938126814</v>
      </c>
      <c r="AB221" s="33">
        <f>IFERROR(VLOOKUP(lmic_raw_lb[[#This Row],[setting]],vcost_lb[],9,FALSE),0)</f>
        <v>7.2150112938126814</v>
      </c>
      <c r="AC221" s="94">
        <f>VLOOKUP($A221,lmic_raw[],29,FALSE)*(1-interactive!$C$7)</f>
        <v>1.7187076999999974E-2</v>
      </c>
      <c r="AD221" s="94">
        <f>VLOOKUP($A221,lmic_raw[],30,FALSE)*(1-interactive!$C$7)</f>
        <v>1.0346775341576111E-3</v>
      </c>
      <c r="AE221" s="94">
        <f>VLOOKUP($A221,lmic_raw[],31,FALSE)*(1-interactive!$C$7)</f>
        <v>3.4269282604917109E-4</v>
      </c>
      <c r="AF221" s="94">
        <f>VLOOKUP($A221,lmic_raw[],32,FALSE)*(1-interactive!$C$7)</f>
        <v>3.1910321579373618E-4</v>
      </c>
      <c r="AG221" s="94">
        <f>VLOOKUP($A221,lmic_raw[],33,FALSE)*(1-interactive!$C$7)</f>
        <v>4.9493929739430397E-4</v>
      </c>
      <c r="AH221" s="94">
        <f>VLOOKUP($A221,lmic_raw[],34,FALSE)*(1-interactive!$C$7)</f>
        <v>8.5619521564759291E-4</v>
      </c>
      <c r="AI221" s="94">
        <f>VLOOKUP($A221,lmic_raw[],35,FALSE)*(1-interactive!$C$7)</f>
        <v>1.2240992648668591E-3</v>
      </c>
      <c r="AJ221" s="94">
        <f>VLOOKUP($A221,lmic_raw[],36,FALSE)*(1-interactive!$C$7)</f>
        <v>1.8498156968859254E-3</v>
      </c>
      <c r="AK221" s="94">
        <f>VLOOKUP($A221,lmic_raw[],37,FALSE)*(1-interactive!$C$7)</f>
        <v>2.6932097931661628E-3</v>
      </c>
      <c r="AL221" s="94">
        <f>VLOOKUP($A221,lmic_raw[],38,FALSE)*(1-interactive!$C$7)</f>
        <v>4.128238358177304E-3</v>
      </c>
      <c r="AM221" s="94">
        <f>VLOOKUP($A221,lmic_raw[],39,FALSE)*(1-interactive!$C$7)</f>
        <v>7.1013024209583067E-3</v>
      </c>
      <c r="AN221" s="94">
        <f>VLOOKUP($A221,lmic_raw[],40,FALSE)*(1-interactive!$C$7)</f>
        <v>1.0618014587171522E-2</v>
      </c>
      <c r="AO221" s="94">
        <f>VLOOKUP($A221,lmic_raw[],41,FALSE)*(1-interactive!$C$7)</f>
        <v>1.4397549207143971E-2</v>
      </c>
      <c r="AP221" s="94">
        <f>VLOOKUP($A221,lmic_raw[],42,FALSE)*(1-interactive!$C$7)</f>
        <v>2.0216557051855641E-2</v>
      </c>
      <c r="AQ221" s="94">
        <f>VLOOKUP($A221,lmic_raw[],43,FALSE)*(1-interactive!$C$7)</f>
        <v>2.7565094646609514E-2</v>
      </c>
      <c r="AR221" s="94">
        <f>VLOOKUP($A221,lmic_raw[],44,FALSE)*(1-interactive!$C$7)</f>
        <v>4.3845330982583142E-2</v>
      </c>
      <c r="AS221" s="94">
        <f>VLOOKUP($A221,lmic_raw[],45,FALSE)*(1-interactive!$C$7)</f>
        <v>6.2588998745244345E-2</v>
      </c>
      <c r="AT221" s="94">
        <f>VLOOKUP($A221,lmic_raw[],46,FALSE)*(1-interactive!$C$7)</f>
        <v>8.5520990892157769E-2</v>
      </c>
      <c r="AU221" s="94">
        <f>VLOOKUP($A221,lmic_raw[],47,FALSE)*(1-interactive!$C$7)</f>
        <v>0.11148821121680133</v>
      </c>
      <c r="AV221" s="94">
        <f>VLOOKUP($A221,lmic_raw[],48,FALSE)*(1-interactive!$C$7)</f>
        <v>0.13643041704868589</v>
      </c>
      <c r="AW221" s="94">
        <f>VLOOKUP($A221,lmic_raw[],49,FALSE)*(1-interactive!$C$7)</f>
        <v>0.15685835251538757</v>
      </c>
      <c r="AX221" s="94">
        <f>VLOOKUP($A221,lmic_raw[],50,FALSE)*(1-interactive!$C$7)</f>
        <v>66.071550000000002</v>
      </c>
    </row>
    <row r="222" spans="1:50" x14ac:dyDescent="0.25">
      <c r="A222" s="109" t="s">
        <v>341</v>
      </c>
      <c r="B222" s="101" t="s">
        <v>474</v>
      </c>
      <c r="C222" s="102">
        <v>499</v>
      </c>
      <c r="D222" s="121" t="s">
        <v>675</v>
      </c>
      <c r="E222" s="98" t="s">
        <v>580</v>
      </c>
      <c r="F222" s="98" t="s">
        <v>663</v>
      </c>
      <c r="G222" s="98" t="s">
        <v>676</v>
      </c>
      <c r="H222" s="98">
        <f>VLOOKUP(lmic_raw_lb[[#This Row],[setting]],lmic_raw[],8,FALSE)</f>
        <v>627988</v>
      </c>
      <c r="I222" s="98">
        <f>VLOOKUP(lmic_raw_lb[[#This Row],[setting]],lmic_raw[],9,FALSE)</f>
        <v>7423.4461480000009</v>
      </c>
      <c r="J222" s="98">
        <f>VLOOKUP($A222,lmic_raw[],10,FALSE)*(1-interactive!$C$7)</f>
        <v>0.93669999999999998</v>
      </c>
      <c r="K222" s="98">
        <f>VLOOKUP($A222,lmic_raw[],11,FALSE)*(1-interactive!$C$7)</f>
        <v>0</v>
      </c>
      <c r="L222" s="98">
        <f>VLOOKUP($A222,lmic_raw[],12,FALSE)*(1-interactive!$C$7)</f>
        <v>0.68399999999999994</v>
      </c>
      <c r="M222" s="98">
        <f>IFERROR(VLOOKUP(lmic_raw_lb[[#This Row],[iso3]], hbv_prev[[iso3]:[ub]],3,FALSE)/100,0)</f>
        <v>3.0999999999999999E-3</v>
      </c>
      <c r="N222" s="98">
        <f>IFERROR(VLOOKUP(lmic_raw_lb[[#This Row],[setting]],hbe_prev[],4,FALSE),0)</f>
        <v>0.16329999999999997</v>
      </c>
      <c r="O222" s="98">
        <f>VLOOKUP(lmic_raw_lb[[#This Row],[gbd_super]],hbe_risk[],3,FALSE)</f>
        <v>0.7</v>
      </c>
      <c r="P222" s="98">
        <f>VLOOKUP(lmic_raw_lb[[#This Row],[gbd_super]],hbe_risk[],6,FALSE)</f>
        <v>0.05</v>
      </c>
      <c r="Q222" s="98">
        <f>VLOOKUP(lmic_raw_lb[[#This Row],[setting]],lmic_raw[],17,FALSE)*(1-interactive!$C$7)</f>
        <v>0</v>
      </c>
      <c r="R222" s="98">
        <f>VLOOKUP(lmic_raw_lb[[#This Row],[setting]],lmic_raw[],18,FALSE)*(1-interactive!$C$7)</f>
        <v>42.31053</v>
      </c>
      <c r="S222" s="98">
        <f>VLOOKUP(lmic_raw_lb[[#This Row],[setting]],lmic_raw[],19,FALSE)*(1-interactive!$C$7)</f>
        <v>87.665430000000001</v>
      </c>
      <c r="T222" s="98">
        <f>VLOOKUP(lmic_raw_lb[[#This Row],[setting]],lmic_raw[],20,FALSE)*(1-interactive!$C$7)</f>
        <v>87.665430000000001</v>
      </c>
      <c r="U222" s="98">
        <f>VLOOKUP(lmic_raw_lb[[#This Row],[setting]],lmic_raw[],21,FALSE)*(1-interactive!$C$7)</f>
        <v>87.665430000000001</v>
      </c>
      <c r="V222" s="33">
        <f>IFERROR(VLOOKUP(lmic_raw_lb[[#This Row],[setting]],vcost_lb[],3,FALSE),0)</f>
        <v>2.9750481316810728</v>
      </c>
      <c r="W222" s="33">
        <f>IFERROR(VLOOKUP(lmic_raw_lb[[#This Row],[setting]],vcost_lb[],4,FALSE),0)</f>
        <v>6.8374631316810728</v>
      </c>
      <c r="X222" s="33">
        <f>IFERROR(VLOOKUP(lmic_raw_lb[[#This Row],[setting]],vcost_lb[],5,FALSE),0)</f>
        <v>2.6016094932670146</v>
      </c>
      <c r="Y222" s="33">
        <f>IFERROR(VLOOKUP(lmic_raw_lb[[#This Row],[setting]],vcost_lb[],6,FALSE),0)</f>
        <v>6.464024493267015</v>
      </c>
      <c r="Z222" s="33">
        <f>IFERROR(VLOOKUP(lmic_raw_lb[[#This Row],[setting]],vcost_lb[],7,FALSE),0)</f>
        <v>6.45665143150479</v>
      </c>
      <c r="AA222" s="33">
        <f>IFERROR(VLOOKUP(lmic_raw_lb[[#This Row],[setting]],vcost_lb[],8,FALSE),0)</f>
        <v>3.1897347940941669</v>
      </c>
      <c r="AB222" s="33">
        <f>IFERROR(VLOOKUP(lmic_raw_lb[[#This Row],[setting]],vcost_lb[],9,FALSE),0)</f>
        <v>7.0521497940941673</v>
      </c>
      <c r="AC222" s="98">
        <f>VLOOKUP($A222,lmic_raw[],29,FALSE)*(1-interactive!$C$7)</f>
        <v>2.6210405000000464E-3</v>
      </c>
      <c r="AD222" s="98">
        <f>VLOOKUP($A222,lmic_raw[],30,FALSE)*(1-interactive!$C$7)</f>
        <v>1.0429374540062592E-4</v>
      </c>
      <c r="AE222" s="98">
        <f>VLOOKUP($A222,lmic_raw[],31,FALSE)*(1-interactive!$C$7)</f>
        <v>1.2314889593689613E-4</v>
      </c>
      <c r="AF222" s="98">
        <f>VLOOKUP($A222,lmic_raw[],32,FALSE)*(1-interactive!$C$7)</f>
        <v>1.3386213083016766E-4</v>
      </c>
      <c r="AG222" s="98">
        <f>VLOOKUP($A222,lmic_raw[],33,FALSE)*(1-interactive!$C$7)</f>
        <v>2.4685270109297164E-4</v>
      </c>
      <c r="AH222" s="98">
        <f>VLOOKUP($A222,lmic_raw[],34,FALSE)*(1-interactive!$C$7)</f>
        <v>3.6586245624027012E-4</v>
      </c>
      <c r="AI222" s="98">
        <f>VLOOKUP($A222,lmic_raw[],35,FALSE)*(1-interactive!$C$7)</f>
        <v>5.5664347295768441E-4</v>
      </c>
      <c r="AJ222" s="98">
        <f>VLOOKUP($A222,lmic_raw[],36,FALSE)*(1-interactive!$C$7)</f>
        <v>5.5427680249059462E-4</v>
      </c>
      <c r="AK222" s="98">
        <f>VLOOKUP($A222,lmic_raw[],37,FALSE)*(1-interactive!$C$7)</f>
        <v>9.2242188556577553E-4</v>
      </c>
      <c r="AL222" s="98">
        <f>VLOOKUP($A222,lmic_raw[],38,FALSE)*(1-interactive!$C$7)</f>
        <v>1.4316426674477287E-3</v>
      </c>
      <c r="AM222" s="98">
        <f>VLOOKUP($A222,lmic_raw[],39,FALSE)*(1-interactive!$C$7)</f>
        <v>2.4329816400606614E-3</v>
      </c>
      <c r="AN222" s="98">
        <f>VLOOKUP($A222,lmic_raw[],40,FALSE)*(1-interactive!$C$7)</f>
        <v>4.5430094714786892E-3</v>
      </c>
      <c r="AO222" s="98">
        <f>VLOOKUP($A222,lmic_raw[],41,FALSE)*(1-interactive!$C$7)</f>
        <v>8.1042670430410205E-3</v>
      </c>
      <c r="AP222" s="98">
        <f>VLOOKUP($A222,lmic_raw[],42,FALSE)*(1-interactive!$C$7)</f>
        <v>1.2155327883148249E-2</v>
      </c>
      <c r="AQ222" s="98">
        <f>VLOOKUP($A222,lmic_raw[],43,FALSE)*(1-interactive!$C$7)</f>
        <v>2.0126847256531098E-2</v>
      </c>
      <c r="AR222" s="98">
        <f>VLOOKUP($A222,lmic_raw[],44,FALSE)*(1-interactive!$C$7)</f>
        <v>2.9426599249038326E-2</v>
      </c>
      <c r="AS222" s="98">
        <f>VLOOKUP($A222,lmic_raw[],45,FALSE)*(1-interactive!$C$7)</f>
        <v>4.887883261272255E-2</v>
      </c>
      <c r="AT222" s="98">
        <f>VLOOKUP($A222,lmic_raw[],46,FALSE)*(1-interactive!$C$7)</f>
        <v>7.7063946051068116E-2</v>
      </c>
      <c r="AU222" s="98">
        <f>VLOOKUP($A222,lmic_raw[],47,FALSE)*(1-interactive!$C$7)</f>
        <v>0.1117260127560994</v>
      </c>
      <c r="AV222" s="98">
        <f>VLOOKUP($A222,lmic_raw[],48,FALSE)*(1-interactive!$C$7)</f>
        <v>0.1479933124985566</v>
      </c>
      <c r="AW222" s="98">
        <f>VLOOKUP($A222,lmic_raw[],49,FALSE)*(1-interactive!$C$7)</f>
        <v>0.17016617947094131</v>
      </c>
      <c r="AX222" s="98">
        <f>VLOOKUP($A222,lmic_raw[],50,FALSE)*(1-interactive!$C$7)</f>
        <v>72.819400000000002</v>
      </c>
    </row>
    <row r="223" spans="1:50" x14ac:dyDescent="0.25">
      <c r="A223" s="110" t="s">
        <v>160</v>
      </c>
      <c r="B223" s="104" t="s">
        <v>475</v>
      </c>
      <c r="C223" s="105">
        <v>504</v>
      </c>
      <c r="D223" s="122" t="s">
        <v>673</v>
      </c>
      <c r="E223" s="94" t="s">
        <v>579</v>
      </c>
      <c r="F223" s="94" t="s">
        <v>579</v>
      </c>
      <c r="G223" s="94" t="s">
        <v>678</v>
      </c>
      <c r="H223" s="98">
        <f>VLOOKUP(lmic_raw_lb[[#This Row],[setting]],lmic_raw[],8,FALSE)</f>
        <v>36471766</v>
      </c>
      <c r="I223" s="98">
        <f>VLOOKUP(lmic_raw_lb[[#This Row],[setting]],lmic_raw[],9,FALSE)</f>
        <v>694896.55759800004</v>
      </c>
      <c r="J223" s="94">
        <f>VLOOKUP($A223,lmic_raw[],10,FALSE)*(1-interactive!$C$7)</f>
        <v>0.81794999999999995</v>
      </c>
      <c r="K223" s="94">
        <f>VLOOKUP($A223,lmic_raw[],11,FALSE)*(1-interactive!$C$7)</f>
        <v>0.38949999999999996</v>
      </c>
      <c r="L223" s="94">
        <f>VLOOKUP($A223,lmic_raw[],12,FALSE)*(1-interactive!$C$7)</f>
        <v>0.9405</v>
      </c>
      <c r="M223" s="94">
        <f>IFERROR(VLOOKUP(lmic_raw_lb[[#This Row],[iso3]], hbv_prev[[iso3]:[ub]],3,FALSE)/100,0)</f>
        <v>1.23E-2</v>
      </c>
      <c r="N223" s="94">
        <f>IFERROR(VLOOKUP(lmic_raw_lb[[#This Row],[setting]],hbe_prev[],4,FALSE),0)</f>
        <v>0.14980000000000002</v>
      </c>
      <c r="O223" s="94">
        <f>VLOOKUP(lmic_raw_lb[[#This Row],[gbd_super]],hbe_risk[],3,FALSE)</f>
        <v>0.7</v>
      </c>
      <c r="P223" s="94">
        <f>VLOOKUP(lmic_raw_lb[[#This Row],[gbd_super]],hbe_risk[],6,FALSE)</f>
        <v>0.05</v>
      </c>
      <c r="Q223" s="94">
        <f>VLOOKUP(lmic_raw_lb[[#This Row],[setting]],lmic_raw[],17,FALSE)*(1-interactive!$C$7)</f>
        <v>6.6973221485307457</v>
      </c>
      <c r="R223" s="98">
        <f>VLOOKUP(lmic_raw_lb[[#This Row],[setting]],lmic_raw[],18,FALSE)*(1-interactive!$C$7)</f>
        <v>44.019105000000003</v>
      </c>
      <c r="S223" s="98">
        <f>VLOOKUP(lmic_raw_lb[[#This Row],[setting]],lmic_raw[],19,FALSE)*(1-interactive!$C$7)</f>
        <v>89.374005000000011</v>
      </c>
      <c r="T223" s="98">
        <f>VLOOKUP(lmic_raw_lb[[#This Row],[setting]],lmic_raw[],20,FALSE)*(1-interactive!$C$7)</f>
        <v>89.374005000000011</v>
      </c>
      <c r="U223" s="98">
        <f>VLOOKUP(lmic_raw_lb[[#This Row],[setting]],lmic_raw[],21,FALSE)*(1-interactive!$C$7)</f>
        <v>89.374005000000011</v>
      </c>
      <c r="V223" s="33">
        <f>IFERROR(VLOOKUP(lmic_raw_lb[[#This Row],[setting]],vcost_lb[],3,FALSE),0)</f>
        <v>1.7405784706842822</v>
      </c>
      <c r="W223" s="33">
        <f>IFERROR(VLOOKUP(lmic_raw_lb[[#This Row],[setting]],vcost_lb[],4,FALSE),0)</f>
        <v>2.1961984706842821</v>
      </c>
      <c r="X223" s="33">
        <f>IFERROR(VLOOKUP(lmic_raw_lb[[#This Row],[setting]],vcost_lb[],5,FALSE),0)</f>
        <v>1.3707508691512555</v>
      </c>
      <c r="Y223" s="33">
        <f>IFERROR(VLOOKUP(lmic_raw_lb[[#This Row],[setting]],vcost_lb[],6,FALSE),0)</f>
        <v>1.8263708691512557</v>
      </c>
      <c r="Z223" s="33">
        <f>IFERROR(VLOOKUP(lmic_raw_lb[[#This Row],[setting]],vcost_lb[],7,FALSE),0)</f>
        <v>1.821153509265061</v>
      </c>
      <c r="AA223" s="33">
        <f>IFERROR(VLOOKUP(lmic_raw_lb[[#This Row],[setting]],vcost_lb[],8,FALSE),0)</f>
        <v>1.9537175458626486</v>
      </c>
      <c r="AB223" s="33">
        <f>IFERROR(VLOOKUP(lmic_raw_lb[[#This Row],[setting]],vcost_lb[],9,FALSE),0)</f>
        <v>2.4093375458626487</v>
      </c>
      <c r="AC223" s="94">
        <f>VLOOKUP($A223,lmic_raw[],29,FALSE)*(1-interactive!$C$7)</f>
        <v>1.8875293500000064E-2</v>
      </c>
      <c r="AD223" s="94">
        <f>VLOOKUP($A223,lmic_raw[],30,FALSE)*(1-interactive!$C$7)</f>
        <v>8.5650414969413698E-4</v>
      </c>
      <c r="AE223" s="94">
        <f>VLOOKUP($A223,lmic_raw[],31,FALSE)*(1-interactive!$C$7)</f>
        <v>3.9984769965251197E-4</v>
      </c>
      <c r="AF223" s="94">
        <f>VLOOKUP($A223,lmic_raw[],32,FALSE)*(1-interactive!$C$7)</f>
        <v>2.4296351582322627E-4</v>
      </c>
      <c r="AG223" s="94">
        <f>VLOOKUP($A223,lmic_raw[],33,FALSE)*(1-interactive!$C$7)</f>
        <v>3.9420558930539746E-4</v>
      </c>
      <c r="AH223" s="94">
        <f>VLOOKUP($A223,lmic_raw[],34,FALSE)*(1-interactive!$C$7)</f>
        <v>5.7432954523667845E-4</v>
      </c>
      <c r="AI223" s="94">
        <f>VLOOKUP($A223,lmic_raw[],35,FALSE)*(1-interactive!$C$7)</f>
        <v>6.3552315196445071E-4</v>
      </c>
      <c r="AJ223" s="94">
        <f>VLOOKUP($A223,lmic_raw[],36,FALSE)*(1-interactive!$C$7)</f>
        <v>7.0574568938854671E-4</v>
      </c>
      <c r="AK223" s="94">
        <f>VLOOKUP($A223,lmic_raw[],37,FALSE)*(1-interactive!$C$7)</f>
        <v>9.5137129687938382E-4</v>
      </c>
      <c r="AL223" s="94">
        <f>VLOOKUP($A223,lmic_raw[],38,FALSE)*(1-interactive!$C$7)</f>
        <v>1.2642595670064691E-3</v>
      </c>
      <c r="AM223" s="94">
        <f>VLOOKUP($A223,lmic_raw[],39,FALSE)*(1-interactive!$C$7)</f>
        <v>1.8054080828093112E-3</v>
      </c>
      <c r="AN223" s="94">
        <f>VLOOKUP($A223,lmic_raw[],40,FALSE)*(1-interactive!$C$7)</f>
        <v>2.7577877378462635E-3</v>
      </c>
      <c r="AO223" s="94">
        <f>VLOOKUP($A223,lmic_raw[],41,FALSE)*(1-interactive!$C$7)</f>
        <v>4.283856273541534E-3</v>
      </c>
      <c r="AP223" s="94">
        <f>VLOOKUP($A223,lmic_raw[],42,FALSE)*(1-interactive!$C$7)</f>
        <v>7.4320729215778588E-3</v>
      </c>
      <c r="AQ223" s="94">
        <f>VLOOKUP($A223,lmic_raw[],43,FALSE)*(1-interactive!$C$7)</f>
        <v>1.3213399071246024E-2</v>
      </c>
      <c r="AR223" s="94">
        <f>VLOOKUP($A223,lmic_raw[],44,FALSE)*(1-interactive!$C$7)</f>
        <v>2.6343554368299809E-2</v>
      </c>
      <c r="AS223" s="94">
        <f>VLOOKUP($A223,lmic_raw[],45,FALSE)*(1-interactive!$C$7)</f>
        <v>4.467083794193033E-2</v>
      </c>
      <c r="AT223" s="94">
        <f>VLOOKUP($A223,lmic_raw[],46,FALSE)*(1-interactive!$C$7)</f>
        <v>8.7399132494828988E-2</v>
      </c>
      <c r="AU223" s="94">
        <f>VLOOKUP($A223,lmic_raw[],47,FALSE)*(1-interactive!$C$7)</f>
        <v>0.13239106888338972</v>
      </c>
      <c r="AV223" s="94">
        <f>VLOOKUP($A223,lmic_raw[],48,FALSE)*(1-interactive!$C$7)</f>
        <v>0.16455770580630139</v>
      </c>
      <c r="AW223" s="94">
        <f>VLOOKUP($A223,lmic_raw[],49,FALSE)*(1-interactive!$C$7)</f>
        <v>0.17516608604530076</v>
      </c>
      <c r="AX223" s="94">
        <f>VLOOKUP($A223,lmic_raw[],50,FALSE)*(1-interactive!$C$7)</f>
        <v>72.513499999999993</v>
      </c>
    </row>
    <row r="224" spans="1:50" x14ac:dyDescent="0.25">
      <c r="A224" s="109" t="s">
        <v>111</v>
      </c>
      <c r="B224" s="101" t="s">
        <v>476</v>
      </c>
      <c r="C224" s="102">
        <v>508</v>
      </c>
      <c r="D224" s="121" t="s">
        <v>677</v>
      </c>
      <c r="E224" s="98" t="s">
        <v>597</v>
      </c>
      <c r="F224" s="98" t="s">
        <v>667</v>
      </c>
      <c r="G224" s="98" t="s">
        <v>674</v>
      </c>
      <c r="H224" s="98">
        <f>VLOOKUP(lmic_raw_lb[[#This Row],[setting]],lmic_raw[],8,FALSE)</f>
        <v>30366043</v>
      </c>
      <c r="I224" s="98">
        <f>VLOOKUP(lmic_raw_lb[[#This Row],[setting]],lmic_raw[],9,FALSE)</f>
        <v>1144921.2852720001</v>
      </c>
      <c r="J224" s="98">
        <f>VLOOKUP($A224,lmic_raw[],10,FALSE)*(1-interactive!$C$7)</f>
        <v>0.52059999999999995</v>
      </c>
      <c r="K224" s="98">
        <f>VLOOKUP($A224,lmic_raw[],11,FALSE)*(1-interactive!$C$7)</f>
        <v>0</v>
      </c>
      <c r="L224" s="98">
        <f>VLOOKUP($A224,lmic_raw[],12,FALSE)*(1-interactive!$C$7)</f>
        <v>0.83599999999999997</v>
      </c>
      <c r="M224" s="98">
        <f>IFERROR(VLOOKUP(lmic_raw_lb[[#This Row],[iso3]], hbv_prev[[iso3]:[ub]],3,FALSE)/100,0)</f>
        <v>5.2000000000000005E-2</v>
      </c>
      <c r="N224" s="98">
        <f>IFERROR(VLOOKUP(lmic_raw_lb[[#This Row],[setting]],hbe_prev[],4,FALSE),0)</f>
        <v>0.15560000000000002</v>
      </c>
      <c r="O224" s="98">
        <f>VLOOKUP(lmic_raw_lb[[#This Row],[gbd_super]],hbe_risk[],3,FALSE)</f>
        <v>7.0000000000000007E-2</v>
      </c>
      <c r="P224" s="98">
        <f>VLOOKUP(lmic_raw_lb[[#This Row],[gbd_super]],hbe_risk[],6,FALSE)</f>
        <v>1E-3</v>
      </c>
      <c r="Q224" s="98">
        <f>VLOOKUP(lmic_raw_lb[[#This Row],[setting]],lmic_raw[],17,FALSE)*(1-interactive!$C$7)</f>
        <v>2.5817290063414107</v>
      </c>
      <c r="R224" s="98">
        <f>VLOOKUP(lmic_raw_lb[[#This Row],[setting]],lmic_raw[],18,FALSE)*(1-interactive!$C$7)</f>
        <v>28.424474999999997</v>
      </c>
      <c r="S224" s="98">
        <f>VLOOKUP(lmic_raw_lb[[#This Row],[setting]],lmic_raw[],19,FALSE)*(1-interactive!$C$7)</f>
        <v>73.779375000000002</v>
      </c>
      <c r="T224" s="98">
        <f>VLOOKUP(lmic_raw_lb[[#This Row],[setting]],lmic_raw[],20,FALSE)*(1-interactive!$C$7)</f>
        <v>73.779375000000002</v>
      </c>
      <c r="U224" s="98">
        <f>VLOOKUP(lmic_raw_lb[[#This Row],[setting]],lmic_raw[],21,FALSE)*(1-interactive!$C$7)</f>
        <v>73.779375000000002</v>
      </c>
      <c r="V224" s="33">
        <f>IFERROR(VLOOKUP(lmic_raw_lb[[#This Row],[setting]],vcost_lb[],3,FALSE),0)</f>
        <v>0.76805051574353089</v>
      </c>
      <c r="W224" s="33">
        <f>IFERROR(VLOOKUP(lmic_raw_lb[[#This Row],[setting]],vcost_lb[],4,FALSE),0)</f>
        <v>5.3553155157435315</v>
      </c>
      <c r="X224" s="33">
        <f>IFERROR(VLOOKUP(lmic_raw_lb[[#This Row],[setting]],vcost_lb[],5,FALSE),0)</f>
        <v>0.40424618977434307</v>
      </c>
      <c r="Y224" s="33">
        <f>IFERROR(VLOOKUP(lmic_raw_lb[[#This Row],[setting]],vcost_lb[],6,FALSE),0)</f>
        <v>4.9915111897743438</v>
      </c>
      <c r="Z224" s="33">
        <f>IFERROR(VLOOKUP(lmic_raw_lb[[#This Row],[setting]],vcost_lb[],7,FALSE),0)</f>
        <v>4.9904026634713725</v>
      </c>
      <c r="AA224" s="33">
        <f>IFERROR(VLOOKUP(lmic_raw_lb[[#This Row],[setting]],vcost_lb[],8,FALSE),0)</f>
        <v>0.97860818710882369</v>
      </c>
      <c r="AB224" s="33">
        <f>IFERROR(VLOOKUP(lmic_raw_lb[[#This Row],[setting]],vcost_lb[],9,FALSE),0)</f>
        <v>5.5658731871088243</v>
      </c>
      <c r="AC224" s="98">
        <f>VLOOKUP($A224,lmic_raw[],29,FALSE)*(1-interactive!$C$7)</f>
        <v>5.1220019500000054E-2</v>
      </c>
      <c r="AD224" s="98">
        <f>VLOOKUP($A224,lmic_raw[],30,FALSE)*(1-interactive!$C$7)</f>
        <v>4.856362466008444E-3</v>
      </c>
      <c r="AE224" s="98">
        <f>VLOOKUP($A224,lmic_raw[],31,FALSE)*(1-interactive!$C$7)</f>
        <v>1.3312215768755706E-3</v>
      </c>
      <c r="AF224" s="98">
        <f>VLOOKUP($A224,lmic_raw[],32,FALSE)*(1-interactive!$C$7)</f>
        <v>1.0401581021276709E-3</v>
      </c>
      <c r="AG224" s="98">
        <f>VLOOKUP($A224,lmic_raw[],33,FALSE)*(1-interactive!$C$7)</f>
        <v>1.6399982963431706E-3</v>
      </c>
      <c r="AH224" s="98">
        <f>VLOOKUP($A224,lmic_raw[],34,FALSE)*(1-interactive!$C$7)</f>
        <v>2.7221837874036228E-3</v>
      </c>
      <c r="AI224" s="98">
        <f>VLOOKUP($A224,lmic_raw[],35,FALSE)*(1-interactive!$C$7)</f>
        <v>4.1707275307711475E-3</v>
      </c>
      <c r="AJ224" s="98">
        <f>VLOOKUP($A224,lmic_raw[],36,FALSE)*(1-interactive!$C$7)</f>
        <v>5.7643347459793888E-3</v>
      </c>
      <c r="AK224" s="98">
        <f>VLOOKUP($A224,lmic_raw[],37,FALSE)*(1-interactive!$C$7)</f>
        <v>7.9949510529019642E-3</v>
      </c>
      <c r="AL224" s="98">
        <f>VLOOKUP($A224,lmic_raw[],38,FALSE)*(1-interactive!$C$7)</f>
        <v>9.5782106750065647E-3</v>
      </c>
      <c r="AM224" s="98">
        <f>VLOOKUP($A224,lmic_raw[],39,FALSE)*(1-interactive!$C$7)</f>
        <v>1.1270090558925644E-2</v>
      </c>
      <c r="AN224" s="98">
        <f>VLOOKUP($A224,lmic_raw[],40,FALSE)*(1-interactive!$C$7)</f>
        <v>1.379266152660532E-2</v>
      </c>
      <c r="AO224" s="98">
        <f>VLOOKUP($A224,lmic_raw[],41,FALSE)*(1-interactive!$C$7)</f>
        <v>1.7059467830708774E-2</v>
      </c>
      <c r="AP224" s="98">
        <f>VLOOKUP($A224,lmic_raw[],42,FALSE)*(1-interactive!$C$7)</f>
        <v>2.2998261987161421E-2</v>
      </c>
      <c r="AQ224" s="98">
        <f>VLOOKUP($A224,lmic_raw[],43,FALSE)*(1-interactive!$C$7)</f>
        <v>3.2626727217979108E-2</v>
      </c>
      <c r="AR224" s="98">
        <f>VLOOKUP($A224,lmic_raw[],44,FALSE)*(1-interactive!$C$7)</f>
        <v>4.7760692695172038E-2</v>
      </c>
      <c r="AS224" s="98">
        <f>VLOOKUP($A224,lmic_raw[],45,FALSE)*(1-interactive!$C$7)</f>
        <v>6.9878922432894036E-2</v>
      </c>
      <c r="AT224" s="98">
        <f>VLOOKUP($A224,lmic_raw[],46,FALSE)*(1-interactive!$C$7)</f>
        <v>0.10290583556713905</v>
      </c>
      <c r="AU224" s="98">
        <f>VLOOKUP($A224,lmic_raw[],47,FALSE)*(1-interactive!$C$7)</f>
        <v>0.14062568220594418</v>
      </c>
      <c r="AV224" s="98">
        <f>VLOOKUP($A224,lmic_raw[],48,FALSE)*(1-interactive!$C$7)</f>
        <v>0.16924857029673171</v>
      </c>
      <c r="AW224" s="98">
        <f>VLOOKUP($A224,lmic_raw[],49,FALSE)*(1-interactive!$C$7)</f>
        <v>0.1787038569630241</v>
      </c>
      <c r="AX224" s="98">
        <f>VLOOKUP($A224,lmic_raw[],50,FALSE)*(1-interactive!$C$7)</f>
        <v>57.051299999999998</v>
      </c>
    </row>
    <row r="225" spans="1:50" x14ac:dyDescent="0.25">
      <c r="A225" s="110" t="s">
        <v>216</v>
      </c>
      <c r="B225" s="104" t="s">
        <v>477</v>
      </c>
      <c r="C225" s="105">
        <v>104</v>
      </c>
      <c r="D225" s="122" t="s">
        <v>680</v>
      </c>
      <c r="E225" s="94" t="s">
        <v>598</v>
      </c>
      <c r="F225" s="94" t="s">
        <v>666</v>
      </c>
      <c r="G225" s="94" t="s">
        <v>678</v>
      </c>
      <c r="H225" s="98">
        <f>VLOOKUP(lmic_raw_lb[[#This Row],[setting]],lmic_raw[],8,FALSE)</f>
        <v>54045422</v>
      </c>
      <c r="I225" s="98">
        <f>VLOOKUP(lmic_raw_lb[[#This Row],[setting]],lmic_raw[],9,FALSE)</f>
        <v>956549.92397800006</v>
      </c>
      <c r="J225" s="94">
        <f>VLOOKUP($A225,lmic_raw[],10,FALSE)*(1-interactive!$C$7)</f>
        <v>0.35244999999999999</v>
      </c>
      <c r="K225" s="94">
        <f>VLOOKUP($A225,lmic_raw[],11,FALSE)*(1-interactive!$C$7)</f>
        <v>0.1615</v>
      </c>
      <c r="L225" s="94">
        <f>VLOOKUP($A225,lmic_raw[],12,FALSE)*(1-interactive!$C$7)</f>
        <v>0.85499999999999998</v>
      </c>
      <c r="M225" s="94">
        <f>IFERROR(VLOOKUP(lmic_raw_lb[[#This Row],[iso3]], hbv_prev[[iso3]:[ub]],3,FALSE)/100,0)</f>
        <v>2.8000000000000004E-3</v>
      </c>
      <c r="N225" s="94">
        <f>IFERROR(VLOOKUP(lmic_raw_lb[[#This Row],[setting]],hbe_prev[],4,FALSE),0)</f>
        <v>0.18100000000000002</v>
      </c>
      <c r="O225" s="94">
        <f>VLOOKUP(lmic_raw_lb[[#This Row],[gbd_super]],hbe_risk[],3,FALSE)</f>
        <v>0.7</v>
      </c>
      <c r="P225" s="94">
        <f>VLOOKUP(lmic_raw_lb[[#This Row],[gbd_super]],hbe_risk[],6,FALSE)</f>
        <v>0.05</v>
      </c>
      <c r="Q225" s="94">
        <f>VLOOKUP(lmic_raw_lb[[#This Row],[setting]],lmic_raw[],17,FALSE)*(1-interactive!$C$7)</f>
        <v>2.9199969358364246</v>
      </c>
      <c r="R225" s="98">
        <f>VLOOKUP(lmic_raw_lb[[#This Row],[setting]],lmic_raw[],18,FALSE)*(1-interactive!$C$7)</f>
        <v>69.430275000000009</v>
      </c>
      <c r="S225" s="98">
        <f>VLOOKUP(lmic_raw_lb[[#This Row],[setting]],lmic_raw[],19,FALSE)*(1-interactive!$C$7)</f>
        <v>114.785175</v>
      </c>
      <c r="T225" s="98">
        <f>VLOOKUP(lmic_raw_lb[[#This Row],[setting]],lmic_raw[],20,FALSE)*(1-interactive!$C$7)</f>
        <v>114.785175</v>
      </c>
      <c r="U225" s="98">
        <f>VLOOKUP(lmic_raw_lb[[#This Row],[setting]],lmic_raw[],21,FALSE)*(1-interactive!$C$7)</f>
        <v>114.785175</v>
      </c>
      <c r="V225" s="33">
        <f>IFERROR(VLOOKUP(lmic_raw_lb[[#This Row],[setting]],vcost_lb[],3,FALSE),0)</f>
        <v>1.0708493462489881</v>
      </c>
      <c r="W225" s="33">
        <f>IFERROR(VLOOKUP(lmic_raw_lb[[#This Row],[setting]],vcost_lb[],4,FALSE),0)</f>
        <v>1.671439346248988</v>
      </c>
      <c r="X225" s="33">
        <f>IFERROR(VLOOKUP(lmic_raw_lb[[#This Row],[setting]],vcost_lb[],5,FALSE),0)</f>
        <v>0.70535726654225905</v>
      </c>
      <c r="Y225" s="33">
        <f>IFERROR(VLOOKUP(lmic_raw_lb[[#This Row],[setting]],vcost_lb[],6,FALSE),0)</f>
        <v>1.3059472665422591</v>
      </c>
      <c r="Z225" s="33">
        <f>IFERROR(VLOOKUP(lmic_raw_lb[[#This Row],[setting]],vcost_lb[],7,FALSE),0)</f>
        <v>1.3035970613766859</v>
      </c>
      <c r="AA225" s="33">
        <f>IFERROR(VLOOKUP(lmic_raw_lb[[#This Row],[setting]],vcost_lb[],8,FALSE),0)</f>
        <v>1.2821303406446556</v>
      </c>
      <c r="AB225" s="33">
        <f>IFERROR(VLOOKUP(lmic_raw_lb[[#This Row],[setting]],vcost_lb[],9,FALSE),0)</f>
        <v>1.8827203406446555</v>
      </c>
      <c r="AC225" s="94">
        <f>VLOOKUP($A225,lmic_raw[],29,FALSE)*(1-interactive!$C$7)</f>
        <v>3.6499465499999988E-2</v>
      </c>
      <c r="AD225" s="94">
        <f>VLOOKUP($A225,lmic_raw[],30,FALSE)*(1-interactive!$C$7)</f>
        <v>2.3865035092105751E-3</v>
      </c>
      <c r="AE225" s="94">
        <f>VLOOKUP($A225,lmic_raw[],31,FALSE)*(1-interactive!$C$7)</f>
        <v>1.0192950197325081E-3</v>
      </c>
      <c r="AF225" s="94">
        <f>VLOOKUP($A225,lmic_raw[],32,FALSE)*(1-interactive!$C$7)</f>
        <v>8.2756855707476261E-4</v>
      </c>
      <c r="AG225" s="94">
        <f>VLOOKUP($A225,lmic_raw[],33,FALSE)*(1-interactive!$C$7)</f>
        <v>1.3413161150521613E-3</v>
      </c>
      <c r="AH225" s="94">
        <f>VLOOKUP($A225,lmic_raw[],34,FALSE)*(1-interactive!$C$7)</f>
        <v>1.8954846475889907E-3</v>
      </c>
      <c r="AI225" s="94">
        <f>VLOOKUP($A225,lmic_raw[],35,FALSE)*(1-interactive!$C$7)</f>
        <v>2.0536486819303086E-3</v>
      </c>
      <c r="AJ225" s="94">
        <f>VLOOKUP($A225,lmic_raw[],36,FALSE)*(1-interactive!$C$7)</f>
        <v>2.3638667828369954E-3</v>
      </c>
      <c r="AK225" s="94">
        <f>VLOOKUP($A225,lmic_raw[],37,FALSE)*(1-interactive!$C$7)</f>
        <v>2.9882626590387214E-3</v>
      </c>
      <c r="AL225" s="94">
        <f>VLOOKUP($A225,lmic_raw[],38,FALSE)*(1-interactive!$C$7)</f>
        <v>4.0336526595469123E-3</v>
      </c>
      <c r="AM225" s="94">
        <f>VLOOKUP($A225,lmic_raw[],39,FALSE)*(1-interactive!$C$7)</f>
        <v>5.7659155863809446E-3</v>
      </c>
      <c r="AN225" s="94">
        <f>VLOOKUP($A225,lmic_raw[],40,FALSE)*(1-interactive!$C$7)</f>
        <v>8.4519508108738158E-3</v>
      </c>
      <c r="AO225" s="94">
        <f>VLOOKUP($A225,lmic_raw[],41,FALSE)*(1-interactive!$C$7)</f>
        <v>1.2520934020103108E-2</v>
      </c>
      <c r="AP225" s="94">
        <f>VLOOKUP($A225,lmic_raw[],42,FALSE)*(1-interactive!$C$7)</f>
        <v>1.891476914136217E-2</v>
      </c>
      <c r="AQ225" s="94">
        <f>VLOOKUP($A225,lmic_raw[],43,FALSE)*(1-interactive!$C$7)</f>
        <v>2.8989960993456389E-2</v>
      </c>
      <c r="AR225" s="94">
        <f>VLOOKUP($A225,lmic_raw[],44,FALSE)*(1-interactive!$C$7)</f>
        <v>4.482126722495669E-2</v>
      </c>
      <c r="AS225" s="94">
        <f>VLOOKUP($A225,lmic_raw[],45,FALSE)*(1-interactive!$C$7)</f>
        <v>6.7378635027513234E-2</v>
      </c>
      <c r="AT225" s="94">
        <f>VLOOKUP($A225,lmic_raw[],46,FALSE)*(1-interactive!$C$7)</f>
        <v>9.7036107213252967E-2</v>
      </c>
      <c r="AU225" s="94">
        <f>VLOOKUP($A225,lmic_raw[],47,FALSE)*(1-interactive!$C$7)</f>
        <v>0.12844851345922201</v>
      </c>
      <c r="AV225" s="94">
        <f>VLOOKUP($A225,lmic_raw[],48,FALSE)*(1-interactive!$C$7)</f>
        <v>0.15398833038853049</v>
      </c>
      <c r="AW225" s="94">
        <f>VLOOKUP($A225,lmic_raw[],49,FALSE)*(1-interactive!$C$7)</f>
        <v>0.17052376186149343</v>
      </c>
      <c r="AX225" s="94">
        <f>VLOOKUP($A225,lmic_raw[],50,FALSE)*(1-interactive!$C$7)</f>
        <v>63.421049999999994</v>
      </c>
    </row>
    <row r="226" spans="1:50" x14ac:dyDescent="0.25">
      <c r="A226" s="109" t="s">
        <v>135</v>
      </c>
      <c r="B226" s="101" t="s">
        <v>478</v>
      </c>
      <c r="C226" s="102">
        <v>516</v>
      </c>
      <c r="D226" s="121" t="s">
        <v>677</v>
      </c>
      <c r="E226" s="98" t="s">
        <v>594</v>
      </c>
      <c r="F226" s="98" t="s">
        <v>667</v>
      </c>
      <c r="G226" s="98" t="s">
        <v>676</v>
      </c>
      <c r="H226" s="98">
        <f>VLOOKUP(lmic_raw_lb[[#This Row],[setting]],lmic_raw[],8,FALSE)</f>
        <v>2494524</v>
      </c>
      <c r="I226" s="98">
        <f>VLOOKUP(lmic_raw_lb[[#This Row],[setting]],lmic_raw[],9,FALSE)</f>
        <v>71929.599539999996</v>
      </c>
      <c r="J226" s="98">
        <f>VLOOKUP($A226,lmic_raw[],10,FALSE)*(1-interactive!$C$7)</f>
        <v>0.83030000000000004</v>
      </c>
      <c r="K226" s="98">
        <f>VLOOKUP($A226,lmic_raw[],11,FALSE)*(1-interactive!$C$7)</f>
        <v>0.76949999999999996</v>
      </c>
      <c r="L226" s="98">
        <f>VLOOKUP($A226,lmic_raw[],12,FALSE)*(1-interactive!$C$7)</f>
        <v>0.82650000000000001</v>
      </c>
      <c r="M226" s="98">
        <f>IFERROR(VLOOKUP(lmic_raw_lb[[#This Row],[iso3]], hbv_prev[[iso3]:[ub]],3,FALSE)/100,0)</f>
        <v>1.8200000000000001E-2</v>
      </c>
      <c r="N226" s="98">
        <f>IFERROR(VLOOKUP(lmic_raw_lb[[#This Row],[setting]],hbe_prev[],4,FALSE),0)</f>
        <v>0.15109999999999998</v>
      </c>
      <c r="O226" s="98">
        <f>VLOOKUP(lmic_raw_lb[[#This Row],[gbd_super]],hbe_risk[],3,FALSE)</f>
        <v>7.0000000000000007E-2</v>
      </c>
      <c r="P226" s="98">
        <f>VLOOKUP(lmic_raw_lb[[#This Row],[gbd_super]],hbe_risk[],6,FALSE)</f>
        <v>1E-3</v>
      </c>
      <c r="Q226" s="98">
        <f>VLOOKUP(lmic_raw_lb[[#This Row],[setting]],lmic_raw[],17,FALSE)*(1-interactive!$C$7)</f>
        <v>8.6705517372516603</v>
      </c>
      <c r="R226" s="98">
        <f>VLOOKUP(lmic_raw_lb[[#This Row],[setting]],lmic_raw[],18,FALSE)*(1-interactive!$C$7)</f>
        <v>28.424474999999997</v>
      </c>
      <c r="S226" s="98">
        <f>VLOOKUP(lmic_raw_lb[[#This Row],[setting]],lmic_raw[],19,FALSE)*(1-interactive!$C$7)</f>
        <v>73.779375000000002</v>
      </c>
      <c r="T226" s="98">
        <f>VLOOKUP(lmic_raw_lb[[#This Row],[setting]],lmic_raw[],20,FALSE)*(1-interactive!$C$7)</f>
        <v>73.779375000000002</v>
      </c>
      <c r="U226" s="98">
        <f>VLOOKUP(lmic_raw_lb[[#This Row],[setting]],lmic_raw[],21,FALSE)*(1-interactive!$C$7)</f>
        <v>73.779375000000002</v>
      </c>
      <c r="V226" s="33">
        <f>IFERROR(VLOOKUP(lmic_raw_lb[[#This Row],[setting]],vcost_lb[],3,FALSE),0)</f>
        <v>2.5605012118688131</v>
      </c>
      <c r="W226" s="33">
        <f>IFERROR(VLOOKUP(lmic_raw_lb[[#This Row],[setting]],vcost_lb[],4,FALSE),0)</f>
        <v>7.147766211868813</v>
      </c>
      <c r="X226" s="33">
        <f>IFERROR(VLOOKUP(lmic_raw_lb[[#This Row],[setting]],vcost_lb[],5,FALSE),0)</f>
        <v>2.1923524816127444</v>
      </c>
      <c r="Y226" s="33">
        <f>IFERROR(VLOOKUP(lmic_raw_lb[[#This Row],[setting]],vcost_lb[],6,FALSE),0)</f>
        <v>6.7796174816127444</v>
      </c>
      <c r="Z226" s="33">
        <f>IFERROR(VLOOKUP(lmic_raw_lb[[#This Row],[setting]],vcost_lb[],7,FALSE),0)</f>
        <v>6.7758377590192467</v>
      </c>
      <c r="AA226" s="33">
        <f>IFERROR(VLOOKUP(lmic_raw_lb[[#This Row],[setting]],vcost_lb[],8,FALSE),0)</f>
        <v>2.772920770785626</v>
      </c>
      <c r="AB226" s="33">
        <f>IFERROR(VLOOKUP(lmic_raw_lb[[#This Row],[setting]],vcost_lb[],9,FALSE),0)</f>
        <v>7.3601857707856269</v>
      </c>
      <c r="AC226" s="98">
        <f>VLOOKUP($A226,lmic_raw[],29,FALSE)*(1-interactive!$C$7)</f>
        <v>3.1724204999999998E-2</v>
      </c>
      <c r="AD226" s="98">
        <f>VLOOKUP($A226,lmic_raw[],30,FALSE)*(1-interactive!$C$7)</f>
        <v>2.7445204928874503E-3</v>
      </c>
      <c r="AE226" s="98">
        <f>VLOOKUP($A226,lmic_raw[],31,FALSE)*(1-interactive!$C$7)</f>
        <v>1.1635121142374067E-3</v>
      </c>
      <c r="AF226" s="98">
        <f>VLOOKUP($A226,lmic_raw[],32,FALSE)*(1-interactive!$C$7)</f>
        <v>9.3902794006062856E-4</v>
      </c>
      <c r="AG226" s="98">
        <f>VLOOKUP($A226,lmic_raw[],33,FALSE)*(1-interactive!$C$7)</f>
        <v>1.5819636691246455E-3</v>
      </c>
      <c r="AH226" s="98">
        <f>VLOOKUP($A226,lmic_raw[],34,FALSE)*(1-interactive!$C$7)</f>
        <v>2.585918502122185E-3</v>
      </c>
      <c r="AI226" s="98">
        <f>VLOOKUP($A226,lmic_raw[],35,FALSE)*(1-interactive!$C$7)</f>
        <v>3.7259428067210752E-3</v>
      </c>
      <c r="AJ226" s="98">
        <f>VLOOKUP($A226,lmic_raw[],36,FALSE)*(1-interactive!$C$7)</f>
        <v>4.9597843819352413E-3</v>
      </c>
      <c r="AK226" s="98">
        <f>VLOOKUP($A226,lmic_raw[],37,FALSE)*(1-interactive!$C$7)</f>
        <v>6.6948018620077987E-3</v>
      </c>
      <c r="AL226" s="98">
        <f>VLOOKUP($A226,lmic_raw[],38,FALSE)*(1-interactive!$C$7)</f>
        <v>8.1939252537602415E-3</v>
      </c>
      <c r="AM226" s="98">
        <f>VLOOKUP($A226,lmic_raw[],39,FALSE)*(1-interactive!$C$7)</f>
        <v>9.9918977995677189E-3</v>
      </c>
      <c r="AN226" s="98">
        <f>VLOOKUP($A226,lmic_raw[],40,FALSE)*(1-interactive!$C$7)</f>
        <v>1.2786166821256759E-2</v>
      </c>
      <c r="AO226" s="98">
        <f>VLOOKUP($A226,lmic_raw[],41,FALSE)*(1-interactive!$C$7)</f>
        <v>1.5992361336201653E-2</v>
      </c>
      <c r="AP226" s="98">
        <f>VLOOKUP($A226,lmic_raw[],42,FALSE)*(1-interactive!$C$7)</f>
        <v>2.1914537153476174E-2</v>
      </c>
      <c r="AQ226" s="98">
        <f>VLOOKUP($A226,lmic_raw[],43,FALSE)*(1-interactive!$C$7)</f>
        <v>3.1774691806230659E-2</v>
      </c>
      <c r="AR226" s="98">
        <f>VLOOKUP($A226,lmic_raw[],44,FALSE)*(1-interactive!$C$7)</f>
        <v>4.7257267440035083E-2</v>
      </c>
      <c r="AS226" s="98">
        <f>VLOOKUP($A226,lmic_raw[],45,FALSE)*(1-interactive!$C$7)</f>
        <v>6.9551744124068476E-2</v>
      </c>
      <c r="AT226" s="98">
        <f>VLOOKUP($A226,lmic_raw[],46,FALSE)*(1-interactive!$C$7)</f>
        <v>0.10197397665093527</v>
      </c>
      <c r="AU226" s="98">
        <f>VLOOKUP($A226,lmic_raw[],47,FALSE)*(1-interactive!$C$7)</f>
        <v>0.13949468516599511</v>
      </c>
      <c r="AV226" s="98">
        <f>VLOOKUP($A226,lmic_raw[],48,FALSE)*(1-interactive!$C$7)</f>
        <v>0.16911516525652456</v>
      </c>
      <c r="AW226" s="98">
        <f>VLOOKUP($A226,lmic_raw[],49,FALSE)*(1-interactive!$C$7)</f>
        <v>0.17910810637073443</v>
      </c>
      <c r="AX226" s="98">
        <f>VLOOKUP($A226,lmic_raw[],50,FALSE)*(1-interactive!$C$7)</f>
        <v>59.872799999999998</v>
      </c>
    </row>
    <row r="227" spans="1:50" x14ac:dyDescent="0.25">
      <c r="A227" s="110" t="s">
        <v>291</v>
      </c>
      <c r="B227" s="104" t="s">
        <v>479</v>
      </c>
      <c r="C227" s="105">
        <v>520</v>
      </c>
      <c r="D227" s="122" t="s">
        <v>681</v>
      </c>
      <c r="E227" s="94" t="s">
        <v>98</v>
      </c>
      <c r="F227" s="94" t="s">
        <v>666</v>
      </c>
      <c r="G227" s="94" t="s">
        <v>676</v>
      </c>
      <c r="H227" s="98">
        <f>VLOOKUP(lmic_raw_lb[[#This Row],[setting]],lmic_raw[],8,FALSE)</f>
        <v>10764</v>
      </c>
      <c r="I227" s="98">
        <f>VLOOKUP(lmic_raw_lb[[#This Row],[setting]],lmic_raw[],9,FALSE)</f>
        <v>231.31835999999996</v>
      </c>
      <c r="J227" s="94">
        <f>VLOOKUP($A227,lmic_raw[],10,FALSE)*(1-interactive!$C$7)</f>
        <v>0.93764999999999998</v>
      </c>
      <c r="K227" s="94">
        <f>VLOOKUP($A227,lmic_raw[],11,FALSE)*(1-interactive!$C$7)</f>
        <v>0.9405</v>
      </c>
      <c r="L227" s="94">
        <f>VLOOKUP($A227,lmic_raw[],12,FALSE)*(1-interactive!$C$7)</f>
        <v>0.91199999999999992</v>
      </c>
      <c r="M227" s="94">
        <f>IFERROR(VLOOKUP(lmic_raw_lb[[#This Row],[iso3]], hbv_prev[[iso3]:[ub]],3,FALSE)/100,0)</f>
        <v>9.9600000000000008E-2</v>
      </c>
      <c r="N227" s="94">
        <f>IFERROR(VLOOKUP(lmic_raw_lb[[#This Row],[setting]],hbe_prev[],4,FALSE),0)</f>
        <v>0</v>
      </c>
      <c r="O227" s="94">
        <f>VLOOKUP(lmic_raw_lb[[#This Row],[gbd_super]],hbe_risk[],3,FALSE)</f>
        <v>0.7</v>
      </c>
      <c r="P227" s="94">
        <f>VLOOKUP(lmic_raw_lb[[#This Row],[gbd_super]],hbe_risk[],6,FALSE)</f>
        <v>0.05</v>
      </c>
      <c r="Q227" s="94">
        <f>VLOOKUP(lmic_raw_lb[[#This Row],[setting]],lmic_raw[],17,FALSE)*(1-interactive!$C$7)</f>
        <v>5.7727231412443754</v>
      </c>
      <c r="R227" s="98">
        <f>VLOOKUP(lmic_raw_lb[[#This Row],[setting]],lmic_raw[],18,FALSE)*(1-interactive!$C$7)</f>
        <v>69.430275000000009</v>
      </c>
      <c r="S227" s="98">
        <f>VLOOKUP(lmic_raw_lb[[#This Row],[setting]],lmic_raw[],19,FALSE)*(1-interactive!$C$7)</f>
        <v>114.785175</v>
      </c>
      <c r="T227" s="98">
        <f>VLOOKUP(lmic_raw_lb[[#This Row],[setting]],lmic_raw[],20,FALSE)*(1-interactive!$C$7)</f>
        <v>114.785175</v>
      </c>
      <c r="U227" s="98">
        <f>VLOOKUP(lmic_raw_lb[[#This Row],[setting]],lmic_raw[],21,FALSE)*(1-interactive!$C$7)</f>
        <v>114.785175</v>
      </c>
      <c r="V227" s="33">
        <f>IFERROR(VLOOKUP(lmic_raw_lb[[#This Row],[setting]],vcost_lb[],3,FALSE),0)</f>
        <v>0.39006053630933185</v>
      </c>
      <c r="W227" s="33">
        <f>IFERROR(VLOOKUP(lmic_raw_lb[[#This Row],[setting]],vcost_lb[],4,FALSE),0)</f>
        <v>0.99065053630933186</v>
      </c>
      <c r="X227" s="33">
        <f>IFERROR(VLOOKUP(lmic_raw_lb[[#This Row],[setting]],vcost_lb[],5,FALSE),0)</f>
        <v>1.6493260695402381E-2</v>
      </c>
      <c r="Y227" s="33">
        <f>IFERROR(VLOOKUP(lmic_raw_lb[[#This Row],[setting]],vcost_lb[],6,FALSE),0)</f>
        <v>0.61708326069540231</v>
      </c>
      <c r="Z227" s="33">
        <f>IFERROR(VLOOKUP(lmic_raw_lb[[#This Row],[setting]],vcost_lb[],7,FALSE),0)</f>
        <v>0.61001598499757248</v>
      </c>
      <c r="AA227" s="33">
        <f>IFERROR(VLOOKUP(lmic_raw_lb[[#This Row],[setting]],vcost_lb[],8,FALSE),0)</f>
        <v>0.60480232895094221</v>
      </c>
      <c r="AB227" s="33">
        <f>IFERROR(VLOOKUP(lmic_raw_lb[[#This Row],[setting]],vcost_lb[],9,FALSE),0)</f>
        <v>1.2053923289509423</v>
      </c>
      <c r="AC227" s="94">
        <f>VLOOKUP($A227,lmic_raw[],29,FALSE)*(1-interactive!$C$7)</f>
        <v>0</v>
      </c>
      <c r="AD227" s="94">
        <f>VLOOKUP($A227,lmic_raw[],30,FALSE)*(1-interactive!$C$7)</f>
        <v>0</v>
      </c>
      <c r="AE227" s="94">
        <f>VLOOKUP($A227,lmic_raw[],31,FALSE)*(1-interactive!$C$7)</f>
        <v>0</v>
      </c>
      <c r="AF227" s="94">
        <f>VLOOKUP($A227,lmic_raw[],32,FALSE)*(1-interactive!$C$7)</f>
        <v>0</v>
      </c>
      <c r="AG227" s="94">
        <f>VLOOKUP($A227,lmic_raw[],33,FALSE)*(1-interactive!$C$7)</f>
        <v>0</v>
      </c>
      <c r="AH227" s="94">
        <f>VLOOKUP($A227,lmic_raw[],34,FALSE)*(1-interactive!$C$7)</f>
        <v>0</v>
      </c>
      <c r="AI227" s="94">
        <f>VLOOKUP($A227,lmic_raw[],35,FALSE)*(1-interactive!$C$7)</f>
        <v>0</v>
      </c>
      <c r="AJ227" s="94">
        <f>VLOOKUP($A227,lmic_raw[],36,FALSE)*(1-interactive!$C$7)</f>
        <v>0</v>
      </c>
      <c r="AK227" s="94">
        <f>VLOOKUP($A227,lmic_raw[],37,FALSE)*(1-interactive!$C$7)</f>
        <v>0</v>
      </c>
      <c r="AL227" s="94">
        <f>VLOOKUP($A227,lmic_raw[],38,FALSE)*(1-interactive!$C$7)</f>
        <v>0</v>
      </c>
      <c r="AM227" s="94">
        <f>VLOOKUP($A227,lmic_raw[],39,FALSE)*(1-interactive!$C$7)</f>
        <v>0</v>
      </c>
      <c r="AN227" s="94">
        <f>VLOOKUP($A227,lmic_raw[],40,FALSE)*(1-interactive!$C$7)</f>
        <v>0</v>
      </c>
      <c r="AO227" s="94">
        <f>VLOOKUP($A227,lmic_raw[],41,FALSE)*(1-interactive!$C$7)</f>
        <v>0</v>
      </c>
      <c r="AP227" s="94">
        <f>VLOOKUP($A227,lmic_raw[],42,FALSE)*(1-interactive!$C$7)</f>
        <v>0</v>
      </c>
      <c r="AQ227" s="94">
        <f>VLOOKUP($A227,lmic_raw[],43,FALSE)*(1-interactive!$C$7)</f>
        <v>0</v>
      </c>
      <c r="AR227" s="94">
        <f>VLOOKUP($A227,lmic_raw[],44,FALSE)*(1-interactive!$C$7)</f>
        <v>0</v>
      </c>
      <c r="AS227" s="94">
        <f>VLOOKUP($A227,lmic_raw[],45,FALSE)*(1-interactive!$C$7)</f>
        <v>0</v>
      </c>
      <c r="AT227" s="94">
        <f>VLOOKUP($A227,lmic_raw[],46,FALSE)*(1-interactive!$C$7)</f>
        <v>0</v>
      </c>
      <c r="AU227" s="94">
        <f>VLOOKUP($A227,lmic_raw[],47,FALSE)*(1-interactive!$C$7)</f>
        <v>0</v>
      </c>
      <c r="AV227" s="94">
        <f>VLOOKUP($A227,lmic_raw[],48,FALSE)*(1-interactive!$C$7)</f>
        <v>0</v>
      </c>
      <c r="AW227" s="94">
        <f>VLOOKUP($A227,lmic_raw[],49,FALSE)*(1-interactive!$C$7)</f>
        <v>0</v>
      </c>
      <c r="AX227" s="94">
        <f>VLOOKUP($A227,lmic_raw[],50,FALSE)*(1-interactive!$C$7)</f>
        <v>0</v>
      </c>
    </row>
    <row r="228" spans="1:50" x14ac:dyDescent="0.25">
      <c r="A228" s="109" t="s">
        <v>197</v>
      </c>
      <c r="B228" s="101" t="s">
        <v>480</v>
      </c>
      <c r="C228" s="102">
        <v>524</v>
      </c>
      <c r="D228" s="121" t="s">
        <v>680</v>
      </c>
      <c r="E228" s="98" t="s">
        <v>589</v>
      </c>
      <c r="F228" s="98" t="s">
        <v>589</v>
      </c>
      <c r="G228" s="98" t="s">
        <v>674</v>
      </c>
      <c r="H228" s="98">
        <f>VLOOKUP(lmic_raw_lb[[#This Row],[setting]],lmic_raw[],8,FALSE)</f>
        <v>28608715</v>
      </c>
      <c r="I228" s="98">
        <f>VLOOKUP(lmic_raw_lb[[#This Row],[setting]],lmic_raw[],9,FALSE)</f>
        <v>572717.8655849999</v>
      </c>
      <c r="J228" s="98">
        <f>VLOOKUP($A228,lmic_raw[],10,FALSE)*(1-interactive!$C$7)</f>
        <v>0.5452999999999999</v>
      </c>
      <c r="K228" s="98">
        <f>VLOOKUP($A228,lmic_raw[],11,FALSE)*(1-interactive!$C$7)</f>
        <v>0</v>
      </c>
      <c r="L228" s="98">
        <f>VLOOKUP($A228,lmic_raw[],12,FALSE)*(1-interactive!$C$7)</f>
        <v>0.88349999999999995</v>
      </c>
      <c r="M228" s="98">
        <f>IFERROR(VLOOKUP(lmic_raw_lb[[#This Row],[iso3]], hbv_prev[[iso3]:[ub]],3,FALSE)/100,0)</f>
        <v>6.6E-3</v>
      </c>
      <c r="N228" s="98">
        <f>IFERROR(VLOOKUP(lmic_raw_lb[[#This Row],[setting]],hbe_prev[],4,FALSE),0)</f>
        <v>0.1482</v>
      </c>
      <c r="O228" s="98">
        <f>VLOOKUP(lmic_raw_lb[[#This Row],[gbd_super]],hbe_risk[],3,FALSE)</f>
        <v>0.7</v>
      </c>
      <c r="P228" s="98">
        <f>VLOOKUP(lmic_raw_lb[[#This Row],[gbd_super]],hbe_risk[],6,FALSE)</f>
        <v>0.05</v>
      </c>
      <c r="Q228" s="98">
        <f>VLOOKUP(lmic_raw_lb[[#This Row],[setting]],lmic_raw[],17,FALSE)*(1-interactive!$C$7)</f>
        <v>2.5704534086915767</v>
      </c>
      <c r="R228" s="98">
        <f>VLOOKUP(lmic_raw_lb[[#This Row],[setting]],lmic_raw[],18,FALSE)*(1-interactive!$C$7)</f>
        <v>43.604905000000002</v>
      </c>
      <c r="S228" s="98">
        <f>VLOOKUP(lmic_raw_lb[[#This Row],[setting]],lmic_raw[],19,FALSE)*(1-interactive!$C$7)</f>
        <v>88.959805000000003</v>
      </c>
      <c r="T228" s="98">
        <f>VLOOKUP(lmic_raw_lb[[#This Row],[setting]],lmic_raw[],20,FALSE)*(1-interactive!$C$7)</f>
        <v>88.959805000000003</v>
      </c>
      <c r="U228" s="98">
        <f>VLOOKUP(lmic_raw_lb[[#This Row],[setting]],lmic_raw[],21,FALSE)*(1-interactive!$C$7)</f>
        <v>88.959805000000003</v>
      </c>
      <c r="V228" s="33">
        <f>IFERROR(VLOOKUP(lmic_raw_lb[[#This Row],[setting]],vcost_lb[],3,FALSE),0)</f>
        <v>1.1850954871253119</v>
      </c>
      <c r="W228" s="33">
        <f>IFERROR(VLOOKUP(lmic_raw_lb[[#This Row],[setting]],vcost_lb[],4,FALSE),0)</f>
        <v>3.5125954871253118</v>
      </c>
      <c r="X228" s="33">
        <f>IFERROR(VLOOKUP(lmic_raw_lb[[#This Row],[setting]],vcost_lb[],5,FALSE),0)</f>
        <v>0.81921381999892007</v>
      </c>
      <c r="Y228" s="33">
        <f>IFERROR(VLOOKUP(lmic_raw_lb[[#This Row],[setting]],vcost_lb[],6,FALSE),0)</f>
        <v>3.1467138199989204</v>
      </c>
      <c r="Z228" s="33">
        <f>IFERROR(VLOOKUP(lmic_raw_lb[[#This Row],[setting]],vcost_lb[],7,FALSE),0)</f>
        <v>3.1442577838071375</v>
      </c>
      <c r="AA228" s="33">
        <f>IFERROR(VLOOKUP(lmic_raw_lb[[#This Row],[setting]],vcost_lb[],8,FALSE),0)</f>
        <v>1.3965434475579777</v>
      </c>
      <c r="AB228" s="33">
        <f>IFERROR(VLOOKUP(lmic_raw_lb[[#This Row],[setting]],vcost_lb[],9,FALSE),0)</f>
        <v>3.7240434475579778</v>
      </c>
      <c r="AC228" s="98">
        <f>VLOOKUP($A228,lmic_raw[],29,FALSE)*(1-interactive!$C$7)</f>
        <v>2.6545451000000015E-2</v>
      </c>
      <c r="AD228" s="98">
        <f>VLOOKUP($A228,lmic_raw[],30,FALSE)*(1-interactive!$C$7)</f>
        <v>1.3909836725489043E-3</v>
      </c>
      <c r="AE228" s="98">
        <f>VLOOKUP($A228,lmic_raw[],31,FALSE)*(1-interactive!$C$7)</f>
        <v>5.6747491603321857E-4</v>
      </c>
      <c r="AF228" s="98">
        <f>VLOOKUP($A228,lmic_raw[],32,FALSE)*(1-interactive!$C$7)</f>
        <v>4.6501464148559899E-4</v>
      </c>
      <c r="AG228" s="98">
        <f>VLOOKUP($A228,lmic_raw[],33,FALSE)*(1-interactive!$C$7)</f>
        <v>8.1649669985534642E-4</v>
      </c>
      <c r="AH228" s="98">
        <f>VLOOKUP($A228,lmic_raw[],34,FALSE)*(1-interactive!$C$7)</f>
        <v>1.127915250751052E-3</v>
      </c>
      <c r="AI228" s="98">
        <f>VLOOKUP($A228,lmic_raw[],35,FALSE)*(1-interactive!$C$7)</f>
        <v>1.2255917151599524E-3</v>
      </c>
      <c r="AJ228" s="98">
        <f>VLOOKUP($A228,lmic_raw[],36,FALSE)*(1-interactive!$C$7)</f>
        <v>1.4428965725559679E-3</v>
      </c>
      <c r="AK228" s="98">
        <f>VLOOKUP($A228,lmic_raw[],37,FALSE)*(1-interactive!$C$7)</f>
        <v>1.884744347575717E-3</v>
      </c>
      <c r="AL228" s="98">
        <f>VLOOKUP($A228,lmic_raw[],38,FALSE)*(1-interactive!$C$7)</f>
        <v>2.7077414869851909E-3</v>
      </c>
      <c r="AM228" s="98">
        <f>VLOOKUP($A228,lmic_raw[],39,FALSE)*(1-interactive!$C$7)</f>
        <v>4.2316656620476041E-3</v>
      </c>
      <c r="AN228" s="98">
        <f>VLOOKUP($A228,lmic_raw[],40,FALSE)*(1-interactive!$C$7)</f>
        <v>6.6046061303757803E-3</v>
      </c>
      <c r="AO228" s="98">
        <f>VLOOKUP($A228,lmic_raw[],41,FALSE)*(1-interactive!$C$7)</f>
        <v>1.0404027703424728E-2</v>
      </c>
      <c r="AP228" s="98">
        <f>VLOOKUP($A228,lmic_raw[],42,FALSE)*(1-interactive!$C$7)</f>
        <v>1.6321855280767666E-2</v>
      </c>
      <c r="AQ228" s="98">
        <f>VLOOKUP($A228,lmic_raw[],43,FALSE)*(1-interactive!$C$7)</f>
        <v>2.5898110847068209E-2</v>
      </c>
      <c r="AR228" s="98">
        <f>VLOOKUP($A228,lmic_raw[],44,FALSE)*(1-interactive!$C$7)</f>
        <v>4.1048853815573716E-2</v>
      </c>
      <c r="AS228" s="98">
        <f>VLOOKUP($A228,lmic_raw[],45,FALSE)*(1-interactive!$C$7)</f>
        <v>6.3434359263953521E-2</v>
      </c>
      <c r="AT228" s="98">
        <f>VLOOKUP($A228,lmic_raw[],46,FALSE)*(1-interactive!$C$7)</f>
        <v>9.3705080727038773E-2</v>
      </c>
      <c r="AU228" s="98">
        <f>VLOOKUP($A228,lmic_raw[],47,FALSE)*(1-interactive!$C$7)</f>
        <v>0.12635839879288988</v>
      </c>
      <c r="AV228" s="98">
        <f>VLOOKUP($A228,lmic_raw[],48,FALSE)*(1-interactive!$C$7)</f>
        <v>0.15313669618889267</v>
      </c>
      <c r="AW228" s="98">
        <f>VLOOKUP($A228,lmic_raw[],49,FALSE)*(1-interactive!$C$7)</f>
        <v>0.17039284856014719</v>
      </c>
      <c r="AX228" s="98">
        <f>VLOOKUP($A228,lmic_raw[],50,FALSE)*(1-interactive!$C$7)</f>
        <v>66.790700000000001</v>
      </c>
    </row>
    <row r="229" spans="1:50" x14ac:dyDescent="0.25">
      <c r="A229" s="110" t="s">
        <v>259</v>
      </c>
      <c r="B229" s="104" t="s">
        <v>482</v>
      </c>
      <c r="C229" s="105">
        <v>558</v>
      </c>
      <c r="D229" s="122" t="s">
        <v>679</v>
      </c>
      <c r="E229" s="94" t="s">
        <v>604</v>
      </c>
      <c r="F229" s="94" t="s">
        <v>665</v>
      </c>
      <c r="G229" s="94" t="s">
        <v>678</v>
      </c>
      <c r="H229" s="98">
        <f>VLOOKUP(lmic_raw_lb[[#This Row],[setting]],lmic_raw[],8,FALSE)</f>
        <v>6545503</v>
      </c>
      <c r="I229" s="98">
        <f>VLOOKUP(lmic_raw_lb[[#This Row],[setting]],lmic_raw[],9,FALSE)</f>
        <v>136585.01110100001</v>
      </c>
      <c r="J229" s="94">
        <f>VLOOKUP($A229,lmic_raw[],10,FALSE)*(1-interactive!$C$7)</f>
        <v>0.67449999999999999</v>
      </c>
      <c r="K229" s="94">
        <f>VLOOKUP($A229,lmic_raw[],11,FALSE)*(1-interactive!$C$7)</f>
        <v>0</v>
      </c>
      <c r="L229" s="94">
        <f>VLOOKUP($A229,lmic_raw[],12,FALSE)*(1-interactive!$C$7)</f>
        <v>0.93099999999999994</v>
      </c>
      <c r="M229" s="94">
        <f>IFERROR(VLOOKUP(lmic_raw_lb[[#This Row],[iso3]], hbv_prev[[iso3]:[ub]],3,FALSE)/100,0)</f>
        <v>1.9E-3</v>
      </c>
      <c r="N229" s="94">
        <f>IFERROR(VLOOKUP(lmic_raw_lb[[#This Row],[setting]],hbe_prev[],4,FALSE),0)</f>
        <v>0.16440000000000002</v>
      </c>
      <c r="O229" s="94">
        <f>VLOOKUP(lmic_raw_lb[[#This Row],[gbd_super]],hbe_risk[],3,FALSE)</f>
        <v>0.7</v>
      </c>
      <c r="P229" s="94">
        <f>VLOOKUP(lmic_raw_lb[[#This Row],[gbd_super]],hbe_risk[],6,FALSE)</f>
        <v>0.05</v>
      </c>
      <c r="Q229" s="94">
        <f>VLOOKUP(lmic_raw_lb[[#This Row],[setting]],lmic_raw[],17,FALSE)*(1-interactive!$C$7)</f>
        <v>0</v>
      </c>
      <c r="R229" s="98">
        <f>VLOOKUP(lmic_raw_lb[[#This Row],[setting]],lmic_raw[],18,FALSE)*(1-interactive!$C$7)</f>
        <v>82.539704999999998</v>
      </c>
      <c r="S229" s="98">
        <f>VLOOKUP(lmic_raw_lb[[#This Row],[setting]],lmic_raw[],19,FALSE)*(1-interactive!$C$7)</f>
        <v>127.894605</v>
      </c>
      <c r="T229" s="98">
        <f>VLOOKUP(lmic_raw_lb[[#This Row],[setting]],lmic_raw[],20,FALSE)*(1-interactive!$C$7)</f>
        <v>127.894605</v>
      </c>
      <c r="U229" s="98">
        <f>VLOOKUP(lmic_raw_lb[[#This Row],[setting]],lmic_raw[],21,FALSE)*(1-interactive!$C$7)</f>
        <v>127.894605</v>
      </c>
      <c r="V229" s="33">
        <f>IFERROR(VLOOKUP(lmic_raw_lb[[#This Row],[setting]],vcost_lb[],3,FALSE),0)</f>
        <v>1.9802402483921091</v>
      </c>
      <c r="W229" s="33">
        <f>IFERROR(VLOOKUP(lmic_raw_lb[[#This Row],[setting]],vcost_lb[],4,FALSE),0)</f>
        <v>2.0009502483921091</v>
      </c>
      <c r="X229" s="33">
        <f>IFERROR(VLOOKUP(lmic_raw_lb[[#This Row],[setting]],vcost_lb[],5,FALSE),0)</f>
        <v>1.6135166207440947</v>
      </c>
      <c r="Y229" s="33">
        <f>IFERROR(VLOOKUP(lmic_raw_lb[[#This Row],[setting]],vcost_lb[],6,FALSE),0)</f>
        <v>1.6342266207440947</v>
      </c>
      <c r="Z229" s="33">
        <f>IFERROR(VLOOKUP(lmic_raw_lb[[#This Row],[setting]],vcost_lb[],7,FALSE),0)</f>
        <v>1.6310524143432938</v>
      </c>
      <c r="AA229" s="33">
        <f>IFERROR(VLOOKUP(lmic_raw_lb[[#This Row],[setting]],vcost_lb[],8,FALSE),0)</f>
        <v>2.1920490490483271</v>
      </c>
      <c r="AB229" s="33">
        <f>IFERROR(VLOOKUP(lmic_raw_lb[[#This Row],[setting]],vcost_lb[],9,FALSE),0)</f>
        <v>2.2127590490483269</v>
      </c>
      <c r="AC229" s="94">
        <f>VLOOKUP($A229,lmic_raw[],29,FALSE)*(1-interactive!$C$7)</f>
        <v>1.5944828500000053E-2</v>
      </c>
      <c r="AD229" s="94">
        <f>VLOOKUP($A229,lmic_raw[],30,FALSE)*(1-interactive!$C$7)</f>
        <v>8.3740337842558505E-4</v>
      </c>
      <c r="AE229" s="94">
        <f>VLOOKUP($A229,lmic_raw[],31,FALSE)*(1-interactive!$C$7)</f>
        <v>4.3792634123399331E-4</v>
      </c>
      <c r="AF229" s="94">
        <f>VLOOKUP($A229,lmic_raw[],32,FALSE)*(1-interactive!$C$7)</f>
        <v>4.3765516254758364E-4</v>
      </c>
      <c r="AG229" s="94">
        <f>VLOOKUP($A229,lmic_raw[],33,FALSE)*(1-interactive!$C$7)</f>
        <v>1.0747365795624585E-3</v>
      </c>
      <c r="AH229" s="94">
        <f>VLOOKUP($A229,lmic_raw[],34,FALSE)*(1-interactive!$C$7)</f>
        <v>1.4323156347979295E-3</v>
      </c>
      <c r="AI229" s="94">
        <f>VLOOKUP($A229,lmic_raw[],35,FALSE)*(1-interactive!$C$7)</f>
        <v>1.6805103980700605E-3</v>
      </c>
      <c r="AJ229" s="94">
        <f>VLOOKUP($A229,lmic_raw[],36,FALSE)*(1-interactive!$C$7)</f>
        <v>2.0210303090451697E-3</v>
      </c>
      <c r="AK229" s="94">
        <f>VLOOKUP($A229,lmic_raw[],37,FALSE)*(1-interactive!$C$7)</f>
        <v>2.5642519566147345E-3</v>
      </c>
      <c r="AL229" s="94">
        <f>VLOOKUP($A229,lmic_raw[],38,FALSE)*(1-interactive!$C$7)</f>
        <v>3.2632799243072874E-3</v>
      </c>
      <c r="AM229" s="94">
        <f>VLOOKUP($A229,lmic_raw[],39,FALSE)*(1-interactive!$C$7)</f>
        <v>4.2917538458424583E-3</v>
      </c>
      <c r="AN229" s="94">
        <f>VLOOKUP($A229,lmic_raw[],40,FALSE)*(1-interactive!$C$7)</f>
        <v>6.0380138750979473E-3</v>
      </c>
      <c r="AO229" s="94">
        <f>VLOOKUP($A229,lmic_raw[],41,FALSE)*(1-interactive!$C$7)</f>
        <v>8.5906702972358834E-3</v>
      </c>
      <c r="AP229" s="94">
        <f>VLOOKUP($A229,lmic_raw[],42,FALSE)*(1-interactive!$C$7)</f>
        <v>1.2374345894257649E-2</v>
      </c>
      <c r="AQ229" s="94">
        <f>VLOOKUP($A229,lmic_raw[],43,FALSE)*(1-interactive!$C$7)</f>
        <v>1.8074151782531259E-2</v>
      </c>
      <c r="AR229" s="94">
        <f>VLOOKUP($A229,lmic_raw[],44,FALSE)*(1-interactive!$C$7)</f>
        <v>2.6154771693124083E-2</v>
      </c>
      <c r="AS229" s="94">
        <f>VLOOKUP($A229,lmic_raw[],45,FALSE)*(1-interactive!$C$7)</f>
        <v>3.8368944009701887E-2</v>
      </c>
      <c r="AT229" s="94">
        <f>VLOOKUP($A229,lmic_raw[],46,FALSE)*(1-interactive!$C$7)</f>
        <v>6.2466379812237072E-2</v>
      </c>
      <c r="AU229" s="94">
        <f>VLOOKUP($A229,lmic_raw[],47,FALSE)*(1-interactive!$C$7)</f>
        <v>8.8087652571535807E-2</v>
      </c>
      <c r="AV229" s="94">
        <f>VLOOKUP($A229,lmic_raw[],48,FALSE)*(1-interactive!$C$7)</f>
        <v>0.11497718618628529</v>
      </c>
      <c r="AW229" s="94">
        <f>VLOOKUP($A229,lmic_raw[],49,FALSE)*(1-interactive!$C$7)</f>
        <v>0.13816143670701386</v>
      </c>
      <c r="AX229" s="94">
        <f>VLOOKUP($A229,lmic_raw[],50,FALSE)*(1-interactive!$C$7)</f>
        <v>70.446299999999994</v>
      </c>
    </row>
    <row r="230" spans="1:50" x14ac:dyDescent="0.25">
      <c r="A230" s="109" t="s">
        <v>633</v>
      </c>
      <c r="B230" s="101" t="s">
        <v>483</v>
      </c>
      <c r="C230" s="102">
        <v>562</v>
      </c>
      <c r="D230" s="121" t="s">
        <v>677</v>
      </c>
      <c r="E230" s="98" t="s">
        <v>591</v>
      </c>
      <c r="F230" s="98" t="s">
        <v>667</v>
      </c>
      <c r="G230" s="98" t="s">
        <v>674</v>
      </c>
      <c r="H230" s="98">
        <f>VLOOKUP(lmic_raw_lb[[#This Row],[setting]],lmic_raw[],8,FALSE)</f>
        <v>23310719</v>
      </c>
      <c r="I230" s="98">
        <f>VLOOKUP(lmic_raw_lb[[#This Row],[setting]],lmic_raw[],9,FALSE)</f>
        <v>1078656.9002870002</v>
      </c>
      <c r="J230" s="98">
        <f>VLOOKUP($A230,lmic_raw[],10,FALSE)*(1-interactive!$C$7)</f>
        <v>0.55859999999999999</v>
      </c>
      <c r="K230" s="98">
        <f>VLOOKUP($A230,lmic_raw[],11,FALSE)*(1-interactive!$C$7)</f>
        <v>0</v>
      </c>
      <c r="L230" s="98">
        <f>VLOOKUP($A230,lmic_raw[],12,FALSE)*(1-interactive!$C$7)</f>
        <v>0.76949999999999996</v>
      </c>
      <c r="M230" s="98">
        <f>IFERROR(VLOOKUP(lmic_raw_lb[[#This Row],[iso3]], hbv_prev[[iso3]:[ub]],3,FALSE)/100,0)</f>
        <v>8.1799999999999998E-2</v>
      </c>
      <c r="N230" s="98">
        <f>IFERROR(VLOOKUP(lmic_raw_lb[[#This Row],[setting]],hbe_prev[],4,FALSE),0)</f>
        <v>0.155</v>
      </c>
      <c r="O230" s="98">
        <f>VLOOKUP(lmic_raw_lb[[#This Row],[gbd_super]],hbe_risk[],3,FALSE)</f>
        <v>7.0000000000000007E-2</v>
      </c>
      <c r="P230" s="98">
        <f>VLOOKUP(lmic_raw_lb[[#This Row],[gbd_super]],hbe_risk[],6,FALSE)</f>
        <v>1E-3</v>
      </c>
      <c r="Q230" s="98">
        <f>VLOOKUP(lmic_raw_lb[[#This Row],[setting]],lmic_raw[],17,FALSE)*(1-interactive!$C$7)</f>
        <v>2.3336658580450673</v>
      </c>
      <c r="R230" s="98">
        <f>VLOOKUP(lmic_raw_lb[[#This Row],[setting]],lmic_raw[],18,FALSE)*(1-interactive!$C$7)</f>
        <v>28.424474999999997</v>
      </c>
      <c r="S230" s="98">
        <f>VLOOKUP(lmic_raw_lb[[#This Row],[setting]],lmic_raw[],19,FALSE)*(1-interactive!$C$7)</f>
        <v>73.779375000000002</v>
      </c>
      <c r="T230" s="98">
        <f>VLOOKUP(lmic_raw_lb[[#This Row],[setting]],lmic_raw[],20,FALSE)*(1-interactive!$C$7)</f>
        <v>73.779375000000002</v>
      </c>
      <c r="U230" s="98">
        <f>VLOOKUP(lmic_raw_lb[[#This Row],[setting]],lmic_raw[],21,FALSE)*(1-interactive!$C$7)</f>
        <v>73.779375000000002</v>
      </c>
      <c r="V230" s="33">
        <f>IFERROR(VLOOKUP(lmic_raw_lb[[#This Row],[setting]],vcost_lb[],3,FALSE),0)</f>
        <v>0.74791171717318472</v>
      </c>
      <c r="W230" s="33">
        <f>IFERROR(VLOOKUP(lmic_raw_lb[[#This Row],[setting]],vcost_lb[],4,FALSE),0)</f>
        <v>5.3351767171731854</v>
      </c>
      <c r="X230" s="33">
        <f>IFERROR(VLOOKUP(lmic_raw_lb[[#This Row],[setting]],vcost_lb[],5,FALSE),0)</f>
        <v>0.38391748473296289</v>
      </c>
      <c r="Y230" s="33">
        <f>IFERROR(VLOOKUP(lmic_raw_lb[[#This Row],[setting]],vcost_lb[],6,FALSE),0)</f>
        <v>4.9711824847329629</v>
      </c>
      <c r="Z230" s="33">
        <f>IFERROR(VLOOKUP(lmic_raw_lb[[#This Row],[setting]],vcost_lb[],7,FALSE),0)</f>
        <v>4.9699463361777863</v>
      </c>
      <c r="AA230" s="33">
        <f>IFERROR(VLOOKUP(lmic_raw_lb[[#This Row],[setting]],vcost_lb[],8,FALSE),0)</f>
        <v>0.95855077702606328</v>
      </c>
      <c r="AB230" s="33">
        <f>IFERROR(VLOOKUP(lmic_raw_lb[[#This Row],[setting]],vcost_lb[],9,FALSE),0)</f>
        <v>5.5458157770260641</v>
      </c>
      <c r="AC230" s="98">
        <f>VLOOKUP($A230,lmic_raw[],29,FALSE)*(1-interactive!$C$7)</f>
        <v>4.4002232999999988E-2</v>
      </c>
      <c r="AD230" s="98">
        <f>VLOOKUP($A230,lmic_raw[],30,FALSE)*(1-interactive!$C$7)</f>
        <v>9.5474699235655065E-3</v>
      </c>
      <c r="AE230" s="98">
        <f>VLOOKUP($A230,lmic_raw[],31,FALSE)*(1-interactive!$C$7)</f>
        <v>2.1129401223891676E-3</v>
      </c>
      <c r="AF230" s="98">
        <f>VLOOKUP($A230,lmic_raw[],32,FALSE)*(1-interactive!$C$7)</f>
        <v>1.2644162304743935E-3</v>
      </c>
      <c r="AG230" s="98">
        <f>VLOOKUP($A230,lmic_raw[],33,FALSE)*(1-interactive!$C$7)</f>
        <v>2.1081601042844374E-3</v>
      </c>
      <c r="AH230" s="98">
        <f>VLOOKUP($A230,lmic_raw[],34,FALSE)*(1-interactive!$C$7)</f>
        <v>2.7555545488676474E-3</v>
      </c>
      <c r="AI230" s="98">
        <f>VLOOKUP($A230,lmic_raw[],35,FALSE)*(1-interactive!$C$7)</f>
        <v>3.4556613717438519E-3</v>
      </c>
      <c r="AJ230" s="98">
        <f>VLOOKUP($A230,lmic_raw[],36,FALSE)*(1-interactive!$C$7)</f>
        <v>3.6963985796733818E-3</v>
      </c>
      <c r="AK230" s="98">
        <f>VLOOKUP($A230,lmic_raw[],37,FALSE)*(1-interactive!$C$7)</f>
        <v>4.2495114001263453E-3</v>
      </c>
      <c r="AL230" s="98">
        <f>VLOOKUP($A230,lmic_raw[],38,FALSE)*(1-interactive!$C$7)</f>
        <v>5.1419717999589797E-3</v>
      </c>
      <c r="AM230" s="98">
        <f>VLOOKUP($A230,lmic_raw[],39,FALSE)*(1-interactive!$C$7)</f>
        <v>6.6147089865430629E-3</v>
      </c>
      <c r="AN230" s="98">
        <f>VLOOKUP($A230,lmic_raw[],40,FALSE)*(1-interactive!$C$7)</f>
        <v>9.55414793217489E-3</v>
      </c>
      <c r="AO230" s="98">
        <f>VLOOKUP($A230,lmic_raw[],41,FALSE)*(1-interactive!$C$7)</f>
        <v>1.375634296577782E-2</v>
      </c>
      <c r="AP230" s="98">
        <f>VLOOKUP($A230,lmic_raw[],42,FALSE)*(1-interactive!$C$7)</f>
        <v>1.9495724055795961E-2</v>
      </c>
      <c r="AQ230" s="98">
        <f>VLOOKUP($A230,lmic_raw[],43,FALSE)*(1-interactive!$C$7)</f>
        <v>2.9484359242459145E-2</v>
      </c>
      <c r="AR230" s="98">
        <f>VLOOKUP($A230,lmic_raw[],44,FALSE)*(1-interactive!$C$7)</f>
        <v>4.796525179671271E-2</v>
      </c>
      <c r="AS230" s="98">
        <f>VLOOKUP($A230,lmic_raw[],45,FALSE)*(1-interactive!$C$7)</f>
        <v>7.5419863307138832E-2</v>
      </c>
      <c r="AT230" s="98">
        <f>VLOOKUP($A230,lmic_raw[],46,FALSE)*(1-interactive!$C$7)</f>
        <v>0.1104036325038866</v>
      </c>
      <c r="AU230" s="98">
        <f>VLOOKUP($A230,lmic_raw[],47,FALSE)*(1-interactive!$C$7)</f>
        <v>0.14358583382082996</v>
      </c>
      <c r="AV230" s="98">
        <f>VLOOKUP($A230,lmic_raw[],48,FALSE)*(1-interactive!$C$7)</f>
        <v>0.16647381207051634</v>
      </c>
      <c r="AW230" s="98">
        <f>VLOOKUP($A230,lmic_raw[],49,FALSE)*(1-interactive!$C$7)</f>
        <v>0.17697206575818969</v>
      </c>
      <c r="AX230" s="98">
        <f>VLOOKUP($A230,lmic_raw[],50,FALSE)*(1-interactive!$C$7)</f>
        <v>58.709049999999998</v>
      </c>
    </row>
    <row r="231" spans="1:50" x14ac:dyDescent="0.25">
      <c r="A231" s="110" t="s">
        <v>150</v>
      </c>
      <c r="B231" s="104" t="s">
        <v>484</v>
      </c>
      <c r="C231" s="105">
        <v>566</v>
      </c>
      <c r="D231" s="122" t="s">
        <v>677</v>
      </c>
      <c r="E231" s="94" t="s">
        <v>591</v>
      </c>
      <c r="F231" s="94" t="s">
        <v>667</v>
      </c>
      <c r="G231" s="94" t="s">
        <v>678</v>
      </c>
      <c r="H231" s="98">
        <f>VLOOKUP(lmic_raw_lb[[#This Row],[setting]],lmic_raw[],8,FALSE)</f>
        <v>200963603</v>
      </c>
      <c r="I231" s="98">
        <f>VLOOKUP(lmic_raw_lb[[#This Row],[setting]],lmic_raw[],9,FALSE)</f>
        <v>7656311.3470940003</v>
      </c>
      <c r="J231" s="94">
        <f>VLOOKUP($A231,lmic_raw[],10,FALSE)*(1-interactive!$C$7)</f>
        <v>0.37429999999999997</v>
      </c>
      <c r="K231" s="94">
        <f>VLOOKUP($A231,lmic_raw[],11,FALSE)*(1-interactive!$C$7)</f>
        <v>0</v>
      </c>
      <c r="L231" s="94">
        <f>VLOOKUP($A231,lmic_raw[],12,FALSE)*(1-interactive!$C$7)</f>
        <v>0.54149999999999998</v>
      </c>
      <c r="M231" s="94">
        <f>IFERROR(VLOOKUP(lmic_raw_lb[[#This Row],[iso3]], hbv_prev[[iso3]:[ub]],3,FALSE)/100,0)</f>
        <v>4.3899999999999995E-2</v>
      </c>
      <c r="N231" s="94">
        <f>IFERROR(VLOOKUP(lmic_raw_lb[[#This Row],[setting]],hbe_prev[],4,FALSE),0)</f>
        <v>0.155</v>
      </c>
      <c r="O231" s="94">
        <f>VLOOKUP(lmic_raw_lb[[#This Row],[gbd_super]],hbe_risk[],3,FALSE)</f>
        <v>7.0000000000000007E-2</v>
      </c>
      <c r="P231" s="94">
        <f>VLOOKUP(lmic_raw_lb[[#This Row],[gbd_super]],hbe_risk[],6,FALSE)</f>
        <v>1E-3</v>
      </c>
      <c r="Q231" s="94">
        <f>VLOOKUP(lmic_raw_lb[[#This Row],[setting]],lmic_raw[],17,FALSE)*(1-interactive!$C$7)</f>
        <v>3.7882179548736268</v>
      </c>
      <c r="R231" s="98">
        <f>VLOOKUP(lmic_raw_lb[[#This Row],[setting]],lmic_raw[],18,FALSE)*(1-interactive!$C$7)</f>
        <v>28.424474999999997</v>
      </c>
      <c r="S231" s="98">
        <f>VLOOKUP(lmic_raw_lb[[#This Row],[setting]],lmic_raw[],19,FALSE)*(1-interactive!$C$7)</f>
        <v>73.779375000000002</v>
      </c>
      <c r="T231" s="98">
        <f>VLOOKUP(lmic_raw_lb[[#This Row],[setting]],lmic_raw[],20,FALSE)*(1-interactive!$C$7)</f>
        <v>73.779375000000002</v>
      </c>
      <c r="U231" s="98">
        <f>VLOOKUP(lmic_raw_lb[[#This Row],[setting]],lmic_raw[],21,FALSE)*(1-interactive!$C$7)</f>
        <v>73.779375000000002</v>
      </c>
      <c r="V231" s="33">
        <f>IFERROR(VLOOKUP(lmic_raw_lb[[#This Row],[setting]],vcost_lb[],3,FALSE),0)</f>
        <v>0.4882497934753855</v>
      </c>
      <c r="W231" s="33">
        <f>IFERROR(VLOOKUP(lmic_raw_lb[[#This Row],[setting]],vcost_lb[],4,FALSE),0)</f>
        <v>5.0755147934753859</v>
      </c>
      <c r="X231" s="33">
        <f>IFERROR(VLOOKUP(lmic_raw_lb[[#This Row],[setting]],vcost_lb[],5,FALSE),0)</f>
        <v>0.12090458844013983</v>
      </c>
      <c r="Y231" s="33">
        <f>IFERROR(VLOOKUP(lmic_raw_lb[[#This Row],[setting]],vcost_lb[],6,FALSE),0)</f>
        <v>4.70816958844014</v>
      </c>
      <c r="Z231" s="33">
        <f>IFERROR(VLOOKUP(lmic_raw_lb[[#This Row],[setting]],vcost_lb[],7,FALSE),0)</f>
        <v>4.7046943679560087</v>
      </c>
      <c r="AA231" s="33">
        <f>IFERROR(VLOOKUP(lmic_raw_lb[[#This Row],[setting]],vcost_lb[],8,FALSE),0)</f>
        <v>0.70032498444041713</v>
      </c>
      <c r="AB231" s="33">
        <f>IFERROR(VLOOKUP(lmic_raw_lb[[#This Row],[setting]],vcost_lb[],9,FALSE),0)</f>
        <v>5.2875899844404177</v>
      </c>
      <c r="AC231" s="94">
        <f>VLOOKUP($A231,lmic_raw[],29,FALSE)*(1-interactive!$C$7)</f>
        <v>5.9048665500000048E-2</v>
      </c>
      <c r="AD231" s="94">
        <f>VLOOKUP($A231,lmic_raw[],30,FALSE)*(1-interactive!$C$7)</f>
        <v>1.0027517677229533E-2</v>
      </c>
      <c r="AE231" s="94">
        <f>VLOOKUP($A231,lmic_raw[],31,FALSE)*(1-interactive!$C$7)</f>
        <v>5.6146480694000784E-3</v>
      </c>
      <c r="AF231" s="94">
        <f>VLOOKUP($A231,lmic_raw[],32,FALSE)*(1-interactive!$C$7)</f>
        <v>3.0550994782269922E-3</v>
      </c>
      <c r="AG231" s="94">
        <f>VLOOKUP($A231,lmic_raw[],33,FALSE)*(1-interactive!$C$7)</f>
        <v>4.8095114123836618E-3</v>
      </c>
      <c r="AH231" s="94">
        <f>VLOOKUP($A231,lmic_raw[],34,FALSE)*(1-interactive!$C$7)</f>
        <v>5.8008155239096778E-3</v>
      </c>
      <c r="AI231" s="94">
        <f>VLOOKUP($A231,lmic_raw[],35,FALSE)*(1-interactive!$C$7)</f>
        <v>6.3789270107266474E-3</v>
      </c>
      <c r="AJ231" s="94">
        <f>VLOOKUP($A231,lmic_raw[],36,FALSE)*(1-interactive!$C$7)</f>
        <v>6.6826422520068745E-3</v>
      </c>
      <c r="AK231" s="94">
        <f>VLOOKUP($A231,lmic_raw[],37,FALSE)*(1-interactive!$C$7)</f>
        <v>7.3168459852606497E-3</v>
      </c>
      <c r="AL231" s="94">
        <f>VLOOKUP($A231,lmic_raw[],38,FALSE)*(1-interactive!$C$7)</f>
        <v>8.3127819725202241E-3</v>
      </c>
      <c r="AM231" s="94">
        <f>VLOOKUP($A231,lmic_raw[],39,FALSE)*(1-interactive!$C$7)</f>
        <v>9.6256285964555904E-3</v>
      </c>
      <c r="AN231" s="94">
        <f>VLOOKUP($A231,lmic_raw[],40,FALSE)*(1-interactive!$C$7)</f>
        <v>1.2711681050821559E-2</v>
      </c>
      <c r="AO231" s="94">
        <f>VLOOKUP($A231,lmic_raw[],41,FALSE)*(1-interactive!$C$7)</f>
        <v>1.7397701428286914E-2</v>
      </c>
      <c r="AP231" s="94">
        <f>VLOOKUP($A231,lmic_raw[],42,FALSE)*(1-interactive!$C$7)</f>
        <v>2.6774142736731121E-2</v>
      </c>
      <c r="AQ231" s="94">
        <f>VLOOKUP($A231,lmic_raw[],43,FALSE)*(1-interactive!$C$7)</f>
        <v>4.0290624259295887E-2</v>
      </c>
      <c r="AR231" s="94">
        <f>VLOOKUP($A231,lmic_raw[],44,FALSE)*(1-interactive!$C$7)</f>
        <v>6.2423389304718906E-2</v>
      </c>
      <c r="AS231" s="94">
        <f>VLOOKUP($A231,lmic_raw[],45,FALSE)*(1-interactive!$C$7)</f>
        <v>9.2059244265893445E-2</v>
      </c>
      <c r="AT231" s="94">
        <f>VLOOKUP($A231,lmic_raw[],46,FALSE)*(1-interactive!$C$7)</f>
        <v>0.12599400336954539</v>
      </c>
      <c r="AU231" s="94">
        <f>VLOOKUP($A231,lmic_raw[],47,FALSE)*(1-interactive!$C$7)</f>
        <v>0.15441394223615879</v>
      </c>
      <c r="AV231" s="94">
        <f>VLOOKUP($A231,lmic_raw[],48,FALSE)*(1-interactive!$C$7)</f>
        <v>0.17181653055795049</v>
      </c>
      <c r="AW231" s="94">
        <f>VLOOKUP($A231,lmic_raw[],49,FALSE)*(1-interactive!$C$7)</f>
        <v>0.1770889043157382</v>
      </c>
      <c r="AX231" s="94">
        <f>VLOOKUP($A231,lmic_raw[],50,FALSE)*(1-interactive!$C$7)</f>
        <v>51.467199999999998</v>
      </c>
    </row>
    <row r="232" spans="1:50" x14ac:dyDescent="0.25">
      <c r="A232" s="109" t="s">
        <v>342</v>
      </c>
      <c r="B232" s="101" t="s">
        <v>485</v>
      </c>
      <c r="C232" s="102">
        <v>807</v>
      </c>
      <c r="D232" s="121" t="s">
        <v>675</v>
      </c>
      <c r="E232" s="98" t="s">
        <v>580</v>
      </c>
      <c r="F232" s="98" t="s">
        <v>663</v>
      </c>
      <c r="G232" s="98" t="s">
        <v>676</v>
      </c>
      <c r="H232" s="98">
        <f>VLOOKUP(lmic_raw_lb[[#This Row],[setting]],lmic_raw[],8,FALSE)</f>
        <v>2083458</v>
      </c>
      <c r="I232" s="98">
        <f>VLOOKUP(lmic_raw_lb[[#This Row],[setting]],lmic_raw[],9,FALSE)</f>
        <v>22680.523787999999</v>
      </c>
      <c r="J232" s="98">
        <f>VLOOKUP($A232,lmic_raw[],10,FALSE)*(1-interactive!$C$7)</f>
        <v>0.9414499999999999</v>
      </c>
      <c r="K232" s="98">
        <f>VLOOKUP($A232,lmic_raw[],11,FALSE)*(1-interactive!$C$7)</f>
        <v>0.93099999999999994</v>
      </c>
      <c r="L232" s="98">
        <f>VLOOKUP($A232,lmic_raw[],12,FALSE)*(1-interactive!$C$7)</f>
        <v>0.874</v>
      </c>
      <c r="M232" s="98">
        <f>IFERROR(VLOOKUP(lmic_raw_lb[[#This Row],[iso3]], hbv_prev[[iso3]:[ub]],3,FALSE)/100,0)</f>
        <v>3.0000000000000001E-3</v>
      </c>
      <c r="N232" s="98">
        <f>IFERROR(VLOOKUP(lmic_raw_lb[[#This Row],[setting]],hbe_prev[],4,FALSE),0)</f>
        <v>0.16329999999999997</v>
      </c>
      <c r="O232" s="98">
        <f>VLOOKUP(lmic_raw_lb[[#This Row],[gbd_super]],hbe_risk[],3,FALSE)</f>
        <v>0.7</v>
      </c>
      <c r="P232" s="98">
        <f>VLOOKUP(lmic_raw_lb[[#This Row],[gbd_super]],hbe_risk[],6,FALSE)</f>
        <v>0.05</v>
      </c>
      <c r="Q232" s="98">
        <f>VLOOKUP(lmic_raw_lb[[#This Row],[setting]],lmic_raw[],17,FALSE)*(1-interactive!$C$7)</f>
        <v>8.467590979554652</v>
      </c>
      <c r="R232" s="98">
        <f>VLOOKUP(lmic_raw_lb[[#This Row],[setting]],lmic_raw[],18,FALSE)*(1-interactive!$C$7)</f>
        <v>42.31053</v>
      </c>
      <c r="S232" s="98">
        <f>VLOOKUP(lmic_raw_lb[[#This Row],[setting]],lmic_raw[],19,FALSE)*(1-interactive!$C$7)</f>
        <v>87.665430000000001</v>
      </c>
      <c r="T232" s="98">
        <f>VLOOKUP(lmic_raw_lb[[#This Row],[setting]],lmic_raw[],20,FALSE)*(1-interactive!$C$7)</f>
        <v>87.665430000000001</v>
      </c>
      <c r="U232" s="98">
        <f>VLOOKUP(lmic_raw_lb[[#This Row],[setting]],lmic_raw[],21,FALSE)*(1-interactive!$C$7)</f>
        <v>87.665430000000001</v>
      </c>
      <c r="V232" s="33">
        <f>IFERROR(VLOOKUP(lmic_raw_lb[[#This Row],[setting]],vcost_lb[],3,FALSE),0)</f>
        <v>2.9046038295421059</v>
      </c>
      <c r="W232" s="33">
        <f>IFERROR(VLOOKUP(lmic_raw_lb[[#This Row],[setting]],vcost_lb[],4,FALSE),0)</f>
        <v>6.7670188295421063</v>
      </c>
      <c r="X232" s="33">
        <f>IFERROR(VLOOKUP(lmic_raw_lb[[#This Row],[setting]],vcost_lb[],5,FALSE),0)</f>
        <v>2.534724609655858</v>
      </c>
      <c r="Y232" s="33">
        <f>IFERROR(VLOOKUP(lmic_raw_lb[[#This Row],[setting]],vcost_lb[],6,FALSE),0)</f>
        <v>6.3971396096558584</v>
      </c>
      <c r="Z232" s="33">
        <f>IFERROR(VLOOKUP(lmic_raw_lb[[#This Row],[setting]],vcost_lb[],7,FALSE),0)</f>
        <v>6.3919558032663701</v>
      </c>
      <c r="AA232" s="33">
        <f>IFERROR(VLOOKUP(lmic_raw_lb[[#This Row],[setting]],vcost_lb[],8,FALSE),0)</f>
        <v>3.1177650268718526</v>
      </c>
      <c r="AB232" s="33">
        <f>IFERROR(VLOOKUP(lmic_raw_lb[[#This Row],[setting]],vcost_lb[],9,FALSE),0)</f>
        <v>6.980180026871853</v>
      </c>
      <c r="AC232" s="98">
        <f>VLOOKUP($A232,lmic_raw[],29,FALSE)*(1-interactive!$C$7)</f>
        <v>1.0154834999999933E-2</v>
      </c>
      <c r="AD232" s="98">
        <f>VLOOKUP($A232,lmic_raw[],30,FALSE)*(1-interactive!$C$7)</f>
        <v>2.7047291614255099E-4</v>
      </c>
      <c r="AE232" s="98">
        <f>VLOOKUP($A232,lmic_raw[],31,FALSE)*(1-interactive!$C$7)</f>
        <v>1.3250031846294633E-4</v>
      </c>
      <c r="AF232" s="98">
        <f>VLOOKUP($A232,lmic_raw[],32,FALSE)*(1-interactive!$C$7)</f>
        <v>1.759380207843138E-4</v>
      </c>
      <c r="AG232" s="98">
        <f>VLOOKUP($A232,lmic_raw[],33,FALSE)*(1-interactive!$C$7)</f>
        <v>2.7696716081456271E-4</v>
      </c>
      <c r="AH232" s="98">
        <f>VLOOKUP($A232,lmic_raw[],34,FALSE)*(1-interactive!$C$7)</f>
        <v>2.9802353231511865E-4</v>
      </c>
      <c r="AI232" s="98">
        <f>VLOOKUP($A232,lmic_raw[],35,FALSE)*(1-interactive!$C$7)</f>
        <v>4.4430692201107307E-4</v>
      </c>
      <c r="AJ232" s="98">
        <f>VLOOKUP($A232,lmic_raw[],36,FALSE)*(1-interactive!$C$7)</f>
        <v>5.3079149329916591E-4</v>
      </c>
      <c r="AK232" s="98">
        <f>VLOOKUP($A232,lmic_raw[],37,FALSE)*(1-interactive!$C$7)</f>
        <v>8.4651888102711594E-4</v>
      </c>
      <c r="AL232" s="98">
        <f>VLOOKUP($A232,lmic_raw[],38,FALSE)*(1-interactive!$C$7)</f>
        <v>1.5460707338922123E-3</v>
      </c>
      <c r="AM232" s="98">
        <f>VLOOKUP($A232,lmic_raw[],39,FALSE)*(1-interactive!$C$7)</f>
        <v>2.3879528108412418E-3</v>
      </c>
      <c r="AN232" s="98">
        <f>VLOOKUP($A232,lmic_raw[],40,FALSE)*(1-interactive!$C$7)</f>
        <v>4.4545012750539636E-3</v>
      </c>
      <c r="AO232" s="98">
        <f>VLOOKUP($A232,lmic_raw[],41,FALSE)*(1-interactive!$C$7)</f>
        <v>7.5720767705574916E-3</v>
      </c>
      <c r="AP232" s="98">
        <f>VLOOKUP($A232,lmic_raw[],42,FALSE)*(1-interactive!$C$7)</f>
        <v>1.2511948372376555E-2</v>
      </c>
      <c r="AQ232" s="98">
        <f>VLOOKUP($A232,lmic_raw[],43,FALSE)*(1-interactive!$C$7)</f>
        <v>1.9364195228316873E-2</v>
      </c>
      <c r="AR232" s="98">
        <f>VLOOKUP($A232,lmic_raw[],44,FALSE)*(1-interactive!$C$7)</f>
        <v>3.0417303977783351E-2</v>
      </c>
      <c r="AS232" s="98">
        <f>VLOOKUP($A232,lmic_raw[],45,FALSE)*(1-interactive!$C$7)</f>
        <v>5.3976580421549812E-2</v>
      </c>
      <c r="AT232" s="98">
        <f>VLOOKUP($A232,lmic_raw[],46,FALSE)*(1-interactive!$C$7)</f>
        <v>8.6952502476853016E-2</v>
      </c>
      <c r="AU232" s="98">
        <f>VLOOKUP($A232,lmic_raw[],47,FALSE)*(1-interactive!$C$7)</f>
        <v>0.12323479313347013</v>
      </c>
      <c r="AV232" s="98">
        <f>VLOOKUP($A232,lmic_raw[],48,FALSE)*(1-interactive!$C$7)</f>
        <v>0.1584157010486904</v>
      </c>
      <c r="AW232" s="98">
        <f>VLOOKUP($A232,lmic_raw[],49,FALSE)*(1-interactive!$C$7)</f>
        <v>0.17693515833224979</v>
      </c>
      <c r="AX232" s="98">
        <f>VLOOKUP($A232,lmic_raw[],50,FALSE)*(1-interactive!$C$7)</f>
        <v>71.822849999999988</v>
      </c>
    </row>
    <row r="233" spans="1:50" x14ac:dyDescent="0.25">
      <c r="A233" s="110" t="s">
        <v>198</v>
      </c>
      <c r="B233" s="104" t="s">
        <v>488</v>
      </c>
      <c r="C233" s="105">
        <v>586</v>
      </c>
      <c r="D233" s="122" t="s">
        <v>673</v>
      </c>
      <c r="E233" s="94" t="s">
        <v>589</v>
      </c>
      <c r="F233" s="94" t="s">
        <v>589</v>
      </c>
      <c r="G233" s="94" t="s">
        <v>678</v>
      </c>
      <c r="H233" s="98">
        <f>VLOOKUP(lmic_raw_lb[[#This Row],[setting]],lmic_raw[],8,FALSE)</f>
        <v>216565317</v>
      </c>
      <c r="I233" s="98">
        <f>VLOOKUP(lmic_raw_lb[[#This Row],[setting]],lmic_raw[],9,FALSE)</f>
        <v>6176875.9714740003</v>
      </c>
      <c r="J233" s="94">
        <f>VLOOKUP($A233,lmic_raw[],10,FALSE)*(1-interactive!$C$7)</f>
        <v>0.62890000000000001</v>
      </c>
      <c r="K233" s="94">
        <f>VLOOKUP($A233,lmic_raw[],11,FALSE)*(1-interactive!$C$7)</f>
        <v>0</v>
      </c>
      <c r="L233" s="94">
        <f>VLOOKUP($A233,lmic_raw[],12,FALSE)*(1-interactive!$C$7)</f>
        <v>0.71249999999999991</v>
      </c>
      <c r="M233" s="94">
        <f>IFERROR(VLOOKUP(lmic_raw_lb[[#This Row],[iso3]], hbv_prev[[iso3]:[ub]],3,FALSE)/100,0)</f>
        <v>4.4400000000000002E-2</v>
      </c>
      <c r="N233" s="94">
        <f>IFERROR(VLOOKUP(lmic_raw_lb[[#This Row],[setting]],hbe_prev[],4,FALSE),0)</f>
        <v>0.1482</v>
      </c>
      <c r="O233" s="94">
        <f>VLOOKUP(lmic_raw_lb[[#This Row],[gbd_super]],hbe_risk[],3,FALSE)</f>
        <v>0.7</v>
      </c>
      <c r="P233" s="94">
        <f>VLOOKUP(lmic_raw_lb[[#This Row],[gbd_super]],hbe_risk[],6,FALSE)</f>
        <v>0.05</v>
      </c>
      <c r="Q233" s="94">
        <f>VLOOKUP(lmic_raw_lb[[#This Row],[setting]],lmic_raw[],17,FALSE)*(1-interactive!$C$7)</f>
        <v>2.9312725334862586</v>
      </c>
      <c r="R233" s="98">
        <f>VLOOKUP(lmic_raw_lb[[#This Row],[setting]],lmic_raw[],18,FALSE)*(1-interactive!$C$7)</f>
        <v>43.604905000000002</v>
      </c>
      <c r="S233" s="98">
        <f>VLOOKUP(lmic_raw_lb[[#This Row],[setting]],lmic_raw[],19,FALSE)*(1-interactive!$C$7)</f>
        <v>88.959805000000003</v>
      </c>
      <c r="T233" s="98">
        <f>VLOOKUP(lmic_raw_lb[[#This Row],[setting]],lmic_raw[],20,FALSE)*(1-interactive!$C$7)</f>
        <v>88.959805000000003</v>
      </c>
      <c r="U233" s="98">
        <f>VLOOKUP(lmic_raw_lb[[#This Row],[setting]],lmic_raw[],21,FALSE)*(1-interactive!$C$7)</f>
        <v>88.959805000000003</v>
      </c>
      <c r="V233" s="33">
        <f>IFERROR(VLOOKUP(lmic_raw_lb[[#This Row],[setting]],vcost_lb[],3,FALSE),0)</f>
        <v>0.61720164833905322</v>
      </c>
      <c r="W233" s="33">
        <f>IFERROR(VLOOKUP(lmic_raw_lb[[#This Row],[setting]],vcost_lb[],4,FALSE),0)</f>
        <v>2.9447016483390533</v>
      </c>
      <c r="X233" s="33">
        <f>IFERROR(VLOOKUP(lmic_raw_lb[[#This Row],[setting]],vcost_lb[],5,FALSE),0)</f>
        <v>0.25189391483053264</v>
      </c>
      <c r="Y233" s="33">
        <f>IFERROR(VLOOKUP(lmic_raw_lb[[#This Row],[setting]],vcost_lb[],6,FALSE),0)</f>
        <v>2.5793939148305327</v>
      </c>
      <c r="Z233" s="33">
        <f>IFERROR(VLOOKUP(lmic_raw_lb[[#This Row],[setting]],vcost_lb[],7,FALSE),0)</f>
        <v>2.5770790778535195</v>
      </c>
      <c r="AA233" s="33">
        <f>IFERROR(VLOOKUP(lmic_raw_lb[[#This Row],[setting]],vcost_lb[],8,FALSE),0)</f>
        <v>0.8284036372212028</v>
      </c>
      <c r="AB233" s="33">
        <f>IFERROR(VLOOKUP(lmic_raw_lb[[#This Row],[setting]],vcost_lb[],9,FALSE),0)</f>
        <v>3.1559036372212028</v>
      </c>
      <c r="AC233" s="94">
        <f>VLOOKUP($A233,lmic_raw[],29,FALSE)*(1-interactive!$C$7)</f>
        <v>5.8266872499999955E-2</v>
      </c>
      <c r="AD233" s="94">
        <f>VLOOKUP($A233,lmic_raw[],30,FALSE)*(1-interactive!$C$7)</f>
        <v>3.4323076104403444E-3</v>
      </c>
      <c r="AE233" s="94">
        <f>VLOOKUP($A233,lmic_raw[],31,FALSE)*(1-interactive!$C$7)</f>
        <v>1.0088719933404821E-3</v>
      </c>
      <c r="AF233" s="94">
        <f>VLOOKUP($A233,lmic_raw[],32,FALSE)*(1-interactive!$C$7)</f>
        <v>6.4999906649596385E-4</v>
      </c>
      <c r="AG233" s="94">
        <f>VLOOKUP($A233,lmic_raw[],33,FALSE)*(1-interactive!$C$7)</f>
        <v>8.5628998969895689E-4</v>
      </c>
      <c r="AH233" s="94">
        <f>VLOOKUP($A233,lmic_raw[],34,FALSE)*(1-interactive!$C$7)</f>
        <v>1.1473223685621403E-3</v>
      </c>
      <c r="AI233" s="94">
        <f>VLOOKUP($A233,lmic_raw[],35,FALSE)*(1-interactive!$C$7)</f>
        <v>1.2803164036631562E-3</v>
      </c>
      <c r="AJ233" s="94">
        <f>VLOOKUP($A233,lmic_raw[],36,FALSE)*(1-interactive!$C$7)</f>
        <v>1.6089883062195734E-3</v>
      </c>
      <c r="AK233" s="94">
        <f>VLOOKUP($A233,lmic_raw[],37,FALSE)*(1-interactive!$C$7)</f>
        <v>2.1461096922397063E-3</v>
      </c>
      <c r="AL233" s="94">
        <f>VLOOKUP($A233,lmic_raw[],38,FALSE)*(1-interactive!$C$7)</f>
        <v>3.0249491935646806E-3</v>
      </c>
      <c r="AM233" s="94">
        <f>VLOOKUP($A233,lmic_raw[],39,FALSE)*(1-interactive!$C$7)</f>
        <v>4.4601539023797019E-3</v>
      </c>
      <c r="AN233" s="94">
        <f>VLOOKUP($A233,lmic_raw[],40,FALSE)*(1-interactive!$C$7)</f>
        <v>6.7972543118157624E-3</v>
      </c>
      <c r="AO233" s="94">
        <f>VLOOKUP($A233,lmic_raw[],41,FALSE)*(1-interactive!$C$7)</f>
        <v>1.0528797442182205E-2</v>
      </c>
      <c r="AP233" s="94">
        <f>VLOOKUP($A233,lmic_raw[],42,FALSE)*(1-interactive!$C$7)</f>
        <v>1.6854380775617295E-2</v>
      </c>
      <c r="AQ233" s="94">
        <f>VLOOKUP($A233,lmic_raw[],43,FALSE)*(1-interactive!$C$7)</f>
        <v>2.6257311158854057E-2</v>
      </c>
      <c r="AR233" s="94">
        <f>VLOOKUP($A233,lmic_raw[],44,FALSE)*(1-interactive!$C$7)</f>
        <v>4.006087254055244E-2</v>
      </c>
      <c r="AS233" s="94">
        <f>VLOOKUP($A233,lmic_raw[],45,FALSE)*(1-interactive!$C$7)</f>
        <v>6.0671704320405917E-2</v>
      </c>
      <c r="AT233" s="94">
        <f>VLOOKUP($A233,lmic_raw[],46,FALSE)*(1-interactive!$C$7)</f>
        <v>8.969681302552375E-2</v>
      </c>
      <c r="AU233" s="94">
        <f>VLOOKUP($A233,lmic_raw[],47,FALSE)*(1-interactive!$C$7)</f>
        <v>0.12542884675011584</v>
      </c>
      <c r="AV233" s="94">
        <f>VLOOKUP($A233,lmic_raw[],48,FALSE)*(1-interactive!$C$7)</f>
        <v>0.1554211436704761</v>
      </c>
      <c r="AW233" s="94">
        <f>VLOOKUP($A233,lmic_raw[],49,FALSE)*(1-interactive!$C$7)</f>
        <v>0.17211953083261053</v>
      </c>
      <c r="AX233" s="94">
        <f>VLOOKUP($A233,lmic_raw[],50,FALSE)*(1-interactive!$C$7)</f>
        <v>63.666149999999995</v>
      </c>
    </row>
    <row r="234" spans="1:50" x14ac:dyDescent="0.25">
      <c r="A234" s="82" t="s">
        <v>683</v>
      </c>
      <c r="B234" s="101" t="s">
        <v>517</v>
      </c>
      <c r="C234" s="106">
        <v>275</v>
      </c>
      <c r="D234" s="121" t="s">
        <v>673</v>
      </c>
      <c r="E234" s="98" t="s">
        <v>579</v>
      </c>
      <c r="F234" s="98" t="s">
        <v>579</v>
      </c>
      <c r="G234" s="98" t="s">
        <v>678</v>
      </c>
      <c r="H234" s="98">
        <f>VLOOKUP(lmic_raw_lb[[#This Row],[setting]],lmic_raw[],8,FALSE)</f>
        <v>4981422</v>
      </c>
      <c r="I234" s="98">
        <f>VLOOKUP(lmic_raw_lb[[#This Row],[setting]],lmic_raw[],9,FALSE)</f>
        <v>146583.32377199997</v>
      </c>
      <c r="J234" s="98">
        <f>VLOOKUP($A234,lmic_raw[],10,FALSE)*(1-interactive!$C$7)</f>
        <v>0.94334999999999991</v>
      </c>
      <c r="K234" s="98">
        <f>VLOOKUP($A234,lmic_raw[],11,FALSE)*(1-interactive!$C$7)</f>
        <v>0.9405</v>
      </c>
      <c r="L234" s="98">
        <f>VLOOKUP($A234,lmic_raw[],12,FALSE)*(1-interactive!$C$7)</f>
        <v>0.9405</v>
      </c>
      <c r="M234" s="98">
        <f>IFERROR(VLOOKUP(lmic_raw_lb[[#This Row],[iso3]], hbv_prev[[iso3]:[ub]],3,FALSE)/100,0)</f>
        <v>0</v>
      </c>
      <c r="N234" s="98">
        <f>IFERROR(VLOOKUP(lmic_raw_lb[[#This Row],[setting]],hbe_prev[],4,FALSE),0)</f>
        <v>0</v>
      </c>
      <c r="O234" s="98">
        <f>VLOOKUP(lmic_raw_lb[[#This Row],[gbd_super]],hbe_risk[],3,FALSE)</f>
        <v>0.7</v>
      </c>
      <c r="P234" s="98">
        <f>VLOOKUP(lmic_raw_lb[[#This Row],[gbd_super]],hbe_risk[],6,FALSE)</f>
        <v>0.05</v>
      </c>
      <c r="Q234" s="98">
        <f>VLOOKUP(lmic_raw_lb[[#This Row],[setting]],lmic_raw[],17,FALSE)*(1-interactive!$C$7)</f>
        <v>0</v>
      </c>
      <c r="R234" s="98">
        <f>VLOOKUP(lmic_raw_lb[[#This Row],[setting]],lmic_raw[],18,FALSE)*(1-interactive!$C$7)</f>
        <v>44.019105000000003</v>
      </c>
      <c r="S234" s="98">
        <f>VLOOKUP(lmic_raw_lb[[#This Row],[setting]],lmic_raw[],19,FALSE)*(1-interactive!$C$7)</f>
        <v>89.374005000000011</v>
      </c>
      <c r="T234" s="98">
        <f>VLOOKUP(lmic_raw_lb[[#This Row],[setting]],lmic_raw[],20,FALSE)*(1-interactive!$C$7)</f>
        <v>89.374005000000011</v>
      </c>
      <c r="U234" s="98">
        <f>VLOOKUP(lmic_raw_lb[[#This Row],[setting]],lmic_raw[],21,FALSE)*(1-interactive!$C$7)</f>
        <v>89.374005000000011</v>
      </c>
      <c r="V234" s="33">
        <f>IFERROR(VLOOKUP(lmic_raw_lb[[#This Row],[setting]],vcost_lb[],3,FALSE),0)</f>
        <v>0.36202199312714778</v>
      </c>
      <c r="W234" s="33">
        <f>IFERROR(VLOOKUP(lmic_raw_lb[[#This Row],[setting]],vcost_lb[],4,FALSE),0)</f>
        <v>0.8176419931271478</v>
      </c>
      <c r="X234" s="33">
        <f>IFERROR(VLOOKUP(lmic_raw_lb[[#This Row],[setting]],vcost_lb[],5,FALSE),0)</f>
        <v>0</v>
      </c>
      <c r="Y234" s="33">
        <f>IFERROR(VLOOKUP(lmic_raw_lb[[#This Row],[setting]],vcost_lb[],6,FALSE),0)</f>
        <v>0.45562000000000002</v>
      </c>
      <c r="Z234" s="33">
        <f>IFERROR(VLOOKUP(lmic_raw_lb[[#This Row],[setting]],vcost_lb[],7,FALSE),0)</f>
        <v>0.45562000000000002</v>
      </c>
      <c r="AA234" s="33">
        <f>IFERROR(VLOOKUP(lmic_raw_lb[[#This Row],[setting]],vcost_lb[],8,FALSE),0)</f>
        <v>0.5718158075601375</v>
      </c>
      <c r="AB234" s="33">
        <f>IFERROR(VLOOKUP(lmic_raw_lb[[#This Row],[setting]],vcost_lb[],9,FALSE),0)</f>
        <v>1.0274358075601375</v>
      </c>
      <c r="AC234" s="98">
        <f>VLOOKUP($A234,lmic_raw[],29,FALSE)*(1-interactive!$C$7)</f>
        <v>1.6587446500000054E-2</v>
      </c>
      <c r="AD234" s="98">
        <f>VLOOKUP($A234,lmic_raw[],30,FALSE)*(1-interactive!$C$7)</f>
        <v>7.037017126425159E-4</v>
      </c>
      <c r="AE234" s="98">
        <f>VLOOKUP($A234,lmic_raw[],31,FALSE)*(1-interactive!$C$7)</f>
        <v>3.284659056045653E-4</v>
      </c>
      <c r="AF234" s="98">
        <f>VLOOKUP($A234,lmic_raw[],32,FALSE)*(1-interactive!$C$7)</f>
        <v>2.7539792122736835E-4</v>
      </c>
      <c r="AG234" s="98">
        <f>VLOOKUP($A234,lmic_raw[],33,FALSE)*(1-interactive!$C$7)</f>
        <v>5.0865787034511025E-4</v>
      </c>
      <c r="AH234" s="98">
        <f>VLOOKUP($A234,lmic_raw[],34,FALSE)*(1-interactive!$C$7)</f>
        <v>7.1103169412148001E-4</v>
      </c>
      <c r="AI234" s="98">
        <f>VLOOKUP($A234,lmic_raw[],35,FALSE)*(1-interactive!$C$7)</f>
        <v>7.6648695611900106E-4</v>
      </c>
      <c r="AJ234" s="98">
        <f>VLOOKUP($A234,lmic_raw[],36,FALSE)*(1-interactive!$C$7)</f>
        <v>9.0415255027702184E-4</v>
      </c>
      <c r="AK234" s="98">
        <f>VLOOKUP($A234,lmic_raw[],37,FALSE)*(1-interactive!$C$7)</f>
        <v>1.2084903650569003E-3</v>
      </c>
      <c r="AL234" s="98">
        <f>VLOOKUP($A234,lmic_raw[],38,FALSE)*(1-interactive!$C$7)</f>
        <v>1.8284269934887866E-3</v>
      </c>
      <c r="AM234" s="98">
        <f>VLOOKUP($A234,lmic_raw[],39,FALSE)*(1-interactive!$C$7)</f>
        <v>3.052307083836297E-3</v>
      </c>
      <c r="AN234" s="98">
        <f>VLOOKUP($A234,lmic_raw[],40,FALSE)*(1-interactive!$C$7)</f>
        <v>4.9580530766036796E-3</v>
      </c>
      <c r="AO234" s="98">
        <f>VLOOKUP($A234,lmic_raw[],41,FALSE)*(1-interactive!$C$7)</f>
        <v>8.1694915889647373E-3</v>
      </c>
      <c r="AP234" s="98">
        <f>VLOOKUP($A234,lmic_raw[],42,FALSE)*(1-interactive!$C$7)</f>
        <v>1.3050382256843272E-2</v>
      </c>
      <c r="AQ234" s="98">
        <f>VLOOKUP($A234,lmic_raw[],43,FALSE)*(1-interactive!$C$7)</f>
        <v>2.158403305455003E-2</v>
      </c>
      <c r="AR234" s="98">
        <f>VLOOKUP($A234,lmic_raw[],44,FALSE)*(1-interactive!$C$7)</f>
        <v>3.5282204541545667E-2</v>
      </c>
      <c r="AS234" s="98">
        <f>VLOOKUP($A234,lmic_raw[],45,FALSE)*(1-interactive!$C$7)</f>
        <v>5.5575733509615727E-2</v>
      </c>
      <c r="AT234" s="98">
        <f>VLOOKUP($A234,lmic_raw[],46,FALSE)*(1-interactive!$C$7)</f>
        <v>8.4928227488228827E-2</v>
      </c>
      <c r="AU234" s="98">
        <f>VLOOKUP($A234,lmic_raw[],47,FALSE)*(1-interactive!$C$7)</f>
        <v>0.11839358477080038</v>
      </c>
      <c r="AV234" s="98">
        <f>VLOOKUP($A234,lmic_raw[],48,FALSE)*(1-interactive!$C$7)</f>
        <v>0.14717919673425997</v>
      </c>
      <c r="AW234" s="98">
        <f>VLOOKUP($A234,lmic_raw[],49,FALSE)*(1-interactive!$C$7)</f>
        <v>0.16723153367903548</v>
      </c>
      <c r="AX234" s="98">
        <f>VLOOKUP($A234,lmic_raw[],50,FALSE)*(1-interactive!$C$7)</f>
        <v>70.125199999999992</v>
      </c>
    </row>
    <row r="235" spans="1:50" x14ac:dyDescent="0.25">
      <c r="A235" s="110" t="s">
        <v>283</v>
      </c>
      <c r="B235" s="104" t="s">
        <v>491</v>
      </c>
      <c r="C235" s="105">
        <v>598</v>
      </c>
      <c r="D235" s="122" t="s">
        <v>681</v>
      </c>
      <c r="E235" s="94" t="s">
        <v>98</v>
      </c>
      <c r="F235" s="94" t="s">
        <v>666</v>
      </c>
      <c r="G235" s="94" t="s">
        <v>678</v>
      </c>
      <c r="H235" s="98">
        <f>VLOOKUP(lmic_raw_lb[[#This Row],[setting]],lmic_raw[],8,FALSE)</f>
        <v>8776119</v>
      </c>
      <c r="I235" s="98">
        <f>VLOOKUP(lmic_raw_lb[[#This Row],[setting]],lmic_raw[],9,FALSE)</f>
        <v>238964.94425100001</v>
      </c>
      <c r="J235" s="94">
        <f>VLOOKUP($A235,lmic_raw[],10,FALSE)*(1-interactive!$C$7)</f>
        <v>0.51965000000000006</v>
      </c>
      <c r="K235" s="94">
        <f>VLOOKUP($A235,lmic_raw[],11,FALSE)*(1-interactive!$C$7)</f>
        <v>0.23749999999999999</v>
      </c>
      <c r="L235" s="94">
        <f>VLOOKUP($A235,lmic_raw[],12,FALSE)*(1-interactive!$C$7)</f>
        <v>0.33249999999999996</v>
      </c>
      <c r="M235" s="94">
        <f>IFERROR(VLOOKUP(lmic_raw_lb[[#This Row],[iso3]], hbv_prev[[iso3]:[ub]],3,FALSE)/100,0)</f>
        <v>4.3400000000000001E-2</v>
      </c>
      <c r="N235" s="94">
        <f>IFERROR(VLOOKUP(lmic_raw_lb[[#This Row],[setting]],hbe_prev[],4,FALSE),0)</f>
        <v>0.1832</v>
      </c>
      <c r="O235" s="94">
        <f>VLOOKUP(lmic_raw_lb[[#This Row],[gbd_super]],hbe_risk[],3,FALSE)</f>
        <v>0.7</v>
      </c>
      <c r="P235" s="94">
        <f>VLOOKUP(lmic_raw_lb[[#This Row],[gbd_super]],hbe_risk[],6,FALSE)</f>
        <v>0.05</v>
      </c>
      <c r="Q235" s="94">
        <f>VLOOKUP(lmic_raw_lb[[#This Row],[setting]],lmic_raw[],17,FALSE)*(1-interactive!$C$7)</f>
        <v>4.8368485363081692</v>
      </c>
      <c r="R235" s="98">
        <f>VLOOKUP(lmic_raw_lb[[#This Row],[setting]],lmic_raw[],18,FALSE)*(1-interactive!$C$7)</f>
        <v>69.430275000000009</v>
      </c>
      <c r="S235" s="98">
        <f>VLOOKUP(lmic_raw_lb[[#This Row],[setting]],lmic_raw[],19,FALSE)*(1-interactive!$C$7)</f>
        <v>114.785175</v>
      </c>
      <c r="T235" s="98">
        <f>VLOOKUP(lmic_raw_lb[[#This Row],[setting]],lmic_raw[],20,FALSE)*(1-interactive!$C$7)</f>
        <v>114.785175</v>
      </c>
      <c r="U235" s="98">
        <f>VLOOKUP(lmic_raw_lb[[#This Row],[setting]],lmic_raw[],21,FALSE)*(1-interactive!$C$7)</f>
        <v>114.785175</v>
      </c>
      <c r="V235" s="33">
        <f>IFERROR(VLOOKUP(lmic_raw_lb[[#This Row],[setting]],vcost_lb[],3,FALSE),0)</f>
        <v>0.73855395821130188</v>
      </c>
      <c r="W235" s="33">
        <f>IFERROR(VLOOKUP(lmic_raw_lb[[#This Row],[setting]],vcost_lb[],4,FALSE),0)</f>
        <v>1.3391439582113018</v>
      </c>
      <c r="X235" s="33">
        <f>IFERROR(VLOOKUP(lmic_raw_lb[[#This Row],[setting]],vcost_lb[],5,FALSE),0)</f>
        <v>0.36993056769656124</v>
      </c>
      <c r="Y235" s="33">
        <f>IFERROR(VLOOKUP(lmic_raw_lb[[#This Row],[setting]],vcost_lb[],6,FALSE),0)</f>
        <v>0.97052056769656114</v>
      </c>
      <c r="Z235" s="33">
        <f>IFERROR(VLOOKUP(lmic_raw_lb[[#This Row],[setting]],vcost_lb[],7,FALSE),0)</f>
        <v>0.96632920427586733</v>
      </c>
      <c r="AA235" s="33">
        <f>IFERROR(VLOOKUP(lmic_raw_lb[[#This Row],[setting]],vcost_lb[],8,FALSE),0)</f>
        <v>0.95117694295325994</v>
      </c>
      <c r="AB235" s="33">
        <f>IFERROR(VLOOKUP(lmic_raw_lb[[#This Row],[setting]],vcost_lb[],9,FALSE),0)</f>
        <v>1.5517669429532599</v>
      </c>
      <c r="AC235" s="94">
        <f>VLOOKUP($A235,lmic_raw[],29,FALSE)*(1-interactive!$C$7)</f>
        <v>3.9862427499999985E-2</v>
      </c>
      <c r="AD235" s="94">
        <f>VLOOKUP($A235,lmic_raw[],30,FALSE)*(1-interactive!$C$7)</f>
        <v>2.7425085164803392E-3</v>
      </c>
      <c r="AE235" s="94">
        <f>VLOOKUP($A235,lmic_raw[],31,FALSE)*(1-interactive!$C$7)</f>
        <v>1.1126690046897427E-3</v>
      </c>
      <c r="AF235" s="94">
        <f>VLOOKUP($A235,lmic_raw[],32,FALSE)*(1-interactive!$C$7)</f>
        <v>8.7856461584272087E-4</v>
      </c>
      <c r="AG235" s="94">
        <f>VLOOKUP($A235,lmic_raw[],33,FALSE)*(1-interactive!$C$7)</f>
        <v>1.591970417313456E-3</v>
      </c>
      <c r="AH235" s="94">
        <f>VLOOKUP($A235,lmic_raw[],34,FALSE)*(1-interactive!$C$7)</f>
        <v>2.1475322920813857E-3</v>
      </c>
      <c r="AI235" s="94">
        <f>VLOOKUP($A235,lmic_raw[],35,FALSE)*(1-interactive!$C$7)</f>
        <v>2.333815596729094E-3</v>
      </c>
      <c r="AJ235" s="94">
        <f>VLOOKUP($A235,lmic_raw[],36,FALSE)*(1-interactive!$C$7)</f>
        <v>2.713260347670964E-3</v>
      </c>
      <c r="AK235" s="94">
        <f>VLOOKUP($A235,lmic_raw[],37,FALSE)*(1-interactive!$C$7)</f>
        <v>3.4604096621546629E-3</v>
      </c>
      <c r="AL235" s="94">
        <f>VLOOKUP($A235,lmic_raw[],38,FALSE)*(1-interactive!$C$7)</f>
        <v>4.6173709669435287E-3</v>
      </c>
      <c r="AM235" s="94">
        <f>VLOOKUP($A235,lmic_raw[],39,FALSE)*(1-interactive!$C$7)</f>
        <v>6.5213093953485927E-3</v>
      </c>
      <c r="AN235" s="94">
        <f>VLOOKUP($A235,lmic_raw[],40,FALSE)*(1-interactive!$C$7)</f>
        <v>9.4907312099841556E-3</v>
      </c>
      <c r="AO235" s="94">
        <f>VLOOKUP($A235,lmic_raw[],41,FALSE)*(1-interactive!$C$7)</f>
        <v>1.3934149207456061E-2</v>
      </c>
      <c r="AP235" s="94">
        <f>VLOOKUP($A235,lmic_raw[],42,FALSE)*(1-interactive!$C$7)</f>
        <v>2.306112727262892E-2</v>
      </c>
      <c r="AQ235" s="94">
        <f>VLOOKUP($A235,lmic_raw[],43,FALSE)*(1-interactive!$C$7)</f>
        <v>3.7892501083956427E-2</v>
      </c>
      <c r="AR235" s="94">
        <f>VLOOKUP($A235,lmic_raw[],44,FALSE)*(1-interactive!$C$7)</f>
        <v>5.887438387718133E-2</v>
      </c>
      <c r="AS235" s="94">
        <f>VLOOKUP($A235,lmic_raw[],45,FALSE)*(1-interactive!$C$7)</f>
        <v>8.5143203825770536E-2</v>
      </c>
      <c r="AT235" s="94">
        <f>VLOOKUP($A235,lmic_raw[],46,FALSE)*(1-interactive!$C$7)</f>
        <v>0.11566724374497482</v>
      </c>
      <c r="AU235" s="94">
        <f>VLOOKUP($A235,lmic_raw[],47,FALSE)*(1-interactive!$C$7)</f>
        <v>0.14547164414357391</v>
      </c>
      <c r="AV235" s="94">
        <f>VLOOKUP($A235,lmic_raw[],48,FALSE)*(1-interactive!$C$7)</f>
        <v>0.16619436888699293</v>
      </c>
      <c r="AW235" s="94">
        <f>VLOOKUP($A235,lmic_raw[],49,FALSE)*(1-interactive!$C$7)</f>
        <v>0.17710006830361921</v>
      </c>
      <c r="AX235" s="94">
        <f>VLOOKUP($A235,lmic_raw[],50,FALSE)*(1-interactive!$C$7)</f>
        <v>60.943449999999991</v>
      </c>
    </row>
    <row r="236" spans="1:50" x14ac:dyDescent="0.25">
      <c r="A236" s="109" t="s">
        <v>271</v>
      </c>
      <c r="B236" s="101" t="s">
        <v>492</v>
      </c>
      <c r="C236" s="102">
        <v>600</v>
      </c>
      <c r="D236" s="121" t="s">
        <v>679</v>
      </c>
      <c r="E236" s="98" t="s">
        <v>595</v>
      </c>
      <c r="F236" s="98" t="s">
        <v>665</v>
      </c>
      <c r="G236" s="98" t="s">
        <v>676</v>
      </c>
      <c r="H236" s="98">
        <f>VLOOKUP(lmic_raw_lb[[#This Row],[setting]],lmic_raw[],8,FALSE)</f>
        <v>7044639</v>
      </c>
      <c r="I236" s="98">
        <f>VLOOKUP(lmic_raw_lb[[#This Row],[setting]],lmic_raw[],9,FALSE)</f>
        <v>145936.74152400001</v>
      </c>
      <c r="J236" s="98">
        <f>VLOOKUP($A236,lmic_raw[],10,FALSE)*(1-interactive!$C$7)</f>
        <v>0.88539999999999996</v>
      </c>
      <c r="K236" s="98">
        <f>VLOOKUP($A236,lmic_raw[],11,FALSE)*(1-interactive!$C$7)</f>
        <v>0</v>
      </c>
      <c r="L236" s="98">
        <f>VLOOKUP($A236,lmic_raw[],12,FALSE)*(1-interactive!$C$7)</f>
        <v>0.81699999999999995</v>
      </c>
      <c r="M236" s="98">
        <f>IFERROR(VLOOKUP(lmic_raw_lb[[#This Row],[iso3]], hbv_prev[[iso3]:[ub]],3,FALSE)/100,0)</f>
        <v>1.2999999999999999E-3</v>
      </c>
      <c r="N236" s="98">
        <f>IFERROR(VLOOKUP(lmic_raw_lb[[#This Row],[setting]],hbe_prev[],4,FALSE),0)</f>
        <v>0.17010000000000003</v>
      </c>
      <c r="O236" s="98">
        <f>VLOOKUP(lmic_raw_lb[[#This Row],[gbd_super]],hbe_risk[],3,FALSE)</f>
        <v>0.7</v>
      </c>
      <c r="P236" s="98">
        <f>VLOOKUP(lmic_raw_lb[[#This Row],[gbd_super]],hbe_risk[],6,FALSE)</f>
        <v>0.05</v>
      </c>
      <c r="Q236" s="98">
        <f>VLOOKUP(lmic_raw_lb[[#This Row],[setting]],lmic_raw[],17,FALSE)*(1-interactive!$C$7)</f>
        <v>6.212471449587893</v>
      </c>
      <c r="R236" s="98">
        <f>VLOOKUP(lmic_raw_lb[[#This Row],[setting]],lmic_raw[],18,FALSE)*(1-interactive!$C$7)</f>
        <v>82.539704999999998</v>
      </c>
      <c r="S236" s="98">
        <f>VLOOKUP(lmic_raw_lb[[#This Row],[setting]],lmic_raw[],19,FALSE)*(1-interactive!$C$7)</f>
        <v>127.894605</v>
      </c>
      <c r="T236" s="98">
        <f>VLOOKUP(lmic_raw_lb[[#This Row],[setting]],lmic_raw[],20,FALSE)*(1-interactive!$C$7)</f>
        <v>127.894605</v>
      </c>
      <c r="U236" s="98">
        <f>VLOOKUP(lmic_raw_lb[[#This Row],[setting]],lmic_raw[],21,FALSE)*(1-interactive!$C$7)</f>
        <v>127.894605</v>
      </c>
      <c r="V236" s="33">
        <f>IFERROR(VLOOKUP(lmic_raw_lb[[#This Row],[setting]],vcost_lb[],3,FALSE),0)</f>
        <v>1.9860434415781809</v>
      </c>
      <c r="W236" s="33">
        <f>IFERROR(VLOOKUP(lmic_raw_lb[[#This Row],[setting]],vcost_lb[],4,FALSE),0)</f>
        <v>2.0067534415781809</v>
      </c>
      <c r="X236" s="33">
        <f>IFERROR(VLOOKUP(lmic_raw_lb[[#This Row],[setting]],vcost_lb[],5,FALSE),0)</f>
        <v>1.6169302637947254</v>
      </c>
      <c r="Y236" s="33">
        <f>IFERROR(VLOOKUP(lmic_raw_lb[[#This Row],[setting]],vcost_lb[],6,FALSE),0)</f>
        <v>1.6376402637947254</v>
      </c>
      <c r="Z236" s="33">
        <f>IFERROR(VLOOKUP(lmic_raw_lb[[#This Row],[setting]],vcost_lb[],7,FALSE),0)</f>
        <v>1.6329415114809509</v>
      </c>
      <c r="AA236" s="33">
        <f>IFERROR(VLOOKUP(lmic_raw_lb[[#This Row],[setting]],vcost_lb[],8,FALSE),0)</f>
        <v>2.1988763351495884</v>
      </c>
      <c r="AB236" s="33">
        <f>IFERROR(VLOOKUP(lmic_raw_lb[[#This Row],[setting]],vcost_lb[],9,FALSE),0)</f>
        <v>2.2195863351495881</v>
      </c>
      <c r="AC236" s="98">
        <f>VLOOKUP($A236,lmic_raw[],29,FALSE)*(1-interactive!$C$7)</f>
        <v>1.8073664499999947E-2</v>
      </c>
      <c r="AD236" s="98">
        <f>VLOOKUP($A236,lmic_raw[],30,FALSE)*(1-interactive!$C$7)</f>
        <v>5.9645487532207411E-4</v>
      </c>
      <c r="AE236" s="98">
        <f>VLOOKUP($A236,lmic_raw[],31,FALSE)*(1-interactive!$C$7)</f>
        <v>5.240093861750136E-4</v>
      </c>
      <c r="AF236" s="98">
        <f>VLOOKUP($A236,lmic_raw[],32,FALSE)*(1-interactive!$C$7)</f>
        <v>4.265597868771494E-4</v>
      </c>
      <c r="AG236" s="98">
        <f>VLOOKUP($A236,lmic_raw[],33,FALSE)*(1-interactive!$C$7)</f>
        <v>9.9922007723632789E-4</v>
      </c>
      <c r="AH236" s="98">
        <f>VLOOKUP($A236,lmic_raw[],34,FALSE)*(1-interactive!$C$7)</f>
        <v>1.5198128920204813E-3</v>
      </c>
      <c r="AI236" s="98">
        <f>VLOOKUP($A236,lmic_raw[],35,FALSE)*(1-interactive!$C$7)</f>
        <v>1.8519387665525441E-3</v>
      </c>
      <c r="AJ236" s="98">
        <f>VLOOKUP($A236,lmic_raw[],36,FALSE)*(1-interactive!$C$7)</f>
        <v>1.8862738056124758E-3</v>
      </c>
      <c r="AK236" s="98">
        <f>VLOOKUP($A236,lmic_raw[],37,FALSE)*(1-interactive!$C$7)</f>
        <v>2.2335986358099067E-3</v>
      </c>
      <c r="AL236" s="98">
        <f>VLOOKUP($A236,lmic_raw[],38,FALSE)*(1-interactive!$C$7)</f>
        <v>2.7341748406630555E-3</v>
      </c>
      <c r="AM236" s="98">
        <f>VLOOKUP($A236,lmic_raw[],39,FALSE)*(1-interactive!$C$7)</f>
        <v>3.9916862789858426E-3</v>
      </c>
      <c r="AN236" s="98">
        <f>VLOOKUP($A236,lmic_raw[],40,FALSE)*(1-interactive!$C$7)</f>
        <v>5.7943425397515829E-3</v>
      </c>
      <c r="AO236" s="98">
        <f>VLOOKUP($A236,lmic_raw[],41,FALSE)*(1-interactive!$C$7)</f>
        <v>8.1074471103820683E-3</v>
      </c>
      <c r="AP236" s="98">
        <f>VLOOKUP($A236,lmic_raw[],42,FALSE)*(1-interactive!$C$7)</f>
        <v>1.2558120587683472E-2</v>
      </c>
      <c r="AQ236" s="98">
        <f>VLOOKUP($A236,lmic_raw[],43,FALSE)*(1-interactive!$C$7)</f>
        <v>1.8304594943666798E-2</v>
      </c>
      <c r="AR236" s="98">
        <f>VLOOKUP($A236,lmic_raw[],44,FALSE)*(1-interactive!$C$7)</f>
        <v>2.6319132215071466E-2</v>
      </c>
      <c r="AS236" s="98">
        <f>VLOOKUP($A236,lmic_raw[],45,FALSE)*(1-interactive!$C$7)</f>
        <v>3.7006259002706494E-2</v>
      </c>
      <c r="AT236" s="98">
        <f>VLOOKUP($A236,lmic_raw[],46,FALSE)*(1-interactive!$C$7)</f>
        <v>6.6402473334044601E-2</v>
      </c>
      <c r="AU236" s="98">
        <f>VLOOKUP($A236,lmic_raw[],47,FALSE)*(1-interactive!$C$7)</f>
        <v>9.4913464453572308E-2</v>
      </c>
      <c r="AV236" s="98">
        <f>VLOOKUP($A236,lmic_raw[],48,FALSE)*(1-interactive!$C$7)</f>
        <v>0.12257774557800728</v>
      </c>
      <c r="AW236" s="98">
        <f>VLOOKUP($A236,lmic_raw[],49,FALSE)*(1-interactive!$C$7)</f>
        <v>0.14544814336410306</v>
      </c>
      <c r="AX236" s="98">
        <f>VLOOKUP($A236,lmic_raw[],50,FALSE)*(1-interactive!$C$7)</f>
        <v>70.377899999999997</v>
      </c>
    </row>
    <row r="237" spans="1:50" x14ac:dyDescent="0.25">
      <c r="A237" s="110" t="s">
        <v>272</v>
      </c>
      <c r="B237" s="104" t="s">
        <v>493</v>
      </c>
      <c r="C237" s="105">
        <v>604</v>
      </c>
      <c r="D237" s="122" t="s">
        <v>679</v>
      </c>
      <c r="E237" s="94" t="s">
        <v>593</v>
      </c>
      <c r="F237" s="94" t="s">
        <v>665</v>
      </c>
      <c r="G237" s="94" t="s">
        <v>676</v>
      </c>
      <c r="H237" s="98">
        <f>VLOOKUP(lmic_raw_lb[[#This Row],[setting]],lmic_raw[],8,FALSE)</f>
        <v>32510462</v>
      </c>
      <c r="I237" s="98">
        <f>VLOOKUP(lmic_raw_lb[[#This Row],[setting]],lmic_raw[],9,FALSE)</f>
        <v>588374.3412759999</v>
      </c>
      <c r="J237" s="94">
        <f>VLOOKUP($A237,lmic_raw[],10,FALSE)*(1-interactive!$C$7)</f>
        <v>0.86449999999999994</v>
      </c>
      <c r="K237" s="94">
        <f>VLOOKUP($A237,lmic_raw[],11,FALSE)*(1-interactive!$C$7)</f>
        <v>0.77899999999999991</v>
      </c>
      <c r="L237" s="94">
        <f>VLOOKUP($A237,lmic_raw[],12,FALSE)*(1-interactive!$C$7)</f>
        <v>0.83599999999999997</v>
      </c>
      <c r="M237" s="94">
        <f>IFERROR(VLOOKUP(lmic_raw_lb[[#This Row],[iso3]], hbv_prev[[iso3]:[ub]],3,FALSE)/100,0)</f>
        <v>1.18E-2</v>
      </c>
      <c r="N237" s="94">
        <f>IFERROR(VLOOKUP(lmic_raw_lb[[#This Row],[setting]],hbe_prev[],4,FALSE),0)</f>
        <v>0.16269999999999998</v>
      </c>
      <c r="O237" s="94">
        <f>VLOOKUP(lmic_raw_lb[[#This Row],[gbd_super]],hbe_risk[],3,FALSE)</f>
        <v>0.7</v>
      </c>
      <c r="P237" s="94">
        <f>VLOOKUP(lmic_raw_lb[[#This Row],[gbd_super]],hbe_risk[],6,FALSE)</f>
        <v>0.05</v>
      </c>
      <c r="Q237" s="94">
        <f>VLOOKUP(lmic_raw_lb[[#This Row],[setting]],lmic_raw[],17,FALSE)*(1-interactive!$C$7)</f>
        <v>9.5387727562888625</v>
      </c>
      <c r="R237" s="98">
        <f>VLOOKUP(lmic_raw_lb[[#This Row],[setting]],lmic_raw[],18,FALSE)*(1-interactive!$C$7)</f>
        <v>82.539704999999998</v>
      </c>
      <c r="S237" s="98">
        <f>VLOOKUP(lmic_raw_lb[[#This Row],[setting]],lmic_raw[],19,FALSE)*(1-interactive!$C$7)</f>
        <v>127.894605</v>
      </c>
      <c r="T237" s="98">
        <f>VLOOKUP(lmic_raw_lb[[#This Row],[setting]],lmic_raw[],20,FALSE)*(1-interactive!$C$7)</f>
        <v>127.894605</v>
      </c>
      <c r="U237" s="98">
        <f>VLOOKUP(lmic_raw_lb[[#This Row],[setting]],lmic_raw[],21,FALSE)*(1-interactive!$C$7)</f>
        <v>127.894605</v>
      </c>
      <c r="V237" s="33">
        <f>IFERROR(VLOOKUP(lmic_raw_lb[[#This Row],[setting]],vcost_lb[],3,FALSE),0)</f>
        <v>1.2798529655968391</v>
      </c>
      <c r="W237" s="33">
        <f>IFERROR(VLOOKUP(lmic_raw_lb[[#This Row],[setting]],vcost_lb[],4,FALSE),0)</f>
        <v>1.3005629655968391</v>
      </c>
      <c r="X237" s="33">
        <f>IFERROR(VLOOKUP(lmic_raw_lb[[#This Row],[setting]],vcost_lb[],5,FALSE),0)</f>
        <v>0.90888292498217149</v>
      </c>
      <c r="Y237" s="33">
        <f>IFERROR(VLOOKUP(lmic_raw_lb[[#This Row],[setting]],vcost_lb[],6,FALSE),0)</f>
        <v>0.9295929249821715</v>
      </c>
      <c r="Z237" s="33">
        <f>IFERROR(VLOOKUP(lmic_raw_lb[[#This Row],[setting]],vcost_lb[],7,FALSE),0)</f>
        <v>0.9238092318816512</v>
      </c>
      <c r="AA237" s="33">
        <f>IFERROR(VLOOKUP(lmic_raw_lb[[#This Row],[setting]],vcost_lb[],8,FALSE),0)</f>
        <v>1.4934816575244805</v>
      </c>
      <c r="AB237" s="33">
        <f>IFERROR(VLOOKUP(lmic_raw_lb[[#This Row],[setting]],vcost_lb[],9,FALSE),0)</f>
        <v>1.5141916575244805</v>
      </c>
      <c r="AC237" s="94">
        <f>VLOOKUP($A237,lmic_raw[],29,FALSE)*(1-interactive!$C$7)</f>
        <v>1.2148020500000014E-2</v>
      </c>
      <c r="AD237" s="94">
        <f>VLOOKUP($A237,lmic_raw[],30,FALSE)*(1-interactive!$C$7)</f>
        <v>8.3146311816255478E-4</v>
      </c>
      <c r="AE237" s="94">
        <f>VLOOKUP($A237,lmic_raw[],31,FALSE)*(1-interactive!$C$7)</f>
        <v>4.702041708533504E-4</v>
      </c>
      <c r="AF237" s="94">
        <f>VLOOKUP($A237,lmic_raw[],32,FALSE)*(1-interactive!$C$7)</f>
        <v>3.1909528730386557E-4</v>
      </c>
      <c r="AG237" s="94">
        <f>VLOOKUP($A237,lmic_raw[],33,FALSE)*(1-interactive!$C$7)</f>
        <v>7.5478191803101215E-4</v>
      </c>
      <c r="AH237" s="94">
        <f>VLOOKUP($A237,lmic_raw[],34,FALSE)*(1-interactive!$C$7)</f>
        <v>1.1212737516538636E-3</v>
      </c>
      <c r="AI237" s="94">
        <f>VLOOKUP($A237,lmic_raw[],35,FALSE)*(1-interactive!$C$7)</f>
        <v>1.4548397604334552E-3</v>
      </c>
      <c r="AJ237" s="94">
        <f>VLOOKUP($A237,lmic_raw[],36,FALSE)*(1-interactive!$C$7)</f>
        <v>1.5992634334729828E-3</v>
      </c>
      <c r="AK237" s="94">
        <f>VLOOKUP($A237,lmic_raw[],37,FALSE)*(1-interactive!$C$7)</f>
        <v>1.9124378268532644E-3</v>
      </c>
      <c r="AL237" s="94">
        <f>VLOOKUP($A237,lmic_raw[],38,FALSE)*(1-interactive!$C$7)</f>
        <v>2.4373439660064773E-3</v>
      </c>
      <c r="AM237" s="94">
        <f>VLOOKUP($A237,lmic_raw[],39,FALSE)*(1-interactive!$C$7)</f>
        <v>3.2513172957055357E-3</v>
      </c>
      <c r="AN237" s="94">
        <f>VLOOKUP($A237,lmic_raw[],40,FALSE)*(1-interactive!$C$7)</f>
        <v>4.5215476769519449E-3</v>
      </c>
      <c r="AO237" s="94">
        <f>VLOOKUP($A237,lmic_raw[],41,FALSE)*(1-interactive!$C$7)</f>
        <v>6.4528149515858972E-3</v>
      </c>
      <c r="AP237" s="94">
        <f>VLOOKUP($A237,lmic_raw[],42,FALSE)*(1-interactive!$C$7)</f>
        <v>9.7305599372724573E-3</v>
      </c>
      <c r="AQ237" s="94">
        <f>VLOOKUP($A237,lmic_raw[],43,FALSE)*(1-interactive!$C$7)</f>
        <v>1.4510473339758545E-2</v>
      </c>
      <c r="AR237" s="94">
        <f>VLOOKUP($A237,lmic_raw[],44,FALSE)*(1-interactive!$C$7)</f>
        <v>2.4481011470699515E-2</v>
      </c>
      <c r="AS237" s="94">
        <f>VLOOKUP($A237,lmic_raw[],45,FALSE)*(1-interactive!$C$7)</f>
        <v>3.7884473843180035E-2</v>
      </c>
      <c r="AT237" s="94">
        <f>VLOOKUP($A237,lmic_raw[],46,FALSE)*(1-interactive!$C$7)</f>
        <v>5.9437506740438649E-2</v>
      </c>
      <c r="AU237" s="94">
        <f>VLOOKUP($A237,lmic_raw[],47,FALSE)*(1-interactive!$C$7)</f>
        <v>8.8501208387771743E-2</v>
      </c>
      <c r="AV237" s="94">
        <f>VLOOKUP($A237,lmic_raw[],48,FALSE)*(1-interactive!$C$7)</f>
        <v>0.11746947052396935</v>
      </c>
      <c r="AW237" s="94">
        <f>VLOOKUP($A237,lmic_raw[],49,FALSE)*(1-interactive!$C$7)</f>
        <v>0.14243210044712673</v>
      </c>
      <c r="AX237" s="94">
        <f>VLOOKUP($A237,lmic_raw[],50,FALSE)*(1-interactive!$C$7)</f>
        <v>72.588549999999998</v>
      </c>
    </row>
    <row r="238" spans="1:50" x14ac:dyDescent="0.25">
      <c r="A238" s="109" t="s">
        <v>654</v>
      </c>
      <c r="B238" s="101" t="s">
        <v>494</v>
      </c>
      <c r="C238" s="102">
        <v>608</v>
      </c>
      <c r="D238" s="121" t="s">
        <v>681</v>
      </c>
      <c r="E238" s="98" t="s">
        <v>598</v>
      </c>
      <c r="F238" s="98" t="s">
        <v>666</v>
      </c>
      <c r="G238" s="98" t="s">
        <v>678</v>
      </c>
      <c r="H238" s="98">
        <f>VLOOKUP(lmic_raw_lb[[#This Row],[setting]],lmic_raw[],8,FALSE)</f>
        <v>108116622</v>
      </c>
      <c r="I238" s="98">
        <f>VLOOKUP(lmic_raw_lb[[#This Row],[setting]],lmic_raw[],9,FALSE)</f>
        <v>2224607.6142720003</v>
      </c>
      <c r="J238" s="98">
        <f>VLOOKUP($A238,lmic_raw[],10,FALSE)*(1-interactive!$C$7)</f>
        <v>0.73814999999999997</v>
      </c>
      <c r="K238" s="98">
        <f>VLOOKUP($A238,lmic_raw[],11,FALSE)*(1-interactive!$C$7)</f>
        <v>0.47499999999999998</v>
      </c>
      <c r="L238" s="98">
        <f>VLOOKUP($A238,lmic_raw[],12,FALSE)*(1-interactive!$C$7)</f>
        <v>0.61749999999999994</v>
      </c>
      <c r="M238" s="98">
        <f>IFERROR(VLOOKUP(lmic_raw_lb[[#This Row],[iso3]], hbv_prev[[iso3]:[ub]],3,FALSE)/100,0)</f>
        <v>2.9399999999999999E-2</v>
      </c>
      <c r="N238" s="98">
        <f>IFERROR(VLOOKUP(lmic_raw_lb[[#This Row],[setting]],hbe_prev[],4,FALSE),0)</f>
        <v>0.18099999999999999</v>
      </c>
      <c r="O238" s="98">
        <f>VLOOKUP(lmic_raw_lb[[#This Row],[gbd_super]],hbe_risk[],3,FALSE)</f>
        <v>0.7</v>
      </c>
      <c r="P238" s="98">
        <f>VLOOKUP(lmic_raw_lb[[#This Row],[gbd_super]],hbe_risk[],6,FALSE)</f>
        <v>0.05</v>
      </c>
      <c r="Q238" s="98">
        <f>VLOOKUP(lmic_raw_lb[[#This Row],[setting]],lmic_raw[],17,FALSE)*(1-interactive!$C$7)</f>
        <v>4.4422026185639867</v>
      </c>
      <c r="R238" s="98">
        <f>VLOOKUP(lmic_raw_lb[[#This Row],[setting]],lmic_raw[],18,FALSE)*(1-interactive!$C$7)</f>
        <v>69.430275000000009</v>
      </c>
      <c r="S238" s="98">
        <f>VLOOKUP(lmic_raw_lb[[#This Row],[setting]],lmic_raw[],19,FALSE)*(1-interactive!$C$7)</f>
        <v>114.785175</v>
      </c>
      <c r="T238" s="98">
        <f>VLOOKUP(lmic_raw_lb[[#This Row],[setting]],lmic_raw[],20,FALSE)*(1-interactive!$C$7)</f>
        <v>114.785175</v>
      </c>
      <c r="U238" s="98">
        <f>VLOOKUP(lmic_raw_lb[[#This Row],[setting]],lmic_raw[],21,FALSE)*(1-interactive!$C$7)</f>
        <v>114.785175</v>
      </c>
      <c r="V238" s="33">
        <f>IFERROR(VLOOKUP(lmic_raw_lb[[#This Row],[setting]],vcost_lb[],3,FALSE),0)</f>
        <v>0.60826822405847758</v>
      </c>
      <c r="W238" s="33">
        <f>IFERROR(VLOOKUP(lmic_raw_lb[[#This Row],[setting]],vcost_lb[],4,FALSE),0)</f>
        <v>1.2088582240584775</v>
      </c>
      <c r="X238" s="33">
        <f>IFERROR(VLOOKUP(lmic_raw_lb[[#This Row],[setting]],vcost_lb[],5,FALSE),0)</f>
        <v>0.23815660643019396</v>
      </c>
      <c r="Y238" s="33">
        <f>IFERROR(VLOOKUP(lmic_raw_lb[[#This Row],[setting]],vcost_lb[],6,FALSE),0)</f>
        <v>0.83874660643019394</v>
      </c>
      <c r="Z238" s="33">
        <f>IFERROR(VLOOKUP(lmic_raw_lb[[#This Row],[setting]],vcost_lb[],7,FALSE),0)</f>
        <v>0.83364385966362697</v>
      </c>
      <c r="AA238" s="33">
        <f>IFERROR(VLOOKUP(lmic_raw_lb[[#This Row],[setting]],vcost_lb[],8,FALSE),0)</f>
        <v>0.82152902042052545</v>
      </c>
      <c r="AB238" s="33">
        <f>IFERROR(VLOOKUP(lmic_raw_lb[[#This Row],[setting]],vcost_lb[],9,FALSE),0)</f>
        <v>1.4221190204205254</v>
      </c>
      <c r="AC238" s="98">
        <f>VLOOKUP($A238,lmic_raw[],29,FALSE)*(1-interactive!$C$7)</f>
        <v>1.8672781999999968E-2</v>
      </c>
      <c r="AD238" s="98">
        <f>VLOOKUP($A238,lmic_raw[],30,FALSE)*(1-interactive!$C$7)</f>
        <v>1.9421207203459956E-3</v>
      </c>
      <c r="AE238" s="98">
        <f>VLOOKUP($A238,lmic_raw[],31,FALSE)*(1-interactive!$C$7)</f>
        <v>5.8233734379831343E-4</v>
      </c>
      <c r="AF238" s="98">
        <f>VLOOKUP($A238,lmic_raw[],32,FALSE)*(1-interactive!$C$7)</f>
        <v>5.0546568584214802E-4</v>
      </c>
      <c r="AG238" s="98">
        <f>VLOOKUP($A238,lmic_raw[],33,FALSE)*(1-interactive!$C$7)</f>
        <v>1.0812385462544293E-3</v>
      </c>
      <c r="AH238" s="98">
        <f>VLOOKUP($A238,lmic_raw[],34,FALSE)*(1-interactive!$C$7)</f>
        <v>1.5124143203958972E-3</v>
      </c>
      <c r="AI238" s="98">
        <f>VLOOKUP($A238,lmic_raw[],35,FALSE)*(1-interactive!$C$7)</f>
        <v>1.6528953933132166E-3</v>
      </c>
      <c r="AJ238" s="98">
        <f>VLOOKUP($A238,lmic_raw[],36,FALSE)*(1-interactive!$C$7)</f>
        <v>1.9725140785456503E-3</v>
      </c>
      <c r="AK238" s="98">
        <f>VLOOKUP($A238,lmic_raw[],37,FALSE)*(1-interactive!$C$7)</f>
        <v>2.6178735582355304E-3</v>
      </c>
      <c r="AL238" s="98">
        <f>VLOOKUP($A238,lmic_raw[],38,FALSE)*(1-interactive!$C$7)</f>
        <v>3.6751349247755838E-3</v>
      </c>
      <c r="AM238" s="98">
        <f>VLOOKUP($A238,lmic_raw[],39,FALSE)*(1-interactive!$C$7)</f>
        <v>5.445079321599061E-3</v>
      </c>
      <c r="AN238" s="98">
        <f>VLOOKUP($A238,lmic_raw[],40,FALSE)*(1-interactive!$C$7)</f>
        <v>8.1466394857097821E-3</v>
      </c>
      <c r="AO238" s="98">
        <f>VLOOKUP($A238,lmic_raw[],41,FALSE)*(1-interactive!$C$7)</f>
        <v>1.2154970688764689E-2</v>
      </c>
      <c r="AP238" s="98">
        <f>VLOOKUP($A238,lmic_raw[],42,FALSE)*(1-interactive!$C$7)</f>
        <v>1.6566711347105391E-2</v>
      </c>
      <c r="AQ238" s="98">
        <f>VLOOKUP($A238,lmic_raw[],43,FALSE)*(1-interactive!$C$7)</f>
        <v>2.2355722171012921E-2</v>
      </c>
      <c r="AR238" s="98">
        <f>VLOOKUP($A238,lmic_raw[],44,FALSE)*(1-interactive!$C$7)</f>
        <v>3.2069031907145724E-2</v>
      </c>
      <c r="AS238" s="98">
        <f>VLOOKUP($A238,lmic_raw[],45,FALSE)*(1-interactive!$C$7)</f>
        <v>4.9148212973042012E-2</v>
      </c>
      <c r="AT238" s="98">
        <f>VLOOKUP($A238,lmic_raw[],46,FALSE)*(1-interactive!$C$7)</f>
        <v>7.2194901963303346E-2</v>
      </c>
      <c r="AU238" s="98">
        <f>VLOOKUP($A238,lmic_raw[],47,FALSE)*(1-interactive!$C$7)</f>
        <v>9.9520621089581374E-2</v>
      </c>
      <c r="AV238" s="98">
        <f>VLOOKUP($A238,lmic_raw[],48,FALSE)*(1-interactive!$C$7)</f>
        <v>0.12563182071428741</v>
      </c>
      <c r="AW238" s="98">
        <f>VLOOKUP($A238,lmic_raw[],49,FALSE)*(1-interactive!$C$7)</f>
        <v>0.14895189608500492</v>
      </c>
      <c r="AX238" s="98">
        <f>VLOOKUP($A238,lmic_raw[],50,FALSE)*(1-interactive!$C$7)</f>
        <v>67.483249999999998</v>
      </c>
    </row>
    <row r="239" spans="1:50" x14ac:dyDescent="0.25">
      <c r="A239" s="110" t="s">
        <v>313</v>
      </c>
      <c r="B239" s="104" t="s">
        <v>500</v>
      </c>
      <c r="C239" s="105">
        <v>642</v>
      </c>
      <c r="D239" s="122" t="s">
        <v>675</v>
      </c>
      <c r="E239" s="94" t="s">
        <v>580</v>
      </c>
      <c r="F239" s="94" t="s">
        <v>663</v>
      </c>
      <c r="G239" s="94" t="s">
        <v>676</v>
      </c>
      <c r="H239" s="98">
        <f>VLOOKUP(lmic_raw_lb[[#This Row],[setting]],lmic_raw[],8,FALSE)</f>
        <v>19364558</v>
      </c>
      <c r="I239" s="98">
        <f>VLOOKUP(lmic_raw_lb[[#This Row],[setting]],lmic_raw[],9,FALSE)</f>
        <v>189462.83547200004</v>
      </c>
      <c r="J239" s="94">
        <f>VLOOKUP($A239,lmic_raw[],10,FALSE)*(1-interactive!$C$7)</f>
        <v>0.90155000000000007</v>
      </c>
      <c r="K239" s="94">
        <f>VLOOKUP($A239,lmic_raw[],11,FALSE)*(1-interactive!$C$7)</f>
        <v>0.9405</v>
      </c>
      <c r="L239" s="94">
        <f>VLOOKUP($A239,lmic_raw[],12,FALSE)*(1-interactive!$C$7)</f>
        <v>0.85499999999999998</v>
      </c>
      <c r="M239" s="94">
        <f>IFERROR(VLOOKUP(lmic_raw_lb[[#This Row],[iso3]], hbv_prev[[iso3]:[ub]],3,FALSE)/100,0)</f>
        <v>3.95E-2</v>
      </c>
      <c r="N239" s="94">
        <f>IFERROR(VLOOKUP(lmic_raw_lb[[#This Row],[setting]],hbe_prev[],4,FALSE),0)</f>
        <v>0.16329999999999997</v>
      </c>
      <c r="O239" s="94">
        <f>VLOOKUP(lmic_raw_lb[[#This Row],[gbd_super]],hbe_risk[],3,FALSE)</f>
        <v>0.7</v>
      </c>
      <c r="P239" s="94">
        <f>VLOOKUP(lmic_raw_lb[[#This Row],[gbd_super]],hbe_risk[],6,FALSE)</f>
        <v>0.05</v>
      </c>
      <c r="Q239" s="94">
        <f>VLOOKUP(lmic_raw_lb[[#This Row],[setting]],lmic_raw[],17,FALSE)*(1-interactive!$C$7)</f>
        <v>12.79742047709083</v>
      </c>
      <c r="R239" s="98">
        <f>VLOOKUP(lmic_raw_lb[[#This Row],[setting]],lmic_raw[],18,FALSE)*(1-interactive!$C$7)</f>
        <v>42.31053</v>
      </c>
      <c r="S239" s="98">
        <f>VLOOKUP(lmic_raw_lb[[#This Row],[setting]],lmic_raw[],19,FALSE)*(1-interactive!$C$7)</f>
        <v>87.665430000000001</v>
      </c>
      <c r="T239" s="98">
        <f>VLOOKUP(lmic_raw_lb[[#This Row],[setting]],lmic_raw[],20,FALSE)*(1-interactive!$C$7)</f>
        <v>87.665430000000001</v>
      </c>
      <c r="U239" s="98">
        <f>VLOOKUP(lmic_raw_lb[[#This Row],[setting]],lmic_raw[],21,FALSE)*(1-interactive!$C$7)</f>
        <v>87.665430000000001</v>
      </c>
      <c r="V239" s="33">
        <f>IFERROR(VLOOKUP(lmic_raw_lb[[#This Row],[setting]],vcost_lb[],3,FALSE),0)</f>
        <v>1.5656410161282148</v>
      </c>
      <c r="W239" s="33">
        <f>IFERROR(VLOOKUP(lmic_raw_lb[[#This Row],[setting]],vcost_lb[],4,FALSE),0)</f>
        <v>5.428056016128215</v>
      </c>
      <c r="X239" s="33">
        <f>IFERROR(VLOOKUP(lmic_raw_lb[[#This Row],[setting]],vcost_lb[],5,FALSE),0)</f>
        <v>1.1872641311770982</v>
      </c>
      <c r="Y239" s="33">
        <f>IFERROR(VLOOKUP(lmic_raw_lb[[#This Row],[setting]],vcost_lb[],6,FALSE),0)</f>
        <v>5.0496791311770988</v>
      </c>
      <c r="Z239" s="33">
        <f>IFERROR(VLOOKUP(lmic_raw_lb[[#This Row],[setting]],vcost_lb[],7,FALSE),0)</f>
        <v>5.0392744047356857</v>
      </c>
      <c r="AA239" s="33">
        <f>IFERROR(VLOOKUP(lmic_raw_lb[[#This Row],[setting]],vcost_lb[],8,FALSE),0)</f>
        <v>1.7824440699143338</v>
      </c>
      <c r="AB239" s="33">
        <f>IFERROR(VLOOKUP(lmic_raw_lb[[#This Row],[setting]],vcost_lb[],9,FALSE),0)</f>
        <v>5.6448590699143342</v>
      </c>
      <c r="AC239" s="94">
        <f>VLOOKUP($A239,lmic_raw[],29,FALSE)*(1-interactive!$C$7)</f>
        <v>6.3500279999999911E-3</v>
      </c>
      <c r="AD239" s="94">
        <f>VLOOKUP($A239,lmic_raw[],30,FALSE)*(1-interactive!$C$7)</f>
        <v>2.8802485223833351E-4</v>
      </c>
      <c r="AE239" s="94">
        <f>VLOOKUP($A239,lmic_raw[],31,FALSE)*(1-interactive!$C$7)</f>
        <v>1.3537898723100145E-4</v>
      </c>
      <c r="AF239" s="94">
        <f>VLOOKUP($A239,lmic_raw[],32,FALSE)*(1-interactive!$C$7)</f>
        <v>1.8509876642345733E-4</v>
      </c>
      <c r="AG239" s="94">
        <f>VLOOKUP($A239,lmic_raw[],33,FALSE)*(1-interactive!$C$7)</f>
        <v>3.4309362399519622E-4</v>
      </c>
      <c r="AH239" s="94">
        <f>VLOOKUP($A239,lmic_raw[],34,FALSE)*(1-interactive!$C$7)</f>
        <v>4.4579137219563002E-4</v>
      </c>
      <c r="AI239" s="94">
        <f>VLOOKUP($A239,lmic_raw[],35,FALSE)*(1-interactive!$C$7)</f>
        <v>6.1866670684252725E-4</v>
      </c>
      <c r="AJ239" s="94">
        <f>VLOOKUP($A239,lmic_raw[],36,FALSE)*(1-interactive!$C$7)</f>
        <v>7.080192274657621E-4</v>
      </c>
      <c r="AK239" s="94">
        <f>VLOOKUP($A239,lmic_raw[],37,FALSE)*(1-interactive!$C$7)</f>
        <v>1.1423606510693337E-3</v>
      </c>
      <c r="AL239" s="94">
        <f>VLOOKUP($A239,lmic_raw[],38,FALSE)*(1-interactive!$C$7)</f>
        <v>2.1321994703945349E-3</v>
      </c>
      <c r="AM239" s="94">
        <f>VLOOKUP($A239,lmic_raw[],39,FALSE)*(1-interactive!$C$7)</f>
        <v>3.3602561836229118E-3</v>
      </c>
      <c r="AN239" s="94">
        <f>VLOOKUP($A239,lmic_raw[],40,FALSE)*(1-interactive!$C$7)</f>
        <v>6.0233345476741283E-3</v>
      </c>
      <c r="AO239" s="94">
        <f>VLOOKUP($A239,lmic_raw[],41,FALSE)*(1-interactive!$C$7)</f>
        <v>1.0104645804220666E-2</v>
      </c>
      <c r="AP239" s="94">
        <f>VLOOKUP($A239,lmic_raw[],42,FALSE)*(1-interactive!$C$7)</f>
        <v>1.4592311173596344E-2</v>
      </c>
      <c r="AQ239" s="94">
        <f>VLOOKUP($A239,lmic_raw[],43,FALSE)*(1-interactive!$C$7)</f>
        <v>1.8969550758949235E-2</v>
      </c>
      <c r="AR239" s="94">
        <f>VLOOKUP($A239,lmic_raw[],44,FALSE)*(1-interactive!$C$7)</f>
        <v>2.7476099765296011E-2</v>
      </c>
      <c r="AS239" s="94">
        <f>VLOOKUP($A239,lmic_raw[],45,FALSE)*(1-interactive!$C$7)</f>
        <v>4.393508434877693E-2</v>
      </c>
      <c r="AT239" s="94">
        <f>VLOOKUP($A239,lmic_raw[],46,FALSE)*(1-interactive!$C$7)</f>
        <v>6.9845727271232463E-2</v>
      </c>
      <c r="AU239" s="94">
        <f>VLOOKUP($A239,lmic_raw[],47,FALSE)*(1-interactive!$C$7)</f>
        <v>0.10322178652396333</v>
      </c>
      <c r="AV239" s="94">
        <f>VLOOKUP($A239,lmic_raw[],48,FALSE)*(1-interactive!$C$7)</f>
        <v>0.13568145651748781</v>
      </c>
      <c r="AW239" s="94">
        <f>VLOOKUP($A239,lmic_raw[],49,FALSE)*(1-interactive!$C$7)</f>
        <v>0.15994952815893027</v>
      </c>
      <c r="AX239" s="94">
        <f>VLOOKUP($A239,lmic_raw[],50,FALSE)*(1-interactive!$C$7)</f>
        <v>72.03564999999999</v>
      </c>
    </row>
    <row r="240" spans="1:50" x14ac:dyDescent="0.25">
      <c r="A240" s="109" t="s">
        <v>641</v>
      </c>
      <c r="B240" s="101" t="s">
        <v>501</v>
      </c>
      <c r="C240" s="102">
        <v>643</v>
      </c>
      <c r="D240" s="121" t="s">
        <v>675</v>
      </c>
      <c r="E240" s="98" t="s">
        <v>306</v>
      </c>
      <c r="F240" s="98" t="s">
        <v>663</v>
      </c>
      <c r="G240" s="98" t="s">
        <v>676</v>
      </c>
      <c r="H240" s="98">
        <f>VLOOKUP(lmic_raw_lb[[#This Row],[setting]],lmic_raw[],8,FALSE)</f>
        <v>145872260</v>
      </c>
      <c r="I240" s="98">
        <f>VLOOKUP(lmic_raw_lb[[#This Row],[setting]],lmic_raw[],9,FALSE)</f>
        <v>1862788.7602000001</v>
      </c>
      <c r="J240" s="98">
        <f>VLOOKUP($A240,lmic_raw[],10,FALSE)*(1-interactive!$C$7)</f>
        <v>0.93764999999999998</v>
      </c>
      <c r="K240" s="98">
        <f>VLOOKUP($A240,lmic_raw[],11,FALSE)*(1-interactive!$C$7)</f>
        <v>0</v>
      </c>
      <c r="L240" s="98">
        <f>VLOOKUP($A240,lmic_raw[],12,FALSE)*(1-interactive!$C$7)</f>
        <v>0.92149999999999999</v>
      </c>
      <c r="M240" s="98">
        <f>IFERROR(VLOOKUP(lmic_raw_lb[[#This Row],[iso3]], hbv_prev[[iso3]:[ub]],3,FALSE)/100,0)</f>
        <v>2.2700000000000001E-2</v>
      </c>
      <c r="N240" s="98">
        <f>IFERROR(VLOOKUP(lmic_raw_lb[[#This Row],[setting]],hbe_prev[],4,FALSE),0)</f>
        <v>0.16339999999999999</v>
      </c>
      <c r="O240" s="98">
        <f>VLOOKUP(lmic_raw_lb[[#This Row],[gbd_super]],hbe_risk[],3,FALSE)</f>
        <v>0.7</v>
      </c>
      <c r="P240" s="98">
        <f>VLOOKUP(lmic_raw_lb[[#This Row],[gbd_super]],hbe_risk[],6,FALSE)</f>
        <v>0.05</v>
      </c>
      <c r="Q240" s="98">
        <f>VLOOKUP(lmic_raw_lb[[#This Row],[setting]],lmic_raw[],17,FALSE)*(1-interactive!$C$7)</f>
        <v>16.87918682633066</v>
      </c>
      <c r="R240" s="98">
        <f>VLOOKUP(lmic_raw_lb[[#This Row],[setting]],lmic_raw[],18,FALSE)*(1-interactive!$C$7)</f>
        <v>42.31053</v>
      </c>
      <c r="S240" s="98">
        <f>VLOOKUP(lmic_raw_lb[[#This Row],[setting]],lmic_raw[],19,FALSE)*(1-interactive!$C$7)</f>
        <v>87.665430000000001</v>
      </c>
      <c r="T240" s="98">
        <f>VLOOKUP(lmic_raw_lb[[#This Row],[setting]],lmic_raw[],20,FALSE)*(1-interactive!$C$7)</f>
        <v>87.665430000000001</v>
      </c>
      <c r="U240" s="98">
        <f>VLOOKUP(lmic_raw_lb[[#This Row],[setting]],lmic_raw[],21,FALSE)*(1-interactive!$C$7)</f>
        <v>87.665430000000001</v>
      </c>
      <c r="V240" s="33">
        <f>IFERROR(VLOOKUP(lmic_raw_lb[[#This Row],[setting]],vcost_lb[],3,FALSE),0)</f>
        <v>1.324771410347283</v>
      </c>
      <c r="W240" s="33">
        <f>IFERROR(VLOOKUP(lmic_raw_lb[[#This Row],[setting]],vcost_lb[],4,FALSE),0)</f>
        <v>5.1871864103472838</v>
      </c>
      <c r="X240" s="33">
        <f>IFERROR(VLOOKUP(lmic_raw_lb[[#This Row],[setting]],vcost_lb[],5,FALSE),0)</f>
        <v>0.94802906895302075</v>
      </c>
      <c r="Y240" s="33">
        <f>IFERROR(VLOOKUP(lmic_raw_lb[[#This Row],[setting]],vcost_lb[],6,FALSE),0)</f>
        <v>4.8104440689530215</v>
      </c>
      <c r="Z240" s="33">
        <f>IFERROR(VLOOKUP(lmic_raw_lb[[#This Row],[setting]],vcost_lb[],7,FALSE),0)</f>
        <v>4.8010357515411988</v>
      </c>
      <c r="AA240" s="33">
        <f>IFERROR(VLOOKUP(lmic_raw_lb[[#This Row],[setting]],vcost_lb[],8,FALSE),0)</f>
        <v>1.5408739454661788</v>
      </c>
      <c r="AB240" s="33">
        <f>IFERROR(VLOOKUP(lmic_raw_lb[[#This Row],[setting]],vcost_lb[],9,FALSE),0)</f>
        <v>5.403288945466179</v>
      </c>
      <c r="AC240" s="98">
        <f>VLOOKUP($A240,lmic_raw[],29,FALSE)*(1-interactive!$C$7)</f>
        <v>5.4706035000000267E-3</v>
      </c>
      <c r="AD240" s="98">
        <f>VLOOKUP($A240,lmic_raw[],30,FALSE)*(1-interactive!$C$7)</f>
        <v>3.2367401150546539E-4</v>
      </c>
      <c r="AE240" s="98">
        <f>VLOOKUP($A240,lmic_raw[],31,FALSE)*(1-interactive!$C$7)</f>
        <v>1.8729099826196951E-4</v>
      </c>
      <c r="AF240" s="98">
        <f>VLOOKUP($A240,lmic_raw[],32,FALSE)*(1-interactive!$C$7)</f>
        <v>2.4698274612734613E-4</v>
      </c>
      <c r="AG240" s="98">
        <f>VLOOKUP($A240,lmic_raw[],33,FALSE)*(1-interactive!$C$7)</f>
        <v>5.9500966648748908E-4</v>
      </c>
      <c r="AH240" s="98">
        <f>VLOOKUP($A240,lmic_raw[],34,FALSE)*(1-interactive!$C$7)</f>
        <v>1.0551206096273207E-3</v>
      </c>
      <c r="AI240" s="98">
        <f>VLOOKUP($A240,lmic_raw[],35,FALSE)*(1-interactive!$C$7)</f>
        <v>1.6945007005218563E-3</v>
      </c>
      <c r="AJ240" s="98">
        <f>VLOOKUP($A240,lmic_raw[],36,FALSE)*(1-interactive!$C$7)</f>
        <v>2.8437315991563916E-3</v>
      </c>
      <c r="AK240" s="98">
        <f>VLOOKUP($A240,lmic_raw[],37,FALSE)*(1-interactive!$C$7)</f>
        <v>4.1703219458116125E-3</v>
      </c>
      <c r="AL240" s="98">
        <f>VLOOKUP($A240,lmic_raw[],38,FALSE)*(1-interactive!$C$7)</f>
        <v>5.0043817922165194E-3</v>
      </c>
      <c r="AM240" s="98">
        <f>VLOOKUP($A240,lmic_raw[],39,FALSE)*(1-interactive!$C$7)</f>
        <v>6.1493883564960649E-3</v>
      </c>
      <c r="AN240" s="98">
        <f>VLOOKUP($A240,lmic_raw[],40,FALSE)*(1-interactive!$C$7)</f>
        <v>8.3909551855863643E-3</v>
      </c>
      <c r="AO240" s="98">
        <f>VLOOKUP($A240,lmic_raw[],41,FALSE)*(1-interactive!$C$7)</f>
        <v>1.1714690330774383E-2</v>
      </c>
      <c r="AP240" s="98">
        <f>VLOOKUP($A240,lmic_raw[],42,FALSE)*(1-interactive!$C$7)</f>
        <v>1.6849062634857387E-2</v>
      </c>
      <c r="AQ240" s="98">
        <f>VLOOKUP($A240,lmic_raw[],43,FALSE)*(1-interactive!$C$7)</f>
        <v>2.2780049402458816E-2</v>
      </c>
      <c r="AR240" s="98">
        <f>VLOOKUP($A240,lmic_raw[],44,FALSE)*(1-interactive!$C$7)</f>
        <v>3.1424495158527327E-2</v>
      </c>
      <c r="AS240" s="98">
        <f>VLOOKUP($A240,lmic_raw[],45,FALSE)*(1-interactive!$C$7)</f>
        <v>4.7196941089161906E-2</v>
      </c>
      <c r="AT240" s="98">
        <f>VLOOKUP($A240,lmic_raw[],46,FALSE)*(1-interactive!$C$7)</f>
        <v>7.0986452606725189E-2</v>
      </c>
      <c r="AU240" s="98">
        <f>VLOOKUP($A240,lmic_raw[],47,FALSE)*(1-interactive!$C$7)</f>
        <v>9.5637247821059965E-2</v>
      </c>
      <c r="AV240" s="98">
        <f>VLOOKUP($A240,lmic_raw[],48,FALSE)*(1-interactive!$C$7)</f>
        <v>0.12513115172212536</v>
      </c>
      <c r="AW240" s="98">
        <f>VLOOKUP($A240,lmic_raw[],49,FALSE)*(1-interactive!$C$7)</f>
        <v>0.15058502233458926</v>
      </c>
      <c r="AX240" s="98">
        <f>VLOOKUP($A240,lmic_raw[],50,FALSE)*(1-interactive!$C$7)</f>
        <v>68.674549999999996</v>
      </c>
    </row>
    <row r="241" spans="1:50" x14ac:dyDescent="0.25">
      <c r="A241" s="110" t="s">
        <v>113</v>
      </c>
      <c r="B241" s="104" t="s">
        <v>502</v>
      </c>
      <c r="C241" s="105">
        <v>646</v>
      </c>
      <c r="D241" s="122" t="s">
        <v>677</v>
      </c>
      <c r="E241" s="94" t="s">
        <v>597</v>
      </c>
      <c r="F241" s="94" t="s">
        <v>667</v>
      </c>
      <c r="G241" s="94" t="s">
        <v>674</v>
      </c>
      <c r="H241" s="98">
        <f>VLOOKUP(lmic_raw_lb[[#This Row],[setting]],lmic_raw[],8,FALSE)</f>
        <v>12626938</v>
      </c>
      <c r="I241" s="98">
        <f>VLOOKUP(lmic_raw_lb[[#This Row],[setting]],lmic_raw[],9,FALSE)</f>
        <v>405248.948172</v>
      </c>
      <c r="J241" s="94">
        <f>VLOOKUP($A241,lmic_raw[],10,FALSE)*(1-interactive!$C$7)</f>
        <v>0.86165000000000003</v>
      </c>
      <c r="K241" s="94">
        <f>VLOOKUP($A241,lmic_raw[],11,FALSE)*(1-interactive!$C$7)</f>
        <v>0</v>
      </c>
      <c r="L241" s="94">
        <f>VLOOKUP($A241,lmic_raw[],12,FALSE)*(1-interactive!$C$7)</f>
        <v>0.93099999999999994</v>
      </c>
      <c r="M241" s="94">
        <f>IFERROR(VLOOKUP(lmic_raw_lb[[#This Row],[iso3]], hbv_prev[[iso3]:[ub]],3,FALSE)/100,0)</f>
        <v>2.5000000000000001E-2</v>
      </c>
      <c r="N241" s="94">
        <f>IFERROR(VLOOKUP(lmic_raw_lb[[#This Row],[setting]],hbe_prev[],4,FALSE),0)</f>
        <v>0.15560000000000002</v>
      </c>
      <c r="O241" s="94">
        <f>VLOOKUP(lmic_raw_lb[[#This Row],[gbd_super]],hbe_risk[],3,FALSE)</f>
        <v>7.0000000000000007E-2</v>
      </c>
      <c r="P241" s="94">
        <f>VLOOKUP(lmic_raw_lb[[#This Row],[gbd_super]],hbe_risk[],6,FALSE)</f>
        <v>1E-3</v>
      </c>
      <c r="Q241" s="94">
        <f>VLOOKUP(lmic_raw_lb[[#This Row],[setting]],lmic_raw[],17,FALSE)*(1-interactive!$C$7)</f>
        <v>2.7395873734390834</v>
      </c>
      <c r="R241" s="98">
        <f>VLOOKUP(lmic_raw_lb[[#This Row],[setting]],lmic_raw[],18,FALSE)*(1-interactive!$C$7)</f>
        <v>28.424474999999997</v>
      </c>
      <c r="S241" s="98">
        <f>VLOOKUP(lmic_raw_lb[[#This Row],[setting]],lmic_raw[],19,FALSE)*(1-interactive!$C$7)</f>
        <v>73.779375000000002</v>
      </c>
      <c r="T241" s="98">
        <f>VLOOKUP(lmic_raw_lb[[#This Row],[setting]],lmic_raw[],20,FALSE)*(1-interactive!$C$7)</f>
        <v>73.779375000000002</v>
      </c>
      <c r="U241" s="98">
        <f>VLOOKUP(lmic_raw_lb[[#This Row],[setting]],lmic_raw[],21,FALSE)*(1-interactive!$C$7)</f>
        <v>73.779375000000002</v>
      </c>
      <c r="V241" s="33">
        <f>IFERROR(VLOOKUP(lmic_raw_lb[[#This Row],[setting]],vcost_lb[],3,FALSE),0)</f>
        <v>1.4711569718036284</v>
      </c>
      <c r="W241" s="33">
        <f>IFERROR(VLOOKUP(lmic_raw_lb[[#This Row],[setting]],vcost_lb[],4,FALSE),0)</f>
        <v>6.0584219718036287</v>
      </c>
      <c r="X241" s="33">
        <f>IFERROR(VLOOKUP(lmic_raw_lb[[#This Row],[setting]],vcost_lb[],5,FALSE),0)</f>
        <v>1.1062382227508709</v>
      </c>
      <c r="Y241" s="33">
        <f>IFERROR(VLOOKUP(lmic_raw_lb[[#This Row],[setting]],vcost_lb[],6,FALSE),0)</f>
        <v>5.6935032227508717</v>
      </c>
      <c r="Z241" s="33">
        <f>IFERROR(VLOOKUP(lmic_raw_lb[[#This Row],[setting]],vcost_lb[],7,FALSE),0)</f>
        <v>5.6917061214460922</v>
      </c>
      <c r="AA241" s="33">
        <f>IFERROR(VLOOKUP(lmic_raw_lb[[#This Row],[setting]],vcost_lb[],8,FALSE),0)</f>
        <v>1.6821922530618794</v>
      </c>
      <c r="AB241" s="33">
        <f>IFERROR(VLOOKUP(lmic_raw_lb[[#This Row],[setting]],vcost_lb[],9,FALSE),0)</f>
        <v>6.26945725306188</v>
      </c>
      <c r="AC241" s="94">
        <f>VLOOKUP($A241,lmic_raw[],29,FALSE)*(1-interactive!$C$7)</f>
        <v>2.7734908000000068E-2</v>
      </c>
      <c r="AD241" s="94">
        <f>VLOOKUP($A241,lmic_raw[],30,FALSE)*(1-interactive!$C$7)</f>
        <v>2.2537152813000344E-3</v>
      </c>
      <c r="AE241" s="94">
        <f>VLOOKUP($A241,lmic_raw[],31,FALSE)*(1-interactive!$C$7)</f>
        <v>9.0098704642285895E-4</v>
      </c>
      <c r="AF241" s="94">
        <f>VLOOKUP($A241,lmic_raw[],32,FALSE)*(1-interactive!$C$7)</f>
        <v>6.9749025206191284E-4</v>
      </c>
      <c r="AG241" s="94">
        <f>VLOOKUP($A241,lmic_raw[],33,FALSE)*(1-interactive!$C$7)</f>
        <v>1.2188440033484927E-3</v>
      </c>
      <c r="AH241" s="94">
        <f>VLOOKUP($A241,lmic_raw[],34,FALSE)*(1-interactive!$C$7)</f>
        <v>1.8347775285385533E-3</v>
      </c>
      <c r="AI241" s="94">
        <f>VLOOKUP($A241,lmic_raw[],35,FALSE)*(1-interactive!$C$7)</f>
        <v>2.2150426001786945E-3</v>
      </c>
      <c r="AJ241" s="94">
        <f>VLOOKUP($A241,lmic_raw[],36,FALSE)*(1-interactive!$C$7)</f>
        <v>2.6652116430645151E-3</v>
      </c>
      <c r="AK241" s="94">
        <f>VLOOKUP($A241,lmic_raw[],37,FALSE)*(1-interactive!$C$7)</f>
        <v>3.3421373673868703E-3</v>
      </c>
      <c r="AL241" s="94">
        <f>VLOOKUP($A241,lmic_raw[],38,FALSE)*(1-interactive!$C$7)</f>
        <v>4.2910002488462809E-3</v>
      </c>
      <c r="AM241" s="94">
        <f>VLOOKUP($A241,lmic_raw[],39,FALSE)*(1-interactive!$C$7)</f>
        <v>5.5316875625050187E-3</v>
      </c>
      <c r="AN241" s="94">
        <f>VLOOKUP($A241,lmic_raw[],40,FALSE)*(1-interactive!$C$7)</f>
        <v>7.9955715948974611E-3</v>
      </c>
      <c r="AO241" s="94">
        <f>VLOOKUP($A241,lmic_raw[],41,FALSE)*(1-interactive!$C$7)</f>
        <v>1.0771706429857966E-2</v>
      </c>
      <c r="AP241" s="94">
        <f>VLOOKUP($A241,lmic_raw[],42,FALSE)*(1-interactive!$C$7)</f>
        <v>1.6102723458545482E-2</v>
      </c>
      <c r="AQ241" s="94">
        <f>VLOOKUP($A241,lmic_raw[],43,FALSE)*(1-interactive!$C$7)</f>
        <v>2.4774889946243221E-2</v>
      </c>
      <c r="AR241" s="94">
        <f>VLOOKUP($A241,lmic_raw[],44,FALSE)*(1-interactive!$C$7)</f>
        <v>3.8322315450047134E-2</v>
      </c>
      <c r="AS241" s="94">
        <f>VLOOKUP($A241,lmic_raw[],45,FALSE)*(1-interactive!$C$7)</f>
        <v>5.9299069274399561E-2</v>
      </c>
      <c r="AT241" s="94">
        <f>VLOOKUP($A241,lmic_raw[],46,FALSE)*(1-interactive!$C$7)</f>
        <v>9.0289633084927365E-2</v>
      </c>
      <c r="AU241" s="94">
        <f>VLOOKUP($A241,lmic_raw[],47,FALSE)*(1-interactive!$C$7)</f>
        <v>0.12781025248167344</v>
      </c>
      <c r="AV241" s="94">
        <f>VLOOKUP($A241,lmic_raw[],48,FALSE)*(1-interactive!$C$7)</f>
        <v>0.16315915976099893</v>
      </c>
      <c r="AW241" s="94">
        <f>VLOOKUP($A241,lmic_raw[],49,FALSE)*(1-interactive!$C$7)</f>
        <v>0.17775006944941502</v>
      </c>
      <c r="AX241" s="94">
        <f>VLOOKUP($A241,lmic_raw[],50,FALSE)*(1-interactive!$C$7)</f>
        <v>65.016099999999994</v>
      </c>
    </row>
    <row r="242" spans="1:50" x14ac:dyDescent="0.25">
      <c r="A242" s="109" t="s">
        <v>245</v>
      </c>
      <c r="B242" s="101" t="s">
        <v>503</v>
      </c>
      <c r="C242" s="102">
        <v>662</v>
      </c>
      <c r="D242" s="121" t="s">
        <v>679</v>
      </c>
      <c r="E242" s="98" t="s">
        <v>223</v>
      </c>
      <c r="F242" s="98" t="s">
        <v>665</v>
      </c>
      <c r="G242" s="98" t="s">
        <v>676</v>
      </c>
      <c r="H242" s="98">
        <f>VLOOKUP(lmic_raw_lb[[#This Row],[setting]],lmic_raw[],8,FALSE)</f>
        <v>182795</v>
      </c>
      <c r="I242" s="98">
        <f>VLOOKUP(lmic_raw_lb[[#This Row],[setting]],lmic_raw[],9,FALSE)</f>
        <v>2212.9162699999997</v>
      </c>
      <c r="J242" s="98">
        <f>VLOOKUP($A242,lmic_raw[],10,FALSE)*(1-interactive!$C$7)</f>
        <v>0.949905</v>
      </c>
      <c r="K242" s="98">
        <f>VLOOKUP($A242,lmic_raw[],11,FALSE)*(1-interactive!$C$7)</f>
        <v>0.8075</v>
      </c>
      <c r="L242" s="98">
        <f>VLOOKUP($A242,lmic_raw[],12,FALSE)*(1-interactive!$C$7)</f>
        <v>0.874</v>
      </c>
      <c r="M242" s="98">
        <f>IFERROR(VLOOKUP(lmic_raw_lb[[#This Row],[iso3]], hbv_prev[[iso3]:[ub]],3,FALSE)/100,0)</f>
        <v>1.4000000000000002E-3</v>
      </c>
      <c r="N242" s="98">
        <f>IFERROR(VLOOKUP(lmic_raw_lb[[#This Row],[setting]],hbe_prev[],4,FALSE),0)</f>
        <v>0.16309999999999999</v>
      </c>
      <c r="O242" s="98">
        <f>VLOOKUP(lmic_raw_lb[[#This Row],[gbd_super]],hbe_risk[],3,FALSE)</f>
        <v>0.7</v>
      </c>
      <c r="P242" s="98">
        <f>VLOOKUP(lmic_raw_lb[[#This Row],[gbd_super]],hbe_risk[],6,FALSE)</f>
        <v>0.05</v>
      </c>
      <c r="Q242" s="98">
        <f>VLOOKUP(lmic_raw_lb[[#This Row],[setting]],lmic_raw[],17,FALSE)*(1-interactive!$C$7)</f>
        <v>13.428853945481523</v>
      </c>
      <c r="R242" s="98">
        <f>VLOOKUP(lmic_raw_lb[[#This Row],[setting]],lmic_raw[],18,FALSE)*(1-interactive!$C$7)</f>
        <v>82.539704999999998</v>
      </c>
      <c r="S242" s="98">
        <f>VLOOKUP(lmic_raw_lb[[#This Row],[setting]],lmic_raw[],19,FALSE)*(1-interactive!$C$7)</f>
        <v>127.894605</v>
      </c>
      <c r="T242" s="98">
        <f>VLOOKUP(lmic_raw_lb[[#This Row],[setting]],lmic_raw[],20,FALSE)*(1-interactive!$C$7)</f>
        <v>127.894605</v>
      </c>
      <c r="U242" s="98">
        <f>VLOOKUP(lmic_raw_lb[[#This Row],[setting]],lmic_raw[],21,FALSE)*(1-interactive!$C$7)</f>
        <v>127.894605</v>
      </c>
      <c r="V242" s="33">
        <f>IFERROR(VLOOKUP(lmic_raw_lb[[#This Row],[setting]],vcost_lb[],3,FALSE),0)</f>
        <v>5.3923162147228618</v>
      </c>
      <c r="W242" s="33">
        <f>IFERROR(VLOOKUP(lmic_raw_lb[[#This Row],[setting]],vcost_lb[],4,FALSE),0)</f>
        <v>5.4130262147228621</v>
      </c>
      <c r="X242" s="33">
        <f>IFERROR(VLOOKUP(lmic_raw_lb[[#This Row],[setting]],vcost_lb[],5,FALSE),0)</f>
        <v>5.0159671891739492</v>
      </c>
      <c r="Y242" s="33">
        <f>IFERROR(VLOOKUP(lmic_raw_lb[[#This Row],[setting]],vcost_lb[],6,FALSE),0)</f>
        <v>5.0366771891739495</v>
      </c>
      <c r="Z242" s="33">
        <f>IFERROR(VLOOKUP(lmic_raw_lb[[#This Row],[setting]],vcost_lb[],7,FALSE),0)</f>
        <v>5.0278572531493948</v>
      </c>
      <c r="AA242" s="33">
        <f>IFERROR(VLOOKUP(lmic_raw_lb[[#This Row],[setting]],vcost_lb[],8,FALSE),0)</f>
        <v>5.6082501859080365</v>
      </c>
      <c r="AB242" s="33">
        <f>IFERROR(VLOOKUP(lmic_raw_lb[[#This Row],[setting]],vcost_lb[],9,FALSE),0)</f>
        <v>5.6289601859080367</v>
      </c>
      <c r="AC242" s="98">
        <f>VLOOKUP($A242,lmic_raw[],29,FALSE)*(1-interactive!$C$7)</f>
        <v>1.1865899000000011E-2</v>
      </c>
      <c r="AD242" s="98">
        <f>VLOOKUP($A242,lmic_raw[],30,FALSE)*(1-interactive!$C$7)</f>
        <v>8.7697136568537341E-4</v>
      </c>
      <c r="AE242" s="98">
        <f>VLOOKUP($A242,lmic_raw[],31,FALSE)*(1-interactive!$C$7)</f>
        <v>3.205517832210011E-4</v>
      </c>
      <c r="AF242" s="98">
        <f>VLOOKUP($A242,lmic_raw[],32,FALSE)*(1-interactive!$C$7)</f>
        <v>2.9779527313745867E-4</v>
      </c>
      <c r="AG242" s="98">
        <f>VLOOKUP($A242,lmic_raw[],33,FALSE)*(1-interactive!$C$7)</f>
        <v>7.0356452927267284E-4</v>
      </c>
      <c r="AH242" s="98">
        <f>VLOOKUP($A242,lmic_raw[],34,FALSE)*(1-interactive!$C$7)</f>
        <v>9.5995232420524059E-4</v>
      </c>
      <c r="AI242" s="98">
        <f>VLOOKUP($A242,lmic_raw[],35,FALSE)*(1-interactive!$C$7)</f>
        <v>1.0191377778745259E-3</v>
      </c>
      <c r="AJ242" s="98">
        <f>VLOOKUP($A242,lmic_raw[],36,FALSE)*(1-interactive!$C$7)</f>
        <v>1.2238535681393747E-3</v>
      </c>
      <c r="AK242" s="98">
        <f>VLOOKUP($A242,lmic_raw[],37,FALSE)*(1-interactive!$C$7)</f>
        <v>1.6835060642859045E-3</v>
      </c>
      <c r="AL242" s="98">
        <f>VLOOKUP($A242,lmic_raw[],38,FALSE)*(1-interactive!$C$7)</f>
        <v>2.4874055811780721E-3</v>
      </c>
      <c r="AM242" s="98">
        <f>VLOOKUP($A242,lmic_raw[],39,FALSE)*(1-interactive!$C$7)</f>
        <v>3.8912438117560577E-3</v>
      </c>
      <c r="AN242" s="98">
        <f>VLOOKUP($A242,lmic_raw[],40,FALSE)*(1-interactive!$C$7)</f>
        <v>6.1107474172022707E-3</v>
      </c>
      <c r="AO242" s="98">
        <f>VLOOKUP($A242,lmic_raw[],41,FALSE)*(1-interactive!$C$7)</f>
        <v>9.4760679974909504E-3</v>
      </c>
      <c r="AP242" s="98">
        <f>VLOOKUP($A242,lmic_raw[],42,FALSE)*(1-interactive!$C$7)</f>
        <v>1.1957434715743405E-2</v>
      </c>
      <c r="AQ242" s="98">
        <f>VLOOKUP($A242,lmic_raw[],43,FALSE)*(1-interactive!$C$7)</f>
        <v>1.526770389096857E-2</v>
      </c>
      <c r="AR242" s="98">
        <f>VLOOKUP($A242,lmic_raw[],44,FALSE)*(1-interactive!$C$7)</f>
        <v>2.2324082300017731E-2</v>
      </c>
      <c r="AS242" s="98">
        <f>VLOOKUP($A242,lmic_raw[],45,FALSE)*(1-interactive!$C$7)</f>
        <v>3.7326059722944595E-2</v>
      </c>
      <c r="AT242" s="98">
        <f>VLOOKUP($A242,lmic_raw[],46,FALSE)*(1-interactive!$C$7)</f>
        <v>5.9120439077888783E-2</v>
      </c>
      <c r="AU242" s="98">
        <f>VLOOKUP($A242,lmic_raw[],47,FALSE)*(1-interactive!$C$7)</f>
        <v>8.7446892268160908E-2</v>
      </c>
      <c r="AV242" s="98">
        <f>VLOOKUP($A242,lmic_raw[],48,FALSE)*(1-interactive!$C$7)</f>
        <v>0.11592100297827845</v>
      </c>
      <c r="AW242" s="98">
        <f>VLOOKUP($A242,lmic_raw[],49,FALSE)*(1-interactive!$C$7)</f>
        <v>0.13927344199585084</v>
      </c>
      <c r="AX242" s="98">
        <f>VLOOKUP($A242,lmic_raw[],50,FALSE)*(1-interactive!$C$7)</f>
        <v>72.192400000000006</v>
      </c>
    </row>
    <row r="243" spans="1:50" x14ac:dyDescent="0.25">
      <c r="A243" s="110" t="s">
        <v>247</v>
      </c>
      <c r="B243" s="104" t="s">
        <v>624</v>
      </c>
      <c r="C243" s="105">
        <v>670</v>
      </c>
      <c r="D243" s="122" t="s">
        <v>679</v>
      </c>
      <c r="E243" s="94" t="s">
        <v>223</v>
      </c>
      <c r="F243" s="94" t="s">
        <v>665</v>
      </c>
      <c r="G243" s="94" t="s">
        <v>676</v>
      </c>
      <c r="H243" s="98">
        <f>VLOOKUP(lmic_raw_lb[[#This Row],[setting]],lmic_raw[],8,FALSE)</f>
        <v>110593</v>
      </c>
      <c r="I243" s="98">
        <f>VLOOKUP(lmic_raw_lb[[#This Row],[setting]],lmic_raw[],9,FALSE)</f>
        <v>1585.4612480000001</v>
      </c>
      <c r="J243" s="94">
        <f>VLOOKUP($A243,lmic_raw[],10,FALSE)*(1-interactive!$C$7)</f>
        <v>0</v>
      </c>
      <c r="K243" s="94">
        <f>VLOOKUP($A243,lmic_raw[],11,FALSE)*(1-interactive!$C$7)</f>
        <v>0.9405</v>
      </c>
      <c r="L243" s="94">
        <f>VLOOKUP($A243,lmic_raw[],12,FALSE)*(1-interactive!$C$7)</f>
        <v>0.92149999999999999</v>
      </c>
      <c r="M243" s="94">
        <f>IFERROR(VLOOKUP(lmic_raw_lb[[#This Row],[iso3]], hbv_prev[[iso3]:[ub]],3,FALSE)/100,0)</f>
        <v>1.7000000000000001E-3</v>
      </c>
      <c r="N243" s="94">
        <f>IFERROR(VLOOKUP(lmic_raw_lb[[#This Row],[setting]],hbe_prev[],4,FALSE),0)</f>
        <v>0.16309999999999999</v>
      </c>
      <c r="O243" s="94">
        <f>VLOOKUP(lmic_raw_lb[[#This Row],[gbd_super]],hbe_risk[],3,FALSE)</f>
        <v>0.7</v>
      </c>
      <c r="P243" s="94">
        <f>VLOOKUP(lmic_raw_lb[[#This Row],[gbd_super]],hbe_risk[],6,FALSE)</f>
        <v>0.05</v>
      </c>
      <c r="Q243" s="94">
        <f>VLOOKUP(lmic_raw_lb[[#This Row],[setting]],lmic_raw[],17,FALSE)*(1-interactive!$C$7)</f>
        <v>12.177262606349968</v>
      </c>
      <c r="R243" s="98">
        <f>VLOOKUP(lmic_raw_lb[[#This Row],[setting]],lmic_raw[],18,FALSE)*(1-interactive!$C$7)</f>
        <v>82.539704999999998</v>
      </c>
      <c r="S243" s="98">
        <f>VLOOKUP(lmic_raw_lb[[#This Row],[setting]],lmic_raw[],19,FALSE)*(1-interactive!$C$7)</f>
        <v>127.894605</v>
      </c>
      <c r="T243" s="98">
        <f>VLOOKUP(lmic_raw_lb[[#This Row],[setting]],lmic_raw[],20,FALSE)*(1-interactive!$C$7)</f>
        <v>127.894605</v>
      </c>
      <c r="U243" s="98">
        <f>VLOOKUP(lmic_raw_lb[[#This Row],[setting]],lmic_raw[],21,FALSE)*(1-interactive!$C$7)</f>
        <v>127.894605</v>
      </c>
      <c r="V243" s="33">
        <f>IFERROR(VLOOKUP(lmic_raw_lb[[#This Row],[setting]],vcost_lb[],3,FALSE),0)</f>
        <v>5.9047664068507961</v>
      </c>
      <c r="W243" s="33">
        <f>IFERROR(VLOOKUP(lmic_raw_lb[[#This Row],[setting]],vcost_lb[],4,FALSE),0)</f>
        <v>5.9254764068507964</v>
      </c>
      <c r="X243" s="33">
        <f>IFERROR(VLOOKUP(lmic_raw_lb[[#This Row],[setting]],vcost_lb[],5,FALSE),0)</f>
        <v>5.5337084786609694</v>
      </c>
      <c r="Y243" s="33">
        <f>IFERROR(VLOOKUP(lmic_raw_lb[[#This Row],[setting]],vcost_lb[],6,FALSE),0)</f>
        <v>5.5544184786609696</v>
      </c>
      <c r="Z243" s="33">
        <f>IFERROR(VLOOKUP(lmic_raw_lb[[#This Row],[setting]],vcost_lb[],7,FALSE),0)</f>
        <v>5.5489905265084669</v>
      </c>
      <c r="AA243" s="33">
        <f>IFERROR(VLOOKUP(lmic_raw_lb[[#This Row],[setting]],vcost_lb[],8,FALSE),0)</f>
        <v>6.1184327648820762</v>
      </c>
      <c r="AB243" s="33">
        <f>IFERROR(VLOOKUP(lmic_raw_lb[[#This Row],[setting]],vcost_lb[],9,FALSE),0)</f>
        <v>6.1391427648820764</v>
      </c>
      <c r="AC243" s="94">
        <f>VLOOKUP($A243,lmic_raw[],29,FALSE)*(1-interactive!$C$7)</f>
        <v>1.3930353500000027E-2</v>
      </c>
      <c r="AD243" s="94">
        <f>VLOOKUP($A243,lmic_raw[],30,FALSE)*(1-interactive!$C$7)</f>
        <v>3.2320063724017295E-4</v>
      </c>
      <c r="AE243" s="94">
        <f>VLOOKUP($A243,lmic_raw[],31,FALSE)*(1-interactive!$C$7)</f>
        <v>4.0506096582264197E-4</v>
      </c>
      <c r="AF243" s="94">
        <f>VLOOKUP($A243,lmic_raw[],32,FALSE)*(1-interactive!$C$7)</f>
        <v>3.9091634587630947E-4</v>
      </c>
      <c r="AG243" s="94">
        <f>VLOOKUP($A243,lmic_raw[],33,FALSE)*(1-interactive!$C$7)</f>
        <v>9.4851317091557445E-4</v>
      </c>
      <c r="AH243" s="94">
        <f>VLOOKUP($A243,lmic_raw[],34,FALSE)*(1-interactive!$C$7)</f>
        <v>1.3345929823577742E-3</v>
      </c>
      <c r="AI243" s="94">
        <f>VLOOKUP($A243,lmic_raw[],35,FALSE)*(1-interactive!$C$7)</f>
        <v>1.4543750711417827E-3</v>
      </c>
      <c r="AJ243" s="94">
        <f>VLOOKUP($A243,lmic_raw[],36,FALSE)*(1-interactive!$C$7)</f>
        <v>1.7333285494545744E-3</v>
      </c>
      <c r="AK243" s="94">
        <f>VLOOKUP($A243,lmic_raw[],37,FALSE)*(1-interactive!$C$7)</f>
        <v>2.3088212148425734E-3</v>
      </c>
      <c r="AL243" s="94">
        <f>VLOOKUP($A243,lmic_raw[],38,FALSE)*(1-interactive!$C$7)</f>
        <v>3.2980031864082754E-3</v>
      </c>
      <c r="AM243" s="94">
        <f>VLOOKUP($A243,lmic_raw[],39,FALSE)*(1-interactive!$C$7)</f>
        <v>4.9489718841505496E-3</v>
      </c>
      <c r="AN243" s="94">
        <f>VLOOKUP($A243,lmic_raw[],40,FALSE)*(1-interactive!$C$7)</f>
        <v>7.4576946251243906E-3</v>
      </c>
      <c r="AO243" s="94">
        <f>VLOOKUP($A243,lmic_raw[],41,FALSE)*(1-interactive!$C$7)</f>
        <v>1.1215775860423953E-2</v>
      </c>
      <c r="AP243" s="94">
        <f>VLOOKUP($A243,lmic_raw[],42,FALSE)*(1-interactive!$C$7)</f>
        <v>1.5765369551710609E-2</v>
      </c>
      <c r="AQ243" s="94">
        <f>VLOOKUP($A243,lmic_raw[],43,FALSE)*(1-interactive!$C$7)</f>
        <v>2.2041164280965329E-2</v>
      </c>
      <c r="AR243" s="94">
        <f>VLOOKUP($A243,lmic_raw[],44,FALSE)*(1-interactive!$C$7)</f>
        <v>3.2658324718337156E-2</v>
      </c>
      <c r="AS243" s="94">
        <f>VLOOKUP($A243,lmic_raw[],45,FALSE)*(1-interactive!$C$7)</f>
        <v>5.054817324316533E-2</v>
      </c>
      <c r="AT243" s="94">
        <f>VLOOKUP($A243,lmic_raw[],46,FALSE)*(1-interactive!$C$7)</f>
        <v>7.5586077259191059E-2</v>
      </c>
      <c r="AU243" s="94">
        <f>VLOOKUP($A243,lmic_raw[],47,FALSE)*(1-interactive!$C$7)</f>
        <v>0.10646883986222942</v>
      </c>
      <c r="AV243" s="94">
        <f>VLOOKUP($A243,lmic_raw[],48,FALSE)*(1-interactive!$C$7)</f>
        <v>0.13651212381069666</v>
      </c>
      <c r="AW243" s="94">
        <f>VLOOKUP($A243,lmic_raw[],49,FALSE)*(1-interactive!$C$7)</f>
        <v>0.1603030613491834</v>
      </c>
      <c r="AX243" s="94">
        <f>VLOOKUP($A243,lmic_raw[],50,FALSE)*(1-interactive!$C$7)</f>
        <v>68.74199999999999</v>
      </c>
    </row>
    <row r="244" spans="1:50" x14ac:dyDescent="0.25">
      <c r="A244" s="109" t="s">
        <v>299</v>
      </c>
      <c r="B244" s="101" t="s">
        <v>504</v>
      </c>
      <c r="C244" s="102">
        <v>882</v>
      </c>
      <c r="D244" s="121" t="s">
        <v>681</v>
      </c>
      <c r="E244" s="98" t="s">
        <v>98</v>
      </c>
      <c r="F244" s="98" t="s">
        <v>666</v>
      </c>
      <c r="G244" s="98" t="s">
        <v>676</v>
      </c>
      <c r="H244" s="98">
        <f>VLOOKUP(lmic_raw_lb[[#This Row],[setting]],lmic_raw[],8,FALSE)</f>
        <v>197093</v>
      </c>
      <c r="I244" s="98">
        <f>VLOOKUP(lmic_raw_lb[[#This Row],[setting]],lmic_raw[],9,FALSE)</f>
        <v>4836.0709409999999</v>
      </c>
      <c r="J244" s="98">
        <f>VLOOKUP($A244,lmic_raw[],10,FALSE)*(1-interactive!$C$7)</f>
        <v>0.77805000000000002</v>
      </c>
      <c r="K244" s="98">
        <f>VLOOKUP($A244,lmic_raw[],11,FALSE)*(1-interactive!$C$7)</f>
        <v>0.61749999999999994</v>
      </c>
      <c r="L244" s="98">
        <f>VLOOKUP($A244,lmic_raw[],12,FALSE)*(1-interactive!$C$7)</f>
        <v>0.55099999999999993</v>
      </c>
      <c r="M244" s="98">
        <f>IFERROR(VLOOKUP(lmic_raw_lb[[#This Row],[iso3]], hbv_prev[[iso3]:[ub]],3,FALSE)/100,0)</f>
        <v>2.0299999999999999E-2</v>
      </c>
      <c r="N244" s="98">
        <f>IFERROR(VLOOKUP(lmic_raw_lb[[#This Row],[setting]],hbe_prev[],4,FALSE),0)</f>
        <v>0.1832</v>
      </c>
      <c r="O244" s="98">
        <f>VLOOKUP(lmic_raw_lb[[#This Row],[gbd_super]],hbe_risk[],3,FALSE)</f>
        <v>0.7</v>
      </c>
      <c r="P244" s="98">
        <f>VLOOKUP(lmic_raw_lb[[#This Row],[gbd_super]],hbe_risk[],6,FALSE)</f>
        <v>0.05</v>
      </c>
      <c r="Q244" s="98">
        <f>VLOOKUP(lmic_raw_lb[[#This Row],[setting]],lmic_raw[],17,FALSE)*(1-interactive!$C$7)</f>
        <v>6.7198733438304146</v>
      </c>
      <c r="R244" s="98">
        <f>VLOOKUP(lmic_raw_lb[[#This Row],[setting]],lmic_raw[],18,FALSE)*(1-interactive!$C$7)</f>
        <v>69.430275000000009</v>
      </c>
      <c r="S244" s="98">
        <f>VLOOKUP(lmic_raw_lb[[#This Row],[setting]],lmic_raw[],19,FALSE)*(1-interactive!$C$7)</f>
        <v>114.785175</v>
      </c>
      <c r="T244" s="98">
        <f>VLOOKUP(lmic_raw_lb[[#This Row],[setting]],lmic_raw[],20,FALSE)*(1-interactive!$C$7)</f>
        <v>114.785175</v>
      </c>
      <c r="U244" s="98">
        <f>VLOOKUP(lmic_raw_lb[[#This Row],[setting]],lmic_raw[],21,FALSE)*(1-interactive!$C$7)</f>
        <v>114.785175</v>
      </c>
      <c r="V244" s="33">
        <f>IFERROR(VLOOKUP(lmic_raw_lb[[#This Row],[setting]],vcost_lb[],3,FALSE),0)</f>
        <v>0.57054548278922346</v>
      </c>
      <c r="W244" s="33">
        <f>IFERROR(VLOOKUP(lmic_raw_lb[[#This Row],[setting]],vcost_lb[],4,FALSE),0)</f>
        <v>1.1711354827892233</v>
      </c>
      <c r="X244" s="33">
        <f>IFERROR(VLOOKUP(lmic_raw_lb[[#This Row],[setting]],vcost_lb[],5,FALSE),0)</f>
        <v>0.20324322921298574</v>
      </c>
      <c r="Y244" s="33">
        <f>IFERROR(VLOOKUP(lmic_raw_lb[[#This Row],[setting]],vcost_lb[],6,FALSE),0)</f>
        <v>0.80383322921298572</v>
      </c>
      <c r="Z244" s="33">
        <f>IFERROR(VLOOKUP(lmic_raw_lb[[#This Row],[setting]],vcost_lb[],7,FALSE),0)</f>
        <v>0.80062735974068355</v>
      </c>
      <c r="AA244" s="33">
        <f>IFERROR(VLOOKUP(lmic_raw_lb[[#This Row],[setting]],vcost_lb[],8,FALSE),0)</f>
        <v>0.78260226598610894</v>
      </c>
      <c r="AB244" s="33">
        <f>IFERROR(VLOOKUP(lmic_raw_lb[[#This Row],[setting]],vcost_lb[],9,FALSE),0)</f>
        <v>1.3831922659861089</v>
      </c>
      <c r="AC244" s="98">
        <f>VLOOKUP($A244,lmic_raw[],29,FALSE)*(1-interactive!$C$7)</f>
        <v>1.2779323999999957E-2</v>
      </c>
      <c r="AD244" s="98">
        <f>VLOOKUP($A244,lmic_raw[],30,FALSE)*(1-interactive!$C$7)</f>
        <v>6.5789951159805524E-4</v>
      </c>
      <c r="AE244" s="98">
        <f>VLOOKUP($A244,lmic_raw[],31,FALSE)*(1-interactive!$C$7)</f>
        <v>2.5908584217501868E-4</v>
      </c>
      <c r="AF244" s="98">
        <f>VLOOKUP($A244,lmic_raw[],32,FALSE)*(1-interactive!$C$7)</f>
        <v>2.3623869015525274E-4</v>
      </c>
      <c r="AG244" s="98">
        <f>VLOOKUP($A244,lmic_raw[],33,FALSE)*(1-interactive!$C$7)</f>
        <v>5.475066841383675E-4</v>
      </c>
      <c r="AH244" s="98">
        <f>VLOOKUP($A244,lmic_raw[],34,FALSE)*(1-interactive!$C$7)</f>
        <v>7.1139272528874435E-4</v>
      </c>
      <c r="AI244" s="98">
        <f>VLOOKUP($A244,lmic_raw[],35,FALSE)*(1-interactive!$C$7)</f>
        <v>7.2809467221792118E-4</v>
      </c>
      <c r="AJ244" s="98">
        <f>VLOOKUP($A244,lmic_raw[],36,FALSE)*(1-interactive!$C$7)</f>
        <v>8.7221771936664763E-4</v>
      </c>
      <c r="AK244" s="98">
        <f>VLOOKUP($A244,lmic_raw[],37,FALSE)*(1-interactive!$C$7)</f>
        <v>1.2214103716925583E-3</v>
      </c>
      <c r="AL244" s="98">
        <f>VLOOKUP($A244,lmic_raw[],38,FALSE)*(1-interactive!$C$7)</f>
        <v>1.8824619180777301E-3</v>
      </c>
      <c r="AM244" s="98">
        <f>VLOOKUP($A244,lmic_raw[],39,FALSE)*(1-interactive!$C$7)</f>
        <v>3.1017203404165735E-3</v>
      </c>
      <c r="AN244" s="98">
        <f>VLOOKUP($A244,lmic_raw[],40,FALSE)*(1-interactive!$C$7)</f>
        <v>5.0530080478240888E-3</v>
      </c>
      <c r="AO244" s="98">
        <f>VLOOKUP($A244,lmic_raw[],41,FALSE)*(1-interactive!$C$7)</f>
        <v>8.1733635450045063E-3</v>
      </c>
      <c r="AP244" s="98">
        <f>VLOOKUP($A244,lmic_raw[],42,FALSE)*(1-interactive!$C$7)</f>
        <v>1.4454348073574555E-2</v>
      </c>
      <c r="AQ244" s="98">
        <f>VLOOKUP($A244,lmic_raw[],43,FALSE)*(1-interactive!$C$7)</f>
        <v>2.5142267939398732E-2</v>
      </c>
      <c r="AR244" s="98">
        <f>VLOOKUP($A244,lmic_raw[],44,FALSE)*(1-interactive!$C$7)</f>
        <v>4.1119770986842885E-2</v>
      </c>
      <c r="AS244" s="98">
        <f>VLOOKUP($A244,lmic_raw[],45,FALSE)*(1-interactive!$C$7)</f>
        <v>6.4138636574876701E-2</v>
      </c>
      <c r="AT244" s="98">
        <f>VLOOKUP($A244,lmic_raw[],46,FALSE)*(1-interactive!$C$7)</f>
        <v>9.468814126898327E-2</v>
      </c>
      <c r="AU244" s="98">
        <f>VLOOKUP($A244,lmic_raw[],47,FALSE)*(1-interactive!$C$7)</f>
        <v>0.12910209731173222</v>
      </c>
      <c r="AV244" s="98">
        <f>VLOOKUP($A244,lmic_raw[],48,FALSE)*(1-interactive!$C$7)</f>
        <v>0.15775080143590883</v>
      </c>
      <c r="AW244" s="98">
        <f>VLOOKUP($A244,lmic_raw[],49,FALSE)*(1-interactive!$C$7)</f>
        <v>0.1748887648043303</v>
      </c>
      <c r="AX244" s="98">
        <f>VLOOKUP($A244,lmic_raw[],50,FALSE)*(1-interactive!$C$7)</f>
        <v>69.455449999999999</v>
      </c>
    </row>
    <row r="245" spans="1:50" x14ac:dyDescent="0.25">
      <c r="A245" s="110" t="s">
        <v>684</v>
      </c>
      <c r="B245" s="104" t="s">
        <v>505</v>
      </c>
      <c r="C245" s="105">
        <v>678</v>
      </c>
      <c r="D245" s="122" t="s">
        <v>677</v>
      </c>
      <c r="E245" s="94" t="s">
        <v>591</v>
      </c>
      <c r="F245" s="94" t="s">
        <v>667</v>
      </c>
      <c r="G245" s="94" t="s">
        <v>678</v>
      </c>
      <c r="H245" s="98">
        <f>VLOOKUP(lmic_raw_lb[[#This Row],[setting]],lmic_raw[],8,FALSE)</f>
        <v>215048</v>
      </c>
      <c r="I245" s="98">
        <f>VLOOKUP(lmic_raw_lb[[#This Row],[setting]],lmic_raw[],9,FALSE)</f>
        <v>6827.7740000000003</v>
      </c>
      <c r="J245" s="94">
        <f>VLOOKUP($A245,lmic_raw[],10,FALSE)*(1-interactive!$C$7)</f>
        <v>0.86449999999999994</v>
      </c>
      <c r="K245" s="94">
        <f>VLOOKUP($A245,lmic_raw[],11,FALSE)*(1-interactive!$C$7)</f>
        <v>0.90249999999999997</v>
      </c>
      <c r="L245" s="94">
        <f>VLOOKUP($A245,lmic_raw[],12,FALSE)*(1-interactive!$C$7)</f>
        <v>0.90249999999999997</v>
      </c>
      <c r="M245" s="94">
        <f>IFERROR(VLOOKUP(lmic_raw_lb[[#This Row],[iso3]], hbv_prev[[iso3]:[ub]],3,FALSE)/100,0)</f>
        <v>2.8999999999999998E-3</v>
      </c>
      <c r="N245" s="94">
        <f>IFERROR(VLOOKUP(lmic_raw_lb[[#This Row],[setting]],hbe_prev[],4,FALSE),0)</f>
        <v>0</v>
      </c>
      <c r="O245" s="94">
        <f>VLOOKUP(lmic_raw_lb[[#This Row],[gbd_super]],hbe_risk[],3,FALSE)</f>
        <v>7.0000000000000007E-2</v>
      </c>
      <c r="P245" s="94">
        <f>VLOOKUP(lmic_raw_lb[[#This Row],[gbd_super]],hbe_risk[],6,FALSE)</f>
        <v>1E-3</v>
      </c>
      <c r="Q245" s="94">
        <f>VLOOKUP(lmic_raw_lb[[#This Row],[setting]],lmic_raw[],17,FALSE)*(1-interactive!$C$7)</f>
        <v>3.2469892676816046</v>
      </c>
      <c r="R245" s="98">
        <f>VLOOKUP(lmic_raw_lb[[#This Row],[setting]],lmic_raw[],18,FALSE)*(1-interactive!$C$7)</f>
        <v>28.424474999999997</v>
      </c>
      <c r="S245" s="98">
        <f>VLOOKUP(lmic_raw_lb[[#This Row],[setting]],lmic_raw[],19,FALSE)*(1-interactive!$C$7)</f>
        <v>73.779375000000002</v>
      </c>
      <c r="T245" s="98">
        <f>VLOOKUP(lmic_raw_lb[[#This Row],[setting]],lmic_raw[],20,FALSE)*(1-interactive!$C$7)</f>
        <v>73.779375000000002</v>
      </c>
      <c r="U245" s="98">
        <f>VLOOKUP(lmic_raw_lb[[#This Row],[setting]],lmic_raw[],21,FALSE)*(1-interactive!$C$7)</f>
        <v>73.779375000000002</v>
      </c>
      <c r="V245" s="33">
        <f>IFERROR(VLOOKUP(lmic_raw_lb[[#This Row],[setting]],vcost_lb[],3,FALSE),0)</f>
        <v>3.6379081661852326</v>
      </c>
      <c r="W245" s="33">
        <f>IFERROR(VLOOKUP(lmic_raw_lb[[#This Row],[setting]],vcost_lb[],4,FALSE),0)</f>
        <v>8.2251731661852325</v>
      </c>
      <c r="X245" s="33">
        <f>IFERROR(VLOOKUP(lmic_raw_lb[[#This Row],[setting]],vcost_lb[],5,FALSE),0)</f>
        <v>3.2714448076812266</v>
      </c>
      <c r="Y245" s="33">
        <f>IFERROR(VLOOKUP(lmic_raw_lb[[#This Row],[setting]],vcost_lb[],6,FALSE),0)</f>
        <v>7.858709807681227</v>
      </c>
      <c r="Z245" s="33">
        <f>IFERROR(VLOOKUP(lmic_raw_lb[[#This Row],[setting]],vcost_lb[],7,FALSE),0)</f>
        <v>7.8559698955809276</v>
      </c>
      <c r="AA245" s="33">
        <f>IFERROR(VLOOKUP(lmic_raw_lb[[#This Row],[setting]],vcost_lb[],8,FALSE),0)</f>
        <v>3.8496054229225902</v>
      </c>
      <c r="AB245" s="33">
        <f>IFERROR(VLOOKUP(lmic_raw_lb[[#This Row],[setting]],vcost_lb[],9,FALSE),0)</f>
        <v>8.4368704229225902</v>
      </c>
      <c r="AC245" s="94">
        <f>VLOOKUP($A245,lmic_raw[],29,FALSE)*(1-interactive!$C$7)</f>
        <v>2.5110352500000065E-2</v>
      </c>
      <c r="AD245" s="94">
        <f>VLOOKUP($A245,lmic_raw[],30,FALSE)*(1-interactive!$C$7)</f>
        <v>1.4439234627717785E-3</v>
      </c>
      <c r="AE245" s="94">
        <f>VLOOKUP($A245,lmic_raw[],31,FALSE)*(1-interactive!$C$7)</f>
        <v>5.6234477650044662E-4</v>
      </c>
      <c r="AF245" s="94">
        <f>VLOOKUP($A245,lmic_raw[],32,FALSE)*(1-interactive!$C$7)</f>
        <v>4.692351647093728E-4</v>
      </c>
      <c r="AG245" s="94">
        <f>VLOOKUP($A245,lmic_raw[],33,FALSE)*(1-interactive!$C$7)</f>
        <v>9.2174051266413553E-4</v>
      </c>
      <c r="AH245" s="94">
        <f>VLOOKUP($A245,lmic_raw[],34,FALSE)*(1-interactive!$C$7)</f>
        <v>1.208865137908143E-3</v>
      </c>
      <c r="AI245" s="94">
        <f>VLOOKUP($A245,lmic_raw[],35,FALSE)*(1-interactive!$C$7)</f>
        <v>1.2815416274737869E-3</v>
      </c>
      <c r="AJ245" s="94">
        <f>VLOOKUP($A245,lmic_raw[],36,FALSE)*(1-interactive!$C$7)</f>
        <v>1.5265951754681749E-3</v>
      </c>
      <c r="AK245" s="94">
        <f>VLOOKUP($A245,lmic_raw[],37,FALSE)*(1-interactive!$C$7)</f>
        <v>2.0542010606417545E-3</v>
      </c>
      <c r="AL245" s="94">
        <f>VLOOKUP($A245,lmic_raw[],38,FALSE)*(1-interactive!$C$7)</f>
        <v>2.9403546632293734E-3</v>
      </c>
      <c r="AM245" s="94">
        <f>VLOOKUP($A245,lmic_raw[],39,FALSE)*(1-interactive!$C$7)</f>
        <v>4.4998510243868172E-3</v>
      </c>
      <c r="AN245" s="94">
        <f>VLOOKUP($A245,lmic_raw[],40,FALSE)*(1-interactive!$C$7)</f>
        <v>6.9422953312551078E-3</v>
      </c>
      <c r="AO245" s="94">
        <f>VLOOKUP($A245,lmic_raw[],41,FALSE)*(1-interactive!$C$7)</f>
        <v>1.0734421385540595E-2</v>
      </c>
      <c r="AP245" s="94">
        <f>VLOOKUP($A245,lmic_raw[],42,FALSE)*(1-interactive!$C$7)</f>
        <v>1.6844404448691081E-2</v>
      </c>
      <c r="AQ245" s="94">
        <f>VLOOKUP($A245,lmic_raw[],43,FALSE)*(1-interactive!$C$7)</f>
        <v>2.6471209697562035E-2</v>
      </c>
      <c r="AR245" s="94">
        <f>VLOOKUP($A245,lmic_raw[],44,FALSE)*(1-interactive!$C$7)</f>
        <v>4.1418219571134854E-2</v>
      </c>
      <c r="AS245" s="94">
        <f>VLOOKUP($A245,lmic_raw[],45,FALSE)*(1-interactive!$C$7)</f>
        <v>6.3151735170444395E-2</v>
      </c>
      <c r="AT245" s="94">
        <f>VLOOKUP($A245,lmic_raw[],46,FALSE)*(1-interactive!$C$7)</f>
        <v>9.0931169316726429E-2</v>
      </c>
      <c r="AU245" s="94">
        <f>VLOOKUP($A245,lmic_raw[],47,FALSE)*(1-interactive!$C$7)</f>
        <v>0.11934259930255435</v>
      </c>
      <c r="AV245" s="94">
        <f>VLOOKUP($A245,lmic_raw[],48,FALSE)*(1-interactive!$C$7)</f>
        <v>0.14596324174548639</v>
      </c>
      <c r="AW245" s="94">
        <f>VLOOKUP($A245,lmic_raw[],49,FALSE)*(1-interactive!$C$7)</f>
        <v>0.16609461267921038</v>
      </c>
      <c r="AX245" s="94">
        <f>VLOOKUP($A245,lmic_raw[],50,FALSE)*(1-interactive!$C$7)</f>
        <v>66.545599999999993</v>
      </c>
    </row>
    <row r="246" spans="1:50" x14ac:dyDescent="0.25">
      <c r="A246" s="109" t="s">
        <v>152</v>
      </c>
      <c r="B246" s="101" t="s">
        <v>507</v>
      </c>
      <c r="C246" s="102">
        <v>686</v>
      </c>
      <c r="D246" s="121" t="s">
        <v>677</v>
      </c>
      <c r="E246" s="98" t="s">
        <v>591</v>
      </c>
      <c r="F246" s="98" t="s">
        <v>667</v>
      </c>
      <c r="G246" s="98" t="s">
        <v>678</v>
      </c>
      <c r="H246" s="98">
        <f>VLOOKUP(lmic_raw_lb[[#This Row],[setting]],lmic_raw[],8,FALSE)</f>
        <v>16296362</v>
      </c>
      <c r="I246" s="98">
        <f>VLOOKUP(lmic_raw_lb[[#This Row],[setting]],lmic_raw[],9,FALSE)</f>
        <v>566086.72679400002</v>
      </c>
      <c r="J246" s="98">
        <f>VLOOKUP($A246,lmic_raw[],10,FALSE)*(1-interactive!$C$7)</f>
        <v>0.77615000000000001</v>
      </c>
      <c r="K246" s="98">
        <f>VLOOKUP($A246,lmic_raw[],11,FALSE)*(1-interactive!$C$7)</f>
        <v>0.76949999999999996</v>
      </c>
      <c r="L246" s="98">
        <f>VLOOKUP($A246,lmic_raw[],12,FALSE)*(1-interactive!$C$7)</f>
        <v>0.88349999999999995</v>
      </c>
      <c r="M246" s="98">
        <f>IFERROR(VLOOKUP(lmic_raw_lb[[#This Row],[iso3]], hbv_prev[[iso3]:[ub]],3,FALSE)/100,0)</f>
        <v>6.7099999999999993E-2</v>
      </c>
      <c r="N246" s="98">
        <f>IFERROR(VLOOKUP(lmic_raw_lb[[#This Row],[setting]],hbe_prev[],4,FALSE),0)</f>
        <v>0.155</v>
      </c>
      <c r="O246" s="98">
        <f>VLOOKUP(lmic_raw_lb[[#This Row],[gbd_super]],hbe_risk[],3,FALSE)</f>
        <v>7.0000000000000007E-2</v>
      </c>
      <c r="P246" s="98">
        <f>VLOOKUP(lmic_raw_lb[[#This Row],[gbd_super]],hbe_risk[],6,FALSE)</f>
        <v>1E-3</v>
      </c>
      <c r="Q246" s="98">
        <f>VLOOKUP(lmic_raw_lb[[#This Row],[setting]],lmic_raw[],17,FALSE)*(1-interactive!$C$7)</f>
        <v>3.4273988300789453</v>
      </c>
      <c r="R246" s="98">
        <f>VLOOKUP(lmic_raw_lb[[#This Row],[setting]],lmic_raw[],18,FALSE)*(1-interactive!$C$7)</f>
        <v>28.424474999999997</v>
      </c>
      <c r="S246" s="98">
        <f>VLOOKUP(lmic_raw_lb[[#This Row],[setting]],lmic_raw[],19,FALSE)*(1-interactive!$C$7)</f>
        <v>73.779375000000002</v>
      </c>
      <c r="T246" s="98">
        <f>VLOOKUP(lmic_raw_lb[[#This Row],[setting]],lmic_raw[],20,FALSE)*(1-interactive!$C$7)</f>
        <v>73.779375000000002</v>
      </c>
      <c r="U246" s="98">
        <f>VLOOKUP(lmic_raw_lb[[#This Row],[setting]],lmic_raw[],21,FALSE)*(1-interactive!$C$7)</f>
        <v>73.779375000000002</v>
      </c>
      <c r="V246" s="33">
        <f>IFERROR(VLOOKUP(lmic_raw_lb[[#This Row],[setting]],vcost_lb[],3,FALSE),0)</f>
        <v>1.03980148472711</v>
      </c>
      <c r="W246" s="33">
        <f>IFERROR(VLOOKUP(lmic_raw_lb[[#This Row],[setting]],vcost_lb[],4,FALSE),0)</f>
        <v>5.6270664847271101</v>
      </c>
      <c r="X246" s="33">
        <f>IFERROR(VLOOKUP(lmic_raw_lb[[#This Row],[setting]],vcost_lb[],5,FALSE),0)</f>
        <v>0.67437028917644848</v>
      </c>
      <c r="Y246" s="33">
        <f>IFERROR(VLOOKUP(lmic_raw_lb[[#This Row],[setting]],vcost_lb[],6,FALSE),0)</f>
        <v>5.2616352891764491</v>
      </c>
      <c r="Z246" s="33">
        <f>IFERROR(VLOOKUP(lmic_raw_lb[[#This Row],[setting]],vcost_lb[],7,FALSE),0)</f>
        <v>5.259444316601841</v>
      </c>
      <c r="AA246" s="33">
        <f>IFERROR(VLOOKUP(lmic_raw_lb[[#This Row],[setting]],vcost_lb[],8,FALSE),0)</f>
        <v>1.2510563859130344</v>
      </c>
      <c r="AB246" s="33">
        <f>IFERROR(VLOOKUP(lmic_raw_lb[[#This Row],[setting]],vcost_lb[],9,FALSE),0)</f>
        <v>5.8383213859130345</v>
      </c>
      <c r="AC246" s="98">
        <f>VLOOKUP($A246,lmic_raw[],29,FALSE)*(1-interactive!$C$7)</f>
        <v>3.111687000000006E-2</v>
      </c>
      <c r="AD246" s="98">
        <f>VLOOKUP($A246,lmic_raw[],30,FALSE)*(1-interactive!$C$7)</f>
        <v>2.9159933197924655E-3</v>
      </c>
      <c r="AE246" s="98">
        <f>VLOOKUP($A246,lmic_raw[],31,FALSE)*(1-interactive!$C$7)</f>
        <v>1.1750940099428989E-3</v>
      </c>
      <c r="AF246" s="98">
        <f>VLOOKUP($A246,lmic_raw[],32,FALSE)*(1-interactive!$C$7)</f>
        <v>8.2199236385703111E-4</v>
      </c>
      <c r="AG246" s="98">
        <f>VLOOKUP($A246,lmic_raw[],33,FALSE)*(1-interactive!$C$7)</f>
        <v>1.2796047759410546E-3</v>
      </c>
      <c r="AH246" s="98">
        <f>VLOOKUP($A246,lmic_raw[],34,FALSE)*(1-interactive!$C$7)</f>
        <v>1.860632310374144E-3</v>
      </c>
      <c r="AI246" s="98">
        <f>VLOOKUP($A246,lmic_raw[],35,FALSE)*(1-interactive!$C$7)</f>
        <v>2.0202370351180255E-3</v>
      </c>
      <c r="AJ246" s="98">
        <f>VLOOKUP($A246,lmic_raw[],36,FALSE)*(1-interactive!$C$7)</f>
        <v>2.3573792177220545E-3</v>
      </c>
      <c r="AK246" s="98">
        <f>VLOOKUP($A246,lmic_raw[],37,FALSE)*(1-interactive!$C$7)</f>
        <v>2.8242294124635543E-3</v>
      </c>
      <c r="AL246" s="98">
        <f>VLOOKUP($A246,lmic_raw[],38,FALSE)*(1-interactive!$C$7)</f>
        <v>3.7333530892915859E-3</v>
      </c>
      <c r="AM246" s="98">
        <f>VLOOKUP($A246,lmic_raw[],39,FALSE)*(1-interactive!$C$7)</f>
        <v>4.9818261665522381E-3</v>
      </c>
      <c r="AN246" s="98">
        <f>VLOOKUP($A246,lmic_raw[],40,FALSE)*(1-interactive!$C$7)</f>
        <v>7.3330938425061436E-3</v>
      </c>
      <c r="AO246" s="98">
        <f>VLOOKUP($A246,lmic_raw[],41,FALSE)*(1-interactive!$C$7)</f>
        <v>1.0725791472641456E-2</v>
      </c>
      <c r="AP246" s="98">
        <f>VLOOKUP($A246,lmic_raw[],42,FALSE)*(1-interactive!$C$7)</f>
        <v>1.6828439169073915E-2</v>
      </c>
      <c r="AQ246" s="98">
        <f>VLOOKUP($A246,lmic_raw[],43,FALSE)*(1-interactive!$C$7)</f>
        <v>2.6590390680427133E-2</v>
      </c>
      <c r="AR246" s="98">
        <f>VLOOKUP($A246,lmic_raw[],44,FALSE)*(1-interactive!$C$7)</f>
        <v>4.4210584817222745E-2</v>
      </c>
      <c r="AS246" s="98">
        <f>VLOOKUP($A246,lmic_raw[],45,FALSE)*(1-interactive!$C$7)</f>
        <v>7.101185657593953E-2</v>
      </c>
      <c r="AT246" s="98">
        <f>VLOOKUP($A246,lmic_raw[],46,FALSE)*(1-interactive!$C$7)</f>
        <v>0.10593784157911811</v>
      </c>
      <c r="AU246" s="98">
        <f>VLOOKUP($A246,lmic_raw[],47,FALSE)*(1-interactive!$C$7)</f>
        <v>0.14003339308619589</v>
      </c>
      <c r="AV246" s="98">
        <f>VLOOKUP($A246,lmic_raw[],48,FALSE)*(1-interactive!$C$7)</f>
        <v>0.16485553669444136</v>
      </c>
      <c r="AW246" s="98">
        <f>VLOOKUP($A246,lmic_raw[],49,FALSE)*(1-interactive!$C$7)</f>
        <v>0.17716117308895737</v>
      </c>
      <c r="AX246" s="98">
        <f>VLOOKUP($A246,lmic_raw[],50,FALSE)*(1-interactive!$C$7)</f>
        <v>64.096499999999992</v>
      </c>
    </row>
    <row r="247" spans="1:50" x14ac:dyDescent="0.25">
      <c r="A247" s="110" t="s">
        <v>345</v>
      </c>
      <c r="B247" s="104" t="s">
        <v>508</v>
      </c>
      <c r="C247" s="105">
        <v>688</v>
      </c>
      <c r="D247" s="122" t="s">
        <v>675</v>
      </c>
      <c r="E247" s="94" t="s">
        <v>580</v>
      </c>
      <c r="F247" s="94" t="s">
        <v>663</v>
      </c>
      <c r="G247" s="94" t="s">
        <v>676</v>
      </c>
      <c r="H247" s="98">
        <f>VLOOKUP(lmic_raw_lb[[#This Row],[setting]],lmic_raw[],8,FALSE)</f>
        <v>8772228</v>
      </c>
      <c r="I247" s="98">
        <f>VLOOKUP(lmic_raw_lb[[#This Row],[setting]],lmic_raw[],9,FALSE)</f>
        <v>83792.321855999995</v>
      </c>
      <c r="J247" s="94">
        <f>VLOOKUP($A247,lmic_raw[],10,FALSE)*(1-interactive!$C$7)</f>
        <v>0.93289999999999995</v>
      </c>
      <c r="K247" s="94">
        <f>VLOOKUP($A247,lmic_raw[],11,FALSE)*(1-interactive!$C$7)</f>
        <v>0.9405</v>
      </c>
      <c r="L247" s="94">
        <f>VLOOKUP($A247,lmic_raw[],12,FALSE)*(1-interactive!$C$7)</f>
        <v>0.8929999999999999</v>
      </c>
      <c r="M247" s="94">
        <f>IFERROR(VLOOKUP(lmic_raw_lb[[#This Row],[iso3]], hbv_prev[[iso3]:[ub]],3,FALSE)/100,0)</f>
        <v>6.9999999999999993E-3</v>
      </c>
      <c r="N247" s="94">
        <f>IFERROR(VLOOKUP(lmic_raw_lb[[#This Row],[setting]],hbe_prev[],4,FALSE),0)</f>
        <v>0.16329999999999997</v>
      </c>
      <c r="O247" s="94">
        <f>VLOOKUP(lmic_raw_lb[[#This Row],[gbd_super]],hbe_risk[],3,FALSE)</f>
        <v>0.7</v>
      </c>
      <c r="P247" s="94">
        <f>VLOOKUP(lmic_raw_lb[[#This Row],[gbd_super]],hbe_risk[],6,FALSE)</f>
        <v>0.05</v>
      </c>
      <c r="Q247" s="94">
        <f>VLOOKUP(lmic_raw_lb[[#This Row],[setting]],lmic_raw[],17,FALSE)*(1-interactive!$C$7)</f>
        <v>9.4823947680396934</v>
      </c>
      <c r="R247" s="98">
        <f>VLOOKUP(lmic_raw_lb[[#This Row],[setting]],lmic_raw[],18,FALSE)*(1-interactive!$C$7)</f>
        <v>42.31053</v>
      </c>
      <c r="S247" s="98">
        <f>VLOOKUP(lmic_raw_lb[[#This Row],[setting]],lmic_raw[],19,FALSE)*(1-interactive!$C$7)</f>
        <v>87.665430000000001</v>
      </c>
      <c r="T247" s="98">
        <f>VLOOKUP(lmic_raw_lb[[#This Row],[setting]],lmic_raw[],20,FALSE)*(1-interactive!$C$7)</f>
        <v>87.665430000000001</v>
      </c>
      <c r="U247" s="98">
        <f>VLOOKUP(lmic_raw_lb[[#This Row],[setting]],lmic_raw[],21,FALSE)*(1-interactive!$C$7)</f>
        <v>87.665430000000001</v>
      </c>
      <c r="V247" s="33">
        <f>IFERROR(VLOOKUP(lmic_raw_lb[[#This Row],[setting]],vcost_lb[],3,FALSE),0)</f>
        <v>2.5789561348028278</v>
      </c>
      <c r="W247" s="33">
        <f>IFERROR(VLOOKUP(lmic_raw_lb[[#This Row],[setting]],vcost_lb[],4,FALSE),0)</f>
        <v>6.4413711348028286</v>
      </c>
      <c r="X247" s="33">
        <f>IFERROR(VLOOKUP(lmic_raw_lb[[#This Row],[setting]],vcost_lb[],5,FALSE),0)</f>
        <v>2.2074494951033414</v>
      </c>
      <c r="Y247" s="33">
        <f>IFERROR(VLOOKUP(lmic_raw_lb[[#This Row],[setting]],vcost_lb[],6,FALSE),0)</f>
        <v>6.0698644951033423</v>
      </c>
      <c r="Z247" s="33">
        <f>IFERROR(VLOOKUP(lmic_raw_lb[[#This Row],[setting]],vcost_lb[],7,FALSE),0)</f>
        <v>6.0637497121537436</v>
      </c>
      <c r="AA247" s="33">
        <f>IFERROR(VLOOKUP(lmic_raw_lb[[#This Row],[setting]],vcost_lb[],8,FALSE),0)</f>
        <v>2.7928147977668205</v>
      </c>
      <c r="AB247" s="33">
        <f>IFERROR(VLOOKUP(lmic_raw_lb[[#This Row],[setting]],vcost_lb[],9,FALSE),0)</f>
        <v>6.6552297977668209</v>
      </c>
      <c r="AC247" s="94">
        <f>VLOOKUP($A247,lmic_raw[],29,FALSE)*(1-interactive!$C$7)</f>
        <v>4.6545534999999439E-3</v>
      </c>
      <c r="AD247" s="94">
        <f>VLOOKUP($A247,lmic_raw[],30,FALSE)*(1-interactive!$C$7)</f>
        <v>1.6229755674822372E-4</v>
      </c>
      <c r="AE247" s="94">
        <f>VLOOKUP($A247,lmic_raw[],31,FALSE)*(1-interactive!$C$7)</f>
        <v>9.516236220641923E-5</v>
      </c>
      <c r="AF247" s="94">
        <f>VLOOKUP($A247,lmic_raw[],32,FALSE)*(1-interactive!$C$7)</f>
        <v>1.1113956180081989E-4</v>
      </c>
      <c r="AG247" s="94">
        <f>VLOOKUP($A247,lmic_raw[],33,FALSE)*(1-interactive!$C$7)</f>
        <v>2.8667909321492886E-4</v>
      </c>
      <c r="AH247" s="94">
        <f>VLOOKUP($A247,lmic_raw[],34,FALSE)*(1-interactive!$C$7)</f>
        <v>3.9452535101802965E-4</v>
      </c>
      <c r="AI247" s="94">
        <f>VLOOKUP($A247,lmic_raw[],35,FALSE)*(1-interactive!$C$7)</f>
        <v>5.0708887408226549E-4</v>
      </c>
      <c r="AJ247" s="94">
        <f>VLOOKUP($A247,lmic_raw[],36,FALSE)*(1-interactive!$C$7)</f>
        <v>7.3295064639645362E-4</v>
      </c>
      <c r="AK247" s="94">
        <f>VLOOKUP($A247,lmic_raw[],37,FALSE)*(1-interactive!$C$7)</f>
        <v>1.0248119797782351E-3</v>
      </c>
      <c r="AL247" s="94">
        <f>VLOOKUP($A247,lmic_raw[],38,FALSE)*(1-interactive!$C$7)</f>
        <v>1.7265433207255608E-3</v>
      </c>
      <c r="AM247" s="94">
        <f>VLOOKUP($A247,lmic_raw[],39,FALSE)*(1-interactive!$C$7)</f>
        <v>3.0307545606923147E-3</v>
      </c>
      <c r="AN247" s="94">
        <f>VLOOKUP($A247,lmic_raw[],40,FALSE)*(1-interactive!$C$7)</f>
        <v>5.3338871583575205E-3</v>
      </c>
      <c r="AO247" s="94">
        <f>VLOOKUP($A247,lmic_raw[],41,FALSE)*(1-interactive!$C$7)</f>
        <v>8.7044697097083505E-3</v>
      </c>
      <c r="AP247" s="94">
        <f>VLOOKUP($A247,lmic_raw[],42,FALSE)*(1-interactive!$C$7)</f>
        <v>1.3481806801085088E-2</v>
      </c>
      <c r="AQ247" s="94">
        <f>VLOOKUP($A247,lmic_raw[],43,FALSE)*(1-interactive!$C$7)</f>
        <v>1.9837759073135116E-2</v>
      </c>
      <c r="AR247" s="94">
        <f>VLOOKUP($A247,lmic_raw[],44,FALSE)*(1-interactive!$C$7)</f>
        <v>3.0225607410525018E-2</v>
      </c>
      <c r="AS247" s="94">
        <f>VLOOKUP($A247,lmic_raw[],45,FALSE)*(1-interactive!$C$7)</f>
        <v>5.0822687404702929E-2</v>
      </c>
      <c r="AT247" s="94">
        <f>VLOOKUP($A247,lmic_raw[],46,FALSE)*(1-interactive!$C$7)</f>
        <v>8.1507867884061447E-2</v>
      </c>
      <c r="AU247" s="94">
        <f>VLOOKUP($A247,lmic_raw[],47,FALSE)*(1-interactive!$C$7)</f>
        <v>0.11622493860949565</v>
      </c>
      <c r="AV247" s="94">
        <f>VLOOKUP($A247,lmic_raw[],48,FALSE)*(1-interactive!$C$7)</f>
        <v>0.15229472501231289</v>
      </c>
      <c r="AW247" s="94">
        <f>VLOOKUP($A247,lmic_raw[],49,FALSE)*(1-interactive!$C$7)</f>
        <v>0.17340252987728902</v>
      </c>
      <c r="AX247" s="94">
        <f>VLOOKUP($A247,lmic_raw[],50,FALSE)*(1-interactive!$C$7)</f>
        <v>71.983400000000003</v>
      </c>
    </row>
    <row r="248" spans="1:50" x14ac:dyDescent="0.25">
      <c r="A248" s="109" t="s">
        <v>153</v>
      </c>
      <c r="B248" s="101" t="s">
        <v>509</v>
      </c>
      <c r="C248" s="102">
        <v>694</v>
      </c>
      <c r="D248" s="121" t="s">
        <v>677</v>
      </c>
      <c r="E248" s="98" t="s">
        <v>591</v>
      </c>
      <c r="F248" s="98" t="s">
        <v>667</v>
      </c>
      <c r="G248" s="98" t="s">
        <v>674</v>
      </c>
      <c r="H248" s="98">
        <f>VLOOKUP(lmic_raw_lb[[#This Row],[setting]],lmic_raw[],8,FALSE)</f>
        <v>7813207</v>
      </c>
      <c r="I248" s="98">
        <f>VLOOKUP(lmic_raw_lb[[#This Row],[setting]],lmic_raw[],9,FALSE)</f>
        <v>263500.40607500001</v>
      </c>
      <c r="J248" s="98">
        <f>VLOOKUP($A248,lmic_raw[],10,FALSE)*(1-interactive!$C$7)</f>
        <v>0.7923</v>
      </c>
      <c r="K248" s="98">
        <f>VLOOKUP($A248,lmic_raw[],11,FALSE)*(1-interactive!$C$7)</f>
        <v>0</v>
      </c>
      <c r="L248" s="98">
        <f>VLOOKUP($A248,lmic_raw[],12,FALSE)*(1-interactive!$C$7)</f>
        <v>0.90249999999999997</v>
      </c>
      <c r="M248" s="98">
        <f>IFERROR(VLOOKUP(lmic_raw_lb[[#This Row],[iso3]], hbv_prev[[iso3]:[ub]],3,FALSE)/100,0)</f>
        <v>0.13789999999999999</v>
      </c>
      <c r="N248" s="98">
        <f>IFERROR(VLOOKUP(lmic_raw_lb[[#This Row],[setting]],hbe_prev[],4,FALSE),0)</f>
        <v>0.155</v>
      </c>
      <c r="O248" s="98">
        <f>VLOOKUP(lmic_raw_lb[[#This Row],[gbd_super]],hbe_risk[],3,FALSE)</f>
        <v>7.0000000000000007E-2</v>
      </c>
      <c r="P248" s="98">
        <f>VLOOKUP(lmic_raw_lb[[#This Row],[gbd_super]],hbe_risk[],6,FALSE)</f>
        <v>1E-3</v>
      </c>
      <c r="Q248" s="98">
        <f>VLOOKUP(lmic_raw_lb[[#This Row],[setting]],lmic_raw[],17,FALSE)*(1-interactive!$C$7)</f>
        <v>2.5140754204424076</v>
      </c>
      <c r="R248" s="98">
        <f>VLOOKUP(lmic_raw_lb[[#This Row],[setting]],lmic_raw[],18,FALSE)*(1-interactive!$C$7)</f>
        <v>28.424474999999997</v>
      </c>
      <c r="S248" s="98">
        <f>VLOOKUP(lmic_raw_lb[[#This Row],[setting]],lmic_raw[],19,FALSE)*(1-interactive!$C$7)</f>
        <v>73.779375000000002</v>
      </c>
      <c r="T248" s="98">
        <f>VLOOKUP(lmic_raw_lb[[#This Row],[setting]],lmic_raw[],20,FALSE)*(1-interactive!$C$7)</f>
        <v>73.779375000000002</v>
      </c>
      <c r="U248" s="98">
        <f>VLOOKUP(lmic_raw_lb[[#This Row],[setting]],lmic_raw[],21,FALSE)*(1-interactive!$C$7)</f>
        <v>73.779375000000002</v>
      </c>
      <c r="V248" s="33">
        <f>IFERROR(VLOOKUP(lmic_raw_lb[[#This Row],[setting]],vcost_lb[],3,FALSE),0)</f>
        <v>1.2008479369359326</v>
      </c>
      <c r="W248" s="33">
        <f>IFERROR(VLOOKUP(lmic_raw_lb[[#This Row],[setting]],vcost_lb[],4,FALSE),0)</f>
        <v>5.7881129369359332</v>
      </c>
      <c r="X248" s="33">
        <f>IFERROR(VLOOKUP(lmic_raw_lb[[#This Row],[setting]],vcost_lb[],5,FALSE),0)</f>
        <v>0.83696231988752046</v>
      </c>
      <c r="Y248" s="33">
        <f>IFERROR(VLOOKUP(lmic_raw_lb[[#This Row],[setting]],vcost_lb[],6,FALSE),0)</f>
        <v>5.424227319887521</v>
      </c>
      <c r="Z248" s="33">
        <f>IFERROR(VLOOKUP(lmic_raw_lb[[#This Row],[setting]],vcost_lb[],7,FALSE),0)</f>
        <v>5.4230710759624055</v>
      </c>
      <c r="AA248" s="33">
        <f>IFERROR(VLOOKUP(lmic_raw_lb[[#This Row],[setting]],vcost_lb[],8,FALSE),0)</f>
        <v>1.4114404473351785</v>
      </c>
      <c r="AB248" s="33">
        <f>IFERROR(VLOOKUP(lmic_raw_lb[[#This Row],[setting]],vcost_lb[],9,FALSE),0)</f>
        <v>5.9987054473351789</v>
      </c>
      <c r="AC248" s="98">
        <f>VLOOKUP($A248,lmic_raw[],29,FALSE)*(1-interactive!$C$7)</f>
        <v>7.6752390499999934E-2</v>
      </c>
      <c r="AD248" s="98">
        <f>VLOOKUP($A248,lmic_raw[],30,FALSE)*(1-interactive!$C$7)</f>
        <v>7.6467460830764618E-3</v>
      </c>
      <c r="AE248" s="98">
        <f>VLOOKUP($A248,lmic_raw[],31,FALSE)*(1-interactive!$C$7)</f>
        <v>3.3827600632783616E-3</v>
      </c>
      <c r="AF248" s="98">
        <f>VLOOKUP($A248,lmic_raw[],32,FALSE)*(1-interactive!$C$7)</f>
        <v>2.4853976790811519E-3</v>
      </c>
      <c r="AG248" s="98">
        <f>VLOOKUP($A248,lmic_raw[],33,FALSE)*(1-interactive!$C$7)</f>
        <v>4.0899764003664782E-3</v>
      </c>
      <c r="AH248" s="98">
        <f>VLOOKUP($A248,lmic_raw[],34,FALSE)*(1-interactive!$C$7)</f>
        <v>5.6924300919248081E-3</v>
      </c>
      <c r="AI248" s="98">
        <f>VLOOKUP($A248,lmic_raw[],35,FALSE)*(1-interactive!$C$7)</f>
        <v>6.2497589038089437E-3</v>
      </c>
      <c r="AJ248" s="98">
        <f>VLOOKUP($A248,lmic_raw[],36,FALSE)*(1-interactive!$C$7)</f>
        <v>6.8730133742891941E-3</v>
      </c>
      <c r="AK248" s="98">
        <f>VLOOKUP($A248,lmic_raw[],37,FALSE)*(1-interactive!$C$7)</f>
        <v>7.9329412404796525E-3</v>
      </c>
      <c r="AL248" s="98">
        <f>VLOOKUP($A248,lmic_raw[],38,FALSE)*(1-interactive!$C$7)</f>
        <v>9.3906272148045634E-3</v>
      </c>
      <c r="AM248" s="98">
        <f>VLOOKUP($A248,lmic_raw[],39,FALSE)*(1-interactive!$C$7)</f>
        <v>1.1518053437633182E-2</v>
      </c>
      <c r="AN248" s="98">
        <f>VLOOKUP($A248,lmic_raw[],40,FALSE)*(1-interactive!$C$7)</f>
        <v>1.5076110394917299E-2</v>
      </c>
      <c r="AO248" s="98">
        <f>VLOOKUP($A248,lmic_raw[],41,FALSE)*(1-interactive!$C$7)</f>
        <v>2.0050994661359373E-2</v>
      </c>
      <c r="AP248" s="98">
        <f>VLOOKUP($A248,lmic_raw[],42,FALSE)*(1-interactive!$C$7)</f>
        <v>2.8237585265538979E-2</v>
      </c>
      <c r="AQ248" s="98">
        <f>VLOOKUP($A248,lmic_raw[],43,FALSE)*(1-interactive!$C$7)</f>
        <v>3.9947861400672274E-2</v>
      </c>
      <c r="AR248" s="98">
        <f>VLOOKUP($A248,lmic_raw[],44,FALSE)*(1-interactive!$C$7)</f>
        <v>5.7525340094491173E-2</v>
      </c>
      <c r="AS248" s="98">
        <f>VLOOKUP($A248,lmic_raw[],45,FALSE)*(1-interactive!$C$7)</f>
        <v>8.0334510025091593E-2</v>
      </c>
      <c r="AT248" s="98">
        <f>VLOOKUP($A248,lmic_raw[],46,FALSE)*(1-interactive!$C$7)</f>
        <v>0.10712307071286463</v>
      </c>
      <c r="AU248" s="98">
        <f>VLOOKUP($A248,lmic_raw[],47,FALSE)*(1-interactive!$C$7)</f>
        <v>0.13161578041580091</v>
      </c>
      <c r="AV248" s="98">
        <f>VLOOKUP($A248,lmic_raw[],48,FALSE)*(1-interactive!$C$7)</f>
        <v>0.15301720214699877</v>
      </c>
      <c r="AW248" s="98">
        <f>VLOOKUP($A248,lmic_raw[],49,FALSE)*(1-interactive!$C$7)</f>
        <v>0.16959316837589275</v>
      </c>
      <c r="AX248" s="98">
        <f>VLOOKUP($A248,lmic_raw[],50,FALSE)*(1-interactive!$C$7)</f>
        <v>51.362699999999997</v>
      </c>
    </row>
    <row r="249" spans="1:50" x14ac:dyDescent="0.25">
      <c r="A249" s="110" t="s">
        <v>284</v>
      </c>
      <c r="B249" s="104" t="s">
        <v>512</v>
      </c>
      <c r="C249" s="105">
        <v>90</v>
      </c>
      <c r="D249" s="122" t="s">
        <v>681</v>
      </c>
      <c r="E249" s="94" t="s">
        <v>98</v>
      </c>
      <c r="F249" s="94" t="s">
        <v>666</v>
      </c>
      <c r="G249" s="94" t="s">
        <v>678</v>
      </c>
      <c r="H249" s="98">
        <f>VLOOKUP(lmic_raw_lb[[#This Row],[setting]],lmic_raw[],8,FALSE)</f>
        <v>669821</v>
      </c>
      <c r="I249" s="98">
        <f>VLOOKUP(lmic_raw_lb[[#This Row],[setting]],lmic_raw[],9,FALSE)</f>
        <v>21909.84491</v>
      </c>
      <c r="J249" s="94">
        <f>VLOOKUP($A249,lmic_raw[],10,FALSE)*(1-interactive!$C$7)</f>
        <v>0.80274999999999996</v>
      </c>
      <c r="K249" s="94">
        <f>VLOOKUP($A249,lmic_raw[],11,FALSE)*(1-interactive!$C$7)</f>
        <v>0.627</v>
      </c>
      <c r="L249" s="94">
        <f>VLOOKUP($A249,lmic_raw[],12,FALSE)*(1-interactive!$C$7)</f>
        <v>0.8929999999999999</v>
      </c>
      <c r="M249" s="94">
        <f>IFERROR(VLOOKUP(lmic_raw_lb[[#This Row],[iso3]], hbv_prev[[iso3]:[ub]],3,FALSE)/100,0)</f>
        <v>0.09</v>
      </c>
      <c r="N249" s="94">
        <f>IFERROR(VLOOKUP(lmic_raw_lb[[#This Row],[setting]],hbe_prev[],4,FALSE),0)</f>
        <v>0.1832</v>
      </c>
      <c r="O249" s="94">
        <f>VLOOKUP(lmic_raw_lb[[#This Row],[gbd_super]],hbe_risk[],3,FALSE)</f>
        <v>0.7</v>
      </c>
      <c r="P249" s="94">
        <f>VLOOKUP(lmic_raw_lb[[#This Row],[gbd_super]],hbe_risk[],6,FALSE)</f>
        <v>0.05</v>
      </c>
      <c r="Q249" s="94">
        <f>VLOOKUP(lmic_raw_lb[[#This Row],[setting]],lmic_raw[],17,FALSE)*(1-interactive!$C$7)</f>
        <v>5.5246599929480311</v>
      </c>
      <c r="R249" s="98">
        <f>VLOOKUP(lmic_raw_lb[[#This Row],[setting]],lmic_raw[],18,FALSE)*(1-interactive!$C$7)</f>
        <v>69.430275000000009</v>
      </c>
      <c r="S249" s="98">
        <f>VLOOKUP(lmic_raw_lb[[#This Row],[setting]],lmic_raw[],19,FALSE)*(1-interactive!$C$7)</f>
        <v>114.785175</v>
      </c>
      <c r="T249" s="98">
        <f>VLOOKUP(lmic_raw_lb[[#This Row],[setting]],lmic_raw[],20,FALSE)*(1-interactive!$C$7)</f>
        <v>114.785175</v>
      </c>
      <c r="U249" s="98">
        <f>VLOOKUP(lmic_raw_lb[[#This Row],[setting]],lmic_raw[],21,FALSE)*(1-interactive!$C$7)</f>
        <v>114.785175</v>
      </c>
      <c r="V249" s="33">
        <f>IFERROR(VLOOKUP(lmic_raw_lb[[#This Row],[setting]],vcost_lb[],3,FALSE),0)</f>
        <v>2.1366294959209782</v>
      </c>
      <c r="W249" s="33">
        <f>IFERROR(VLOOKUP(lmic_raw_lb[[#This Row],[setting]],vcost_lb[],4,FALSE),0)</f>
        <v>2.7372194959209781</v>
      </c>
      <c r="X249" s="33">
        <f>IFERROR(VLOOKUP(lmic_raw_lb[[#This Row],[setting]],vcost_lb[],5,FALSE),0)</f>
        <v>1.7691279428199003</v>
      </c>
      <c r="Y249" s="33">
        <f>IFERROR(VLOOKUP(lmic_raw_lb[[#This Row],[setting]],vcost_lb[],6,FALSE),0)</f>
        <v>2.3697179428199</v>
      </c>
      <c r="Z249" s="33">
        <f>IFERROR(VLOOKUP(lmic_raw_lb[[#This Row],[setting]],vcost_lb[],7,FALSE),0)</f>
        <v>2.3662856156859737</v>
      </c>
      <c r="AA249" s="33">
        <f>IFERROR(VLOOKUP(lmic_raw_lb[[#This Row],[setting]],vcost_lb[],8,FALSE),0)</f>
        <v>2.3487716931999381</v>
      </c>
      <c r="AB249" s="33">
        <f>IFERROR(VLOOKUP(lmic_raw_lb[[#This Row],[setting]],vcost_lb[],9,FALSE),0)</f>
        <v>2.949361693199938</v>
      </c>
      <c r="AC249" s="94">
        <f>VLOOKUP($A249,lmic_raw[],29,FALSE)*(1-interactive!$C$7)</f>
        <v>1.4683589500000031E-2</v>
      </c>
      <c r="AD249" s="94">
        <f>VLOOKUP($A249,lmic_raw[],30,FALSE)*(1-interactive!$C$7)</f>
        <v>1.1258062987338127E-3</v>
      </c>
      <c r="AE249" s="94">
        <f>VLOOKUP($A249,lmic_raw[],31,FALSE)*(1-interactive!$C$7)</f>
        <v>4.12840547210927E-4</v>
      </c>
      <c r="AF249" s="94">
        <f>VLOOKUP($A249,lmic_raw[],32,FALSE)*(1-interactive!$C$7)</f>
        <v>3.8020695527219968E-4</v>
      </c>
      <c r="AG249" s="94">
        <f>VLOOKUP($A249,lmic_raw[],33,FALSE)*(1-interactive!$C$7)</f>
        <v>8.3445199849877655E-4</v>
      </c>
      <c r="AH249" s="94">
        <f>VLOOKUP($A249,lmic_raw[],34,FALSE)*(1-interactive!$C$7)</f>
        <v>1.0937191795977778E-3</v>
      </c>
      <c r="AI249" s="94">
        <f>VLOOKUP($A249,lmic_raw[],35,FALSE)*(1-interactive!$C$7)</f>
        <v>1.1538798804057791E-3</v>
      </c>
      <c r="AJ249" s="94">
        <f>VLOOKUP($A249,lmic_raw[],36,FALSE)*(1-interactive!$C$7)</f>
        <v>1.3713489312783555E-3</v>
      </c>
      <c r="AK249" s="94">
        <f>VLOOKUP($A249,lmic_raw[],37,FALSE)*(1-interactive!$C$7)</f>
        <v>1.8467632728515356E-3</v>
      </c>
      <c r="AL249" s="94">
        <f>VLOOKUP($A249,lmic_raw[],38,FALSE)*(1-interactive!$C$7)</f>
        <v>2.65993147666122E-3</v>
      </c>
      <c r="AM249" s="94">
        <f>VLOOKUP($A249,lmic_raw[],39,FALSE)*(1-interactive!$C$7)</f>
        <v>4.098586930484263E-3</v>
      </c>
      <c r="AN249" s="94">
        <f>VLOOKUP($A249,lmic_raw[],40,FALSE)*(1-interactive!$C$7)</f>
        <v>6.3713836341642138E-3</v>
      </c>
      <c r="AO249" s="94">
        <f>VLOOKUP($A249,lmic_raw[],41,FALSE)*(1-interactive!$C$7)</f>
        <v>9.9450535883332282E-3</v>
      </c>
      <c r="AP249" s="94">
        <f>VLOOKUP($A249,lmic_raw[],42,FALSE)*(1-interactive!$C$7)</f>
        <v>1.4817790395592147E-2</v>
      </c>
      <c r="AQ249" s="94">
        <f>VLOOKUP($A249,lmic_raw[],43,FALSE)*(1-interactive!$C$7)</f>
        <v>2.1849274250210899E-2</v>
      </c>
      <c r="AR249" s="94">
        <f>VLOOKUP($A249,lmic_raw[],44,FALSE)*(1-interactive!$C$7)</f>
        <v>3.347467430050096E-2</v>
      </c>
      <c r="AS249" s="94">
        <f>VLOOKUP($A249,lmic_raw[],45,FALSE)*(1-interactive!$C$7)</f>
        <v>5.292550992805261E-2</v>
      </c>
      <c r="AT249" s="94">
        <f>VLOOKUP($A249,lmic_raw[],46,FALSE)*(1-interactive!$C$7)</f>
        <v>7.9132952943306009E-2</v>
      </c>
      <c r="AU249" s="94">
        <f>VLOOKUP($A249,lmic_raw[],47,FALSE)*(1-interactive!$C$7)</f>
        <v>0.11064353029127313</v>
      </c>
      <c r="AV249" s="94">
        <f>VLOOKUP($A249,lmic_raw[],48,FALSE)*(1-interactive!$C$7)</f>
        <v>0.13961609617554133</v>
      </c>
      <c r="AW249" s="94">
        <f>VLOOKUP($A249,lmic_raw[],49,FALSE)*(1-interactive!$C$7)</f>
        <v>0.16169968345910765</v>
      </c>
      <c r="AX249" s="94">
        <f>VLOOKUP($A249,lmic_raw[],50,FALSE)*(1-interactive!$C$7)</f>
        <v>69.134349999999998</v>
      </c>
    </row>
    <row r="250" spans="1:50" x14ac:dyDescent="0.25">
      <c r="A250" s="109" t="s">
        <v>115</v>
      </c>
      <c r="B250" s="101" t="s">
        <v>513</v>
      </c>
      <c r="C250" s="102">
        <v>706</v>
      </c>
      <c r="D250" s="121" t="s">
        <v>673</v>
      </c>
      <c r="E250" s="98" t="s">
        <v>597</v>
      </c>
      <c r="F250" s="98" t="s">
        <v>667</v>
      </c>
      <c r="G250" s="98" t="s">
        <v>674</v>
      </c>
      <c r="H250" s="98">
        <f>VLOOKUP(lmic_raw_lb[[#This Row],[setting]],lmic_raw[],8,FALSE)</f>
        <v>15442906</v>
      </c>
      <c r="I250" s="98">
        <f>VLOOKUP(lmic_raw_lb[[#This Row],[setting]],lmic_raw[],9,FALSE)</f>
        <v>646563.58840800007</v>
      </c>
      <c r="J250" s="98">
        <f>VLOOKUP($A250,lmic_raw[],10,FALSE)*(1-interactive!$C$7)</f>
        <v>0.19664999999999999</v>
      </c>
      <c r="K250" s="98">
        <f>VLOOKUP($A250,lmic_raw[],11,FALSE)*(1-interactive!$C$7)</f>
        <v>0</v>
      </c>
      <c r="L250" s="98">
        <f>VLOOKUP($A250,lmic_raw[],12,FALSE)*(1-interactive!$C$7)</f>
        <v>0.39899999999999997</v>
      </c>
      <c r="M250" s="98">
        <f>IFERROR(VLOOKUP(lmic_raw_lb[[#This Row],[iso3]], hbv_prev[[iso3]:[ub]],3,FALSE)/100,0)</f>
        <v>0.1104</v>
      </c>
      <c r="N250" s="98">
        <f>IFERROR(VLOOKUP(lmic_raw_lb[[#This Row],[setting]],hbe_prev[],4,FALSE),0)</f>
        <v>0.15560000000000002</v>
      </c>
      <c r="O250" s="98">
        <f>VLOOKUP(lmic_raw_lb[[#This Row],[gbd_super]],hbe_risk[],3,FALSE)</f>
        <v>7.0000000000000007E-2</v>
      </c>
      <c r="P250" s="98">
        <f>VLOOKUP(lmic_raw_lb[[#This Row],[gbd_super]],hbe_risk[],6,FALSE)</f>
        <v>1E-3</v>
      </c>
      <c r="Q250" s="98">
        <f>VLOOKUP(lmic_raw_lb[[#This Row],[setting]],lmic_raw[],17,FALSE)*(1-interactive!$C$7)</f>
        <v>0</v>
      </c>
      <c r="R250" s="98">
        <f>VLOOKUP(lmic_raw_lb[[#This Row],[setting]],lmic_raw[],18,FALSE)*(1-interactive!$C$7)</f>
        <v>28.424474999999997</v>
      </c>
      <c r="S250" s="98">
        <f>VLOOKUP(lmic_raw_lb[[#This Row],[setting]],lmic_raw[],19,FALSE)*(1-interactive!$C$7)</f>
        <v>73.779375000000002</v>
      </c>
      <c r="T250" s="98">
        <f>VLOOKUP(lmic_raw_lb[[#This Row],[setting]],lmic_raw[],20,FALSE)*(1-interactive!$C$7)</f>
        <v>73.779375000000002</v>
      </c>
      <c r="U250" s="98">
        <f>VLOOKUP(lmic_raw_lb[[#This Row],[setting]],lmic_raw[],21,FALSE)*(1-interactive!$C$7)</f>
        <v>73.779375000000002</v>
      </c>
      <c r="V250" s="33">
        <f>IFERROR(VLOOKUP(lmic_raw_lb[[#This Row],[setting]],vcost_lb[],3,FALSE),0)</f>
        <v>0.43522724686196379</v>
      </c>
      <c r="W250" s="33">
        <f>IFERROR(VLOOKUP(lmic_raw_lb[[#This Row],[setting]],vcost_lb[],4,FALSE),0)</f>
        <v>5.0224922468619644</v>
      </c>
      <c r="X250" s="33">
        <f>IFERROR(VLOOKUP(lmic_raw_lb[[#This Row],[setting]],vcost_lb[],5,FALSE),0)</f>
        <v>7.2750149255774138E-2</v>
      </c>
      <c r="Y250" s="33">
        <f>IFERROR(VLOOKUP(lmic_raw_lb[[#This Row],[setting]],vcost_lb[],6,FALSE),0)</f>
        <v>4.6600151492557744</v>
      </c>
      <c r="Z250" s="33">
        <f>IFERROR(VLOOKUP(lmic_raw_lb[[#This Row],[setting]],vcost_lb[],7,FALSE),0)</f>
        <v>4.6597273628132774</v>
      </c>
      <c r="AA250" s="33">
        <f>IFERROR(VLOOKUP(lmic_raw_lb[[#This Row],[setting]],vcost_lb[],8,FALSE),0)</f>
        <v>0.64521610607168578</v>
      </c>
      <c r="AB250" s="33">
        <f>IFERROR(VLOOKUP(lmic_raw_lb[[#This Row],[setting]],vcost_lb[],9,FALSE),0)</f>
        <v>5.2324811060716865</v>
      </c>
      <c r="AC250" s="98">
        <f>VLOOKUP($A250,lmic_raw[],29,FALSE)*(1-interactive!$C$7)</f>
        <v>6.5857514999999964E-2</v>
      </c>
      <c r="AD250" s="98">
        <f>VLOOKUP($A250,lmic_raw[],30,FALSE)*(1-interactive!$C$7)</f>
        <v>1.1677759227348998E-2</v>
      </c>
      <c r="AE250" s="98">
        <f>VLOOKUP($A250,lmic_raw[],31,FALSE)*(1-interactive!$C$7)</f>
        <v>3.8513783351493153E-3</v>
      </c>
      <c r="AF250" s="98">
        <f>VLOOKUP($A250,lmic_raw[],32,FALSE)*(1-interactive!$C$7)</f>
        <v>2.7676980886938434E-3</v>
      </c>
      <c r="AG250" s="98">
        <f>VLOOKUP($A250,lmic_raw[],33,FALSE)*(1-interactive!$C$7)</f>
        <v>2.942808432734991E-3</v>
      </c>
      <c r="AH250" s="98">
        <f>VLOOKUP($A250,lmic_raw[],34,FALSE)*(1-interactive!$C$7)</f>
        <v>3.8709922255325269E-3</v>
      </c>
      <c r="AI250" s="98">
        <f>VLOOKUP($A250,lmic_raw[],35,FALSE)*(1-interactive!$C$7)</f>
        <v>4.6810245395295033E-3</v>
      </c>
      <c r="AJ250" s="98">
        <f>VLOOKUP($A250,lmic_raw[],36,FALSE)*(1-interactive!$C$7)</f>
        <v>5.5125376709713701E-3</v>
      </c>
      <c r="AK250" s="98">
        <f>VLOOKUP($A250,lmic_raw[],37,FALSE)*(1-interactive!$C$7)</f>
        <v>6.7818911778017238E-3</v>
      </c>
      <c r="AL250" s="98">
        <f>VLOOKUP($A250,lmic_raw[],38,FALSE)*(1-interactive!$C$7)</f>
        <v>7.6960582100869066E-3</v>
      </c>
      <c r="AM250" s="98">
        <f>VLOOKUP($A250,lmic_raw[],39,FALSE)*(1-interactive!$C$7)</f>
        <v>8.86515447684867E-3</v>
      </c>
      <c r="AN250" s="98">
        <f>VLOOKUP($A250,lmic_raw[],40,FALSE)*(1-interactive!$C$7)</f>
        <v>1.1012151722422462E-2</v>
      </c>
      <c r="AO250" s="98">
        <f>VLOOKUP($A250,lmic_raw[],41,FALSE)*(1-interactive!$C$7)</f>
        <v>1.4752872439837198E-2</v>
      </c>
      <c r="AP250" s="98">
        <f>VLOOKUP($A250,lmic_raw[],42,FALSE)*(1-interactive!$C$7)</f>
        <v>2.1293955313521181E-2</v>
      </c>
      <c r="AQ250" s="98">
        <f>VLOOKUP($A250,lmic_raw[],43,FALSE)*(1-interactive!$C$7)</f>
        <v>3.1877972823743939E-2</v>
      </c>
      <c r="AR250" s="98">
        <f>VLOOKUP($A250,lmic_raw[],44,FALSE)*(1-interactive!$C$7)</f>
        <v>4.7904636138655983E-2</v>
      </c>
      <c r="AS250" s="98">
        <f>VLOOKUP($A250,lmic_raw[],45,FALSE)*(1-interactive!$C$7)</f>
        <v>7.002960184351141E-2</v>
      </c>
      <c r="AT250" s="98">
        <f>VLOOKUP($A250,lmic_raw[],46,FALSE)*(1-interactive!$C$7)</f>
        <v>9.720363087784227E-2</v>
      </c>
      <c r="AU250" s="98">
        <f>VLOOKUP($A250,lmic_raw[],47,FALSE)*(1-interactive!$C$7)</f>
        <v>0.12548940726041705</v>
      </c>
      <c r="AV250" s="98">
        <f>VLOOKUP($A250,lmic_raw[],48,FALSE)*(1-interactive!$C$7)</f>
        <v>0.15012461204211114</v>
      </c>
      <c r="AW250" s="98">
        <f>VLOOKUP($A250,lmic_raw[],49,FALSE)*(1-interactive!$C$7)</f>
        <v>0.16680832653356581</v>
      </c>
      <c r="AX250" s="98">
        <f>VLOOKUP($A250,lmic_raw[],50,FALSE)*(1-interactive!$C$7)</f>
        <v>54.09395</v>
      </c>
    </row>
    <row r="251" spans="1:50" x14ac:dyDescent="0.25">
      <c r="A251" s="110" t="s">
        <v>136</v>
      </c>
      <c r="B251" s="104" t="s">
        <v>514</v>
      </c>
      <c r="C251" s="105">
        <v>710</v>
      </c>
      <c r="D251" s="122" t="s">
        <v>677</v>
      </c>
      <c r="E251" s="94" t="s">
        <v>594</v>
      </c>
      <c r="F251" s="94" t="s">
        <v>667</v>
      </c>
      <c r="G251" s="94" t="s">
        <v>676</v>
      </c>
      <c r="H251" s="98">
        <f>VLOOKUP(lmic_raw_lb[[#This Row],[setting]],lmic_raw[],8,FALSE)</f>
        <v>58558267</v>
      </c>
      <c r="I251" s="98">
        <f>VLOOKUP(lmic_raw_lb[[#This Row],[setting]],lmic_raw[],9,FALSE)</f>
        <v>1209989.4710210001</v>
      </c>
      <c r="J251" s="94">
        <f>VLOOKUP($A251,lmic_raw[],10,FALSE)*(1-interactive!$C$7)</f>
        <v>0.91105000000000003</v>
      </c>
      <c r="K251" s="94">
        <f>VLOOKUP($A251,lmic_raw[],11,FALSE)*(1-interactive!$C$7)</f>
        <v>0</v>
      </c>
      <c r="L251" s="94">
        <f>VLOOKUP($A251,lmic_raw[],12,FALSE)*(1-interactive!$C$7)</f>
        <v>0.73149999999999993</v>
      </c>
      <c r="M251" s="94">
        <f>IFERROR(VLOOKUP(lmic_raw_lb[[#This Row],[iso3]], hbv_prev[[iso3]:[ub]],3,FALSE)/100,0)</f>
        <v>2.5899999999999999E-2</v>
      </c>
      <c r="N251" s="94">
        <f>IFERROR(VLOOKUP(lmic_raw_lb[[#This Row],[setting]],hbe_prev[],4,FALSE),0)</f>
        <v>0.15109999999999998</v>
      </c>
      <c r="O251" s="94">
        <f>VLOOKUP(lmic_raw_lb[[#This Row],[gbd_super]],hbe_risk[],3,FALSE)</f>
        <v>7.0000000000000007E-2</v>
      </c>
      <c r="P251" s="94">
        <f>VLOOKUP(lmic_raw_lb[[#This Row],[gbd_super]],hbe_risk[],6,FALSE)</f>
        <v>1E-3</v>
      </c>
      <c r="Q251" s="94">
        <f>VLOOKUP(lmic_raw_lb[[#This Row],[setting]],lmic_raw[],17,FALSE)*(1-interactive!$C$7)</f>
        <v>11.827719079205124</v>
      </c>
      <c r="R251" s="98">
        <f>VLOOKUP(lmic_raw_lb[[#This Row],[setting]],lmic_raw[],18,FALSE)*(1-interactive!$C$7)</f>
        <v>28.424474999999997</v>
      </c>
      <c r="S251" s="98">
        <f>VLOOKUP(lmic_raw_lb[[#This Row],[setting]],lmic_raw[],19,FALSE)*(1-interactive!$C$7)</f>
        <v>73.779375000000002</v>
      </c>
      <c r="T251" s="98">
        <f>VLOOKUP(lmic_raw_lb[[#This Row],[setting]],lmic_raw[],20,FALSE)*(1-interactive!$C$7)</f>
        <v>73.779375000000002</v>
      </c>
      <c r="U251" s="98">
        <f>VLOOKUP(lmic_raw_lb[[#This Row],[setting]],lmic_raw[],21,FALSE)*(1-interactive!$C$7)</f>
        <v>73.779375000000002</v>
      </c>
      <c r="V251" s="33">
        <f>IFERROR(VLOOKUP(lmic_raw_lb[[#This Row],[setting]],vcost_lb[],3,FALSE),0)</f>
        <v>0.83415050882175124</v>
      </c>
      <c r="W251" s="33">
        <f>IFERROR(VLOOKUP(lmic_raw_lb[[#This Row],[setting]],vcost_lb[],4,FALSE),0)</f>
        <v>5.4214155088217515</v>
      </c>
      <c r="X251" s="33">
        <f>IFERROR(VLOOKUP(lmic_raw_lb[[#This Row],[setting]],vcost_lb[],5,FALSE),0)</f>
        <v>0.46433442099682548</v>
      </c>
      <c r="Y251" s="33">
        <f>IFERROR(VLOOKUP(lmic_raw_lb[[#This Row],[setting]],vcost_lb[],6,FALSE),0)</f>
        <v>5.0515994209968262</v>
      </c>
      <c r="Z251" s="33">
        <f>IFERROR(VLOOKUP(lmic_raw_lb[[#This Row],[setting]],vcost_lb[],7,FALSE),0)</f>
        <v>5.0464849236559672</v>
      </c>
      <c r="AA251" s="33">
        <f>IFERROR(VLOOKUP(lmic_raw_lb[[#This Row],[setting]],vcost_lb[],8,FALSE),0)</f>
        <v>1.0472846495537884</v>
      </c>
      <c r="AB251" s="33">
        <f>IFERROR(VLOOKUP(lmic_raw_lb[[#This Row],[setting]],vcost_lb[],9,FALSE),0)</f>
        <v>5.6345496495537883</v>
      </c>
      <c r="AC251" s="94">
        <f>VLOOKUP($A251,lmic_raw[],29,FALSE)*(1-interactive!$C$7)</f>
        <v>2.5881799999999944E-2</v>
      </c>
      <c r="AD251" s="94">
        <f>VLOOKUP($A251,lmic_raw[],30,FALSE)*(1-interactive!$C$7)</f>
        <v>2.0052225326803691E-3</v>
      </c>
      <c r="AE251" s="94">
        <f>VLOOKUP($A251,lmic_raw[],31,FALSE)*(1-interactive!$C$7)</f>
        <v>8.5670521390345813E-4</v>
      </c>
      <c r="AF251" s="94">
        <f>VLOOKUP($A251,lmic_raw[],32,FALSE)*(1-interactive!$C$7)</f>
        <v>7.1590802057603644E-4</v>
      </c>
      <c r="AG251" s="94">
        <f>VLOOKUP($A251,lmic_raw[],33,FALSE)*(1-interactive!$C$7)</f>
        <v>1.2177745262730978E-3</v>
      </c>
      <c r="AH251" s="94">
        <f>VLOOKUP($A251,lmic_raw[],34,FALSE)*(1-interactive!$C$7)</f>
        <v>2.1719848023595387E-3</v>
      </c>
      <c r="AI251" s="94">
        <f>VLOOKUP($A251,lmic_raw[],35,FALSE)*(1-interactive!$C$7)</f>
        <v>3.6356052316572573E-3</v>
      </c>
      <c r="AJ251" s="94">
        <f>VLOOKUP($A251,lmic_raw[],36,FALSE)*(1-interactive!$C$7)</f>
        <v>5.3058746903188857E-3</v>
      </c>
      <c r="AK251" s="94">
        <f>VLOOKUP($A251,lmic_raw[],37,FALSE)*(1-interactive!$C$7)</f>
        <v>7.7149869264891867E-3</v>
      </c>
      <c r="AL251" s="94">
        <f>VLOOKUP($A251,lmic_raw[],38,FALSE)*(1-interactive!$C$7)</f>
        <v>9.2883469239605707E-3</v>
      </c>
      <c r="AM251" s="94">
        <f>VLOOKUP($A251,lmic_raw[],39,FALSE)*(1-interactive!$C$7)</f>
        <v>1.1132349249735041E-2</v>
      </c>
      <c r="AN251" s="94">
        <f>VLOOKUP($A251,lmic_raw[],40,FALSE)*(1-interactive!$C$7)</f>
        <v>1.3512203087708882E-2</v>
      </c>
      <c r="AO251" s="94">
        <f>VLOOKUP($A251,lmic_raw[],41,FALSE)*(1-interactive!$C$7)</f>
        <v>1.6456196217257062E-2</v>
      </c>
      <c r="AP251" s="94">
        <f>VLOOKUP($A251,lmic_raw[],42,FALSE)*(1-interactive!$C$7)</f>
        <v>2.1792455848508953E-2</v>
      </c>
      <c r="AQ251" s="94">
        <f>VLOOKUP($A251,lmic_raw[],43,FALSE)*(1-interactive!$C$7)</f>
        <v>3.0643487379213699E-2</v>
      </c>
      <c r="AR251" s="94">
        <f>VLOOKUP($A251,lmic_raw[],44,FALSE)*(1-interactive!$C$7)</f>
        <v>4.4635844729056122E-2</v>
      </c>
      <c r="AS251" s="94">
        <f>VLOOKUP($A251,lmic_raw[],45,FALSE)*(1-interactive!$C$7)</f>
        <v>6.5405880135713718E-2</v>
      </c>
      <c r="AT251" s="94">
        <f>VLOOKUP($A251,lmic_raw[],46,FALSE)*(1-interactive!$C$7)</f>
        <v>9.7669693157544341E-2</v>
      </c>
      <c r="AU251" s="94">
        <f>VLOOKUP($A251,lmic_raw[],47,FALSE)*(1-interactive!$C$7)</f>
        <v>0.1364858504266154</v>
      </c>
      <c r="AV251" s="94">
        <f>VLOOKUP($A251,lmic_raw[],48,FALSE)*(1-interactive!$C$7)</f>
        <v>0.16697497205262757</v>
      </c>
      <c r="AW251" s="94">
        <f>VLOOKUP($A251,lmic_raw[],49,FALSE)*(1-interactive!$C$7)</f>
        <v>0.17795810144538451</v>
      </c>
      <c r="AX251" s="94">
        <f>VLOOKUP($A251,lmic_raw[],50,FALSE)*(1-interactive!$C$7)</f>
        <v>60.434249999999999</v>
      </c>
    </row>
    <row r="252" spans="1:50" x14ac:dyDescent="0.25">
      <c r="A252" s="109" t="s">
        <v>116</v>
      </c>
      <c r="B252" s="101" t="s">
        <v>515</v>
      </c>
      <c r="C252" s="102">
        <v>728</v>
      </c>
      <c r="D252" s="121" t="s">
        <v>677</v>
      </c>
      <c r="E252" s="98" t="s">
        <v>597</v>
      </c>
      <c r="F252" s="98" t="s">
        <v>667</v>
      </c>
      <c r="G252" s="98" t="s">
        <v>674</v>
      </c>
      <c r="H252" s="98">
        <f>VLOOKUP(lmic_raw_lb[[#This Row],[setting]],lmic_raw[],8,FALSE)</f>
        <v>11062114</v>
      </c>
      <c r="I252" s="98">
        <f>VLOOKUP(lmic_raw_lb[[#This Row],[setting]],lmic_raw[],9,FALSE)</f>
        <v>389286.85377400002</v>
      </c>
      <c r="J252" s="98">
        <f>VLOOKUP($A252,lmic_raw[],10,FALSE)*(1-interactive!$C$7)</f>
        <v>0.10925</v>
      </c>
      <c r="K252" s="98">
        <f>VLOOKUP($A252,lmic_raw[],11,FALSE)*(1-interactive!$C$7)</f>
        <v>0</v>
      </c>
      <c r="L252" s="98">
        <f>VLOOKUP($A252,lmic_raw[],12,FALSE)*(1-interactive!$C$7)</f>
        <v>0.46549999999999997</v>
      </c>
      <c r="M252" s="98">
        <f>IFERROR(VLOOKUP(lmic_raw_lb[[#This Row],[iso3]], hbv_prev[[iso3]:[ub]],3,FALSE)/100,0)</f>
        <v>0.17980000000000002</v>
      </c>
      <c r="N252" s="98">
        <f>IFERROR(VLOOKUP(lmic_raw_lb[[#This Row],[setting]],hbe_prev[],4,FALSE),0)</f>
        <v>0.15560000000000002</v>
      </c>
      <c r="O252" s="98">
        <f>VLOOKUP(lmic_raw_lb[[#This Row],[gbd_super]],hbe_risk[],3,FALSE)</f>
        <v>7.0000000000000007E-2</v>
      </c>
      <c r="P252" s="98">
        <f>VLOOKUP(lmic_raw_lb[[#This Row],[gbd_super]],hbe_risk[],6,FALSE)</f>
        <v>1E-3</v>
      </c>
      <c r="Q252" s="98">
        <f>VLOOKUP(lmic_raw_lb[[#This Row],[setting]],lmic_raw[],17,FALSE)*(1-interactive!$C$7)</f>
        <v>0</v>
      </c>
      <c r="R252" s="98">
        <f>VLOOKUP(lmic_raw_lb[[#This Row],[setting]],lmic_raw[],18,FALSE)*(1-interactive!$C$7)</f>
        <v>28.424474999999997</v>
      </c>
      <c r="S252" s="98">
        <f>VLOOKUP(lmic_raw_lb[[#This Row],[setting]],lmic_raw[],19,FALSE)*(1-interactive!$C$7)</f>
        <v>73.779375000000002</v>
      </c>
      <c r="T252" s="98">
        <f>VLOOKUP(lmic_raw_lb[[#This Row],[setting]],lmic_raw[],20,FALSE)*(1-interactive!$C$7)</f>
        <v>73.779375000000002</v>
      </c>
      <c r="U252" s="98">
        <f>VLOOKUP(lmic_raw_lb[[#This Row],[setting]],lmic_raw[],21,FALSE)*(1-interactive!$C$7)</f>
        <v>73.779375000000002</v>
      </c>
      <c r="V252" s="33">
        <f>IFERROR(VLOOKUP(lmic_raw_lb[[#This Row],[setting]],vcost_lb[],3,FALSE),0)</f>
        <v>0.4959219931271478</v>
      </c>
      <c r="W252" s="33">
        <f>IFERROR(VLOOKUP(lmic_raw_lb[[#This Row],[setting]],vcost_lb[],4,FALSE),0)</f>
        <v>5.0831869931271481</v>
      </c>
      <c r="X252" s="33">
        <f>IFERROR(VLOOKUP(lmic_raw_lb[[#This Row],[setting]],vcost_lb[],5,FALSE),0)</f>
        <v>0.13390000000000002</v>
      </c>
      <c r="Y252" s="33">
        <f>IFERROR(VLOOKUP(lmic_raw_lb[[#This Row],[setting]],vcost_lb[],6,FALSE),0)</f>
        <v>4.7211650000000001</v>
      </c>
      <c r="Z252" s="33">
        <f>IFERROR(VLOOKUP(lmic_raw_lb[[#This Row],[setting]],vcost_lb[],7,FALSE),0)</f>
        <v>4.7211650000000001</v>
      </c>
      <c r="AA252" s="33">
        <f>IFERROR(VLOOKUP(lmic_raw_lb[[#This Row],[setting]],vcost_lb[],8,FALSE),0)</f>
        <v>0.70571580756013752</v>
      </c>
      <c r="AB252" s="33">
        <f>IFERROR(VLOOKUP(lmic_raw_lb[[#This Row],[setting]],vcost_lb[],9,FALSE),0)</f>
        <v>5.2929808075601379</v>
      </c>
      <c r="AC252" s="98">
        <f>VLOOKUP($A252,lmic_raw[],29,FALSE)*(1-interactive!$C$7)</f>
        <v>6.1171621000000016E-2</v>
      </c>
      <c r="AD252" s="98">
        <f>VLOOKUP($A252,lmic_raw[],30,FALSE)*(1-interactive!$C$7)</f>
        <v>8.6712651180436799E-3</v>
      </c>
      <c r="AE252" s="98">
        <f>VLOOKUP($A252,lmic_raw[],31,FALSE)*(1-interactive!$C$7)</f>
        <v>3.5763050605214764E-3</v>
      </c>
      <c r="AF252" s="98">
        <f>VLOOKUP($A252,lmic_raw[],32,FALSE)*(1-interactive!$C$7)</f>
        <v>2.1728720799050758E-3</v>
      </c>
      <c r="AG252" s="98">
        <f>VLOOKUP($A252,lmic_raw[],33,FALSE)*(1-interactive!$C$7)</f>
        <v>2.8020447582594774E-3</v>
      </c>
      <c r="AH252" s="98">
        <f>VLOOKUP($A252,lmic_raw[],34,FALSE)*(1-interactive!$C$7)</f>
        <v>3.8753182156445326E-3</v>
      </c>
      <c r="AI252" s="98">
        <f>VLOOKUP($A252,lmic_raw[],35,FALSE)*(1-interactive!$C$7)</f>
        <v>5.2189325118464905E-3</v>
      </c>
      <c r="AJ252" s="98">
        <f>VLOOKUP($A252,lmic_raw[],36,FALSE)*(1-interactive!$C$7)</f>
        <v>6.635539500066988E-3</v>
      </c>
      <c r="AK252" s="98">
        <f>VLOOKUP($A252,lmic_raw[],37,FALSE)*(1-interactive!$C$7)</f>
        <v>8.4895154661915485E-3</v>
      </c>
      <c r="AL252" s="98">
        <f>VLOOKUP($A252,lmic_raw[],38,FALSE)*(1-interactive!$C$7)</f>
        <v>9.2846157276175196E-3</v>
      </c>
      <c r="AM252" s="98">
        <f>VLOOKUP($A252,lmic_raw[],39,FALSE)*(1-interactive!$C$7)</f>
        <v>1.0297473676154431E-2</v>
      </c>
      <c r="AN252" s="98">
        <f>VLOOKUP($A252,lmic_raw[],40,FALSE)*(1-interactive!$C$7)</f>
        <v>1.2150369298608915E-2</v>
      </c>
      <c r="AO252" s="98">
        <f>VLOOKUP($A252,lmic_raw[],41,FALSE)*(1-interactive!$C$7)</f>
        <v>1.5009551886335295E-2</v>
      </c>
      <c r="AP252" s="98">
        <f>VLOOKUP($A252,lmic_raw[],42,FALSE)*(1-interactive!$C$7)</f>
        <v>2.1362885788828515E-2</v>
      </c>
      <c r="AQ252" s="98">
        <f>VLOOKUP($A252,lmic_raw[],43,FALSE)*(1-interactive!$C$7)</f>
        <v>3.0296012149999718E-2</v>
      </c>
      <c r="AR252" s="98">
        <f>VLOOKUP($A252,lmic_raw[],44,FALSE)*(1-interactive!$C$7)</f>
        <v>4.5832923055739917E-2</v>
      </c>
      <c r="AS252" s="98">
        <f>VLOOKUP($A252,lmic_raw[],45,FALSE)*(1-interactive!$C$7)</f>
        <v>6.7469218148868401E-2</v>
      </c>
      <c r="AT252" s="98">
        <f>VLOOKUP($A252,lmic_raw[],46,FALSE)*(1-interactive!$C$7)</f>
        <v>9.5892983202768164E-2</v>
      </c>
      <c r="AU252" s="98">
        <f>VLOOKUP($A252,lmic_raw[],47,FALSE)*(1-interactive!$C$7)</f>
        <v>0.12488665210768743</v>
      </c>
      <c r="AV252" s="98">
        <f>VLOOKUP($A252,lmic_raw[],48,FALSE)*(1-interactive!$C$7)</f>
        <v>0.14940095053639516</v>
      </c>
      <c r="AW252" s="98">
        <f>VLOOKUP($A252,lmic_raw[],49,FALSE)*(1-interactive!$C$7)</f>
        <v>0.1666959032673202</v>
      </c>
      <c r="AX252" s="98">
        <f>VLOOKUP($A252,lmic_raw[],50,FALSE)*(1-interactive!$C$7)</f>
        <v>54.553749999999994</v>
      </c>
    </row>
    <row r="253" spans="1:50" x14ac:dyDescent="0.25">
      <c r="A253" s="110" t="s">
        <v>199</v>
      </c>
      <c r="B253" s="104" t="s">
        <v>516</v>
      </c>
      <c r="C253" s="105">
        <v>144</v>
      </c>
      <c r="D253" s="122" t="s">
        <v>680</v>
      </c>
      <c r="E253" s="94" t="s">
        <v>598</v>
      </c>
      <c r="F253" s="94" t="s">
        <v>666</v>
      </c>
      <c r="G253" s="94" t="s">
        <v>676</v>
      </c>
      <c r="H253" s="98">
        <f>VLOOKUP(lmic_raw_lb[[#This Row],[setting]],lmic_raw[],8,FALSE)</f>
        <v>21323734</v>
      </c>
      <c r="I253" s="98">
        <f>VLOOKUP(lmic_raw_lb[[#This Row],[setting]],lmic_raw[],9,FALSE)</f>
        <v>341648.866148</v>
      </c>
      <c r="J253" s="94">
        <f>VLOOKUP($A253,lmic_raw[],10,FALSE)*(1-interactive!$C$7)</f>
        <v>0.94524999999999992</v>
      </c>
      <c r="K253" s="94">
        <f>VLOOKUP($A253,lmic_raw[],11,FALSE)*(1-interactive!$C$7)</f>
        <v>0</v>
      </c>
      <c r="L253" s="94">
        <f>VLOOKUP($A253,lmic_raw[],12,FALSE)*(1-interactive!$C$7)</f>
        <v>0.9405</v>
      </c>
      <c r="M253" s="94">
        <f>IFERROR(VLOOKUP(lmic_raw_lb[[#This Row],[iso3]], hbv_prev[[iso3]:[ub]],3,FALSE)/100,0)</f>
        <v>1.47E-2</v>
      </c>
      <c r="N253" s="94">
        <f>IFERROR(VLOOKUP(lmic_raw_lb[[#This Row],[setting]],hbe_prev[],4,FALSE),0)</f>
        <v>0.18100000000000002</v>
      </c>
      <c r="O253" s="94">
        <f>VLOOKUP(lmic_raw_lb[[#This Row],[gbd_super]],hbe_risk[],3,FALSE)</f>
        <v>0.7</v>
      </c>
      <c r="P253" s="94">
        <f>VLOOKUP(lmic_raw_lb[[#This Row],[gbd_super]],hbe_risk[],6,FALSE)</f>
        <v>0.05</v>
      </c>
      <c r="Q253" s="94">
        <f>VLOOKUP(lmic_raw_lb[[#This Row],[setting]],lmic_raw[],17,FALSE)*(1-interactive!$C$7)</f>
        <v>4.5436829974124908</v>
      </c>
      <c r="R253" s="98">
        <f>VLOOKUP(lmic_raw_lb[[#This Row],[setting]],lmic_raw[],18,FALSE)*(1-interactive!$C$7)</f>
        <v>69.430275000000009</v>
      </c>
      <c r="S253" s="98">
        <f>VLOOKUP(lmic_raw_lb[[#This Row],[setting]],lmic_raw[],19,FALSE)*(1-interactive!$C$7)</f>
        <v>114.785175</v>
      </c>
      <c r="T253" s="98">
        <f>VLOOKUP(lmic_raw_lb[[#This Row],[setting]],lmic_raw[],20,FALSE)*(1-interactive!$C$7)</f>
        <v>114.785175</v>
      </c>
      <c r="U253" s="98">
        <f>VLOOKUP(lmic_raw_lb[[#This Row],[setting]],lmic_raw[],21,FALSE)*(1-interactive!$C$7)</f>
        <v>114.785175</v>
      </c>
      <c r="V253" s="33">
        <f>IFERROR(VLOOKUP(lmic_raw_lb[[#This Row],[setting]],vcost_lb[],3,FALSE),0)</f>
        <v>1.9395380933843729</v>
      </c>
      <c r="W253" s="33">
        <f>IFERROR(VLOOKUP(lmic_raw_lb[[#This Row],[setting]],vcost_lb[],4,FALSE),0)</f>
        <v>2.5401280933843728</v>
      </c>
      <c r="X253" s="33">
        <f>IFERROR(VLOOKUP(lmic_raw_lb[[#This Row],[setting]],vcost_lb[],5,FALSE),0)</f>
        <v>1.5726094707395442</v>
      </c>
      <c r="Y253" s="33">
        <f>IFERROR(VLOOKUP(lmic_raw_lb[[#This Row],[setting]],vcost_lb[],6,FALSE),0)</f>
        <v>2.1731994707395441</v>
      </c>
      <c r="Z253" s="33">
        <f>IFERROR(VLOOKUP(lmic_raw_lb[[#This Row],[setting]],vcost_lb[],7,FALSE),0)</f>
        <v>2.1700549759265098</v>
      </c>
      <c r="AA253" s="33">
        <f>IFERROR(VLOOKUP(lmic_raw_lb[[#This Row],[setting]],vcost_lb[],8,FALSE),0)</f>
        <v>2.1514347490392258</v>
      </c>
      <c r="AB253" s="33">
        <f>IFERROR(VLOOKUP(lmic_raw_lb[[#This Row],[setting]],vcost_lb[],9,FALSE),0)</f>
        <v>2.7520247490392258</v>
      </c>
      <c r="AC253" s="94">
        <f>VLOOKUP($A253,lmic_raw[],29,FALSE)*(1-interactive!$C$7)</f>
        <v>7.1946254999999794E-3</v>
      </c>
      <c r="AD253" s="94">
        <f>VLOOKUP($A253,lmic_raw[],30,FALSE)*(1-interactive!$C$7)</f>
        <v>2.4415606468311562E-4</v>
      </c>
      <c r="AE253" s="94">
        <f>VLOOKUP($A253,lmic_raw[],31,FALSE)*(1-interactive!$C$7)</f>
        <v>2.822020114514759E-4</v>
      </c>
      <c r="AF253" s="94">
        <f>VLOOKUP($A253,lmic_raw[],32,FALSE)*(1-interactive!$C$7)</f>
        <v>2.7588304981473951E-4</v>
      </c>
      <c r="AG253" s="94">
        <f>VLOOKUP($A253,lmic_raw[],33,FALSE)*(1-interactive!$C$7)</f>
        <v>5.2716389827397266E-4</v>
      </c>
      <c r="AH253" s="94">
        <f>VLOOKUP($A253,lmic_raw[],34,FALSE)*(1-interactive!$C$7)</f>
        <v>7.4947690038626609E-4</v>
      </c>
      <c r="AI253" s="94">
        <f>VLOOKUP($A253,lmic_raw[],35,FALSE)*(1-interactive!$C$7)</f>
        <v>8.1974363270996119E-4</v>
      </c>
      <c r="AJ253" s="94">
        <f>VLOOKUP($A253,lmic_raw[],36,FALSE)*(1-interactive!$C$7)</f>
        <v>9.3825429599690236E-4</v>
      </c>
      <c r="AK253" s="94">
        <f>VLOOKUP($A253,lmic_raw[],37,FALSE)*(1-interactive!$C$7)</f>
        <v>1.3496637957832491E-3</v>
      </c>
      <c r="AL253" s="94">
        <f>VLOOKUP($A253,lmic_raw[],38,FALSE)*(1-interactive!$C$7)</f>
        <v>1.9759902384875942E-3</v>
      </c>
      <c r="AM253" s="94">
        <f>VLOOKUP($A253,lmic_raw[],39,FALSE)*(1-interactive!$C$7)</f>
        <v>3.0471047906886349E-3</v>
      </c>
      <c r="AN253" s="94">
        <f>VLOOKUP($A253,lmic_raw[],40,FALSE)*(1-interactive!$C$7)</f>
        <v>4.6667085089100993E-3</v>
      </c>
      <c r="AO253" s="94">
        <f>VLOOKUP($A253,lmic_raw[],41,FALSE)*(1-interactive!$C$7)</f>
        <v>6.6270205020035758E-3</v>
      </c>
      <c r="AP253" s="94">
        <f>VLOOKUP($A253,lmic_raw[],42,FALSE)*(1-interactive!$C$7)</f>
        <v>9.4945732837154826E-3</v>
      </c>
      <c r="AQ253" s="94">
        <f>VLOOKUP($A253,lmic_raw[],43,FALSE)*(1-interactive!$C$7)</f>
        <v>1.6628943980885501E-2</v>
      </c>
      <c r="AR253" s="94">
        <f>VLOOKUP($A253,lmic_raw[],44,FALSE)*(1-interactive!$C$7)</f>
        <v>2.9885000752652619E-2</v>
      </c>
      <c r="AS253" s="94">
        <f>VLOOKUP($A253,lmic_raw[],45,FALSE)*(1-interactive!$C$7)</f>
        <v>4.0971398670609269E-2</v>
      </c>
      <c r="AT253" s="94">
        <f>VLOOKUP($A253,lmic_raw[],46,FALSE)*(1-interactive!$C$7)</f>
        <v>6.6444476314141784E-2</v>
      </c>
      <c r="AU253" s="94">
        <f>VLOOKUP($A253,lmic_raw[],47,FALSE)*(1-interactive!$C$7)</f>
        <v>0.10132736246097709</v>
      </c>
      <c r="AV253" s="94">
        <f>VLOOKUP($A253,lmic_raw[],48,FALSE)*(1-interactive!$C$7)</f>
        <v>0.13701320887060006</v>
      </c>
      <c r="AW253" s="94">
        <f>VLOOKUP($A253,lmic_raw[],49,FALSE)*(1-interactive!$C$7)</f>
        <v>0.16315585366536406</v>
      </c>
      <c r="AX253" s="94">
        <f>VLOOKUP($A253,lmic_raw[],50,FALSE)*(1-interactive!$C$7)</f>
        <v>72.888749999999987</v>
      </c>
    </row>
    <row r="254" spans="1:50" x14ac:dyDescent="0.25">
      <c r="A254" s="109" t="s">
        <v>647</v>
      </c>
      <c r="B254" s="101" t="s">
        <v>518</v>
      </c>
      <c r="C254" s="102">
        <v>729</v>
      </c>
      <c r="D254" s="121" t="s">
        <v>673</v>
      </c>
      <c r="E254" s="98" t="s">
        <v>597</v>
      </c>
      <c r="F254" s="98" t="s">
        <v>667</v>
      </c>
      <c r="G254" s="98" t="s">
        <v>678</v>
      </c>
      <c r="H254" s="98">
        <f>VLOOKUP(lmic_raw_lb[[#This Row],[setting]],lmic_raw[],8,FALSE)</f>
        <v>42813237</v>
      </c>
      <c r="I254" s="98">
        <f>VLOOKUP(lmic_raw_lb[[#This Row],[setting]],lmic_raw[],9,FALSE)</f>
        <v>1385479.1625569998</v>
      </c>
      <c r="J254" s="98">
        <f>VLOOKUP($A254,lmic_raw[],10,FALSE)*(1-interactive!$C$7)</f>
        <v>0.26314999999999994</v>
      </c>
      <c r="K254" s="98">
        <f>VLOOKUP($A254,lmic_raw[],11,FALSE)*(1-interactive!$C$7)</f>
        <v>0</v>
      </c>
      <c r="L254" s="98">
        <f>VLOOKUP($A254,lmic_raw[],12,FALSE)*(1-interactive!$C$7)</f>
        <v>0.88349999999999995</v>
      </c>
      <c r="M254" s="98">
        <f>IFERROR(VLOOKUP(lmic_raw_lb[[#This Row],[iso3]], hbv_prev[[iso3]:[ub]],3,FALSE)/100,0)</f>
        <v>6.0599999999999994E-2</v>
      </c>
      <c r="N254" s="98">
        <f>IFERROR(VLOOKUP(lmic_raw_lb[[#This Row],[setting]],hbe_prev[],4,FALSE),0)</f>
        <v>0.15560000000000002</v>
      </c>
      <c r="O254" s="98">
        <f>VLOOKUP(lmic_raw_lb[[#This Row],[gbd_super]],hbe_risk[],3,FALSE)</f>
        <v>7.0000000000000007E-2</v>
      </c>
      <c r="P254" s="98">
        <f>VLOOKUP(lmic_raw_lb[[#This Row],[gbd_super]],hbe_risk[],6,FALSE)</f>
        <v>1E-3</v>
      </c>
      <c r="Q254" s="98">
        <f>VLOOKUP(lmic_raw_lb[[#This Row],[setting]],lmic_raw[],17,FALSE)*(1-interactive!$C$7)</f>
        <v>3.8220447478231283</v>
      </c>
      <c r="R254" s="98">
        <f>VLOOKUP(lmic_raw_lb[[#This Row],[setting]],lmic_raw[],18,FALSE)*(1-interactive!$C$7)</f>
        <v>28.424474999999997</v>
      </c>
      <c r="S254" s="98">
        <f>VLOOKUP(lmic_raw_lb[[#This Row],[setting]],lmic_raw[],19,FALSE)*(1-interactive!$C$7)</f>
        <v>73.779375000000002</v>
      </c>
      <c r="T254" s="98">
        <f>VLOOKUP(lmic_raw_lb[[#This Row],[setting]],lmic_raw[],20,FALSE)*(1-interactive!$C$7)</f>
        <v>73.779375000000002</v>
      </c>
      <c r="U254" s="98">
        <f>VLOOKUP(lmic_raw_lb[[#This Row],[setting]],lmic_raw[],21,FALSE)*(1-interactive!$C$7)</f>
        <v>73.779375000000002</v>
      </c>
      <c r="V254" s="33">
        <f>IFERROR(VLOOKUP(lmic_raw_lb[[#This Row],[setting]],vcost_lb[],3,FALSE),0)</f>
        <v>1.1061970580273588</v>
      </c>
      <c r="W254" s="33">
        <f>IFERROR(VLOOKUP(lmic_raw_lb[[#This Row],[setting]],vcost_lb[],4,FALSE),0)</f>
        <v>5.6934620580273592</v>
      </c>
      <c r="X254" s="33">
        <f>IFERROR(VLOOKUP(lmic_raw_lb[[#This Row],[setting]],vcost_lb[],5,FALSE),0)</f>
        <v>0.74311474405894773</v>
      </c>
      <c r="Y254" s="33">
        <f>IFERROR(VLOOKUP(lmic_raw_lb[[#This Row],[setting]],vcost_lb[],6,FALSE),0)</f>
        <v>5.3303797440589484</v>
      </c>
      <c r="Z254" s="33">
        <f>IFERROR(VLOOKUP(lmic_raw_lb[[#This Row],[setting]],vcost_lb[],7,FALSE),0)</f>
        <v>5.3296826029692124</v>
      </c>
      <c r="AA254" s="33">
        <f>IFERROR(VLOOKUP(lmic_raw_lb[[#This Row],[setting]],vcost_lb[],8,FALSE),0)</f>
        <v>1.3164452956780328</v>
      </c>
      <c r="AB254" s="33">
        <f>IFERROR(VLOOKUP(lmic_raw_lb[[#This Row],[setting]],vcost_lb[],9,FALSE),0)</f>
        <v>5.9037102956780334</v>
      </c>
      <c r="AC254" s="98">
        <f>VLOOKUP($A254,lmic_raw[],29,FALSE)*(1-interactive!$C$7)</f>
        <v>4.0731107500000002E-2</v>
      </c>
      <c r="AD254" s="98">
        <f>VLOOKUP($A254,lmic_raw[],30,FALSE)*(1-interactive!$C$7)</f>
        <v>5.2353937204554736E-3</v>
      </c>
      <c r="AE254" s="98">
        <f>VLOOKUP($A254,lmic_raw[],31,FALSE)*(1-interactive!$C$7)</f>
        <v>2.0583521720982036E-3</v>
      </c>
      <c r="AF254" s="98">
        <f>VLOOKUP($A254,lmic_raw[],32,FALSE)*(1-interactive!$C$7)</f>
        <v>1.5452142046884301E-3</v>
      </c>
      <c r="AG254" s="98">
        <f>VLOOKUP($A254,lmic_raw[],33,FALSE)*(1-interactive!$C$7)</f>
        <v>1.8227898441625253E-3</v>
      </c>
      <c r="AH254" s="98">
        <f>VLOOKUP($A254,lmic_raw[],34,FALSE)*(1-interactive!$C$7)</f>
        <v>2.4436091068750975E-3</v>
      </c>
      <c r="AI254" s="98">
        <f>VLOOKUP($A254,lmic_raw[],35,FALSE)*(1-interactive!$C$7)</f>
        <v>2.901166772051985E-3</v>
      </c>
      <c r="AJ254" s="98">
        <f>VLOOKUP($A254,lmic_raw[],36,FALSE)*(1-interactive!$C$7)</f>
        <v>3.369180053718519E-3</v>
      </c>
      <c r="AK254" s="98">
        <f>VLOOKUP($A254,lmic_raw[],37,FALSE)*(1-interactive!$C$7)</f>
        <v>4.2441213102007028E-3</v>
      </c>
      <c r="AL254" s="98">
        <f>VLOOKUP($A254,lmic_raw[],38,FALSE)*(1-interactive!$C$7)</f>
        <v>5.1404268455057366E-3</v>
      </c>
      <c r="AM254" s="98">
        <f>VLOOKUP($A254,lmic_raw[],39,FALSE)*(1-interactive!$C$7)</f>
        <v>6.2923463368188695E-3</v>
      </c>
      <c r="AN254" s="98">
        <f>VLOOKUP($A254,lmic_raw[],40,FALSE)*(1-interactive!$C$7)</f>
        <v>8.3910228603359168E-3</v>
      </c>
      <c r="AO254" s="98">
        <f>VLOOKUP($A254,lmic_raw[],41,FALSE)*(1-interactive!$C$7)</f>
        <v>1.1326942842775863E-2</v>
      </c>
      <c r="AP254" s="98">
        <f>VLOOKUP($A254,lmic_raw[],42,FALSE)*(1-interactive!$C$7)</f>
        <v>1.6660100039638227E-2</v>
      </c>
      <c r="AQ254" s="98">
        <f>VLOOKUP($A254,lmic_raw[],43,FALSE)*(1-interactive!$C$7)</f>
        <v>2.6039087819775895E-2</v>
      </c>
      <c r="AR254" s="98">
        <f>VLOOKUP($A254,lmic_raw[],44,FALSE)*(1-interactive!$C$7)</f>
        <v>4.0451632876977568E-2</v>
      </c>
      <c r="AS254" s="98">
        <f>VLOOKUP($A254,lmic_raw[],45,FALSE)*(1-interactive!$C$7)</f>
        <v>6.0637908144142133E-2</v>
      </c>
      <c r="AT254" s="98">
        <f>VLOOKUP($A254,lmic_raw[],46,FALSE)*(1-interactive!$C$7)</f>
        <v>8.7455700898443123E-2</v>
      </c>
      <c r="AU254" s="98">
        <f>VLOOKUP($A254,lmic_raw[],47,FALSE)*(1-interactive!$C$7)</f>
        <v>0.11560772981197863</v>
      </c>
      <c r="AV254" s="98">
        <f>VLOOKUP($A254,lmic_raw[],48,FALSE)*(1-interactive!$C$7)</f>
        <v>0.14078528971278767</v>
      </c>
      <c r="AW254" s="98">
        <f>VLOOKUP($A254,lmic_raw[],49,FALSE)*(1-interactive!$C$7)</f>
        <v>0.15946370318848216</v>
      </c>
      <c r="AX254" s="98">
        <f>VLOOKUP($A254,lmic_raw[],50,FALSE)*(1-interactive!$C$7)</f>
        <v>61.700599999999987</v>
      </c>
    </row>
    <row r="255" spans="1:50" x14ac:dyDescent="0.25">
      <c r="A255" s="110" t="s">
        <v>273</v>
      </c>
      <c r="B255" s="104" t="s">
        <v>519</v>
      </c>
      <c r="C255" s="105">
        <v>740</v>
      </c>
      <c r="D255" s="122" t="s">
        <v>679</v>
      </c>
      <c r="E255" s="94" t="s">
        <v>223</v>
      </c>
      <c r="F255" s="94" t="s">
        <v>665</v>
      </c>
      <c r="G255" s="94" t="s">
        <v>676</v>
      </c>
      <c r="H255" s="98">
        <f>VLOOKUP(lmic_raw_lb[[#This Row],[setting]],lmic_raw[],8,FALSE)</f>
        <v>581363</v>
      </c>
      <c r="I255" s="98">
        <f>VLOOKUP(lmic_raw_lb[[#This Row],[setting]],lmic_raw[],9,FALSE)</f>
        <v>10851.721758000002</v>
      </c>
      <c r="J255" s="94">
        <f>VLOOKUP($A255,lmic_raw[],10,FALSE)*(1-interactive!$C$7)</f>
        <v>0.88255000000000006</v>
      </c>
      <c r="K255" s="94">
        <f>VLOOKUP($A255,lmic_raw[],11,FALSE)*(1-interactive!$C$7)</f>
        <v>0.75049999999999994</v>
      </c>
      <c r="L255" s="94">
        <f>VLOOKUP($A255,lmic_raw[],12,FALSE)*(1-interactive!$C$7)</f>
        <v>0.73149999999999993</v>
      </c>
      <c r="M255" s="94">
        <f>IFERROR(VLOOKUP(lmic_raw_lb[[#This Row],[iso3]], hbv_prev[[iso3]:[ub]],3,FALSE)/100,0)</f>
        <v>1.6000000000000001E-3</v>
      </c>
      <c r="N255" s="94">
        <f>IFERROR(VLOOKUP(lmic_raw_lb[[#This Row],[setting]],hbe_prev[],4,FALSE),0)</f>
        <v>0.16309999999999999</v>
      </c>
      <c r="O255" s="94">
        <f>VLOOKUP(lmic_raw_lb[[#This Row],[gbd_super]],hbe_risk[],3,FALSE)</f>
        <v>0.7</v>
      </c>
      <c r="P255" s="94">
        <f>VLOOKUP(lmic_raw_lb[[#This Row],[gbd_super]],hbe_risk[],6,FALSE)</f>
        <v>0.05</v>
      </c>
      <c r="Q255" s="94">
        <f>VLOOKUP(lmic_raw_lb[[#This Row],[setting]],lmic_raw[],17,FALSE)*(1-interactive!$C$7)</f>
        <v>9.4147411821406912</v>
      </c>
      <c r="R255" s="98">
        <f>VLOOKUP(lmic_raw_lb[[#This Row],[setting]],lmic_raw[],18,FALSE)*(1-interactive!$C$7)</f>
        <v>82.539704999999998</v>
      </c>
      <c r="S255" s="98">
        <f>VLOOKUP(lmic_raw_lb[[#This Row],[setting]],lmic_raw[],19,FALSE)*(1-interactive!$C$7)</f>
        <v>127.894605</v>
      </c>
      <c r="T255" s="98">
        <f>VLOOKUP(lmic_raw_lb[[#This Row],[setting]],lmic_raw[],20,FALSE)*(1-interactive!$C$7)</f>
        <v>127.894605</v>
      </c>
      <c r="U255" s="98">
        <f>VLOOKUP(lmic_raw_lb[[#This Row],[setting]],lmic_raw[],21,FALSE)*(1-interactive!$C$7)</f>
        <v>127.894605</v>
      </c>
      <c r="V255" s="33">
        <f>IFERROR(VLOOKUP(lmic_raw_lb[[#This Row],[setting]],vcost_lb[],3,FALSE),0)</f>
        <v>4.1411474971074353</v>
      </c>
      <c r="W255" s="33">
        <f>IFERROR(VLOOKUP(lmic_raw_lb[[#This Row],[setting]],vcost_lb[],4,FALSE),0)</f>
        <v>4.1618574971074356</v>
      </c>
      <c r="X255" s="33">
        <f>IFERROR(VLOOKUP(lmic_raw_lb[[#This Row],[setting]],vcost_lb[],5,FALSE),0)</f>
        <v>3.7710444141060515</v>
      </c>
      <c r="Y255" s="33">
        <f>IFERROR(VLOOKUP(lmic_raw_lb[[#This Row],[setting]],vcost_lb[],6,FALSE),0)</f>
        <v>3.7917544141060513</v>
      </c>
      <c r="Z255" s="33">
        <f>IFERROR(VLOOKUP(lmic_raw_lb[[#This Row],[setting]],vcost_lb[],7,FALSE),0)</f>
        <v>3.7865894627305212</v>
      </c>
      <c r="AA255" s="33">
        <f>IFERROR(VLOOKUP(lmic_raw_lb[[#This Row],[setting]],vcost_lb[],8,FALSE),0)</f>
        <v>4.3544046357722408</v>
      </c>
      <c r="AB255" s="33">
        <f>IFERROR(VLOOKUP(lmic_raw_lb[[#This Row],[setting]],vcost_lb[],9,FALSE),0)</f>
        <v>4.375114635772241</v>
      </c>
      <c r="AC255" s="94">
        <f>VLOOKUP($A255,lmic_raw[],29,FALSE)*(1-interactive!$C$7)</f>
        <v>1.6621712999999951E-2</v>
      </c>
      <c r="AD255" s="94">
        <f>VLOOKUP($A255,lmic_raw[],30,FALSE)*(1-interactive!$C$7)</f>
        <v>5.0077393620578297E-4</v>
      </c>
      <c r="AE255" s="94">
        <f>VLOOKUP($A255,lmic_raw[],31,FALSE)*(1-interactive!$C$7)</f>
        <v>5.2337641873583451E-4</v>
      </c>
      <c r="AF255" s="94">
        <f>VLOOKUP($A255,lmic_raw[],32,FALSE)*(1-interactive!$C$7)</f>
        <v>2.9964710543324043E-4</v>
      </c>
      <c r="AG255" s="94">
        <f>VLOOKUP($A255,lmic_raw[],33,FALSE)*(1-interactive!$C$7)</f>
        <v>5.4643221551887295E-4</v>
      </c>
      <c r="AH255" s="94">
        <f>VLOOKUP($A255,lmic_raw[],34,FALSE)*(1-interactive!$C$7)</f>
        <v>1.1159635870274744E-3</v>
      </c>
      <c r="AI255" s="94">
        <f>VLOOKUP($A255,lmic_raw[],35,FALSE)*(1-interactive!$C$7)</f>
        <v>1.8013885638795755E-3</v>
      </c>
      <c r="AJ255" s="94">
        <f>VLOOKUP($A255,lmic_raw[],36,FALSE)*(1-interactive!$C$7)</f>
        <v>2.4402060073442549E-3</v>
      </c>
      <c r="AK255" s="94">
        <f>VLOOKUP($A255,lmic_raw[],37,FALSE)*(1-interactive!$C$7)</f>
        <v>3.0550243170953321E-3</v>
      </c>
      <c r="AL255" s="94">
        <f>VLOOKUP($A255,lmic_raw[],38,FALSE)*(1-interactive!$C$7)</f>
        <v>3.7375086379332206E-3</v>
      </c>
      <c r="AM255" s="94">
        <f>VLOOKUP($A255,lmic_raw[],39,FALSE)*(1-interactive!$C$7)</f>
        <v>4.8037719037198638E-3</v>
      </c>
      <c r="AN255" s="94">
        <f>VLOOKUP($A255,lmic_raw[],40,FALSE)*(1-interactive!$C$7)</f>
        <v>6.9613844568964071E-3</v>
      </c>
      <c r="AO255" s="94">
        <f>VLOOKUP($A255,lmic_raw[],41,FALSE)*(1-interactive!$C$7)</f>
        <v>1.078950747155643E-2</v>
      </c>
      <c r="AP255" s="94">
        <f>VLOOKUP($A255,lmic_raw[],42,FALSE)*(1-interactive!$C$7)</f>
        <v>1.6658814783602413E-2</v>
      </c>
      <c r="AQ255" s="94">
        <f>VLOOKUP($A255,lmic_raw[],43,FALSE)*(1-interactive!$C$7)</f>
        <v>2.5148641182250037E-2</v>
      </c>
      <c r="AR255" s="94">
        <f>VLOOKUP($A255,lmic_raw[],44,FALSE)*(1-interactive!$C$7)</f>
        <v>3.7240358109747358E-2</v>
      </c>
      <c r="AS255" s="94">
        <f>VLOOKUP($A255,lmic_raw[],45,FALSE)*(1-interactive!$C$7)</f>
        <v>5.396270027110061E-2</v>
      </c>
      <c r="AT255" s="94">
        <f>VLOOKUP($A255,lmic_raw[],46,FALSE)*(1-interactive!$C$7)</f>
        <v>7.5823515183555484E-2</v>
      </c>
      <c r="AU255" s="94">
        <f>VLOOKUP($A255,lmic_raw[],47,FALSE)*(1-interactive!$C$7)</f>
        <v>0.10128825302624181</v>
      </c>
      <c r="AV255" s="94">
        <f>VLOOKUP($A255,lmic_raw[],48,FALSE)*(1-interactive!$C$7)</f>
        <v>0.12715820660628255</v>
      </c>
      <c r="AW255" s="94">
        <f>VLOOKUP($A255,lmic_raw[],49,FALSE)*(1-interactive!$C$7)</f>
        <v>0.14969037912526117</v>
      </c>
      <c r="AX255" s="94">
        <f>VLOOKUP($A255,lmic_raw[],50,FALSE)*(1-interactive!$C$7)</f>
        <v>67.913600000000002</v>
      </c>
    </row>
    <row r="256" spans="1:50" x14ac:dyDescent="0.25">
      <c r="A256" s="109" t="s">
        <v>648</v>
      </c>
      <c r="B256" s="101" t="s">
        <v>520</v>
      </c>
      <c r="C256" s="102">
        <v>760</v>
      </c>
      <c r="D256" s="121" t="s">
        <v>673</v>
      </c>
      <c r="E256" s="98" t="s">
        <v>579</v>
      </c>
      <c r="F256" s="98" t="s">
        <v>579</v>
      </c>
      <c r="G256" s="98" t="s">
        <v>674</v>
      </c>
      <c r="H256" s="98">
        <f>VLOOKUP(lmic_raw_lb[[#This Row],[setting]],lmic_raw[],8,FALSE)</f>
        <v>17070132</v>
      </c>
      <c r="I256" s="98">
        <f>VLOOKUP(lmic_raw_lb[[#This Row],[setting]],lmic_raw[],9,FALSE)</f>
        <v>409751.44852800004</v>
      </c>
      <c r="J256" s="98">
        <f>VLOOKUP($A256,lmic_raw[],10,FALSE)*(1-interactive!$C$7)</f>
        <v>0.7429</v>
      </c>
      <c r="K256" s="98">
        <f>VLOOKUP($A256,lmic_raw[],11,FALSE)*(1-interactive!$C$7)</f>
        <v>0</v>
      </c>
      <c r="L256" s="98">
        <f>VLOOKUP($A256,lmic_raw[],12,FALSE)*(1-interactive!$C$7)</f>
        <v>0.51300000000000001</v>
      </c>
      <c r="M256" s="98">
        <f>IFERROR(VLOOKUP(lmic_raw_lb[[#This Row],[iso3]], hbv_prev[[iso3]:[ub]],3,FALSE)/100,0)</f>
        <v>8.0000000000000002E-3</v>
      </c>
      <c r="N256" s="98">
        <f>IFERROR(VLOOKUP(lmic_raw_lb[[#This Row],[setting]],hbe_prev[],4,FALSE),0)</f>
        <v>0.14980000000000002</v>
      </c>
      <c r="O256" s="98">
        <f>VLOOKUP(lmic_raw_lb[[#This Row],[gbd_super]],hbe_risk[],3,FALSE)</f>
        <v>0.7</v>
      </c>
      <c r="P256" s="98">
        <f>VLOOKUP(lmic_raw_lb[[#This Row],[gbd_super]],hbe_risk[],6,FALSE)</f>
        <v>0.05</v>
      </c>
      <c r="Q256" s="98">
        <f>VLOOKUP(lmic_raw_lb[[#This Row],[setting]],lmic_raw[],17,FALSE)*(1-interactive!$C$7)</f>
        <v>7.1032436639247631</v>
      </c>
      <c r="R256" s="98">
        <f>VLOOKUP(lmic_raw_lb[[#This Row],[setting]],lmic_raw[],18,FALSE)*(1-interactive!$C$7)</f>
        <v>44.019105000000003</v>
      </c>
      <c r="S256" s="98">
        <f>VLOOKUP(lmic_raw_lb[[#This Row],[setting]],lmic_raw[],19,FALSE)*(1-interactive!$C$7)</f>
        <v>89.374005000000011</v>
      </c>
      <c r="T256" s="98">
        <f>VLOOKUP(lmic_raw_lb[[#This Row],[setting]],lmic_raw[],20,FALSE)*(1-interactive!$C$7)</f>
        <v>89.374005000000011</v>
      </c>
      <c r="U256" s="98">
        <f>VLOOKUP(lmic_raw_lb[[#This Row],[setting]],lmic_raw[],21,FALSE)*(1-interactive!$C$7)</f>
        <v>89.374005000000011</v>
      </c>
      <c r="V256" s="33">
        <f>IFERROR(VLOOKUP(lmic_raw_lb[[#This Row],[setting]],vcost_lb[],3,FALSE),0)</f>
        <v>0.51468473718782648</v>
      </c>
      <c r="W256" s="33">
        <f>IFERROR(VLOOKUP(lmic_raw_lb[[#This Row],[setting]],vcost_lb[],4,FALSE),0)</f>
        <v>0.9703047371878265</v>
      </c>
      <c r="X256" s="33">
        <f>IFERROR(VLOOKUP(lmic_raw_lb[[#This Row],[setting]],vcost_lb[],5,FALSE),0)</f>
        <v>0.14493690827098749</v>
      </c>
      <c r="Y256" s="33">
        <f>IFERROR(VLOOKUP(lmic_raw_lb[[#This Row],[setting]],vcost_lb[],6,FALSE),0)</f>
        <v>0.60055690827098751</v>
      </c>
      <c r="Z256" s="33">
        <f>IFERROR(VLOOKUP(lmic_raw_lb[[#This Row],[setting]],vcost_lb[],7,FALSE),0)</f>
        <v>0.59532301459144288</v>
      </c>
      <c r="AA256" s="33">
        <f>IFERROR(VLOOKUP(lmic_raw_lb[[#This Row],[setting]],vcost_lb[],8,FALSE),0)</f>
        <v>0.72778962410211245</v>
      </c>
      <c r="AB256" s="33">
        <f>IFERROR(VLOOKUP(lmic_raw_lb[[#This Row],[setting]],vcost_lb[],9,FALSE),0)</f>
        <v>1.1834096241021124</v>
      </c>
      <c r="AC256" s="98">
        <f>VLOOKUP($A256,lmic_raw[],29,FALSE)*(1-interactive!$C$7)</f>
        <v>1.4766638500000016E-2</v>
      </c>
      <c r="AD256" s="98">
        <f>VLOOKUP($A256,lmic_raw[],30,FALSE)*(1-interactive!$C$7)</f>
        <v>5.3794637195476471E-4</v>
      </c>
      <c r="AE256" s="98">
        <f>VLOOKUP($A256,lmic_raw[],31,FALSE)*(1-interactive!$C$7)</f>
        <v>3.3685311269498114E-4</v>
      </c>
      <c r="AF256" s="98">
        <f>VLOOKUP($A256,lmic_raw[],32,FALSE)*(1-interactive!$C$7)</f>
        <v>3.0028599929338991E-4</v>
      </c>
      <c r="AG256" s="98">
        <f>VLOOKUP($A256,lmic_raw[],33,FALSE)*(1-interactive!$C$7)</f>
        <v>2.040276756586142E-3</v>
      </c>
      <c r="AH256" s="98">
        <f>VLOOKUP($A256,lmic_raw[],34,FALSE)*(1-interactive!$C$7)</f>
        <v>2.9774938381021735E-3</v>
      </c>
      <c r="AI256" s="98">
        <f>VLOOKUP($A256,lmic_raw[],35,FALSE)*(1-interactive!$C$7)</f>
        <v>4.4163092872933707E-3</v>
      </c>
      <c r="AJ256" s="98">
        <f>VLOOKUP($A256,lmic_raw[],36,FALSE)*(1-interactive!$C$7)</f>
        <v>3.7938800612009487E-3</v>
      </c>
      <c r="AK256" s="98">
        <f>VLOOKUP($A256,lmic_raw[],37,FALSE)*(1-interactive!$C$7)</f>
        <v>2.5847358913204136E-3</v>
      </c>
      <c r="AL256" s="98">
        <f>VLOOKUP($A256,lmic_raw[],38,FALSE)*(1-interactive!$C$7)</f>
        <v>2.5861020347740468E-3</v>
      </c>
      <c r="AM256" s="98">
        <f>VLOOKUP($A256,lmic_raw[],39,FALSE)*(1-interactive!$C$7)</f>
        <v>3.8627519841556005E-3</v>
      </c>
      <c r="AN256" s="98">
        <f>VLOOKUP($A256,lmic_raw[],40,FALSE)*(1-interactive!$C$7)</f>
        <v>6.2918396838202413E-3</v>
      </c>
      <c r="AO256" s="98">
        <f>VLOOKUP($A256,lmic_raw[],41,FALSE)*(1-interactive!$C$7)</f>
        <v>7.7051046084449359E-3</v>
      </c>
      <c r="AP256" s="98">
        <f>VLOOKUP($A256,lmic_raw[],42,FALSE)*(1-interactive!$C$7)</f>
        <v>1.2361729846582079E-2</v>
      </c>
      <c r="AQ256" s="98">
        <f>VLOOKUP($A256,lmic_raw[],43,FALSE)*(1-interactive!$C$7)</f>
        <v>2.0495727993079558E-2</v>
      </c>
      <c r="AR256" s="98">
        <f>VLOOKUP($A256,lmic_raw[],44,FALSE)*(1-interactive!$C$7)</f>
        <v>3.3722715351937528E-2</v>
      </c>
      <c r="AS256" s="98">
        <f>VLOOKUP($A256,lmic_raw[],45,FALSE)*(1-interactive!$C$7)</f>
        <v>4.9545345300773876E-2</v>
      </c>
      <c r="AT256" s="98">
        <f>VLOOKUP($A256,lmic_raw[],46,FALSE)*(1-interactive!$C$7)</f>
        <v>7.8601545026938877E-2</v>
      </c>
      <c r="AU256" s="98">
        <f>VLOOKUP($A256,lmic_raw[],47,FALSE)*(1-interactive!$C$7)</f>
        <v>0.11160718654721043</v>
      </c>
      <c r="AV256" s="98">
        <f>VLOOKUP($A256,lmic_raw[],48,FALSE)*(1-interactive!$C$7)</f>
        <v>0.14321075263385985</v>
      </c>
      <c r="AW256" s="98">
        <f>VLOOKUP($A256,lmic_raw[],49,FALSE)*(1-interactive!$C$7)</f>
        <v>0.16426276069318102</v>
      </c>
      <c r="AX256" s="98">
        <f>VLOOKUP($A256,lmic_raw[],50,FALSE)*(1-interactive!$C$7)</f>
        <v>67.753999999999991</v>
      </c>
    </row>
    <row r="257" spans="1:50" x14ac:dyDescent="0.25">
      <c r="A257" s="110" t="s">
        <v>187</v>
      </c>
      <c r="B257" s="104" t="s">
        <v>521</v>
      </c>
      <c r="C257" s="105">
        <v>762</v>
      </c>
      <c r="D257" s="122" t="s">
        <v>675</v>
      </c>
      <c r="E257" s="94" t="s">
        <v>184</v>
      </c>
      <c r="F257" s="94" t="s">
        <v>663</v>
      </c>
      <c r="G257" s="94" t="s">
        <v>674</v>
      </c>
      <c r="H257" s="98">
        <f>VLOOKUP(lmic_raw_lb[[#This Row],[setting]],lmic_raw[],8,FALSE)</f>
        <v>9321023</v>
      </c>
      <c r="I257" s="98">
        <f>VLOOKUP(lmic_raw_lb[[#This Row],[setting]],lmic_raw[],9,FALSE)</f>
        <v>290927.76987599995</v>
      </c>
      <c r="J257" s="94">
        <f>VLOOKUP($A257,lmic_raw[],10,FALSE)*(1-interactive!$C$7)</f>
        <v>0.83789999999999998</v>
      </c>
      <c r="K257" s="94">
        <f>VLOOKUP($A257,lmic_raw[],11,FALSE)*(1-interactive!$C$7)</f>
        <v>0.9405</v>
      </c>
      <c r="L257" s="94">
        <f>VLOOKUP($A257,lmic_raw[],12,FALSE)*(1-interactive!$C$7)</f>
        <v>0.92149999999999999</v>
      </c>
      <c r="M257" s="94">
        <f>IFERROR(VLOOKUP(lmic_raw_lb[[#This Row],[iso3]], hbv_prev[[iso3]:[ub]],3,FALSE)/100,0)</f>
        <v>3.5900000000000001E-2</v>
      </c>
      <c r="N257" s="94">
        <f>IFERROR(VLOOKUP(lmic_raw_lb[[#This Row],[setting]],hbe_prev[],4,FALSE),0)</f>
        <v>0.16309999999999999</v>
      </c>
      <c r="O257" s="94">
        <f>VLOOKUP(lmic_raw_lb[[#This Row],[gbd_super]],hbe_risk[],3,FALSE)</f>
        <v>0.7</v>
      </c>
      <c r="P257" s="94">
        <f>VLOOKUP(lmic_raw_lb[[#This Row],[gbd_super]],hbe_risk[],6,FALSE)</f>
        <v>0.05</v>
      </c>
      <c r="Q257" s="94">
        <f>VLOOKUP(lmic_raw_lb[[#This Row],[setting]],lmic_raw[],17,FALSE)*(1-interactive!$C$7)</f>
        <v>3.0778553029340974</v>
      </c>
      <c r="R257" s="98">
        <f>VLOOKUP(lmic_raw_lb[[#This Row],[setting]],lmic_raw[],18,FALSE)*(1-interactive!$C$7)</f>
        <v>42.31053</v>
      </c>
      <c r="S257" s="98">
        <f>VLOOKUP(lmic_raw_lb[[#This Row],[setting]],lmic_raw[],19,FALSE)*(1-interactive!$C$7)</f>
        <v>87.665430000000001</v>
      </c>
      <c r="T257" s="98">
        <f>VLOOKUP(lmic_raw_lb[[#This Row],[setting]],lmic_raw[],20,FALSE)*(1-interactive!$C$7)</f>
        <v>87.665430000000001</v>
      </c>
      <c r="U257" s="98">
        <f>VLOOKUP(lmic_raw_lb[[#This Row],[setting]],lmic_raw[],21,FALSE)*(1-interactive!$C$7)</f>
        <v>87.665430000000001</v>
      </c>
      <c r="V257" s="33">
        <f>IFERROR(VLOOKUP(lmic_raw_lb[[#This Row],[setting]],vcost_lb[],3,FALSE),0)</f>
        <v>1.5440228240954419</v>
      </c>
      <c r="W257" s="33">
        <f>IFERROR(VLOOKUP(lmic_raw_lb[[#This Row],[setting]],vcost_lb[],4,FALSE),0)</f>
        <v>5.406437824095442</v>
      </c>
      <c r="X257" s="33">
        <f>IFERROR(VLOOKUP(lmic_raw_lb[[#This Row],[setting]],vcost_lb[],5,FALSE),0)</f>
        <v>1.1787887240989965</v>
      </c>
      <c r="Y257" s="33">
        <f>IFERROR(VLOOKUP(lmic_raw_lb[[#This Row],[setting]],vcost_lb[],6,FALSE),0)</f>
        <v>5.0412037240989971</v>
      </c>
      <c r="Z257" s="33">
        <f>IFERROR(VLOOKUP(lmic_raw_lb[[#This Row],[setting]],vcost_lb[],7,FALSE),0)</f>
        <v>5.0391010448151974</v>
      </c>
      <c r="AA257" s="33">
        <f>IFERROR(VLOOKUP(lmic_raw_lb[[#This Row],[setting]],vcost_lb[],8,FALSE),0)</f>
        <v>1.7551932557581305</v>
      </c>
      <c r="AB257" s="33">
        <f>IFERROR(VLOOKUP(lmic_raw_lb[[#This Row],[setting]],vcost_lb[],9,FALSE),0)</f>
        <v>5.6176082557581308</v>
      </c>
      <c r="AC257" s="94">
        <f>VLOOKUP($A257,lmic_raw[],29,FALSE)*(1-interactive!$C$7)</f>
        <v>2.7811478000000046E-2</v>
      </c>
      <c r="AD257" s="94">
        <f>VLOOKUP($A257,lmic_raw[],30,FALSE)*(1-interactive!$C$7)</f>
        <v>7.3702392735916934E-4</v>
      </c>
      <c r="AE257" s="94">
        <f>VLOOKUP($A257,lmic_raw[],31,FALSE)*(1-interactive!$C$7)</f>
        <v>1.8195944280344551E-4</v>
      </c>
      <c r="AF257" s="94">
        <f>VLOOKUP($A257,lmic_raw[],32,FALSE)*(1-interactive!$C$7)</f>
        <v>1.9031531076087519E-4</v>
      </c>
      <c r="AG257" s="94">
        <f>VLOOKUP($A257,lmic_raw[],33,FALSE)*(1-interactive!$C$7)</f>
        <v>3.1537903860068386E-4</v>
      </c>
      <c r="AH257" s="94">
        <f>VLOOKUP($A257,lmic_raw[],34,FALSE)*(1-interactive!$C$7)</f>
        <v>4.8528311737419162E-4</v>
      </c>
      <c r="AI257" s="94">
        <f>VLOOKUP($A257,lmic_raw[],35,FALSE)*(1-interactive!$C$7)</f>
        <v>8.128432741548845E-4</v>
      </c>
      <c r="AJ257" s="94">
        <f>VLOOKUP($A257,lmic_raw[],36,FALSE)*(1-interactive!$C$7)</f>
        <v>1.2494281235045017E-3</v>
      </c>
      <c r="AK257" s="94">
        <f>VLOOKUP($A257,lmic_raw[],37,FALSE)*(1-interactive!$C$7)</f>
        <v>1.9115088128162177E-3</v>
      </c>
      <c r="AL257" s="94">
        <f>VLOOKUP($A257,lmic_raw[],38,FALSE)*(1-interactive!$C$7)</f>
        <v>2.4245764187091155E-3</v>
      </c>
      <c r="AM257" s="94">
        <f>VLOOKUP($A257,lmic_raw[],39,FALSE)*(1-interactive!$C$7)</f>
        <v>3.4575951129777222E-3</v>
      </c>
      <c r="AN257" s="94">
        <f>VLOOKUP($A257,lmic_raw[],40,FALSE)*(1-interactive!$C$7)</f>
        <v>5.6863157626283311E-3</v>
      </c>
      <c r="AO257" s="94">
        <f>VLOOKUP($A257,lmic_raw[],41,FALSE)*(1-interactive!$C$7)</f>
        <v>1.0123357341479141E-2</v>
      </c>
      <c r="AP257" s="94">
        <f>VLOOKUP($A257,lmic_raw[],42,FALSE)*(1-interactive!$C$7)</f>
        <v>1.7482507807117832E-2</v>
      </c>
      <c r="AQ257" s="94">
        <f>VLOOKUP($A257,lmic_raw[],43,FALSE)*(1-interactive!$C$7)</f>
        <v>2.7393013191479635E-2</v>
      </c>
      <c r="AR257" s="94">
        <f>VLOOKUP($A257,lmic_raw[],44,FALSE)*(1-interactive!$C$7)</f>
        <v>4.5231851827279873E-2</v>
      </c>
      <c r="AS257" s="94">
        <f>VLOOKUP($A257,lmic_raw[],45,FALSE)*(1-interactive!$C$7)</f>
        <v>7.0208327818225932E-2</v>
      </c>
      <c r="AT257" s="94">
        <f>VLOOKUP($A257,lmic_raw[],46,FALSE)*(1-interactive!$C$7)</f>
        <v>0.1003746268717763</v>
      </c>
      <c r="AU257" s="94">
        <f>VLOOKUP($A257,lmic_raw[],47,FALSE)*(1-interactive!$C$7)</f>
        <v>0.13030359448217074</v>
      </c>
      <c r="AV257" s="94">
        <f>VLOOKUP($A257,lmic_raw[],48,FALSE)*(1-interactive!$C$7)</f>
        <v>0.15621313209176316</v>
      </c>
      <c r="AW257" s="94">
        <f>VLOOKUP($A257,lmic_raw[],49,FALSE)*(1-interactive!$C$7)</f>
        <v>0.17314424924309746</v>
      </c>
      <c r="AX257" s="94">
        <f>VLOOKUP($A257,lmic_raw[],50,FALSE)*(1-interactive!$C$7)</f>
        <v>67.231499999999997</v>
      </c>
    </row>
    <row r="258" spans="1:50" x14ac:dyDescent="0.25">
      <c r="A258" s="82" t="s">
        <v>652</v>
      </c>
      <c r="B258" s="101" t="s">
        <v>534</v>
      </c>
      <c r="C258" s="102">
        <v>834</v>
      </c>
      <c r="D258" s="121" t="s">
        <v>677</v>
      </c>
      <c r="E258" s="98" t="s">
        <v>597</v>
      </c>
      <c r="F258" s="98" t="s">
        <v>667</v>
      </c>
      <c r="G258" s="98" t="s">
        <v>674</v>
      </c>
      <c r="H258" s="98">
        <f>VLOOKUP(lmic_raw_lb[[#This Row],[setting]],lmic_raw[],8,FALSE)</f>
        <v>58005461</v>
      </c>
      <c r="I258" s="98">
        <f>VLOOKUP(lmic_raw_lb[[#This Row],[setting]],lmic_raw[],9,FALSE)</f>
        <v>2140459.5163610005</v>
      </c>
      <c r="J258" s="98">
        <f>VLOOKUP($A258,lmic_raw[],10,FALSE)*(1-interactive!$C$7)</f>
        <v>0.59470000000000001</v>
      </c>
      <c r="K258" s="98">
        <f>VLOOKUP($A258,lmic_raw[],11,FALSE)*(1-interactive!$C$7)</f>
        <v>0</v>
      </c>
      <c r="L258" s="98">
        <f>VLOOKUP($A258,lmic_raw[],12,FALSE)*(1-interactive!$C$7)</f>
        <v>0.84549999999999992</v>
      </c>
      <c r="M258" s="98">
        <f>IFERROR(VLOOKUP(lmic_raw_lb[[#This Row],[iso3]], hbv_prev[[iso3]:[ub]],3,FALSE)/100,0)</f>
        <v>3.0600000000000002E-2</v>
      </c>
      <c r="N258" s="98">
        <f>IFERROR(VLOOKUP(lmic_raw_lb[[#This Row],[setting]],hbe_prev[],4,FALSE),0)</f>
        <v>0.15560000000000002</v>
      </c>
      <c r="O258" s="98">
        <f>VLOOKUP(lmic_raw_lb[[#This Row],[gbd_super]],hbe_risk[],3,FALSE)</f>
        <v>7.0000000000000007E-2</v>
      </c>
      <c r="P258" s="98">
        <f>VLOOKUP(lmic_raw_lb[[#This Row],[gbd_super]],hbe_risk[],6,FALSE)</f>
        <v>1E-3</v>
      </c>
      <c r="Q258" s="98">
        <f>VLOOKUP(lmic_raw_lb[[#This Row],[setting]],lmic_raw[],17,FALSE)*(1-interactive!$C$7)</f>
        <v>2.7057605804895823</v>
      </c>
      <c r="R258" s="98">
        <f>VLOOKUP(lmic_raw_lb[[#This Row],[setting]],lmic_raw[],18,FALSE)*(1-interactive!$C$7)</f>
        <v>28.424474999999997</v>
      </c>
      <c r="S258" s="98">
        <f>VLOOKUP(lmic_raw_lb[[#This Row],[setting]],lmic_raw[],19,FALSE)*(1-interactive!$C$7)</f>
        <v>73.779375000000002</v>
      </c>
      <c r="T258" s="98">
        <f>VLOOKUP(lmic_raw_lb[[#This Row],[setting]],lmic_raw[],20,FALSE)*(1-interactive!$C$7)</f>
        <v>73.779375000000002</v>
      </c>
      <c r="U258" s="98">
        <f>VLOOKUP(lmic_raw_lb[[#This Row],[setting]],lmic_raw[],21,FALSE)*(1-interactive!$C$7)</f>
        <v>73.779375000000002</v>
      </c>
      <c r="V258" s="33">
        <f>IFERROR(VLOOKUP(lmic_raw_lb[[#This Row],[setting]],vcost_lb[],3,FALSE),0)</f>
        <v>1.1954905184932225</v>
      </c>
      <c r="W258" s="33">
        <f>IFERROR(VLOOKUP(lmic_raw_lb[[#This Row],[setting]],vcost_lb[],4,FALSE),0)</f>
        <v>5.7827555184932233</v>
      </c>
      <c r="X258" s="33">
        <f>IFERROR(VLOOKUP(lmic_raw_lb[[#This Row],[setting]],vcost_lb[],5,FALSE),0)</f>
        <v>0.8295697208035735</v>
      </c>
      <c r="Y258" s="33">
        <f>IFERROR(VLOOKUP(lmic_raw_lb[[#This Row],[setting]],vcost_lb[],6,FALSE),0)</f>
        <v>5.4168347208035739</v>
      </c>
      <c r="Z258" s="33">
        <f>IFERROR(VLOOKUP(lmic_raw_lb[[#This Row],[setting]],vcost_lb[],7,FALSE),0)</f>
        <v>5.4144685885021282</v>
      </c>
      <c r="AA258" s="33">
        <f>IFERROR(VLOOKUP(lmic_raw_lb[[#This Row],[setting]],vcost_lb[],8,FALSE),0)</f>
        <v>1.4069552491672845</v>
      </c>
      <c r="AB258" s="33">
        <f>IFERROR(VLOOKUP(lmic_raw_lb[[#This Row],[setting]],vcost_lb[],9,FALSE),0)</f>
        <v>5.9942202491672845</v>
      </c>
      <c r="AC258" s="98">
        <f>VLOOKUP($A258,lmic_raw[],29,FALSE)*(1-interactive!$C$7)</f>
        <v>3.9153347499999984E-2</v>
      </c>
      <c r="AD258" s="98">
        <f>VLOOKUP($A258,lmic_raw[],30,FALSE)*(1-interactive!$C$7)</f>
        <v>3.7970088631357327E-3</v>
      </c>
      <c r="AE258" s="98">
        <f>VLOOKUP($A258,lmic_raw[],31,FALSE)*(1-interactive!$C$7)</f>
        <v>1.4908130727040228E-3</v>
      </c>
      <c r="AF258" s="98">
        <f>VLOOKUP($A258,lmic_raw[],32,FALSE)*(1-interactive!$C$7)</f>
        <v>1.0557577232236819E-3</v>
      </c>
      <c r="AG258" s="98">
        <f>VLOOKUP($A258,lmic_raw[],33,FALSE)*(1-interactive!$C$7)</f>
        <v>1.6884801261191165E-3</v>
      </c>
      <c r="AH258" s="98">
        <f>VLOOKUP($A258,lmic_raw[],34,FALSE)*(1-interactive!$C$7)</f>
        <v>2.4423056455834583E-3</v>
      </c>
      <c r="AI258" s="98">
        <f>VLOOKUP($A258,lmic_raw[],35,FALSE)*(1-interactive!$C$7)</f>
        <v>2.8329174490540877E-3</v>
      </c>
      <c r="AJ258" s="98">
        <f>VLOOKUP($A258,lmic_raw[],36,FALSE)*(1-interactive!$C$7)</f>
        <v>3.3226799237410405E-3</v>
      </c>
      <c r="AK258" s="98">
        <f>VLOOKUP($A258,lmic_raw[],37,FALSE)*(1-interactive!$C$7)</f>
        <v>4.0605836884822872E-3</v>
      </c>
      <c r="AL258" s="98">
        <f>VLOOKUP($A258,lmic_raw[],38,FALSE)*(1-interactive!$C$7)</f>
        <v>5.1395142056819979E-3</v>
      </c>
      <c r="AM258" s="98">
        <f>VLOOKUP($A258,lmic_raw[],39,FALSE)*(1-interactive!$C$7)</f>
        <v>6.4782177514604309E-3</v>
      </c>
      <c r="AN258" s="98">
        <f>VLOOKUP($A258,lmic_raw[],40,FALSE)*(1-interactive!$C$7)</f>
        <v>9.1788357526192479E-3</v>
      </c>
      <c r="AO258" s="98">
        <f>VLOOKUP($A258,lmic_raw[],41,FALSE)*(1-interactive!$C$7)</f>
        <v>1.2322600377063906E-2</v>
      </c>
      <c r="AP258" s="98">
        <f>VLOOKUP($A258,lmic_raw[],42,FALSE)*(1-interactive!$C$7)</f>
        <v>1.8557577442863134E-2</v>
      </c>
      <c r="AQ258" s="98">
        <f>VLOOKUP($A258,lmic_raw[],43,FALSE)*(1-interactive!$C$7)</f>
        <v>2.8690757510410558E-2</v>
      </c>
      <c r="AR258" s="98">
        <f>VLOOKUP($A258,lmic_raw[],44,FALSE)*(1-interactive!$C$7)</f>
        <v>4.4607148810423831E-2</v>
      </c>
      <c r="AS258" s="98">
        <f>VLOOKUP($A258,lmic_raw[],45,FALSE)*(1-interactive!$C$7)</f>
        <v>6.8279235022524115E-2</v>
      </c>
      <c r="AT258" s="98">
        <f>VLOOKUP($A258,lmic_raw[],46,FALSE)*(1-interactive!$C$7)</f>
        <v>0.1016344731884186</v>
      </c>
      <c r="AU258" s="98">
        <f>VLOOKUP($A258,lmic_raw[],47,FALSE)*(1-interactive!$C$7)</f>
        <v>0.13955627174968485</v>
      </c>
      <c r="AV258" s="98">
        <f>VLOOKUP($A258,lmic_raw[],48,FALSE)*(1-interactive!$C$7)</f>
        <v>0.17085965847426926</v>
      </c>
      <c r="AW258" s="98">
        <f>VLOOKUP($A258,lmic_raw[],49,FALSE)*(1-interactive!$C$7)</f>
        <v>0.18035419307766917</v>
      </c>
      <c r="AX258" s="98">
        <f>VLOOKUP($A258,lmic_raw[],50,FALSE)*(1-interactive!$C$7)</f>
        <v>61.599899999999998</v>
      </c>
    </row>
    <row r="259" spans="1:50" x14ac:dyDescent="0.25">
      <c r="A259" s="110" t="s">
        <v>219</v>
      </c>
      <c r="B259" s="104" t="s">
        <v>522</v>
      </c>
      <c r="C259" s="105">
        <v>764</v>
      </c>
      <c r="D259" s="122" t="s">
        <v>680</v>
      </c>
      <c r="E259" s="94" t="s">
        <v>598</v>
      </c>
      <c r="F259" s="94" t="s">
        <v>666</v>
      </c>
      <c r="G259" s="94" t="s">
        <v>676</v>
      </c>
      <c r="H259" s="98">
        <f>VLOOKUP(lmic_raw_lb[[#This Row],[setting]],lmic_raw[],8,FALSE)</f>
        <v>69625581</v>
      </c>
      <c r="I259" s="98">
        <f>VLOOKUP(lmic_raw_lb[[#This Row],[setting]],lmic_raw[],9,FALSE)</f>
        <v>728422.82842200005</v>
      </c>
      <c r="J259" s="94">
        <f>VLOOKUP($A259,lmic_raw[],10,FALSE)*(1-interactive!$C$7)</f>
        <v>0.93669999999999998</v>
      </c>
      <c r="K259" s="94">
        <f>VLOOKUP($A259,lmic_raw[],11,FALSE)*(1-interactive!$C$7)</f>
        <v>0.9405</v>
      </c>
      <c r="L259" s="94">
        <f>VLOOKUP($A259,lmic_raw[],12,FALSE)*(1-interactive!$C$7)</f>
        <v>0.92149999999999999</v>
      </c>
      <c r="M259" s="94">
        <f>IFERROR(VLOOKUP(lmic_raw_lb[[#This Row],[iso3]], hbv_prev[[iso3]:[ub]],3,FALSE)/100,0)</f>
        <v>9.7999999999999997E-3</v>
      </c>
      <c r="N259" s="94">
        <f>IFERROR(VLOOKUP(lmic_raw_lb[[#This Row],[setting]],hbe_prev[],4,FALSE),0)</f>
        <v>0.18100000000000002</v>
      </c>
      <c r="O259" s="94">
        <f>VLOOKUP(lmic_raw_lb[[#This Row],[gbd_super]],hbe_risk[],3,FALSE)</f>
        <v>0.7</v>
      </c>
      <c r="P259" s="94">
        <f>VLOOKUP(lmic_raw_lb[[#This Row],[gbd_super]],hbe_risk[],6,FALSE)</f>
        <v>0.05</v>
      </c>
      <c r="Q259" s="94">
        <f>VLOOKUP(lmic_raw_lb[[#This Row],[setting]],lmic_raw[],17,FALSE)*(1-interactive!$C$7)</f>
        <v>7.1257948592244302</v>
      </c>
      <c r="R259" s="98">
        <f>VLOOKUP(lmic_raw_lb[[#This Row],[setting]],lmic_raw[],18,FALSE)*(1-interactive!$C$7)</f>
        <v>69.430275000000009</v>
      </c>
      <c r="S259" s="98">
        <f>VLOOKUP(lmic_raw_lb[[#This Row],[setting]],lmic_raw[],19,FALSE)*(1-interactive!$C$7)</f>
        <v>114.785175</v>
      </c>
      <c r="T259" s="98">
        <f>VLOOKUP(lmic_raw_lb[[#This Row],[setting]],lmic_raw[],20,FALSE)*(1-interactive!$C$7)</f>
        <v>114.785175</v>
      </c>
      <c r="U259" s="98">
        <f>VLOOKUP(lmic_raw_lb[[#This Row],[setting]],lmic_raw[],21,FALSE)*(1-interactive!$C$7)</f>
        <v>114.785175</v>
      </c>
      <c r="V259" s="33">
        <f>IFERROR(VLOOKUP(lmic_raw_lb[[#This Row],[setting]],vcost_lb[],3,FALSE),0)</f>
        <v>1.4466071992513758</v>
      </c>
      <c r="W259" s="33">
        <f>IFERROR(VLOOKUP(lmic_raw_lb[[#This Row],[setting]],vcost_lb[],4,FALSE),0)</f>
        <v>2.047197199251376</v>
      </c>
      <c r="X259" s="33">
        <f>IFERROR(VLOOKUP(lmic_raw_lb[[#This Row],[setting]],vcost_lb[],5,FALSE),0)</f>
        <v>1.0748324741907225</v>
      </c>
      <c r="Y259" s="33">
        <f>IFERROR(VLOOKUP(lmic_raw_lb[[#This Row],[setting]],vcost_lb[],6,FALSE),0)</f>
        <v>1.6754224741907224</v>
      </c>
      <c r="Z259" s="33">
        <f>IFERROR(VLOOKUP(lmic_raw_lb[[#This Row],[setting]],vcost_lb[],7,FALSE),0)</f>
        <v>1.6693208370944226</v>
      </c>
      <c r="AA259" s="33">
        <f>IFERROR(VLOOKUP(lmic_raw_lb[[#This Row],[setting]],vcost_lb[],8,FALSE),0)</f>
        <v>1.6605807559415824</v>
      </c>
      <c r="AB259" s="33">
        <f>IFERROR(VLOOKUP(lmic_raw_lb[[#This Row],[setting]],vcost_lb[],9,FALSE),0)</f>
        <v>2.2611707559415821</v>
      </c>
      <c r="AC259" s="94">
        <f>VLOOKUP($A259,lmic_raw[],29,FALSE)*(1-interactive!$C$7)</f>
        <v>7.3664995000000191E-3</v>
      </c>
      <c r="AD259" s="94">
        <f>VLOOKUP($A259,lmic_raw[],30,FALSE)*(1-interactive!$C$7)</f>
        <v>2.9807244130509878E-4</v>
      </c>
      <c r="AE259" s="94">
        <f>VLOOKUP($A259,lmic_raw[],31,FALSE)*(1-interactive!$C$7)</f>
        <v>2.5186203744320045E-4</v>
      </c>
      <c r="AF259" s="94">
        <f>VLOOKUP($A259,lmic_raw[],32,FALSE)*(1-interactive!$C$7)</f>
        <v>3.9205180079087369E-4</v>
      </c>
      <c r="AG259" s="94">
        <f>VLOOKUP($A259,lmic_raw[],33,FALSE)*(1-interactive!$C$7)</f>
        <v>1.0218059497045652E-3</v>
      </c>
      <c r="AH259" s="94">
        <f>VLOOKUP($A259,lmic_raw[],34,FALSE)*(1-interactive!$C$7)</f>
        <v>9.7912745878006861E-4</v>
      </c>
      <c r="AI259" s="94">
        <f>VLOOKUP($A259,lmic_raw[],35,FALSE)*(1-interactive!$C$7)</f>
        <v>1.0743902921577641E-3</v>
      </c>
      <c r="AJ259" s="94">
        <f>VLOOKUP($A259,lmic_raw[],36,FALSE)*(1-interactive!$C$7)</f>
        <v>1.5287872349444174E-3</v>
      </c>
      <c r="AK259" s="94">
        <f>VLOOKUP($A259,lmic_raw[],37,FALSE)*(1-interactive!$C$7)</f>
        <v>2.322351095318149E-3</v>
      </c>
      <c r="AL259" s="94">
        <f>VLOOKUP($A259,lmic_raw[],38,FALSE)*(1-interactive!$C$7)</f>
        <v>3.1781238109071558E-3</v>
      </c>
      <c r="AM259" s="94">
        <f>VLOOKUP($A259,lmic_raw[],39,FALSE)*(1-interactive!$C$7)</f>
        <v>4.1439341088098797E-3</v>
      </c>
      <c r="AN259" s="94">
        <f>VLOOKUP($A259,lmic_raw[],40,FALSE)*(1-interactive!$C$7)</f>
        <v>5.4687484422744383E-3</v>
      </c>
      <c r="AO259" s="94">
        <f>VLOOKUP($A259,lmic_raw[],41,FALSE)*(1-interactive!$C$7)</f>
        <v>7.3133673929285537E-3</v>
      </c>
      <c r="AP259" s="94">
        <f>VLOOKUP($A259,lmic_raw[],42,FALSE)*(1-interactive!$C$7)</f>
        <v>1.0595874241687597E-2</v>
      </c>
      <c r="AQ259" s="94">
        <f>VLOOKUP($A259,lmic_raw[],43,FALSE)*(1-interactive!$C$7)</f>
        <v>1.4738857760982686E-2</v>
      </c>
      <c r="AR259" s="94">
        <f>VLOOKUP($A259,lmic_raw[],44,FALSE)*(1-interactive!$C$7)</f>
        <v>2.2935116262104094E-2</v>
      </c>
      <c r="AS259" s="94">
        <f>VLOOKUP($A259,lmic_raw[],45,FALSE)*(1-interactive!$C$7)</f>
        <v>3.6327863745366867E-2</v>
      </c>
      <c r="AT259" s="94">
        <f>VLOOKUP($A259,lmic_raw[],46,FALSE)*(1-interactive!$C$7)</f>
        <v>5.5221670830718245E-2</v>
      </c>
      <c r="AU259" s="94">
        <f>VLOOKUP($A259,lmic_raw[],47,FALSE)*(1-interactive!$C$7)</f>
        <v>8.0249068314733246E-2</v>
      </c>
      <c r="AV259" s="94">
        <f>VLOOKUP($A259,lmic_raw[],48,FALSE)*(1-interactive!$C$7)</f>
        <v>0.10780704426895571</v>
      </c>
      <c r="AW259" s="94">
        <f>VLOOKUP($A259,lmic_raw[],49,FALSE)*(1-interactive!$C$7)</f>
        <v>0.13356705000367686</v>
      </c>
      <c r="AX259" s="94">
        <f>VLOOKUP($A259,lmic_raw[],50,FALSE)*(1-interactive!$C$7)</f>
        <v>72.990399999999994</v>
      </c>
    </row>
    <row r="260" spans="1:50" x14ac:dyDescent="0.25">
      <c r="A260" s="109" t="s">
        <v>220</v>
      </c>
      <c r="B260" s="101" t="s">
        <v>523</v>
      </c>
      <c r="C260" s="102">
        <v>626</v>
      </c>
      <c r="D260" s="121" t="s">
        <v>680</v>
      </c>
      <c r="E260" s="98" t="s">
        <v>598</v>
      </c>
      <c r="F260" s="98" t="s">
        <v>666</v>
      </c>
      <c r="G260" s="98" t="s">
        <v>678</v>
      </c>
      <c r="H260" s="98">
        <f>VLOOKUP(lmic_raw_lb[[#This Row],[setting]],lmic_raw[],8,FALSE)</f>
        <v>1293120</v>
      </c>
      <c r="I260" s="98">
        <f>VLOOKUP(lmic_raw_lb[[#This Row],[setting]],lmic_raw[],9,FALSE)</f>
        <v>38458.681919999995</v>
      </c>
      <c r="J260" s="98">
        <f>VLOOKUP($A260,lmic_raw[],10,FALSE)*(1-interactive!$C$7)</f>
        <v>0.46074999999999999</v>
      </c>
      <c r="K260" s="98">
        <f>VLOOKUP($A260,lmic_raw[],11,FALSE)*(1-interactive!$C$7)</f>
        <v>0.66499999999999992</v>
      </c>
      <c r="L260" s="98">
        <f>VLOOKUP($A260,lmic_raw[],12,FALSE)*(1-interactive!$C$7)</f>
        <v>0.78849999999999998</v>
      </c>
      <c r="M260" s="98">
        <f>IFERROR(VLOOKUP(lmic_raw_lb[[#This Row],[iso3]], hbv_prev[[iso3]:[ub]],3,FALSE)/100,0)</f>
        <v>1.1599999999999999E-2</v>
      </c>
      <c r="N260" s="98">
        <f>IFERROR(VLOOKUP(lmic_raw_lb[[#This Row],[setting]],hbe_prev[],4,FALSE),0)</f>
        <v>0.18100000000000002</v>
      </c>
      <c r="O260" s="98">
        <f>VLOOKUP(lmic_raw_lb[[#This Row],[gbd_super]],hbe_risk[],3,FALSE)</f>
        <v>0.7</v>
      </c>
      <c r="P260" s="98">
        <f>VLOOKUP(lmic_raw_lb[[#This Row],[gbd_super]],hbe_risk[],6,FALSE)</f>
        <v>0.05</v>
      </c>
      <c r="Q260" s="98">
        <f>VLOOKUP(lmic_raw_lb[[#This Row],[setting]],lmic_raw[],17,FALSE)*(1-interactive!$C$7)</f>
        <v>0</v>
      </c>
      <c r="R260" s="98">
        <f>VLOOKUP(lmic_raw_lb[[#This Row],[setting]],lmic_raw[],18,FALSE)*(1-interactive!$C$7)</f>
        <v>69.430275000000009</v>
      </c>
      <c r="S260" s="98">
        <f>VLOOKUP(lmic_raw_lb[[#This Row],[setting]],lmic_raw[],19,FALSE)*(1-interactive!$C$7)</f>
        <v>114.785175</v>
      </c>
      <c r="T260" s="98">
        <f>VLOOKUP(lmic_raw_lb[[#This Row],[setting]],lmic_raw[],20,FALSE)*(1-interactive!$C$7)</f>
        <v>114.785175</v>
      </c>
      <c r="U260" s="98">
        <f>VLOOKUP(lmic_raw_lb[[#This Row],[setting]],lmic_raw[],21,FALSE)*(1-interactive!$C$7)</f>
        <v>114.785175</v>
      </c>
      <c r="V260" s="33">
        <f>IFERROR(VLOOKUP(lmic_raw_lb[[#This Row],[setting]],vcost_lb[],3,FALSE),0)</f>
        <v>1.9264757809910737</v>
      </c>
      <c r="W260" s="33">
        <f>IFERROR(VLOOKUP(lmic_raw_lb[[#This Row],[setting]],vcost_lb[],4,FALSE),0)</f>
        <v>2.5270657809910739</v>
      </c>
      <c r="X260" s="33">
        <f>IFERROR(VLOOKUP(lmic_raw_lb[[#This Row],[setting]],vcost_lb[],5,FALSE),0)</f>
        <v>1.5606845810964269</v>
      </c>
      <c r="Y260" s="33">
        <f>IFERROR(VLOOKUP(lmic_raw_lb[[#This Row],[setting]],vcost_lb[],6,FALSE),0)</f>
        <v>2.1612745810964267</v>
      </c>
      <c r="Z260" s="33">
        <f>IFERROR(VLOOKUP(lmic_raw_lb[[#This Row],[setting]],vcost_lb[],7,FALSE),0)</f>
        <v>2.1587798330029666</v>
      </c>
      <c r="AA260" s="33">
        <f>IFERROR(VLOOKUP(lmic_raw_lb[[#This Row],[setting]],vcost_lb[],8,FALSE),0)</f>
        <v>2.1378849697529914</v>
      </c>
      <c r="AB260" s="33">
        <f>IFERROR(VLOOKUP(lmic_raw_lb[[#This Row],[setting]],vcost_lb[],9,FALSE),0)</f>
        <v>2.7384749697529913</v>
      </c>
      <c r="AC260" s="98">
        <f>VLOOKUP($A260,lmic_raw[],29,FALSE)*(1-interactive!$C$7)</f>
        <v>3.5485625499999979E-2</v>
      </c>
      <c r="AD260" s="98">
        <f>VLOOKUP($A260,lmic_raw[],30,FALSE)*(1-interactive!$C$7)</f>
        <v>2.3196747330077312E-3</v>
      </c>
      <c r="AE260" s="98">
        <f>VLOOKUP($A260,lmic_raw[],31,FALSE)*(1-interactive!$C$7)</f>
        <v>7.129391327506991E-4</v>
      </c>
      <c r="AF260" s="98">
        <f>VLOOKUP($A260,lmic_raw[],32,FALSE)*(1-interactive!$C$7)</f>
        <v>5.5089474357356558E-4</v>
      </c>
      <c r="AG260" s="98">
        <f>VLOOKUP($A260,lmic_raw[],33,FALSE)*(1-interactive!$C$7)</f>
        <v>9.4965476858294899E-4</v>
      </c>
      <c r="AH260" s="98">
        <f>VLOOKUP($A260,lmic_raw[],34,FALSE)*(1-interactive!$C$7)</f>
        <v>1.1980401732889709E-3</v>
      </c>
      <c r="AI260" s="98">
        <f>VLOOKUP($A260,lmic_raw[],35,FALSE)*(1-interactive!$C$7)</f>
        <v>1.1440522602550374E-3</v>
      </c>
      <c r="AJ260" s="98">
        <f>VLOOKUP($A260,lmic_raw[],36,FALSE)*(1-interactive!$C$7)</f>
        <v>1.27241204210668E-3</v>
      </c>
      <c r="AK260" s="98">
        <f>VLOOKUP($A260,lmic_raw[],37,FALSE)*(1-interactive!$C$7)</f>
        <v>1.6620633371593101E-3</v>
      </c>
      <c r="AL260" s="98">
        <f>VLOOKUP($A260,lmic_raw[],38,FALSE)*(1-interactive!$C$7)</f>
        <v>2.3908964885334103E-3</v>
      </c>
      <c r="AM260" s="98">
        <f>VLOOKUP($A260,lmic_raw[],39,FALSE)*(1-interactive!$C$7)</f>
        <v>3.8080117760128335E-3</v>
      </c>
      <c r="AN260" s="98">
        <f>VLOOKUP($A260,lmic_raw[],40,FALSE)*(1-interactive!$C$7)</f>
        <v>6.2479403126392543E-3</v>
      </c>
      <c r="AO260" s="98">
        <f>VLOOKUP($A260,lmic_raw[],41,FALSE)*(1-interactive!$C$7)</f>
        <v>1.0712857360525191E-2</v>
      </c>
      <c r="AP260" s="98">
        <f>VLOOKUP($A260,lmic_raw[],42,FALSE)*(1-interactive!$C$7)</f>
        <v>1.719305127478378E-2</v>
      </c>
      <c r="AQ260" s="98">
        <f>VLOOKUP($A260,lmic_raw[],43,FALSE)*(1-interactive!$C$7)</f>
        <v>2.7327966249628237E-2</v>
      </c>
      <c r="AR260" s="98">
        <f>VLOOKUP($A260,lmic_raw[],44,FALSE)*(1-interactive!$C$7)</f>
        <v>4.3336439617917791E-2</v>
      </c>
      <c r="AS260" s="98">
        <f>VLOOKUP($A260,lmic_raw[],45,FALSE)*(1-interactive!$C$7)</f>
        <v>6.6558479209795005E-2</v>
      </c>
      <c r="AT260" s="98">
        <f>VLOOKUP($A260,lmic_raw[],46,FALSE)*(1-interactive!$C$7)</f>
        <v>9.510092681115799E-2</v>
      </c>
      <c r="AU260" s="98">
        <f>VLOOKUP($A260,lmic_raw[],47,FALSE)*(1-interactive!$C$7)</f>
        <v>0.12606487446351283</v>
      </c>
      <c r="AV260" s="98">
        <f>VLOOKUP($A260,lmic_raw[],48,FALSE)*(1-interactive!$C$7)</f>
        <v>0.15134075020553411</v>
      </c>
      <c r="AW260" s="98">
        <f>VLOOKUP($A260,lmic_raw[],49,FALSE)*(1-interactive!$C$7)</f>
        <v>0.16907369287658447</v>
      </c>
      <c r="AX260" s="98">
        <f>VLOOKUP($A260,lmic_raw[],50,FALSE)*(1-interactive!$C$7)</f>
        <v>65.695350000000005</v>
      </c>
    </row>
    <row r="261" spans="1:50" x14ac:dyDescent="0.25">
      <c r="A261" s="110" t="s">
        <v>154</v>
      </c>
      <c r="B261" s="104" t="s">
        <v>524</v>
      </c>
      <c r="C261" s="105">
        <v>768</v>
      </c>
      <c r="D261" s="122" t="s">
        <v>677</v>
      </c>
      <c r="E261" s="94" t="s">
        <v>591</v>
      </c>
      <c r="F261" s="94" t="s">
        <v>667</v>
      </c>
      <c r="G261" s="94" t="s">
        <v>674</v>
      </c>
      <c r="H261" s="98">
        <f>VLOOKUP(lmic_raw_lb[[#This Row],[setting]],lmic_raw[],8,FALSE)</f>
        <v>8082359</v>
      </c>
      <c r="I261" s="98">
        <f>VLOOKUP(lmic_raw_lb[[#This Row],[setting]],lmic_raw[],9,FALSE)</f>
        <v>269255.70772599999</v>
      </c>
      <c r="J261" s="94">
        <f>VLOOKUP($A261,lmic_raw[],10,FALSE)*(1-interactive!$C$7)</f>
        <v>0.76</v>
      </c>
      <c r="K261" s="94">
        <f>VLOOKUP($A261,lmic_raw[],11,FALSE)*(1-interactive!$C$7)</f>
        <v>0</v>
      </c>
      <c r="L261" s="94">
        <f>VLOOKUP($A261,lmic_raw[],12,FALSE)*(1-interactive!$C$7)</f>
        <v>0.79799999999999993</v>
      </c>
      <c r="M261" s="94">
        <f>IFERROR(VLOOKUP(lmic_raw_lb[[#This Row],[iso3]], hbv_prev[[iso3]:[ub]],3,FALSE)/100,0)</f>
        <v>5.28E-2</v>
      </c>
      <c r="N261" s="94">
        <f>IFERROR(VLOOKUP(lmic_raw_lb[[#This Row],[setting]],hbe_prev[],4,FALSE),0)</f>
        <v>0.155</v>
      </c>
      <c r="O261" s="94">
        <f>VLOOKUP(lmic_raw_lb[[#This Row],[gbd_super]],hbe_risk[],3,FALSE)</f>
        <v>7.0000000000000007E-2</v>
      </c>
      <c r="P261" s="94">
        <f>VLOOKUP(lmic_raw_lb[[#This Row],[gbd_super]],hbe_risk[],6,FALSE)</f>
        <v>1E-3</v>
      </c>
      <c r="Q261" s="94">
        <f>VLOOKUP(lmic_raw_lb[[#This Row],[setting]],lmic_raw[],17,FALSE)*(1-interactive!$C$7)</f>
        <v>2.5591778110417427</v>
      </c>
      <c r="R261" s="98">
        <f>VLOOKUP(lmic_raw_lb[[#This Row],[setting]],lmic_raw[],18,FALSE)*(1-interactive!$C$7)</f>
        <v>28.424474999999997</v>
      </c>
      <c r="S261" s="98">
        <f>VLOOKUP(lmic_raw_lb[[#This Row],[setting]],lmic_raw[],19,FALSE)*(1-interactive!$C$7)</f>
        <v>73.779375000000002</v>
      </c>
      <c r="T261" s="98">
        <f>VLOOKUP(lmic_raw_lb[[#This Row],[setting]],lmic_raw[],20,FALSE)*(1-interactive!$C$7)</f>
        <v>73.779375000000002</v>
      </c>
      <c r="U261" s="98">
        <f>VLOOKUP(lmic_raw_lb[[#This Row],[setting]],lmic_raw[],21,FALSE)*(1-interactive!$C$7)</f>
        <v>73.779375000000002</v>
      </c>
      <c r="V261" s="33">
        <f>IFERROR(VLOOKUP(lmic_raw_lb[[#This Row],[setting]],vcost_lb[],3,FALSE),0)</f>
        <v>1.2331219140230234</v>
      </c>
      <c r="W261" s="33">
        <f>IFERROR(VLOOKUP(lmic_raw_lb[[#This Row],[setting]],vcost_lb[],4,FALSE),0)</f>
        <v>5.8203869140230236</v>
      </c>
      <c r="X261" s="33">
        <f>IFERROR(VLOOKUP(lmic_raw_lb[[#This Row],[setting]],vcost_lb[],5,FALSE),0)</f>
        <v>0.86867054170345614</v>
      </c>
      <c r="Y261" s="33">
        <f>IFERROR(VLOOKUP(lmic_raw_lb[[#This Row],[setting]],vcost_lb[],6,FALSE),0)</f>
        <v>5.4559355417034565</v>
      </c>
      <c r="Z261" s="33">
        <f>IFERROR(VLOOKUP(lmic_raw_lb[[#This Row],[setting]],vcost_lb[],7,FALSE),0)</f>
        <v>5.4544043317296591</v>
      </c>
      <c r="AA261" s="33">
        <f>IFERROR(VLOOKUP(lmic_raw_lb[[#This Row],[setting]],vcost_lb[],8,FALSE),0)</f>
        <v>1.4439568909670499</v>
      </c>
      <c r="AB261" s="33">
        <f>IFERROR(VLOOKUP(lmic_raw_lb[[#This Row],[setting]],vcost_lb[],9,FALSE),0)</f>
        <v>6.0312218909670499</v>
      </c>
      <c r="AC261" s="94">
        <f>VLOOKUP($A261,lmic_raw[],29,FALSE)*(1-interactive!$C$7)</f>
        <v>4.7211418500000067E-2</v>
      </c>
      <c r="AD261" s="94">
        <f>VLOOKUP($A261,lmic_raw[],30,FALSE)*(1-interactive!$C$7)</f>
        <v>6.4294966176973055E-3</v>
      </c>
      <c r="AE261" s="94">
        <f>VLOOKUP($A261,lmic_raw[],31,FALSE)*(1-interactive!$C$7)</f>
        <v>2.940034690004784E-3</v>
      </c>
      <c r="AF261" s="94">
        <f>VLOOKUP($A261,lmic_raw[],32,FALSE)*(1-interactive!$C$7)</f>
        <v>1.7207293166186259E-3</v>
      </c>
      <c r="AG261" s="94">
        <f>VLOOKUP($A261,lmic_raw[],33,FALSE)*(1-interactive!$C$7)</f>
        <v>2.6278385058858566E-3</v>
      </c>
      <c r="AH261" s="94">
        <f>VLOOKUP($A261,lmic_raw[],34,FALSE)*(1-interactive!$C$7)</f>
        <v>3.6703343811875077E-3</v>
      </c>
      <c r="AI261" s="94">
        <f>VLOOKUP($A261,lmic_raw[],35,FALSE)*(1-interactive!$C$7)</f>
        <v>3.9022789357450725E-3</v>
      </c>
      <c r="AJ261" s="94">
        <f>VLOOKUP($A261,lmic_raw[],36,FALSE)*(1-interactive!$C$7)</f>
        <v>4.2700984822593531E-3</v>
      </c>
      <c r="AK261" s="94">
        <f>VLOOKUP($A261,lmic_raw[],37,FALSE)*(1-interactive!$C$7)</f>
        <v>4.8550238267770661E-3</v>
      </c>
      <c r="AL261" s="94">
        <f>VLOOKUP($A261,lmic_raw[],38,FALSE)*(1-interactive!$C$7)</f>
        <v>5.8994950979376435E-3</v>
      </c>
      <c r="AM261" s="94">
        <f>VLOOKUP($A261,lmic_raw[],39,FALSE)*(1-interactive!$C$7)</f>
        <v>7.2972324364903723E-3</v>
      </c>
      <c r="AN261" s="94">
        <f>VLOOKUP($A261,lmic_raw[],40,FALSE)*(1-interactive!$C$7)</f>
        <v>1.0151037775650273E-2</v>
      </c>
      <c r="AO261" s="94">
        <f>VLOOKUP($A261,lmic_raw[],41,FALSE)*(1-interactive!$C$7)</f>
        <v>1.4355496783228344E-2</v>
      </c>
      <c r="AP261" s="94">
        <f>VLOOKUP($A261,lmic_raw[],42,FALSE)*(1-interactive!$C$7)</f>
        <v>2.222967543885504E-2</v>
      </c>
      <c r="AQ261" s="94">
        <f>VLOOKUP($A261,lmic_raw[],43,FALSE)*(1-interactive!$C$7)</f>
        <v>3.4051251714577284E-2</v>
      </c>
      <c r="AR261" s="94">
        <f>VLOOKUP($A261,lmic_raw[],44,FALSE)*(1-interactive!$C$7)</f>
        <v>5.4118436626828192E-2</v>
      </c>
      <c r="AS261" s="94">
        <f>VLOOKUP($A261,lmic_raw[],45,FALSE)*(1-interactive!$C$7)</f>
        <v>8.2511497157411989E-2</v>
      </c>
      <c r="AT261" s="94">
        <f>VLOOKUP($A261,lmic_raw[],46,FALSE)*(1-interactive!$C$7)</f>
        <v>0.11686148335853581</v>
      </c>
      <c r="AU261" s="94">
        <f>VLOOKUP($A261,lmic_raw[],47,FALSE)*(1-interactive!$C$7)</f>
        <v>0.14783290120566306</v>
      </c>
      <c r="AV261" s="94">
        <f>VLOOKUP($A261,lmic_raw[],48,FALSE)*(1-interactive!$C$7)</f>
        <v>0.16889646981625397</v>
      </c>
      <c r="AW261" s="94">
        <f>VLOOKUP($A261,lmic_raw[],49,FALSE)*(1-interactive!$C$7)</f>
        <v>0.18435548465282919</v>
      </c>
      <c r="AX261" s="94">
        <f>VLOOKUP($A261,lmic_raw[],50,FALSE)*(1-interactive!$C$7)</f>
        <v>57.501599999999996</v>
      </c>
    </row>
    <row r="262" spans="1:50" x14ac:dyDescent="0.25">
      <c r="A262" s="109" t="s">
        <v>301</v>
      </c>
      <c r="B262" s="101" t="s">
        <v>525</v>
      </c>
      <c r="C262" s="102">
        <v>776</v>
      </c>
      <c r="D262" s="121" t="s">
        <v>681</v>
      </c>
      <c r="E262" s="98" t="s">
        <v>98</v>
      </c>
      <c r="F262" s="98" t="s">
        <v>666</v>
      </c>
      <c r="G262" s="98" t="s">
        <v>676</v>
      </c>
      <c r="H262" s="98">
        <f>VLOOKUP(lmic_raw_lb[[#This Row],[setting]],lmic_raw[],8,FALSE)</f>
        <v>104497</v>
      </c>
      <c r="I262" s="98">
        <f>VLOOKUP(lmic_raw_lb[[#This Row],[setting]],lmic_raw[],9,FALSE)</f>
        <v>2555.3696380000001</v>
      </c>
      <c r="J262" s="98">
        <f>VLOOKUP($A262,lmic_raw[],10,FALSE)*(1-interactive!$C$7)</f>
        <v>0.93099999999999994</v>
      </c>
      <c r="K262" s="98">
        <f>VLOOKUP($A262,lmic_raw[],11,FALSE)*(1-interactive!$C$7)</f>
        <v>0.9405</v>
      </c>
      <c r="L262" s="98">
        <f>VLOOKUP($A262,lmic_raw[],12,FALSE)*(1-interactive!$C$7)</f>
        <v>0.9405</v>
      </c>
      <c r="M262" s="98">
        <f>IFERROR(VLOOKUP(lmic_raw_lb[[#This Row],[iso3]], hbv_prev[[iso3]:[ub]],3,FALSE)/100,0)</f>
        <v>7.2800000000000004E-2</v>
      </c>
      <c r="N262" s="98">
        <f>IFERROR(VLOOKUP(lmic_raw_lb[[#This Row],[setting]],hbe_prev[],4,FALSE),0)</f>
        <v>0.1832</v>
      </c>
      <c r="O262" s="98">
        <f>VLOOKUP(lmic_raw_lb[[#This Row],[gbd_super]],hbe_risk[],3,FALSE)</f>
        <v>0.7</v>
      </c>
      <c r="P262" s="98">
        <f>VLOOKUP(lmic_raw_lb[[#This Row],[gbd_super]],hbe_risk[],6,FALSE)</f>
        <v>0.05</v>
      </c>
      <c r="Q262" s="98">
        <f>VLOOKUP(lmic_raw_lb[[#This Row],[setting]],lmic_raw[],17,FALSE)*(1-interactive!$C$7)</f>
        <v>7.599369960517449</v>
      </c>
      <c r="R262" s="98">
        <f>VLOOKUP(lmic_raw_lb[[#This Row],[setting]],lmic_raw[],18,FALSE)*(1-interactive!$C$7)</f>
        <v>69.430275000000009</v>
      </c>
      <c r="S262" s="98">
        <f>VLOOKUP(lmic_raw_lb[[#This Row],[setting]],lmic_raw[],19,FALSE)*(1-interactive!$C$7)</f>
        <v>114.785175</v>
      </c>
      <c r="T262" s="98">
        <f>VLOOKUP(lmic_raw_lb[[#This Row],[setting]],lmic_raw[],20,FALSE)*(1-interactive!$C$7)</f>
        <v>114.785175</v>
      </c>
      <c r="U262" s="98">
        <f>VLOOKUP(lmic_raw_lb[[#This Row],[setting]],lmic_raw[],21,FALSE)*(1-interactive!$C$7)</f>
        <v>114.785175</v>
      </c>
      <c r="V262" s="33">
        <f>IFERROR(VLOOKUP(lmic_raw_lb[[#This Row],[setting]],vcost_lb[],3,FALSE),0)</f>
        <v>2.9824412350407572</v>
      </c>
      <c r="W262" s="33">
        <f>IFERROR(VLOOKUP(lmic_raw_lb[[#This Row],[setting]],vcost_lb[],4,FALSE),0)</f>
        <v>3.5830312350407572</v>
      </c>
      <c r="X262" s="33">
        <f>IFERROR(VLOOKUP(lmic_raw_lb[[#This Row],[setting]],vcost_lb[],5,FALSE),0)</f>
        <v>2.6144407305374173</v>
      </c>
      <c r="Y262" s="33">
        <f>IFERROR(VLOOKUP(lmic_raw_lb[[#This Row],[setting]],vcost_lb[],6,FALSE),0)</f>
        <v>3.2150307305374173</v>
      </c>
      <c r="Z262" s="33">
        <f>IFERROR(VLOOKUP(lmic_raw_lb[[#This Row],[setting]],vcost_lb[],7,FALSE),0)</f>
        <v>3.2114082860907369</v>
      </c>
      <c r="AA262" s="33">
        <f>IFERROR(VLOOKUP(lmic_raw_lb[[#This Row],[setting]],vcost_lb[],8,FALSE),0)</f>
        <v>3.1947972686349724</v>
      </c>
      <c r="AB262" s="33">
        <f>IFERROR(VLOOKUP(lmic_raw_lb[[#This Row],[setting]],vcost_lb[],9,FALSE),0)</f>
        <v>3.7953872686349723</v>
      </c>
      <c r="AC262" s="98">
        <f>VLOOKUP($A262,lmic_raw[],29,FALSE)*(1-interactive!$C$7)</f>
        <v>1.1890798500000004E-2</v>
      </c>
      <c r="AD262" s="98">
        <f>VLOOKUP($A262,lmic_raw[],30,FALSE)*(1-interactive!$C$7)</f>
        <v>7.4656826879019569E-4</v>
      </c>
      <c r="AE262" s="98">
        <f>VLOOKUP($A262,lmic_raw[],31,FALSE)*(1-interactive!$C$7)</f>
        <v>3.7820524196938127E-4</v>
      </c>
      <c r="AF262" s="98">
        <f>VLOOKUP($A262,lmic_raw[],32,FALSE)*(1-interactive!$C$7)</f>
        <v>3.5923084653595406E-4</v>
      </c>
      <c r="AG262" s="98">
        <f>VLOOKUP($A262,lmic_raw[],33,FALSE)*(1-interactive!$C$7)</f>
        <v>8.9760328960619066E-4</v>
      </c>
      <c r="AH262" s="98">
        <f>VLOOKUP($A262,lmic_raw[],34,FALSE)*(1-interactive!$C$7)</f>
        <v>1.3045643152506474E-3</v>
      </c>
      <c r="AI262" s="98">
        <f>VLOOKUP($A262,lmic_raw[],35,FALSE)*(1-interactive!$C$7)</f>
        <v>1.4277741970396874E-3</v>
      </c>
      <c r="AJ262" s="98">
        <f>VLOOKUP($A262,lmic_raw[],36,FALSE)*(1-interactive!$C$7)</f>
        <v>1.7070112676730684E-3</v>
      </c>
      <c r="AK262" s="98">
        <f>VLOOKUP($A262,lmic_raw[],37,FALSE)*(1-interactive!$C$7)</f>
        <v>2.3007478154776439E-3</v>
      </c>
      <c r="AL262" s="98">
        <f>VLOOKUP($A262,lmic_raw[],38,FALSE)*(1-interactive!$C$7)</f>
        <v>3.3067611595702013E-3</v>
      </c>
      <c r="AM262" s="98">
        <f>VLOOKUP($A262,lmic_raw[],39,FALSE)*(1-interactive!$C$7)</f>
        <v>4.9702010836280208E-3</v>
      </c>
      <c r="AN262" s="98">
        <f>VLOOKUP($A262,lmic_raw[],40,FALSE)*(1-interactive!$C$7)</f>
        <v>7.5124637061862697E-3</v>
      </c>
      <c r="AO262" s="98">
        <f>VLOOKUP($A262,lmic_raw[],41,FALSE)*(1-interactive!$C$7)</f>
        <v>1.109370105787404E-2</v>
      </c>
      <c r="AP262" s="98">
        <f>VLOOKUP($A262,lmic_raw[],42,FALSE)*(1-interactive!$C$7)</f>
        <v>1.7601659377743648E-2</v>
      </c>
      <c r="AQ262" s="98">
        <f>VLOOKUP($A262,lmic_raw[],43,FALSE)*(1-interactive!$C$7)</f>
        <v>2.8029534412279334E-2</v>
      </c>
      <c r="AR262" s="98">
        <f>VLOOKUP($A262,lmic_raw[],44,FALSE)*(1-interactive!$C$7)</f>
        <v>4.3460863658412376E-2</v>
      </c>
      <c r="AS262" s="98">
        <f>VLOOKUP($A262,lmic_raw[],45,FALSE)*(1-interactive!$C$7)</f>
        <v>6.5360935881491E-2</v>
      </c>
      <c r="AT262" s="98">
        <f>VLOOKUP($A262,lmic_raw[],46,FALSE)*(1-interactive!$C$7)</f>
        <v>9.4603362877106995E-2</v>
      </c>
      <c r="AU262" s="98">
        <f>VLOOKUP($A262,lmic_raw[],47,FALSE)*(1-interactive!$C$7)</f>
        <v>0.12764772932279556</v>
      </c>
      <c r="AV262" s="98">
        <f>VLOOKUP($A262,lmic_raw[],48,FALSE)*(1-interactive!$C$7)</f>
        <v>0.15569502839453303</v>
      </c>
      <c r="AW262" s="98">
        <f>VLOOKUP($A262,lmic_raw[],49,FALSE)*(1-interactive!$C$7)</f>
        <v>0.17289009455463905</v>
      </c>
      <c r="AX262" s="98">
        <f>VLOOKUP($A262,lmic_raw[],50,FALSE)*(1-interactive!$C$7)</f>
        <v>67.203949999999992</v>
      </c>
    </row>
    <row r="263" spans="1:50" x14ac:dyDescent="0.25">
      <c r="A263" s="110" t="s">
        <v>162</v>
      </c>
      <c r="B263" s="104" t="s">
        <v>527</v>
      </c>
      <c r="C263" s="105">
        <v>788</v>
      </c>
      <c r="D263" s="122" t="s">
        <v>673</v>
      </c>
      <c r="E263" s="94" t="s">
        <v>579</v>
      </c>
      <c r="F263" s="94" t="s">
        <v>579</v>
      </c>
      <c r="G263" s="94" t="s">
        <v>678</v>
      </c>
      <c r="H263" s="98">
        <f>VLOOKUP(lmic_raw_lb[[#This Row],[setting]],lmic_raw[],8,FALSE)</f>
        <v>11694721</v>
      </c>
      <c r="I263" s="98">
        <f>VLOOKUP(lmic_raw_lb[[#This Row],[setting]],lmic_raw[],9,FALSE)</f>
        <v>207160.28779399997</v>
      </c>
      <c r="J263" s="94">
        <f>VLOOKUP($A263,lmic_raw[],10,FALSE)*(1-interactive!$C$7)</f>
        <v>0.94714999999999994</v>
      </c>
      <c r="K263" s="94">
        <f>VLOOKUP($A263,lmic_raw[],11,FALSE)*(1-interactive!$C$7)</f>
        <v>0.70299999999999996</v>
      </c>
      <c r="L263" s="94">
        <f>VLOOKUP($A263,lmic_raw[],12,FALSE)*(1-interactive!$C$7)</f>
        <v>0.874</v>
      </c>
      <c r="M263" s="94">
        <f>IFERROR(VLOOKUP(lmic_raw_lb[[#This Row],[iso3]], hbv_prev[[iso3]:[ub]],3,FALSE)/100,0)</f>
        <v>4.0099999999999997E-2</v>
      </c>
      <c r="N263" s="94">
        <f>IFERROR(VLOOKUP(lmic_raw_lb[[#This Row],[setting]],hbe_prev[],4,FALSE),0)</f>
        <v>0.14980000000000002</v>
      </c>
      <c r="O263" s="94">
        <f>VLOOKUP(lmic_raw_lb[[#This Row],[gbd_super]],hbe_risk[],3,FALSE)</f>
        <v>0.7</v>
      </c>
      <c r="P263" s="94">
        <f>VLOOKUP(lmic_raw_lb[[#This Row],[gbd_super]],hbe_risk[],6,FALSE)</f>
        <v>0.05</v>
      </c>
      <c r="Q263" s="94">
        <f>VLOOKUP(lmic_raw_lb[[#This Row],[setting]],lmic_raw[],17,FALSE)*(1-interactive!$C$7)</f>
        <v>7.8812599017632943</v>
      </c>
      <c r="R263" s="98">
        <f>VLOOKUP(lmic_raw_lb[[#This Row],[setting]],lmic_raw[],18,FALSE)*(1-interactive!$C$7)</f>
        <v>44.019105000000003</v>
      </c>
      <c r="S263" s="98">
        <f>VLOOKUP(lmic_raw_lb[[#This Row],[setting]],lmic_raw[],19,FALSE)*(1-interactive!$C$7)</f>
        <v>89.374005000000011</v>
      </c>
      <c r="T263" s="98">
        <f>VLOOKUP(lmic_raw_lb[[#This Row],[setting]],lmic_raw[],20,FALSE)*(1-interactive!$C$7)</f>
        <v>89.374005000000011</v>
      </c>
      <c r="U263" s="98">
        <f>VLOOKUP(lmic_raw_lb[[#This Row],[setting]],lmic_raw[],21,FALSE)*(1-interactive!$C$7)</f>
        <v>89.374005000000011</v>
      </c>
      <c r="V263" s="33">
        <f>IFERROR(VLOOKUP(lmic_raw_lb[[#This Row],[setting]],vcost_lb[],3,FALSE),0)</f>
        <v>2.1326356500528463</v>
      </c>
      <c r="W263" s="33">
        <f>IFERROR(VLOOKUP(lmic_raw_lb[[#This Row],[setting]],vcost_lb[],4,FALSE),0)</f>
        <v>2.5882556500528464</v>
      </c>
      <c r="X263" s="33">
        <f>IFERROR(VLOOKUP(lmic_raw_lb[[#This Row],[setting]],vcost_lb[],5,FALSE),0)</f>
        <v>1.762537445250411</v>
      </c>
      <c r="Y263" s="33">
        <f>IFERROR(VLOOKUP(lmic_raw_lb[[#This Row],[setting]],vcost_lb[],6,FALSE),0)</f>
        <v>2.2181574452504109</v>
      </c>
      <c r="Z263" s="33">
        <f>IFERROR(VLOOKUP(lmic_raw_lb[[#This Row],[setting]],vcost_lb[],7,FALSE),0)</f>
        <v>2.2127634325800227</v>
      </c>
      <c r="AA263" s="33">
        <f>IFERROR(VLOOKUP(lmic_raw_lb[[#This Row],[setting]],vcost_lb[],8,FALSE),0)</f>
        <v>2.3458906980609595</v>
      </c>
      <c r="AB263" s="33">
        <f>IFERROR(VLOOKUP(lmic_raw_lb[[#This Row],[setting]],vcost_lb[],9,FALSE),0)</f>
        <v>2.8015106980609596</v>
      </c>
      <c r="AC263" s="94">
        <f>VLOOKUP($A263,lmic_raw[],29,FALSE)*(1-interactive!$C$7)</f>
        <v>1.2043777000000032E-2</v>
      </c>
      <c r="AD263" s="94">
        <f>VLOOKUP($A263,lmic_raw[],30,FALSE)*(1-interactive!$C$7)</f>
        <v>1.8646202718354231E-4</v>
      </c>
      <c r="AE263" s="94">
        <f>VLOOKUP($A263,lmic_raw[],31,FALSE)*(1-interactive!$C$7)</f>
        <v>1.3802218624736555E-4</v>
      </c>
      <c r="AF263" s="94">
        <f>VLOOKUP($A263,lmic_raw[],32,FALSE)*(1-interactive!$C$7)</f>
        <v>2.3339325877846009E-4</v>
      </c>
      <c r="AG263" s="94">
        <f>VLOOKUP($A263,lmic_raw[],33,FALSE)*(1-interactive!$C$7)</f>
        <v>3.509874448460744E-4</v>
      </c>
      <c r="AH263" s="94">
        <f>VLOOKUP($A263,lmic_raw[],34,FALSE)*(1-interactive!$C$7)</f>
        <v>4.7707405894497669E-4</v>
      </c>
      <c r="AI263" s="94">
        <f>VLOOKUP($A263,lmic_raw[],35,FALSE)*(1-interactive!$C$7)</f>
        <v>5.4175605424169871E-4</v>
      </c>
      <c r="AJ263" s="94">
        <f>VLOOKUP($A263,lmic_raw[],36,FALSE)*(1-interactive!$C$7)</f>
        <v>6.3528887470176644E-4</v>
      </c>
      <c r="AK263" s="94">
        <f>VLOOKUP($A263,lmic_raw[],37,FALSE)*(1-interactive!$C$7)</f>
        <v>8.9214680452671924E-4</v>
      </c>
      <c r="AL263" s="94">
        <f>VLOOKUP($A263,lmic_raw[],38,FALSE)*(1-interactive!$C$7)</f>
        <v>1.4209208890491481E-3</v>
      </c>
      <c r="AM263" s="94">
        <f>VLOOKUP($A263,lmic_raw[],39,FALSE)*(1-interactive!$C$7)</f>
        <v>2.3351041333832898E-3</v>
      </c>
      <c r="AN263" s="94">
        <f>VLOOKUP($A263,lmic_raw[],40,FALSE)*(1-interactive!$C$7)</f>
        <v>4.0036358811922418E-3</v>
      </c>
      <c r="AO263" s="94">
        <f>VLOOKUP($A263,lmic_raw[],41,FALSE)*(1-interactive!$C$7)</f>
        <v>6.7034351583899537E-3</v>
      </c>
      <c r="AP263" s="94">
        <f>VLOOKUP($A263,lmic_raw[],42,FALSE)*(1-interactive!$C$7)</f>
        <v>1.0826943884477181E-2</v>
      </c>
      <c r="AQ263" s="94">
        <f>VLOOKUP($A263,lmic_raw[],43,FALSE)*(1-interactive!$C$7)</f>
        <v>1.7133976999965696E-2</v>
      </c>
      <c r="AR263" s="94">
        <f>VLOOKUP($A263,lmic_raw[],44,FALSE)*(1-interactive!$C$7)</f>
        <v>2.9380928920997477E-2</v>
      </c>
      <c r="AS263" s="94">
        <f>VLOOKUP($A263,lmic_raw[],45,FALSE)*(1-interactive!$C$7)</f>
        <v>4.9030699027522745E-2</v>
      </c>
      <c r="AT263" s="94">
        <f>VLOOKUP($A263,lmic_raw[],46,FALSE)*(1-interactive!$C$7)</f>
        <v>7.6322755424268973E-2</v>
      </c>
      <c r="AU263" s="94">
        <f>VLOOKUP($A263,lmic_raw[],47,FALSE)*(1-interactive!$C$7)</f>
        <v>0.10814500264214966</v>
      </c>
      <c r="AV263" s="94">
        <f>VLOOKUP($A263,lmic_raw[],48,FALSE)*(1-interactive!$C$7)</f>
        <v>0.13732782429761964</v>
      </c>
      <c r="AW263" s="94">
        <f>VLOOKUP($A263,lmic_raw[],49,FALSE)*(1-interactive!$C$7)</f>
        <v>0.15926850294457592</v>
      </c>
      <c r="AX263" s="94">
        <f>VLOOKUP($A263,lmic_raw[],50,FALSE)*(1-interactive!$C$7)</f>
        <v>72.591400000000007</v>
      </c>
    </row>
    <row r="264" spans="1:50" x14ac:dyDescent="0.25">
      <c r="A264" s="109" t="s">
        <v>180</v>
      </c>
      <c r="B264" s="101" t="s">
        <v>528</v>
      </c>
      <c r="C264" s="102">
        <v>792</v>
      </c>
      <c r="D264" s="121" t="s">
        <v>675</v>
      </c>
      <c r="E264" s="98" t="s">
        <v>579</v>
      </c>
      <c r="F264" s="98" t="s">
        <v>579</v>
      </c>
      <c r="G264" s="98" t="s">
        <v>676</v>
      </c>
      <c r="H264" s="98">
        <f>VLOOKUP(lmic_raw_lb[[#This Row],[setting]],lmic_raw[],8,FALSE)</f>
        <v>83429607</v>
      </c>
      <c r="I264" s="98">
        <f>VLOOKUP(lmic_raw_lb[[#This Row],[setting]],lmic_raw[],9,FALSE)</f>
        <v>1349807.6116529999</v>
      </c>
      <c r="J264" s="98">
        <f>VLOOKUP($A264,lmic_raw[],10,FALSE)*(1-interactive!$C$7)</f>
        <v>0.92339999999999989</v>
      </c>
      <c r="K264" s="98">
        <f>VLOOKUP($A264,lmic_raw[],11,FALSE)*(1-interactive!$C$7)</f>
        <v>0.9405</v>
      </c>
      <c r="L264" s="98">
        <f>VLOOKUP($A264,lmic_raw[],12,FALSE)*(1-interactive!$C$7)</f>
        <v>0.9405</v>
      </c>
      <c r="M264" s="98">
        <f>IFERROR(VLOOKUP(lmic_raw_lb[[#This Row],[iso3]], hbv_prev[[iso3]:[ub]],3,FALSE)/100,0)</f>
        <v>2.0799999999999999E-2</v>
      </c>
      <c r="N264" s="98">
        <f>IFERROR(VLOOKUP(lmic_raw_lb[[#This Row],[setting]],hbe_prev[],4,FALSE),0)</f>
        <v>0.14980000000000002</v>
      </c>
      <c r="O264" s="98">
        <f>VLOOKUP(lmic_raw_lb[[#This Row],[gbd_super]],hbe_risk[],3,FALSE)</f>
        <v>0.7</v>
      </c>
      <c r="P264" s="98">
        <f>VLOOKUP(lmic_raw_lb[[#This Row],[gbd_super]],hbe_risk[],6,FALSE)</f>
        <v>0.05</v>
      </c>
      <c r="Q264" s="98">
        <f>VLOOKUP(lmic_raw_lb[[#This Row],[setting]],lmic_raw[],17,FALSE)*(1-interactive!$C$7)</f>
        <v>16.416887322687476</v>
      </c>
      <c r="R264" s="98">
        <f>VLOOKUP(lmic_raw_lb[[#This Row],[setting]],lmic_raw[],18,FALSE)*(1-interactive!$C$7)</f>
        <v>44.019105000000003</v>
      </c>
      <c r="S264" s="98">
        <f>VLOOKUP(lmic_raw_lb[[#This Row],[setting]],lmic_raw[],19,FALSE)*(1-interactive!$C$7)</f>
        <v>89.374005000000011</v>
      </c>
      <c r="T264" s="98">
        <f>VLOOKUP(lmic_raw_lb[[#This Row],[setting]],lmic_raw[],20,FALSE)*(1-interactive!$C$7)</f>
        <v>89.374005000000011</v>
      </c>
      <c r="U264" s="98">
        <f>VLOOKUP(lmic_raw_lb[[#This Row],[setting]],lmic_raw[],21,FALSE)*(1-interactive!$C$7)</f>
        <v>89.374005000000011</v>
      </c>
      <c r="V264" s="33">
        <f>IFERROR(VLOOKUP(lmic_raw_lb[[#This Row],[setting]],vcost_lb[],3,FALSE),0)</f>
        <v>1.4310865771298606</v>
      </c>
      <c r="W264" s="33">
        <f>IFERROR(VLOOKUP(lmic_raw_lb[[#This Row],[setting]],vcost_lb[],4,FALSE),0)</f>
        <v>1.8867065771298606</v>
      </c>
      <c r="X264" s="33">
        <f>IFERROR(VLOOKUP(lmic_raw_lb[[#This Row],[setting]],vcost_lb[],5,FALSE),0)</f>
        <v>1.0572203435310075</v>
      </c>
      <c r="Y264" s="33">
        <f>IFERROR(VLOOKUP(lmic_raw_lb[[#This Row],[setting]],vcost_lb[],6,FALSE),0)</f>
        <v>1.5128403435310074</v>
      </c>
      <c r="Z264" s="33">
        <f>IFERROR(VLOOKUP(lmic_raw_lb[[#This Row],[setting]],vcost_lb[],7,FALSE),0)</f>
        <v>1.5050747297450657</v>
      </c>
      <c r="AA264" s="33">
        <f>IFERROR(VLOOKUP(lmic_raw_lb[[#This Row],[setting]],vcost_lb[],8,FALSE),0)</f>
        <v>1.6459564946221528</v>
      </c>
      <c r="AB264" s="33">
        <f>IFERROR(VLOOKUP(lmic_raw_lb[[#This Row],[setting]],vcost_lb[],9,FALSE),0)</f>
        <v>2.1015764946221527</v>
      </c>
      <c r="AC264" s="98">
        <f>VLOOKUP($A264,lmic_raw[],29,FALSE)*(1-interactive!$C$7)</f>
        <v>8.4564249999999445E-3</v>
      </c>
      <c r="AD264" s="98">
        <f>VLOOKUP($A264,lmic_raw[],30,FALSE)*(1-interactive!$C$7)</f>
        <v>1.0421691184075087E-3</v>
      </c>
      <c r="AE264" s="98">
        <f>VLOOKUP($A264,lmic_raw[],31,FALSE)*(1-interactive!$C$7)</f>
        <v>6.4822045814506228E-4</v>
      </c>
      <c r="AF264" s="98">
        <f>VLOOKUP($A264,lmic_raw[],32,FALSE)*(1-interactive!$C$7)</f>
        <v>5.5379175763665565E-4</v>
      </c>
      <c r="AG264" s="98">
        <f>VLOOKUP($A264,lmic_raw[],33,FALSE)*(1-interactive!$C$7)</f>
        <v>6.5703029200704784E-4</v>
      </c>
      <c r="AH264" s="98">
        <f>VLOOKUP($A264,lmic_raw[],34,FALSE)*(1-interactive!$C$7)</f>
        <v>9.1296930510685625E-4</v>
      </c>
      <c r="AI264" s="98">
        <f>VLOOKUP($A264,lmic_raw[],35,FALSE)*(1-interactive!$C$7)</f>
        <v>1.1156362199813777E-3</v>
      </c>
      <c r="AJ264" s="98">
        <f>VLOOKUP($A264,lmic_raw[],36,FALSE)*(1-interactive!$C$7)</f>
        <v>1.3084990666076151E-3</v>
      </c>
      <c r="AK264" s="98">
        <f>VLOOKUP($A264,lmic_raw[],37,FALSE)*(1-interactive!$C$7)</f>
        <v>1.5507449909580358E-3</v>
      </c>
      <c r="AL264" s="98">
        <f>VLOOKUP($A264,lmic_raw[],38,FALSE)*(1-interactive!$C$7)</f>
        <v>1.9034709217116033E-3</v>
      </c>
      <c r="AM264" s="98">
        <f>VLOOKUP($A264,lmic_raw[],39,FALSE)*(1-interactive!$C$7)</f>
        <v>2.4609762638277332E-3</v>
      </c>
      <c r="AN264" s="98">
        <f>VLOOKUP($A264,lmic_raw[],40,FALSE)*(1-interactive!$C$7)</f>
        <v>3.3569917204780315E-3</v>
      </c>
      <c r="AO264" s="98">
        <f>VLOOKUP($A264,lmic_raw[],41,FALSE)*(1-interactive!$C$7)</f>
        <v>4.9724966456522008E-3</v>
      </c>
      <c r="AP264" s="98">
        <f>VLOOKUP($A264,lmic_raw[],42,FALSE)*(1-interactive!$C$7)</f>
        <v>7.7341605555831259E-3</v>
      </c>
      <c r="AQ264" s="98">
        <f>VLOOKUP($A264,lmic_raw[],43,FALSE)*(1-interactive!$C$7)</f>
        <v>1.2591020888198383E-2</v>
      </c>
      <c r="AR264" s="98">
        <f>VLOOKUP($A264,lmic_raw[],44,FALSE)*(1-interactive!$C$7)</f>
        <v>2.2501919797720666E-2</v>
      </c>
      <c r="AS264" s="98">
        <f>VLOOKUP($A264,lmic_raw[],45,FALSE)*(1-interactive!$C$7)</f>
        <v>3.9819690670288843E-2</v>
      </c>
      <c r="AT264" s="98">
        <f>VLOOKUP($A264,lmic_raw[],46,FALSE)*(1-interactive!$C$7)</f>
        <v>6.5836572399523716E-2</v>
      </c>
      <c r="AU264" s="98">
        <f>VLOOKUP($A264,lmic_raw[],47,FALSE)*(1-interactive!$C$7)</f>
        <v>9.8746977446668258E-2</v>
      </c>
      <c r="AV264" s="98">
        <f>VLOOKUP($A264,lmic_raw[],48,FALSE)*(1-interactive!$C$7)</f>
        <v>0.13286585200449091</v>
      </c>
      <c r="AW264" s="98">
        <f>VLOOKUP($A264,lmic_raw[],49,FALSE)*(1-interactive!$C$7)</f>
        <v>0.15986247594708572</v>
      </c>
      <c r="AX264" s="98">
        <f>VLOOKUP($A264,lmic_raw[],50,FALSE)*(1-interactive!$C$7)</f>
        <v>73.441649999999996</v>
      </c>
    </row>
    <row r="265" spans="1:50" x14ac:dyDescent="0.25">
      <c r="A265" s="110" t="s">
        <v>188</v>
      </c>
      <c r="B265" s="104" t="s">
        <v>529</v>
      </c>
      <c r="C265" s="105">
        <v>795</v>
      </c>
      <c r="D265" s="122" t="s">
        <v>675</v>
      </c>
      <c r="E265" s="94" t="s">
        <v>184</v>
      </c>
      <c r="F265" s="94" t="s">
        <v>663</v>
      </c>
      <c r="G265" s="94" t="s">
        <v>676</v>
      </c>
      <c r="H265" s="98">
        <f>VLOOKUP(lmic_raw_lb[[#This Row],[setting]],lmic_raw[],8,FALSE)</f>
        <v>5942094</v>
      </c>
      <c r="I265" s="98">
        <f>VLOOKUP(lmic_raw_lb[[#This Row],[setting]],lmic_raw[],9,FALSE)</f>
        <v>142515.18249600002</v>
      </c>
      <c r="J265" s="94">
        <f>VLOOKUP($A265,lmic_raw[],10,FALSE)*(1-interactive!$C$7)</f>
        <v>0.949905</v>
      </c>
      <c r="K265" s="94">
        <f>VLOOKUP($A265,lmic_raw[],11,FALSE)*(1-interactive!$C$7)</f>
        <v>0.9405</v>
      </c>
      <c r="L265" s="94">
        <f>VLOOKUP($A265,lmic_raw[],12,FALSE)*(1-interactive!$C$7)</f>
        <v>0.9405</v>
      </c>
      <c r="M265" s="94">
        <f>IFERROR(VLOOKUP(lmic_raw_lb[[#This Row],[iso3]], hbv_prev[[iso3]:[ub]],3,FALSE)/100,0)</f>
        <v>1.9E-3</v>
      </c>
      <c r="N265" s="94">
        <f>IFERROR(VLOOKUP(lmic_raw_lb[[#This Row],[setting]],hbe_prev[],4,FALSE),0)</f>
        <v>0.16309999999999999</v>
      </c>
      <c r="O265" s="94">
        <f>VLOOKUP(lmic_raw_lb[[#This Row],[gbd_super]],hbe_risk[],3,FALSE)</f>
        <v>0.7</v>
      </c>
      <c r="P265" s="94">
        <f>VLOOKUP(lmic_raw_lb[[#This Row],[gbd_super]],hbe_risk[],6,FALSE)</f>
        <v>0.05</v>
      </c>
      <c r="Q265" s="94">
        <f>VLOOKUP(lmic_raw_lb[[#This Row],[setting]],lmic_raw[],17,FALSE)*(1-interactive!$C$7)</f>
        <v>7.599369960517449</v>
      </c>
      <c r="R265" s="98">
        <f>VLOOKUP(lmic_raw_lb[[#This Row],[setting]],lmic_raw[],18,FALSE)*(1-interactive!$C$7)</f>
        <v>42.31053</v>
      </c>
      <c r="S265" s="98">
        <f>VLOOKUP(lmic_raw_lb[[#This Row],[setting]],lmic_raw[],19,FALSE)*(1-interactive!$C$7)</f>
        <v>87.665430000000001</v>
      </c>
      <c r="T265" s="98">
        <f>VLOOKUP(lmic_raw_lb[[#This Row],[setting]],lmic_raw[],20,FALSE)*(1-interactive!$C$7)</f>
        <v>87.665430000000001</v>
      </c>
      <c r="U265" s="98">
        <f>VLOOKUP(lmic_raw_lb[[#This Row],[setting]],lmic_raw[],21,FALSE)*(1-interactive!$C$7)</f>
        <v>87.665430000000001</v>
      </c>
      <c r="V265" s="33">
        <f>IFERROR(VLOOKUP(lmic_raw_lb[[#This Row],[setting]],vcost_lb[],3,FALSE),0)</f>
        <v>2.8968546485049771</v>
      </c>
      <c r="W265" s="33">
        <f>IFERROR(VLOOKUP(lmic_raw_lb[[#This Row],[setting]],vcost_lb[],4,FALSE),0)</f>
        <v>6.7592696485049775</v>
      </c>
      <c r="X265" s="33">
        <f>IFERROR(VLOOKUP(lmic_raw_lb[[#This Row],[setting]],vcost_lb[],5,FALSE),0)</f>
        <v>2.5259250913987232</v>
      </c>
      <c r="Y265" s="33">
        <f>IFERROR(VLOOKUP(lmic_raw_lb[[#This Row],[setting]],vcost_lb[],6,FALSE),0)</f>
        <v>6.3883400913987236</v>
      </c>
      <c r="Z265" s="33">
        <f>IFERROR(VLOOKUP(lmic_raw_lb[[#This Row],[setting]],vcost_lb[],7,FALSE),0)</f>
        <v>6.3826031373717749</v>
      </c>
      <c r="AA265" s="33">
        <f>IFERROR(VLOOKUP(lmic_raw_lb[[#This Row],[setting]],vcost_lb[],8,FALSE),0)</f>
        <v>3.1104659903575835</v>
      </c>
      <c r="AB265" s="33">
        <f>IFERROR(VLOOKUP(lmic_raw_lb[[#This Row],[setting]],vcost_lb[],9,FALSE),0)</f>
        <v>6.9728809903575844</v>
      </c>
      <c r="AC265" s="94">
        <f>VLOOKUP($A265,lmic_raw[],29,FALSE)*(1-interactive!$C$7)</f>
        <v>4.1146637500000055E-2</v>
      </c>
      <c r="AD265" s="94">
        <f>VLOOKUP($A265,lmic_raw[],30,FALSE)*(1-interactive!$C$7)</f>
        <v>2.0232443919136513E-3</v>
      </c>
      <c r="AE265" s="94">
        <f>VLOOKUP($A265,lmic_raw[],31,FALSE)*(1-interactive!$C$7)</f>
        <v>3.6683862256201558E-4</v>
      </c>
      <c r="AF265" s="94">
        <f>VLOOKUP($A265,lmic_raw[],32,FALSE)*(1-interactive!$C$7)</f>
        <v>3.5962278190081567E-4</v>
      </c>
      <c r="AG265" s="94">
        <f>VLOOKUP($A265,lmic_raw[],33,FALSE)*(1-interactive!$C$7)</f>
        <v>8.2895749673871566E-4</v>
      </c>
      <c r="AH265" s="94">
        <f>VLOOKUP($A265,lmic_raw[],34,FALSE)*(1-interactive!$C$7)</f>
        <v>1.1107501504450845E-3</v>
      </c>
      <c r="AI265" s="94">
        <f>VLOOKUP($A265,lmic_raw[],35,FALSE)*(1-interactive!$C$7)</f>
        <v>1.4327499401443626E-3</v>
      </c>
      <c r="AJ265" s="94">
        <f>VLOOKUP($A265,lmic_raw[],36,FALSE)*(1-interactive!$C$7)</f>
        <v>1.9559287299645146E-3</v>
      </c>
      <c r="AK265" s="94">
        <f>VLOOKUP($A265,lmic_raw[],37,FALSE)*(1-interactive!$C$7)</f>
        <v>2.7638307797736229E-3</v>
      </c>
      <c r="AL265" s="94">
        <f>VLOOKUP($A265,lmic_raw[],38,FALSE)*(1-interactive!$C$7)</f>
        <v>3.8999405679726704E-3</v>
      </c>
      <c r="AM265" s="94">
        <f>VLOOKUP($A265,lmic_raw[],39,FALSE)*(1-interactive!$C$7)</f>
        <v>5.4123785357637249E-3</v>
      </c>
      <c r="AN265" s="94">
        <f>VLOOKUP($A265,lmic_raw[],40,FALSE)*(1-interactive!$C$7)</f>
        <v>8.4984812779280924E-3</v>
      </c>
      <c r="AO265" s="94">
        <f>VLOOKUP($A265,lmic_raw[],41,FALSE)*(1-interactive!$C$7)</f>
        <v>1.2486325842538124E-2</v>
      </c>
      <c r="AP265" s="94">
        <f>VLOOKUP($A265,lmic_raw[],42,FALSE)*(1-interactive!$C$7)</f>
        <v>2.0551613239709342E-2</v>
      </c>
      <c r="AQ265" s="94">
        <f>VLOOKUP($A265,lmic_raw[],43,FALSE)*(1-interactive!$C$7)</f>
        <v>2.648432416332043E-2</v>
      </c>
      <c r="AR265" s="94">
        <f>VLOOKUP($A265,lmic_raw[],44,FALSE)*(1-interactive!$C$7)</f>
        <v>4.7713939265110396E-2</v>
      </c>
      <c r="AS265" s="94">
        <f>VLOOKUP($A265,lmic_raw[],45,FALSE)*(1-interactive!$C$7)</f>
        <v>5.2015902340051323E-2</v>
      </c>
      <c r="AT265" s="94">
        <f>VLOOKUP($A265,lmic_raw[],46,FALSE)*(1-interactive!$C$7)</f>
        <v>8.5331656192873709E-2</v>
      </c>
      <c r="AU265" s="94">
        <f>VLOOKUP($A265,lmic_raw[],47,FALSE)*(1-interactive!$C$7)</f>
        <v>0.11309996437800535</v>
      </c>
      <c r="AV265" s="94">
        <f>VLOOKUP($A265,lmic_raw[],48,FALSE)*(1-interactive!$C$7)</f>
        <v>0.13985670337863501</v>
      </c>
      <c r="AW265" s="94">
        <f>VLOOKUP($A265,lmic_raw[],49,FALSE)*(1-interactive!$C$7)</f>
        <v>0.16040722950004987</v>
      </c>
      <c r="AX265" s="94">
        <f>VLOOKUP($A265,lmic_raw[],50,FALSE)*(1-interactive!$C$7)</f>
        <v>64.583849999999998</v>
      </c>
    </row>
    <row r="266" spans="1:50" x14ac:dyDescent="0.25">
      <c r="A266" s="109" t="s">
        <v>302</v>
      </c>
      <c r="B266" s="101" t="s">
        <v>530</v>
      </c>
      <c r="C266" s="102">
        <v>798</v>
      </c>
      <c r="D266" s="121" t="s">
        <v>681</v>
      </c>
      <c r="E266" s="98" t="s">
        <v>98</v>
      </c>
      <c r="F266" s="98" t="s">
        <v>666</v>
      </c>
      <c r="G266" s="98" t="s">
        <v>676</v>
      </c>
      <c r="H266" s="98">
        <f>VLOOKUP(lmic_raw_lb[[#This Row],[setting]],lmic_raw[],8,FALSE)</f>
        <v>11655</v>
      </c>
      <c r="I266" s="98">
        <f>VLOOKUP(lmic_raw_lb[[#This Row],[setting]],lmic_raw[],9,FALSE)</f>
        <v>267.71534999999994</v>
      </c>
      <c r="J266" s="98">
        <f>VLOOKUP($A266,lmic_raw[],10,FALSE)*(1-interactive!$C$7)</f>
        <v>0.88349999999999995</v>
      </c>
      <c r="K266" s="98">
        <f>VLOOKUP($A266,lmic_raw[],11,FALSE)*(1-interactive!$C$7)</f>
        <v>0.93099999999999994</v>
      </c>
      <c r="L266" s="98">
        <f>VLOOKUP($A266,lmic_raw[],12,FALSE)*(1-interactive!$C$7)</f>
        <v>0.874</v>
      </c>
      <c r="M266" s="98">
        <f>IFERROR(VLOOKUP(lmic_raw_lb[[#This Row],[iso3]], hbv_prev[[iso3]:[ub]],3,FALSE)/100,0)</f>
        <v>2.3E-2</v>
      </c>
      <c r="N266" s="98">
        <f>IFERROR(VLOOKUP(lmic_raw_lb[[#This Row],[setting]],hbe_prev[],4,FALSE),0)</f>
        <v>0</v>
      </c>
      <c r="O266" s="98">
        <f>VLOOKUP(lmic_raw_lb[[#This Row],[gbd_super]],hbe_risk[],3,FALSE)</f>
        <v>0.7</v>
      </c>
      <c r="P266" s="98">
        <f>VLOOKUP(lmic_raw_lb[[#This Row],[gbd_super]],hbe_risk[],6,FALSE)</f>
        <v>0.05</v>
      </c>
      <c r="Q266" s="98">
        <f>VLOOKUP(lmic_raw_lb[[#This Row],[setting]],lmic_raw[],17,FALSE)*(1-interactive!$C$7)</f>
        <v>6.900282906227754</v>
      </c>
      <c r="R266" s="98">
        <f>VLOOKUP(lmic_raw_lb[[#This Row],[setting]],lmic_raw[],18,FALSE)*(1-interactive!$C$7)</f>
        <v>69.430275000000009</v>
      </c>
      <c r="S266" s="98">
        <f>VLOOKUP(lmic_raw_lb[[#This Row],[setting]],lmic_raw[],19,FALSE)*(1-interactive!$C$7)</f>
        <v>114.785175</v>
      </c>
      <c r="T266" s="98">
        <f>VLOOKUP(lmic_raw_lb[[#This Row],[setting]],lmic_raw[],20,FALSE)*(1-interactive!$C$7)</f>
        <v>114.785175</v>
      </c>
      <c r="U266" s="98">
        <f>VLOOKUP(lmic_raw_lb[[#This Row],[setting]],lmic_raw[],21,FALSE)*(1-interactive!$C$7)</f>
        <v>114.785175</v>
      </c>
      <c r="V266" s="33">
        <f>IFERROR(VLOOKUP(lmic_raw_lb[[#This Row],[setting]],vcost_lb[],3,FALSE),0)</f>
        <v>4.926804650383505</v>
      </c>
      <c r="W266" s="33">
        <f>IFERROR(VLOOKUP(lmic_raw_lb[[#This Row],[setting]],vcost_lb[],4,FALSE),0)</f>
        <v>5.5273946503835045</v>
      </c>
      <c r="X266" s="33">
        <f>IFERROR(VLOOKUP(lmic_raw_lb[[#This Row],[setting]],vcost_lb[],5,FALSE),0)</f>
        <v>4.5597662689743279</v>
      </c>
      <c r="Y266" s="33">
        <f>IFERROR(VLOOKUP(lmic_raw_lb[[#This Row],[setting]],vcost_lb[],6,FALSE),0)</f>
        <v>5.1603562689743274</v>
      </c>
      <c r="Z266" s="33">
        <f>IFERROR(VLOOKUP(lmic_raw_lb[[#This Row],[setting]],vcost_lb[],7,FALSE),0)</f>
        <v>5.1572615578660521</v>
      </c>
      <c r="AA266" s="33">
        <f>IFERROR(VLOOKUP(lmic_raw_lb[[#This Row],[setting]],vcost_lb[],8,FALSE),0)</f>
        <v>5.1387483455087937</v>
      </c>
      <c r="AB266" s="33">
        <f>IFERROR(VLOOKUP(lmic_raw_lb[[#This Row],[setting]],vcost_lb[],9,FALSE),0)</f>
        <v>5.7393383455087932</v>
      </c>
      <c r="AC266" s="98">
        <f>VLOOKUP($A266,lmic_raw[],29,FALSE)*(1-interactive!$C$7)</f>
        <v>0</v>
      </c>
      <c r="AD266" s="98">
        <f>VLOOKUP($A266,lmic_raw[],30,FALSE)*(1-interactive!$C$7)</f>
        <v>0</v>
      </c>
      <c r="AE266" s="98">
        <f>VLOOKUP($A266,lmic_raw[],31,FALSE)*(1-interactive!$C$7)</f>
        <v>0</v>
      </c>
      <c r="AF266" s="98">
        <f>VLOOKUP($A266,lmic_raw[],32,FALSE)*(1-interactive!$C$7)</f>
        <v>0</v>
      </c>
      <c r="AG266" s="98">
        <f>VLOOKUP($A266,lmic_raw[],33,FALSE)*(1-interactive!$C$7)</f>
        <v>0</v>
      </c>
      <c r="AH266" s="98">
        <f>VLOOKUP($A266,lmic_raw[],34,FALSE)*(1-interactive!$C$7)</f>
        <v>0</v>
      </c>
      <c r="AI266" s="98">
        <f>VLOOKUP($A266,lmic_raw[],35,FALSE)*(1-interactive!$C$7)</f>
        <v>0</v>
      </c>
      <c r="AJ266" s="98">
        <f>VLOOKUP($A266,lmic_raw[],36,FALSE)*(1-interactive!$C$7)</f>
        <v>0</v>
      </c>
      <c r="AK266" s="98">
        <f>VLOOKUP($A266,lmic_raw[],37,FALSE)*(1-interactive!$C$7)</f>
        <v>0</v>
      </c>
      <c r="AL266" s="98">
        <f>VLOOKUP($A266,lmic_raw[],38,FALSE)*(1-interactive!$C$7)</f>
        <v>0</v>
      </c>
      <c r="AM266" s="98">
        <f>VLOOKUP($A266,lmic_raw[],39,FALSE)*(1-interactive!$C$7)</f>
        <v>0</v>
      </c>
      <c r="AN266" s="98">
        <f>VLOOKUP($A266,lmic_raw[],40,FALSE)*(1-interactive!$C$7)</f>
        <v>0</v>
      </c>
      <c r="AO266" s="98">
        <f>VLOOKUP($A266,lmic_raw[],41,FALSE)*(1-interactive!$C$7)</f>
        <v>0</v>
      </c>
      <c r="AP266" s="98">
        <f>VLOOKUP($A266,lmic_raw[],42,FALSE)*(1-interactive!$C$7)</f>
        <v>0</v>
      </c>
      <c r="AQ266" s="98">
        <f>VLOOKUP($A266,lmic_raw[],43,FALSE)*(1-interactive!$C$7)</f>
        <v>0</v>
      </c>
      <c r="AR266" s="98">
        <f>VLOOKUP($A266,lmic_raw[],44,FALSE)*(1-interactive!$C$7)</f>
        <v>0</v>
      </c>
      <c r="AS266" s="98">
        <f>VLOOKUP($A266,lmic_raw[],45,FALSE)*(1-interactive!$C$7)</f>
        <v>0</v>
      </c>
      <c r="AT266" s="98">
        <f>VLOOKUP($A266,lmic_raw[],46,FALSE)*(1-interactive!$C$7)</f>
        <v>0</v>
      </c>
      <c r="AU266" s="98">
        <f>VLOOKUP($A266,lmic_raw[],47,FALSE)*(1-interactive!$C$7)</f>
        <v>0</v>
      </c>
      <c r="AV266" s="98">
        <f>VLOOKUP($A266,lmic_raw[],48,FALSE)*(1-interactive!$C$7)</f>
        <v>0</v>
      </c>
      <c r="AW266" s="98">
        <f>VLOOKUP($A266,lmic_raw[],49,FALSE)*(1-interactive!$C$7)</f>
        <v>0</v>
      </c>
      <c r="AX266" s="98">
        <f>VLOOKUP($A266,lmic_raw[],50,FALSE)*(1-interactive!$C$7)</f>
        <v>0</v>
      </c>
    </row>
    <row r="267" spans="1:50" x14ac:dyDescent="0.25">
      <c r="A267" s="110" t="s">
        <v>117</v>
      </c>
      <c r="B267" s="104" t="s">
        <v>531</v>
      </c>
      <c r="C267" s="105">
        <v>800</v>
      </c>
      <c r="D267" s="122" t="s">
        <v>677</v>
      </c>
      <c r="E267" s="94" t="s">
        <v>597</v>
      </c>
      <c r="F267" s="94" t="s">
        <v>667</v>
      </c>
      <c r="G267" s="94" t="s">
        <v>674</v>
      </c>
      <c r="H267" s="98">
        <f>VLOOKUP(lmic_raw_lb[[#This Row],[setting]],lmic_raw[],8,FALSE)</f>
        <v>44269587</v>
      </c>
      <c r="I267" s="98">
        <f>VLOOKUP(lmic_raw_lb[[#This Row],[setting]],lmic_raw[],9,FALSE)</f>
        <v>1701590.115519</v>
      </c>
      <c r="J267" s="94">
        <f>VLOOKUP($A267,lmic_raw[],10,FALSE)*(1-interactive!$C$7)</f>
        <v>0.69730000000000003</v>
      </c>
      <c r="K267" s="94">
        <f>VLOOKUP($A267,lmic_raw[],11,FALSE)*(1-interactive!$C$7)</f>
        <v>0</v>
      </c>
      <c r="L267" s="94">
        <f>VLOOKUP($A267,lmic_raw[],12,FALSE)*(1-interactive!$C$7)</f>
        <v>0.88349999999999995</v>
      </c>
      <c r="M267" s="94">
        <f>IFERROR(VLOOKUP(lmic_raw_lb[[#This Row],[iso3]], hbv_prev[[iso3]:[ub]],3,FALSE)/100,0)</f>
        <v>5.0900000000000001E-2</v>
      </c>
      <c r="N267" s="94">
        <f>IFERROR(VLOOKUP(lmic_raw_lb[[#This Row],[setting]],hbe_prev[],4,FALSE),0)</f>
        <v>0.15560000000000002</v>
      </c>
      <c r="O267" s="94">
        <f>VLOOKUP(lmic_raw_lb[[#This Row],[gbd_super]],hbe_risk[],3,FALSE)</f>
        <v>7.0000000000000007E-2</v>
      </c>
      <c r="P267" s="94">
        <f>VLOOKUP(lmic_raw_lb[[#This Row],[gbd_super]],hbe_risk[],6,FALSE)</f>
        <v>1E-3</v>
      </c>
      <c r="Q267" s="94">
        <f>VLOOKUP(lmic_raw_lb[[#This Row],[setting]],lmic_raw[],17,FALSE)*(1-interactive!$C$7)</f>
        <v>2.6832093851899148</v>
      </c>
      <c r="R267" s="98">
        <f>VLOOKUP(lmic_raw_lb[[#This Row],[setting]],lmic_raw[],18,FALSE)*(1-interactive!$C$7)</f>
        <v>28.424474999999997</v>
      </c>
      <c r="S267" s="98">
        <f>VLOOKUP(lmic_raw_lb[[#This Row],[setting]],lmic_raw[],19,FALSE)*(1-interactive!$C$7)</f>
        <v>73.779375000000002</v>
      </c>
      <c r="T267" s="98">
        <f>VLOOKUP(lmic_raw_lb[[#This Row],[setting]],lmic_raw[],20,FALSE)*(1-interactive!$C$7)</f>
        <v>73.779375000000002</v>
      </c>
      <c r="U267" s="98">
        <f>VLOOKUP(lmic_raw_lb[[#This Row],[setting]],lmic_raw[],21,FALSE)*(1-interactive!$C$7)</f>
        <v>73.779375000000002</v>
      </c>
      <c r="V267" s="33">
        <f>IFERROR(VLOOKUP(lmic_raw_lb[[#This Row],[setting]],vcost_lb[],3,FALSE),0)</f>
        <v>0.98686483773765421</v>
      </c>
      <c r="W267" s="33">
        <f>IFERROR(VLOOKUP(lmic_raw_lb[[#This Row],[setting]],vcost_lb[],4,FALSE),0)</f>
        <v>5.5741298377376545</v>
      </c>
      <c r="X267" s="33">
        <f>IFERROR(VLOOKUP(lmic_raw_lb[[#This Row],[setting]],vcost_lb[],5,FALSE),0)</f>
        <v>0.62202520271206263</v>
      </c>
      <c r="Y267" s="33">
        <f>IFERROR(VLOOKUP(lmic_raw_lb[[#This Row],[setting]],vcost_lb[],6,FALSE),0)</f>
        <v>5.2092902027120633</v>
      </c>
      <c r="Z267" s="33">
        <f>IFERROR(VLOOKUP(lmic_raw_lb[[#This Row],[setting]],vcost_lb[],7,FALSE),0)</f>
        <v>5.2075327947440542</v>
      </c>
      <c r="AA267" s="33">
        <f>IFERROR(VLOOKUP(lmic_raw_lb[[#This Row],[setting]],vcost_lb[],8,FALSE),0)</f>
        <v>1.1978662129842628</v>
      </c>
      <c r="AB267" s="33">
        <f>IFERROR(VLOOKUP(lmic_raw_lb[[#This Row],[setting]],vcost_lb[],9,FALSE),0)</f>
        <v>5.7851312129842629</v>
      </c>
      <c r="AC267" s="94">
        <f>VLOOKUP($A267,lmic_raw[],29,FALSE)*(1-interactive!$C$7)</f>
        <v>4.3842291000000026E-2</v>
      </c>
      <c r="AD267" s="94">
        <f>VLOOKUP($A267,lmic_raw[],30,FALSE)*(1-interactive!$C$7)</f>
        <v>4.1483348664531263E-3</v>
      </c>
      <c r="AE267" s="94">
        <f>VLOOKUP($A267,lmic_raw[],31,FALSE)*(1-interactive!$C$7)</f>
        <v>1.4087058346985977E-3</v>
      </c>
      <c r="AF267" s="94">
        <f>VLOOKUP($A267,lmic_raw[],32,FALSE)*(1-interactive!$C$7)</f>
        <v>1.0569370898993171E-3</v>
      </c>
      <c r="AG267" s="94">
        <f>VLOOKUP($A267,lmic_raw[],33,FALSE)*(1-interactive!$C$7)</f>
        <v>1.7306198298368213E-3</v>
      </c>
      <c r="AH267" s="94">
        <f>VLOOKUP($A267,lmic_raw[],34,FALSE)*(1-interactive!$C$7)</f>
        <v>2.6646276044239663E-3</v>
      </c>
      <c r="AI267" s="94">
        <f>VLOOKUP($A267,lmic_raw[],35,FALSE)*(1-interactive!$C$7)</f>
        <v>3.4591000030173031E-3</v>
      </c>
      <c r="AJ267" s="94">
        <f>VLOOKUP($A267,lmic_raw[],36,FALSE)*(1-interactive!$C$7)</f>
        <v>4.3139011127201615E-3</v>
      </c>
      <c r="AK267" s="94">
        <f>VLOOKUP($A267,lmic_raw[],37,FALSE)*(1-interactive!$C$7)</f>
        <v>5.5143766499736952E-3</v>
      </c>
      <c r="AL267" s="94">
        <f>VLOOKUP($A267,lmic_raw[],38,FALSE)*(1-interactive!$C$7)</f>
        <v>6.8057453827152243E-3</v>
      </c>
      <c r="AM267" s="94">
        <f>VLOOKUP($A267,lmic_raw[],39,FALSE)*(1-interactive!$C$7)</f>
        <v>8.4053673610762335E-3</v>
      </c>
      <c r="AN267" s="94">
        <f>VLOOKUP($A267,lmic_raw[],40,FALSE)*(1-interactive!$C$7)</f>
        <v>1.1264111727648114E-2</v>
      </c>
      <c r="AO267" s="94">
        <f>VLOOKUP($A267,lmic_raw[],41,FALSE)*(1-interactive!$C$7)</f>
        <v>1.4520928611650177E-2</v>
      </c>
      <c r="AP267" s="94">
        <f>VLOOKUP($A267,lmic_raw[],42,FALSE)*(1-interactive!$C$7)</f>
        <v>2.0725823477780011E-2</v>
      </c>
      <c r="AQ267" s="94">
        <f>VLOOKUP($A267,lmic_raw[],43,FALSE)*(1-interactive!$C$7)</f>
        <v>3.0745960608434694E-2</v>
      </c>
      <c r="AR267" s="94">
        <f>VLOOKUP($A267,lmic_raw[],44,FALSE)*(1-interactive!$C$7)</f>
        <v>4.6342711284988805E-2</v>
      </c>
      <c r="AS267" s="94">
        <f>VLOOKUP($A267,lmic_raw[],45,FALSE)*(1-interactive!$C$7)</f>
        <v>6.922120765663406E-2</v>
      </c>
      <c r="AT267" s="94">
        <f>VLOOKUP($A267,lmic_raw[],46,FALSE)*(1-interactive!$C$7)</f>
        <v>0.10195471542840176</v>
      </c>
      <c r="AU267" s="94">
        <f>VLOOKUP($A267,lmic_raw[],47,FALSE)*(1-interactive!$C$7)</f>
        <v>0.13948640334917306</v>
      </c>
      <c r="AV267" s="94">
        <f>VLOOKUP($A267,lmic_raw[],48,FALSE)*(1-interactive!$C$7)</f>
        <v>0.16968953165114517</v>
      </c>
      <c r="AW267" s="94">
        <f>VLOOKUP($A267,lmic_raw[],49,FALSE)*(1-interactive!$C$7)</f>
        <v>0.17951145852260728</v>
      </c>
      <c r="AX267" s="94">
        <f>VLOOKUP($A267,lmic_raw[],50,FALSE)*(1-interactive!$C$7)</f>
        <v>59.618199999999995</v>
      </c>
    </row>
    <row r="268" spans="1:50" x14ac:dyDescent="0.25">
      <c r="A268" s="109" t="s">
        <v>316</v>
      </c>
      <c r="B268" s="101" t="s">
        <v>532</v>
      </c>
      <c r="C268" s="102">
        <v>804</v>
      </c>
      <c r="D268" s="121" t="s">
        <v>675</v>
      </c>
      <c r="E268" s="98" t="s">
        <v>306</v>
      </c>
      <c r="F268" s="98" t="s">
        <v>663</v>
      </c>
      <c r="G268" s="98" t="s">
        <v>678</v>
      </c>
      <c r="H268" s="98">
        <f>VLOOKUP(lmic_raw_lb[[#This Row],[setting]],lmic_raw[],8,FALSE)</f>
        <v>43993643</v>
      </c>
      <c r="I268" s="98">
        <f>VLOOKUP(lmic_raw_lb[[#This Row],[setting]],lmic_raw[],9,FALSE)</f>
        <v>422602.93465799995</v>
      </c>
      <c r="J268" s="98">
        <f>VLOOKUP($A268,lmic_raw[],10,FALSE)*(1-interactive!$C$7)</f>
        <v>0.93955000000000011</v>
      </c>
      <c r="K268" s="98">
        <f>VLOOKUP($A268,lmic_raw[],11,FALSE)*(1-interactive!$C$7)</f>
        <v>0.56999999999999995</v>
      </c>
      <c r="L268" s="98">
        <f>VLOOKUP($A268,lmic_raw[],12,FALSE)*(1-interactive!$C$7)</f>
        <v>0.72199999999999998</v>
      </c>
      <c r="M268" s="98">
        <f>IFERROR(VLOOKUP(lmic_raw_lb[[#This Row],[iso3]], hbv_prev[[iso3]:[ub]],3,FALSE)/100,0)</f>
        <v>7.6E-3</v>
      </c>
      <c r="N268" s="98">
        <f>IFERROR(VLOOKUP(lmic_raw_lb[[#This Row],[setting]],hbe_prev[],4,FALSE),0)</f>
        <v>0.16339999999999999</v>
      </c>
      <c r="O268" s="98">
        <f>VLOOKUP(lmic_raw_lb[[#This Row],[gbd_super]],hbe_risk[],3,FALSE)</f>
        <v>0.7</v>
      </c>
      <c r="P268" s="98">
        <f>VLOOKUP(lmic_raw_lb[[#This Row],[gbd_super]],hbe_risk[],6,FALSE)</f>
        <v>0.05</v>
      </c>
      <c r="Q268" s="98">
        <f>VLOOKUP(lmic_raw_lb[[#This Row],[setting]],lmic_raw[],17,FALSE)*(1-interactive!$C$7)</f>
        <v>5.9982350942410507</v>
      </c>
      <c r="R268" s="98">
        <f>VLOOKUP(lmic_raw_lb[[#This Row],[setting]],lmic_raw[],18,FALSE)*(1-interactive!$C$7)</f>
        <v>42.31053</v>
      </c>
      <c r="S268" s="98">
        <f>VLOOKUP(lmic_raw_lb[[#This Row],[setting]],lmic_raw[],19,FALSE)*(1-interactive!$C$7)</f>
        <v>87.665430000000001</v>
      </c>
      <c r="T268" s="98">
        <f>VLOOKUP(lmic_raw_lb[[#This Row],[setting]],lmic_raw[],20,FALSE)*(1-interactive!$C$7)</f>
        <v>87.665430000000001</v>
      </c>
      <c r="U268" s="98">
        <f>VLOOKUP(lmic_raw_lb[[#This Row],[setting]],lmic_raw[],21,FALSE)*(1-interactive!$C$7)</f>
        <v>87.665430000000001</v>
      </c>
      <c r="V268" s="33">
        <f>IFERROR(VLOOKUP(lmic_raw_lb[[#This Row],[setting]],vcost_lb[],3,FALSE),0)</f>
        <v>0.51741945666110556</v>
      </c>
      <c r="W268" s="33">
        <f>IFERROR(VLOOKUP(lmic_raw_lb[[#This Row],[setting]],vcost_lb[],4,FALSE),0)</f>
        <v>4.379834456661106</v>
      </c>
      <c r="X268" s="33">
        <f>IFERROR(VLOOKUP(lmic_raw_lb[[#This Row],[setting]],vcost_lb[],5,FALSE),0)</f>
        <v>0.14654556678468106</v>
      </c>
      <c r="Y268" s="33">
        <f>IFERROR(VLOOKUP(lmic_raw_lb[[#This Row],[setting]],vcost_lb[],6,FALSE),0)</f>
        <v>4.0089605667846815</v>
      </c>
      <c r="Z268" s="33">
        <f>IFERROR(VLOOKUP(lmic_raw_lb[[#This Row],[setting]],vcost_lb[],7,FALSE),0)</f>
        <v>4.0030909839116573</v>
      </c>
      <c r="AA268" s="33">
        <f>IFERROR(VLOOKUP(lmic_raw_lb[[#This Row],[setting]],vcost_lb[],8,FALSE),0)</f>
        <v>0.7310069411294996</v>
      </c>
      <c r="AB268" s="33">
        <f>IFERROR(VLOOKUP(lmic_raw_lb[[#This Row],[setting]],vcost_lb[],9,FALSE),0)</f>
        <v>4.5934219411294999</v>
      </c>
      <c r="AC268" s="98">
        <f>VLOOKUP($A268,lmic_raw[],29,FALSE)*(1-interactive!$C$7)</f>
        <v>6.8388789999999791E-3</v>
      </c>
      <c r="AD268" s="98">
        <f>VLOOKUP($A268,lmic_raw[],30,FALSE)*(1-interactive!$C$7)</f>
        <v>3.2875338645348509E-4</v>
      </c>
      <c r="AE268" s="98">
        <f>VLOOKUP($A268,lmic_raw[],31,FALSE)*(1-interactive!$C$7)</f>
        <v>1.9368013529427852E-4</v>
      </c>
      <c r="AF268" s="98">
        <f>VLOOKUP($A268,lmic_raw[],32,FALSE)*(1-interactive!$C$7)</f>
        <v>2.3745197082734122E-4</v>
      </c>
      <c r="AG268" s="98">
        <f>VLOOKUP($A268,lmic_raw[],33,FALSE)*(1-interactive!$C$7)</f>
        <v>4.6952070896160521E-4</v>
      </c>
      <c r="AH268" s="98">
        <f>VLOOKUP($A268,lmic_raw[],34,FALSE)*(1-interactive!$C$7)</f>
        <v>8.6812191855941952E-4</v>
      </c>
      <c r="AI268" s="98">
        <f>VLOOKUP($A268,lmic_raw[],35,FALSE)*(1-interactive!$C$7)</f>
        <v>1.4095051376432689E-3</v>
      </c>
      <c r="AJ268" s="98">
        <f>VLOOKUP($A268,lmic_raw[],36,FALSE)*(1-interactive!$C$7)</f>
        <v>2.4106719039444424E-3</v>
      </c>
      <c r="AK268" s="98">
        <f>VLOOKUP($A268,lmic_raw[],37,FALSE)*(1-interactive!$C$7)</f>
        <v>3.3467122491172775E-3</v>
      </c>
      <c r="AL268" s="98">
        <f>VLOOKUP($A268,lmic_raw[],38,FALSE)*(1-interactive!$C$7)</f>
        <v>4.3115804337650115E-3</v>
      </c>
      <c r="AM268" s="98">
        <f>VLOOKUP($A268,lmic_raw[],39,FALSE)*(1-interactive!$C$7)</f>
        <v>5.872272919654661E-3</v>
      </c>
      <c r="AN268" s="98">
        <f>VLOOKUP($A268,lmic_raw[],40,FALSE)*(1-interactive!$C$7)</f>
        <v>8.2989673449220622E-3</v>
      </c>
      <c r="AO268" s="98">
        <f>VLOOKUP($A268,lmic_raw[],41,FALSE)*(1-interactive!$C$7)</f>
        <v>1.1992685459986205E-2</v>
      </c>
      <c r="AP268" s="98">
        <f>VLOOKUP($A268,lmic_raw[],42,FALSE)*(1-interactive!$C$7)</f>
        <v>1.7456227903493229E-2</v>
      </c>
      <c r="AQ268" s="98">
        <f>VLOOKUP($A268,lmic_raw[],43,FALSE)*(1-interactive!$C$7)</f>
        <v>2.3823510332479265E-2</v>
      </c>
      <c r="AR268" s="98">
        <f>VLOOKUP($A268,lmic_raw[],44,FALSE)*(1-interactive!$C$7)</f>
        <v>3.666126711416455E-2</v>
      </c>
      <c r="AS268" s="98">
        <f>VLOOKUP($A268,lmic_raw[],45,FALSE)*(1-interactive!$C$7)</f>
        <v>5.5510789635308706E-2</v>
      </c>
      <c r="AT268" s="98">
        <f>VLOOKUP($A268,lmic_raw[],46,FALSE)*(1-interactive!$C$7)</f>
        <v>8.0809241969243176E-2</v>
      </c>
      <c r="AU268" s="98">
        <f>VLOOKUP($A268,lmic_raw[],47,FALSE)*(1-interactive!$C$7)</f>
        <v>0.11117845607389515</v>
      </c>
      <c r="AV268" s="98">
        <f>VLOOKUP($A268,lmic_raw[],48,FALSE)*(1-interactive!$C$7)</f>
        <v>0.14213891888752622</v>
      </c>
      <c r="AW268" s="98">
        <f>VLOOKUP($A268,lmic_raw[],49,FALSE)*(1-interactive!$C$7)</f>
        <v>0.16494702161247052</v>
      </c>
      <c r="AX268" s="98">
        <f>VLOOKUP($A268,lmic_raw[],50,FALSE)*(1-interactive!$C$7)</f>
        <v>68.228049999999996</v>
      </c>
    </row>
    <row r="269" spans="1:50" x14ac:dyDescent="0.25">
      <c r="A269" s="110" t="s">
        <v>189</v>
      </c>
      <c r="B269" s="104" t="s">
        <v>536</v>
      </c>
      <c r="C269" s="105">
        <v>860</v>
      </c>
      <c r="D269" s="122" t="s">
        <v>675</v>
      </c>
      <c r="E269" s="94" t="s">
        <v>184</v>
      </c>
      <c r="F269" s="94" t="s">
        <v>663</v>
      </c>
      <c r="G269" s="94" t="s">
        <v>678</v>
      </c>
      <c r="H269" s="98">
        <f>VLOOKUP(lmic_raw_lb[[#This Row],[setting]],lmic_raw[],8,FALSE)</f>
        <v>32981714.999999996</v>
      </c>
      <c r="I269" s="98">
        <f>VLOOKUP(lmic_raw_lb[[#This Row],[setting]],lmic_raw[],9,FALSE)</f>
        <v>719694.00301500002</v>
      </c>
      <c r="J269" s="94">
        <f>VLOOKUP($A269,lmic_raw[],10,FALSE)*(1-interactive!$C$7)</f>
        <v>0.94619999999999993</v>
      </c>
      <c r="K269" s="94">
        <f>VLOOKUP($A269,lmic_raw[],11,FALSE)*(1-interactive!$C$7)</f>
        <v>0.9405</v>
      </c>
      <c r="L269" s="94">
        <f>VLOOKUP($A269,lmic_raw[],12,FALSE)*(1-interactive!$C$7)</f>
        <v>0.91199999999999992</v>
      </c>
      <c r="M269" s="94">
        <f>IFERROR(VLOOKUP(lmic_raw_lb[[#This Row],[iso3]], hbv_prev[[iso3]:[ub]],3,FALSE)/100,0)</f>
        <v>3.6799999999999999E-2</v>
      </c>
      <c r="N269" s="94">
        <f>IFERROR(VLOOKUP(lmic_raw_lb[[#This Row],[setting]],hbe_prev[],4,FALSE),0)</f>
        <v>0.16309999999999999</v>
      </c>
      <c r="O269" s="94">
        <f>VLOOKUP(lmic_raw_lb[[#This Row],[gbd_super]],hbe_risk[],3,FALSE)</f>
        <v>0.7</v>
      </c>
      <c r="P269" s="94">
        <f>VLOOKUP(lmic_raw_lb[[#This Row],[gbd_super]],hbe_risk[],6,FALSE)</f>
        <v>0.05</v>
      </c>
      <c r="Q269" s="94">
        <f>VLOOKUP(lmic_raw_lb[[#This Row],[setting]],lmic_raw[],17,FALSE)*(1-interactive!$C$7)</f>
        <v>3.6529107830756207</v>
      </c>
      <c r="R269" s="98">
        <f>VLOOKUP(lmic_raw_lb[[#This Row],[setting]],lmic_raw[],18,FALSE)*(1-interactive!$C$7)</f>
        <v>42.31053</v>
      </c>
      <c r="S269" s="98">
        <f>VLOOKUP(lmic_raw_lb[[#This Row],[setting]],lmic_raw[],19,FALSE)*(1-interactive!$C$7)</f>
        <v>87.665430000000001</v>
      </c>
      <c r="T269" s="98">
        <f>VLOOKUP(lmic_raw_lb[[#This Row],[setting]],lmic_raw[],20,FALSE)*(1-interactive!$C$7)</f>
        <v>87.665430000000001</v>
      </c>
      <c r="U269" s="98">
        <f>VLOOKUP(lmic_raw_lb[[#This Row],[setting]],lmic_raw[],21,FALSE)*(1-interactive!$C$7)</f>
        <v>87.665430000000001</v>
      </c>
      <c r="V269" s="33">
        <f>IFERROR(VLOOKUP(lmic_raw_lb[[#This Row],[setting]],vcost_lb[],3,FALSE),0)</f>
        <v>1.4533786333900029</v>
      </c>
      <c r="W269" s="33">
        <f>IFERROR(VLOOKUP(lmic_raw_lb[[#This Row],[setting]],vcost_lb[],4,FALSE),0)</f>
        <v>5.3157936333900029</v>
      </c>
      <c r="X269" s="33">
        <f>IFERROR(VLOOKUP(lmic_raw_lb[[#This Row],[setting]],vcost_lb[],5,FALSE),0)</f>
        <v>1.0872980236840324</v>
      </c>
      <c r="Y269" s="33">
        <f>IFERROR(VLOOKUP(lmic_raw_lb[[#This Row],[setting]],vcost_lb[],6,FALSE),0)</f>
        <v>4.9497130236840325</v>
      </c>
      <c r="Z269" s="33">
        <f>IFERROR(VLOOKUP(lmic_raw_lb[[#This Row],[setting]],vcost_lb[],7,FALSE),0)</f>
        <v>4.9471091502489148</v>
      </c>
      <c r="AA269" s="33">
        <f>IFERROR(VLOOKUP(lmic_raw_lb[[#This Row],[setting]],vcost_lb[],8,FALSE),0)</f>
        <v>1.6649118549282023</v>
      </c>
      <c r="AB269" s="33">
        <f>IFERROR(VLOOKUP(lmic_raw_lb[[#This Row],[setting]],vcost_lb[],9,FALSE),0)</f>
        <v>5.5273268549282024</v>
      </c>
      <c r="AC269" s="94">
        <f>VLOOKUP($A269,lmic_raw[],29,FALSE)*(1-interactive!$C$7)</f>
        <v>1.9793696500000058E-2</v>
      </c>
      <c r="AD269" s="94">
        <f>VLOOKUP($A269,lmic_raw[],30,FALSE)*(1-interactive!$C$7)</f>
        <v>1.1610828315032817E-3</v>
      </c>
      <c r="AE269" s="94">
        <f>VLOOKUP($A269,lmic_raw[],31,FALSE)*(1-interactive!$C$7)</f>
        <v>2.7321902159453329E-4</v>
      </c>
      <c r="AF269" s="94">
        <f>VLOOKUP($A269,lmic_raw[],32,FALSE)*(1-interactive!$C$7)</f>
        <v>2.9113663971749084E-4</v>
      </c>
      <c r="AG269" s="94">
        <f>VLOOKUP($A269,lmic_raw[],33,FALSE)*(1-interactive!$C$7)</f>
        <v>4.7925106618669174E-4</v>
      </c>
      <c r="AH269" s="94">
        <f>VLOOKUP($A269,lmic_raw[],34,FALSE)*(1-interactive!$C$7)</f>
        <v>6.8824563666749692E-4</v>
      </c>
      <c r="AI269" s="94">
        <f>VLOOKUP($A269,lmic_raw[],35,FALSE)*(1-interactive!$C$7)</f>
        <v>9.2481463063174706E-4</v>
      </c>
      <c r="AJ269" s="94">
        <f>VLOOKUP($A269,lmic_raw[],36,FALSE)*(1-interactive!$C$7)</f>
        <v>1.2538720488118732E-3</v>
      </c>
      <c r="AK269" s="94">
        <f>VLOOKUP($A269,lmic_raw[],37,FALSE)*(1-interactive!$C$7)</f>
        <v>1.7483767232639577E-3</v>
      </c>
      <c r="AL269" s="94">
        <f>VLOOKUP($A269,lmic_raw[],38,FALSE)*(1-interactive!$C$7)</f>
        <v>2.4411017025501697E-3</v>
      </c>
      <c r="AM269" s="94">
        <f>VLOOKUP($A269,lmic_raw[],39,FALSE)*(1-interactive!$C$7)</f>
        <v>3.7017912292490692E-3</v>
      </c>
      <c r="AN269" s="94">
        <f>VLOOKUP($A269,lmic_raw[],40,FALSE)*(1-interactive!$C$7)</f>
        <v>5.9480109849364615E-3</v>
      </c>
      <c r="AO269" s="94">
        <f>VLOOKUP($A269,lmic_raw[],41,FALSE)*(1-interactive!$C$7)</f>
        <v>1.0063866426749715E-2</v>
      </c>
      <c r="AP269" s="94">
        <f>VLOOKUP($A269,lmic_raw[],42,FALSE)*(1-interactive!$C$7)</f>
        <v>1.7253268047097037E-2</v>
      </c>
      <c r="AQ269" s="94">
        <f>VLOOKUP($A269,lmic_raw[],43,FALSE)*(1-interactive!$C$7)</f>
        <v>2.7184517479848111E-2</v>
      </c>
      <c r="AR269" s="94">
        <f>VLOOKUP($A269,lmic_raw[],44,FALSE)*(1-interactive!$C$7)</f>
        <v>4.2076119924946025E-2</v>
      </c>
      <c r="AS269" s="94">
        <f>VLOOKUP($A269,lmic_raw[],45,FALSE)*(1-interactive!$C$7)</f>
        <v>6.3590899844076024E-2</v>
      </c>
      <c r="AT269" s="94">
        <f>VLOOKUP($A269,lmic_raw[],46,FALSE)*(1-interactive!$C$7)</f>
        <v>9.057540278681965E-2</v>
      </c>
      <c r="AU269" s="94">
        <f>VLOOKUP($A269,lmic_raw[],47,FALSE)*(1-interactive!$C$7)</f>
        <v>0.11940951112968243</v>
      </c>
      <c r="AV269" s="94">
        <f>VLOOKUP($A269,lmic_raw[],48,FALSE)*(1-interactive!$C$7)</f>
        <v>0.14596056810282015</v>
      </c>
      <c r="AW269" s="94">
        <f>VLOOKUP($A269,lmic_raw[],49,FALSE)*(1-interactive!$C$7)</f>
        <v>0.16495408714723009</v>
      </c>
      <c r="AX269" s="94">
        <f>VLOOKUP($A269,lmic_raw[],50,FALSE)*(1-interactive!$C$7)</f>
        <v>67.955399999999997</v>
      </c>
    </row>
    <row r="270" spans="1:50" x14ac:dyDescent="0.25">
      <c r="A270" s="109" t="s">
        <v>285</v>
      </c>
      <c r="B270" s="101" t="s">
        <v>537</v>
      </c>
      <c r="C270" s="102">
        <v>548</v>
      </c>
      <c r="D270" s="121" t="s">
        <v>681</v>
      </c>
      <c r="E270" s="98" t="s">
        <v>98</v>
      </c>
      <c r="F270" s="98" t="s">
        <v>666</v>
      </c>
      <c r="G270" s="98" t="s">
        <v>678</v>
      </c>
      <c r="H270" s="98">
        <f>VLOOKUP(lmic_raw_lb[[#This Row],[setting]],lmic_raw[],8,FALSE)</f>
        <v>299882</v>
      </c>
      <c r="I270" s="98">
        <f>VLOOKUP(lmic_raw_lb[[#This Row],[setting]],lmic_raw[],9,FALSE)</f>
        <v>8935.5839539999997</v>
      </c>
      <c r="J270" s="98">
        <f>VLOOKUP($A270,lmic_raw[],10,FALSE)*(1-interactive!$C$7)</f>
        <v>0.84075</v>
      </c>
      <c r="K270" s="98">
        <f>VLOOKUP($A270,lmic_raw[],11,FALSE)*(1-interactive!$C$7)</f>
        <v>0.77899999999999991</v>
      </c>
      <c r="L270" s="98">
        <f>VLOOKUP($A270,lmic_raw[],12,FALSE)*(1-interactive!$C$7)</f>
        <v>0.85499999999999998</v>
      </c>
      <c r="M270" s="98">
        <f>IFERROR(VLOOKUP(lmic_raw_lb[[#This Row],[iso3]], hbv_prev[[iso3]:[ub]],3,FALSE)/100,0)</f>
        <v>0.10980000000000001</v>
      </c>
      <c r="N270" s="98">
        <f>IFERROR(VLOOKUP(lmic_raw_lb[[#This Row],[setting]],hbe_prev[],4,FALSE),0)</f>
        <v>0.1832</v>
      </c>
      <c r="O270" s="98">
        <f>VLOOKUP(lmic_raw_lb[[#This Row],[gbd_super]],hbe_risk[],3,FALSE)</f>
        <v>0.7</v>
      </c>
      <c r="P270" s="98">
        <f>VLOOKUP(lmic_raw_lb[[#This Row],[gbd_super]],hbe_risk[],6,FALSE)</f>
        <v>0.05</v>
      </c>
      <c r="Q270" s="98">
        <f>VLOOKUP(lmic_raw_lb[[#This Row],[setting]],lmic_raw[],17,FALSE)*(1-interactive!$C$7)</f>
        <v>9.7755603069353718</v>
      </c>
      <c r="R270" s="98">
        <f>VLOOKUP(lmic_raw_lb[[#This Row],[setting]],lmic_raw[],18,FALSE)*(1-interactive!$C$7)</f>
        <v>69.430275000000009</v>
      </c>
      <c r="S270" s="98">
        <f>VLOOKUP(lmic_raw_lb[[#This Row],[setting]],lmic_raw[],19,FALSE)*(1-interactive!$C$7)</f>
        <v>114.785175</v>
      </c>
      <c r="T270" s="98">
        <f>VLOOKUP(lmic_raw_lb[[#This Row],[setting]],lmic_raw[],20,FALSE)*(1-interactive!$C$7)</f>
        <v>114.785175</v>
      </c>
      <c r="U270" s="98">
        <f>VLOOKUP(lmic_raw_lb[[#This Row],[setting]],lmic_raw[],21,FALSE)*(1-interactive!$C$7)</f>
        <v>114.785175</v>
      </c>
      <c r="V270" s="33">
        <f>IFERROR(VLOOKUP(lmic_raw_lb[[#This Row],[setting]],vcost_lb[],3,FALSE),0)</f>
        <v>2.8309669755394329</v>
      </c>
      <c r="W270" s="33">
        <f>IFERROR(VLOOKUP(lmic_raw_lb[[#This Row],[setting]],vcost_lb[],4,FALSE),0)</f>
        <v>3.4315569755394328</v>
      </c>
      <c r="X270" s="33">
        <f>IFERROR(VLOOKUP(lmic_raw_lb[[#This Row],[setting]],vcost_lb[],5,FALSE),0)</f>
        <v>2.4617205778895794</v>
      </c>
      <c r="Y270" s="33">
        <f>IFERROR(VLOOKUP(lmic_raw_lb[[#This Row],[setting]],vcost_lb[],6,FALSE),0)</f>
        <v>3.0623105778895794</v>
      </c>
      <c r="Z270" s="33">
        <f>IFERROR(VLOOKUP(lmic_raw_lb[[#This Row],[setting]],vcost_lb[],7,FALSE),0)</f>
        <v>3.0577591826304307</v>
      </c>
      <c r="AA270" s="33">
        <f>IFERROR(VLOOKUP(lmic_raw_lb[[#This Row],[setting]],vcost_lb[],8,FALSE),0)</f>
        <v>3.0438569633392967</v>
      </c>
      <c r="AB270" s="33">
        <f>IFERROR(VLOOKUP(lmic_raw_lb[[#This Row],[setting]],vcost_lb[],9,FALSE),0)</f>
        <v>3.6444469633392966</v>
      </c>
      <c r="AC270" s="98">
        <f>VLOOKUP($A270,lmic_raw[],29,FALSE)*(1-interactive!$C$7)</f>
        <v>2.1247319999999976E-2</v>
      </c>
      <c r="AD270" s="98">
        <f>VLOOKUP($A270,lmic_raw[],30,FALSE)*(1-interactive!$C$7)</f>
        <v>1.0382947091469076E-3</v>
      </c>
      <c r="AE270" s="98">
        <f>VLOOKUP($A270,lmic_raw[],31,FALSE)*(1-interactive!$C$7)</f>
        <v>4.0577795844397887E-4</v>
      </c>
      <c r="AF270" s="98">
        <f>VLOOKUP($A270,lmic_raw[],32,FALSE)*(1-interactive!$C$7)</f>
        <v>3.4500920191398192E-4</v>
      </c>
      <c r="AG270" s="98">
        <f>VLOOKUP($A270,lmic_raw[],33,FALSE)*(1-interactive!$C$7)</f>
        <v>6.9369391968135885E-4</v>
      </c>
      <c r="AH270" s="98">
        <f>VLOOKUP($A270,lmic_raw[],34,FALSE)*(1-interactive!$C$7)</f>
        <v>8.5901016338658909E-4</v>
      </c>
      <c r="AI270" s="98">
        <f>VLOOKUP($A270,lmic_raw[],35,FALSE)*(1-interactive!$C$7)</f>
        <v>8.8333980233918155E-4</v>
      </c>
      <c r="AJ270" s="98">
        <f>VLOOKUP($A270,lmic_raw[],36,FALSE)*(1-interactive!$C$7)</f>
        <v>1.0709129730038303E-3</v>
      </c>
      <c r="AK270" s="98">
        <f>VLOOKUP($A270,lmic_raw[],37,FALSE)*(1-interactive!$C$7)</f>
        <v>1.4931306788623193E-3</v>
      </c>
      <c r="AL270" s="98">
        <f>VLOOKUP($A270,lmic_raw[],38,FALSE)*(1-interactive!$C$7)</f>
        <v>2.2335893339214233E-3</v>
      </c>
      <c r="AM270" s="98">
        <f>VLOOKUP($A270,lmic_raw[],39,FALSE)*(1-interactive!$C$7)</f>
        <v>3.5805633924408191E-3</v>
      </c>
      <c r="AN270" s="98">
        <f>VLOOKUP($A270,lmic_raw[],40,FALSE)*(1-interactive!$C$7)</f>
        <v>5.7645510913601613E-3</v>
      </c>
      <c r="AO270" s="98">
        <f>VLOOKUP($A270,lmic_raw[],41,FALSE)*(1-interactive!$C$7)</f>
        <v>9.2980810383636783E-3</v>
      </c>
      <c r="AP270" s="98">
        <f>VLOOKUP($A270,lmic_raw[],42,FALSE)*(1-interactive!$C$7)</f>
        <v>1.7339152679292168E-2</v>
      </c>
      <c r="AQ270" s="98">
        <f>VLOOKUP($A270,lmic_raw[],43,FALSE)*(1-interactive!$C$7)</f>
        <v>3.1648190803239482E-2</v>
      </c>
      <c r="AR270" s="98">
        <f>VLOOKUP($A270,lmic_raw[],44,FALSE)*(1-interactive!$C$7)</f>
        <v>5.2233518281863442E-2</v>
      </c>
      <c r="AS270" s="98">
        <f>VLOOKUP($A270,lmic_raw[],45,FALSE)*(1-interactive!$C$7)</f>
        <v>7.903125894731175E-2</v>
      </c>
      <c r="AT270" s="98">
        <f>VLOOKUP($A270,lmic_raw[],46,FALSE)*(1-interactive!$C$7)</f>
        <v>0.11116103316514926</v>
      </c>
      <c r="AU270" s="98">
        <f>VLOOKUP($A270,lmic_raw[],47,FALSE)*(1-interactive!$C$7)</f>
        <v>0.14390408405989913</v>
      </c>
      <c r="AV270" s="98">
        <f>VLOOKUP($A270,lmic_raw[],48,FALSE)*(1-interactive!$C$7)</f>
        <v>0.16714172401712657</v>
      </c>
      <c r="AW270" s="98">
        <f>VLOOKUP($A270,lmic_raw[],49,FALSE)*(1-interactive!$C$7)</f>
        <v>0.17861069067552127</v>
      </c>
      <c r="AX270" s="98">
        <f>VLOOKUP($A270,lmic_raw[],50,FALSE)*(1-interactive!$C$7)</f>
        <v>66.734650000000002</v>
      </c>
    </row>
    <row r="271" spans="1:50" x14ac:dyDescent="0.25">
      <c r="A271" s="84" t="s">
        <v>275</v>
      </c>
      <c r="B271" s="104" t="s">
        <v>538</v>
      </c>
      <c r="C271" s="105">
        <v>862</v>
      </c>
      <c r="D271" s="122" t="s">
        <v>679</v>
      </c>
      <c r="E271" s="94" t="s">
        <v>604</v>
      </c>
      <c r="F271" s="94" t="s">
        <v>665</v>
      </c>
      <c r="G271" s="94" t="s">
        <v>676</v>
      </c>
      <c r="H271" s="98">
        <f>VLOOKUP(lmic_raw_lb[[#This Row],[setting]],lmic_raw[],8,FALSE)</f>
        <v>28515829</v>
      </c>
      <c r="I271" s="98">
        <f>VLOOKUP(lmic_raw_lb[[#This Row],[setting]],lmic_raw[],9,FALSE)</f>
        <v>514111.88104100002</v>
      </c>
      <c r="J271" s="94">
        <f>VLOOKUP($A271,lmic_raw[],10,FALSE)*(1-interactive!$C$7)</f>
        <v>0.93955000000000011</v>
      </c>
      <c r="K271" s="94">
        <f>VLOOKUP($A271,lmic_raw[],11,FALSE)*(1-interactive!$C$7)</f>
        <v>0.49399999999999999</v>
      </c>
      <c r="L271" s="94">
        <f>VLOOKUP($A271,lmic_raw[],12,FALSE)*(1-interactive!$C$7)</f>
        <v>0.60799999999999998</v>
      </c>
      <c r="M271" s="94">
        <f>IFERROR(VLOOKUP(lmic_raw_lb[[#This Row],[iso3]], hbv_prev[[iso3]:[ub]],3,FALSE)/100,0)</f>
        <v>2.12E-2</v>
      </c>
      <c r="N271" s="94">
        <f>IFERROR(VLOOKUP(lmic_raw_lb[[#This Row],[setting]],hbe_prev[],4,FALSE),0)</f>
        <v>0.16440000000000002</v>
      </c>
      <c r="O271" s="94">
        <f>VLOOKUP(lmic_raw_lb[[#This Row],[gbd_super]],hbe_risk[],3,FALSE)</f>
        <v>0.7</v>
      </c>
      <c r="P271" s="94">
        <f>VLOOKUP(lmic_raw_lb[[#This Row],[gbd_super]],hbe_risk[],6,FALSE)</f>
        <v>0.05</v>
      </c>
      <c r="Q271" s="94">
        <f>VLOOKUP(lmic_raw_lb[[#This Row],[setting]],lmic_raw[],17,FALSE)*(1-interactive!$C$7)</f>
        <v>17.228730353475509</v>
      </c>
      <c r="R271" s="98">
        <f>VLOOKUP(lmic_raw_lb[[#This Row],[setting]],lmic_raw[],18,FALSE)*(1-interactive!$C$7)</f>
        <v>82.539704999999998</v>
      </c>
      <c r="S271" s="98">
        <f>VLOOKUP(lmic_raw_lb[[#This Row],[setting]],lmic_raw[],19,FALSE)*(1-interactive!$C$7)</f>
        <v>127.894605</v>
      </c>
      <c r="T271" s="98">
        <f>VLOOKUP(lmic_raw_lb[[#This Row],[setting]],lmic_raw[],20,FALSE)*(1-interactive!$C$7)</f>
        <v>127.894605</v>
      </c>
      <c r="U271" s="98">
        <f>VLOOKUP(lmic_raw_lb[[#This Row],[setting]],lmic_raw[],21,FALSE)*(1-interactive!$C$7)</f>
        <v>127.894605</v>
      </c>
      <c r="V271" s="33">
        <f>IFERROR(VLOOKUP(lmic_raw_lb[[#This Row],[setting]],vcost_lb[],3,FALSE),0)</f>
        <v>0.68324951874534912</v>
      </c>
      <c r="W271" s="33">
        <f>IFERROR(VLOOKUP(lmic_raw_lb[[#This Row],[setting]],vcost_lb[],4,FALSE),0)</f>
        <v>0.70395951874534912</v>
      </c>
      <c r="X271" s="33">
        <f>IFERROR(VLOOKUP(lmic_raw_lb[[#This Row],[setting]],vcost_lb[],5,FALSE),0)</f>
        <v>0.29922795624600079</v>
      </c>
      <c r="Y271" s="33">
        <f>IFERROR(VLOOKUP(lmic_raw_lb[[#This Row],[setting]],vcost_lb[],6,FALSE),0)</f>
        <v>0.3199379562460008</v>
      </c>
      <c r="Z271" s="33">
        <f>IFERROR(VLOOKUP(lmic_raw_lb[[#This Row],[setting]],vcost_lb[],7,FALSE),0)</f>
        <v>0.30461404140974158</v>
      </c>
      <c r="AA271" s="33">
        <f>IFERROR(VLOOKUP(lmic_raw_lb[[#This Row],[setting]],vcost_lb[],8,FALSE),0)</f>
        <v>0.90247172005213905</v>
      </c>
      <c r="AB271" s="33">
        <f>IFERROR(VLOOKUP(lmic_raw_lb[[#This Row],[setting]],vcost_lb[],9,FALSE),0)</f>
        <v>0.92318172005213905</v>
      </c>
      <c r="AC271" s="94">
        <f>VLOOKUP($A271,lmic_raw[],29,FALSE)*(1-interactive!$C$7)</f>
        <v>2.4414990499999963E-2</v>
      </c>
      <c r="AD271" s="94">
        <f>VLOOKUP($A271,lmic_raw[],30,FALSE)*(1-interactive!$C$7)</f>
        <v>1.2561002642297037E-3</v>
      </c>
      <c r="AE271" s="94">
        <f>VLOOKUP($A271,lmic_raw[],31,FALSE)*(1-interactive!$C$7)</f>
        <v>2.2869861787442206E-4</v>
      </c>
      <c r="AF271" s="94">
        <f>VLOOKUP($A271,lmic_raw[],32,FALSE)*(1-interactive!$C$7)</f>
        <v>3.2978224614118229E-4</v>
      </c>
      <c r="AG271" s="94">
        <f>VLOOKUP($A271,lmic_raw[],33,FALSE)*(1-interactive!$C$7)</f>
        <v>1.3475423994171439E-3</v>
      </c>
      <c r="AH271" s="94">
        <f>VLOOKUP($A271,lmic_raw[],34,FALSE)*(1-interactive!$C$7)</f>
        <v>2.0931609247329904E-3</v>
      </c>
      <c r="AI271" s="94">
        <f>VLOOKUP($A271,lmic_raw[],35,FALSE)*(1-interactive!$C$7)</f>
        <v>2.0571432618316696E-3</v>
      </c>
      <c r="AJ271" s="94">
        <f>VLOOKUP($A271,lmic_raw[],36,FALSE)*(1-interactive!$C$7)</f>
        <v>2.0221378422694688E-3</v>
      </c>
      <c r="AK271" s="94">
        <f>VLOOKUP($A271,lmic_raw[],37,FALSE)*(1-interactive!$C$7)</f>
        <v>1.9918552403895354E-3</v>
      </c>
      <c r="AL271" s="94">
        <f>VLOOKUP($A271,lmic_raw[],38,FALSE)*(1-interactive!$C$7)</f>
        <v>2.5165882796845001E-3</v>
      </c>
      <c r="AM271" s="94">
        <f>VLOOKUP($A271,lmic_raw[],39,FALSE)*(1-interactive!$C$7)</f>
        <v>3.7449055426802295E-3</v>
      </c>
      <c r="AN271" s="94">
        <f>VLOOKUP($A271,lmic_raw[],40,FALSE)*(1-interactive!$C$7)</f>
        <v>6.007091962397626E-3</v>
      </c>
      <c r="AO271" s="94">
        <f>VLOOKUP($A271,lmic_raw[],41,FALSE)*(1-interactive!$C$7)</f>
        <v>9.0955191018732076E-3</v>
      </c>
      <c r="AP271" s="94">
        <f>VLOOKUP($A271,lmic_raw[],42,FALSE)*(1-interactive!$C$7)</f>
        <v>1.4162148676533407E-2</v>
      </c>
      <c r="AQ271" s="94">
        <f>VLOOKUP($A271,lmic_raw[],43,FALSE)*(1-interactive!$C$7)</f>
        <v>2.3380143967689275E-2</v>
      </c>
      <c r="AR271" s="94">
        <f>VLOOKUP($A271,lmic_raw[],44,FALSE)*(1-interactive!$C$7)</f>
        <v>3.4589444279285238E-2</v>
      </c>
      <c r="AS271" s="94">
        <f>VLOOKUP($A271,lmic_raw[],45,FALSE)*(1-interactive!$C$7)</f>
        <v>4.9607499944350694E-2</v>
      </c>
      <c r="AT271" s="94">
        <f>VLOOKUP($A271,lmic_raw[],46,FALSE)*(1-interactive!$C$7)</f>
        <v>6.26581931756056E-2</v>
      </c>
      <c r="AU271" s="94">
        <f>VLOOKUP($A271,lmic_raw[],47,FALSE)*(1-interactive!$C$7)</f>
        <v>8.77897852408345E-2</v>
      </c>
      <c r="AV271" s="94">
        <f>VLOOKUP($A271,lmic_raw[],48,FALSE)*(1-interactive!$C$7)</f>
        <v>0.1077313035930639</v>
      </c>
      <c r="AW271" s="94">
        <f>VLOOKUP($A271,lmic_raw[],49,FALSE)*(1-interactive!$C$7)</f>
        <v>0.13792673627131105</v>
      </c>
      <c r="AX271" s="94">
        <f>VLOOKUP($A271,lmic_raw[],50,FALSE)*(1-interactive!$C$7)</f>
        <v>68.5197</v>
      </c>
    </row>
    <row r="272" spans="1:50" x14ac:dyDescent="0.25">
      <c r="A272" s="109" t="s">
        <v>221</v>
      </c>
      <c r="B272" s="101" t="s">
        <v>539</v>
      </c>
      <c r="C272" s="102">
        <v>704</v>
      </c>
      <c r="D272" s="121" t="s">
        <v>681</v>
      </c>
      <c r="E272" s="98" t="s">
        <v>598</v>
      </c>
      <c r="F272" s="98" t="s">
        <v>666</v>
      </c>
      <c r="G272" s="98" t="s">
        <v>678</v>
      </c>
      <c r="H272" s="98">
        <f>VLOOKUP(lmic_raw_lb[[#This Row],[setting]],lmic_raw[],8,FALSE)</f>
        <v>96462108</v>
      </c>
      <c r="I272" s="98">
        <f>VLOOKUP(lmic_raw_lb[[#This Row],[setting]],lmic_raw[],9,FALSE)</f>
        <v>1634550.4200599999</v>
      </c>
      <c r="J272" s="98">
        <f>VLOOKUP($A272,lmic_raw[],10,FALSE)*(1-interactive!$C$7)</f>
        <v>0.88919999999999988</v>
      </c>
      <c r="K272" s="98">
        <f>VLOOKUP($A272,lmic_raw[],11,FALSE)*(1-interactive!$C$7)</f>
        <v>0.75049999999999994</v>
      </c>
      <c r="L272" s="98">
        <f>VLOOKUP($A272,lmic_raw[],12,FALSE)*(1-interactive!$C$7)</f>
        <v>0.84549999999999992</v>
      </c>
      <c r="M272" s="98">
        <f>IFERROR(VLOOKUP(lmic_raw_lb[[#This Row],[iso3]], hbv_prev[[iso3]:[ub]],3,FALSE)/100,0)</f>
        <v>4.9100000000000005E-2</v>
      </c>
      <c r="N272" s="98">
        <f>IFERROR(VLOOKUP(lmic_raw_lb[[#This Row],[setting]],hbe_prev[],4,FALSE),0)</f>
        <v>0.18100000000000002</v>
      </c>
      <c r="O272" s="98">
        <f>VLOOKUP(lmic_raw_lb[[#This Row],[gbd_super]],hbe_risk[],3,FALSE)</f>
        <v>0.7</v>
      </c>
      <c r="P272" s="98">
        <f>VLOOKUP(lmic_raw_lb[[#This Row],[gbd_super]],hbe_risk[],6,FALSE)</f>
        <v>0.05</v>
      </c>
      <c r="Q272" s="98">
        <f>VLOOKUP(lmic_raw_lb[[#This Row],[setting]],lmic_raw[],17,FALSE)*(1-interactive!$C$7)</f>
        <v>3.4499500253786128</v>
      </c>
      <c r="R272" s="98">
        <f>VLOOKUP(lmic_raw_lb[[#This Row],[setting]],lmic_raw[],18,FALSE)*(1-interactive!$C$7)</f>
        <v>69.430275000000009</v>
      </c>
      <c r="S272" s="98">
        <f>VLOOKUP(lmic_raw_lb[[#This Row],[setting]],lmic_raw[],19,FALSE)*(1-interactive!$C$7)</f>
        <v>114.785175</v>
      </c>
      <c r="T272" s="98">
        <f>VLOOKUP(lmic_raw_lb[[#This Row],[setting]],lmic_raw[],20,FALSE)*(1-interactive!$C$7)</f>
        <v>114.785175</v>
      </c>
      <c r="U272" s="98">
        <f>VLOOKUP(lmic_raw_lb[[#This Row],[setting]],lmic_raw[],21,FALSE)*(1-interactive!$C$7)</f>
        <v>114.785175</v>
      </c>
      <c r="V272" s="33">
        <f>IFERROR(VLOOKUP(lmic_raw_lb[[#This Row],[setting]],vcost_lb[],3,FALSE),0)</f>
        <v>0.74894833937093241</v>
      </c>
      <c r="W272" s="33">
        <f>IFERROR(VLOOKUP(lmic_raw_lb[[#This Row],[setting]],vcost_lb[],4,FALSE),0)</f>
        <v>1.3495383393709324</v>
      </c>
      <c r="X272" s="33">
        <f>IFERROR(VLOOKUP(lmic_raw_lb[[#This Row],[setting]],vcost_lb[],5,FALSE),0)</f>
        <v>0.3802860860257557</v>
      </c>
      <c r="Y272" s="33">
        <f>IFERROR(VLOOKUP(lmic_raw_lb[[#This Row],[setting]],vcost_lb[],6,FALSE),0)</f>
        <v>0.98087608602575571</v>
      </c>
      <c r="Z272" s="33">
        <f>IFERROR(VLOOKUP(lmic_raw_lb[[#This Row],[setting]],vcost_lb[],7,FALSE),0)</f>
        <v>0.97641828895630955</v>
      </c>
      <c r="AA272" s="33">
        <f>IFERROR(VLOOKUP(lmic_raw_lb[[#This Row],[setting]],vcost_lb[],8,FALSE),0)</f>
        <v>0.96158797961164888</v>
      </c>
      <c r="AB272" s="33">
        <f>IFERROR(VLOOKUP(lmic_raw_lb[[#This Row],[setting]],vcost_lb[],9,FALSE),0)</f>
        <v>1.5621779796116488</v>
      </c>
      <c r="AC272" s="98">
        <f>VLOOKUP($A272,lmic_raw[],29,FALSE)*(1-interactive!$C$7)</f>
        <v>1.5883990499999962E-2</v>
      </c>
      <c r="AD272" s="98">
        <f>VLOOKUP($A272,lmic_raw[],30,FALSE)*(1-interactive!$C$7)</f>
        <v>1.0203070232252516E-3</v>
      </c>
      <c r="AE272" s="98">
        <f>VLOOKUP($A272,lmic_raw[],31,FALSE)*(1-interactive!$C$7)</f>
        <v>4.9386704523004502E-4</v>
      </c>
      <c r="AF272" s="98">
        <f>VLOOKUP($A272,lmic_raw[],32,FALSE)*(1-interactive!$C$7)</f>
        <v>4.4104410708350257E-4</v>
      </c>
      <c r="AG272" s="98">
        <f>VLOOKUP($A272,lmic_raw[],33,FALSE)*(1-interactive!$C$7)</f>
        <v>7.0973736060974389E-4</v>
      </c>
      <c r="AH272" s="98">
        <f>VLOOKUP($A272,lmic_raw[],34,FALSE)*(1-interactive!$C$7)</f>
        <v>1.0402280664262924E-3</v>
      </c>
      <c r="AI272" s="98">
        <f>VLOOKUP($A272,lmic_raw[],35,FALSE)*(1-interactive!$C$7)</f>
        <v>1.2804973969559241E-3</v>
      </c>
      <c r="AJ272" s="98">
        <f>VLOOKUP($A272,lmic_raw[],36,FALSE)*(1-interactive!$C$7)</f>
        <v>1.4953631179947604E-3</v>
      </c>
      <c r="AK272" s="98">
        <f>VLOOKUP($A272,lmic_raw[],37,FALSE)*(1-interactive!$C$7)</f>
        <v>1.8495588319193735E-3</v>
      </c>
      <c r="AL272" s="98">
        <f>VLOOKUP($A272,lmic_raw[],38,FALSE)*(1-interactive!$C$7)</f>
        <v>2.6092304140377409E-3</v>
      </c>
      <c r="AM272" s="98">
        <f>VLOOKUP($A272,lmic_raw[],39,FALSE)*(1-interactive!$C$7)</f>
        <v>3.6543505890498274E-3</v>
      </c>
      <c r="AN272" s="98">
        <f>VLOOKUP($A272,lmic_raw[],40,FALSE)*(1-interactive!$C$7)</f>
        <v>5.7918001541153001E-3</v>
      </c>
      <c r="AO272" s="98">
        <f>VLOOKUP($A272,lmic_raw[],41,FALSE)*(1-interactive!$C$7)</f>
        <v>8.6385789422732777E-3</v>
      </c>
      <c r="AP272" s="98">
        <f>VLOOKUP($A272,lmic_raw[],42,FALSE)*(1-interactive!$C$7)</f>
        <v>1.1751571822323887E-2</v>
      </c>
      <c r="AQ272" s="98">
        <f>VLOOKUP($A272,lmic_raw[],43,FALSE)*(1-interactive!$C$7)</f>
        <v>1.8683240400493382E-2</v>
      </c>
      <c r="AR272" s="98">
        <f>VLOOKUP($A272,lmic_raw[],44,FALSE)*(1-interactive!$C$7)</f>
        <v>2.7144443571962846E-2</v>
      </c>
      <c r="AS272" s="98">
        <f>VLOOKUP($A272,lmic_raw[],45,FALSE)*(1-interactive!$C$7)</f>
        <v>3.9290248675637018E-2</v>
      </c>
      <c r="AT272" s="98">
        <f>VLOOKUP($A272,lmic_raw[],46,FALSE)*(1-interactive!$C$7)</f>
        <v>5.5866357888978764E-2</v>
      </c>
      <c r="AU272" s="98">
        <f>VLOOKUP($A272,lmic_raw[],47,FALSE)*(1-interactive!$C$7)</f>
        <v>7.719858335423703E-2</v>
      </c>
      <c r="AV272" s="98">
        <f>VLOOKUP($A272,lmic_raw[],48,FALSE)*(1-interactive!$C$7)</f>
        <v>0.1021485679020266</v>
      </c>
      <c r="AW272" s="98">
        <f>VLOOKUP($A272,lmic_raw[],49,FALSE)*(1-interactive!$C$7)</f>
        <v>0.12819830636173279</v>
      </c>
      <c r="AX272" s="98">
        <f>VLOOKUP($A272,lmic_raw[],50,FALSE)*(1-interactive!$C$7)</f>
        <v>71.510300000000001</v>
      </c>
    </row>
    <row r="273" spans="1:50" x14ac:dyDescent="0.25">
      <c r="A273" s="110" t="s">
        <v>182</v>
      </c>
      <c r="B273" s="104" t="s">
        <v>540</v>
      </c>
      <c r="C273" s="105">
        <v>887</v>
      </c>
      <c r="D273" s="122" t="s">
        <v>673</v>
      </c>
      <c r="E273" s="94" t="s">
        <v>579</v>
      </c>
      <c r="F273" s="94" t="s">
        <v>579</v>
      </c>
      <c r="G273" s="94" t="s">
        <v>674</v>
      </c>
      <c r="H273" s="98">
        <f>VLOOKUP(lmic_raw_lb[[#This Row],[setting]],lmic_raw[],8,FALSE)</f>
        <v>29161922</v>
      </c>
      <c r="I273" s="98">
        <f>VLOOKUP(lmic_raw_lb[[#This Row],[setting]],lmic_raw[],9,FALSE)</f>
        <v>895475.13885400002</v>
      </c>
      <c r="J273" s="94">
        <f>VLOOKUP($A273,lmic_raw[],10,FALSE)*(1-interactive!$C$7)</f>
        <v>0.28309999999999996</v>
      </c>
      <c r="K273" s="94">
        <f>VLOOKUP($A273,lmic_raw[],11,FALSE)*(1-interactive!$C$7)</f>
        <v>0</v>
      </c>
      <c r="L273" s="94">
        <f>VLOOKUP($A273,lmic_raw[],12,FALSE)*(1-interactive!$C$7)</f>
        <v>0.69350000000000001</v>
      </c>
      <c r="M273" s="94">
        <f>IFERROR(VLOOKUP(lmic_raw_lb[[#This Row],[iso3]], hbv_prev[[iso3]:[ub]],3,FALSE)/100,0)</f>
        <v>3.9199999999999999E-2</v>
      </c>
      <c r="N273" s="94">
        <f>IFERROR(VLOOKUP(lmic_raw_lb[[#This Row],[setting]],hbe_prev[],4,FALSE),0)</f>
        <v>0.14980000000000002</v>
      </c>
      <c r="O273" s="94">
        <f>VLOOKUP(lmic_raw_lb[[#This Row],[gbd_super]],hbe_risk[],3,FALSE)</f>
        <v>0.7</v>
      </c>
      <c r="P273" s="94">
        <f>VLOOKUP(lmic_raw_lb[[#This Row],[gbd_super]],hbe_risk[],6,FALSE)</f>
        <v>0.05</v>
      </c>
      <c r="Q273" s="94">
        <f>VLOOKUP(lmic_raw_lb[[#This Row],[setting]],lmic_raw[],17,FALSE)*(1-interactive!$C$7)</f>
        <v>4.1715882749679762</v>
      </c>
      <c r="R273" s="98">
        <f>VLOOKUP(lmic_raw_lb[[#This Row],[setting]],lmic_raw[],18,FALSE)*(1-interactive!$C$7)</f>
        <v>44.019105000000003</v>
      </c>
      <c r="S273" s="98">
        <f>VLOOKUP(lmic_raw_lb[[#This Row],[setting]],lmic_raw[],19,FALSE)*(1-interactive!$C$7)</f>
        <v>89.374005000000011</v>
      </c>
      <c r="T273" s="98">
        <f>VLOOKUP(lmic_raw_lb[[#This Row],[setting]],lmic_raw[],20,FALSE)*(1-interactive!$C$7)</f>
        <v>89.374005000000011</v>
      </c>
      <c r="U273" s="98">
        <f>VLOOKUP(lmic_raw_lb[[#This Row],[setting]],lmic_raw[],21,FALSE)*(1-interactive!$C$7)</f>
        <v>89.374005000000011</v>
      </c>
      <c r="V273" s="33">
        <f>IFERROR(VLOOKUP(lmic_raw_lb[[#This Row],[setting]],vcost_lb[],3,FALSE),0)</f>
        <v>0.6265924657272125</v>
      </c>
      <c r="W273" s="33">
        <f>IFERROR(VLOOKUP(lmic_raw_lb[[#This Row],[setting]],vcost_lb[],4,FALSE),0)</f>
        <v>1.0822124657272125</v>
      </c>
      <c r="X273" s="33">
        <f>IFERROR(VLOOKUP(lmic_raw_lb[[#This Row],[setting]],vcost_lb[],5,FALSE),0)</f>
        <v>0.26165910152944982</v>
      </c>
      <c r="Y273" s="33">
        <f>IFERROR(VLOOKUP(lmic_raw_lb[[#This Row],[setting]],vcost_lb[],6,FALSE),0)</f>
        <v>0.71727910152944985</v>
      </c>
      <c r="Z273" s="33">
        <f>IFERROR(VLOOKUP(lmic_raw_lb[[#This Row],[setting]],vcost_lb[],7,FALSE),0)</f>
        <v>0.71533067717000143</v>
      </c>
      <c r="AA273" s="33">
        <f>IFERROR(VLOOKUP(lmic_raw_lb[[#This Row],[setting]],vcost_lb[],8,FALSE),0)</f>
        <v>0.83763401061903708</v>
      </c>
      <c r="AB273" s="33">
        <f>IFERROR(VLOOKUP(lmic_raw_lb[[#This Row],[setting]],vcost_lb[],9,FALSE),0)</f>
        <v>1.2932540106190371</v>
      </c>
      <c r="AC273" s="94">
        <f>VLOOKUP($A273,lmic_raw[],29,FALSE)*(1-interactive!$C$7)</f>
        <v>4.1081628999999974E-2</v>
      </c>
      <c r="AD273" s="94">
        <f>VLOOKUP($A273,lmic_raw[],30,FALSE)*(1-interactive!$C$7)</f>
        <v>3.0284697246481256E-3</v>
      </c>
      <c r="AE273" s="94">
        <f>VLOOKUP($A273,lmic_raw[],31,FALSE)*(1-interactive!$C$7)</f>
        <v>1.0217349175059675E-3</v>
      </c>
      <c r="AF273" s="94">
        <f>VLOOKUP($A273,lmic_raw[],32,FALSE)*(1-interactive!$C$7)</f>
        <v>7.8833041903378473E-4</v>
      </c>
      <c r="AG273" s="94">
        <f>VLOOKUP($A273,lmic_raw[],33,FALSE)*(1-interactive!$C$7)</f>
        <v>1.3740788642957232E-3</v>
      </c>
      <c r="AH273" s="94">
        <f>VLOOKUP($A273,lmic_raw[],34,FALSE)*(1-interactive!$C$7)</f>
        <v>1.7924377774954094E-3</v>
      </c>
      <c r="AI273" s="94">
        <f>VLOOKUP($A273,lmic_raw[],35,FALSE)*(1-interactive!$C$7)</f>
        <v>1.9179698154563108E-3</v>
      </c>
      <c r="AJ273" s="94">
        <f>VLOOKUP($A273,lmic_raw[],36,FALSE)*(1-interactive!$C$7)</f>
        <v>2.2407250634064479E-3</v>
      </c>
      <c r="AK273" s="94">
        <f>VLOOKUP($A273,lmic_raw[],37,FALSE)*(1-interactive!$C$7)</f>
        <v>2.9014087145475781E-3</v>
      </c>
      <c r="AL273" s="94">
        <f>VLOOKUP($A273,lmic_raw[],38,FALSE)*(1-interactive!$C$7)</f>
        <v>3.948247440033182E-3</v>
      </c>
      <c r="AM273" s="94">
        <f>VLOOKUP($A273,lmic_raw[],39,FALSE)*(1-interactive!$C$7)</f>
        <v>5.6927906001906772E-3</v>
      </c>
      <c r="AN273" s="94">
        <f>VLOOKUP($A273,lmic_raw[],40,FALSE)*(1-interactive!$C$7)</f>
        <v>8.4230159640559712E-3</v>
      </c>
      <c r="AO273" s="94">
        <f>VLOOKUP($A273,lmic_raw[],41,FALSE)*(1-interactive!$C$7)</f>
        <v>1.268259585878161E-2</v>
      </c>
      <c r="AP273" s="94">
        <f>VLOOKUP($A273,lmic_raw[],42,FALSE)*(1-interactive!$C$7)</f>
        <v>1.9683276279434808E-2</v>
      </c>
      <c r="AQ273" s="94">
        <f>VLOOKUP($A273,lmic_raw[],43,FALSE)*(1-interactive!$C$7)</f>
        <v>3.0335219645900188E-2</v>
      </c>
      <c r="AR273" s="94">
        <f>VLOOKUP($A273,lmic_raw[],44,FALSE)*(1-interactive!$C$7)</f>
        <v>4.6816352013042906E-2</v>
      </c>
      <c r="AS273" s="94">
        <f>VLOOKUP($A273,lmic_raw[],45,FALSE)*(1-interactive!$C$7)</f>
        <v>7.0207646872193635E-2</v>
      </c>
      <c r="AT273" s="94">
        <f>VLOOKUP($A273,lmic_raw[],46,FALSE)*(1-interactive!$C$7)</f>
        <v>9.8538052067531065E-2</v>
      </c>
      <c r="AU273" s="94">
        <f>VLOOKUP($A273,lmic_raw[],47,FALSE)*(1-interactive!$C$7)</f>
        <v>0.12614008983812502</v>
      </c>
      <c r="AV273" s="94">
        <f>VLOOKUP($A273,lmic_raw[],48,FALSE)*(1-interactive!$C$7)</f>
        <v>0.15042408475440117</v>
      </c>
      <c r="AW273" s="94">
        <f>VLOOKUP($A273,lmic_raw[],49,FALSE)*(1-interactive!$C$7)</f>
        <v>0.1683456284203991</v>
      </c>
      <c r="AX273" s="94">
        <f>VLOOKUP($A273,lmic_raw[],50,FALSE)*(1-interactive!$C$7)</f>
        <v>62.731349999999999</v>
      </c>
    </row>
    <row r="274" spans="1:50" x14ac:dyDescent="0.25">
      <c r="A274" s="109" t="s">
        <v>119</v>
      </c>
      <c r="B274" s="101" t="s">
        <v>541</v>
      </c>
      <c r="C274" s="102">
        <v>894</v>
      </c>
      <c r="D274" s="121" t="s">
        <v>677</v>
      </c>
      <c r="E274" s="98" t="s">
        <v>597</v>
      </c>
      <c r="F274" s="98" t="s">
        <v>667</v>
      </c>
      <c r="G274" s="98" t="s">
        <v>678</v>
      </c>
      <c r="H274" s="98">
        <f>VLOOKUP(lmic_raw_lb[[#This Row],[setting]],lmic_raw[],8,FALSE)</f>
        <v>17861034</v>
      </c>
      <c r="I274" s="98">
        <f>VLOOKUP(lmic_raw_lb[[#This Row],[setting]],lmic_raw[],9,FALSE)</f>
        <v>648051.89662200003</v>
      </c>
      <c r="J274" s="98">
        <f>VLOOKUP($A274,lmic_raw[],10,FALSE)*(1-interactive!$C$7)</f>
        <v>0.79609999999999992</v>
      </c>
      <c r="K274" s="98">
        <f>VLOOKUP($A274,lmic_raw[],11,FALSE)*(1-interactive!$C$7)</f>
        <v>0.8929999999999999</v>
      </c>
      <c r="L274" s="98">
        <f>VLOOKUP($A274,lmic_raw[],12,FALSE)*(1-interactive!$C$7)</f>
        <v>0.83599999999999997</v>
      </c>
      <c r="M274" s="98">
        <f>IFERROR(VLOOKUP(lmic_raw_lb[[#This Row],[iso3]], hbv_prev[[iso3]:[ub]],3,FALSE)/100,0)</f>
        <v>2.8900000000000002E-2</v>
      </c>
      <c r="N274" s="98">
        <f>IFERROR(VLOOKUP(lmic_raw_lb[[#This Row],[setting]],hbe_prev[],4,FALSE),0)</f>
        <v>0.15560000000000002</v>
      </c>
      <c r="O274" s="98">
        <f>VLOOKUP(lmic_raw_lb[[#This Row],[gbd_super]],hbe_risk[],3,FALSE)</f>
        <v>7.0000000000000007E-2</v>
      </c>
      <c r="P274" s="98">
        <f>VLOOKUP(lmic_raw_lb[[#This Row],[gbd_super]],hbe_risk[],6,FALSE)</f>
        <v>1E-3</v>
      </c>
      <c r="Q274" s="98">
        <f>VLOOKUP(lmic_raw_lb[[#This Row],[setting]],lmic_raw[],17,FALSE)*(1-interactive!$C$7)</f>
        <v>3.1004064982337654</v>
      </c>
      <c r="R274" s="98">
        <f>VLOOKUP(lmic_raw_lb[[#This Row],[setting]],lmic_raw[],18,FALSE)*(1-interactive!$C$7)</f>
        <v>28.424474999999997</v>
      </c>
      <c r="S274" s="98">
        <f>VLOOKUP(lmic_raw_lb[[#This Row],[setting]],lmic_raw[],19,FALSE)*(1-interactive!$C$7)</f>
        <v>73.779375000000002</v>
      </c>
      <c r="T274" s="98">
        <f>VLOOKUP(lmic_raw_lb[[#This Row],[setting]],lmic_raw[],20,FALSE)*(1-interactive!$C$7)</f>
        <v>73.779375000000002</v>
      </c>
      <c r="U274" s="98">
        <f>VLOOKUP(lmic_raw_lb[[#This Row],[setting]],lmic_raw[],21,FALSE)*(1-interactive!$C$7)</f>
        <v>73.779375000000002</v>
      </c>
      <c r="V274" s="33">
        <f>IFERROR(VLOOKUP(lmic_raw_lb[[#This Row],[setting]],vcost_lb[],3,FALSE),0)</f>
        <v>1.3793362063318741</v>
      </c>
      <c r="W274" s="33">
        <f>IFERROR(VLOOKUP(lmic_raw_lb[[#This Row],[setting]],vcost_lb[],4,FALSE),0)</f>
        <v>5.966601206331875</v>
      </c>
      <c r="X274" s="33">
        <f>IFERROR(VLOOKUP(lmic_raw_lb[[#This Row],[setting]],vcost_lb[],5,FALSE),0)</f>
        <v>1.014055419532192</v>
      </c>
      <c r="Y274" s="33">
        <f>IFERROR(VLOOKUP(lmic_raw_lb[[#This Row],[setting]],vcost_lb[],6,FALSE),0)</f>
        <v>5.6013204195321924</v>
      </c>
      <c r="Z274" s="33">
        <f>IFERROR(VLOOKUP(lmic_raw_lb[[#This Row],[setting]],vcost_lb[],7,FALSE),0)</f>
        <v>5.599081783802788</v>
      </c>
      <c r="AA274" s="33">
        <f>IFERROR(VLOOKUP(lmic_raw_lb[[#This Row],[setting]],vcost_lb[],8,FALSE),0)</f>
        <v>1.5905266466245216</v>
      </c>
      <c r="AB274" s="33">
        <f>IFERROR(VLOOKUP(lmic_raw_lb[[#This Row],[setting]],vcost_lb[],9,FALSE),0)</f>
        <v>6.177791646624522</v>
      </c>
      <c r="AC274" s="98">
        <f>VLOOKUP($A274,lmic_raw[],29,FALSE)*(1-interactive!$C$7)</f>
        <v>4.3340776500000046E-2</v>
      </c>
      <c r="AD274" s="98">
        <f>VLOOKUP($A274,lmic_raw[],30,FALSE)*(1-interactive!$C$7)</f>
        <v>3.7605418252825815E-3</v>
      </c>
      <c r="AE274" s="98">
        <f>VLOOKUP($A274,lmic_raw[],31,FALSE)*(1-interactive!$C$7)</f>
        <v>1.1004370388370383E-3</v>
      </c>
      <c r="AF274" s="98">
        <f>VLOOKUP($A274,lmic_raw[],32,FALSE)*(1-interactive!$C$7)</f>
        <v>8.6896987365813838E-4</v>
      </c>
      <c r="AG274" s="98">
        <f>VLOOKUP($A274,lmic_raw[],33,FALSE)*(1-interactive!$C$7)</f>
        <v>1.4548794029285203E-3</v>
      </c>
      <c r="AH274" s="98">
        <f>VLOOKUP($A274,lmic_raw[],34,FALSE)*(1-interactive!$C$7)</f>
        <v>2.3504613410882439E-3</v>
      </c>
      <c r="AI274" s="98">
        <f>VLOOKUP($A274,lmic_raw[],35,FALSE)*(1-interactive!$C$7)</f>
        <v>3.3165462631138507E-3</v>
      </c>
      <c r="AJ274" s="98">
        <f>VLOOKUP($A274,lmic_raw[],36,FALSE)*(1-interactive!$C$7)</f>
        <v>4.3709053443895573E-3</v>
      </c>
      <c r="AK274" s="98">
        <f>VLOOKUP($A274,lmic_raw[],37,FALSE)*(1-interactive!$C$7)</f>
        <v>5.8631832797427456E-3</v>
      </c>
      <c r="AL274" s="98">
        <f>VLOOKUP($A274,lmic_raw[],38,FALSE)*(1-interactive!$C$7)</f>
        <v>7.2210944944111144E-3</v>
      </c>
      <c r="AM274" s="98">
        <f>VLOOKUP($A274,lmic_raw[],39,FALSE)*(1-interactive!$C$7)</f>
        <v>8.8788567277421175E-3</v>
      </c>
      <c r="AN274" s="98">
        <f>VLOOKUP($A274,lmic_raw[],40,FALSE)*(1-interactive!$C$7)</f>
        <v>1.1551399926006668E-2</v>
      </c>
      <c r="AO274" s="98">
        <f>VLOOKUP($A274,lmic_raw[],41,FALSE)*(1-interactive!$C$7)</f>
        <v>1.4622247637873467E-2</v>
      </c>
      <c r="AP274" s="98">
        <f>VLOOKUP($A274,lmic_raw[],42,FALSE)*(1-interactive!$C$7)</f>
        <v>2.0323138769751201E-2</v>
      </c>
      <c r="AQ274" s="98">
        <f>VLOOKUP($A274,lmic_raw[],43,FALSE)*(1-interactive!$C$7)</f>
        <v>2.9586628177515433E-2</v>
      </c>
      <c r="AR274" s="98">
        <f>VLOOKUP($A274,lmic_raw[],44,FALSE)*(1-interactive!$C$7)</f>
        <v>4.4001636446974732E-2</v>
      </c>
      <c r="AS274" s="98">
        <f>VLOOKUP($A274,lmic_raw[],45,FALSE)*(1-interactive!$C$7)</f>
        <v>6.5254320580574621E-2</v>
      </c>
      <c r="AT274" s="98">
        <f>VLOOKUP($A274,lmic_raw[],46,FALSE)*(1-interactive!$C$7)</f>
        <v>9.6787662705936028E-2</v>
      </c>
      <c r="AU274" s="98">
        <f>VLOOKUP($A274,lmic_raw[],47,FALSE)*(1-interactive!$C$7)</f>
        <v>0.13442612932484865</v>
      </c>
      <c r="AV274" s="98">
        <f>VLOOKUP($A274,lmic_raw[],48,FALSE)*(1-interactive!$C$7)</f>
        <v>0.16608537688153641</v>
      </c>
      <c r="AW274" s="98">
        <f>VLOOKUP($A274,lmic_raw[],49,FALSE)*(1-interactive!$C$7)</f>
        <v>0.17807340063957888</v>
      </c>
      <c r="AX274" s="98">
        <f>VLOOKUP($A274,lmic_raw[],50,FALSE)*(1-interactive!$C$7)</f>
        <v>60.095100000000002</v>
      </c>
    </row>
    <row r="275" spans="1:50" x14ac:dyDescent="0.25">
      <c r="A275" s="111" t="s">
        <v>120</v>
      </c>
      <c r="B275" s="104" t="s">
        <v>542</v>
      </c>
      <c r="C275" s="105">
        <v>716</v>
      </c>
      <c r="D275" s="83" t="s">
        <v>677</v>
      </c>
      <c r="E275" s="84" t="s">
        <v>594</v>
      </c>
      <c r="F275" s="84" t="s">
        <v>667</v>
      </c>
      <c r="G275" s="84" t="s">
        <v>678</v>
      </c>
      <c r="H275" s="98">
        <f>VLOOKUP(lmic_raw_lb[[#This Row],[setting]],lmic_raw[],8,FALSE)</f>
        <v>14645473</v>
      </c>
      <c r="I275" s="98">
        <f>VLOOKUP(lmic_raw_lb[[#This Row],[setting]],lmic_raw[],9,FALSE)</f>
        <v>451739.61468499998</v>
      </c>
      <c r="J275" s="84">
        <f>VLOOKUP($A275,lmic_raw[],10,FALSE)*(1-interactive!$C$7)</f>
        <v>0.81224999999999992</v>
      </c>
      <c r="K275" s="84">
        <f>VLOOKUP($A275,lmic_raw[],11,FALSE)*(1-interactive!$C$7)</f>
        <v>0</v>
      </c>
      <c r="L275" s="84">
        <f>VLOOKUP($A275,lmic_raw[],12,FALSE)*(1-interactive!$C$7)</f>
        <v>0.85499999999999998</v>
      </c>
      <c r="M275" s="84">
        <f>IFERROR(VLOOKUP(lmic_raw_lb[[#This Row],[iso3]], hbv_prev[[iso3]:[ub]],3,FALSE)/100,0)</f>
        <v>8.14E-2</v>
      </c>
      <c r="N275" s="84">
        <f>IFERROR(VLOOKUP(lmic_raw_lb[[#This Row],[setting]],hbe_prev[],4,FALSE),0)</f>
        <v>0.15109999999999998</v>
      </c>
      <c r="O275" s="84">
        <f>VLOOKUP(lmic_raw_lb[[#This Row],[gbd_super]],hbe_risk[],3,FALSE)</f>
        <v>7.0000000000000007E-2</v>
      </c>
      <c r="P275" s="84">
        <f>VLOOKUP(lmic_raw_lb[[#This Row],[gbd_super]],hbe_risk[],6,FALSE)</f>
        <v>1E-3</v>
      </c>
      <c r="Q275" s="84">
        <f>VLOOKUP(lmic_raw_lb[[#This Row],[setting]],lmic_raw[],17,FALSE)*(1-interactive!$C$7)</f>
        <v>0</v>
      </c>
      <c r="R275" s="98">
        <f>VLOOKUP(lmic_raw_lb[[#This Row],[setting]],lmic_raw[],18,FALSE)*(1-interactive!$C$7)</f>
        <v>28.424474999999997</v>
      </c>
      <c r="S275" s="98">
        <f>VLOOKUP(lmic_raw_lb[[#This Row],[setting]],lmic_raw[],19,FALSE)*(1-interactive!$C$7)</f>
        <v>73.779375000000002</v>
      </c>
      <c r="T275" s="98">
        <f>VLOOKUP(lmic_raw_lb[[#This Row],[setting]],lmic_raw[],20,FALSE)*(1-interactive!$C$7)</f>
        <v>73.779375000000002</v>
      </c>
      <c r="U275" s="98">
        <f>VLOOKUP(lmic_raw_lb[[#This Row],[setting]],lmic_raw[],21,FALSE)*(1-interactive!$C$7)</f>
        <v>73.779375000000002</v>
      </c>
      <c r="V275" s="33">
        <f>IFERROR(VLOOKUP(lmic_raw_lb[[#This Row],[setting]],vcost_lb[],3,FALSE),0)</f>
        <v>1.4723566768889571</v>
      </c>
      <c r="W275" s="33">
        <f>IFERROR(VLOOKUP(lmic_raw_lb[[#This Row],[setting]],vcost_lb[],4,FALSE),0)</f>
        <v>6.0596216768889573</v>
      </c>
      <c r="X275" s="33">
        <f>IFERROR(VLOOKUP(lmic_raw_lb[[#This Row],[setting]],vcost_lb[],5,FALSE),0)</f>
        <v>1.1069439316245939</v>
      </c>
      <c r="Y275" s="33">
        <f>IFERROR(VLOOKUP(lmic_raw_lb[[#This Row],[setting]],vcost_lb[],6,FALSE),0)</f>
        <v>5.6942089316245941</v>
      </c>
      <c r="Z275" s="33">
        <f>IFERROR(VLOOKUP(lmic_raw_lb[[#This Row],[setting]],vcost_lb[],7,FALSE),0)</f>
        <v>5.6920760850188534</v>
      </c>
      <c r="AA275" s="33">
        <f>IFERROR(VLOOKUP(lmic_raw_lb[[#This Row],[setting]],vcost_lb[],8,FALSE),0)</f>
        <v>1.6836036708093249</v>
      </c>
      <c r="AB275" s="33">
        <f>IFERROR(VLOOKUP(lmic_raw_lb[[#This Row],[setting]],vcost_lb[],9,FALSE),0)</f>
        <v>6.2708686708093255</v>
      </c>
      <c r="AC275" s="84">
        <f>VLOOKUP($A275,lmic_raw[],29,FALSE)*(1-interactive!$C$7)</f>
        <v>3.6818684499999976E-2</v>
      </c>
      <c r="AD275" s="84">
        <f>VLOOKUP($A275,lmic_raw[],30,FALSE)*(1-interactive!$C$7)</f>
        <v>3.090046024654995E-3</v>
      </c>
      <c r="AE275" s="84">
        <f>VLOOKUP($A275,lmic_raw[],31,FALSE)*(1-interactive!$C$7)</f>
        <v>1.0106596240969069E-3</v>
      </c>
      <c r="AF275" s="84">
        <f>VLOOKUP($A275,lmic_raw[],32,FALSE)*(1-interactive!$C$7)</f>
        <v>8.6507149526702945E-4</v>
      </c>
      <c r="AG275" s="84">
        <f>VLOOKUP($A275,lmic_raw[],33,FALSE)*(1-interactive!$C$7)</f>
        <v>1.4921327829485998E-3</v>
      </c>
      <c r="AH275" s="84">
        <f>VLOOKUP($A275,lmic_raw[],34,FALSE)*(1-interactive!$C$7)</f>
        <v>2.6935490537055309E-3</v>
      </c>
      <c r="AI275" s="84">
        <f>VLOOKUP($A275,lmic_raw[],35,FALSE)*(1-interactive!$C$7)</f>
        <v>4.5804480051907645E-3</v>
      </c>
      <c r="AJ275" s="84">
        <f>VLOOKUP($A275,lmic_raw[],36,FALSE)*(1-interactive!$C$7)</f>
        <v>6.5483305384408993E-3</v>
      </c>
      <c r="AK275" s="84">
        <f>VLOOKUP($A275,lmic_raw[],37,FALSE)*(1-interactive!$C$7)</f>
        <v>9.2020068370745143E-3</v>
      </c>
      <c r="AL275" s="84">
        <f>VLOOKUP($A275,lmic_raw[],38,FALSE)*(1-interactive!$C$7)</f>
        <v>1.075725602965236E-2</v>
      </c>
      <c r="AM275" s="84">
        <f>VLOOKUP($A275,lmic_raw[],39,FALSE)*(1-interactive!$C$7)</f>
        <v>1.2731019755388451E-2</v>
      </c>
      <c r="AN275" s="84">
        <f>VLOOKUP($A275,lmic_raw[],40,FALSE)*(1-interactive!$C$7)</f>
        <v>1.5229751703488486E-2</v>
      </c>
      <c r="AO275" s="84">
        <f>VLOOKUP($A275,lmic_raw[],41,FALSE)*(1-interactive!$C$7)</f>
        <v>1.8199726763003399E-2</v>
      </c>
      <c r="AP275" s="84">
        <f>VLOOKUP($A275,lmic_raw[],42,FALSE)*(1-interactive!$C$7)</f>
        <v>2.3601311592989591E-2</v>
      </c>
      <c r="AQ275" s="84">
        <f>VLOOKUP($A275,lmic_raw[],43,FALSE)*(1-interactive!$C$7)</f>
        <v>3.2661488134387733E-2</v>
      </c>
      <c r="AR275" s="84">
        <f>VLOOKUP($A275,lmic_raw[],44,FALSE)*(1-interactive!$C$7)</f>
        <v>4.6813186443857104E-2</v>
      </c>
      <c r="AS275" s="84">
        <f>VLOOKUP($A275,lmic_raw[],45,FALSE)*(1-interactive!$C$7)</f>
        <v>6.74516310796823E-2</v>
      </c>
      <c r="AT275" s="84">
        <f>VLOOKUP($A275,lmic_raw[],46,FALSE)*(1-interactive!$C$7)</f>
        <v>9.8729485092936331E-2</v>
      </c>
      <c r="AU275" s="84">
        <f>VLOOKUP($A275,lmic_raw[],47,FALSE)*(1-interactive!$C$7)</f>
        <v>0.135880447770445</v>
      </c>
      <c r="AV275" s="84">
        <f>VLOOKUP($A275,lmic_raw[],48,FALSE)*(1-interactive!$C$7)</f>
        <v>0.16504542734609509</v>
      </c>
      <c r="AW275" s="84">
        <f>VLOOKUP($A275,lmic_raw[],49,FALSE)*(1-interactive!$C$7)</f>
        <v>0.17631480145230166</v>
      </c>
      <c r="AX275" s="84">
        <f>VLOOKUP($A275,lmic_raw[],50,FALSE)*(1-interactive!$C$7)</f>
        <v>57.791349999999994</v>
      </c>
    </row>
    <row r="277" spans="1:50" x14ac:dyDescent="0.25">
      <c r="A277" s="80" t="s">
        <v>668</v>
      </c>
      <c r="B277" s="80" t="s">
        <v>571</v>
      </c>
      <c r="C277" s="80" t="s">
        <v>669</v>
      </c>
      <c r="D277" s="80" t="s">
        <v>670</v>
      </c>
      <c r="E277" s="80" t="s">
        <v>575</v>
      </c>
      <c r="F277" s="80" t="s">
        <v>671</v>
      </c>
      <c r="G277" s="80" t="s">
        <v>672</v>
      </c>
      <c r="H277" s="108" t="s">
        <v>685</v>
      </c>
      <c r="I277" s="108" t="s">
        <v>686</v>
      </c>
      <c r="J277" s="108" t="s">
        <v>687</v>
      </c>
      <c r="K277" s="108" t="s">
        <v>688</v>
      </c>
      <c r="L277" s="108" t="s">
        <v>689</v>
      </c>
      <c r="M277" s="108" t="s">
        <v>690</v>
      </c>
      <c r="N277" s="108" t="s">
        <v>691</v>
      </c>
      <c r="O277" s="108" t="s">
        <v>657</v>
      </c>
      <c r="P277" s="108" t="s">
        <v>660</v>
      </c>
      <c r="Q277" s="108" t="s">
        <v>692</v>
      </c>
      <c r="R277" s="108" t="s">
        <v>693</v>
      </c>
      <c r="S277" s="108" t="s">
        <v>694</v>
      </c>
      <c r="T277" s="108" t="s">
        <v>695</v>
      </c>
      <c r="U277" s="108" t="s">
        <v>696</v>
      </c>
      <c r="V277" s="108" t="s">
        <v>697</v>
      </c>
      <c r="W277" s="108" t="s">
        <v>698</v>
      </c>
      <c r="X277" s="108" t="s">
        <v>699</v>
      </c>
      <c r="Y277" s="108" t="s">
        <v>700</v>
      </c>
      <c r="Z277" s="108" t="s">
        <v>701</v>
      </c>
      <c r="AA277" s="108" t="s">
        <v>702</v>
      </c>
      <c r="AB277" s="108" t="s">
        <v>703</v>
      </c>
      <c r="AC277" s="80" t="s">
        <v>544</v>
      </c>
      <c r="AD277" s="80" t="s">
        <v>545</v>
      </c>
      <c r="AE277" s="80" t="s">
        <v>546</v>
      </c>
      <c r="AF277" s="80" t="s">
        <v>547</v>
      </c>
      <c r="AG277" s="80" t="s">
        <v>548</v>
      </c>
      <c r="AH277" s="80" t="s">
        <v>549</v>
      </c>
      <c r="AI277" s="80" t="s">
        <v>550</v>
      </c>
      <c r="AJ277" s="80" t="s">
        <v>551</v>
      </c>
      <c r="AK277" s="80" t="s">
        <v>552</v>
      </c>
      <c r="AL277" s="80" t="s">
        <v>553</v>
      </c>
      <c r="AM277" s="80" t="s">
        <v>554</v>
      </c>
      <c r="AN277" s="80" t="s">
        <v>555</v>
      </c>
      <c r="AO277" s="80" t="s">
        <v>556</v>
      </c>
      <c r="AP277" s="80" t="s">
        <v>557</v>
      </c>
      <c r="AQ277" s="80" t="s">
        <v>558</v>
      </c>
      <c r="AR277" s="80" t="s">
        <v>559</v>
      </c>
      <c r="AS277" s="80" t="s">
        <v>560</v>
      </c>
      <c r="AT277" s="80" t="s">
        <v>561</v>
      </c>
      <c r="AU277" s="80" t="s">
        <v>562</v>
      </c>
      <c r="AV277" s="80" t="s">
        <v>563</v>
      </c>
      <c r="AW277" s="80" t="s">
        <v>564</v>
      </c>
      <c r="AX277" s="85" t="s">
        <v>704</v>
      </c>
    </row>
    <row r="278" spans="1:50" x14ac:dyDescent="0.25">
      <c r="A278" s="109" t="s">
        <v>191</v>
      </c>
      <c r="B278" s="101" t="s">
        <v>369</v>
      </c>
      <c r="C278" s="102">
        <v>4</v>
      </c>
      <c r="D278" s="82" t="s">
        <v>673</v>
      </c>
      <c r="E278" s="82" t="s">
        <v>579</v>
      </c>
      <c r="F278" s="82" t="s">
        <v>579</v>
      </c>
      <c r="G278" s="82" t="s">
        <v>674</v>
      </c>
      <c r="H278" s="33">
        <f>VLOOKUP(lmic_raw_ub[[#This Row],[setting]],lmic_raw[],8,FALSE)</f>
        <v>38041757</v>
      </c>
      <c r="I278" s="33">
        <f>VLOOKUP(lmic_raw_ub[[#This Row],[setting]],lmic_raw[],9,FALSE)</f>
        <v>1249899.967992</v>
      </c>
      <c r="J278" s="84">
        <f>MIN(VLOOKUP($A278,lmic_raw[],10,FALSE)*(1+interactive!$C$7),0.9999)</f>
        <v>0.59114999999999995</v>
      </c>
      <c r="K278" s="84">
        <f>MIN(VLOOKUP($A278,lmic_raw[],11,FALSE)*(1+interactive!$C$7),0.9999)</f>
        <v>0.38850000000000001</v>
      </c>
      <c r="L278" s="84">
        <f>MIN(VLOOKUP($A278,lmic_raw[],12,FALSE)*(1+interactive!$C$7),0.9999)</f>
        <v>0.69300000000000006</v>
      </c>
      <c r="M278" s="84">
        <f>IFERROR(VLOOKUP(lmic_raw_ub[[#This Row],[iso3]], hbv_prev[[iso3]:[ub]],4,FALSE)/100,0)</f>
        <v>1.61E-2</v>
      </c>
      <c r="N278" s="84">
        <f>IFERROR(VLOOKUP(lmic_raw_ub[[#This Row],[setting]],hbe_prev[],5,FALSE),0)</f>
        <v>0.37619999999999998</v>
      </c>
      <c r="O278" s="84">
        <f>VLOOKUP(lmic_raw_ub[[#This Row],[gbd_super]],hbe_risk[],4,FALSE)</f>
        <v>0.9</v>
      </c>
      <c r="P278" s="84">
        <f>VLOOKUP(lmic_raw_ub[[#This Row],[gbd_super]],hbe_risk[],7,FALSE)</f>
        <v>0.3</v>
      </c>
      <c r="Q278" s="98">
        <f>VLOOKUP(lmic_raw_ub[[#This Row],[setting]],lmic_raw[],17,FALSE)*(1+interactive!$C$7)</f>
        <v>2.4173023610811466</v>
      </c>
      <c r="R278" s="98">
        <f>VLOOKUP(lmic_raw_ub[[#This Row],[setting]],lmic_raw[],18,FALSE)*(1+interactive!$C$7)</f>
        <v>48.652695000000001</v>
      </c>
      <c r="S278" s="98">
        <f>VLOOKUP(lmic_raw_ub[[#This Row],[setting]],lmic_raw[],19,FALSE)*(1+interactive!$C$7)</f>
        <v>98.781795000000017</v>
      </c>
      <c r="T278" s="98">
        <f>VLOOKUP(lmic_raw_ub[[#This Row],[setting]],lmic_raw[],20,FALSE)*(1+interactive!$C$7)</f>
        <v>98.781795000000017</v>
      </c>
      <c r="U278" s="98">
        <f>VLOOKUP(lmic_raw_ub[[#This Row],[setting]],lmic_raw[],21,FALSE)*(1+interactive!$C$7)</f>
        <v>98.781795000000017</v>
      </c>
      <c r="V278" s="33">
        <f>IFERROR(VLOOKUP(lmic_raw_ub[[#This Row],[setting]],vcost_ub[],3,FALSE),0)</f>
        <v>2.5845550373465871</v>
      </c>
      <c r="W278" s="33">
        <f>IFERROR(VLOOKUP(lmic_raw_ub[[#This Row],[setting]],vcost_ub[],4,FALSE),0)</f>
        <v>3.088135037346587</v>
      </c>
      <c r="X278" s="33">
        <f>IFERROR(VLOOKUP(lmic_raw_ub[[#This Row],[setting]],vcost_ub[],5,FALSE),0)</f>
        <v>2.0919585983801858</v>
      </c>
      <c r="Y278" s="33">
        <f>IFERROR(VLOOKUP(lmic_raw_ub[[#This Row],[setting]],vcost_ub[],6,FALSE),0)</f>
        <v>2.5955385983801857</v>
      </c>
      <c r="Z278" s="33">
        <f>IFERROR(VLOOKUP(lmic_raw_ub[[#This Row],[setting]],vcost_ub[],7,FALSE),0)</f>
        <v>2.589970995981254</v>
      </c>
      <c r="AA278" s="33">
        <f>IFERROR(VLOOKUP(lmic_raw_ub[[#This Row],[setting]],vcost_ub[],8,FALSE),0)</f>
        <v>2.8524458517311317</v>
      </c>
      <c r="AB278" s="33">
        <f>IFERROR(VLOOKUP(lmic_raw_ub[[#This Row],[setting]],vcost_ub[],9,FALSE),0)</f>
        <v>3.3560258517311317</v>
      </c>
      <c r="AC278" s="84">
        <f>VLOOKUP($A278,lmic_raw[],29,FALSE)*(1+interactive!$C$7)</f>
        <v>5.4291216000000052E-2</v>
      </c>
      <c r="AD278" s="84">
        <f>VLOOKUP($A278,lmic_raw[],30,FALSE)*(1+interactive!$C$7)</f>
        <v>4.4736446630563925E-3</v>
      </c>
      <c r="AE278" s="84">
        <f>VLOOKUP($A278,lmic_raw[],31,FALSE)*(1+interactive!$C$7)</f>
        <v>1.3884924682729519E-3</v>
      </c>
      <c r="AF278" s="84">
        <f>VLOOKUP($A278,lmic_raw[],32,FALSE)*(1+interactive!$C$7)</f>
        <v>1.0923600651805371E-3</v>
      </c>
      <c r="AG278" s="84">
        <f>VLOOKUP($A278,lmic_raw[],33,FALSE)*(1+interactive!$C$7)</f>
        <v>1.7615115099493964E-3</v>
      </c>
      <c r="AH278" s="84">
        <f>VLOOKUP($A278,lmic_raw[],34,FALSE)*(1+interactive!$C$7)</f>
        <v>2.4545452097130454E-3</v>
      </c>
      <c r="AI278" s="84">
        <f>VLOOKUP($A278,lmic_raw[],35,FALSE)*(1+interactive!$C$7)</f>
        <v>2.6732823567174801E-3</v>
      </c>
      <c r="AJ278" s="84">
        <f>VLOOKUP($A278,lmic_raw[],36,FALSE)*(1+interactive!$C$7)</f>
        <v>3.0601646028533438E-3</v>
      </c>
      <c r="AK278" s="84">
        <f>VLOOKUP($A278,lmic_raw[],37,FALSE)*(1+interactive!$C$7)</f>
        <v>3.7894886670088298E-3</v>
      </c>
      <c r="AL278" s="84">
        <f>VLOOKUP($A278,lmic_raw[],38,FALSE)*(1+interactive!$C$7)</f>
        <v>5.0029093072891904E-3</v>
      </c>
      <c r="AM278" s="84">
        <f>VLOOKUP($A278,lmic_raw[],39,FALSE)*(1+interactive!$C$7)</f>
        <v>7.0028678451799211E-3</v>
      </c>
      <c r="AN278" s="84">
        <f>VLOOKUP($A278,lmic_raw[],40,FALSE)*(1+interactive!$C$7)</f>
        <v>1.0196667626605361E-2</v>
      </c>
      <c r="AO278" s="84">
        <f>VLOOKUP($A278,lmic_raw[],41,FALSE)*(1+interactive!$C$7)</f>
        <v>1.5035255709653549E-2</v>
      </c>
      <c r="AP278" s="84">
        <f>VLOOKUP($A278,lmic_raw[],42,FALSE)*(1+interactive!$C$7)</f>
        <v>2.265522685698812E-2</v>
      </c>
      <c r="AQ278" s="84">
        <f>VLOOKUP($A278,lmic_raw[],43,FALSE)*(1+interactive!$C$7)</f>
        <v>3.4122288632465303E-2</v>
      </c>
      <c r="AR278" s="84">
        <f>VLOOKUP($A278,lmic_raw[],44,FALSE)*(1+interactive!$C$7)</f>
        <v>5.201871084634372E-2</v>
      </c>
      <c r="AS278" s="84">
        <f>VLOOKUP($A278,lmic_raw[],45,FALSE)*(1+interactive!$C$7)</f>
        <v>7.7473330773937699E-2</v>
      </c>
      <c r="AT278" s="84">
        <f>VLOOKUP($A278,lmic_raw[],46,FALSE)*(1+interactive!$C$7)</f>
        <v>0.11008928664919644</v>
      </c>
      <c r="AU278" s="84">
        <f>VLOOKUP($A278,lmic_raw[],47,FALSE)*(1+interactive!$C$7)</f>
        <v>0.14416872971918321</v>
      </c>
      <c r="AV278" s="84">
        <f>VLOOKUP($A278,lmic_raw[],48,FALSE)*(1+interactive!$C$7)</f>
        <v>0.17154248430925337</v>
      </c>
      <c r="AW278" s="84">
        <f>VLOOKUP($A278,lmic_raw[],49,FALSE)*(1+interactive!$C$7)</f>
        <v>0.18904832780332212</v>
      </c>
      <c r="AX278" s="84">
        <f>VLOOKUP($A278,lmic_raw[],50,FALSE)*(1+interactive!$C$7)</f>
        <v>67.492949999999993</v>
      </c>
    </row>
    <row r="279" spans="1:50" x14ac:dyDescent="0.25">
      <c r="A279" s="110" t="s">
        <v>332</v>
      </c>
      <c r="B279" s="104" t="s">
        <v>370</v>
      </c>
      <c r="C279" s="105">
        <v>8</v>
      </c>
      <c r="D279" s="84" t="s">
        <v>675</v>
      </c>
      <c r="E279" s="84" t="s">
        <v>580</v>
      </c>
      <c r="F279" s="84" t="s">
        <v>663</v>
      </c>
      <c r="G279" s="84" t="s">
        <v>676</v>
      </c>
      <c r="H279" s="33">
        <f>VLOOKUP(lmic_raw_ub[[#This Row],[setting]],lmic_raw[],8,FALSE)</f>
        <v>2880913</v>
      </c>
      <c r="I279" s="33">
        <f>VLOOKUP(lmic_raw_ub[[#This Row],[setting]],lmic_raw[],9,FALSE)</f>
        <v>33977.487922</v>
      </c>
      <c r="J279" s="84">
        <f>MIN(VLOOKUP($A279,lmic_raw[],10,FALSE)*(1+interactive!$C$7),0.9999)</f>
        <v>0.99990000000000001</v>
      </c>
      <c r="K279" s="84">
        <f>MIN(VLOOKUP($A279,lmic_raw[],11,FALSE)*(1+interactive!$C$7),0.9999)</f>
        <v>0.99990000000000001</v>
      </c>
      <c r="L279" s="33">
        <f>MIN(VLOOKUP($A279,lmic_raw[],12,FALSE)*(1+interactive!$C$7),0.9999)</f>
        <v>0.99990000000000001</v>
      </c>
      <c r="M279" s="84">
        <f>IFERROR(VLOOKUP(lmic_raw_ub[[#This Row],[iso3]], hbv_prev[[iso3]:[ub]],4,FALSE)/100,0)</f>
        <v>0.1137</v>
      </c>
      <c r="N279" s="84">
        <f>IFERROR(VLOOKUP(lmic_raw_ub[[#This Row],[setting]],hbe_prev[],5,FALSE),0)</f>
        <v>0.42849999999999999</v>
      </c>
      <c r="O279" s="84">
        <f>VLOOKUP(lmic_raw_ub[[#This Row],[gbd_super]],hbe_risk[],4,FALSE)</f>
        <v>0.9</v>
      </c>
      <c r="P279" s="84">
        <f>VLOOKUP(lmic_raw_ub[[#This Row],[gbd_super]],hbe_risk[],7,FALSE)</f>
        <v>0.3</v>
      </c>
      <c r="Q279" s="98">
        <f>VLOOKUP(lmic_raw_ub[[#This Row],[setting]],lmic_raw[],17,FALSE)*(1+interactive!$C$7)</f>
        <v>8.6360911912184282</v>
      </c>
      <c r="R279" s="98">
        <f>VLOOKUP(lmic_raw_ub[[#This Row],[setting]],lmic_raw[],18,FALSE)*(1+interactive!$C$7)</f>
        <v>46.76427000000001</v>
      </c>
      <c r="S279" s="98">
        <f>VLOOKUP(lmic_raw_ub[[#This Row],[setting]],lmic_raw[],19,FALSE)*(1+interactive!$C$7)</f>
        <v>96.893370000000019</v>
      </c>
      <c r="T279" s="98">
        <f>VLOOKUP(lmic_raw_ub[[#This Row],[setting]],lmic_raw[],20,FALSE)*(1+interactive!$C$7)</f>
        <v>96.893370000000019</v>
      </c>
      <c r="U279" s="98">
        <f>VLOOKUP(lmic_raw_ub[[#This Row],[setting]],lmic_raw[],21,FALSE)*(1+interactive!$C$7)</f>
        <v>96.893370000000019</v>
      </c>
      <c r="V279" s="33">
        <f>IFERROR(VLOOKUP(lmic_raw_ub[[#This Row],[setting]],vcost_ub[],3,FALSE),0)</f>
        <v>13.716459937315173</v>
      </c>
      <c r="W279" s="33">
        <f>IFERROR(VLOOKUP(lmic_raw_ub[[#This Row],[setting]],vcost_ub[],4,FALSE),0)</f>
        <v>17.985444937315172</v>
      </c>
      <c r="X279" s="33">
        <f>IFERROR(VLOOKUP(lmic_raw_ub[[#This Row],[setting]],vcost_ub[],5,FALSE),0)</f>
        <v>13.201813639685192</v>
      </c>
      <c r="Y279" s="33">
        <f>IFERROR(VLOOKUP(lmic_raw_ub[[#This Row],[setting]],vcost_ub[],6,FALSE),0)</f>
        <v>17.470798639685192</v>
      </c>
      <c r="Z279" s="33">
        <f>IFERROR(VLOOKUP(lmic_raw_ub[[#This Row],[setting]],vcost_ub[],7,FALSE),0)</f>
        <v>17.453864068868278</v>
      </c>
      <c r="AA279" s="33">
        <f>IFERROR(VLOOKUP(lmic_raw_ub[[#This Row],[setting]],vcost_ub[],8,FALSE),0)</f>
        <v>13.989355934341146</v>
      </c>
      <c r="AB279" s="33">
        <f>IFERROR(VLOOKUP(lmic_raw_ub[[#This Row],[setting]],vcost_ub[],9,FALSE),0)</f>
        <v>18.258340934341149</v>
      </c>
      <c r="AC279" s="84">
        <f>VLOOKUP($A279,lmic_raw[],29,FALSE)*(1+interactive!$C$7)</f>
        <v>8.4334319999999352E-3</v>
      </c>
      <c r="AD279" s="84">
        <f>VLOOKUP($A279,lmic_raw[],30,FALSE)*(1+interactive!$C$7)</f>
        <v>8.8462957823165782E-4</v>
      </c>
      <c r="AE279" s="84">
        <f>VLOOKUP($A279,lmic_raw[],31,FALSE)*(1+interactive!$C$7)</f>
        <v>2.3433754031012836E-4</v>
      </c>
      <c r="AF279" s="84">
        <f>VLOOKUP($A279,lmic_raw[],32,FALSE)*(1+interactive!$C$7)</f>
        <v>2.8138947505586064E-4</v>
      </c>
      <c r="AG279" s="84">
        <f>VLOOKUP($A279,lmic_raw[],33,FALSE)*(1+interactive!$C$7)</f>
        <v>3.9034878952091679E-4</v>
      </c>
      <c r="AH279" s="84">
        <f>VLOOKUP($A279,lmic_raw[],34,FALSE)*(1+interactive!$C$7)</f>
        <v>4.4526077165045339E-4</v>
      </c>
      <c r="AI279" s="84">
        <f>VLOOKUP($A279,lmic_raw[],35,FALSE)*(1+interactive!$C$7)</f>
        <v>5.1355028653840844E-4</v>
      </c>
      <c r="AJ279" s="84">
        <f>VLOOKUP($A279,lmic_raw[],36,FALSE)*(1+interactive!$C$7)</f>
        <v>6.6140345156813778E-4</v>
      </c>
      <c r="AK279" s="84">
        <f>VLOOKUP($A279,lmic_raw[],37,FALSE)*(1+interactive!$C$7)</f>
        <v>1.0829620432613045E-3</v>
      </c>
      <c r="AL279" s="84">
        <f>VLOOKUP($A279,lmic_raw[],38,FALSE)*(1+interactive!$C$7)</f>
        <v>1.4657750655382585E-3</v>
      </c>
      <c r="AM279" s="84">
        <f>VLOOKUP($A279,lmic_raw[],39,FALSE)*(1+interactive!$C$7)</f>
        <v>2.2789773197141208E-3</v>
      </c>
      <c r="AN279" s="84">
        <f>VLOOKUP($A279,lmic_raw[],40,FALSE)*(1+interactive!$C$7)</f>
        <v>3.4671124744431077E-3</v>
      </c>
      <c r="AO279" s="84">
        <f>VLOOKUP($A279,lmic_raw[],41,FALSE)*(1+interactive!$C$7)</f>
        <v>5.3132878452319355E-3</v>
      </c>
      <c r="AP279" s="84">
        <f>VLOOKUP($A279,lmic_raw[],42,FALSE)*(1+interactive!$C$7)</f>
        <v>8.2601003224228534E-3</v>
      </c>
      <c r="AQ279" s="84">
        <f>VLOOKUP($A279,lmic_raw[],43,FALSE)*(1+interactive!$C$7)</f>
        <v>1.377969761043002E-2</v>
      </c>
      <c r="AR279" s="84">
        <f>VLOOKUP($A279,lmic_raw[],44,FALSE)*(1+interactive!$C$7)</f>
        <v>2.4207567799047237E-2</v>
      </c>
      <c r="AS279" s="84">
        <f>VLOOKUP($A279,lmic_raw[],45,FALSE)*(1+interactive!$C$7)</f>
        <v>4.4024217800428062E-2</v>
      </c>
      <c r="AT279" s="84">
        <f>VLOOKUP($A279,lmic_raw[],46,FALSE)*(1+interactive!$C$7)</f>
        <v>7.9856580505644731E-2</v>
      </c>
      <c r="AU279" s="84">
        <f>VLOOKUP($A279,lmic_raw[],47,FALSE)*(1+interactive!$C$7)</f>
        <v>0.11859226071601725</v>
      </c>
      <c r="AV279" s="84">
        <f>VLOOKUP($A279,lmic_raw[],48,FALSE)*(1+interactive!$C$7)</f>
        <v>0.15762620911613293</v>
      </c>
      <c r="AW279" s="84">
        <f>VLOOKUP($A279,lmic_raw[],49,FALSE)*(1+interactive!$C$7)</f>
        <v>0.18670022109404086</v>
      </c>
      <c r="AX279" s="84">
        <f>VLOOKUP($A279,lmic_raw[],50,FALSE)*(1+interactive!$C$7)</f>
        <v>82.295850000000002</v>
      </c>
    </row>
    <row r="280" spans="1:50" x14ac:dyDescent="0.25">
      <c r="A280" s="109" t="s">
        <v>157</v>
      </c>
      <c r="B280" s="101" t="s">
        <v>371</v>
      </c>
      <c r="C280" s="102">
        <v>12</v>
      </c>
      <c r="D280" s="82" t="s">
        <v>677</v>
      </c>
      <c r="E280" s="82" t="s">
        <v>579</v>
      </c>
      <c r="F280" s="82" t="s">
        <v>579</v>
      </c>
      <c r="G280" s="82" t="s">
        <v>676</v>
      </c>
      <c r="H280" s="33">
        <f>VLOOKUP(lmic_raw_ub[[#This Row],[setting]],lmic_raw[],8,FALSE)</f>
        <v>43053054</v>
      </c>
      <c r="I280" s="33">
        <f>VLOOKUP(lmic_raw_ub[[#This Row],[setting]],lmic_raw[],9,FALSE)</f>
        <v>1062979.9032600001</v>
      </c>
      <c r="J280" s="84">
        <f>MIN(VLOOKUP($A280,lmic_raw[],10,FALSE)*(1+interactive!$C$7),0.9999)</f>
        <v>0.99990000000000001</v>
      </c>
      <c r="K280" s="84">
        <f>MIN(VLOOKUP($A280,lmic_raw[],11,FALSE)*(1+interactive!$C$7),0.9999)</f>
        <v>0.99990000000000001</v>
      </c>
      <c r="L280" s="33">
        <f>MIN(VLOOKUP($A280,lmic_raw[],12,FALSE)*(1+interactive!$C$7),0.9999)</f>
        <v>0.95550000000000013</v>
      </c>
      <c r="M280" s="84">
        <f>IFERROR(VLOOKUP(lmic_raw_ub[[#This Row],[iso3]], hbv_prev[[iso3]:[ub]],4,FALSE)/100,0)</f>
        <v>2.4300000000000002E-2</v>
      </c>
      <c r="N280" s="84">
        <f>IFERROR(VLOOKUP(lmic_raw_ub[[#This Row],[setting]],hbe_prev[],5,FALSE),0)</f>
        <v>0.37619999999999998</v>
      </c>
      <c r="O280" s="84">
        <f>VLOOKUP(lmic_raw_ub[[#This Row],[gbd_super]],hbe_risk[],4,FALSE)</f>
        <v>0.9</v>
      </c>
      <c r="P280" s="84">
        <f>VLOOKUP(lmic_raw_ub[[#This Row],[gbd_super]],hbe_risk[],7,FALSE)</f>
        <v>0.3</v>
      </c>
      <c r="Q280" s="98">
        <f>VLOOKUP(lmic_raw_ub[[#This Row],[setting]],lmic_raw[],17,FALSE)*(1+interactive!$C$7)</f>
        <v>7.0035033420240715</v>
      </c>
      <c r="R280" s="98">
        <f>VLOOKUP(lmic_raw_ub[[#This Row],[setting]],lmic_raw[],18,FALSE)*(1+interactive!$C$7)</f>
        <v>48.652695000000001</v>
      </c>
      <c r="S280" s="98">
        <f>VLOOKUP(lmic_raw_ub[[#This Row],[setting]],lmic_raw[],19,FALSE)*(1+interactive!$C$7)</f>
        <v>98.781795000000017</v>
      </c>
      <c r="T280" s="98">
        <f>VLOOKUP(lmic_raw_ub[[#This Row],[setting]],lmic_raw[],20,FALSE)*(1+interactive!$C$7)</f>
        <v>98.781795000000017</v>
      </c>
      <c r="U280" s="98">
        <f>VLOOKUP(lmic_raw_ub[[#This Row],[setting]],lmic_raw[],21,FALSE)*(1+interactive!$C$7)</f>
        <v>98.781795000000017</v>
      </c>
      <c r="V280" s="33">
        <f>IFERROR(VLOOKUP(lmic_raw_ub[[#This Row],[setting]],vcost_ub[],3,FALSE),0)</f>
        <v>7.5627712997541403</v>
      </c>
      <c r="W280" s="33">
        <f>IFERROR(VLOOKUP(lmic_raw_ub[[#This Row],[setting]],vcost_ub[],4,FALSE),0)</f>
        <v>8.0663512997541407</v>
      </c>
      <c r="X280" s="33">
        <f>IFERROR(VLOOKUP(lmic_raw_ub[[#This Row],[setting]],vcost_ub[],5,FALSE),0)</f>
        <v>7.0548105335909588</v>
      </c>
      <c r="Y280" s="33">
        <f>IFERROR(VLOOKUP(lmic_raw_ub[[#This Row],[setting]],vcost_ub[],6,FALSE),0)</f>
        <v>7.5583905335909591</v>
      </c>
      <c r="Z280" s="33">
        <f>IFERROR(VLOOKUP(lmic_raw_ub[[#This Row],[setting]],vcost_ub[],7,FALSE),0)</f>
        <v>7.5441249175725016</v>
      </c>
      <c r="AA280" s="33">
        <f>IFERROR(VLOOKUP(lmic_raw_ub[[#This Row],[setting]],vcost_ub[],8,FALSE),0)</f>
        <v>7.8341497221526772</v>
      </c>
      <c r="AB280" s="33">
        <f>IFERROR(VLOOKUP(lmic_raw_ub[[#This Row],[setting]],vcost_ub[],9,FALSE),0)</f>
        <v>8.3377297221526767</v>
      </c>
      <c r="AC280" s="84">
        <f>VLOOKUP($A280,lmic_raw[],29,FALSE)*(1+interactive!$C$7)</f>
        <v>2.2311575999999965E-2</v>
      </c>
      <c r="AD280" s="84">
        <f>VLOOKUP($A280,lmic_raw[],30,FALSE)*(1+interactive!$C$7)</f>
        <v>9.1728614844261357E-4</v>
      </c>
      <c r="AE280" s="84">
        <f>VLOOKUP($A280,lmic_raw[],31,FALSE)*(1+interactive!$C$7)</f>
        <v>4.6792589971866454E-4</v>
      </c>
      <c r="AF280" s="84">
        <f>VLOOKUP($A280,lmic_raw[],32,FALSE)*(1+interactive!$C$7)</f>
        <v>4.1573488014981416E-4</v>
      </c>
      <c r="AG280" s="84">
        <f>VLOOKUP($A280,lmic_raw[],33,FALSE)*(1+interactive!$C$7)</f>
        <v>5.9540197294586175E-4</v>
      </c>
      <c r="AH280" s="84">
        <f>VLOOKUP($A280,lmic_raw[],34,FALSE)*(1+interactive!$C$7)</f>
        <v>7.747306562901707E-4</v>
      </c>
      <c r="AI280" s="84">
        <f>VLOOKUP($A280,lmic_raw[],35,FALSE)*(1+interactive!$C$7)</f>
        <v>9.1424131136401507E-4</v>
      </c>
      <c r="AJ280" s="84">
        <f>VLOOKUP($A280,lmic_raw[],36,FALSE)*(1+interactive!$C$7)</f>
        <v>1.0799953396655735E-3</v>
      </c>
      <c r="AK280" s="84">
        <f>VLOOKUP($A280,lmic_raw[],37,FALSE)*(1+interactive!$C$7)</f>
        <v>1.4499923281177959E-3</v>
      </c>
      <c r="AL280" s="84">
        <f>VLOOKUP($A280,lmic_raw[],38,FALSE)*(1+interactive!$C$7)</f>
        <v>1.9653541907429014E-3</v>
      </c>
      <c r="AM280" s="84">
        <f>VLOOKUP($A280,lmic_raw[],39,FALSE)*(1+interactive!$C$7)</f>
        <v>2.8736961696675003E-3</v>
      </c>
      <c r="AN280" s="84">
        <f>VLOOKUP($A280,lmic_raw[],40,FALSE)*(1+interactive!$C$7)</f>
        <v>4.248034096895701E-3</v>
      </c>
      <c r="AO280" s="84">
        <f>VLOOKUP($A280,lmic_raw[],41,FALSE)*(1+interactive!$C$7)</f>
        <v>6.4292786291832828E-3</v>
      </c>
      <c r="AP280" s="84">
        <f>VLOOKUP($A280,lmic_raw[],42,FALSE)*(1+interactive!$C$7)</f>
        <v>1.0189366876116235E-2</v>
      </c>
      <c r="AQ280" s="84">
        <f>VLOOKUP($A280,lmic_raw[],43,FALSE)*(1+interactive!$C$7)</f>
        <v>1.5479331515656235E-2</v>
      </c>
      <c r="AR280" s="84">
        <f>VLOOKUP($A280,lmic_raw[],44,FALSE)*(1+interactive!$C$7)</f>
        <v>2.5223232055600318E-2</v>
      </c>
      <c r="AS280" s="84">
        <f>VLOOKUP($A280,lmic_raw[],45,FALSE)*(1+interactive!$C$7)</f>
        <v>4.2652761493149408E-2</v>
      </c>
      <c r="AT280" s="84">
        <f>VLOOKUP($A280,lmic_raw[],46,FALSE)*(1+interactive!$C$7)</f>
        <v>7.0468302694853033E-2</v>
      </c>
      <c r="AU280" s="84">
        <f>VLOOKUP($A280,lmic_raw[],47,FALSE)*(1+interactive!$C$7)</f>
        <v>0.10594771670660426</v>
      </c>
      <c r="AV280" s="84">
        <f>VLOOKUP($A280,lmic_raw[],48,FALSE)*(1+interactive!$C$7)</f>
        <v>0.14176084972045894</v>
      </c>
      <c r="AW280" s="84">
        <f>VLOOKUP($A280,lmic_raw[],49,FALSE)*(1+interactive!$C$7)</f>
        <v>0.1708921147588971</v>
      </c>
      <c r="AX280" s="84">
        <f>VLOOKUP($A280,lmic_raw[],50,FALSE)*(1+interactive!$C$7)</f>
        <v>80.422650000000004</v>
      </c>
    </row>
    <row r="281" spans="1:50" x14ac:dyDescent="0.25">
      <c r="A281" s="110" t="s">
        <v>122</v>
      </c>
      <c r="B281" s="104" t="s">
        <v>372</v>
      </c>
      <c r="C281" s="105">
        <v>24</v>
      </c>
      <c r="D281" s="84" t="s">
        <v>677</v>
      </c>
      <c r="E281" s="84" t="s">
        <v>582</v>
      </c>
      <c r="F281" s="84" t="s">
        <v>667</v>
      </c>
      <c r="G281" s="84" t="s">
        <v>678</v>
      </c>
      <c r="H281" s="33">
        <f>VLOOKUP(lmic_raw_ub[[#This Row],[setting]],lmic_raw[],8,FALSE)</f>
        <v>31825299</v>
      </c>
      <c r="I281" s="33">
        <f>VLOOKUP(lmic_raw_ub[[#This Row],[setting]],lmic_raw[],9,FALSE)</f>
        <v>1302386.710977</v>
      </c>
      <c r="J281" s="84">
        <f>MIN(VLOOKUP($A281,lmic_raw[],10,FALSE)*(1+interactive!$C$7),0.9999)</f>
        <v>0.47880000000000006</v>
      </c>
      <c r="K281" s="84">
        <f>MIN(VLOOKUP($A281,lmic_raw[],11,FALSE)*(1+interactive!$C$7),0.9999)</f>
        <v>0</v>
      </c>
      <c r="L281" s="33">
        <f>MIN(VLOOKUP($A281,lmic_raw[],12,FALSE)*(1+interactive!$C$7),0.9999)</f>
        <v>0.55650000000000011</v>
      </c>
      <c r="M281" s="84">
        <f>IFERROR(VLOOKUP(lmic_raw_ub[[#This Row],[iso3]], hbv_prev[[iso3]:[ub]],4,FALSE)/100,0)</f>
        <v>0.1182</v>
      </c>
      <c r="N281" s="84">
        <f>IFERROR(VLOOKUP(lmic_raw_ub[[#This Row],[setting]],hbe_prev[],5,FALSE),0)</f>
        <v>0.40200000000000002</v>
      </c>
      <c r="O281" s="84">
        <f>VLOOKUP(lmic_raw_ub[[#This Row],[gbd_super]],hbe_risk[],4,FALSE)</f>
        <v>0.74399999999999999</v>
      </c>
      <c r="P281" s="84">
        <f>VLOOKUP(lmic_raw_ub[[#This Row],[gbd_super]],hbe_risk[],7,FALSE)</f>
        <v>0.13300000000000001</v>
      </c>
      <c r="Q281" s="98">
        <f>VLOOKUP(lmic_raw_ub[[#This Row],[setting]],lmic_raw[],17,FALSE)*(1+interactive!$C$7)</f>
        <v>8.3245286245782832</v>
      </c>
      <c r="R281" s="98">
        <f>VLOOKUP(lmic_raw_ub[[#This Row],[setting]],lmic_raw[],18,FALSE)*(1+interactive!$C$7)</f>
        <v>31.416525000000004</v>
      </c>
      <c r="S281" s="98">
        <f>VLOOKUP(lmic_raw_ub[[#This Row],[setting]],lmic_raw[],19,FALSE)*(1+interactive!$C$7)</f>
        <v>81.545625000000015</v>
      </c>
      <c r="T281" s="98">
        <f>VLOOKUP(lmic_raw_ub[[#This Row],[setting]],lmic_raw[],20,FALSE)*(1+interactive!$C$7)</f>
        <v>81.545625000000015</v>
      </c>
      <c r="U281" s="98">
        <f>VLOOKUP(lmic_raw_ub[[#This Row],[setting]],lmic_raw[],21,FALSE)*(1+interactive!$C$7)</f>
        <v>81.545625000000015</v>
      </c>
      <c r="V281" s="33">
        <f>IFERROR(VLOOKUP(lmic_raw_ub[[#This Row],[setting]],vcost_ub[],3,FALSE),0)</f>
        <v>3.7777543650024743</v>
      </c>
      <c r="W281" s="33">
        <f>IFERROR(VLOOKUP(lmic_raw_ub[[#This Row],[setting]],vcost_ub[],4,FALSE),0)</f>
        <v>8.8478893650024748</v>
      </c>
      <c r="X281" s="33">
        <f>IFERROR(VLOOKUP(lmic_raw_ub[[#This Row],[setting]],vcost_ub[],5,FALSE),0)</f>
        <v>3.2627513408903166</v>
      </c>
      <c r="Y281" s="33">
        <f>IFERROR(VLOOKUP(lmic_raw_ub[[#This Row],[setting]],vcost_ub[],6,FALSE),0)</f>
        <v>8.3328863408903171</v>
      </c>
      <c r="Z281" s="33">
        <f>IFERROR(VLOOKUP(lmic_raw_ub[[#This Row],[setting]],vcost_ub[],7,FALSE),0)</f>
        <v>8.3147070490015302</v>
      </c>
      <c r="AA281" s="33">
        <f>IFERROR(VLOOKUP(lmic_raw_ub[[#This Row],[setting]],vcost_ub[],8,FALSE),0)</f>
        <v>4.0507313367513937</v>
      </c>
      <c r="AB281" s="33">
        <f>IFERROR(VLOOKUP(lmic_raw_ub[[#This Row],[setting]],vcost_ub[],9,FALSE),0)</f>
        <v>9.1208663367513942</v>
      </c>
      <c r="AC281" s="84">
        <f>VLOOKUP($A281,lmic_raw[],29,FALSE)*(1+interactive!$C$7)</f>
        <v>6.4532390999999953E-2</v>
      </c>
      <c r="AD281" s="84">
        <f>VLOOKUP($A281,lmic_raw[],30,FALSE)*(1+interactive!$C$7)</f>
        <v>5.4345303321887391E-3</v>
      </c>
      <c r="AE281" s="84">
        <f>VLOOKUP($A281,lmic_raw[],31,FALSE)*(1+interactive!$C$7)</f>
        <v>2.0035212324966667E-3</v>
      </c>
      <c r="AF281" s="84">
        <f>VLOOKUP($A281,lmic_raw[],32,FALSE)*(1+interactive!$C$7)</f>
        <v>1.4609876587366316E-3</v>
      </c>
      <c r="AG281" s="84">
        <f>VLOOKUP($A281,lmic_raw[],33,FALSE)*(1+interactive!$C$7)</f>
        <v>2.4542422109967385E-3</v>
      </c>
      <c r="AH281" s="84">
        <f>VLOOKUP($A281,lmic_raw[],34,FALSE)*(1+interactive!$C$7)</f>
        <v>3.4179070351698709E-3</v>
      </c>
      <c r="AI281" s="84">
        <f>VLOOKUP($A281,lmic_raw[],35,FALSE)*(1+interactive!$C$7)</f>
        <v>3.768052153565302E-3</v>
      </c>
      <c r="AJ281" s="84">
        <f>VLOOKUP($A281,lmic_raw[],36,FALSE)*(1+interactive!$C$7)</f>
        <v>4.3477773916513248E-3</v>
      </c>
      <c r="AK281" s="84">
        <f>VLOOKUP($A281,lmic_raw[],37,FALSE)*(1+interactive!$C$7)</f>
        <v>5.3956705024911181E-3</v>
      </c>
      <c r="AL281" s="84">
        <f>VLOOKUP($A281,lmic_raw[],38,FALSE)*(1+interactive!$C$7)</f>
        <v>6.9254589752708491E-3</v>
      </c>
      <c r="AM281" s="84">
        <f>VLOOKUP($A281,lmic_raw[],39,FALSE)*(1+interactive!$C$7)</f>
        <v>9.2541198961064025E-3</v>
      </c>
      <c r="AN281" s="84">
        <f>VLOOKUP($A281,lmic_raw[],40,FALSE)*(1+interactive!$C$7)</f>
        <v>1.2954744915703672E-2</v>
      </c>
      <c r="AO281" s="84">
        <f>VLOOKUP($A281,lmic_raw[],41,FALSE)*(1+interactive!$C$7)</f>
        <v>1.8256968023479328E-2</v>
      </c>
      <c r="AP281" s="84">
        <f>VLOOKUP($A281,lmic_raw[],42,FALSE)*(1+interactive!$C$7)</f>
        <v>2.692097326954649E-2</v>
      </c>
      <c r="AQ281" s="84">
        <f>VLOOKUP($A281,lmic_raw[],43,FALSE)*(1+interactive!$C$7)</f>
        <v>3.9478208605023296E-2</v>
      </c>
      <c r="AR281" s="84">
        <f>VLOOKUP($A281,lmic_raw[],44,FALSE)*(1+interactive!$C$7)</f>
        <v>5.8337463884613729E-2</v>
      </c>
      <c r="AS281" s="84">
        <f>VLOOKUP($A281,lmic_raw[],45,FALSE)*(1+interactive!$C$7)</f>
        <v>8.3809307516354445E-2</v>
      </c>
      <c r="AT281" s="84">
        <f>VLOOKUP($A281,lmic_raw[],46,FALSE)*(1+interactive!$C$7)</f>
        <v>0.1142624331279386</v>
      </c>
      <c r="AU281" s="84">
        <f>VLOOKUP($A281,lmic_raw[],47,FALSE)*(1+interactive!$C$7)</f>
        <v>0.14275897860953365</v>
      </c>
      <c r="AV281" s="84">
        <f>VLOOKUP($A281,lmic_raw[],48,FALSE)*(1+interactive!$C$7)</f>
        <v>0.16790287143768604</v>
      </c>
      <c r="AW281" s="84">
        <f>VLOOKUP($A281,lmic_raw[],49,FALSE)*(1+interactive!$C$7)</f>
        <v>0.18688489258104082</v>
      </c>
      <c r="AX281" s="84">
        <f>VLOOKUP($A281,lmic_raw[],50,FALSE)*(1+interactive!$C$7)</f>
        <v>63.567</v>
      </c>
    </row>
    <row r="282" spans="1:50" x14ac:dyDescent="0.25">
      <c r="A282" s="109" t="s">
        <v>262</v>
      </c>
      <c r="B282" s="101" t="s">
        <v>373</v>
      </c>
      <c r="C282" s="102">
        <v>32</v>
      </c>
      <c r="D282" s="82" t="s">
        <v>679</v>
      </c>
      <c r="E282" s="82" t="s">
        <v>583</v>
      </c>
      <c r="F282" s="82" t="s">
        <v>665</v>
      </c>
      <c r="G282" s="82" t="s">
        <v>676</v>
      </c>
      <c r="H282" s="33">
        <f>VLOOKUP(lmic_raw_ub[[#This Row],[setting]],lmic_raw[],8,FALSE)</f>
        <v>44780675</v>
      </c>
      <c r="I282" s="33">
        <f>VLOOKUP(lmic_raw_ub[[#This Row],[setting]],lmic_raw[],9,FALSE)</f>
        <v>766286.91059999994</v>
      </c>
      <c r="J282" s="84">
        <f>MIN(VLOOKUP($A282,lmic_raw[],10,FALSE)*(1+interactive!$C$7),0.9999)</f>
        <v>0.99990000000000001</v>
      </c>
      <c r="K282" s="84">
        <f>MIN(VLOOKUP($A282,lmic_raw[],11,FALSE)*(1+interactive!$C$7),0.9999)</f>
        <v>0.86099999999999999</v>
      </c>
      <c r="L282" s="33">
        <f>MIN(VLOOKUP($A282,lmic_raw[],12,FALSE)*(1+interactive!$C$7),0.9999)</f>
        <v>0.90300000000000002</v>
      </c>
      <c r="M282" s="84">
        <f>IFERROR(VLOOKUP(lmic_raw_ub[[#This Row],[iso3]], hbv_prev[[iso3]:[ub]],4,FALSE)/100,0)</f>
        <v>8.9999999999999998E-4</v>
      </c>
      <c r="N282" s="84">
        <f>IFERROR(VLOOKUP(lmic_raw_ub[[#This Row],[setting]],hbe_prev[],5,FALSE),0)</f>
        <v>0.45710000000000001</v>
      </c>
      <c r="O282" s="84">
        <f>VLOOKUP(lmic_raw_ub[[#This Row],[gbd_super]],hbe_risk[],4,FALSE)</f>
        <v>0.9</v>
      </c>
      <c r="P282" s="84">
        <f>VLOOKUP(lmic_raw_ub[[#This Row],[gbd_super]],hbe_risk[],7,FALSE)</f>
        <v>0.3</v>
      </c>
      <c r="Q282" s="98">
        <f>VLOOKUP(lmic_raw_ub[[#This Row],[setting]],lmic_raw[],17,FALSE)*(1+interactive!$C$7)</f>
        <v>16.873805453183842</v>
      </c>
      <c r="R282" s="98">
        <f>VLOOKUP(lmic_raw_ub[[#This Row],[setting]],lmic_raw[],18,FALSE)*(1+interactive!$C$7)</f>
        <v>91.228094999999996</v>
      </c>
      <c r="S282" s="98">
        <f>VLOOKUP(lmic_raw_ub[[#This Row],[setting]],lmic_raw[],19,FALSE)*(1+interactive!$C$7)</f>
        <v>141.35719500000002</v>
      </c>
      <c r="T282" s="98">
        <f>VLOOKUP(lmic_raw_ub[[#This Row],[setting]],lmic_raw[],20,FALSE)*(1+interactive!$C$7)</f>
        <v>141.35719500000002</v>
      </c>
      <c r="U282" s="98">
        <f>VLOOKUP(lmic_raw_ub[[#This Row],[setting]],lmic_raw[],21,FALSE)*(1+interactive!$C$7)</f>
        <v>141.35719500000002</v>
      </c>
      <c r="V282" s="33">
        <f>IFERROR(VLOOKUP(lmic_raw_ub[[#This Row],[setting]],vcost_ub[],3,FALSE),0)</f>
        <v>9.4288086842383727</v>
      </c>
      <c r="W282" s="33">
        <f>IFERROR(VLOOKUP(lmic_raw_ub[[#This Row],[setting]],vcost_ub[],4,FALSE),0)</f>
        <v>9.451698684238373</v>
      </c>
      <c r="X282" s="33">
        <f>IFERROR(VLOOKUP(lmic_raw_ub[[#This Row],[setting]],vcost_ub[],5,FALSE),0)</f>
        <v>8.8830672192572031</v>
      </c>
      <c r="Y282" s="33">
        <f>IFERROR(VLOOKUP(lmic_raw_ub[[#This Row],[setting]],vcost_ub[],6,FALSE),0)</f>
        <v>8.9059572192572034</v>
      </c>
      <c r="Z282" s="33">
        <f>IFERROR(VLOOKUP(lmic_raw_ub[[#This Row],[setting]],vcost_ub[],7,FALSE),0)</f>
        <v>8.869161501083882</v>
      </c>
      <c r="AA282" s="33">
        <f>IFERROR(VLOOKUP(lmic_raw_ub[[#This Row],[setting]],vcost_ub[],8,FALSE),0)</f>
        <v>9.7087630934851656</v>
      </c>
      <c r="AB282" s="33">
        <f>IFERROR(VLOOKUP(lmic_raw_ub[[#This Row],[setting]],vcost_ub[],9,FALSE),0)</f>
        <v>9.7316530934851659</v>
      </c>
      <c r="AC282" s="84">
        <f>VLOOKUP($A282,lmic_raw[],29,FALSE)*(1+interactive!$C$7)</f>
        <v>1.0736449500000002E-2</v>
      </c>
      <c r="AD282" s="84">
        <f>VLOOKUP($A282,lmic_raw[],30,FALSE)*(1+interactive!$C$7)</f>
        <v>4.3416769719570319E-4</v>
      </c>
      <c r="AE282" s="84">
        <f>VLOOKUP($A282,lmic_raw[],31,FALSE)*(1+interactive!$C$7)</f>
        <v>1.9141551873711539E-4</v>
      </c>
      <c r="AF282" s="84">
        <f>VLOOKUP($A282,lmic_raw[],32,FALSE)*(1+interactive!$C$7)</f>
        <v>2.5058662202167312E-4</v>
      </c>
      <c r="AG282" s="84">
        <f>VLOOKUP($A282,lmic_raw[],33,FALSE)*(1+interactive!$C$7)</f>
        <v>7.8013312022640264E-4</v>
      </c>
      <c r="AH282" s="84">
        <f>VLOOKUP($A282,lmic_raw[],34,FALSE)*(1+interactive!$C$7)</f>
        <v>1.0731976901898542E-3</v>
      </c>
      <c r="AI282" s="84">
        <f>VLOOKUP($A282,lmic_raw[],35,FALSE)*(1+interactive!$C$7)</f>
        <v>1.0793786203272516E-3</v>
      </c>
      <c r="AJ282" s="84">
        <f>VLOOKUP($A282,lmic_raw[],36,FALSE)*(1+interactive!$C$7)</f>
        <v>1.2233884119593069E-3</v>
      </c>
      <c r="AK282" s="84">
        <f>VLOOKUP($A282,lmic_raw[],37,FALSE)*(1+interactive!$C$7)</f>
        <v>1.4810442455537233E-3</v>
      </c>
      <c r="AL282" s="84">
        <f>VLOOKUP($A282,lmic_raw[],38,FALSE)*(1+interactive!$C$7)</f>
        <v>2.0877274634634089E-3</v>
      </c>
      <c r="AM282" s="84">
        <f>VLOOKUP($A282,lmic_raw[],39,FALSE)*(1+interactive!$C$7)</f>
        <v>3.3055776573060304E-3</v>
      </c>
      <c r="AN282" s="84">
        <f>VLOOKUP($A282,lmic_raw[],40,FALSE)*(1+interactive!$C$7)</f>
        <v>5.3326199456536919E-3</v>
      </c>
      <c r="AO282" s="84">
        <f>VLOOKUP($A282,lmic_raw[],41,FALSE)*(1+interactive!$C$7)</f>
        <v>8.7721580601406567E-3</v>
      </c>
      <c r="AP282" s="84">
        <f>VLOOKUP($A282,lmic_raw[],42,FALSE)*(1+interactive!$C$7)</f>
        <v>1.317808429126319E-2</v>
      </c>
      <c r="AQ282" s="84">
        <f>VLOOKUP($A282,lmic_raw[],43,FALSE)*(1+interactive!$C$7)</f>
        <v>1.9845803227046845E-2</v>
      </c>
      <c r="AR282" s="84">
        <f>VLOOKUP($A282,lmic_raw[],44,FALSE)*(1+interactive!$C$7)</f>
        <v>2.8971093230379819E-2</v>
      </c>
      <c r="AS282" s="84">
        <f>VLOOKUP($A282,lmic_raw[],45,FALSE)*(1+interactive!$C$7)</f>
        <v>4.3838290922772687E-2</v>
      </c>
      <c r="AT282" s="84">
        <f>VLOOKUP($A282,lmic_raw[],46,FALSE)*(1+interactive!$C$7)</f>
        <v>6.7833779370984573E-2</v>
      </c>
      <c r="AU282" s="84">
        <f>VLOOKUP($A282,lmic_raw[],47,FALSE)*(1+interactive!$C$7)</f>
        <v>9.9899218330876352E-2</v>
      </c>
      <c r="AV282" s="84">
        <f>VLOOKUP($A282,lmic_raw[],48,FALSE)*(1+interactive!$C$7)</f>
        <v>0.13596107349635994</v>
      </c>
      <c r="AW282" s="84">
        <f>VLOOKUP($A282,lmic_raw[],49,FALSE)*(1+interactive!$C$7)</f>
        <v>0.16932898311248859</v>
      </c>
      <c r="AX282" s="84">
        <f>VLOOKUP($A282,lmic_raw[],50,FALSE)*(1+interactive!$C$7)</f>
        <v>80.270399999999995</v>
      </c>
    </row>
    <row r="283" spans="1:50" x14ac:dyDescent="0.25">
      <c r="A283" s="110" t="s">
        <v>165</v>
      </c>
      <c r="B283" s="104" t="s">
        <v>374</v>
      </c>
      <c r="C283" s="105">
        <v>51</v>
      </c>
      <c r="D283" s="84" t="s">
        <v>675</v>
      </c>
      <c r="E283" s="84" t="s">
        <v>184</v>
      </c>
      <c r="F283" s="84" t="s">
        <v>663</v>
      </c>
      <c r="G283" s="84" t="s">
        <v>676</v>
      </c>
      <c r="H283" s="33">
        <f>VLOOKUP(lmic_raw_ub[[#This Row],[setting]],lmic_raw[],8,FALSE)</f>
        <v>2957728</v>
      </c>
      <c r="I283" s="33">
        <f>VLOOKUP(lmic_raw_ub[[#This Row],[setting]],lmic_raw[],9,FALSE)</f>
        <v>41890.301663999999</v>
      </c>
      <c r="J283" s="84">
        <f>MIN(VLOOKUP($A283,lmic_raw[],10,FALSE)*(1+interactive!$C$7),0.9999)</f>
        <v>0.99990000000000001</v>
      </c>
      <c r="K283" s="84">
        <f>MIN(VLOOKUP($A283,lmic_raw[],11,FALSE)*(1+interactive!$C$7),0.9999)</f>
        <v>0.99990000000000001</v>
      </c>
      <c r="L283" s="33">
        <f>MIN(VLOOKUP($A283,lmic_raw[],12,FALSE)*(1+interactive!$C$7),0.9999)</f>
        <v>0.96600000000000008</v>
      </c>
      <c r="M283" s="84">
        <f>IFERROR(VLOOKUP(lmic_raw_ub[[#This Row],[iso3]], hbv_prev[[iso3]:[ub]],4,FALSE)/100,0)</f>
        <v>0.1386</v>
      </c>
      <c r="N283" s="84">
        <f>IFERROR(VLOOKUP(lmic_raw_ub[[#This Row],[setting]],hbe_prev[],5,FALSE),0)</f>
        <v>0.43079999999999996</v>
      </c>
      <c r="O283" s="84">
        <f>VLOOKUP(lmic_raw_ub[[#This Row],[gbd_super]],hbe_risk[],4,FALSE)</f>
        <v>0.9</v>
      </c>
      <c r="P283" s="84">
        <f>VLOOKUP(lmic_raw_ub[[#This Row],[gbd_super]],hbe_risk[],7,FALSE)</f>
        <v>0.3</v>
      </c>
      <c r="Q283" s="98">
        <f>VLOOKUP(lmic_raw_ub[[#This Row],[setting]],lmic_raw[],17,FALSE)*(1+interactive!$C$7)</f>
        <v>7.1281283686801302</v>
      </c>
      <c r="R283" s="98">
        <f>VLOOKUP(lmic_raw_ub[[#This Row],[setting]],lmic_raw[],18,FALSE)*(1+interactive!$C$7)</f>
        <v>46.76427000000001</v>
      </c>
      <c r="S283" s="98">
        <f>VLOOKUP(lmic_raw_ub[[#This Row],[setting]],lmic_raw[],19,FALSE)*(1+interactive!$C$7)</f>
        <v>96.893370000000019</v>
      </c>
      <c r="T283" s="98">
        <f>VLOOKUP(lmic_raw_ub[[#This Row],[setting]],lmic_raw[],20,FALSE)*(1+interactive!$C$7)</f>
        <v>96.893370000000019</v>
      </c>
      <c r="U283" s="98">
        <f>VLOOKUP(lmic_raw_ub[[#This Row],[setting]],lmic_raw[],21,FALSE)*(1+interactive!$C$7)</f>
        <v>96.893370000000019</v>
      </c>
      <c r="V283" s="33">
        <f>IFERROR(VLOOKUP(lmic_raw_ub[[#This Row],[setting]],vcost_ub[],3,FALSE),0)</f>
        <v>10.423433709691896</v>
      </c>
      <c r="W283" s="33">
        <f>IFERROR(VLOOKUP(lmic_raw_ub[[#This Row],[setting]],vcost_ub[],4,FALSE),0)</f>
        <v>14.692418709691896</v>
      </c>
      <c r="X283" s="33">
        <f>IFERROR(VLOOKUP(lmic_raw_ub[[#This Row],[setting]],vcost_ub[],5,FALSE),0)</f>
        <v>9.9120771506365557</v>
      </c>
      <c r="Y283" s="33">
        <f>IFERROR(VLOOKUP(lmic_raw_ub[[#This Row],[setting]],vcost_ub[],6,FALSE),0)</f>
        <v>14.181062150636556</v>
      </c>
      <c r="Z283" s="33">
        <f>IFERROR(VLOOKUP(lmic_raw_ub[[#This Row],[setting]],vcost_ub[],7,FALSE),0)</f>
        <v>14.165233004757017</v>
      </c>
      <c r="AA283" s="33">
        <f>IFERROR(VLOOKUP(lmic_raw_ub[[#This Row],[setting]],vcost_ub[],8,FALSE),0)</f>
        <v>10.69558295624387</v>
      </c>
      <c r="AB283" s="33">
        <f>IFERROR(VLOOKUP(lmic_raw_ub[[#This Row],[setting]],vcost_ub[],9,FALSE),0)</f>
        <v>14.96456795624387</v>
      </c>
      <c r="AC283" s="84">
        <f>VLOOKUP($A283,lmic_raw[],29,FALSE)*(1+interactive!$C$7)</f>
        <v>1.1305622999999949E-2</v>
      </c>
      <c r="AD283" s="84">
        <f>VLOOKUP($A283,lmic_raw[],30,FALSE)*(1+interactive!$C$7)</f>
        <v>6.3538712841229702E-4</v>
      </c>
      <c r="AE283" s="84">
        <f>VLOOKUP($A283,lmic_raw[],31,FALSE)*(1+interactive!$C$7)</f>
        <v>2.036205972877062E-4</v>
      </c>
      <c r="AF283" s="84">
        <f>VLOOKUP($A283,lmic_raw[],32,FALSE)*(1+interactive!$C$7)</f>
        <v>2.6074018110619208E-4</v>
      </c>
      <c r="AG283" s="84">
        <f>VLOOKUP($A283,lmic_raw[],33,FALSE)*(1+interactive!$C$7)</f>
        <v>6.6139323819383599E-4</v>
      </c>
      <c r="AH283" s="84">
        <f>VLOOKUP($A283,lmic_raw[],34,FALSE)*(1+interactive!$C$7)</f>
        <v>6.4808945827407572E-4</v>
      </c>
      <c r="AI283" s="84">
        <f>VLOOKUP($A283,lmic_raw[],35,FALSE)*(1+interactive!$C$7)</f>
        <v>6.1303933032236962E-4</v>
      </c>
      <c r="AJ283" s="84">
        <f>VLOOKUP($A283,lmic_raw[],36,FALSE)*(1+interactive!$C$7)</f>
        <v>8.0725571675903374E-4</v>
      </c>
      <c r="AK283" s="84">
        <f>VLOOKUP($A283,lmic_raw[],37,FALSE)*(1+interactive!$C$7)</f>
        <v>1.2139930181896412E-3</v>
      </c>
      <c r="AL283" s="84">
        <f>VLOOKUP($A283,lmic_raw[],38,FALSE)*(1+interactive!$C$7)</f>
        <v>2.2839225345098143E-3</v>
      </c>
      <c r="AM283" s="84">
        <f>VLOOKUP($A283,lmic_raw[],39,FALSE)*(1+interactive!$C$7)</f>
        <v>3.7918392970737861E-3</v>
      </c>
      <c r="AN283" s="84">
        <f>VLOOKUP($A283,lmic_raw[],40,FALSE)*(1+interactive!$C$7)</f>
        <v>6.2356902461657782E-3</v>
      </c>
      <c r="AO283" s="84">
        <f>VLOOKUP($A283,lmic_raw[],41,FALSE)*(1+interactive!$C$7)</f>
        <v>9.3726257396530184E-3</v>
      </c>
      <c r="AP283" s="84">
        <f>VLOOKUP($A283,lmic_raw[],42,FALSE)*(1+interactive!$C$7)</f>
        <v>1.4598259772619906E-2</v>
      </c>
      <c r="AQ283" s="84">
        <f>VLOOKUP($A283,lmic_raw[],43,FALSE)*(1+interactive!$C$7)</f>
        <v>2.2032205194243204E-2</v>
      </c>
      <c r="AR283" s="84">
        <f>VLOOKUP($A283,lmic_raw[],44,FALSE)*(1+interactive!$C$7)</f>
        <v>3.5071574389257419E-2</v>
      </c>
      <c r="AS283" s="84">
        <f>VLOOKUP($A283,lmic_raw[],45,FALSE)*(1+interactive!$C$7)</f>
        <v>5.7391741988149142E-2</v>
      </c>
      <c r="AT283" s="84">
        <f>VLOOKUP($A283,lmic_raw[],46,FALSE)*(1+interactive!$C$7)</f>
        <v>8.7063913993442293E-2</v>
      </c>
      <c r="AU283" s="84">
        <f>VLOOKUP($A283,lmic_raw[],47,FALSE)*(1+interactive!$C$7)</f>
        <v>0.12189283652912442</v>
      </c>
      <c r="AV283" s="84">
        <f>VLOOKUP($A283,lmic_raw[],48,FALSE)*(1+interactive!$C$7)</f>
        <v>0.15665459761307635</v>
      </c>
      <c r="AW283" s="84">
        <f>VLOOKUP($A283,lmic_raw[],49,FALSE)*(1+interactive!$C$7)</f>
        <v>0.17908283942329489</v>
      </c>
      <c r="AX283" s="84">
        <f>VLOOKUP($A283,lmic_raw[],50,FALSE)*(1+interactive!$C$7)</f>
        <v>78.609300000000005</v>
      </c>
    </row>
    <row r="284" spans="1:50" x14ac:dyDescent="0.25">
      <c r="A284" s="109" t="s">
        <v>166</v>
      </c>
      <c r="B284" s="101" t="s">
        <v>377</v>
      </c>
      <c r="C284" s="102">
        <v>31</v>
      </c>
      <c r="D284" s="82" t="s">
        <v>675</v>
      </c>
      <c r="E284" s="82" t="s">
        <v>184</v>
      </c>
      <c r="F284" s="82" t="s">
        <v>663</v>
      </c>
      <c r="G284" s="82" t="s">
        <v>676</v>
      </c>
      <c r="H284" s="33">
        <f>VLOOKUP(lmic_raw_ub[[#This Row],[setting]],lmic_raw[],8,FALSE)</f>
        <v>10047719</v>
      </c>
      <c r="I284" s="33">
        <f>VLOOKUP(lmic_raw_ub[[#This Row],[setting]],lmic_raw[],9,FALSE)</f>
        <v>171655.23139599999</v>
      </c>
      <c r="J284" s="84">
        <f>MIN(VLOOKUP($A284,lmic_raw[],10,FALSE)*(1+interactive!$C$7),0.9999)</f>
        <v>0.99990000000000001</v>
      </c>
      <c r="K284" s="84">
        <f>MIN(VLOOKUP($A284,lmic_raw[],11,FALSE)*(1+interactive!$C$7),0.9999)</f>
        <v>0.99990000000000001</v>
      </c>
      <c r="L284" s="33">
        <f>MIN(VLOOKUP($A284,lmic_raw[],12,FALSE)*(1+interactive!$C$7),0.9999)</f>
        <v>0.98699999999999999</v>
      </c>
      <c r="M284" s="84">
        <f>IFERROR(VLOOKUP(lmic_raw_ub[[#This Row],[iso3]], hbv_prev[[iso3]:[ub]],4,FALSE)/100,0)</f>
        <v>3.5400000000000001E-2</v>
      </c>
      <c r="N284" s="84">
        <f>IFERROR(VLOOKUP(lmic_raw_ub[[#This Row],[setting]],hbe_prev[],5,FALSE),0)</f>
        <v>0.43079999999999996</v>
      </c>
      <c r="O284" s="84">
        <f>VLOOKUP(lmic_raw_ub[[#This Row],[gbd_super]],hbe_risk[],4,FALSE)</f>
        <v>0.9</v>
      </c>
      <c r="P284" s="84">
        <f>VLOOKUP(lmic_raw_ub[[#This Row],[gbd_super]],hbe_risk[],7,FALSE)</f>
        <v>0.3</v>
      </c>
      <c r="Q284" s="98">
        <f>VLOOKUP(lmic_raw_ub[[#This Row],[setting]],lmic_raw[],17,FALSE)*(1+interactive!$C$7)</f>
        <v>0</v>
      </c>
      <c r="R284" s="98">
        <f>VLOOKUP(lmic_raw_ub[[#This Row],[setting]],lmic_raw[],18,FALSE)*(1+interactive!$C$7)</f>
        <v>46.76427000000001</v>
      </c>
      <c r="S284" s="98">
        <f>VLOOKUP(lmic_raw_ub[[#This Row],[setting]],lmic_raw[],19,FALSE)*(1+interactive!$C$7)</f>
        <v>96.893370000000019</v>
      </c>
      <c r="T284" s="98">
        <f>VLOOKUP(lmic_raw_ub[[#This Row],[setting]],lmic_raw[],20,FALSE)*(1+interactive!$C$7)</f>
        <v>96.893370000000019</v>
      </c>
      <c r="U284" s="98">
        <f>VLOOKUP(lmic_raw_ub[[#This Row],[setting]],lmic_raw[],21,FALSE)*(1+interactive!$C$7)</f>
        <v>96.893370000000019</v>
      </c>
      <c r="V284" s="33">
        <f>IFERROR(VLOOKUP(lmic_raw_ub[[#This Row],[setting]],vcost_ub[],3,FALSE),0)</f>
        <v>9.4565986640858206</v>
      </c>
      <c r="W284" s="33">
        <f>IFERROR(VLOOKUP(lmic_raw_ub[[#This Row],[setting]],vcost_ub[],4,FALSE),0)</f>
        <v>13.725583664085821</v>
      </c>
      <c r="X284" s="33">
        <f>IFERROR(VLOOKUP(lmic_raw_ub[[#This Row],[setting]],vcost_ub[],5,FALSE),0)</f>
        <v>8.9446291916249443</v>
      </c>
      <c r="Y284" s="33">
        <f>IFERROR(VLOOKUP(lmic_raw_ub[[#This Row],[setting]],vcost_ub[],6,FALSE),0)</f>
        <v>13.213614191624945</v>
      </c>
      <c r="Z284" s="33">
        <f>IFERROR(VLOOKUP(lmic_raw_ub[[#This Row],[setting]],vcost_ub[],7,FALSE),0)</f>
        <v>13.197718528165344</v>
      </c>
      <c r="AA284" s="33">
        <f>IFERROR(VLOOKUP(lmic_raw_ub[[#This Row],[setting]],vcost_ub[],8,FALSE),0)</f>
        <v>9.7288870382206465</v>
      </c>
      <c r="AB284" s="33">
        <f>IFERROR(VLOOKUP(lmic_raw_ub[[#This Row],[setting]],vcost_ub[],9,FALSE),0)</f>
        <v>13.997872038220647</v>
      </c>
      <c r="AC284" s="84">
        <f>VLOOKUP($A284,lmic_raw[],29,FALSE)*(1+interactive!$C$7)</f>
        <v>2.1846110999999946E-2</v>
      </c>
      <c r="AD284" s="84">
        <f>VLOOKUP($A284,lmic_raw[],30,FALSE)*(1+interactive!$C$7)</f>
        <v>1.1793885202626491E-3</v>
      </c>
      <c r="AE284" s="84">
        <f>VLOOKUP($A284,lmic_raw[],31,FALSE)*(1+interactive!$C$7)</f>
        <v>4.0230899889438917E-4</v>
      </c>
      <c r="AF284" s="84">
        <f>VLOOKUP($A284,lmic_raw[],32,FALSE)*(1+interactive!$C$7)</f>
        <v>3.4391203420671416E-4</v>
      </c>
      <c r="AG284" s="84">
        <f>VLOOKUP($A284,lmic_raw[],33,FALSE)*(1+interactive!$C$7)</f>
        <v>7.0461586053505046E-4</v>
      </c>
      <c r="AH284" s="84">
        <f>VLOOKUP($A284,lmic_raw[],34,FALSE)*(1+interactive!$C$7)</f>
        <v>8.7594253175536923E-4</v>
      </c>
      <c r="AI284" s="84">
        <f>VLOOKUP($A284,lmic_raw[],35,FALSE)*(1+interactive!$C$7)</f>
        <v>8.8235187946452234E-4</v>
      </c>
      <c r="AJ284" s="84">
        <f>VLOOKUP($A284,lmic_raw[],36,FALSE)*(1+interactive!$C$7)</f>
        <v>1.0582051565842872E-3</v>
      </c>
      <c r="AK284" s="84">
        <f>VLOOKUP($A284,lmic_raw[],37,FALSE)*(1+interactive!$C$7)</f>
        <v>1.4819226964225328E-3</v>
      </c>
      <c r="AL284" s="84">
        <f>VLOOKUP($A284,lmic_raw[],38,FALSE)*(1+interactive!$C$7)</f>
        <v>2.2408441197714385E-3</v>
      </c>
      <c r="AM284" s="84">
        <f>VLOOKUP($A284,lmic_raw[],39,FALSE)*(1+interactive!$C$7)</f>
        <v>3.6372907403722865E-3</v>
      </c>
      <c r="AN284" s="84">
        <f>VLOOKUP($A284,lmic_raw[],40,FALSE)*(1+interactive!$C$7)</f>
        <v>5.9156551461323819E-3</v>
      </c>
      <c r="AO284" s="84">
        <f>VLOOKUP($A284,lmic_raw[],41,FALSE)*(1+interactive!$C$7)</f>
        <v>9.5894514051201515E-3</v>
      </c>
      <c r="AP284" s="84">
        <f>VLOOKUP($A284,lmic_raw[],42,FALSE)*(1+interactive!$C$7)</f>
        <v>1.5643340281275005E-2</v>
      </c>
      <c r="AQ284" s="84">
        <f>VLOOKUP($A284,lmic_raw[],43,FALSE)*(1+interactive!$C$7)</f>
        <v>2.5292856682757672E-2</v>
      </c>
      <c r="AR284" s="84">
        <f>VLOOKUP($A284,lmic_raw[],44,FALSE)*(1+interactive!$C$7)</f>
        <v>4.0843168590751461E-2</v>
      </c>
      <c r="AS284" s="84">
        <f>VLOOKUP($A284,lmic_raw[],45,FALSE)*(1+interactive!$C$7)</f>
        <v>6.4703097396811488E-2</v>
      </c>
      <c r="AT284" s="84">
        <f>VLOOKUP($A284,lmic_raw[],46,FALSE)*(1+interactive!$C$7)</f>
        <v>9.6037780124671776E-2</v>
      </c>
      <c r="AU284" s="84">
        <f>VLOOKUP($A284,lmic_raw[],47,FALSE)*(1+interactive!$C$7)</f>
        <v>0.13172421793735517</v>
      </c>
      <c r="AV284" s="84">
        <f>VLOOKUP($A284,lmic_raw[],48,FALSE)*(1+interactive!$C$7)</f>
        <v>0.16248624718434443</v>
      </c>
      <c r="AW284" s="84">
        <f>VLOOKUP($A284,lmic_raw[],49,FALSE)*(1+interactive!$C$7)</f>
        <v>0.1828268974179951</v>
      </c>
      <c r="AX284" s="84">
        <f>VLOOKUP($A284,lmic_raw[],50,FALSE)*(1+interactive!$C$7)</f>
        <v>76.450500000000005</v>
      </c>
    </row>
    <row r="285" spans="1:50" x14ac:dyDescent="0.25">
      <c r="A285" s="110" t="s">
        <v>192</v>
      </c>
      <c r="B285" s="104" t="s">
        <v>379</v>
      </c>
      <c r="C285" s="105">
        <v>50</v>
      </c>
      <c r="D285" s="84" t="s">
        <v>680</v>
      </c>
      <c r="E285" s="84" t="s">
        <v>589</v>
      </c>
      <c r="F285" s="84" t="s">
        <v>589</v>
      </c>
      <c r="G285" s="84" t="s">
        <v>678</v>
      </c>
      <c r="H285" s="33">
        <f>VLOOKUP(lmic_raw_ub[[#This Row],[setting]],lmic_raw[],8,FALSE)</f>
        <v>163046173</v>
      </c>
      <c r="I285" s="33">
        <f>VLOOKUP(lmic_raw_ub[[#This Row],[setting]],lmic_raw[],9,FALSE)</f>
        <v>2993690.7824530001</v>
      </c>
      <c r="J285" s="84">
        <f>MIN(VLOOKUP($A285,lmic_raw[],10,FALSE)*(1+interactive!$C$7),0.9999)</f>
        <v>0.56070000000000009</v>
      </c>
      <c r="K285" s="84">
        <f>MIN(VLOOKUP($A285,lmic_raw[],11,FALSE)*(1+interactive!$C$7),0.9999)</f>
        <v>0</v>
      </c>
      <c r="L285" s="33">
        <f>MIN(VLOOKUP($A285,lmic_raw[],12,FALSE)*(1+interactive!$C$7),0.9999)</f>
        <v>0.99990000000000001</v>
      </c>
      <c r="M285" s="84">
        <f>IFERROR(VLOOKUP(lmic_raw_ub[[#This Row],[iso3]], hbv_prev[[iso3]:[ub]],4,FALSE)/100,0)</f>
        <v>5.0199999999999995E-2</v>
      </c>
      <c r="N285" s="84">
        <f>IFERROR(VLOOKUP(lmic_raw_ub[[#This Row],[setting]],hbe_prev[],5,FALSE),0)</f>
        <v>0.35830000000000001</v>
      </c>
      <c r="O285" s="84">
        <f>VLOOKUP(lmic_raw_ub[[#This Row],[gbd_super]],hbe_risk[],4,FALSE)</f>
        <v>0.9</v>
      </c>
      <c r="P285" s="84">
        <f>VLOOKUP(lmic_raw_ub[[#This Row],[gbd_super]],hbe_risk[],7,FALSE)</f>
        <v>0.3</v>
      </c>
      <c r="Q285" s="98">
        <f>VLOOKUP(lmic_raw_ub[[#This Row],[setting]],lmic_raw[],17,FALSE)*(1+interactive!$C$7)</f>
        <v>0</v>
      </c>
      <c r="R285" s="98">
        <f>VLOOKUP(lmic_raw_ub[[#This Row],[setting]],lmic_raw[],18,FALSE)*(1+interactive!$C$7)</f>
        <v>48.194895000000002</v>
      </c>
      <c r="S285" s="98">
        <f>VLOOKUP(lmic_raw_ub[[#This Row],[setting]],lmic_raw[],19,FALSE)*(1+interactive!$C$7)</f>
        <v>98.323995000000011</v>
      </c>
      <c r="T285" s="98">
        <f>VLOOKUP(lmic_raw_ub[[#This Row],[setting]],lmic_raw[],20,FALSE)*(1+interactive!$C$7)</f>
        <v>98.323995000000011</v>
      </c>
      <c r="U285" s="98">
        <f>VLOOKUP(lmic_raw_ub[[#This Row],[setting]],lmic_raw[],21,FALSE)*(1+interactive!$C$7)</f>
        <v>98.323995000000011</v>
      </c>
      <c r="V285" s="33">
        <f>IFERROR(VLOOKUP(lmic_raw_ub[[#This Row],[setting]],vcost_ub[],3,FALSE),0)</f>
        <v>5.7236747832122017</v>
      </c>
      <c r="W285" s="33">
        <f>IFERROR(VLOOKUP(lmic_raw_ub[[#This Row],[setting]],vcost_ub[],4,FALSE),0)</f>
        <v>8.2961747832122015</v>
      </c>
      <c r="X285" s="33">
        <f>IFERROR(VLOOKUP(lmic_raw_ub[[#This Row],[setting]],vcost_ub[],5,FALSE),0)</f>
        <v>5.2182719569838305</v>
      </c>
      <c r="Y285" s="33">
        <f>IFERROR(VLOOKUP(lmic_raw_ub[[#This Row],[setting]],vcost_ub[],6,FALSE),0)</f>
        <v>7.7907719569838303</v>
      </c>
      <c r="Z285" s="33">
        <f>IFERROR(VLOOKUP(lmic_raw_ub[[#This Row],[setting]],vcost_ub[],7,FALSE),0)</f>
        <v>7.7774462209191153</v>
      </c>
      <c r="AA285" s="33">
        <f>IFERROR(VLOOKUP(lmic_raw_ub[[#This Row],[setting]],vcost_ub[],8,FALSE),0)</f>
        <v>5.9944725689384208</v>
      </c>
      <c r="AB285" s="33">
        <f>IFERROR(VLOOKUP(lmic_raw_ub[[#This Row],[setting]],vcost_ub[],9,FALSE),0)</f>
        <v>8.5669725689384215</v>
      </c>
      <c r="AC285" s="84">
        <f>VLOOKUP($A285,lmic_raw[],29,FALSE)*(1+interactive!$C$7)</f>
        <v>2.8192899000000004E-2</v>
      </c>
      <c r="AD285" s="84">
        <f>VLOOKUP($A285,lmic_raw[],30,FALSE)*(1+interactive!$C$7)</f>
        <v>1.4986931043553069E-3</v>
      </c>
      <c r="AE285" s="84">
        <f>VLOOKUP($A285,lmic_raw[],31,FALSE)*(1+interactive!$C$7)</f>
        <v>7.8563003325332961E-4</v>
      </c>
      <c r="AF285" s="84">
        <f>VLOOKUP($A285,lmic_raw[],32,FALSE)*(1+interactive!$C$7)</f>
        <v>6.6779422157501136E-4</v>
      </c>
      <c r="AG285" s="84">
        <f>VLOOKUP($A285,lmic_raw[],33,FALSE)*(1+interactive!$C$7)</f>
        <v>1.063212751384799E-3</v>
      </c>
      <c r="AH285" s="84">
        <f>VLOOKUP($A285,lmic_raw[],34,FALSE)*(1+interactive!$C$7)</f>
        <v>1.0913486411609861E-3</v>
      </c>
      <c r="AI285" s="84">
        <f>VLOOKUP($A285,lmic_raw[],35,FALSE)*(1+interactive!$C$7)</f>
        <v>1.0459760013848676E-3</v>
      </c>
      <c r="AJ285" s="84">
        <f>VLOOKUP($A285,lmic_raw[],36,FALSE)*(1+interactive!$C$7)</f>
        <v>1.3084921595591435E-3</v>
      </c>
      <c r="AK285" s="84">
        <f>VLOOKUP($A285,lmic_raw[],37,FALSE)*(1+interactive!$C$7)</f>
        <v>1.7796586704125564E-3</v>
      </c>
      <c r="AL285" s="84">
        <f>VLOOKUP($A285,lmic_raw[],38,FALSE)*(1+interactive!$C$7)</f>
        <v>2.6143720126092776E-3</v>
      </c>
      <c r="AM285" s="84">
        <f>VLOOKUP($A285,lmic_raw[],39,FALSE)*(1+interactive!$C$7)</f>
        <v>4.0728585310740931E-3</v>
      </c>
      <c r="AN285" s="84">
        <f>VLOOKUP($A285,lmic_raw[],40,FALSE)*(1+interactive!$C$7)</f>
        <v>6.6860062866684819E-3</v>
      </c>
      <c r="AO285" s="84">
        <f>VLOOKUP($A285,lmic_raw[],41,FALSE)*(1+interactive!$C$7)</f>
        <v>1.0524517731137347E-2</v>
      </c>
      <c r="AP285" s="84">
        <f>VLOOKUP($A285,lmic_raw[],42,FALSE)*(1+interactive!$C$7)</f>
        <v>1.7482220111529546E-2</v>
      </c>
      <c r="AQ285" s="84">
        <f>VLOOKUP($A285,lmic_raw[],43,FALSE)*(1+interactive!$C$7)</f>
        <v>2.5341885398422238E-2</v>
      </c>
      <c r="AR285" s="84">
        <f>VLOOKUP($A285,lmic_raw[],44,FALSE)*(1+interactive!$C$7)</f>
        <v>4.1097138602292867E-2</v>
      </c>
      <c r="AS285" s="84">
        <f>VLOOKUP($A285,lmic_raw[],45,FALSE)*(1+interactive!$C$7)</f>
        <v>5.5612030207403025E-2</v>
      </c>
      <c r="AT285" s="84">
        <f>VLOOKUP($A285,lmic_raw[],46,FALSE)*(1+interactive!$C$7)</f>
        <v>8.0003176281822214E-2</v>
      </c>
      <c r="AU285" s="84">
        <f>VLOOKUP($A285,lmic_raw[],47,FALSE)*(1+interactive!$C$7)</f>
        <v>0.10572073696016218</v>
      </c>
      <c r="AV285" s="84">
        <f>VLOOKUP($A285,lmic_raw[],48,FALSE)*(1+interactive!$C$7)</f>
        <v>0.13082793838293505</v>
      </c>
      <c r="AW285" s="84">
        <f>VLOOKUP($A285,lmic_raw[],49,FALSE)*(1+interactive!$C$7)</f>
        <v>0.14828933962360599</v>
      </c>
      <c r="AX285" s="84">
        <f>VLOOKUP($A285,lmic_raw[],50,FALSE)*(1+interactive!$C$7)</f>
        <v>75.757500000000007</v>
      </c>
    </row>
    <row r="286" spans="1:50" x14ac:dyDescent="0.25">
      <c r="A286" s="109" t="s">
        <v>307</v>
      </c>
      <c r="B286" s="101" t="s">
        <v>381</v>
      </c>
      <c r="C286" s="102">
        <v>112</v>
      </c>
      <c r="D286" s="82" t="s">
        <v>675</v>
      </c>
      <c r="E286" s="82" t="s">
        <v>306</v>
      </c>
      <c r="F286" s="82" t="s">
        <v>663</v>
      </c>
      <c r="G286" s="82" t="s">
        <v>676</v>
      </c>
      <c r="H286" s="33">
        <f>VLOOKUP(lmic_raw_ub[[#This Row],[setting]],lmic_raw[],8,FALSE)</f>
        <v>9452409</v>
      </c>
      <c r="I286" s="33">
        <f>VLOOKUP(lmic_raw_ub[[#This Row],[setting]],lmic_raw[],9,FALSE)</f>
        <v>111916.52256</v>
      </c>
      <c r="J286" s="84">
        <f>MIN(VLOOKUP($A286,lmic_raw[],10,FALSE)*(1+interactive!$C$7),0.9999)</f>
        <v>0.99990000000000001</v>
      </c>
      <c r="K286" s="84">
        <f>MIN(VLOOKUP($A286,lmic_raw[],11,FALSE)*(1+interactive!$C$7),0.9999)</f>
        <v>0.99990000000000001</v>
      </c>
      <c r="L286" s="33">
        <f>MIN(VLOOKUP($A286,lmic_raw[],12,FALSE)*(1+interactive!$C$7),0.9999)</f>
        <v>0.99990000000000001</v>
      </c>
      <c r="M286" s="84">
        <f>IFERROR(VLOOKUP(lmic_raw_ub[[#This Row],[iso3]], hbv_prev[[iso3]:[ub]],4,FALSE)/100,0)</f>
        <v>0.1195</v>
      </c>
      <c r="N286" s="84">
        <f>IFERROR(VLOOKUP(lmic_raw_ub[[#This Row],[setting]],hbe_prev[],5,FALSE),0)</f>
        <v>0.42969999999999997</v>
      </c>
      <c r="O286" s="84">
        <f>VLOOKUP(lmic_raw_ub[[#This Row],[gbd_super]],hbe_risk[],4,FALSE)</f>
        <v>0.9</v>
      </c>
      <c r="P286" s="84">
        <f>VLOOKUP(lmic_raw_ub[[#This Row],[gbd_super]],hbe_risk[],7,FALSE)</f>
        <v>0.3</v>
      </c>
      <c r="Q286" s="98">
        <f>VLOOKUP(lmic_raw_ub[[#This Row],[setting]],lmic_raw[],17,FALSE)*(1+interactive!$C$7)</f>
        <v>10.605166612384142</v>
      </c>
      <c r="R286" s="98">
        <f>VLOOKUP(lmic_raw_ub[[#This Row],[setting]],lmic_raw[],18,FALSE)*(1+interactive!$C$7)</f>
        <v>46.76427000000001</v>
      </c>
      <c r="S286" s="98">
        <f>VLOOKUP(lmic_raw_ub[[#This Row],[setting]],lmic_raw[],19,FALSE)*(1+interactive!$C$7)</f>
        <v>96.893370000000019</v>
      </c>
      <c r="T286" s="98">
        <f>VLOOKUP(lmic_raw_ub[[#This Row],[setting]],lmic_raw[],20,FALSE)*(1+interactive!$C$7)</f>
        <v>96.893370000000019</v>
      </c>
      <c r="U286" s="98">
        <f>VLOOKUP(lmic_raw_ub[[#This Row],[setting]],lmic_raw[],21,FALSE)*(1+interactive!$C$7)</f>
        <v>96.893370000000019</v>
      </c>
      <c r="V286" s="33">
        <f>IFERROR(VLOOKUP(lmic_raw_ub[[#This Row],[setting]],vcost_ub[],3,FALSE),0)</f>
        <v>10.583041801639672</v>
      </c>
      <c r="W286" s="33">
        <f>IFERROR(VLOOKUP(lmic_raw_ub[[#This Row],[setting]],vcost_ub[],4,FALSE),0)</f>
        <v>14.852026801639672</v>
      </c>
      <c r="X286" s="33">
        <f>IFERROR(VLOOKUP(lmic_raw_ub[[#This Row],[setting]],vcost_ub[],5,FALSE),0)</f>
        <v>10.060141388624309</v>
      </c>
      <c r="Y286" s="33">
        <f>IFERROR(VLOOKUP(lmic_raw_ub[[#This Row],[setting]],vcost_ub[],6,FALSE),0)</f>
        <v>14.32912638862431</v>
      </c>
      <c r="Z286" s="33">
        <f>IFERROR(VLOOKUP(lmic_raw_ub[[#This Row],[setting]],vcost_ub[],7,FALSE),0)</f>
        <v>14.307320444076154</v>
      </c>
      <c r="AA286" s="33">
        <f>IFERROR(VLOOKUP(lmic_raw_ub[[#This Row],[setting]],vcost_ub[],8,FALSE),0)</f>
        <v>10.85781143221938</v>
      </c>
      <c r="AB286" s="33">
        <f>IFERROR(VLOOKUP(lmic_raw_ub[[#This Row],[setting]],vcost_ub[],9,FALSE),0)</f>
        <v>15.126796432219381</v>
      </c>
      <c r="AC286" s="84">
        <f>VLOOKUP($A286,lmic_raw[],29,FALSE)*(1+interactive!$C$7)</f>
        <v>3.1142160000000442E-3</v>
      </c>
      <c r="AD286" s="84">
        <f>VLOOKUP($A286,lmic_raw[],30,FALSE)*(1+interactive!$C$7)</f>
        <v>2.2903592723731752E-4</v>
      </c>
      <c r="AE286" s="84">
        <f>VLOOKUP($A286,lmic_raw[],31,FALSE)*(1+interactive!$C$7)</f>
        <v>1.4563292605942237E-4</v>
      </c>
      <c r="AF286" s="84">
        <f>VLOOKUP($A286,lmic_raw[],32,FALSE)*(1+interactive!$C$7)</f>
        <v>1.3827040588088927E-4</v>
      </c>
      <c r="AG286" s="84">
        <f>VLOOKUP($A286,lmic_raw[],33,FALSE)*(1+interactive!$C$7)</f>
        <v>3.6928136403498733E-4</v>
      </c>
      <c r="AH286" s="84">
        <f>VLOOKUP($A286,lmic_raw[],34,FALSE)*(1+interactive!$C$7)</f>
        <v>6.2866237324011481E-4</v>
      </c>
      <c r="AI286" s="84">
        <f>VLOOKUP($A286,lmic_raw[],35,FALSE)*(1+interactive!$C$7)</f>
        <v>9.1833463519413452E-4</v>
      </c>
      <c r="AJ286" s="84">
        <f>VLOOKUP($A286,lmic_raw[],36,FALSE)*(1+interactive!$C$7)</f>
        <v>1.5047410190924481E-3</v>
      </c>
      <c r="AK286" s="84">
        <f>VLOOKUP($A286,lmic_raw[],37,FALSE)*(1+interactive!$C$7)</f>
        <v>2.4092155402448421E-3</v>
      </c>
      <c r="AL286" s="84">
        <f>VLOOKUP($A286,lmic_raw[],38,FALSE)*(1+interactive!$C$7)</f>
        <v>3.4813995843920647E-3</v>
      </c>
      <c r="AM286" s="84">
        <f>VLOOKUP($A286,lmic_raw[],39,FALSE)*(1+interactive!$C$7)</f>
        <v>5.2246224328802889E-3</v>
      </c>
      <c r="AN286" s="84">
        <f>VLOOKUP($A286,lmic_raw[],40,FALSE)*(1+interactive!$C$7)</f>
        <v>7.6689845751383521E-3</v>
      </c>
      <c r="AO286" s="84">
        <f>VLOOKUP($A286,lmic_raw[],41,FALSE)*(1+interactive!$C$7)</f>
        <v>1.1408770639083786E-2</v>
      </c>
      <c r="AP286" s="84">
        <f>VLOOKUP($A286,lmic_raw[],42,FALSE)*(1+interactive!$C$7)</f>
        <v>1.7257845009927643E-2</v>
      </c>
      <c r="AQ286" s="84">
        <f>VLOOKUP($A286,lmic_raw[],43,FALSE)*(1+interactive!$C$7)</f>
        <v>2.4325331760250705E-2</v>
      </c>
      <c r="AR286" s="84">
        <f>VLOOKUP($A286,lmic_raw[],44,FALSE)*(1+interactive!$C$7)</f>
        <v>3.494601896342301E-2</v>
      </c>
      <c r="AS286" s="84">
        <f>VLOOKUP($A286,lmic_raw[],45,FALSE)*(1+interactive!$C$7)</f>
        <v>5.2843723380311923E-2</v>
      </c>
      <c r="AT286" s="84">
        <f>VLOOKUP($A286,lmic_raw[],46,FALSE)*(1+interactive!$C$7)</f>
        <v>8.1226126212398428E-2</v>
      </c>
      <c r="AU286" s="84">
        <f>VLOOKUP($A286,lmic_raw[],47,FALSE)*(1+interactive!$C$7)</f>
        <v>0.11524829500926877</v>
      </c>
      <c r="AV286" s="84">
        <f>VLOOKUP($A286,lmic_raw[],48,FALSE)*(1+interactive!$C$7)</f>
        <v>0.15259072776501603</v>
      </c>
      <c r="AW286" s="84">
        <f>VLOOKUP($A286,lmic_raw[],49,FALSE)*(1+interactive!$C$7)</f>
        <v>0.18060359571210541</v>
      </c>
      <c r="AX286" s="84">
        <f>VLOOKUP($A286,lmic_raw[],50,FALSE)*(1+interactive!$C$7)</f>
        <v>78.214500000000001</v>
      </c>
    </row>
    <row r="287" spans="1:50" x14ac:dyDescent="0.25">
      <c r="A287" s="110" t="s">
        <v>253</v>
      </c>
      <c r="B287" s="104" t="s">
        <v>382</v>
      </c>
      <c r="C287" s="105">
        <v>84</v>
      </c>
      <c r="D287" s="84" t="s">
        <v>679</v>
      </c>
      <c r="E287" s="84" t="s">
        <v>223</v>
      </c>
      <c r="F287" s="84" t="s">
        <v>665</v>
      </c>
      <c r="G287" s="84" t="s">
        <v>676</v>
      </c>
      <c r="H287" s="33">
        <f>VLOOKUP(lmic_raw_ub[[#This Row],[setting]],lmic_raw[],8,FALSE)</f>
        <v>390351</v>
      </c>
      <c r="I287" s="33">
        <f>VLOOKUP(lmic_raw_ub[[#This Row],[setting]],lmic_raw[],9,FALSE)</f>
        <v>8153.6516880000008</v>
      </c>
      <c r="J287" s="84">
        <f>MIN(VLOOKUP($A287,lmic_raw[],10,FALSE)*(1+interactive!$C$7),0.9999)</f>
        <v>0.99990000000000001</v>
      </c>
      <c r="K287" s="84">
        <f>MIN(VLOOKUP($A287,lmic_raw[],11,FALSE)*(1+interactive!$C$7),0.9999)</f>
        <v>0.73499999999999999</v>
      </c>
      <c r="L287" s="33">
        <f>MIN(VLOOKUP($A287,lmic_raw[],12,FALSE)*(1+interactive!$C$7),0.9999)</f>
        <v>0.99990000000000001</v>
      </c>
      <c r="M287" s="84">
        <f>IFERROR(VLOOKUP(lmic_raw_ub[[#This Row],[iso3]], hbv_prev[[iso3]:[ub]],4,FALSE)/100,0)</f>
        <v>5.2499999999999998E-2</v>
      </c>
      <c r="N287" s="84">
        <f>IFERROR(VLOOKUP(lmic_raw_ub[[#This Row],[setting]],hbe_prev[],5,FALSE),0)</f>
        <v>0.43</v>
      </c>
      <c r="O287" s="84">
        <f>VLOOKUP(lmic_raw_ub[[#This Row],[gbd_super]],hbe_risk[],4,FALSE)</f>
        <v>0.9</v>
      </c>
      <c r="P287" s="84">
        <f>VLOOKUP(lmic_raw_ub[[#This Row],[gbd_super]],hbe_risk[],7,FALSE)</f>
        <v>0.3</v>
      </c>
      <c r="Q287" s="98">
        <f>VLOOKUP(lmic_raw_ub[[#This Row],[setting]],lmic_raw[],17,FALSE)*(1+interactive!$C$7)</f>
        <v>9.3838413511547731</v>
      </c>
      <c r="R287" s="98">
        <f>VLOOKUP(lmic_raw_ub[[#This Row],[setting]],lmic_raw[],18,FALSE)*(1+interactive!$C$7)</f>
        <v>91.228094999999996</v>
      </c>
      <c r="S287" s="98">
        <f>VLOOKUP(lmic_raw_ub[[#This Row],[setting]],lmic_raw[],19,FALSE)*(1+interactive!$C$7)</f>
        <v>141.35719500000002</v>
      </c>
      <c r="T287" s="98">
        <f>VLOOKUP(lmic_raw_ub[[#This Row],[setting]],lmic_raw[],20,FALSE)*(1+interactive!$C$7)</f>
        <v>141.35719500000002</v>
      </c>
      <c r="U287" s="98">
        <f>VLOOKUP(lmic_raw_ub[[#This Row],[setting]],lmic_raw[],21,FALSE)*(1+interactive!$C$7)</f>
        <v>141.35719500000002</v>
      </c>
      <c r="V287" s="33">
        <f>IFERROR(VLOOKUP(lmic_raw_ub[[#This Row],[setting]],vcost_ub[],3,FALSE),0)</f>
        <v>21.250053961856697</v>
      </c>
      <c r="W287" s="33">
        <f>IFERROR(VLOOKUP(lmic_raw_ub[[#This Row],[setting]],vcost_ub[],4,FALSE),0)</f>
        <v>21.272943961856697</v>
      </c>
      <c r="X287" s="33">
        <f>IFERROR(VLOOKUP(lmic_raw_ub[[#This Row],[setting]],vcost_ub[],5,FALSE),0)</f>
        <v>20.738104562297604</v>
      </c>
      <c r="Y287" s="33">
        <f>IFERROR(VLOOKUP(lmic_raw_ub[[#This Row],[setting]],vcost_ub[],6,FALSE),0)</f>
        <v>20.760994562297604</v>
      </c>
      <c r="Z287" s="33">
        <f>IFERROR(VLOOKUP(lmic_raw_ub[[#This Row],[setting]],vcost_ub[],7,FALSE),0)</f>
        <v>20.74521010130875</v>
      </c>
      <c r="AA287" s="33">
        <f>IFERROR(VLOOKUP(lmic_raw_ub[[#This Row],[setting]],vcost_ub[],8,FALSE),0)</f>
        <v>21.522337779565962</v>
      </c>
      <c r="AB287" s="33">
        <f>IFERROR(VLOOKUP(lmic_raw_ub[[#This Row],[setting]],vcost_ub[],9,FALSE),0)</f>
        <v>21.545227779565963</v>
      </c>
      <c r="AC287" s="84">
        <f>VLOOKUP($A287,lmic_raw[],29,FALSE)*(1+interactive!$C$7)</f>
        <v>1.3456873500000037E-2</v>
      </c>
      <c r="AD287" s="84">
        <f>VLOOKUP($A287,lmic_raw[],30,FALSE)*(1+interactive!$C$7)</f>
        <v>5.5481416213893861E-4</v>
      </c>
      <c r="AE287" s="84">
        <f>VLOOKUP($A287,lmic_raw[],31,FALSE)*(1+interactive!$C$7)</f>
        <v>3.1954788147657982E-4</v>
      </c>
      <c r="AF287" s="84">
        <f>VLOOKUP($A287,lmic_raw[],32,FALSE)*(1+interactive!$C$7)</f>
        <v>3.4660729338680028E-4</v>
      </c>
      <c r="AG287" s="84">
        <f>VLOOKUP($A287,lmic_raw[],33,FALSE)*(1+interactive!$C$7)</f>
        <v>1.0430379379711484E-3</v>
      </c>
      <c r="AH287" s="84">
        <f>VLOOKUP($A287,lmic_raw[],34,FALSE)*(1+interactive!$C$7)</f>
        <v>1.6363446562201701E-3</v>
      </c>
      <c r="AI287" s="84">
        <f>VLOOKUP($A287,lmic_raw[],35,FALSE)*(1+interactive!$C$7)</f>
        <v>2.4450489148846533E-3</v>
      </c>
      <c r="AJ287" s="84">
        <f>VLOOKUP($A287,lmic_raw[],36,FALSE)*(1+interactive!$C$7)</f>
        <v>2.8888744868287622E-3</v>
      </c>
      <c r="AK287" s="84">
        <f>VLOOKUP($A287,lmic_raw[],37,FALSE)*(1+interactive!$C$7)</f>
        <v>3.0103773615054075E-3</v>
      </c>
      <c r="AL287" s="84">
        <f>VLOOKUP($A287,lmic_raw[],38,FALSE)*(1+interactive!$C$7)</f>
        <v>3.6910390693347039E-3</v>
      </c>
      <c r="AM287" s="84">
        <f>VLOOKUP($A287,lmic_raw[],39,FALSE)*(1+interactive!$C$7)</f>
        <v>5.0869788486900347E-3</v>
      </c>
      <c r="AN287" s="84">
        <f>VLOOKUP($A287,lmic_raw[],40,FALSE)*(1+interactive!$C$7)</f>
        <v>7.0578026459482785E-3</v>
      </c>
      <c r="AO287" s="84">
        <f>VLOOKUP($A287,lmic_raw[],41,FALSE)*(1+interactive!$C$7)</f>
        <v>1.1106750884387824E-2</v>
      </c>
      <c r="AP287" s="84">
        <f>VLOOKUP($A287,lmic_raw[],42,FALSE)*(1+interactive!$C$7)</f>
        <v>1.4790352880018072E-2</v>
      </c>
      <c r="AQ287" s="84">
        <f>VLOOKUP($A287,lmic_raw[],43,FALSE)*(1+interactive!$C$7)</f>
        <v>1.9978271426964601E-2</v>
      </c>
      <c r="AR287" s="84">
        <f>VLOOKUP($A287,lmic_raw[],44,FALSE)*(1+interactive!$C$7)</f>
        <v>2.7879687364920636E-2</v>
      </c>
      <c r="AS287" s="84">
        <f>VLOOKUP($A287,lmic_raw[],45,FALSE)*(1+interactive!$C$7)</f>
        <v>4.0603684682718563E-2</v>
      </c>
      <c r="AT287" s="84">
        <f>VLOOKUP($A287,lmic_raw[],46,FALSE)*(1+interactive!$C$7)</f>
        <v>6.4248609432827355E-2</v>
      </c>
      <c r="AU287" s="84">
        <f>VLOOKUP($A287,lmic_raw[],47,FALSE)*(1+interactive!$C$7)</f>
        <v>8.9522645266624915E-2</v>
      </c>
      <c r="AV287" s="84">
        <f>VLOOKUP($A287,lmic_raw[],48,FALSE)*(1+interactive!$C$7)</f>
        <v>0.11484669495853277</v>
      </c>
      <c r="AW287" s="84">
        <f>VLOOKUP($A287,lmic_raw[],49,FALSE)*(1+interactive!$C$7)</f>
        <v>0.15868235455120486</v>
      </c>
      <c r="AX287" s="84">
        <f>VLOOKUP($A287,lmic_raw[],50,FALSE)*(1+interactive!$C$7)</f>
        <v>78.08850000000001</v>
      </c>
    </row>
    <row r="288" spans="1:50" x14ac:dyDescent="0.25">
      <c r="A288" s="109" t="s">
        <v>138</v>
      </c>
      <c r="B288" s="101" t="s">
        <v>383</v>
      </c>
      <c r="C288" s="102">
        <v>204</v>
      </c>
      <c r="D288" s="82" t="s">
        <v>677</v>
      </c>
      <c r="E288" s="82" t="s">
        <v>591</v>
      </c>
      <c r="F288" s="82" t="s">
        <v>667</v>
      </c>
      <c r="G288" s="82" t="s">
        <v>674</v>
      </c>
      <c r="H288" s="33">
        <f>VLOOKUP(lmic_raw_ub[[#This Row],[setting]],lmic_raw[],8,FALSE)</f>
        <v>11801151</v>
      </c>
      <c r="I288" s="33">
        <f>VLOOKUP(lmic_raw_ub[[#This Row],[setting]],lmic_raw[],9,FALSE)</f>
        <v>429573.69755100005</v>
      </c>
      <c r="J288" s="84">
        <f>MIN(VLOOKUP($A288,lmic_raw[],10,FALSE)*(1+interactive!$C$7),0.9999)</f>
        <v>0.88095000000000012</v>
      </c>
      <c r="K288" s="84">
        <f>MIN(VLOOKUP($A288,lmic_raw[],11,FALSE)*(1+interactive!$C$7),0.9999)</f>
        <v>0</v>
      </c>
      <c r="L288" s="33">
        <f>MIN(VLOOKUP($A288,lmic_raw[],12,FALSE)*(1+interactive!$C$7),0.9999)</f>
        <v>0.79800000000000004</v>
      </c>
      <c r="M288" s="84">
        <f>IFERROR(VLOOKUP(lmic_raw_ub[[#This Row],[iso3]], hbv_prev[[iso3]:[ub]],4,FALSE)/100,0)</f>
        <v>0.14199999999999999</v>
      </c>
      <c r="N288" s="84">
        <f>IFERROR(VLOOKUP(lmic_raw_ub[[#This Row],[setting]],hbe_prev[],5,FALSE),0)</f>
        <v>0.41070000000000001</v>
      </c>
      <c r="O288" s="84">
        <f>VLOOKUP(lmic_raw_ub[[#This Row],[gbd_super]],hbe_risk[],4,FALSE)</f>
        <v>0.74399999999999999</v>
      </c>
      <c r="P288" s="84">
        <f>VLOOKUP(lmic_raw_ub[[#This Row],[gbd_super]],hbe_risk[],7,FALSE)</f>
        <v>0.13300000000000001</v>
      </c>
      <c r="Q288" s="98">
        <f>VLOOKUP(lmic_raw_ub[[#This Row],[setting]],lmic_raw[],17,FALSE)*(1+interactive!$C$7)</f>
        <v>3.3395275583359738</v>
      </c>
      <c r="R288" s="98">
        <f>VLOOKUP(lmic_raw_ub[[#This Row],[setting]],lmic_raw[],18,FALSE)*(1+interactive!$C$7)</f>
        <v>31.416525000000004</v>
      </c>
      <c r="S288" s="98">
        <f>VLOOKUP(lmic_raw_ub[[#This Row],[setting]],lmic_raw[],19,FALSE)*(1+interactive!$C$7)</f>
        <v>81.545625000000015</v>
      </c>
      <c r="T288" s="98">
        <f>VLOOKUP(lmic_raw_ub[[#This Row],[setting]],lmic_raw[],20,FALSE)*(1+interactive!$C$7)</f>
        <v>81.545625000000015</v>
      </c>
      <c r="U288" s="98">
        <f>VLOOKUP(lmic_raw_ub[[#This Row],[setting]],lmic_raw[],21,FALSE)*(1+interactive!$C$7)</f>
        <v>81.545625000000015</v>
      </c>
      <c r="V288" s="33">
        <f>IFERROR(VLOOKUP(lmic_raw_ub[[#This Row],[setting]],vcost_ub[],3,FALSE),0)</f>
        <v>4.010072454579455</v>
      </c>
      <c r="W288" s="33">
        <f>IFERROR(VLOOKUP(lmic_raw_ub[[#This Row],[setting]],vcost_ub[],4,FALSE),0)</f>
        <v>9.0802074545794547</v>
      </c>
      <c r="X288" s="33">
        <f>IFERROR(VLOOKUP(lmic_raw_ub[[#This Row],[setting]],vcost_ub[],5,FALSE),0)</f>
        <v>3.5063770100787357</v>
      </c>
      <c r="Y288" s="33">
        <f>IFERROR(VLOOKUP(lmic_raw_ub[[#This Row],[setting]],vcost_ub[],6,FALSE),0)</f>
        <v>8.5765120100787371</v>
      </c>
      <c r="Z288" s="33">
        <f>IFERROR(VLOOKUP(lmic_raw_ub[[#This Row],[setting]],vcost_ub[],7,FALSE),0)</f>
        <v>8.5654606200181398</v>
      </c>
      <c r="AA288" s="33">
        <f>IFERROR(VLOOKUP(lmic_raw_ub[[#This Row],[setting]],vcost_ub[],8,FALSE),0)</f>
        <v>4.2804826751282317</v>
      </c>
      <c r="AB288" s="33">
        <f>IFERROR(VLOOKUP(lmic_raw_ub[[#This Row],[setting]],vcost_ub[],9,FALSE),0)</f>
        <v>9.3506176751282322</v>
      </c>
      <c r="AC288" s="84">
        <f>VLOOKUP($A288,lmic_raw[],29,FALSE)*(1+interactive!$C$7)</f>
        <v>6.4223197499999954E-2</v>
      </c>
      <c r="AD288" s="84">
        <f>VLOOKUP($A288,lmic_raw[],30,FALSE)*(1+interactive!$C$7)</f>
        <v>9.6517014623602078E-3</v>
      </c>
      <c r="AE288" s="84">
        <f>VLOOKUP($A288,lmic_raw[],31,FALSE)*(1+interactive!$C$7)</f>
        <v>3.2513119313655431E-3</v>
      </c>
      <c r="AF288" s="84">
        <f>VLOOKUP($A288,lmic_raw[],32,FALSE)*(1+interactive!$C$7)</f>
        <v>1.924050127045536E-3</v>
      </c>
      <c r="AG288" s="84">
        <f>VLOOKUP($A288,lmic_raw[],33,FALSE)*(1+interactive!$C$7)</f>
        <v>2.5864408097693477E-3</v>
      </c>
      <c r="AH288" s="84">
        <f>VLOOKUP($A288,lmic_raw[],34,FALSE)*(1+interactive!$C$7)</f>
        <v>3.5010170695736953E-3</v>
      </c>
      <c r="AI288" s="84">
        <f>VLOOKUP($A288,lmic_raw[],35,FALSE)*(1+interactive!$C$7)</f>
        <v>3.8485223485297867E-3</v>
      </c>
      <c r="AJ288" s="84">
        <f>VLOOKUP($A288,lmic_raw[],36,FALSE)*(1+interactive!$C$7)</f>
        <v>4.2466843448027538E-3</v>
      </c>
      <c r="AK288" s="84">
        <f>VLOOKUP($A288,lmic_raw[],37,FALSE)*(1+interactive!$C$7)</f>
        <v>4.8386462970565636E-3</v>
      </c>
      <c r="AL288" s="84">
        <f>VLOOKUP($A288,lmic_raw[],38,FALSE)*(1+interactive!$C$7)</f>
        <v>5.9794547993026843E-3</v>
      </c>
      <c r="AM288" s="84">
        <f>VLOOKUP($A288,lmic_raw[],39,FALSE)*(1+interactive!$C$7)</f>
        <v>7.2641983431902596E-3</v>
      </c>
      <c r="AN288" s="84">
        <f>VLOOKUP($A288,lmic_raw[],40,FALSE)*(1+interactive!$C$7)</f>
        <v>1.0099702290179638E-2</v>
      </c>
      <c r="AO288" s="84">
        <f>VLOOKUP($A288,lmic_raw[],41,FALSE)*(1+interactive!$C$7)</f>
        <v>1.3507770441399284E-2</v>
      </c>
      <c r="AP288" s="84">
        <f>VLOOKUP($A288,lmic_raw[],42,FALSE)*(1+interactive!$C$7)</f>
        <v>2.03071383658684E-2</v>
      </c>
      <c r="AQ288" s="84">
        <f>VLOOKUP($A288,lmic_raw[],43,FALSE)*(1+interactive!$C$7)</f>
        <v>3.09578419760803E-2</v>
      </c>
      <c r="AR288" s="84">
        <f>VLOOKUP($A288,lmic_raw[],44,FALSE)*(1+interactive!$C$7)</f>
        <v>4.7513756849464357E-2</v>
      </c>
      <c r="AS288" s="84">
        <f>VLOOKUP($A288,lmic_raw[],45,FALSE)*(1+interactive!$C$7)</f>
        <v>7.1127576709599932E-2</v>
      </c>
      <c r="AT288" s="84">
        <f>VLOOKUP($A288,lmic_raw[],46,FALSE)*(1+interactive!$C$7)</f>
        <v>0.10244396135590166</v>
      </c>
      <c r="AU288" s="84">
        <f>VLOOKUP($A288,lmic_raw[],47,FALSE)*(1+interactive!$C$7)</f>
        <v>0.13602144411677536</v>
      </c>
      <c r="AV288" s="84">
        <f>VLOOKUP($A288,lmic_raw[],48,FALSE)*(1+interactive!$C$7)</f>
        <v>0.16527335436667051</v>
      </c>
      <c r="AW288" s="84">
        <f>VLOOKUP($A288,lmic_raw[],49,FALSE)*(1+interactive!$C$7)</f>
        <v>0.18491714023966346</v>
      </c>
      <c r="AX288" s="84">
        <f>VLOOKUP($A288,lmic_raw[],50,FALSE)*(1+interactive!$C$7)</f>
        <v>64.36815</v>
      </c>
    </row>
    <row r="289" spans="1:50" x14ac:dyDescent="0.25">
      <c r="A289" s="110" t="s">
        <v>193</v>
      </c>
      <c r="B289" s="104" t="s">
        <v>384</v>
      </c>
      <c r="C289" s="105">
        <v>64</v>
      </c>
      <c r="D289" s="84" t="s">
        <v>680</v>
      </c>
      <c r="E289" s="84" t="s">
        <v>589</v>
      </c>
      <c r="F289" s="84" t="s">
        <v>589</v>
      </c>
      <c r="G289" s="84" t="s">
        <v>678</v>
      </c>
      <c r="H289" s="33">
        <f>VLOOKUP(lmic_raw_ub[[#This Row],[setting]],lmic_raw[],8,FALSE)</f>
        <v>763094</v>
      </c>
      <c r="I289" s="33">
        <f>VLOOKUP(lmic_raw_ub[[#This Row],[setting]],lmic_raw[],9,FALSE)</f>
        <v>13348.040248000001</v>
      </c>
      <c r="J289" s="84">
        <f>MIN(VLOOKUP($A289,lmic_raw[],10,FALSE)*(1+interactive!$C$7),0.9999)</f>
        <v>0.77490000000000003</v>
      </c>
      <c r="K289" s="84">
        <f>MIN(VLOOKUP($A289,lmic_raw[],11,FALSE)*(1+interactive!$C$7),0.9999)</f>
        <v>0.90300000000000002</v>
      </c>
      <c r="L289" s="33">
        <f>MIN(VLOOKUP($A289,lmic_raw[],12,FALSE)*(1+interactive!$C$7),0.9999)</f>
        <v>0.99990000000000001</v>
      </c>
      <c r="M289" s="84">
        <f>IFERROR(VLOOKUP(lmic_raw_ub[[#This Row],[iso3]], hbv_prev[[iso3]:[ub]],4,FALSE)/100,0)</f>
        <v>5.5500000000000001E-2</v>
      </c>
      <c r="N289" s="84">
        <f>IFERROR(VLOOKUP(lmic_raw_ub[[#This Row],[setting]],hbe_prev[],5,FALSE),0)</f>
        <v>0.35830000000000001</v>
      </c>
      <c r="O289" s="84">
        <f>VLOOKUP(lmic_raw_ub[[#This Row],[gbd_super]],hbe_risk[],4,FALSE)</f>
        <v>0.9</v>
      </c>
      <c r="P289" s="84">
        <f>VLOOKUP(lmic_raw_ub[[#This Row],[gbd_super]],hbe_risk[],7,FALSE)</f>
        <v>0.3</v>
      </c>
      <c r="Q289" s="98">
        <f>VLOOKUP(lmic_raw_ub[[#This Row],[setting]],lmic_raw[],17,FALSE)*(1+interactive!$C$7)</f>
        <v>5.5080030221513789</v>
      </c>
      <c r="R289" s="98">
        <f>VLOOKUP(lmic_raw_ub[[#This Row],[setting]],lmic_raw[],18,FALSE)*(1+interactive!$C$7)</f>
        <v>48.194895000000002</v>
      </c>
      <c r="S289" s="98">
        <f>VLOOKUP(lmic_raw_ub[[#This Row],[setting]],lmic_raw[],19,FALSE)*(1+interactive!$C$7)</f>
        <v>98.323995000000011</v>
      </c>
      <c r="T289" s="98">
        <f>VLOOKUP(lmic_raw_ub[[#This Row],[setting]],lmic_raw[],20,FALSE)*(1+interactive!$C$7)</f>
        <v>98.323995000000011</v>
      </c>
      <c r="U289" s="98">
        <f>VLOOKUP(lmic_raw_ub[[#This Row],[setting]],lmic_raw[],21,FALSE)*(1+interactive!$C$7)</f>
        <v>98.323995000000011</v>
      </c>
      <c r="V289" s="33">
        <f>IFERROR(VLOOKUP(lmic_raw_ub[[#This Row],[setting]],vcost_ub[],3,FALSE),0)</f>
        <v>15.983576047935825</v>
      </c>
      <c r="W289" s="33">
        <f>IFERROR(VLOOKUP(lmic_raw_ub[[#This Row],[setting]],vcost_ub[],4,FALSE),0)</f>
        <v>18.556076047935825</v>
      </c>
      <c r="X289" s="33">
        <f>IFERROR(VLOOKUP(lmic_raw_ub[[#This Row],[setting]],vcost_ub[],5,FALSE),0)</f>
        <v>15.463803507795745</v>
      </c>
      <c r="Y289" s="33">
        <f>IFERROR(VLOOKUP(lmic_raw_ub[[#This Row],[setting]],vcost_ub[],6,FALSE),0)</f>
        <v>18.036303507795747</v>
      </c>
      <c r="Z289" s="33">
        <f>IFERROR(VLOOKUP(lmic_raw_ub[[#This Row],[setting]],vcost_ub[],7,FALSE),0)</f>
        <v>18.01616426454445</v>
      </c>
      <c r="AA289" s="33">
        <f>IFERROR(VLOOKUP(lmic_raw_ub[[#This Row],[setting]],vcost_ub[],8,FALSE),0)</f>
        <v>16.257635670562252</v>
      </c>
      <c r="AB289" s="33">
        <f>IFERROR(VLOOKUP(lmic_raw_ub[[#This Row],[setting]],vcost_ub[],9,FALSE),0)</f>
        <v>18.830135670562253</v>
      </c>
      <c r="AC289" s="84">
        <f>VLOOKUP($A289,lmic_raw[],29,FALSE)*(1+interactive!$C$7)</f>
        <v>2.5273636500000068E-2</v>
      </c>
      <c r="AD289" s="84">
        <f>VLOOKUP($A289,lmic_raw[],30,FALSE)*(1+interactive!$C$7)</f>
        <v>1.4880623543164773E-3</v>
      </c>
      <c r="AE289" s="84">
        <f>VLOOKUP($A289,lmic_raw[],31,FALSE)*(1+interactive!$C$7)</f>
        <v>8.1232164332327341E-4</v>
      </c>
      <c r="AF289" s="84">
        <f>VLOOKUP($A289,lmic_raw[],32,FALSE)*(1+interactive!$C$7)</f>
        <v>6.583264557569749E-4</v>
      </c>
      <c r="AG289" s="84">
        <f>VLOOKUP($A289,lmic_raw[],33,FALSE)*(1+interactive!$C$7)</f>
        <v>8.9074187939460587E-4</v>
      </c>
      <c r="AH289" s="84">
        <f>VLOOKUP($A289,lmic_raw[],34,FALSE)*(1+interactive!$C$7)</f>
        <v>1.4505843462056264E-3</v>
      </c>
      <c r="AI289" s="84">
        <f>VLOOKUP($A289,lmic_raw[],35,FALSE)*(1+interactive!$C$7)</f>
        <v>2.0993890176562802E-3</v>
      </c>
      <c r="AJ289" s="84">
        <f>VLOOKUP($A289,lmic_raw[],36,FALSE)*(1+interactive!$C$7)</f>
        <v>3.0428864845611068E-3</v>
      </c>
      <c r="AK289" s="84">
        <f>VLOOKUP($A289,lmic_raw[],37,FALSE)*(1+interactive!$C$7)</f>
        <v>4.1372774217063417E-3</v>
      </c>
      <c r="AL289" s="84">
        <f>VLOOKUP($A289,lmic_raw[],38,FALSE)*(1+interactive!$C$7)</f>
        <v>5.409922572236275E-3</v>
      </c>
      <c r="AM289" s="84">
        <f>VLOOKUP($A289,lmic_raw[],39,FALSE)*(1+interactive!$C$7)</f>
        <v>7.0236254889374725E-3</v>
      </c>
      <c r="AN289" s="84">
        <f>VLOOKUP($A289,lmic_raw[],40,FALSE)*(1+interactive!$C$7)</f>
        <v>9.2363020299652612E-3</v>
      </c>
      <c r="AO289" s="84">
        <f>VLOOKUP($A289,lmic_raw[],41,FALSE)*(1+interactive!$C$7)</f>
        <v>1.2510046807870724E-2</v>
      </c>
      <c r="AP289" s="84">
        <f>VLOOKUP($A289,lmic_raw[],42,FALSE)*(1+interactive!$C$7)</f>
        <v>1.6786747696941679E-2</v>
      </c>
      <c r="AQ289" s="84">
        <f>VLOOKUP($A289,lmic_raw[],43,FALSE)*(1+interactive!$C$7)</f>
        <v>2.3489863690990945E-2</v>
      </c>
      <c r="AR289" s="84">
        <f>VLOOKUP($A289,lmic_raw[],44,FALSE)*(1+interactive!$C$7)</f>
        <v>3.3247989295890477E-2</v>
      </c>
      <c r="AS289" s="84">
        <f>VLOOKUP($A289,lmic_raw[],45,FALSE)*(1+interactive!$C$7)</f>
        <v>4.7486109853810528E-2</v>
      </c>
      <c r="AT289" s="84">
        <f>VLOOKUP($A289,lmic_raw[],46,FALSE)*(1+interactive!$C$7)</f>
        <v>6.704478414251791E-2</v>
      </c>
      <c r="AU289" s="84">
        <f>VLOOKUP($A289,lmic_raw[],47,FALSE)*(1+interactive!$C$7)</f>
        <v>8.8344914825090437E-2</v>
      </c>
      <c r="AV289" s="84">
        <f>VLOOKUP($A289,lmic_raw[],48,FALSE)*(1+interactive!$C$7)</f>
        <v>0.11295039410957219</v>
      </c>
      <c r="AW289" s="84">
        <f>VLOOKUP($A289,lmic_raw[],49,FALSE)*(1+interactive!$C$7)</f>
        <v>0.13700278494419421</v>
      </c>
      <c r="AX289" s="84">
        <f>VLOOKUP($A289,lmic_raw[],50,FALSE)*(1+interactive!$C$7)</f>
        <v>74.847149999999999</v>
      </c>
    </row>
    <row r="290" spans="1:50" x14ac:dyDescent="0.25">
      <c r="A290" s="82" t="s">
        <v>263</v>
      </c>
      <c r="B290" s="101" t="s">
        <v>385</v>
      </c>
      <c r="C290" s="102">
        <v>68</v>
      </c>
      <c r="D290" s="82" t="s">
        <v>679</v>
      </c>
      <c r="E290" s="82" t="s">
        <v>593</v>
      </c>
      <c r="F290" s="82" t="s">
        <v>665</v>
      </c>
      <c r="G290" s="82" t="s">
        <v>678</v>
      </c>
      <c r="H290" s="33">
        <f>VLOOKUP(lmic_raw_ub[[#This Row],[setting]],lmic_raw[],8,FALSE)</f>
        <v>11513102</v>
      </c>
      <c r="I290" s="33">
        <f>VLOOKUP(lmic_raw_ub[[#This Row],[setting]],lmic_raw[],9,FALSE)</f>
        <v>251929.69796400002</v>
      </c>
      <c r="J290" s="84">
        <f>MIN(VLOOKUP($A290,lmic_raw[],10,FALSE)*(1+interactive!$C$7),0.9999)</f>
        <v>0.92085000000000006</v>
      </c>
      <c r="K290" s="84">
        <f>MIN(VLOOKUP($A290,lmic_raw[],11,FALSE)*(1+interactive!$C$7),0.9999)</f>
        <v>0</v>
      </c>
      <c r="L290" s="33">
        <f>MIN(VLOOKUP($A290,lmic_raw[],12,FALSE)*(1+interactive!$C$7),0.9999)</f>
        <v>0.78750000000000009</v>
      </c>
      <c r="M290" s="84">
        <f>IFERROR(VLOOKUP(lmic_raw_ub[[#This Row],[iso3]], hbv_prev[[iso3]:[ub]],4,FALSE)/100,0)</f>
        <v>1.2500000000000001E-2</v>
      </c>
      <c r="N290" s="84">
        <f>IFERROR(VLOOKUP(lmic_raw_ub[[#This Row],[setting]],hbe_prev[],5,FALSE),0)</f>
        <v>0.43020000000000003</v>
      </c>
      <c r="O290" s="84">
        <f>VLOOKUP(lmic_raw_ub[[#This Row],[gbd_super]],hbe_risk[],4,FALSE)</f>
        <v>0.9</v>
      </c>
      <c r="P290" s="84">
        <f>VLOOKUP(lmic_raw_ub[[#This Row],[gbd_super]],hbe_risk[],7,FALSE)</f>
        <v>0.3</v>
      </c>
      <c r="Q290" s="98">
        <f>VLOOKUP(lmic_raw_ub[[#This Row],[setting]],lmic_raw[],17,FALSE)*(1+interactive!$C$7)</f>
        <v>5.2836779741704749</v>
      </c>
      <c r="R290" s="98">
        <f>VLOOKUP(lmic_raw_ub[[#This Row],[setting]],lmic_raw[],18,FALSE)*(1+interactive!$C$7)</f>
        <v>91.228094999999996</v>
      </c>
      <c r="S290" s="98">
        <f>VLOOKUP(lmic_raw_ub[[#This Row],[setting]],lmic_raw[],19,FALSE)*(1+interactive!$C$7)</f>
        <v>141.35719500000002</v>
      </c>
      <c r="T290" s="98">
        <f>VLOOKUP(lmic_raw_ub[[#This Row],[setting]],lmic_raw[],20,FALSE)*(1+interactive!$C$7)</f>
        <v>141.35719500000002</v>
      </c>
      <c r="U290" s="98">
        <f>VLOOKUP(lmic_raw_ub[[#This Row],[setting]],lmic_raw[],21,FALSE)*(1+interactive!$C$7)</f>
        <v>141.35719500000002</v>
      </c>
      <c r="V290" s="33">
        <f>IFERROR(VLOOKUP(lmic_raw_ub[[#This Row],[setting]],vcost_ub[],3,FALSE),0)</f>
        <v>6.5602537874821731</v>
      </c>
      <c r="W290" s="33">
        <f>IFERROR(VLOOKUP(lmic_raw_ub[[#This Row],[setting]],vcost_ub[],4,FALSE),0)</f>
        <v>6.5831437874821734</v>
      </c>
      <c r="X290" s="33">
        <f>IFERROR(VLOOKUP(lmic_raw_ub[[#This Row],[setting]],vcost_ub[],5,FALSE),0)</f>
        <v>6.0353273312372577</v>
      </c>
      <c r="Y290" s="33">
        <f>IFERROR(VLOOKUP(lmic_raw_ub[[#This Row],[setting]],vcost_ub[],6,FALSE),0)</f>
        <v>6.058217331237258</v>
      </c>
      <c r="Z290" s="33">
        <f>IFERROR(VLOOKUP(lmic_raw_ub[[#This Row],[setting]],vcost_ub[],7,FALSE),0)</f>
        <v>6.033501620446394</v>
      </c>
      <c r="AA290" s="33">
        <f>IFERROR(VLOOKUP(lmic_raw_ub[[#This Row],[setting]],vcost_ub[],8,FALSE),0)</f>
        <v>6.8354833174452754</v>
      </c>
      <c r="AB290" s="33">
        <f>IFERROR(VLOOKUP(lmic_raw_ub[[#This Row],[setting]],vcost_ub[],9,FALSE),0)</f>
        <v>6.8583733174452757</v>
      </c>
      <c r="AC290" s="84">
        <f>VLOOKUP($A290,lmic_raw[],29,FALSE)*(1+interactive!$C$7)</f>
        <v>3.1194555000000037E-2</v>
      </c>
      <c r="AD290" s="84">
        <f>VLOOKUP($A290,lmic_raw[],30,FALSE)*(1+interactive!$C$7)</f>
        <v>5.1420534037781782E-3</v>
      </c>
      <c r="AE290" s="84">
        <f>VLOOKUP($A290,lmic_raw[],31,FALSE)*(1+interactive!$C$7)</f>
        <v>1.4351608676646708E-3</v>
      </c>
      <c r="AF290" s="84">
        <f>VLOOKUP($A290,lmic_raw[],32,FALSE)*(1+interactive!$C$7)</f>
        <v>8.4152442129246388E-4</v>
      </c>
      <c r="AG290" s="84">
        <f>VLOOKUP($A290,lmic_raw[],33,FALSE)*(1+interactive!$C$7)</f>
        <v>1.6698044912856235E-3</v>
      </c>
      <c r="AH290" s="84">
        <f>VLOOKUP($A290,lmic_raw[],34,FALSE)*(1+interactive!$C$7)</f>
        <v>2.3275463574947523E-3</v>
      </c>
      <c r="AI290" s="84">
        <f>VLOOKUP($A290,lmic_raw[],35,FALSE)*(1+interactive!$C$7)</f>
        <v>2.4998669256271239E-3</v>
      </c>
      <c r="AJ290" s="84">
        <f>VLOOKUP($A290,lmic_raw[],36,FALSE)*(1+interactive!$C$7)</f>
        <v>2.8368557087298674E-3</v>
      </c>
      <c r="AK290" s="84">
        <f>VLOOKUP($A290,lmic_raw[],37,FALSE)*(1+interactive!$C$7)</f>
        <v>3.5753180508881414E-3</v>
      </c>
      <c r="AL290" s="84">
        <f>VLOOKUP($A290,lmic_raw[],38,FALSE)*(1+interactive!$C$7)</f>
        <v>4.2234484927379957E-3</v>
      </c>
      <c r="AM290" s="84">
        <f>VLOOKUP($A290,lmic_raw[],39,FALSE)*(1+interactive!$C$7)</f>
        <v>5.7181041167092385E-3</v>
      </c>
      <c r="AN290" s="84">
        <f>VLOOKUP($A290,lmic_raw[],40,FALSE)*(1+interactive!$C$7)</f>
        <v>7.7343078713497122E-3</v>
      </c>
      <c r="AO290" s="84">
        <f>VLOOKUP($A290,lmic_raw[],41,FALSE)*(1+interactive!$C$7)</f>
        <v>1.0862247438071713E-2</v>
      </c>
      <c r="AP290" s="84">
        <f>VLOOKUP($A290,lmic_raw[],42,FALSE)*(1+interactive!$C$7)</f>
        <v>1.6037130171302493E-2</v>
      </c>
      <c r="AQ290" s="84">
        <f>VLOOKUP($A290,lmic_raw[],43,FALSE)*(1+interactive!$C$7)</f>
        <v>2.1230883603528618E-2</v>
      </c>
      <c r="AR290" s="84">
        <f>VLOOKUP($A290,lmic_raw[],44,FALSE)*(1+interactive!$C$7)</f>
        <v>2.7537782677896489E-2</v>
      </c>
      <c r="AS290" s="84">
        <f>VLOOKUP($A290,lmic_raw[],45,FALSE)*(1+interactive!$C$7)</f>
        <v>3.9593325762970179E-2</v>
      </c>
      <c r="AT290" s="84">
        <f>VLOOKUP($A290,lmic_raw[],46,FALSE)*(1+interactive!$C$7)</f>
        <v>5.6086631322577185E-2</v>
      </c>
      <c r="AU290" s="84">
        <f>VLOOKUP($A290,lmic_raw[],47,FALSE)*(1+interactive!$C$7)</f>
        <v>7.8811888530146035E-2</v>
      </c>
      <c r="AV290" s="84">
        <f>VLOOKUP($A290,lmic_raw[],48,FALSE)*(1+interactive!$C$7)</f>
        <v>0.10512944576538689</v>
      </c>
      <c r="AW290" s="84">
        <f>VLOOKUP($A290,lmic_raw[],49,FALSE)*(1+interactive!$C$7)</f>
        <v>0.13073230314131756</v>
      </c>
      <c r="AX290" s="84">
        <f>VLOOKUP($A290,lmic_raw[],50,FALSE)*(1+interactive!$C$7)</f>
        <v>74.636099999999999</v>
      </c>
    </row>
    <row r="291" spans="1:50" x14ac:dyDescent="0.25">
      <c r="A291" s="110" t="s">
        <v>334</v>
      </c>
      <c r="B291" s="104" t="s">
        <v>386</v>
      </c>
      <c r="C291" s="105">
        <v>70</v>
      </c>
      <c r="D291" s="84" t="s">
        <v>675</v>
      </c>
      <c r="E291" s="84" t="s">
        <v>580</v>
      </c>
      <c r="F291" s="84" t="s">
        <v>663</v>
      </c>
      <c r="G291" s="84" t="s">
        <v>676</v>
      </c>
      <c r="H291" s="33">
        <f>VLOOKUP(lmic_raw_ub[[#This Row],[setting]],lmic_raw[],8,FALSE)</f>
        <v>3300998</v>
      </c>
      <c r="I291" s="33">
        <f>VLOOKUP(lmic_raw_ub[[#This Row],[setting]],lmic_raw[],9,FALSE)</f>
        <v>27048.377612000004</v>
      </c>
      <c r="J291" s="84">
        <f>MIN(VLOOKUP($A291,lmic_raw[],10,FALSE)*(1+interactive!$C$7),0.9999)</f>
        <v>0.99990000000000001</v>
      </c>
      <c r="K291" s="84">
        <f>MIN(VLOOKUP($A291,lmic_raw[],11,FALSE)*(1+interactive!$C$7),0.9999)</f>
        <v>0</v>
      </c>
      <c r="L291" s="33">
        <f>MIN(VLOOKUP($A291,lmic_raw[],12,FALSE)*(1+interactive!$C$7),0.9999)</f>
        <v>0.84000000000000008</v>
      </c>
      <c r="M291" s="84">
        <f>IFERROR(VLOOKUP(lmic_raw_ub[[#This Row],[iso3]], hbv_prev[[iso3]:[ub]],4,FALSE)/100,0)</f>
        <v>0.14610000000000001</v>
      </c>
      <c r="N291" s="84">
        <f>IFERROR(VLOOKUP(lmic_raw_ub[[#This Row],[setting]],hbe_prev[],5,FALSE),0)</f>
        <v>0.42849999999999999</v>
      </c>
      <c r="O291" s="84">
        <f>VLOOKUP(lmic_raw_ub[[#This Row],[gbd_super]],hbe_risk[],4,FALSE)</f>
        <v>0.9</v>
      </c>
      <c r="P291" s="84">
        <f>VLOOKUP(lmic_raw_ub[[#This Row],[gbd_super]],hbe_risk[],7,FALSE)</f>
        <v>0.3</v>
      </c>
      <c r="Q291" s="98">
        <f>VLOOKUP(lmic_raw_ub[[#This Row],[setting]],lmic_raw[],17,FALSE)*(1+interactive!$C$7)</f>
        <v>9.4710788698140149</v>
      </c>
      <c r="R291" s="98">
        <f>VLOOKUP(lmic_raw_ub[[#This Row],[setting]],lmic_raw[],18,FALSE)*(1+interactive!$C$7)</f>
        <v>46.76427000000001</v>
      </c>
      <c r="S291" s="98">
        <f>VLOOKUP(lmic_raw_ub[[#This Row],[setting]],lmic_raw[],19,FALSE)*(1+interactive!$C$7)</f>
        <v>96.893370000000019</v>
      </c>
      <c r="T291" s="98">
        <f>VLOOKUP(lmic_raw_ub[[#This Row],[setting]],lmic_raw[],20,FALSE)*(1+interactive!$C$7)</f>
        <v>96.893370000000019</v>
      </c>
      <c r="U291" s="98">
        <f>VLOOKUP(lmic_raw_ub[[#This Row],[setting]],lmic_raw[],21,FALSE)*(1+interactive!$C$7)</f>
        <v>96.893370000000019</v>
      </c>
      <c r="V291" s="33">
        <f>IFERROR(VLOOKUP(lmic_raw_ub[[#This Row],[setting]],vcost_ub[],3,FALSE),0)</f>
        <v>7.9896062531725809</v>
      </c>
      <c r="W291" s="33">
        <f>IFERROR(VLOOKUP(lmic_raw_ub[[#This Row],[setting]],vcost_ub[],4,FALSE),0)</f>
        <v>12.258591253172582</v>
      </c>
      <c r="X291" s="33">
        <f>IFERROR(VLOOKUP(lmic_raw_ub[[#This Row],[setting]],vcost_ub[],5,FALSE),0)</f>
        <v>7.4703589927746732</v>
      </c>
      <c r="Y291" s="33">
        <f>IFERROR(VLOOKUP(lmic_raw_ub[[#This Row],[setting]],vcost_ub[],6,FALSE),0)</f>
        <v>11.739343992774675</v>
      </c>
      <c r="Z291" s="33">
        <f>IFERROR(VLOOKUP(lmic_raw_ub[[#This Row],[setting]],vcost_ub[],7,FALSE),0)</f>
        <v>11.719794456495549</v>
      </c>
      <c r="AA291" s="33">
        <f>IFERROR(VLOOKUP(lmic_raw_ub[[#This Row],[setting]],vcost_ub[],8,FALSE),0)</f>
        <v>8.2635466405201061</v>
      </c>
      <c r="AB291" s="33">
        <f>IFERROR(VLOOKUP(lmic_raw_ub[[#This Row],[setting]],vcost_ub[],9,FALSE),0)</f>
        <v>12.532531640520107</v>
      </c>
      <c r="AC291" s="84">
        <f>VLOOKUP($A291,lmic_raw[],29,FALSE)*(1+interactive!$C$7)</f>
        <v>6.3066359999999775E-3</v>
      </c>
      <c r="AD291" s="84">
        <f>VLOOKUP($A291,lmic_raw[],30,FALSE)*(1+interactive!$C$7)</f>
        <v>2.0351801934998835E-4</v>
      </c>
      <c r="AE291" s="84">
        <f>VLOOKUP($A291,lmic_raw[],31,FALSE)*(1+interactive!$C$7)</f>
        <v>8.2756941308546631E-5</v>
      </c>
      <c r="AF291" s="84">
        <f>VLOOKUP($A291,lmic_raw[],32,FALSE)*(1+interactive!$C$7)</f>
        <v>1.494806339870646E-4</v>
      </c>
      <c r="AG291" s="84">
        <f>VLOOKUP($A291,lmic_raw[],33,FALSE)*(1+interactive!$C$7)</f>
        <v>2.4377676395605908E-4</v>
      </c>
      <c r="AH291" s="84">
        <f>VLOOKUP($A291,lmic_raw[],34,FALSE)*(1+interactive!$C$7)</f>
        <v>3.7164011729438375E-4</v>
      </c>
      <c r="AI291" s="84">
        <f>VLOOKUP($A291,lmic_raw[],35,FALSE)*(1+interactive!$C$7)</f>
        <v>4.3995535186950246E-4</v>
      </c>
      <c r="AJ291" s="84">
        <f>VLOOKUP($A291,lmic_raw[],36,FALSE)*(1+interactive!$C$7)</f>
        <v>6.6440315380372717E-4</v>
      </c>
      <c r="AK291" s="84">
        <f>VLOOKUP($A291,lmic_raw[],37,FALSE)*(1+interactive!$C$7)</f>
        <v>9.1463025180476946E-4</v>
      </c>
      <c r="AL291" s="84">
        <f>VLOOKUP($A291,lmic_raw[],38,FALSE)*(1+interactive!$C$7)</f>
        <v>1.4985748180633648E-3</v>
      </c>
      <c r="AM291" s="84">
        <f>VLOOKUP($A291,lmic_raw[],39,FALSE)*(1+interactive!$C$7)</f>
        <v>2.7123135944377803E-3</v>
      </c>
      <c r="AN291" s="84">
        <f>VLOOKUP($A291,lmic_raw[],40,FALSE)*(1+interactive!$C$7)</f>
        <v>4.787711727519902E-3</v>
      </c>
      <c r="AO291" s="84">
        <f>VLOOKUP($A291,lmic_raw[],41,FALSE)*(1+interactive!$C$7)</f>
        <v>7.6445914553077855E-3</v>
      </c>
      <c r="AP291" s="84">
        <f>VLOOKUP($A291,lmic_raw[],42,FALSE)*(1+interactive!$C$7)</f>
        <v>1.2393722316994753E-2</v>
      </c>
      <c r="AQ291" s="84">
        <f>VLOOKUP($A291,lmic_raw[],43,FALSE)*(1+interactive!$C$7)</f>
        <v>1.9622276603720144E-2</v>
      </c>
      <c r="AR291" s="84">
        <f>VLOOKUP($A291,lmic_raw[],44,FALSE)*(1+interactive!$C$7)</f>
        <v>3.2267249651167319E-2</v>
      </c>
      <c r="AS291" s="84">
        <f>VLOOKUP($A291,lmic_raw[],45,FALSE)*(1+interactive!$C$7)</f>
        <v>5.2923830130217744E-2</v>
      </c>
      <c r="AT291" s="84">
        <f>VLOOKUP($A291,lmic_raw[],46,FALSE)*(1+interactive!$C$7)</f>
        <v>7.9646693829801274E-2</v>
      </c>
      <c r="AU291" s="84">
        <f>VLOOKUP($A291,lmic_raw[],47,FALSE)*(1+interactive!$C$7)</f>
        <v>0.1134418847692828</v>
      </c>
      <c r="AV291" s="84">
        <f>VLOOKUP($A291,lmic_raw[],48,FALSE)*(1+interactive!$C$7)</f>
        <v>0.14826164368020397</v>
      </c>
      <c r="AW291" s="84">
        <f>VLOOKUP($A291,lmic_raw[],49,FALSE)*(1+interactive!$C$7)</f>
        <v>0.17661388082859331</v>
      </c>
      <c r="AX291" s="84">
        <f>VLOOKUP($A291,lmic_raw[],50,FALSE)*(1+interactive!$C$7)</f>
        <v>81.034800000000004</v>
      </c>
    </row>
    <row r="292" spans="1:50" x14ac:dyDescent="0.25">
      <c r="A292" s="109" t="s">
        <v>132</v>
      </c>
      <c r="B292" s="101" t="s">
        <v>387</v>
      </c>
      <c r="C292" s="102">
        <v>72</v>
      </c>
      <c r="D292" s="82" t="s">
        <v>677</v>
      </c>
      <c r="E292" s="82" t="s">
        <v>594</v>
      </c>
      <c r="F292" s="82" t="s">
        <v>667</v>
      </c>
      <c r="G292" s="82" t="s">
        <v>676</v>
      </c>
      <c r="H292" s="33">
        <f>VLOOKUP(lmic_raw_ub[[#This Row],[setting]],lmic_raw[],8,FALSE)</f>
        <v>2303703</v>
      </c>
      <c r="I292" s="33">
        <f>VLOOKUP(lmic_raw_ub[[#This Row],[setting]],lmic_raw[],9,FALSE)</f>
        <v>57852.893438999999</v>
      </c>
      <c r="J292" s="84">
        <f>MIN(VLOOKUP($A292,lmic_raw[],10,FALSE)*(1+interactive!$C$7),0.9999)</f>
        <v>0.99990000000000001</v>
      </c>
      <c r="K292" s="84">
        <f>MIN(VLOOKUP($A292,lmic_raw[],11,FALSE)*(1+interactive!$C$7),0.9999)</f>
        <v>0</v>
      </c>
      <c r="L292" s="33">
        <f>MIN(VLOOKUP($A292,lmic_raw[],12,FALSE)*(1+interactive!$C$7),0.9999)</f>
        <v>0.99749999999999994</v>
      </c>
      <c r="M292" s="84">
        <f>IFERROR(VLOOKUP(lmic_raw_ub[[#This Row],[iso3]], hbv_prev[[iso3]:[ub]],4,FALSE)/100,0)</f>
        <v>0.13369999999999999</v>
      </c>
      <c r="N292" s="84">
        <f>IFERROR(VLOOKUP(lmic_raw_ub[[#This Row],[setting]],hbe_prev[],5,FALSE),0)</f>
        <v>0.3679</v>
      </c>
      <c r="O292" s="84">
        <f>VLOOKUP(lmic_raw_ub[[#This Row],[gbd_super]],hbe_risk[],4,FALSE)</f>
        <v>0.74399999999999999</v>
      </c>
      <c r="P292" s="84">
        <f>VLOOKUP(lmic_raw_ub[[#This Row],[gbd_super]],hbe_risk[],7,FALSE)</f>
        <v>0.13300000000000001</v>
      </c>
      <c r="Q292" s="98">
        <f>VLOOKUP(lmic_raw_ub[[#This Row],[setting]],lmic_raw[],17,FALSE)*(1+interactive!$C$7)</f>
        <v>14.717792492034047</v>
      </c>
      <c r="R292" s="98">
        <f>VLOOKUP(lmic_raw_ub[[#This Row],[setting]],lmic_raw[],18,FALSE)*(1+interactive!$C$7)</f>
        <v>31.416525000000004</v>
      </c>
      <c r="S292" s="98">
        <f>VLOOKUP(lmic_raw_ub[[#This Row],[setting]],lmic_raw[],19,FALSE)*(1+interactive!$C$7)</f>
        <v>81.545625000000015</v>
      </c>
      <c r="T292" s="98">
        <f>VLOOKUP(lmic_raw_ub[[#This Row],[setting]],lmic_raw[],20,FALSE)*(1+interactive!$C$7)</f>
        <v>81.545625000000015</v>
      </c>
      <c r="U292" s="98">
        <f>VLOOKUP(lmic_raw_ub[[#This Row],[setting]],lmic_raw[],21,FALSE)*(1+interactive!$C$7)</f>
        <v>81.545625000000015</v>
      </c>
      <c r="V292" s="33">
        <f>IFERROR(VLOOKUP(lmic_raw_ub[[#This Row],[setting]],vcost_ub[],3,FALSE),0)</f>
        <v>14.848936865358933</v>
      </c>
      <c r="W292" s="33">
        <f>IFERROR(VLOOKUP(lmic_raw_ub[[#This Row],[setting]],vcost_ub[],4,FALSE),0)</f>
        <v>19.919071865358934</v>
      </c>
      <c r="X292" s="33">
        <f>IFERROR(VLOOKUP(lmic_raw_ub[[#This Row],[setting]],vcost_ub[],5,FALSE),0)</f>
        <v>14.320650239158338</v>
      </c>
      <c r="Y292" s="33">
        <f>IFERROR(VLOOKUP(lmic_raw_ub[[#This Row],[setting]],vcost_ub[],6,FALSE),0)</f>
        <v>19.39078523915834</v>
      </c>
      <c r="Z292" s="33">
        <f>IFERROR(VLOOKUP(lmic_raw_ub[[#This Row],[setting]],vcost_ub[],7,FALSE),0)</f>
        <v>19.367578588690158</v>
      </c>
      <c r="AA292" s="33">
        <f>IFERROR(VLOOKUP(lmic_raw_ub[[#This Row],[setting]],vcost_ub[],8,FALSE),0)</f>
        <v>15.124929133287438</v>
      </c>
      <c r="AB292" s="33">
        <f>IFERROR(VLOOKUP(lmic_raw_ub[[#This Row],[setting]],vcost_ub[],9,FALSE),0)</f>
        <v>20.195064133287438</v>
      </c>
      <c r="AC292" s="84">
        <f>VLOOKUP($A292,lmic_raw[],29,FALSE)*(1+interactive!$C$7)</f>
        <v>3.1668776999999933E-2</v>
      </c>
      <c r="AD292" s="84">
        <f>VLOOKUP($A292,lmic_raw[],30,FALSE)*(1+interactive!$C$7)</f>
        <v>2.1163875650899279E-3</v>
      </c>
      <c r="AE292" s="84">
        <f>VLOOKUP($A292,lmic_raw[],31,FALSE)*(1+interactive!$C$7)</f>
        <v>5.480864223197145E-4</v>
      </c>
      <c r="AF292" s="84">
        <f>VLOOKUP($A292,lmic_raw[],32,FALSE)*(1+interactive!$C$7)</f>
        <v>4.6032565878809301E-4</v>
      </c>
      <c r="AG292" s="84">
        <f>VLOOKUP($A292,lmic_raw[],33,FALSE)*(1+interactive!$C$7)</f>
        <v>8.2431399630368194E-4</v>
      </c>
      <c r="AH292" s="84">
        <f>VLOOKUP($A292,lmic_raw[],34,FALSE)*(1+interactive!$C$7)</f>
        <v>1.4521115504894998E-3</v>
      </c>
      <c r="AI292" s="84">
        <f>VLOOKUP($A292,lmic_raw[],35,FALSE)*(1+interactive!$C$7)</f>
        <v>2.3123795824377328E-3</v>
      </c>
      <c r="AJ292" s="84">
        <f>VLOOKUP($A292,lmic_raw[],36,FALSE)*(1+interactive!$C$7)</f>
        <v>3.2950728134911846E-3</v>
      </c>
      <c r="AK292" s="84">
        <f>VLOOKUP($A292,lmic_raw[],37,FALSE)*(1+interactive!$C$7)</f>
        <v>4.7428497106126585E-3</v>
      </c>
      <c r="AL292" s="84">
        <f>VLOOKUP($A292,lmic_raw[],38,FALSE)*(1+interactive!$C$7)</f>
        <v>5.9081482453454664E-3</v>
      </c>
      <c r="AM292" s="84">
        <f>VLOOKUP($A292,lmic_raw[],39,FALSE)*(1+interactive!$C$7)</f>
        <v>7.3598955269727692E-3</v>
      </c>
      <c r="AN292" s="84">
        <f>VLOOKUP($A292,lmic_raw[],40,FALSE)*(1+interactive!$C$7)</f>
        <v>9.410767981867546E-3</v>
      </c>
      <c r="AO292" s="84">
        <f>VLOOKUP($A292,lmic_raw[],41,FALSE)*(1+interactive!$C$7)</f>
        <v>1.175714992626482E-2</v>
      </c>
      <c r="AP292" s="84">
        <f>VLOOKUP($A292,lmic_raw[],42,FALSE)*(1+interactive!$C$7)</f>
        <v>1.6431516288776406E-2</v>
      </c>
      <c r="AQ292" s="84">
        <f>VLOOKUP($A292,lmic_raw[],43,FALSE)*(1+interactive!$C$7)</f>
        <v>2.4670423154195223E-2</v>
      </c>
      <c r="AR292" s="84">
        <f>VLOOKUP($A292,lmic_raw[],44,FALSE)*(1+interactive!$C$7)</f>
        <v>3.7785146279498964E-2</v>
      </c>
      <c r="AS292" s="84">
        <f>VLOOKUP($A292,lmic_raw[],45,FALSE)*(1+interactive!$C$7)</f>
        <v>5.7724378869112074E-2</v>
      </c>
      <c r="AT292" s="84">
        <f>VLOOKUP($A292,lmic_raw[],46,FALSE)*(1+interactive!$C$7)</f>
        <v>8.9846936039031933E-2</v>
      </c>
      <c r="AU292" s="84">
        <f>VLOOKUP($A292,lmic_raw[],47,FALSE)*(1+interactive!$C$7)</f>
        <v>0.13209441830921578</v>
      </c>
      <c r="AV292" s="84">
        <f>VLOOKUP($A292,lmic_raw[],48,FALSE)*(1+interactive!$C$7)</f>
        <v>0.17220229623260264</v>
      </c>
      <c r="AW292" s="84">
        <f>VLOOKUP($A292,lmic_raw[],49,FALSE)*(1+interactive!$C$7)</f>
        <v>0.1915413169661577</v>
      </c>
      <c r="AX292" s="84">
        <f>VLOOKUP($A292,lmic_raw[],50,FALSE)*(1+interactive!$C$7)</f>
        <v>72.549750000000003</v>
      </c>
    </row>
    <row r="293" spans="1:50" x14ac:dyDescent="0.25">
      <c r="A293" s="110" t="s">
        <v>264</v>
      </c>
      <c r="B293" s="104" t="s">
        <v>388</v>
      </c>
      <c r="C293" s="105">
        <v>76</v>
      </c>
      <c r="D293" s="84" t="s">
        <v>679</v>
      </c>
      <c r="E293" s="84" t="s">
        <v>595</v>
      </c>
      <c r="F293" s="84" t="s">
        <v>665</v>
      </c>
      <c r="G293" s="84" t="s">
        <v>676</v>
      </c>
      <c r="H293" s="33">
        <f>VLOOKUP(lmic_raw_ub[[#This Row],[setting]],lmic_raw[],8,FALSE)</f>
        <v>211049519</v>
      </c>
      <c r="I293" s="33">
        <f>VLOOKUP(lmic_raw_ub[[#This Row],[setting]],lmic_raw[],9,FALSE)</f>
        <v>2970099.8808869999</v>
      </c>
      <c r="J293" s="84">
        <f>MIN(VLOOKUP($A293,lmic_raw[],10,FALSE)*(1+interactive!$C$7),0.9999)</f>
        <v>0.99990000000000001</v>
      </c>
      <c r="K293" s="84">
        <f>MIN(VLOOKUP($A293,lmic_raw[],11,FALSE)*(1+interactive!$C$7),0.9999)</f>
        <v>0.81900000000000006</v>
      </c>
      <c r="L293" s="33">
        <f>MIN(VLOOKUP($A293,lmic_raw[],12,FALSE)*(1+interactive!$C$7),0.9999)</f>
        <v>0.84000000000000008</v>
      </c>
      <c r="M293" s="84">
        <f>IFERROR(VLOOKUP(lmic_raw_ub[[#This Row],[iso3]], hbv_prev[[iso3]:[ub]],4,FALSE)/100,0)</f>
        <v>6.8999999999999999E-3</v>
      </c>
      <c r="N293" s="84">
        <f>IFERROR(VLOOKUP(lmic_raw_ub[[#This Row],[setting]],hbe_prev[],5,FALSE),0)</f>
        <v>0.433</v>
      </c>
      <c r="O293" s="84">
        <f>VLOOKUP(lmic_raw_ub[[#This Row],[gbd_super]],hbe_risk[],4,FALSE)</f>
        <v>0.9</v>
      </c>
      <c r="P293" s="84">
        <f>VLOOKUP(lmic_raw_ub[[#This Row],[gbd_super]],hbe_risk[],7,FALSE)</f>
        <v>0.3</v>
      </c>
      <c r="Q293" s="98">
        <f>VLOOKUP(lmic_raw_ub[[#This Row],[setting]],lmic_raw[],17,FALSE)*(1+interactive!$C$7)</f>
        <v>5.0967404341863878</v>
      </c>
      <c r="R293" s="98">
        <f>VLOOKUP(lmic_raw_ub[[#This Row],[setting]],lmic_raw[],18,FALSE)*(1+interactive!$C$7)</f>
        <v>91.228094999999996</v>
      </c>
      <c r="S293" s="98">
        <f>VLOOKUP(lmic_raw_ub[[#This Row],[setting]],lmic_raw[],19,FALSE)*(1+interactive!$C$7)</f>
        <v>141.35719500000002</v>
      </c>
      <c r="T293" s="98">
        <f>VLOOKUP(lmic_raw_ub[[#This Row],[setting]],lmic_raw[],20,FALSE)*(1+interactive!$C$7)</f>
        <v>141.35719500000002</v>
      </c>
      <c r="U293" s="98">
        <f>VLOOKUP(lmic_raw_ub[[#This Row],[setting]],lmic_raw[],21,FALSE)*(1+interactive!$C$7)</f>
        <v>141.35719500000002</v>
      </c>
      <c r="V293" s="33">
        <f>IFERROR(VLOOKUP(lmic_raw_ub[[#This Row],[setting]],vcost_ub[],3,FALSE),0)</f>
        <v>6.1364716877578758</v>
      </c>
      <c r="W293" s="33">
        <f>IFERROR(VLOOKUP(lmic_raw_ub[[#This Row],[setting]],vcost_ub[],4,FALSE),0)</f>
        <v>6.1593616877578761</v>
      </c>
      <c r="X293" s="33">
        <f>IFERROR(VLOOKUP(lmic_raw_ub[[#This Row],[setting]],vcost_ub[],5,FALSE),0)</f>
        <v>5.6029606096260753</v>
      </c>
      <c r="Y293" s="33">
        <f>IFERROR(VLOOKUP(lmic_raw_ub[[#This Row],[setting]],vcost_ub[],6,FALSE),0)</f>
        <v>5.6258506096260756</v>
      </c>
      <c r="Z293" s="33">
        <f>IFERROR(VLOOKUP(lmic_raw_ub[[#This Row],[setting]],vcost_ub[],7,FALSE),0)</f>
        <v>5.5992663646961134</v>
      </c>
      <c r="AA293" s="33">
        <f>IFERROR(VLOOKUP(lmic_raw_ub[[#This Row],[setting]],vcost_ub[],8,FALSE),0)</f>
        <v>6.4136498742229096</v>
      </c>
      <c r="AB293" s="33">
        <f>IFERROR(VLOOKUP(lmic_raw_ub[[#This Row],[setting]],vcost_ub[],9,FALSE),0)</f>
        <v>6.4365398742229099</v>
      </c>
      <c r="AC293" s="84">
        <f>VLOOKUP($A293,lmic_raw[],29,FALSE)*(1+interactive!$C$7)</f>
        <v>1.3667944500000029E-2</v>
      </c>
      <c r="AD293" s="84">
        <f>VLOOKUP($A293,lmic_raw[],30,FALSE)*(1+interactive!$C$7)</f>
        <v>5.9374698291380528E-4</v>
      </c>
      <c r="AE293" s="84">
        <f>VLOOKUP($A293,lmic_raw[],31,FALSE)*(1+interactive!$C$7)</f>
        <v>2.3735800032021091E-4</v>
      </c>
      <c r="AF293" s="84">
        <f>VLOOKUP($A293,lmic_raw[],32,FALSE)*(1+interactive!$C$7)</f>
        <v>3.2610888268157998E-4</v>
      </c>
      <c r="AG293" s="84">
        <f>VLOOKUP($A293,lmic_raw[],33,FALSE)*(1+interactive!$C$7)</f>
        <v>1.1375936296662927E-3</v>
      </c>
      <c r="AH293" s="84">
        <f>VLOOKUP($A293,lmic_raw[],34,FALSE)*(1+interactive!$C$7)</f>
        <v>1.7288053386884028E-3</v>
      </c>
      <c r="AI293" s="84">
        <f>VLOOKUP($A293,lmic_raw[],35,FALSE)*(1+interactive!$C$7)</f>
        <v>1.6526198133591807E-3</v>
      </c>
      <c r="AJ293" s="84">
        <f>VLOOKUP($A293,lmic_raw[],36,FALSE)*(1+interactive!$C$7)</f>
        <v>1.9060456586737252E-3</v>
      </c>
      <c r="AK293" s="84">
        <f>VLOOKUP($A293,lmic_raw[],37,FALSE)*(1+interactive!$C$7)</f>
        <v>2.4075288820521639E-3</v>
      </c>
      <c r="AL293" s="84">
        <f>VLOOKUP($A293,lmic_raw[],38,FALSE)*(1+interactive!$C$7)</f>
        <v>3.096660019454633E-3</v>
      </c>
      <c r="AM293" s="84">
        <f>VLOOKUP($A293,lmic_raw[],39,FALSE)*(1+interactive!$C$7)</f>
        <v>4.4668250245502193E-3</v>
      </c>
      <c r="AN293" s="84">
        <f>VLOOKUP($A293,lmic_raw[],40,FALSE)*(1+interactive!$C$7)</f>
        <v>6.3682316014096749E-3</v>
      </c>
      <c r="AO293" s="84">
        <f>VLOOKUP($A293,lmic_raw[],41,FALSE)*(1+interactive!$C$7)</f>
        <v>9.0009903017898626E-3</v>
      </c>
      <c r="AP293" s="84">
        <f>VLOOKUP($A293,lmic_raw[],42,FALSE)*(1+interactive!$C$7)</f>
        <v>1.339743036590146E-2</v>
      </c>
      <c r="AQ293" s="84">
        <f>VLOOKUP($A293,lmic_raw[],43,FALSE)*(1+interactive!$C$7)</f>
        <v>1.9841491315275833E-2</v>
      </c>
      <c r="AR293" s="84">
        <f>VLOOKUP($A293,lmic_raw[],44,FALSE)*(1+interactive!$C$7)</f>
        <v>2.8204717282977843E-2</v>
      </c>
      <c r="AS293" s="84">
        <f>VLOOKUP($A293,lmic_raw[],45,FALSE)*(1+interactive!$C$7)</f>
        <v>4.2198648789536101E-2</v>
      </c>
      <c r="AT293" s="84">
        <f>VLOOKUP($A293,lmic_raw[],46,FALSE)*(1+interactive!$C$7)</f>
        <v>6.1188720581459098E-2</v>
      </c>
      <c r="AU293" s="84">
        <f>VLOOKUP($A293,lmic_raw[],47,FALSE)*(1+interactive!$C$7)</f>
        <v>8.4980171569558463E-2</v>
      </c>
      <c r="AV293" s="84">
        <f>VLOOKUP($A293,lmic_raw[],48,FALSE)*(1+interactive!$C$7)</f>
        <v>0.11160538230564715</v>
      </c>
      <c r="AW293" s="84">
        <f>VLOOKUP($A293,lmic_raw[],49,FALSE)*(1+interactive!$C$7)</f>
        <v>0.14449637120275161</v>
      </c>
      <c r="AX293" s="84">
        <f>VLOOKUP($A293,lmic_raw[],50,FALSE)*(1+interactive!$C$7)</f>
        <v>79.339050000000015</v>
      </c>
    </row>
    <row r="294" spans="1:50" x14ac:dyDescent="0.25">
      <c r="A294" s="109" t="s">
        <v>308</v>
      </c>
      <c r="B294" s="101" t="s">
        <v>390</v>
      </c>
      <c r="C294" s="102">
        <v>100</v>
      </c>
      <c r="D294" s="82" t="s">
        <v>675</v>
      </c>
      <c r="E294" s="82" t="s">
        <v>580</v>
      </c>
      <c r="F294" s="82" t="s">
        <v>663</v>
      </c>
      <c r="G294" s="82" t="s">
        <v>676</v>
      </c>
      <c r="H294" s="33">
        <f>VLOOKUP(lmic_raw_ub[[#This Row],[setting]],lmic_raw[],8,FALSE)</f>
        <v>7000117</v>
      </c>
      <c r="I294" s="33">
        <f>VLOOKUP(lmic_raw_ub[[#This Row],[setting]],lmic_raw[],9,FALSE)</f>
        <v>62693.047851999996</v>
      </c>
      <c r="J294" s="84">
        <f>MIN(VLOOKUP($A294,lmic_raw[],10,FALSE)*(1+interactive!$C$7),0.9999)</f>
        <v>0.99990000000000001</v>
      </c>
      <c r="K294" s="84">
        <f>MIN(VLOOKUP($A294,lmic_raw[],11,FALSE)*(1+interactive!$C$7),0.9999)</f>
        <v>0.99990000000000001</v>
      </c>
      <c r="L294" s="33">
        <f>MIN(VLOOKUP($A294,lmic_raw[],12,FALSE)*(1+interactive!$C$7),0.9999)</f>
        <v>0.89249999999999996</v>
      </c>
      <c r="M294" s="84">
        <f>IFERROR(VLOOKUP(lmic_raw_ub[[#This Row],[iso3]], hbv_prev[[iso3]:[ub]],4,FALSE)/100,0)</f>
        <v>3.1899999999999998E-2</v>
      </c>
      <c r="N294" s="84">
        <f>IFERROR(VLOOKUP(lmic_raw_ub[[#This Row],[setting]],hbe_prev[],5,FALSE),0)</f>
        <v>0.42849999999999999</v>
      </c>
      <c r="O294" s="84">
        <f>VLOOKUP(lmic_raw_ub[[#This Row],[gbd_super]],hbe_risk[],4,FALSE)</f>
        <v>0.9</v>
      </c>
      <c r="P294" s="84">
        <f>VLOOKUP(lmic_raw_ub[[#This Row],[gbd_super]],hbe_risk[],7,FALSE)</f>
        <v>0.3</v>
      </c>
      <c r="Q294" s="98">
        <f>VLOOKUP(lmic_raw_ub[[#This Row],[setting]],lmic_raw[],17,FALSE)*(1+interactive!$C$7)</f>
        <v>12.250216964244103</v>
      </c>
      <c r="R294" s="98">
        <f>VLOOKUP(lmic_raw_ub[[#This Row],[setting]],lmic_raw[],18,FALSE)*(1+interactive!$C$7)</f>
        <v>46.76427000000001</v>
      </c>
      <c r="S294" s="98">
        <f>VLOOKUP(lmic_raw_ub[[#This Row],[setting]],lmic_raw[],19,FALSE)*(1+interactive!$C$7)</f>
        <v>96.893370000000019</v>
      </c>
      <c r="T294" s="98">
        <f>VLOOKUP(lmic_raw_ub[[#This Row],[setting]],lmic_raw[],20,FALSE)*(1+interactive!$C$7)</f>
        <v>96.893370000000019</v>
      </c>
      <c r="U294" s="98">
        <f>VLOOKUP(lmic_raw_ub[[#This Row],[setting]],lmic_raw[],21,FALSE)*(1+interactive!$C$7)</f>
        <v>96.893370000000019</v>
      </c>
      <c r="V294" s="33">
        <f>IFERROR(VLOOKUP(lmic_raw_ub[[#This Row],[setting]],vcost_ub[],3,FALSE),0)</f>
        <v>11.493808071616648</v>
      </c>
      <c r="W294" s="33">
        <f>IFERROR(VLOOKUP(lmic_raw_ub[[#This Row],[setting]],vcost_ub[],4,FALSE),0)</f>
        <v>15.762793071616649</v>
      </c>
      <c r="X294" s="33">
        <f>IFERROR(VLOOKUP(lmic_raw_ub[[#This Row],[setting]],vcost_ub[],5,FALSE),0)</f>
        <v>10.950446771531736</v>
      </c>
      <c r="Y294" s="33">
        <f>IFERROR(VLOOKUP(lmic_raw_ub[[#This Row],[setting]],vcost_ub[],6,FALSE),0)</f>
        <v>15.219431771531736</v>
      </c>
      <c r="Z294" s="33">
        <f>IFERROR(VLOOKUP(lmic_raw_ub[[#This Row],[setting]],vcost_ub[],7,FALSE),0)</f>
        <v>15.185218929225977</v>
      </c>
      <c r="AA294" s="33">
        <f>IFERROR(VLOOKUP(lmic_raw_ub[[#This Row],[setting]],vcost_ub[],8,FALSE),0)</f>
        <v>11.77322219803423</v>
      </c>
      <c r="AB294" s="33">
        <f>IFERROR(VLOOKUP(lmic_raw_ub[[#This Row],[setting]],vcost_ub[],9,FALSE),0)</f>
        <v>16.04220719803423</v>
      </c>
      <c r="AC294" s="84">
        <f>VLOOKUP($A294,lmic_raw[],29,FALSE)*(1+interactive!$C$7)</f>
        <v>6.6015809999999406E-3</v>
      </c>
      <c r="AD294" s="84">
        <f>VLOOKUP($A294,lmic_raw[],30,FALSE)*(1+interactive!$C$7)</f>
        <v>3.0890439992129734E-4</v>
      </c>
      <c r="AE294" s="84">
        <f>VLOOKUP($A294,lmic_raw[],31,FALSE)*(1+interactive!$C$7)</f>
        <v>1.4909453833453161E-4</v>
      </c>
      <c r="AF294" s="84">
        <f>VLOOKUP($A294,lmic_raw[],32,FALSE)*(1+interactive!$C$7)</f>
        <v>1.7678650416068286E-4</v>
      </c>
      <c r="AG294" s="84">
        <f>VLOOKUP($A294,lmic_raw[],33,FALSE)*(1+interactive!$C$7)</f>
        <v>4.6328028526632721E-4</v>
      </c>
      <c r="AH294" s="84">
        <f>VLOOKUP($A294,lmic_raw[],34,FALSE)*(1+interactive!$C$7)</f>
        <v>6.1148462683962581E-4</v>
      </c>
      <c r="AI294" s="84">
        <f>VLOOKUP($A294,lmic_raw[],35,FALSE)*(1+interactive!$C$7)</f>
        <v>7.141618801007406E-4</v>
      </c>
      <c r="AJ294" s="84">
        <f>VLOOKUP($A294,lmic_raw[],36,FALSE)*(1+interactive!$C$7)</f>
        <v>1.025952780403982E-3</v>
      </c>
      <c r="AK294" s="84">
        <f>VLOOKUP($A294,lmic_raw[],37,FALSE)*(1+interactive!$C$7)</f>
        <v>1.5244285790594943E-3</v>
      </c>
      <c r="AL294" s="84">
        <f>VLOOKUP($A294,lmic_raw[],38,FALSE)*(1+interactive!$C$7)</f>
        <v>2.5543586426087336E-3</v>
      </c>
      <c r="AM294" s="84">
        <f>VLOOKUP($A294,lmic_raw[],39,FALSE)*(1+interactive!$C$7)</f>
        <v>4.5246301911702445E-3</v>
      </c>
      <c r="AN294" s="84">
        <f>VLOOKUP($A294,lmic_raw[],40,FALSE)*(1+interactive!$C$7)</f>
        <v>7.4336893265971819E-3</v>
      </c>
      <c r="AO294" s="84">
        <f>VLOOKUP($A294,lmic_raw[],41,FALSE)*(1+interactive!$C$7)</f>
        <v>1.1436435838606573E-2</v>
      </c>
      <c r="AP294" s="84">
        <f>VLOOKUP($A294,lmic_raw[],42,FALSE)*(1+interactive!$C$7)</f>
        <v>1.6482419677363823E-2</v>
      </c>
      <c r="AQ294" s="84">
        <f>VLOOKUP($A294,lmic_raw[],43,FALSE)*(1+interactive!$C$7)</f>
        <v>2.3087437528109832E-2</v>
      </c>
      <c r="AR294" s="84">
        <f>VLOOKUP($A294,lmic_raw[],44,FALSE)*(1+interactive!$C$7)</f>
        <v>3.2881625079762555E-2</v>
      </c>
      <c r="AS294" s="84">
        <f>VLOOKUP($A294,lmic_raw[],45,FALSE)*(1+interactive!$C$7)</f>
        <v>5.0336450319936728E-2</v>
      </c>
      <c r="AT294" s="84">
        <f>VLOOKUP($A294,lmic_raw[],46,FALSE)*(1+interactive!$C$7)</f>
        <v>8.1075094769396755E-2</v>
      </c>
      <c r="AU294" s="84">
        <f>VLOOKUP($A294,lmic_raw[],47,FALSE)*(1+interactive!$C$7)</f>
        <v>0.13549981672967126</v>
      </c>
      <c r="AV294" s="84">
        <f>VLOOKUP($A294,lmic_raw[],48,FALSE)*(1+interactive!$C$7)</f>
        <v>0.15826201991669178</v>
      </c>
      <c r="AW294" s="84">
        <f>VLOOKUP($A294,lmic_raw[],49,FALSE)*(1+interactive!$C$7)</f>
        <v>0.18627385141848052</v>
      </c>
      <c r="AX294" s="84">
        <f>VLOOKUP($A294,lmic_raw[],50,FALSE)*(1+interactive!$C$7)</f>
        <v>78.589349999999996</v>
      </c>
    </row>
    <row r="295" spans="1:50" x14ac:dyDescent="0.25">
      <c r="A295" s="110" t="s">
        <v>139</v>
      </c>
      <c r="B295" s="104" t="s">
        <v>391</v>
      </c>
      <c r="C295" s="105">
        <v>854</v>
      </c>
      <c r="D295" s="84" t="s">
        <v>677</v>
      </c>
      <c r="E295" s="84" t="s">
        <v>591</v>
      </c>
      <c r="F295" s="84" t="s">
        <v>667</v>
      </c>
      <c r="G295" s="84" t="s">
        <v>674</v>
      </c>
      <c r="H295" s="33">
        <f>VLOOKUP(lmic_raw_ub[[#This Row],[setting]],lmic_raw[],8,FALSE)</f>
        <v>20321383</v>
      </c>
      <c r="I295" s="33">
        <f>VLOOKUP(lmic_raw_ub[[#This Row],[setting]],lmic_raw[],9,FALSE)</f>
        <v>776032.97400400008</v>
      </c>
      <c r="J295" s="84">
        <f>MIN(VLOOKUP($A295,lmic_raw[],10,FALSE)*(1+interactive!$C$7),0.9999)</f>
        <v>0.86310000000000009</v>
      </c>
      <c r="K295" s="84">
        <f>MIN(VLOOKUP($A295,lmic_raw[],11,FALSE)*(1+interactive!$C$7),0.9999)</f>
        <v>0</v>
      </c>
      <c r="L295" s="33">
        <f>MIN(VLOOKUP($A295,lmic_raw[],12,FALSE)*(1+interactive!$C$7),0.9999)</f>
        <v>0.95550000000000013</v>
      </c>
      <c r="M295" s="84">
        <f>IFERROR(VLOOKUP(lmic_raw_ub[[#This Row],[iso3]], hbv_prev[[iso3]:[ub]],4,FALSE)/100,0)</f>
        <v>0.12279999999999999</v>
      </c>
      <c r="N295" s="84">
        <f>IFERROR(VLOOKUP(lmic_raw_ub[[#This Row],[setting]],hbe_prev[],5,FALSE),0)</f>
        <v>0.41070000000000001</v>
      </c>
      <c r="O295" s="84">
        <f>VLOOKUP(lmic_raw_ub[[#This Row],[gbd_super]],hbe_risk[],4,FALSE)</f>
        <v>0.74399999999999999</v>
      </c>
      <c r="P295" s="84">
        <f>VLOOKUP(lmic_raw_ub[[#This Row],[gbd_super]],hbe_risk[],7,FALSE)</f>
        <v>0.13300000000000001</v>
      </c>
      <c r="Q295" s="98">
        <f>VLOOKUP(lmic_raw_ub[[#This Row],[setting]],lmic_raw[],17,FALSE)*(1+interactive!$C$7)</f>
        <v>0</v>
      </c>
      <c r="R295" s="98">
        <f>VLOOKUP(lmic_raw_ub[[#This Row],[setting]],lmic_raw[],18,FALSE)*(1+interactive!$C$7)</f>
        <v>31.416525000000004</v>
      </c>
      <c r="S295" s="98">
        <f>VLOOKUP(lmic_raw_ub[[#This Row],[setting]],lmic_raw[],19,FALSE)*(1+interactive!$C$7)</f>
        <v>81.545625000000015</v>
      </c>
      <c r="T295" s="98">
        <f>VLOOKUP(lmic_raw_ub[[#This Row],[setting]],lmic_raw[],20,FALSE)*(1+interactive!$C$7)</f>
        <v>81.545625000000015</v>
      </c>
      <c r="U295" s="98">
        <f>VLOOKUP(lmic_raw_ub[[#This Row],[setting]],lmic_raw[],21,FALSE)*(1+interactive!$C$7)</f>
        <v>81.545625000000015</v>
      </c>
      <c r="V295" s="33">
        <f>IFERROR(VLOOKUP(lmic_raw_ub[[#This Row],[setting]],vcost_ub[],3,FALSE),0)</f>
        <v>5.0852927483877801</v>
      </c>
      <c r="W295" s="33">
        <f>IFERROR(VLOOKUP(lmic_raw_ub[[#This Row],[setting]],vcost_ub[],4,FALSE),0)</f>
        <v>10.15542774838778</v>
      </c>
      <c r="X295" s="33">
        <f>IFERROR(VLOOKUP(lmic_raw_ub[[#This Row],[setting]],vcost_ub[],5,FALSE),0)</f>
        <v>4.5890421857307055</v>
      </c>
      <c r="Y295" s="33">
        <f>IFERROR(VLOOKUP(lmic_raw_ub[[#This Row],[setting]],vcost_ub[],6,FALSE),0)</f>
        <v>9.6591771857307052</v>
      </c>
      <c r="Z295" s="33">
        <f>IFERROR(VLOOKUP(lmic_raw_ub[[#This Row],[setting]],vcost_ub[],7,FALSE),0)</f>
        <v>9.6523211538141176</v>
      </c>
      <c r="AA295" s="33">
        <f>IFERROR(VLOOKUP(lmic_raw_ub[[#This Row],[setting]],vcost_ub[],8,FALSE),0)</f>
        <v>5.3540130264321704</v>
      </c>
      <c r="AB295" s="33">
        <f>IFERROR(VLOOKUP(lmic_raw_ub[[#This Row],[setting]],vcost_ub[],9,FALSE),0)</f>
        <v>10.424148026432171</v>
      </c>
      <c r="AC295" s="84">
        <f>VLOOKUP($A295,lmic_raw[],29,FALSE)*(1+interactive!$C$7)</f>
        <v>5.6939252999999926E-2</v>
      </c>
      <c r="AD295" s="84">
        <f>VLOOKUP($A295,lmic_raw[],30,FALSE)*(1+interactive!$C$7)</f>
        <v>8.1884704808496515E-3</v>
      </c>
      <c r="AE295" s="84">
        <f>VLOOKUP($A295,lmic_raw[],31,FALSE)*(1+interactive!$C$7)</f>
        <v>2.8453435689820335E-3</v>
      </c>
      <c r="AF295" s="84">
        <f>VLOOKUP($A295,lmic_raw[],32,FALSE)*(1+interactive!$C$7)</f>
        <v>1.6915266887062986E-3</v>
      </c>
      <c r="AG295" s="84">
        <f>VLOOKUP($A295,lmic_raw[],33,FALSE)*(1+interactive!$C$7)</f>
        <v>2.5793801995270004E-3</v>
      </c>
      <c r="AH295" s="84">
        <f>VLOOKUP($A295,lmic_raw[],34,FALSE)*(1+interactive!$C$7)</f>
        <v>3.6126746098943101E-3</v>
      </c>
      <c r="AI295" s="84">
        <f>VLOOKUP($A295,lmic_raw[],35,FALSE)*(1+interactive!$C$7)</f>
        <v>3.8681852629669023E-3</v>
      </c>
      <c r="AJ295" s="84">
        <f>VLOOKUP($A295,lmic_raw[],36,FALSE)*(1+interactive!$C$7)</f>
        <v>4.2721517909394607E-3</v>
      </c>
      <c r="AK295" s="84">
        <f>VLOOKUP($A295,lmic_raw[],37,FALSE)*(1+interactive!$C$7)</f>
        <v>4.9000666864527755E-3</v>
      </c>
      <c r="AL295" s="84">
        <f>VLOOKUP($A295,lmic_raw[],38,FALSE)*(1+interactive!$C$7)</f>
        <v>6.0227316199991127E-3</v>
      </c>
      <c r="AM295" s="84">
        <f>VLOOKUP($A295,lmic_raw[],39,FALSE)*(1+interactive!$C$7)</f>
        <v>7.5441349363544637E-3</v>
      </c>
      <c r="AN295" s="84">
        <f>VLOOKUP($A295,lmic_raw[],40,FALSE)*(1+interactive!$C$7)</f>
        <v>1.0583168965783008E-2</v>
      </c>
      <c r="AO295" s="84">
        <f>VLOOKUP($A295,lmic_raw[],41,FALSE)*(1+interactive!$C$7)</f>
        <v>1.5040784098539475E-2</v>
      </c>
      <c r="AP295" s="84">
        <f>VLOOKUP($A295,lmic_raw[],42,FALSE)*(1+interactive!$C$7)</f>
        <v>2.3380353706234848E-2</v>
      </c>
      <c r="AQ295" s="84">
        <f>VLOOKUP($A295,lmic_raw[],43,FALSE)*(1+interactive!$C$7)</f>
        <v>3.6048199398505162E-2</v>
      </c>
      <c r="AR295" s="84">
        <f>VLOOKUP($A295,lmic_raw[],44,FALSE)*(1+interactive!$C$7)</f>
        <v>5.7783262159245542E-2</v>
      </c>
      <c r="AS295" s="84">
        <f>VLOOKUP($A295,lmic_raw[],45,FALSE)*(1+interactive!$C$7)</f>
        <v>8.8827200479981161E-2</v>
      </c>
      <c r="AT295" s="84">
        <f>VLOOKUP($A295,lmic_raw[],46,FALSE)*(1+interactive!$C$7)</f>
        <v>0.12698276841269401</v>
      </c>
      <c r="AU295" s="84">
        <f>VLOOKUP($A295,lmic_raw[],47,FALSE)*(1+interactive!$C$7)</f>
        <v>0.16166715121147709</v>
      </c>
      <c r="AV295" s="84">
        <f>VLOOKUP($A295,lmic_raw[],48,FALSE)*(1+interactive!$C$7)</f>
        <v>0.18572019963992989</v>
      </c>
      <c r="AW295" s="84">
        <f>VLOOKUP($A295,lmic_raw[],49,FALSE)*(1+interactive!$C$7)</f>
        <v>0.20371890608448159</v>
      </c>
      <c r="AX295" s="84">
        <f>VLOOKUP($A295,lmic_raw[],50,FALSE)*(1+interactive!$C$7)</f>
        <v>63.962850000000003</v>
      </c>
    </row>
    <row r="296" spans="1:50" x14ac:dyDescent="0.25">
      <c r="A296" s="109" t="s">
        <v>101</v>
      </c>
      <c r="B296" s="101" t="s">
        <v>392</v>
      </c>
      <c r="C296" s="102">
        <v>108</v>
      </c>
      <c r="D296" s="82" t="s">
        <v>677</v>
      </c>
      <c r="E296" s="82" t="s">
        <v>597</v>
      </c>
      <c r="F296" s="82" t="s">
        <v>667</v>
      </c>
      <c r="G296" s="82" t="s">
        <v>674</v>
      </c>
      <c r="H296" s="33">
        <f>VLOOKUP(lmic_raw_ub[[#This Row],[setting]],lmic_raw[],8,FALSE)</f>
        <v>11530577</v>
      </c>
      <c r="I296" s="33">
        <f>VLOOKUP(lmic_raw_ub[[#This Row],[setting]],lmic_raw[],9,FALSE)</f>
        <v>452655.86128899996</v>
      </c>
      <c r="J296" s="84">
        <f>MIN(VLOOKUP($A296,lmic_raw[],10,FALSE)*(1+interactive!$C$7),0.9999)</f>
        <v>0.88095000000000012</v>
      </c>
      <c r="K296" s="84">
        <f>MIN(VLOOKUP($A296,lmic_raw[],11,FALSE)*(1+interactive!$C$7),0.9999)</f>
        <v>0</v>
      </c>
      <c r="L296" s="33">
        <f>MIN(VLOOKUP($A296,lmic_raw[],12,FALSE)*(1+interactive!$C$7),0.9999)</f>
        <v>0.97650000000000015</v>
      </c>
      <c r="M296" s="84">
        <f>IFERROR(VLOOKUP(lmic_raw_ub[[#This Row],[iso3]], hbv_prev[[iso3]:[ub]],4,FALSE)/100,0)</f>
        <v>0.1</v>
      </c>
      <c r="N296" s="84">
        <f>IFERROR(VLOOKUP(lmic_raw_ub[[#This Row],[setting]],hbe_prev[],5,FALSE),0)</f>
        <v>0.39960000000000001</v>
      </c>
      <c r="O296" s="84">
        <f>VLOOKUP(lmic_raw_ub[[#This Row],[gbd_super]],hbe_risk[],4,FALSE)</f>
        <v>0.74399999999999999</v>
      </c>
      <c r="P296" s="84">
        <f>VLOOKUP(lmic_raw_ub[[#This Row],[gbd_super]],hbe_risk[],7,FALSE)</f>
        <v>0.13300000000000001</v>
      </c>
      <c r="Q296" s="98">
        <f>VLOOKUP(lmic_raw_ub[[#This Row],[setting]],lmic_raw[],17,FALSE)*(1+interactive!$C$7)</f>
        <v>2.3176023397563004</v>
      </c>
      <c r="R296" s="98">
        <f>VLOOKUP(lmic_raw_ub[[#This Row],[setting]],lmic_raw[],18,FALSE)*(1+interactive!$C$7)</f>
        <v>31.416525000000004</v>
      </c>
      <c r="S296" s="98">
        <f>VLOOKUP(lmic_raw_ub[[#This Row],[setting]],lmic_raw[],19,FALSE)*(1+interactive!$C$7)</f>
        <v>81.545625000000015</v>
      </c>
      <c r="T296" s="98">
        <f>VLOOKUP(lmic_raw_ub[[#This Row],[setting]],lmic_raw[],20,FALSE)*(1+interactive!$C$7)</f>
        <v>81.545625000000015</v>
      </c>
      <c r="U296" s="98">
        <f>VLOOKUP(lmic_raw_ub[[#This Row],[setting]],lmic_raw[],21,FALSE)*(1+interactive!$C$7)</f>
        <v>81.545625000000015</v>
      </c>
      <c r="V296" s="33">
        <f>IFERROR(VLOOKUP(lmic_raw_ub[[#This Row],[setting]],vcost_ub[],3,FALSE),0)</f>
        <v>4.9940203772609078</v>
      </c>
      <c r="W296" s="33">
        <f>IFERROR(VLOOKUP(lmic_raw_ub[[#This Row],[setting]],vcost_ub[],4,FALSE),0)</f>
        <v>10.064155377260908</v>
      </c>
      <c r="X296" s="33">
        <f>IFERROR(VLOOKUP(lmic_raw_ub[[#This Row],[setting]],vcost_ub[],5,FALSE),0)</f>
        <v>4.5063788958536408</v>
      </c>
      <c r="Y296" s="33">
        <f>IFERROR(VLOOKUP(lmic_raw_ub[[#This Row],[setting]],vcost_ub[],6,FALSE),0)</f>
        <v>9.5765138958536404</v>
      </c>
      <c r="Z296" s="33">
        <f>IFERROR(VLOOKUP(lmic_raw_ub[[#This Row],[setting]],vcost_ub[],7,FALSE),0)</f>
        <v>9.5742183816305815</v>
      </c>
      <c r="AA296" s="33">
        <f>IFERROR(VLOOKUP(lmic_raw_ub[[#This Row],[setting]],vcost_ub[],8,FALSE),0)</f>
        <v>5.2607864466780407</v>
      </c>
      <c r="AB296" s="33">
        <f>IFERROR(VLOOKUP(lmic_raw_ub[[#This Row],[setting]],vcost_ub[],9,FALSE),0)</f>
        <v>10.33092144667804</v>
      </c>
      <c r="AC296" s="84">
        <f>VLOOKUP($A296,lmic_raw[],29,FALSE)*(1+interactive!$C$7)</f>
        <v>4.4575881000000005E-2</v>
      </c>
      <c r="AD296" s="84">
        <f>VLOOKUP($A296,lmic_raw[],30,FALSE)*(1+interactive!$C$7)</f>
        <v>5.5007881703701229E-3</v>
      </c>
      <c r="AE296" s="84">
        <f>VLOOKUP($A296,lmic_raw[],31,FALSE)*(1+interactive!$C$7)</f>
        <v>4.2067984480368536E-3</v>
      </c>
      <c r="AF296" s="84">
        <f>VLOOKUP($A296,lmic_raw[],32,FALSE)*(1+interactive!$C$7)</f>
        <v>2.624151240493281E-3</v>
      </c>
      <c r="AG296" s="84">
        <f>VLOOKUP($A296,lmic_raw[],33,FALSE)*(1+interactive!$C$7)</f>
        <v>3.0909863197611156E-3</v>
      </c>
      <c r="AH296" s="84">
        <f>VLOOKUP($A296,lmic_raw[],34,FALSE)*(1+interactive!$C$7)</f>
        <v>4.0374508247938276E-3</v>
      </c>
      <c r="AI296" s="84">
        <f>VLOOKUP($A296,lmic_raw[],35,FALSE)*(1+interactive!$C$7)</f>
        <v>4.8338494211648221E-3</v>
      </c>
      <c r="AJ296" s="84">
        <f>VLOOKUP($A296,lmic_raw[],36,FALSE)*(1+interactive!$C$7)</f>
        <v>5.9518343912190273E-3</v>
      </c>
      <c r="AK296" s="84">
        <f>VLOOKUP($A296,lmic_raw[],37,FALSE)*(1+interactive!$C$7)</f>
        <v>7.4606746887052652E-3</v>
      </c>
      <c r="AL296" s="84">
        <f>VLOOKUP($A296,lmic_raw[],38,FALSE)*(1+interactive!$C$7)</f>
        <v>8.2889062229026169E-3</v>
      </c>
      <c r="AM296" s="84">
        <f>VLOOKUP($A296,lmic_raw[],39,FALSE)*(1+interactive!$C$7)</f>
        <v>9.0231478292294408E-3</v>
      </c>
      <c r="AN296" s="84">
        <f>VLOOKUP($A296,lmic_raw[],40,FALSE)*(1+interactive!$C$7)</f>
        <v>1.137878643828392E-2</v>
      </c>
      <c r="AO296" s="84">
        <f>VLOOKUP($A296,lmic_raw[],41,FALSE)*(1+interactive!$C$7)</f>
        <v>1.4909727684066216E-2</v>
      </c>
      <c r="AP296" s="84">
        <f>VLOOKUP($A296,lmic_raw[],42,FALSE)*(1+interactive!$C$7)</f>
        <v>2.2044449488563413E-2</v>
      </c>
      <c r="AQ296" s="84">
        <f>VLOOKUP($A296,lmic_raw[],43,FALSE)*(1+interactive!$C$7)</f>
        <v>3.3279066524748067E-2</v>
      </c>
      <c r="AR296" s="84">
        <f>VLOOKUP($A296,lmic_raw[],44,FALSE)*(1+interactive!$C$7)</f>
        <v>5.0585482202940325E-2</v>
      </c>
      <c r="AS296" s="84">
        <f>VLOOKUP($A296,lmic_raw[],45,FALSE)*(1+interactive!$C$7)</f>
        <v>7.4622159576649791E-2</v>
      </c>
      <c r="AT296" s="84">
        <f>VLOOKUP($A296,lmic_raw[],46,FALSE)*(1+interactive!$C$7)</f>
        <v>0.10609497000997932</v>
      </c>
      <c r="AU296" s="84">
        <f>VLOOKUP($A296,lmic_raw[],47,FALSE)*(1+interactive!$C$7)</f>
        <v>0.13935542720612334</v>
      </c>
      <c r="AV296" s="84">
        <f>VLOOKUP($A296,lmic_raw[],48,FALSE)*(1+interactive!$C$7)</f>
        <v>0.16704248123513374</v>
      </c>
      <c r="AW296" s="84">
        <f>VLOOKUP($A296,lmic_raw[],49,FALSE)*(1+interactive!$C$7)</f>
        <v>0.18593369742334348</v>
      </c>
      <c r="AX296" s="84">
        <f>VLOOKUP($A296,lmic_raw[],50,FALSE)*(1+interactive!$C$7)</f>
        <v>64.076250000000002</v>
      </c>
    </row>
    <row r="297" spans="1:50" x14ac:dyDescent="0.25">
      <c r="A297" s="110" t="s">
        <v>140</v>
      </c>
      <c r="B297" s="104" t="s">
        <v>393</v>
      </c>
      <c r="C297" s="105">
        <v>132</v>
      </c>
      <c r="D297" s="84" t="s">
        <v>677</v>
      </c>
      <c r="E297" s="84" t="s">
        <v>591</v>
      </c>
      <c r="F297" s="84" t="s">
        <v>667</v>
      </c>
      <c r="G297" s="84" t="s">
        <v>678</v>
      </c>
      <c r="H297" s="33">
        <f>VLOOKUP(lmic_raw_ub[[#This Row],[setting]],lmic_raw[],8,FALSE)</f>
        <v>549936</v>
      </c>
      <c r="I297" s="33">
        <f>VLOOKUP(lmic_raw_ub[[#This Row],[setting]],lmic_raw[],9,FALSE)</f>
        <v>10827.689904000001</v>
      </c>
      <c r="J297" s="84">
        <f>MIN(VLOOKUP($A297,lmic_raw[],10,FALSE)*(1+interactive!$C$7),0.9999)</f>
        <v>0.79379999999999995</v>
      </c>
      <c r="K297" s="84">
        <f>MIN(VLOOKUP($A297,lmic_raw[],11,FALSE)*(1+interactive!$C$7),0.9999)</f>
        <v>0.99990000000000001</v>
      </c>
      <c r="L297" s="33">
        <f>MIN(VLOOKUP($A297,lmic_raw[],12,FALSE)*(1+interactive!$C$7),0.9999)</f>
        <v>0.99990000000000001</v>
      </c>
      <c r="M297" s="84">
        <f>IFERROR(VLOOKUP(lmic_raw_ub[[#This Row],[iso3]], hbv_prev[[iso3]:[ub]],4,FALSE)/100,0)</f>
        <v>8.4700000000000011E-2</v>
      </c>
      <c r="N297" s="84">
        <f>IFERROR(VLOOKUP(lmic_raw_ub[[#This Row],[setting]],hbe_prev[],5,FALSE),0)</f>
        <v>0.41070000000000001</v>
      </c>
      <c r="O297" s="84">
        <f>VLOOKUP(lmic_raw_ub[[#This Row],[gbd_super]],hbe_risk[],4,FALSE)</f>
        <v>0.74399999999999999</v>
      </c>
      <c r="P297" s="84">
        <f>VLOOKUP(lmic_raw_ub[[#This Row],[gbd_super]],hbe_risk[],7,FALSE)</f>
        <v>0.13300000000000001</v>
      </c>
      <c r="Q297" s="98">
        <f>VLOOKUP(lmic_raw_ub[[#This Row],[setting]],lmic_raw[],17,FALSE)*(1+interactive!$C$7)</f>
        <v>6.3928407114093888</v>
      </c>
      <c r="R297" s="98">
        <f>VLOOKUP(lmic_raw_ub[[#This Row],[setting]],lmic_raw[],18,FALSE)*(1+interactive!$C$7)</f>
        <v>31.416525000000004</v>
      </c>
      <c r="S297" s="98">
        <f>VLOOKUP(lmic_raw_ub[[#This Row],[setting]],lmic_raw[],19,FALSE)*(1+interactive!$C$7)</f>
        <v>81.545625000000015</v>
      </c>
      <c r="T297" s="98">
        <f>VLOOKUP(lmic_raw_ub[[#This Row],[setting]],lmic_raw[],20,FALSE)*(1+interactive!$C$7)</f>
        <v>81.545625000000015</v>
      </c>
      <c r="U297" s="98">
        <f>VLOOKUP(lmic_raw_ub[[#This Row],[setting]],lmic_raw[],21,FALSE)*(1+interactive!$C$7)</f>
        <v>81.545625000000015</v>
      </c>
      <c r="V297" s="33">
        <f>IFERROR(VLOOKUP(lmic_raw_ub[[#This Row],[setting]],vcost_ub[],3,FALSE),0)</f>
        <v>17.90985357500379</v>
      </c>
      <c r="W297" s="33">
        <f>IFERROR(VLOOKUP(lmic_raw_ub[[#This Row],[setting]],vcost_ub[],4,FALSE),0)</f>
        <v>22.979988575003791</v>
      </c>
      <c r="X297" s="33">
        <f>IFERROR(VLOOKUP(lmic_raw_ub[[#This Row],[setting]],vcost_ub[],5,FALSE),0)</f>
        <v>17.385376249981949</v>
      </c>
      <c r="Y297" s="33">
        <f>IFERROR(VLOOKUP(lmic_raw_ub[[#This Row],[setting]],vcost_ub[],6,FALSE),0)</f>
        <v>22.455511249981949</v>
      </c>
      <c r="Z297" s="33">
        <f>IFERROR(VLOOKUP(lmic_raw_ub[[#This Row],[setting]],vcost_ub[],7,FALSE),0)</f>
        <v>22.431729679948482</v>
      </c>
      <c r="AA297" s="33">
        <f>IFERROR(VLOOKUP(lmic_raw_ub[[#This Row],[setting]],vcost_ub[],8,FALSE),0)</f>
        <v>18.184981154934661</v>
      </c>
      <c r="AB297" s="33">
        <f>IFERROR(VLOOKUP(lmic_raw_ub[[#This Row],[setting]],vcost_ub[],9,FALSE),0)</f>
        <v>23.255116154934662</v>
      </c>
      <c r="AC297" s="84">
        <f>VLOOKUP($A297,lmic_raw[],29,FALSE)*(1+interactive!$C$7)</f>
        <v>1.7735896500000018E-2</v>
      </c>
      <c r="AD297" s="84">
        <f>VLOOKUP($A297,lmic_raw[],30,FALSE)*(1+interactive!$C$7)</f>
        <v>9.2768139762210828E-4</v>
      </c>
      <c r="AE297" s="84">
        <f>VLOOKUP($A297,lmic_raw[],31,FALSE)*(1+interactive!$C$7)</f>
        <v>3.781989716693595E-4</v>
      </c>
      <c r="AF297" s="84">
        <f>VLOOKUP($A297,lmic_raw[],32,FALSE)*(1+interactive!$C$7)</f>
        <v>3.3332373083062774E-4</v>
      </c>
      <c r="AG297" s="84">
        <f>VLOOKUP($A297,lmic_raw[],33,FALSE)*(1+interactive!$C$7)</f>
        <v>7.5468479048945367E-4</v>
      </c>
      <c r="AH297" s="84">
        <f>VLOOKUP($A297,lmic_raw[],34,FALSE)*(1+interactive!$C$7)</f>
        <v>1.0366578420183954E-3</v>
      </c>
      <c r="AI297" s="84">
        <f>VLOOKUP($A297,lmic_raw[],35,FALSE)*(1+interactive!$C$7)</f>
        <v>1.1076594719499201E-3</v>
      </c>
      <c r="AJ297" s="84">
        <f>VLOOKUP($A297,lmic_raw[],36,FALSE)*(1+interactive!$C$7)</f>
        <v>1.3457320779259705E-3</v>
      </c>
      <c r="AK297" s="84">
        <f>VLOOKUP($A297,lmic_raw[],37,FALSE)*(1+interactive!$C$7)</f>
        <v>1.8550918516530468E-3</v>
      </c>
      <c r="AL297" s="84">
        <f>VLOOKUP($A297,lmic_raw[],38,FALSE)*(1+interactive!$C$7)</f>
        <v>2.7635968394118392E-3</v>
      </c>
      <c r="AM297" s="84">
        <f>VLOOKUP($A297,lmic_raw[],39,FALSE)*(1+interactive!$C$7)</f>
        <v>4.3344899624156875E-3</v>
      </c>
      <c r="AN297" s="84">
        <f>VLOOKUP($A297,lmic_raw[],40,FALSE)*(1+interactive!$C$7)</f>
        <v>6.6970002931309716E-3</v>
      </c>
      <c r="AO297" s="84">
        <f>VLOOKUP($A297,lmic_raw[],41,FALSE)*(1+interactive!$C$7)</f>
        <v>1.0323104201258742E-2</v>
      </c>
      <c r="AP297" s="84">
        <f>VLOOKUP($A297,lmic_raw[],42,FALSE)*(1+interactive!$C$7)</f>
        <v>1.6147851184354356E-2</v>
      </c>
      <c r="AQ297" s="84">
        <f>VLOOKUP($A297,lmic_raw[],43,FALSE)*(1+interactive!$C$7)</f>
        <v>2.5035453641804036E-2</v>
      </c>
      <c r="AR297" s="84">
        <f>VLOOKUP($A297,lmic_raw[],44,FALSE)*(1+interactive!$C$7)</f>
        <v>3.909254035086817E-2</v>
      </c>
      <c r="AS297" s="84">
        <f>VLOOKUP($A297,lmic_raw[],45,FALSE)*(1+interactive!$C$7)</f>
        <v>6.2418620831603926E-2</v>
      </c>
      <c r="AT297" s="84">
        <f>VLOOKUP($A297,lmic_raw[],46,FALSE)*(1+interactive!$C$7)</f>
        <v>9.3269733517356498E-2</v>
      </c>
      <c r="AU297" s="84">
        <f>VLOOKUP($A297,lmic_raw[],47,FALSE)*(1+interactive!$C$7)</f>
        <v>0.12583828773331848</v>
      </c>
      <c r="AV297" s="84">
        <f>VLOOKUP($A297,lmic_raw[],48,FALSE)*(1+interactive!$C$7)</f>
        <v>0.15748170167518319</v>
      </c>
      <c r="AW297" s="84">
        <f>VLOOKUP($A297,lmic_raw[],49,FALSE)*(1+interactive!$C$7)</f>
        <v>0.18143750367165246</v>
      </c>
      <c r="AX297" s="84">
        <f>VLOOKUP($A297,lmic_raw[],50,FALSE)*(1+interactive!$C$7)</f>
        <v>76.338150000000013</v>
      </c>
    </row>
    <row r="298" spans="1:50" x14ac:dyDescent="0.25">
      <c r="A298" s="109" t="s">
        <v>212</v>
      </c>
      <c r="B298" s="101" t="s">
        <v>394</v>
      </c>
      <c r="C298" s="102">
        <v>116</v>
      </c>
      <c r="D298" s="82" t="s">
        <v>681</v>
      </c>
      <c r="E298" s="82" t="s">
        <v>598</v>
      </c>
      <c r="F298" s="82" t="s">
        <v>666</v>
      </c>
      <c r="G298" s="82" t="s">
        <v>678</v>
      </c>
      <c r="H298" s="33">
        <f>VLOOKUP(lmic_raw_ub[[#This Row],[setting]],lmic_raw[],8,FALSE)</f>
        <v>16486542.000000002</v>
      </c>
      <c r="I298" s="33">
        <f>VLOOKUP(lmic_raw_ub[[#This Row],[setting]],lmic_raw[],9,FALSE)</f>
        <v>374656.66695000004</v>
      </c>
      <c r="J298" s="84">
        <f>MIN(VLOOKUP($A298,lmic_raw[],10,FALSE)*(1+interactive!$C$7),0.9999)</f>
        <v>0.87360000000000015</v>
      </c>
      <c r="K298" s="84">
        <f>MIN(VLOOKUP($A298,lmic_raw[],11,FALSE)*(1+interactive!$C$7),0.9999)</f>
        <v>0.92400000000000004</v>
      </c>
      <c r="L298" s="33">
        <f>MIN(VLOOKUP($A298,lmic_raw[],12,FALSE)*(1+interactive!$C$7),0.9999)</f>
        <v>0.96600000000000008</v>
      </c>
      <c r="M298" s="84">
        <f>IFERROR(VLOOKUP(lmic_raw_ub[[#This Row],[iso3]], hbv_prev[[iso3]:[ub]],4,FALSE)/100,0)</f>
        <v>0.04</v>
      </c>
      <c r="N298" s="84">
        <f>IFERROR(VLOOKUP(lmic_raw_ub[[#This Row],[setting]],hbe_prev[],5,FALSE),0)</f>
        <v>0.47729999999999995</v>
      </c>
      <c r="O298" s="84">
        <f>VLOOKUP(lmic_raw_ub[[#This Row],[gbd_super]],hbe_risk[],4,FALSE)</f>
        <v>0.9</v>
      </c>
      <c r="P298" s="84">
        <f>VLOOKUP(lmic_raw_ub[[#This Row],[gbd_super]],hbe_risk[],7,FALSE)</f>
        <v>0.3</v>
      </c>
      <c r="Q298" s="98">
        <f>VLOOKUP(lmic_raw_ub[[#This Row],[setting]],lmic_raw[],17,FALSE)*(1+interactive!$C$7)</f>
        <v>3.35199006100158</v>
      </c>
      <c r="R298" s="98">
        <f>VLOOKUP(lmic_raw_ub[[#This Row],[setting]],lmic_raw[],18,FALSE)*(1+interactive!$C$7)</f>
        <v>76.738725000000002</v>
      </c>
      <c r="S298" s="98">
        <f>VLOOKUP(lmic_raw_ub[[#This Row],[setting]],lmic_raw[],19,FALSE)*(1+interactive!$C$7)</f>
        <v>126.867825</v>
      </c>
      <c r="T298" s="98">
        <f>VLOOKUP(lmic_raw_ub[[#This Row],[setting]],lmic_raw[],20,FALSE)*(1+interactive!$C$7)</f>
        <v>126.867825</v>
      </c>
      <c r="U298" s="98">
        <f>VLOOKUP(lmic_raw_ub[[#This Row],[setting]],lmic_raw[],21,FALSE)*(1+interactive!$C$7)</f>
        <v>126.867825</v>
      </c>
      <c r="V298" s="33">
        <f>IFERROR(VLOOKUP(lmic_raw_ub[[#This Row],[setting]],vcost_ub[],3,FALSE),0)</f>
        <v>6.0446170903752137</v>
      </c>
      <c r="W298" s="33">
        <f>IFERROR(VLOOKUP(lmic_raw_ub[[#This Row],[setting]],vcost_ub[],4,FALSE),0)</f>
        <v>6.7084270903752135</v>
      </c>
      <c r="X298" s="33">
        <f>IFERROR(VLOOKUP(lmic_raw_ub[[#This Row],[setting]],vcost_ub[],5,FALSE),0)</f>
        <v>5.5431018782857651</v>
      </c>
      <c r="Y298" s="33">
        <f>IFERROR(VLOOKUP(lmic_raw_ub[[#This Row],[setting]],vcost_ub[],6,FALSE),0)</f>
        <v>6.2069118782857648</v>
      </c>
      <c r="Z298" s="33">
        <f>IFERROR(VLOOKUP(lmic_raw_ub[[#This Row],[setting]],vcost_ub[],7,FALSE),0)</f>
        <v>6.1967812695464106</v>
      </c>
      <c r="AA298" s="33">
        <f>IFERROR(VLOOKUP(lmic_raw_ub[[#This Row],[setting]],vcost_ub[],8,FALSE),0)</f>
        <v>6.3145324115422898</v>
      </c>
      <c r="AB298" s="33">
        <f>IFERROR(VLOOKUP(lmic_raw_ub[[#This Row],[setting]],vcost_ub[],9,FALSE),0)</f>
        <v>6.9783424115422896</v>
      </c>
      <c r="AC298" s="84">
        <f>VLOOKUP($A298,lmic_raw[],29,FALSE)*(1+interactive!$C$7)</f>
        <v>2.4961555499999972E-2</v>
      </c>
      <c r="AD298" s="84">
        <f>VLOOKUP($A298,lmic_raw[],30,FALSE)*(1+interactive!$C$7)</f>
        <v>1.0229525591222857E-3</v>
      </c>
      <c r="AE298" s="84">
        <f>VLOOKUP($A298,lmic_raw[],31,FALSE)*(1+interactive!$C$7)</f>
        <v>1.7553334338314603E-3</v>
      </c>
      <c r="AF298" s="84">
        <f>VLOOKUP($A298,lmic_raw[],32,FALSE)*(1+interactive!$C$7)</f>
        <v>1.2541467749662078E-3</v>
      </c>
      <c r="AG298" s="84">
        <f>VLOOKUP($A298,lmic_raw[],33,FALSE)*(1+interactive!$C$7)</f>
        <v>1.1647917199032627E-3</v>
      </c>
      <c r="AH298" s="84">
        <f>VLOOKUP($A298,lmic_raw[],34,FALSE)*(1+interactive!$C$7)</f>
        <v>1.4038920457126404E-3</v>
      </c>
      <c r="AI298" s="84">
        <f>VLOOKUP($A298,lmic_raw[],35,FALSE)*(1+interactive!$C$7)</f>
        <v>1.9189835785008199E-3</v>
      </c>
      <c r="AJ298" s="84">
        <f>VLOOKUP($A298,lmic_raw[],36,FALSE)*(1+interactive!$C$7)</f>
        <v>2.5220097807888949E-3</v>
      </c>
      <c r="AK298" s="84">
        <f>VLOOKUP($A298,lmic_raw[],37,FALSE)*(1+interactive!$C$7)</f>
        <v>3.3237735724482029E-3</v>
      </c>
      <c r="AL298" s="84">
        <f>VLOOKUP($A298,lmic_raw[],38,FALSE)*(1+interactive!$C$7)</f>
        <v>4.2703669963175513E-3</v>
      </c>
      <c r="AM298" s="84">
        <f>VLOOKUP($A298,lmic_raw[],39,FALSE)*(1+interactive!$C$7)</f>
        <v>5.3704395952840029E-3</v>
      </c>
      <c r="AN298" s="84">
        <f>VLOOKUP($A298,lmic_raw[],40,FALSE)*(1+interactive!$C$7)</f>
        <v>6.9920532700676382E-3</v>
      </c>
      <c r="AO298" s="84">
        <f>VLOOKUP($A298,lmic_raw[],41,FALSE)*(1+interactive!$C$7)</f>
        <v>1.0775541003426169E-2</v>
      </c>
      <c r="AP298" s="84">
        <f>VLOOKUP($A298,lmic_raw[],42,FALSE)*(1+interactive!$C$7)</f>
        <v>1.8801073907392486E-2</v>
      </c>
      <c r="AQ298" s="84">
        <f>VLOOKUP($A298,lmic_raw[],43,FALSE)*(1+interactive!$C$7)</f>
        <v>2.9328665814697195E-2</v>
      </c>
      <c r="AR298" s="84">
        <f>VLOOKUP($A298,lmic_raw[],44,FALSE)*(1+interactive!$C$7)</f>
        <v>4.6612550918735951E-2</v>
      </c>
      <c r="AS298" s="84">
        <f>VLOOKUP($A298,lmic_raw[],45,FALSE)*(1+interactive!$C$7)</f>
        <v>7.1124619154067065E-2</v>
      </c>
      <c r="AT298" s="84">
        <f>VLOOKUP($A298,lmic_raw[],46,FALSE)*(1+interactive!$C$7)</f>
        <v>0.10066675147932852</v>
      </c>
      <c r="AU298" s="84">
        <f>VLOOKUP($A298,lmic_raw[],47,FALSE)*(1+interactive!$C$7)</f>
        <v>0.13189716305602933</v>
      </c>
      <c r="AV298" s="84">
        <f>VLOOKUP($A298,lmic_raw[],48,FALSE)*(1+interactive!$C$7)</f>
        <v>0.1605697004984446</v>
      </c>
      <c r="AW298" s="84">
        <f>VLOOKUP($A298,lmic_raw[],49,FALSE)*(1+interactive!$C$7)</f>
        <v>0.18662583802874358</v>
      </c>
      <c r="AX298" s="84">
        <f>VLOOKUP($A298,lmic_raw[],50,FALSE)*(1+interactive!$C$7)</f>
        <v>72.906750000000002</v>
      </c>
    </row>
    <row r="299" spans="1:50" x14ac:dyDescent="0.25">
      <c r="A299" s="110" t="s">
        <v>123</v>
      </c>
      <c r="B299" s="104" t="s">
        <v>395</v>
      </c>
      <c r="C299" s="105">
        <v>120</v>
      </c>
      <c r="D299" s="84" t="s">
        <v>677</v>
      </c>
      <c r="E299" s="84" t="s">
        <v>591</v>
      </c>
      <c r="F299" s="84" t="s">
        <v>667</v>
      </c>
      <c r="G299" s="84" t="s">
        <v>678</v>
      </c>
      <c r="H299" s="33">
        <f>VLOOKUP(lmic_raw_ub[[#This Row],[setting]],lmic_raw[],8,FALSE)</f>
        <v>25876387</v>
      </c>
      <c r="I299" s="33">
        <f>VLOOKUP(lmic_raw_ub[[#This Row],[setting]],lmic_raw[],9,FALSE)</f>
        <v>921432.26468300004</v>
      </c>
      <c r="J299" s="84">
        <f>MIN(VLOOKUP($A299,lmic_raw[],10,FALSE)*(1+interactive!$C$7),0.9999)</f>
        <v>0.70350000000000013</v>
      </c>
      <c r="K299" s="84">
        <f>MIN(VLOOKUP($A299,lmic_raw[],11,FALSE)*(1+interactive!$C$7),0.9999)</f>
        <v>0</v>
      </c>
      <c r="L299" s="33">
        <f>MIN(VLOOKUP($A299,lmic_raw[],12,FALSE)*(1+interactive!$C$7),0.9999)</f>
        <v>0.70350000000000013</v>
      </c>
      <c r="M299" s="84">
        <f>IFERROR(VLOOKUP(lmic_raw_ub[[#This Row],[iso3]], hbv_prev[[iso3]:[ub]],4,FALSE)/100,0)</f>
        <v>5.7300000000000004E-2</v>
      </c>
      <c r="N299" s="84">
        <f>IFERROR(VLOOKUP(lmic_raw_ub[[#This Row],[setting]],hbe_prev[],5,FALSE),0)</f>
        <v>0.41070000000000001</v>
      </c>
      <c r="O299" s="84">
        <f>VLOOKUP(lmic_raw_ub[[#This Row],[gbd_super]],hbe_risk[],4,FALSE)</f>
        <v>0.74399999999999999</v>
      </c>
      <c r="P299" s="84">
        <f>VLOOKUP(lmic_raw_ub[[#This Row],[gbd_super]],hbe_risk[],7,FALSE)</f>
        <v>0.13300000000000001</v>
      </c>
      <c r="Q299" s="98">
        <f>VLOOKUP(lmic_raw_ub[[#This Row],[setting]],lmic_raw[],17,FALSE)*(1+interactive!$C$7)</f>
        <v>3.9751151942818681</v>
      </c>
      <c r="R299" s="98">
        <f>VLOOKUP(lmic_raw_ub[[#This Row],[setting]],lmic_raw[],18,FALSE)*(1+interactive!$C$7)</f>
        <v>31.416525000000004</v>
      </c>
      <c r="S299" s="98">
        <f>VLOOKUP(lmic_raw_ub[[#This Row],[setting]],lmic_raw[],19,FALSE)*(1+interactive!$C$7)</f>
        <v>81.545625000000015</v>
      </c>
      <c r="T299" s="98">
        <f>VLOOKUP(lmic_raw_ub[[#This Row],[setting]],lmic_raw[],20,FALSE)*(1+interactive!$C$7)</f>
        <v>81.545625000000015</v>
      </c>
      <c r="U299" s="98">
        <f>VLOOKUP(lmic_raw_ub[[#This Row],[setting]],lmic_raw[],21,FALSE)*(1+interactive!$C$7)</f>
        <v>81.545625000000015</v>
      </c>
      <c r="V299" s="33">
        <f>IFERROR(VLOOKUP(lmic_raw_ub[[#This Row],[setting]],vcost_ub[],3,FALSE),0)</f>
        <v>4.2442362563630516</v>
      </c>
      <c r="W299" s="33">
        <f>IFERROR(VLOOKUP(lmic_raw_ub[[#This Row],[setting]],vcost_ub[],4,FALSE),0)</f>
        <v>9.314371256363053</v>
      </c>
      <c r="X299" s="33">
        <f>IFERROR(VLOOKUP(lmic_raw_ub[[#This Row],[setting]],vcost_ub[],5,FALSE),0)</f>
        <v>3.741769462852067</v>
      </c>
      <c r="Y299" s="33">
        <f>IFERROR(VLOOKUP(lmic_raw_ub[[#This Row],[setting]],vcost_ub[],6,FALSE),0)</f>
        <v>8.811904462852068</v>
      </c>
      <c r="Z299" s="33">
        <f>IFERROR(VLOOKUP(lmic_raw_ub[[#This Row],[setting]],vcost_ub[],7,FALSE),0)</f>
        <v>8.7996012978215781</v>
      </c>
      <c r="AA299" s="33">
        <f>IFERROR(VLOOKUP(lmic_raw_ub[[#This Row],[setting]],vcost_ub[],8,FALSE),0)</f>
        <v>4.514367580674894</v>
      </c>
      <c r="AB299" s="33">
        <f>IFERROR(VLOOKUP(lmic_raw_ub[[#This Row],[setting]],vcost_ub[],9,FALSE),0)</f>
        <v>9.5845025806748936</v>
      </c>
      <c r="AC299" s="84">
        <f>VLOOKUP($A299,lmic_raw[],29,FALSE)*(1+interactive!$C$7)</f>
        <v>6.4254130500000062E-2</v>
      </c>
      <c r="AD299" s="84">
        <f>VLOOKUP($A299,lmic_raw[],30,FALSE)*(1+interactive!$C$7)</f>
        <v>7.5785071486419277E-3</v>
      </c>
      <c r="AE299" s="84">
        <f>VLOOKUP($A299,lmic_raw[],31,FALSE)*(1+interactive!$C$7)</f>
        <v>2.7589366391510776E-3</v>
      </c>
      <c r="AF299" s="84">
        <f>VLOOKUP($A299,lmic_raw[],32,FALSE)*(1+interactive!$C$7)</f>
        <v>1.8820907365986214E-3</v>
      </c>
      <c r="AG299" s="84">
        <f>VLOOKUP($A299,lmic_raw[],33,FALSE)*(1+interactive!$C$7)</f>
        <v>2.8086797886576744E-3</v>
      </c>
      <c r="AH299" s="84">
        <f>VLOOKUP($A299,lmic_raw[],34,FALSE)*(1+interactive!$C$7)</f>
        <v>4.0332490670256143E-3</v>
      </c>
      <c r="AI299" s="84">
        <f>VLOOKUP($A299,lmic_raw[],35,FALSE)*(1+interactive!$C$7)</f>
        <v>4.7856244543156568E-3</v>
      </c>
      <c r="AJ299" s="84">
        <f>VLOOKUP($A299,lmic_raw[],36,FALSE)*(1+interactive!$C$7)</f>
        <v>5.6243568510979253E-3</v>
      </c>
      <c r="AK299" s="84">
        <f>VLOOKUP($A299,lmic_raw[],37,FALSE)*(1+interactive!$C$7)</f>
        <v>6.8096072892051118E-3</v>
      </c>
      <c r="AL299" s="84">
        <f>VLOOKUP($A299,lmic_raw[],38,FALSE)*(1+interactive!$C$7)</f>
        <v>8.3241175940499037E-3</v>
      </c>
      <c r="AM299" s="84">
        <f>VLOOKUP($A299,lmic_raw[],39,FALSE)*(1+interactive!$C$7)</f>
        <v>1.0103526164107221E-2</v>
      </c>
      <c r="AN299" s="84">
        <f>VLOOKUP($A299,lmic_raw[],40,FALSE)*(1+interactive!$C$7)</f>
        <v>1.3632963157637833E-2</v>
      </c>
      <c r="AO299" s="84">
        <f>VLOOKUP($A299,lmic_raw[],41,FALSE)*(1+interactive!$C$7)</f>
        <v>1.7775661953574207E-2</v>
      </c>
      <c r="AP299" s="84">
        <f>VLOOKUP($A299,lmic_raw[],42,FALSE)*(1+interactive!$C$7)</f>
        <v>2.5868940777707287E-2</v>
      </c>
      <c r="AQ299" s="84">
        <f>VLOOKUP($A299,lmic_raw[],43,FALSE)*(1+interactive!$C$7)</f>
        <v>3.8716838558161298E-2</v>
      </c>
      <c r="AR299" s="84">
        <f>VLOOKUP($A299,lmic_raw[],44,FALSE)*(1+interactive!$C$7)</f>
        <v>5.8547125256770555E-2</v>
      </c>
      <c r="AS299" s="84">
        <f>VLOOKUP($A299,lmic_raw[],45,FALSE)*(1+interactive!$C$7)</f>
        <v>8.6739916452669805E-2</v>
      </c>
      <c r="AT299" s="84">
        <f>VLOOKUP($A299,lmic_raw[],46,FALSE)*(1+interactive!$C$7)</f>
        <v>0.12472593538660115</v>
      </c>
      <c r="AU299" s="84">
        <f>VLOOKUP($A299,lmic_raw[],47,FALSE)*(1+interactive!$C$7)</f>
        <v>0.16459225712055983</v>
      </c>
      <c r="AV299" s="84">
        <f>VLOOKUP($A299,lmic_raw[],48,FALSE)*(1+interactive!$C$7)</f>
        <v>0.19306388000483238</v>
      </c>
      <c r="AW299" s="84">
        <f>VLOOKUP($A299,lmic_raw[],49,FALSE)*(1+interactive!$C$7)</f>
        <v>0.19944893621190976</v>
      </c>
      <c r="AX299" s="84">
        <f>VLOOKUP($A299,lmic_raw[],50,FALSE)*(1+interactive!$C$7)</f>
        <v>61.710599999999999</v>
      </c>
    </row>
    <row r="300" spans="1:50" x14ac:dyDescent="0.25">
      <c r="A300" s="109" t="s">
        <v>601</v>
      </c>
      <c r="B300" s="101" t="s">
        <v>397</v>
      </c>
      <c r="C300" s="102">
        <v>140</v>
      </c>
      <c r="D300" s="82" t="s">
        <v>677</v>
      </c>
      <c r="E300" s="82" t="s">
        <v>582</v>
      </c>
      <c r="F300" s="82" t="s">
        <v>667</v>
      </c>
      <c r="G300" s="82" t="s">
        <v>674</v>
      </c>
      <c r="H300" s="33">
        <f>VLOOKUP(lmic_raw_ub[[#This Row],[setting]],lmic_raw[],8,FALSE)</f>
        <v>4745179</v>
      </c>
      <c r="I300" s="33">
        <f>VLOOKUP(lmic_raw_ub[[#This Row],[setting]],lmic_raw[],9,FALSE)</f>
        <v>168026.78838999997</v>
      </c>
      <c r="J300" s="84">
        <f>MIN(VLOOKUP($A300,lmic_raw[],10,FALSE)*(1+interactive!$C$7),0.9999)</f>
        <v>0.55125000000000002</v>
      </c>
      <c r="K300" s="84">
        <f>MIN(VLOOKUP($A300,lmic_raw[],11,FALSE)*(1+interactive!$C$7),0.9999)</f>
        <v>0</v>
      </c>
      <c r="L300" s="33">
        <f>MIN(VLOOKUP($A300,lmic_raw[],12,FALSE)*(1+interactive!$C$7),0.9999)</f>
        <v>0.49349999999999999</v>
      </c>
      <c r="M300" s="84">
        <f>IFERROR(VLOOKUP(lmic_raw_ub[[#This Row],[iso3]], hbv_prev[[iso3]:[ub]],4,FALSE)/100,0)</f>
        <v>0.1263</v>
      </c>
      <c r="N300" s="84">
        <f>IFERROR(VLOOKUP(lmic_raw_ub[[#This Row],[setting]],hbe_prev[],5,FALSE),0)</f>
        <v>0.40200000000000002</v>
      </c>
      <c r="O300" s="84">
        <f>VLOOKUP(lmic_raw_ub[[#This Row],[gbd_super]],hbe_risk[],4,FALSE)</f>
        <v>0.74399999999999999</v>
      </c>
      <c r="P300" s="84">
        <f>VLOOKUP(lmic_raw_ub[[#This Row],[gbd_super]],hbe_risk[],7,FALSE)</f>
        <v>0.13300000000000001</v>
      </c>
      <c r="Q300" s="98">
        <f>VLOOKUP(lmic_raw_ub[[#This Row],[setting]],lmic_raw[],17,FALSE)*(1+interactive!$C$7)</f>
        <v>2.903339965039772</v>
      </c>
      <c r="R300" s="98">
        <f>VLOOKUP(lmic_raw_ub[[#This Row],[setting]],lmic_raw[],18,FALSE)*(1+interactive!$C$7)</f>
        <v>31.416525000000004</v>
      </c>
      <c r="S300" s="98">
        <f>VLOOKUP(lmic_raw_ub[[#This Row],[setting]],lmic_raw[],19,FALSE)*(1+interactive!$C$7)</f>
        <v>81.545625000000015</v>
      </c>
      <c r="T300" s="98">
        <f>VLOOKUP(lmic_raw_ub[[#This Row],[setting]],lmic_raw[],20,FALSE)*(1+interactive!$C$7)</f>
        <v>81.545625000000015</v>
      </c>
      <c r="U300" s="98">
        <f>VLOOKUP(lmic_raw_ub[[#This Row],[setting]],lmic_raw[],21,FALSE)*(1+interactive!$C$7)</f>
        <v>81.545625000000015</v>
      </c>
      <c r="V300" s="33">
        <f>IFERROR(VLOOKUP(lmic_raw_ub[[#This Row],[setting]],vcost_ub[],3,FALSE),0)</f>
        <v>2.8597649314524096</v>
      </c>
      <c r="W300" s="33">
        <f>IFERROR(VLOOKUP(lmic_raw_ub[[#This Row],[setting]],vcost_ub[],4,FALSE),0)</f>
        <v>7.9298999314524101</v>
      </c>
      <c r="X300" s="33">
        <f>IFERROR(VLOOKUP(lmic_raw_ub[[#This Row],[setting]],vcost_ub[],5,FALSE),0)</f>
        <v>2.3684662535349092</v>
      </c>
      <c r="Y300" s="33">
        <f>IFERROR(VLOOKUP(lmic_raw_ub[[#This Row],[setting]],vcost_ub[],6,FALSE),0)</f>
        <v>7.4386012535349098</v>
      </c>
      <c r="Z300" s="33">
        <f>IFERROR(VLOOKUP(lmic_raw_ub[[#This Row],[setting]],vcost_ub[],7,FALSE),0)</f>
        <v>7.4341783874393661</v>
      </c>
      <c r="AA300" s="33">
        <f>IFERROR(VLOOKUP(lmic_raw_ub[[#This Row],[setting]],vcost_ub[],8,FALSE),0)</f>
        <v>3.1273611620405779</v>
      </c>
      <c r="AB300" s="33">
        <f>IFERROR(VLOOKUP(lmic_raw_ub[[#This Row],[setting]],vcost_ub[],9,FALSE),0)</f>
        <v>8.1974961620405793</v>
      </c>
      <c r="AC300" s="84">
        <f>VLOOKUP($A300,lmic_raw[],29,FALSE)*(1+interactive!$C$7)</f>
        <v>8.6019086999999939E-2</v>
      </c>
      <c r="AD300" s="84">
        <f>VLOOKUP($A300,lmic_raw[],30,FALSE)*(1+interactive!$C$7)</f>
        <v>1.1422111859542601E-2</v>
      </c>
      <c r="AE300" s="84">
        <f>VLOOKUP($A300,lmic_raw[],31,FALSE)*(1+interactive!$C$7)</f>
        <v>3.3562350950848406E-3</v>
      </c>
      <c r="AF300" s="84">
        <f>VLOOKUP($A300,lmic_raw[],32,FALSE)*(1+interactive!$C$7)</f>
        <v>2.4023410491510635E-3</v>
      </c>
      <c r="AG300" s="84">
        <f>VLOOKUP($A300,lmic_raw[],33,FALSE)*(1+interactive!$C$7)</f>
        <v>3.4594000069982948E-3</v>
      </c>
      <c r="AH300" s="84">
        <f>VLOOKUP($A300,lmic_raw[],34,FALSE)*(1+interactive!$C$7)</f>
        <v>5.2701869972663472E-3</v>
      </c>
      <c r="AI300" s="84">
        <f>VLOOKUP($A300,lmic_raw[],35,FALSE)*(1+interactive!$C$7)</f>
        <v>7.185415696899203E-3</v>
      </c>
      <c r="AJ300" s="84">
        <f>VLOOKUP($A300,lmic_raw[],36,FALSE)*(1+interactive!$C$7)</f>
        <v>9.1074934087733237E-3</v>
      </c>
      <c r="AK300" s="84">
        <f>VLOOKUP($A300,lmic_raw[],37,FALSE)*(1+interactive!$C$7)</f>
        <v>1.1616115912694246E-2</v>
      </c>
      <c r="AL300" s="84">
        <f>VLOOKUP($A300,lmic_raw[],38,FALSE)*(1+interactive!$C$7)</f>
        <v>1.3583914661327837E-2</v>
      </c>
      <c r="AM300" s="84">
        <f>VLOOKUP($A300,lmic_raw[],39,FALSE)*(1+interactive!$C$7)</f>
        <v>1.5732752163134703E-2</v>
      </c>
      <c r="AN300" s="84">
        <f>VLOOKUP($A300,lmic_raw[],40,FALSE)*(1+interactive!$C$7)</f>
        <v>1.9208420679319563E-2</v>
      </c>
      <c r="AO300" s="84">
        <f>VLOOKUP($A300,lmic_raw[],41,FALSE)*(1+interactive!$C$7)</f>
        <v>2.3413629635424229E-2</v>
      </c>
      <c r="AP300" s="84">
        <f>VLOOKUP($A300,lmic_raw[],42,FALSE)*(1+interactive!$C$7)</f>
        <v>3.1275837522924038E-2</v>
      </c>
      <c r="AQ300" s="84">
        <f>VLOOKUP($A300,lmic_raw[],43,FALSE)*(1+interactive!$C$7)</f>
        <v>4.3594639595034373E-2</v>
      </c>
      <c r="AR300" s="84">
        <f>VLOOKUP($A300,lmic_raw[],44,FALSE)*(1+interactive!$C$7)</f>
        <v>6.2409139228909144E-2</v>
      </c>
      <c r="AS300" s="84">
        <f>VLOOKUP($A300,lmic_raw[],45,FALSE)*(1+interactive!$C$7)</f>
        <v>8.8287402570474197E-2</v>
      </c>
      <c r="AT300" s="84">
        <f>VLOOKUP($A300,lmic_raw[],46,FALSE)*(1+interactive!$C$7)</f>
        <v>0.12391461307710899</v>
      </c>
      <c r="AU300" s="84">
        <f>VLOOKUP($A300,lmic_raw[],47,FALSE)*(1+interactive!$C$7)</f>
        <v>0.16157022652989556</v>
      </c>
      <c r="AV300" s="84">
        <f>VLOOKUP($A300,lmic_raw[],48,FALSE)*(1+interactive!$C$7)</f>
        <v>0.18845474787299726</v>
      </c>
      <c r="AW300" s="84">
        <f>VLOOKUP($A300,lmic_raw[],49,FALSE)*(1+interactive!$C$7)</f>
        <v>0.19711987322296953</v>
      </c>
      <c r="AX300" s="84">
        <f>VLOOKUP($A300,lmic_raw[],50,FALSE)*(1+interactive!$C$7)</f>
        <v>55.301400000000001</v>
      </c>
    </row>
    <row r="301" spans="1:50" x14ac:dyDescent="0.25">
      <c r="A301" s="110" t="s">
        <v>125</v>
      </c>
      <c r="B301" s="104" t="s">
        <v>398</v>
      </c>
      <c r="C301" s="105">
        <v>148</v>
      </c>
      <c r="D301" s="84" t="s">
        <v>677</v>
      </c>
      <c r="E301" s="84" t="s">
        <v>591</v>
      </c>
      <c r="F301" s="84" t="s">
        <v>667</v>
      </c>
      <c r="G301" s="84" t="s">
        <v>674</v>
      </c>
      <c r="H301" s="33">
        <f>VLOOKUP(lmic_raw_ub[[#This Row],[setting]],lmic_raw[],8,FALSE)</f>
        <v>15946882</v>
      </c>
      <c r="I301" s="33">
        <f>VLOOKUP(lmic_raw_ub[[#This Row],[setting]],lmic_raw[],9,FALSE)</f>
        <v>676674.04390599998</v>
      </c>
      <c r="J301" s="84">
        <f>MIN(VLOOKUP($A301,lmic_raw[],10,FALSE)*(1+interactive!$C$7),0.9999)</f>
        <v>0.22785</v>
      </c>
      <c r="K301" s="84">
        <f>MIN(VLOOKUP($A301,lmic_raw[],11,FALSE)*(1+interactive!$C$7),0.9999)</f>
        <v>0</v>
      </c>
      <c r="L301" s="33">
        <f>MIN(VLOOKUP($A301,lmic_raw[],12,FALSE)*(1+interactive!$C$7),0.9999)</f>
        <v>0.52500000000000002</v>
      </c>
      <c r="M301" s="84">
        <f>IFERROR(VLOOKUP(lmic_raw_ub[[#This Row],[iso3]], hbv_prev[[iso3]:[ub]],4,FALSE)/100,0)</f>
        <v>0.36430000000000001</v>
      </c>
      <c r="N301" s="84">
        <f>IFERROR(VLOOKUP(lmic_raw_ub[[#This Row],[setting]],hbe_prev[],5,FALSE),0)</f>
        <v>0.41070000000000001</v>
      </c>
      <c r="O301" s="84">
        <f>VLOOKUP(lmic_raw_ub[[#This Row],[gbd_super]],hbe_risk[],4,FALSE)</f>
        <v>0.74399999999999999</v>
      </c>
      <c r="P301" s="84">
        <f>VLOOKUP(lmic_raw_ub[[#This Row],[gbd_super]],hbe_risk[],7,FALSE)</f>
        <v>0.13300000000000001</v>
      </c>
      <c r="Q301" s="98">
        <f>VLOOKUP(lmic_raw_ub[[#This Row],[setting]],lmic_raw[],17,FALSE)*(1+interactive!$C$7)</f>
        <v>3.4267650769952147</v>
      </c>
      <c r="R301" s="98">
        <f>VLOOKUP(lmic_raw_ub[[#This Row],[setting]],lmic_raw[],18,FALSE)*(1+interactive!$C$7)</f>
        <v>31.416525000000004</v>
      </c>
      <c r="S301" s="98">
        <f>VLOOKUP(lmic_raw_ub[[#This Row],[setting]],lmic_raw[],19,FALSE)*(1+interactive!$C$7)</f>
        <v>81.545625000000015</v>
      </c>
      <c r="T301" s="98">
        <f>VLOOKUP(lmic_raw_ub[[#This Row],[setting]],lmic_raw[],20,FALSE)*(1+interactive!$C$7)</f>
        <v>81.545625000000015</v>
      </c>
      <c r="U301" s="98">
        <f>VLOOKUP(lmic_raw_ub[[#This Row],[setting]],lmic_raw[],21,FALSE)*(1+interactive!$C$7)</f>
        <v>81.545625000000015</v>
      </c>
      <c r="V301" s="33">
        <f>IFERROR(VLOOKUP(lmic_raw_ub[[#This Row],[setting]],vcost_ub[],3,FALSE),0)</f>
        <v>2.3636476220229494</v>
      </c>
      <c r="W301" s="33">
        <f>IFERROR(VLOOKUP(lmic_raw_ub[[#This Row],[setting]],vcost_ub[],4,FALSE),0)</f>
        <v>7.4337826220229495</v>
      </c>
      <c r="X301" s="33">
        <f>IFERROR(VLOOKUP(lmic_raw_ub[[#This Row],[setting]],vcost_ub[],5,FALSE),0)</f>
        <v>1.8684950086701926</v>
      </c>
      <c r="Y301" s="33">
        <f>IFERROR(VLOOKUP(lmic_raw_ub[[#This Row],[setting]],vcost_ub[],6,FALSE),0)</f>
        <v>6.9386300086701933</v>
      </c>
      <c r="Z301" s="33">
        <f>IFERROR(VLOOKUP(lmic_raw_ub[[#This Row],[setting]],vcost_ub[],7,FALSE),0)</f>
        <v>6.9322377751466444</v>
      </c>
      <c r="AA301" s="33">
        <f>IFERROR(VLOOKUP(lmic_raw_ub[[#This Row],[setting]],vcost_ub[],8,FALSE),0)</f>
        <v>2.6321186723111452</v>
      </c>
      <c r="AB301" s="33">
        <f>IFERROR(VLOOKUP(lmic_raw_ub[[#This Row],[setting]],vcost_ub[],9,FALSE),0)</f>
        <v>7.7022536723111461</v>
      </c>
      <c r="AC301" s="84">
        <f>VLOOKUP($A301,lmic_raw[],29,FALSE)*(1+interactive!$C$7)</f>
        <v>7.8250850999999996E-2</v>
      </c>
      <c r="AD301" s="84">
        <f>VLOOKUP($A301,lmic_raw[],30,FALSE)*(1+interactive!$C$7)</f>
        <v>1.3737286830904133E-2</v>
      </c>
      <c r="AE301" s="84">
        <f>VLOOKUP($A301,lmic_raw[],31,FALSE)*(1+interactive!$C$7)</f>
        <v>5.4313159497370884E-3</v>
      </c>
      <c r="AF301" s="84">
        <f>VLOOKUP($A301,lmic_raw[],32,FALSE)*(1+interactive!$C$7)</f>
        <v>3.5235556550192761E-3</v>
      </c>
      <c r="AG301" s="84">
        <f>VLOOKUP($A301,lmic_raw[],33,FALSE)*(1+interactive!$C$7)</f>
        <v>4.0523070971601755E-3</v>
      </c>
      <c r="AH301" s="84">
        <f>VLOOKUP($A301,lmic_raw[],34,FALSE)*(1+interactive!$C$7)</f>
        <v>5.3536653155781067E-3</v>
      </c>
      <c r="AI301" s="84">
        <f>VLOOKUP($A301,lmic_raw[],35,FALSE)*(1+interactive!$C$7)</f>
        <v>7.0302796654811315E-3</v>
      </c>
      <c r="AJ301" s="84">
        <f>VLOOKUP($A301,lmic_raw[],36,FALSE)*(1+interactive!$C$7)</f>
        <v>8.8956890442532834E-3</v>
      </c>
      <c r="AK301" s="84">
        <f>VLOOKUP($A301,lmic_raw[],37,FALSE)*(1+interactive!$C$7)</f>
        <v>1.0932522255850985E-2</v>
      </c>
      <c r="AL301" s="84">
        <f>VLOOKUP($A301,lmic_raw[],38,FALSE)*(1+interactive!$C$7)</f>
        <v>1.1634158910832243E-2</v>
      </c>
      <c r="AM301" s="84">
        <f>VLOOKUP($A301,lmic_raw[],39,FALSE)*(1+interactive!$C$7)</f>
        <v>1.2137291146807372E-2</v>
      </c>
      <c r="AN301" s="84">
        <f>VLOOKUP($A301,lmic_raw[],40,FALSE)*(1+interactive!$C$7)</f>
        <v>1.3570751492016971E-2</v>
      </c>
      <c r="AO301" s="84">
        <f>VLOOKUP($A301,lmic_raw[],41,FALSE)*(1+interactive!$C$7)</f>
        <v>1.7166595070707766E-2</v>
      </c>
      <c r="AP301" s="84">
        <f>VLOOKUP($A301,lmic_raw[],42,FALSE)*(1+interactive!$C$7)</f>
        <v>2.4576013658572531E-2</v>
      </c>
      <c r="AQ301" s="84">
        <f>VLOOKUP($A301,lmic_raw[],43,FALSE)*(1+interactive!$C$7)</f>
        <v>3.6415272298963609E-2</v>
      </c>
      <c r="AR301" s="84">
        <f>VLOOKUP($A301,lmic_raw[],44,FALSE)*(1+interactive!$C$7)</f>
        <v>5.4723696862596378E-2</v>
      </c>
      <c r="AS301" s="84">
        <f>VLOOKUP($A301,lmic_raw[],45,FALSE)*(1+interactive!$C$7)</f>
        <v>7.9512078226499847E-2</v>
      </c>
      <c r="AT301" s="84">
        <f>VLOOKUP($A301,lmic_raw[],46,FALSE)*(1+interactive!$C$7)</f>
        <v>0.11119639861738595</v>
      </c>
      <c r="AU301" s="84">
        <f>VLOOKUP($A301,lmic_raw[],47,FALSE)*(1+interactive!$C$7)</f>
        <v>0.14381004901641981</v>
      </c>
      <c r="AV301" s="84">
        <f>VLOOKUP($A301,lmic_raw[],48,FALSE)*(1+interactive!$C$7)</f>
        <v>0.1703019847311481</v>
      </c>
      <c r="AW301" s="84">
        <f>VLOOKUP($A301,lmic_raw[],49,FALSE)*(1+interactive!$C$7)</f>
        <v>0.18765929752631852</v>
      </c>
      <c r="AX301" s="84">
        <f>VLOOKUP($A301,lmic_raw[],50,FALSE)*(1+interactive!$C$7)</f>
        <v>56.488950000000003</v>
      </c>
    </row>
    <row r="302" spans="1:50" x14ac:dyDescent="0.25">
      <c r="A302" s="109" t="s">
        <v>202</v>
      </c>
      <c r="B302" s="101" t="s">
        <v>400</v>
      </c>
      <c r="C302" s="102">
        <v>156</v>
      </c>
      <c r="D302" s="82" t="s">
        <v>681</v>
      </c>
      <c r="E302" s="82" t="s">
        <v>603</v>
      </c>
      <c r="F302" s="82" t="s">
        <v>666</v>
      </c>
      <c r="G302" s="82" t="s">
        <v>676</v>
      </c>
      <c r="H302" s="33">
        <f>VLOOKUP(lmic_raw_ub[[#This Row],[setting]],lmic_raw[],8,FALSE)</f>
        <v>1433783692</v>
      </c>
      <c r="I302" s="33">
        <f>VLOOKUP(lmic_raw_ub[[#This Row],[setting]],lmic_raw[],9,FALSE)</f>
        <v>17105039.445560001</v>
      </c>
      <c r="J302" s="84">
        <f>MIN(VLOOKUP($A302,lmic_raw[],10,FALSE)*(1+interactive!$C$7),0.9999)</f>
        <v>0.99990000000000001</v>
      </c>
      <c r="K302" s="84">
        <f>MIN(VLOOKUP($A302,lmic_raw[],11,FALSE)*(1+interactive!$C$7),0.9999)</f>
        <v>0.99990000000000001</v>
      </c>
      <c r="L302" s="33">
        <f>MIN(VLOOKUP($A302,lmic_raw[],12,FALSE)*(1+interactive!$C$7),0.9999)</f>
        <v>0.99990000000000001</v>
      </c>
      <c r="M302" s="84">
        <f>IFERROR(VLOOKUP(lmic_raw_ub[[#This Row],[iso3]], hbv_prev[[iso3]:[ub]],4,FALSE)/100,0)</f>
        <v>8.6899999999999991E-2</v>
      </c>
      <c r="N302" s="84">
        <f>IFERROR(VLOOKUP(lmic_raw_ub[[#This Row],[setting]],hbe_prev[],5,FALSE),0)</f>
        <v>0.49159999999999998</v>
      </c>
      <c r="O302" s="84">
        <f>VLOOKUP(lmic_raw_ub[[#This Row],[gbd_super]],hbe_risk[],4,FALSE)</f>
        <v>0.9</v>
      </c>
      <c r="P302" s="84">
        <f>VLOOKUP(lmic_raw_ub[[#This Row],[gbd_super]],hbe_risk[],7,FALSE)</f>
        <v>0.3</v>
      </c>
      <c r="Q302" s="98">
        <f>VLOOKUP(lmic_raw_ub[[#This Row],[setting]],lmic_raw[],17,FALSE)*(1+interactive!$C$7)</f>
        <v>8.4491536512343419</v>
      </c>
      <c r="R302" s="98">
        <f>VLOOKUP(lmic_raw_ub[[#This Row],[setting]],lmic_raw[],18,FALSE)*(1+interactive!$C$7)</f>
        <v>76.738725000000002</v>
      </c>
      <c r="S302" s="98">
        <f>VLOOKUP(lmic_raw_ub[[#This Row],[setting]],lmic_raw[],19,FALSE)*(1+interactive!$C$7)</f>
        <v>126.867825</v>
      </c>
      <c r="T302" s="98">
        <f>VLOOKUP(lmic_raw_ub[[#This Row],[setting]],lmic_raw[],20,FALSE)*(1+interactive!$C$7)</f>
        <v>126.867825</v>
      </c>
      <c r="U302" s="98">
        <f>VLOOKUP(lmic_raw_ub[[#This Row],[setting]],lmic_raw[],21,FALSE)*(1+interactive!$C$7)</f>
        <v>126.867825</v>
      </c>
      <c r="V302" s="33">
        <f>IFERROR(VLOOKUP(lmic_raw_ub[[#This Row],[setting]],vcost_ub[],3,FALSE),0)</f>
        <v>6.6475645840600155</v>
      </c>
      <c r="W302" s="33">
        <f>IFERROR(VLOOKUP(lmic_raw_ub[[#This Row],[setting]],vcost_ub[],4,FALSE),0)</f>
        <v>7.3113745840600153</v>
      </c>
      <c r="X302" s="33">
        <f>IFERROR(VLOOKUP(lmic_raw_ub[[#This Row],[setting]],vcost_ub[],5,FALSE),0)</f>
        <v>6.1019327288008069</v>
      </c>
      <c r="Y302" s="33">
        <f>IFERROR(VLOOKUP(lmic_raw_ub[[#This Row],[setting]],vcost_ub[],6,FALSE),0)</f>
        <v>6.7657427288008067</v>
      </c>
      <c r="Z302" s="33">
        <f>IFERROR(VLOOKUP(lmic_raw_ub[[#This Row],[setting]],vcost_ub[],7,FALSE),0)</f>
        <v>6.7304834043795392</v>
      </c>
      <c r="AA302" s="33">
        <f>IFERROR(VLOOKUP(lmic_raw_ub[[#This Row],[setting]],vcost_ub[],8,FALSE),0)</f>
        <v>6.9274941125723748</v>
      </c>
      <c r="AB302" s="33">
        <f>IFERROR(VLOOKUP(lmic_raw_ub[[#This Row],[setting]],vcost_ub[],9,FALSE),0)</f>
        <v>7.5913041125723746</v>
      </c>
      <c r="AC302" s="84">
        <f>VLOOKUP($A302,lmic_raw[],29,FALSE)*(1+interactive!$C$7)</f>
        <v>1.0388878500000014E-2</v>
      </c>
      <c r="AD302" s="84">
        <f>VLOOKUP($A302,lmic_raw[],30,FALSE)*(1+interactive!$C$7)</f>
        <v>4.3416570933633048E-4</v>
      </c>
      <c r="AE302" s="84">
        <f>VLOOKUP($A302,lmic_raw[],31,FALSE)*(1+interactive!$C$7)</f>
        <v>3.275213003052299E-4</v>
      </c>
      <c r="AF302" s="84">
        <f>VLOOKUP($A302,lmic_raw[],32,FALSE)*(1+interactive!$C$7)</f>
        <v>2.4446073542310094E-4</v>
      </c>
      <c r="AG302" s="84">
        <f>VLOOKUP($A302,lmic_raw[],33,FALSE)*(1+interactive!$C$7)</f>
        <v>3.5530383416762881E-4</v>
      </c>
      <c r="AH302" s="84">
        <f>VLOOKUP($A302,lmic_raw[],34,FALSE)*(1+interactive!$C$7)</f>
        <v>4.9888851330976379E-4</v>
      </c>
      <c r="AI302" s="84">
        <f>VLOOKUP($A302,lmic_raw[],35,FALSE)*(1+interactive!$C$7)</f>
        <v>6.6737545992606978E-4</v>
      </c>
      <c r="AJ302" s="84">
        <f>VLOOKUP($A302,lmic_raw[],36,FALSE)*(1+interactive!$C$7)</f>
        <v>8.4401533215246671E-4</v>
      </c>
      <c r="AK302" s="84">
        <f>VLOOKUP($A302,lmic_raw[],37,FALSE)*(1+interactive!$C$7)</f>
        <v>1.0691935416804385E-3</v>
      </c>
      <c r="AL302" s="84">
        <f>VLOOKUP($A302,lmic_raw[],38,FALSE)*(1+interactive!$C$7)</f>
        <v>1.5136907289111795E-3</v>
      </c>
      <c r="AM302" s="84">
        <f>VLOOKUP($A302,lmic_raw[],39,FALSE)*(1+interactive!$C$7)</f>
        <v>2.2232564877873212E-3</v>
      </c>
      <c r="AN302" s="84">
        <f>VLOOKUP($A302,lmic_raw[],40,FALSE)*(1+interactive!$C$7)</f>
        <v>3.688196632888335E-3</v>
      </c>
      <c r="AO302" s="84">
        <f>VLOOKUP($A302,lmic_raw[],41,FALSE)*(1+interactive!$C$7)</f>
        <v>6.1772918136575256E-3</v>
      </c>
      <c r="AP302" s="84">
        <f>VLOOKUP($A302,lmic_raw[],42,FALSE)*(1+interactive!$C$7)</f>
        <v>1.1503424996676561E-2</v>
      </c>
      <c r="AQ302" s="84">
        <f>VLOOKUP($A302,lmic_raw[],43,FALSE)*(1+interactive!$C$7)</f>
        <v>2.0410915435282482E-2</v>
      </c>
      <c r="AR302" s="84">
        <f>VLOOKUP($A302,lmic_raw[],44,FALSE)*(1+interactive!$C$7)</f>
        <v>3.5969712869659769E-2</v>
      </c>
      <c r="AS302" s="84">
        <f>VLOOKUP($A302,lmic_raw[],45,FALSE)*(1+interactive!$C$7)</f>
        <v>5.715356864386141E-2</v>
      </c>
      <c r="AT302" s="84">
        <f>VLOOKUP($A302,lmic_raw[],46,FALSE)*(1+interactive!$C$7)</f>
        <v>8.1287902552564462E-2</v>
      </c>
      <c r="AU302" s="84">
        <f>VLOOKUP($A302,lmic_raw[],47,FALSE)*(1+interactive!$C$7)</f>
        <v>0.11254239208089294</v>
      </c>
      <c r="AV302" s="84">
        <f>VLOOKUP($A302,lmic_raw[],48,FALSE)*(1+interactive!$C$7)</f>
        <v>0.13992990044129835</v>
      </c>
      <c r="AW302" s="84">
        <f>VLOOKUP($A302,lmic_raw[],49,FALSE)*(1+interactive!$C$7)</f>
        <v>0.16239294842650695</v>
      </c>
      <c r="AX302" s="84">
        <f>VLOOKUP($A302,lmic_raw[],50,FALSE)*(1+interactive!$C$7)</f>
        <v>80.454150000000013</v>
      </c>
    </row>
    <row r="303" spans="1:50" x14ac:dyDescent="0.25">
      <c r="A303" s="110" t="s">
        <v>266</v>
      </c>
      <c r="B303" s="104" t="s">
        <v>401</v>
      </c>
      <c r="C303" s="105">
        <v>170</v>
      </c>
      <c r="D303" s="84" t="s">
        <v>679</v>
      </c>
      <c r="E303" s="84" t="s">
        <v>604</v>
      </c>
      <c r="F303" s="84" t="s">
        <v>665</v>
      </c>
      <c r="G303" s="84" t="s">
        <v>676</v>
      </c>
      <c r="H303" s="33">
        <f>VLOOKUP(lmic_raw_ub[[#This Row],[setting]],lmic_raw[],8,FALSE)</f>
        <v>50339443</v>
      </c>
      <c r="I303" s="33">
        <f>VLOOKUP(lmic_raw_ub[[#This Row],[setting]],lmic_raw[],9,FALSE)</f>
        <v>756551.48884699994</v>
      </c>
      <c r="J303" s="84">
        <f>MIN(VLOOKUP($A303,lmic_raw[],10,FALSE)*(1+interactive!$C$7),0.9999)</f>
        <v>0.99990000000000001</v>
      </c>
      <c r="K303" s="84">
        <f>MIN(VLOOKUP($A303,lmic_raw[],11,FALSE)*(1+interactive!$C$7),0.9999)</f>
        <v>0.80850000000000011</v>
      </c>
      <c r="L303" s="33">
        <f>MIN(VLOOKUP($A303,lmic_raw[],12,FALSE)*(1+interactive!$C$7),0.9999)</f>
        <v>0.96600000000000008</v>
      </c>
      <c r="M303" s="84">
        <f>IFERROR(VLOOKUP(lmic_raw_ub[[#This Row],[iso3]], hbv_prev[[iso3]:[ub]],4,FALSE)/100,0)</f>
        <v>1.8000000000000002E-2</v>
      </c>
      <c r="N303" s="84">
        <f>IFERROR(VLOOKUP(lmic_raw_ub[[#This Row],[setting]],hbe_prev[],5,FALSE),0)</f>
        <v>0.42950000000000005</v>
      </c>
      <c r="O303" s="84">
        <f>VLOOKUP(lmic_raw_ub[[#This Row],[gbd_super]],hbe_risk[],4,FALSE)</f>
        <v>0.9</v>
      </c>
      <c r="P303" s="84">
        <f>VLOOKUP(lmic_raw_ub[[#This Row],[gbd_super]],hbe_risk[],7,FALSE)</f>
        <v>0.3</v>
      </c>
      <c r="Q303" s="98">
        <f>VLOOKUP(lmic_raw_ub[[#This Row],[setting]],lmic_raw[],17,FALSE)*(1+interactive!$C$7)</f>
        <v>19.92711860625726</v>
      </c>
      <c r="R303" s="98">
        <f>VLOOKUP(lmic_raw_ub[[#This Row],[setting]],lmic_raw[],18,FALSE)*(1+interactive!$C$7)</f>
        <v>91.228094999999996</v>
      </c>
      <c r="S303" s="98">
        <f>VLOOKUP(lmic_raw_ub[[#This Row],[setting]],lmic_raw[],19,FALSE)*(1+interactive!$C$7)</f>
        <v>141.35719500000002</v>
      </c>
      <c r="T303" s="98">
        <f>VLOOKUP(lmic_raw_ub[[#This Row],[setting]],lmic_raw[],20,FALSE)*(1+interactive!$C$7)</f>
        <v>141.35719500000002</v>
      </c>
      <c r="U303" s="98">
        <f>VLOOKUP(lmic_raw_ub[[#This Row],[setting]],lmic_raw[],21,FALSE)*(1+interactive!$C$7)</f>
        <v>141.35719500000002</v>
      </c>
      <c r="V303" s="33">
        <f>IFERROR(VLOOKUP(lmic_raw_ub[[#This Row],[setting]],vcost_ub[],3,FALSE),0)</f>
        <v>7.433556551322348</v>
      </c>
      <c r="W303" s="33">
        <f>IFERROR(VLOOKUP(lmic_raw_ub[[#This Row],[setting]],vcost_ub[],4,FALSE),0)</f>
        <v>7.4564465513223483</v>
      </c>
      <c r="X303" s="33">
        <f>IFERROR(VLOOKUP(lmic_raw_ub[[#This Row],[setting]],vcost_ub[],5,FALSE),0)</f>
        <v>6.9096167328020925</v>
      </c>
      <c r="Y303" s="33">
        <f>IFERROR(VLOOKUP(lmic_raw_ub[[#This Row],[setting]],vcost_ub[],6,FALSE),0)</f>
        <v>6.9325067328020928</v>
      </c>
      <c r="Z303" s="33">
        <f>IFERROR(VLOOKUP(lmic_raw_ub[[#This Row],[setting]],vcost_ub[],7,FALSE),0)</f>
        <v>6.9084840711954199</v>
      </c>
      <c r="AA303" s="33">
        <f>IFERROR(VLOOKUP(lmic_raw_ub[[#This Row],[setting]],vcost_ub[],8,FALSE),0)</f>
        <v>7.7085621205749462</v>
      </c>
      <c r="AB303" s="33">
        <f>IFERROR(VLOOKUP(lmic_raw_ub[[#This Row],[setting]],vcost_ub[],9,FALSE),0)</f>
        <v>7.7314521205749465</v>
      </c>
      <c r="AC303" s="84">
        <f>VLOOKUP($A303,lmic_raw[],29,FALSE)*(1+interactive!$C$7)</f>
        <v>1.3269217500000006E-2</v>
      </c>
      <c r="AD303" s="84">
        <f>VLOOKUP($A303,lmic_raw[],30,FALSE)*(1+interactive!$C$7)</f>
        <v>5.6558474234365014E-4</v>
      </c>
      <c r="AE303" s="84">
        <f>VLOOKUP($A303,lmic_raw[],31,FALSE)*(1+interactive!$C$7)</f>
        <v>4.205157007828283E-4</v>
      </c>
      <c r="AF303" s="84">
        <f>VLOOKUP($A303,lmic_raw[],32,FALSE)*(1+interactive!$C$7)</f>
        <v>3.869290717702229E-4</v>
      </c>
      <c r="AG303" s="84">
        <f>VLOOKUP($A303,lmic_raw[],33,FALSE)*(1+interactive!$C$7)</f>
        <v>9.8226951185629869E-4</v>
      </c>
      <c r="AH303" s="84">
        <f>VLOOKUP($A303,lmic_raw[],34,FALSE)*(1+interactive!$C$7)</f>
        <v>1.8893959409679504E-3</v>
      </c>
      <c r="AI303" s="84">
        <f>VLOOKUP($A303,lmic_raw[],35,FALSE)*(1+interactive!$C$7)</f>
        <v>1.9574446322153166E-3</v>
      </c>
      <c r="AJ303" s="84">
        <f>VLOOKUP($A303,lmic_raw[],36,FALSE)*(1+interactive!$C$7)</f>
        <v>1.9168524821048811E-3</v>
      </c>
      <c r="AK303" s="84">
        <f>VLOOKUP($A303,lmic_raw[],37,FALSE)*(1+interactive!$C$7)</f>
        <v>2.0879619868999525E-3</v>
      </c>
      <c r="AL303" s="84">
        <f>VLOOKUP($A303,lmic_raw[],38,FALSE)*(1+interactive!$C$7)</f>
        <v>2.3654538459092819E-3</v>
      </c>
      <c r="AM303" s="84">
        <f>VLOOKUP($A303,lmic_raw[],39,FALSE)*(1+interactive!$C$7)</f>
        <v>2.9885780366456457E-3</v>
      </c>
      <c r="AN303" s="84">
        <f>VLOOKUP($A303,lmic_raw[],40,FALSE)*(1+interactive!$C$7)</f>
        <v>4.594928662610155E-3</v>
      </c>
      <c r="AO303" s="84">
        <f>VLOOKUP($A303,lmic_raw[],41,FALSE)*(1+interactive!$C$7)</f>
        <v>6.858961155307027E-3</v>
      </c>
      <c r="AP303" s="84">
        <f>VLOOKUP($A303,lmic_raw[],42,FALSE)*(1+interactive!$C$7)</f>
        <v>1.059687926958783E-2</v>
      </c>
      <c r="AQ303" s="84">
        <f>VLOOKUP($A303,lmic_raw[],43,FALSE)*(1+interactive!$C$7)</f>
        <v>1.6376748179812075E-2</v>
      </c>
      <c r="AR303" s="84">
        <f>VLOOKUP($A303,lmic_raw[],44,FALSE)*(1+interactive!$C$7)</f>
        <v>2.5030467272620469E-2</v>
      </c>
      <c r="AS303" s="84">
        <f>VLOOKUP($A303,lmic_raw[],45,FALSE)*(1+interactive!$C$7)</f>
        <v>3.7610188834164678E-2</v>
      </c>
      <c r="AT303" s="84">
        <f>VLOOKUP($A303,lmic_raw[],46,FALSE)*(1+interactive!$C$7)</f>
        <v>5.8842619160951681E-2</v>
      </c>
      <c r="AU303" s="84">
        <f>VLOOKUP($A303,lmic_raw[],47,FALSE)*(1+interactive!$C$7)</f>
        <v>9.1978856263772724E-2</v>
      </c>
      <c r="AV303" s="84">
        <f>VLOOKUP($A303,lmic_raw[],48,FALSE)*(1+interactive!$C$7)</f>
        <v>0.10916242875421556</v>
      </c>
      <c r="AW303" s="84">
        <f>VLOOKUP($A303,lmic_raw[],49,FALSE)*(1+interactive!$C$7)</f>
        <v>0.16016280300682081</v>
      </c>
      <c r="AX303" s="84">
        <f>VLOOKUP($A303,lmic_raw[],50,FALSE)*(1+interactive!$C$7)</f>
        <v>80.872050000000002</v>
      </c>
    </row>
    <row r="304" spans="1:50" x14ac:dyDescent="0.25">
      <c r="A304" s="109" t="s">
        <v>606</v>
      </c>
      <c r="B304" s="101" t="s">
        <v>402</v>
      </c>
      <c r="C304" s="102">
        <v>174</v>
      </c>
      <c r="D304" s="82" t="s">
        <v>677</v>
      </c>
      <c r="E304" s="82" t="s">
        <v>597</v>
      </c>
      <c r="F304" s="82" t="s">
        <v>667</v>
      </c>
      <c r="G304" s="82" t="s">
        <v>678</v>
      </c>
      <c r="H304" s="33">
        <f>VLOOKUP(lmic_raw_ub[[#This Row],[setting]],lmic_raw[],8,FALSE)</f>
        <v>850891</v>
      </c>
      <c r="I304" s="33">
        <f>VLOOKUP(lmic_raw_ub[[#This Row],[setting]],lmic_raw[],9,FALSE)</f>
        <v>27301.688625999999</v>
      </c>
      <c r="J304" s="84">
        <f>MIN(VLOOKUP($A304,lmic_raw[],10,FALSE)*(1+interactive!$C$7),0.9999)</f>
        <v>0.79904999999999993</v>
      </c>
      <c r="K304" s="84">
        <f>MIN(VLOOKUP($A304,lmic_raw[],11,FALSE)*(1+interactive!$C$7),0.9999)</f>
        <v>0</v>
      </c>
      <c r="L304" s="33">
        <f>MIN(VLOOKUP($A304,lmic_raw[],12,FALSE)*(1+interactive!$C$7),0.9999)</f>
        <v>0.95550000000000013</v>
      </c>
      <c r="M304" s="84">
        <f>IFERROR(VLOOKUP(lmic_raw_ub[[#This Row],[iso3]], hbv_prev[[iso3]:[ub]],4,FALSE)/100,0)</f>
        <v>0.34939999999999999</v>
      </c>
      <c r="N304" s="84">
        <f>IFERROR(VLOOKUP(lmic_raw_ub[[#This Row],[setting]],hbe_prev[],5,FALSE),0)</f>
        <v>0.39960000000000001</v>
      </c>
      <c r="O304" s="84">
        <f>VLOOKUP(lmic_raw_ub[[#This Row],[gbd_super]],hbe_risk[],4,FALSE)</f>
        <v>0.74399999999999999</v>
      </c>
      <c r="P304" s="84">
        <f>VLOOKUP(lmic_raw_ub[[#This Row],[gbd_super]],hbe_risk[],7,FALSE)</f>
        <v>0.13300000000000001</v>
      </c>
      <c r="Q304" s="98">
        <f>VLOOKUP(lmic_raw_ub[[#This Row],[setting]],lmic_raw[],17,FALSE)*(1+interactive!$C$7)</f>
        <v>3.3769150663327911</v>
      </c>
      <c r="R304" s="98">
        <f>VLOOKUP(lmic_raw_ub[[#This Row],[setting]],lmic_raw[],18,FALSE)*(1+interactive!$C$7)</f>
        <v>31.416525000000004</v>
      </c>
      <c r="S304" s="98">
        <f>VLOOKUP(lmic_raw_ub[[#This Row],[setting]],lmic_raw[],19,FALSE)*(1+interactive!$C$7)</f>
        <v>81.545625000000015</v>
      </c>
      <c r="T304" s="98">
        <f>VLOOKUP(lmic_raw_ub[[#This Row],[setting]],lmic_raw[],20,FALSE)*(1+interactive!$C$7)</f>
        <v>81.545625000000015</v>
      </c>
      <c r="U304" s="98">
        <f>VLOOKUP(lmic_raw_ub[[#This Row],[setting]],lmic_raw[],21,FALSE)*(1+interactive!$C$7)</f>
        <v>81.545625000000015</v>
      </c>
      <c r="V304" s="33">
        <f>IFERROR(VLOOKUP(lmic_raw_ub[[#This Row],[setting]],vcost_ub[],3,FALSE),0)</f>
        <v>10.580761106623257</v>
      </c>
      <c r="W304" s="33">
        <f>IFERROR(VLOOKUP(lmic_raw_ub[[#This Row],[setting]],vcost_ub[],4,FALSE),0)</f>
        <v>15.650896106623257</v>
      </c>
      <c r="X304" s="33">
        <f>IFERROR(VLOOKUP(lmic_raw_ub[[#This Row],[setting]],vcost_ub[],5,FALSE),0)</f>
        <v>10.082010151700665</v>
      </c>
      <c r="Y304" s="33">
        <f>IFERROR(VLOOKUP(lmic_raw_ub[[#This Row],[setting]],vcost_ub[],6,FALSE),0)</f>
        <v>15.152145151700665</v>
      </c>
      <c r="Z304" s="33">
        <f>IFERROR(VLOOKUP(lmic_raw_ub[[#This Row],[setting]],vcost_ub[],7,FALSE),0)</f>
        <v>15.143384245976053</v>
      </c>
      <c r="AA304" s="33">
        <f>IFERROR(VLOOKUP(lmic_raw_ub[[#This Row],[setting]],vcost_ub[],8,FALSE),0)</f>
        <v>10.85004895837209</v>
      </c>
      <c r="AB304" s="33">
        <f>IFERROR(VLOOKUP(lmic_raw_ub[[#This Row],[setting]],vcost_ub[],9,FALSE),0)</f>
        <v>15.920183958372091</v>
      </c>
      <c r="AC304" s="84">
        <f>VLOOKUP($A304,lmic_raw[],29,FALSE)*(1+interactive!$C$7)</f>
        <v>5.5773459000000018E-2</v>
      </c>
      <c r="AD304" s="84">
        <f>VLOOKUP($A304,lmic_raw[],30,FALSE)*(1+interactive!$C$7)</f>
        <v>4.6969909157253227E-3</v>
      </c>
      <c r="AE304" s="84">
        <f>VLOOKUP($A304,lmic_raw[],31,FALSE)*(1+interactive!$C$7)</f>
        <v>1.4363668813447705E-3</v>
      </c>
      <c r="AF304" s="84">
        <f>VLOOKUP($A304,lmic_raw[],32,FALSE)*(1+interactive!$C$7)</f>
        <v>1.1268248616282093E-3</v>
      </c>
      <c r="AG304" s="84">
        <f>VLOOKUP($A304,lmic_raw[],33,FALSE)*(1+interactive!$C$7)</f>
        <v>1.8076827063667935E-3</v>
      </c>
      <c r="AH304" s="84">
        <f>VLOOKUP($A304,lmic_raw[],34,FALSE)*(1+interactive!$C$7)</f>
        <v>2.5172680684390114E-3</v>
      </c>
      <c r="AI304" s="84">
        <f>VLOOKUP($A304,lmic_raw[],35,FALSE)*(1+interactive!$C$7)</f>
        <v>2.744678616521994E-3</v>
      </c>
      <c r="AJ304" s="84">
        <f>VLOOKUP($A304,lmic_raw[],36,FALSE)*(1+interactive!$C$7)</f>
        <v>3.1435774718896561E-3</v>
      </c>
      <c r="AK304" s="84">
        <f>VLOOKUP($A304,lmic_raw[],37,FALSE)*(1+interactive!$C$7)</f>
        <v>3.8829291089565216E-3</v>
      </c>
      <c r="AL304" s="84">
        <f>VLOOKUP($A304,lmic_raw[],38,FALSE)*(1+interactive!$C$7)</f>
        <v>5.1025802128150111E-3</v>
      </c>
      <c r="AM304" s="84">
        <f>VLOOKUP($A304,lmic_raw[],39,FALSE)*(1+interactive!$C$7)</f>
        <v>7.1027528541279181E-3</v>
      </c>
      <c r="AN304" s="84">
        <f>VLOOKUP($A304,lmic_raw[],40,FALSE)*(1+interactive!$C$7)</f>
        <v>1.0301257657844396E-2</v>
      </c>
      <c r="AO304" s="84">
        <f>VLOOKUP($A304,lmic_raw[],41,FALSE)*(1+interactive!$C$7)</f>
        <v>1.512486332996967E-2</v>
      </c>
      <c r="AP304" s="84">
        <f>VLOOKUP($A304,lmic_raw[],42,FALSE)*(1+interactive!$C$7)</f>
        <v>2.2766690201277775E-2</v>
      </c>
      <c r="AQ304" s="84">
        <f>VLOOKUP($A304,lmic_raw[],43,FALSE)*(1+interactive!$C$7)</f>
        <v>3.4354550882199318E-2</v>
      </c>
      <c r="AR304" s="84">
        <f>VLOOKUP($A304,lmic_raw[],44,FALSE)*(1+interactive!$C$7)</f>
        <v>5.2271147595953742E-2</v>
      </c>
      <c r="AS304" s="84">
        <f>VLOOKUP($A304,lmic_raw[],45,FALSE)*(1+interactive!$C$7)</f>
        <v>7.755237884289469E-2</v>
      </c>
      <c r="AT304" s="84">
        <f>VLOOKUP($A304,lmic_raw[],46,FALSE)*(1+interactive!$C$7)</f>
        <v>0.1100893846024886</v>
      </c>
      <c r="AU304" s="84">
        <f>VLOOKUP($A304,lmic_raw[],47,FALSE)*(1+interactive!$C$7)</f>
        <v>0.1439812423464415</v>
      </c>
      <c r="AV304" s="84">
        <f>VLOOKUP($A304,lmic_raw[],48,FALSE)*(1+interactive!$C$7)</f>
        <v>0.17126360738678251</v>
      </c>
      <c r="AW304" s="84">
        <f>VLOOKUP($A304,lmic_raw[],49,FALSE)*(1+interactive!$C$7)</f>
        <v>0.18867871843907949</v>
      </c>
      <c r="AX304" s="84">
        <f>VLOOKUP($A304,lmic_raw[],50,FALSE)*(1+interactive!$C$7)</f>
        <v>67.182149999999993</v>
      </c>
    </row>
    <row r="305" spans="1:50" x14ac:dyDescent="0.25">
      <c r="A305" s="84" t="s">
        <v>611</v>
      </c>
      <c r="B305" s="104" t="s">
        <v>412</v>
      </c>
      <c r="C305" s="105">
        <v>180</v>
      </c>
      <c r="D305" s="84" t="s">
        <v>677</v>
      </c>
      <c r="E305" s="84" t="s">
        <v>582</v>
      </c>
      <c r="F305" s="84" t="s">
        <v>667</v>
      </c>
      <c r="G305" s="84" t="s">
        <v>674</v>
      </c>
      <c r="H305" s="33">
        <f>VLOOKUP(lmic_raw_ub[[#This Row],[setting]],lmic_raw[],8,FALSE)</f>
        <v>86790568</v>
      </c>
      <c r="I305" s="33">
        <f>VLOOKUP(lmic_raw_ub[[#This Row],[setting]],lmic_raw[],9,FALSE)</f>
        <v>3594691.7454240001</v>
      </c>
      <c r="J305" s="84">
        <f>MIN(VLOOKUP($A305,lmic_raw[],10,FALSE)*(1+interactive!$C$7),0.9999)</f>
        <v>0.85575000000000001</v>
      </c>
      <c r="K305" s="84">
        <f>MIN(VLOOKUP($A305,lmic_raw[],11,FALSE)*(1+interactive!$C$7),0.9999)</f>
        <v>0</v>
      </c>
      <c r="L305" s="33">
        <f>MIN(VLOOKUP($A305,lmic_raw[],12,FALSE)*(1+interactive!$C$7),0.9999)</f>
        <v>0.59849999999999992</v>
      </c>
      <c r="M305" s="84">
        <f>IFERROR(VLOOKUP(lmic_raw_ub[[#This Row],[iso3]], hbv_prev[[iso3]:[ub]],4,FALSE)/100,0)</f>
        <v>4.1799999999999997E-2</v>
      </c>
      <c r="N305" s="84">
        <f>IFERROR(VLOOKUP(lmic_raw_ub[[#This Row],[setting]],hbe_prev[],5,FALSE),0)</f>
        <v>0.40200000000000002</v>
      </c>
      <c r="O305" s="84">
        <f>VLOOKUP(lmic_raw_ub[[#This Row],[gbd_super]],hbe_risk[],4,FALSE)</f>
        <v>0.74399999999999999</v>
      </c>
      <c r="P305" s="84">
        <f>VLOOKUP(lmic_raw_ub[[#This Row],[gbd_super]],hbe_risk[],7,FALSE)</f>
        <v>0.13300000000000001</v>
      </c>
      <c r="Q305" s="98">
        <f>VLOOKUP(lmic_raw_ub[[#This Row],[setting]],lmic_raw[],17,FALSE)*(1+interactive!$C$7)</f>
        <v>0</v>
      </c>
      <c r="R305" s="98">
        <f>VLOOKUP(lmic_raw_ub[[#This Row],[setting]],lmic_raw[],18,FALSE)*(1+interactive!$C$7)</f>
        <v>31.416525000000004</v>
      </c>
      <c r="S305" s="98">
        <f>VLOOKUP(lmic_raw_ub[[#This Row],[setting]],lmic_raw[],19,FALSE)*(1+interactive!$C$7)</f>
        <v>81.545625000000015</v>
      </c>
      <c r="T305" s="98">
        <f>VLOOKUP(lmic_raw_ub[[#This Row],[setting]],lmic_raw[],20,FALSE)*(1+interactive!$C$7)</f>
        <v>81.545625000000015</v>
      </c>
      <c r="U305" s="98">
        <f>VLOOKUP(lmic_raw_ub[[#This Row],[setting]],lmic_raw[],21,FALSE)*(1+interactive!$C$7)</f>
        <v>81.545625000000015</v>
      </c>
      <c r="V305" s="33">
        <f>IFERROR(VLOOKUP(lmic_raw_ub[[#This Row],[setting]],vcost_ub[],3,FALSE),0)</f>
        <v>3.0485429887518278</v>
      </c>
      <c r="W305" s="33">
        <f>IFERROR(VLOOKUP(lmic_raw_ub[[#This Row],[setting]],vcost_ub[],4,FALSE),0)</f>
        <v>8.1186779887518288</v>
      </c>
      <c r="X305" s="33">
        <f>IFERROR(VLOOKUP(lmic_raw_ub[[#This Row],[setting]],vcost_ub[],5,FALSE),0)</f>
        <v>2.5557274421296299</v>
      </c>
      <c r="Y305" s="33">
        <f>IFERROR(VLOOKUP(lmic_raw_ub[[#This Row],[setting]],vcost_ub[],6,FALSE),0)</f>
        <v>7.6258624421296304</v>
      </c>
      <c r="Z305" s="33">
        <f>IFERROR(VLOOKUP(lmic_raw_ub[[#This Row],[setting]],vcost_ub[],7,FALSE),0)</f>
        <v>7.6208664506172852</v>
      </c>
      <c r="AA305" s="33">
        <f>IFERROR(VLOOKUP(lmic_raw_ub[[#This Row],[setting]],vcost_ub[],8,FALSE),0)</f>
        <v>3.3164835392300196</v>
      </c>
      <c r="AB305" s="33">
        <f>IFERROR(VLOOKUP(lmic_raw_ub[[#This Row],[setting]],vcost_ub[],9,FALSE),0)</f>
        <v>8.386618539230021</v>
      </c>
      <c r="AC305" s="84">
        <f>VLOOKUP($A305,lmic_raw[],29,FALSE)*(1+interactive!$C$7)</f>
        <v>6.8179145999999941E-2</v>
      </c>
      <c r="AD305" s="84">
        <f>VLOOKUP($A305,lmic_raw[],30,FALSE)*(1+interactive!$C$7)</f>
        <v>9.9809530591311122E-3</v>
      </c>
      <c r="AE305" s="84">
        <f>VLOOKUP($A305,lmic_raw[],31,FALSE)*(1+interactive!$C$7)</f>
        <v>3.6131285870006297E-3</v>
      </c>
      <c r="AF305" s="84">
        <f>VLOOKUP($A305,lmic_raw[],32,FALSE)*(1+interactive!$C$7)</f>
        <v>2.1347073568982258E-3</v>
      </c>
      <c r="AG305" s="84">
        <f>VLOOKUP($A305,lmic_raw[],33,FALSE)*(1+interactive!$C$7)</f>
        <v>2.8557623331473964E-3</v>
      </c>
      <c r="AH305" s="84">
        <f>VLOOKUP($A305,lmic_raw[],34,FALSE)*(1+interactive!$C$7)</f>
        <v>3.8467359351907621E-3</v>
      </c>
      <c r="AI305" s="84">
        <f>VLOOKUP($A305,lmic_raw[],35,FALSE)*(1+interactive!$C$7)</f>
        <v>4.2138562223496675E-3</v>
      </c>
      <c r="AJ305" s="84">
        <f>VLOOKUP($A305,lmic_raw[],36,FALSE)*(1+interactive!$C$7)</f>
        <v>4.6267852367904211E-3</v>
      </c>
      <c r="AK305" s="84">
        <f>VLOOKUP($A305,lmic_raw[],37,FALSE)*(1+interactive!$C$7)</f>
        <v>5.2382755358250412E-3</v>
      </c>
      <c r="AL305" s="84">
        <f>VLOOKUP($A305,lmic_raw[],38,FALSE)*(1+interactive!$C$7)</f>
        <v>6.4208911195776375E-3</v>
      </c>
      <c r="AM305" s="84">
        <f>VLOOKUP($A305,lmic_raw[],39,FALSE)*(1+interactive!$C$7)</f>
        <v>7.7283181586088115E-3</v>
      </c>
      <c r="AN305" s="84">
        <f>VLOOKUP($A305,lmic_raw[],40,FALSE)*(1+interactive!$C$7)</f>
        <v>1.0645845397185893E-2</v>
      </c>
      <c r="AO305" s="84">
        <f>VLOOKUP($A305,lmic_raw[],41,FALSE)*(1+interactive!$C$7)</f>
        <v>1.4113132619577695E-2</v>
      </c>
      <c r="AP305" s="84">
        <f>VLOOKUP($A305,lmic_raw[],42,FALSE)*(1+interactive!$C$7)</f>
        <v>2.103716336586222E-2</v>
      </c>
      <c r="AQ305" s="84">
        <f>VLOOKUP($A305,lmic_raw[],43,FALSE)*(1+interactive!$C$7)</f>
        <v>3.1894047538254179E-2</v>
      </c>
      <c r="AR305" s="84">
        <f>VLOOKUP($A305,lmic_raw[],44,FALSE)*(1+interactive!$C$7)</f>
        <v>4.8670284947360393E-2</v>
      </c>
      <c r="AS305" s="84">
        <f>VLOOKUP($A305,lmic_raw[],45,FALSE)*(1+interactive!$C$7)</f>
        <v>7.2363064897314422E-2</v>
      </c>
      <c r="AT305" s="84">
        <f>VLOOKUP($A305,lmic_raw[],46,FALSE)*(1+interactive!$C$7)</f>
        <v>0.10360179250949343</v>
      </c>
      <c r="AU305" s="84">
        <f>VLOOKUP($A305,lmic_raw[],47,FALSE)*(1+interactive!$C$7)</f>
        <v>0.13721220924006233</v>
      </c>
      <c r="AV305" s="84">
        <f>VLOOKUP($A305,lmic_raw[],48,FALSE)*(1+interactive!$C$7)</f>
        <v>0.16573935331980036</v>
      </c>
      <c r="AW305" s="84">
        <f>VLOOKUP($A305,lmic_raw[],49,FALSE)*(1+interactive!$C$7)</f>
        <v>0.1855006038634697</v>
      </c>
      <c r="AX305" s="84">
        <f>VLOOKUP($A305,lmic_raw[],50,FALSE)*(1+interactive!$C$7)</f>
        <v>63.221550000000001</v>
      </c>
    </row>
    <row r="306" spans="1:50" x14ac:dyDescent="0.25">
      <c r="A306" s="109" t="s">
        <v>607</v>
      </c>
      <c r="B306" s="101" t="s">
        <v>403</v>
      </c>
      <c r="C306" s="102">
        <v>178</v>
      </c>
      <c r="D306" s="82" t="s">
        <v>677</v>
      </c>
      <c r="E306" s="82" t="s">
        <v>582</v>
      </c>
      <c r="F306" s="82" t="s">
        <v>667</v>
      </c>
      <c r="G306" s="82" t="s">
        <v>678</v>
      </c>
      <c r="H306" s="33">
        <f>VLOOKUP(lmic_raw_ub[[#This Row],[setting]],lmic_raw[],8,FALSE)</f>
        <v>5380504</v>
      </c>
      <c r="I306" s="33">
        <f>VLOOKUP(lmic_raw_ub[[#This Row],[setting]],lmic_raw[],9,FALSE)</f>
        <v>177825.65719999999</v>
      </c>
      <c r="J306" s="84">
        <f>MIN(VLOOKUP($A306,lmic_raw[],10,FALSE)*(1+interactive!$C$7),0.9999)</f>
        <v>0.9607500000000001</v>
      </c>
      <c r="K306" s="84">
        <f>MIN(VLOOKUP($A306,lmic_raw[],11,FALSE)*(1+interactive!$C$7),0.9999)</f>
        <v>0</v>
      </c>
      <c r="L306" s="33">
        <f>MIN(VLOOKUP($A306,lmic_raw[],12,FALSE)*(1+interactive!$C$7),0.9999)</f>
        <v>0.82950000000000013</v>
      </c>
      <c r="M306" s="84">
        <f>IFERROR(VLOOKUP(lmic_raw_ub[[#This Row],[iso3]], hbv_prev[[iso3]:[ub]],4,FALSE)/100,0)</f>
        <v>0.12820000000000001</v>
      </c>
      <c r="N306" s="84">
        <f>IFERROR(VLOOKUP(lmic_raw_ub[[#This Row],[setting]],hbe_prev[],5,FALSE),0)</f>
        <v>0.40200000000000002</v>
      </c>
      <c r="O306" s="84">
        <f>VLOOKUP(lmic_raw_ub[[#This Row],[gbd_super]],hbe_risk[],4,FALSE)</f>
        <v>0.74399999999999999</v>
      </c>
      <c r="P306" s="84">
        <f>VLOOKUP(lmic_raw_ub[[#This Row],[gbd_super]],hbe_risk[],7,FALSE)</f>
        <v>0.13300000000000001</v>
      </c>
      <c r="Q306" s="98">
        <f>VLOOKUP(lmic_raw_ub[[#This Row],[setting]],lmic_raw[],17,FALSE)*(1+interactive!$C$7)</f>
        <v>6.2806781874189364</v>
      </c>
      <c r="R306" s="98">
        <f>VLOOKUP(lmic_raw_ub[[#This Row],[setting]],lmic_raw[],18,FALSE)*(1+interactive!$C$7)</f>
        <v>31.416525000000004</v>
      </c>
      <c r="S306" s="98">
        <f>VLOOKUP(lmic_raw_ub[[#This Row],[setting]],lmic_raw[],19,FALSE)*(1+interactive!$C$7)</f>
        <v>81.545625000000015</v>
      </c>
      <c r="T306" s="98">
        <f>VLOOKUP(lmic_raw_ub[[#This Row],[setting]],lmic_raw[],20,FALSE)*(1+interactive!$C$7)</f>
        <v>81.545625000000015</v>
      </c>
      <c r="U306" s="98">
        <f>VLOOKUP(lmic_raw_ub[[#This Row],[setting]],lmic_raw[],21,FALSE)*(1+interactive!$C$7)</f>
        <v>81.545625000000015</v>
      </c>
      <c r="V306" s="33">
        <f>IFERROR(VLOOKUP(lmic_raw_ub[[#This Row],[setting]],vcost_ub[],3,FALSE),0)</f>
        <v>5.4112765475729461</v>
      </c>
      <c r="W306" s="33">
        <f>IFERROR(VLOOKUP(lmic_raw_ub[[#This Row],[setting]],vcost_ub[],4,FALSE),0)</f>
        <v>10.481411547572947</v>
      </c>
      <c r="X306" s="33">
        <f>IFERROR(VLOOKUP(lmic_raw_ub[[#This Row],[setting]],vcost_ub[],5,FALSE),0)</f>
        <v>4.9027745819759758</v>
      </c>
      <c r="Y306" s="33">
        <f>IFERROR(VLOOKUP(lmic_raw_ub[[#This Row],[setting]],vcost_ub[],6,FALSE),0)</f>
        <v>9.9729095819759763</v>
      </c>
      <c r="Z306" s="33">
        <f>IFERROR(VLOOKUP(lmic_raw_ub[[#This Row],[setting]],vcost_ub[],7,FALSE),0)</f>
        <v>9.9589236602261764</v>
      </c>
      <c r="AA306" s="33">
        <f>IFERROR(VLOOKUP(lmic_raw_ub[[#This Row],[setting]],vcost_ub[],8,FALSE),0)</f>
        <v>5.6827778189227116</v>
      </c>
      <c r="AB306" s="33">
        <f>IFERROR(VLOOKUP(lmic_raw_ub[[#This Row],[setting]],vcost_ub[],9,FALSE),0)</f>
        <v>10.752912818922713</v>
      </c>
      <c r="AC306" s="84">
        <f>VLOOKUP($A306,lmic_raw[],29,FALSE)*(1+interactive!$C$7)</f>
        <v>3.7071310499999947E-2</v>
      </c>
      <c r="AD306" s="84">
        <f>VLOOKUP($A306,lmic_raw[],30,FALSE)*(1+interactive!$C$7)</f>
        <v>3.3303177311180543E-3</v>
      </c>
      <c r="AE306" s="84">
        <f>VLOOKUP($A306,lmic_raw[],31,FALSE)*(1+interactive!$C$7)</f>
        <v>1.4125410797627207E-3</v>
      </c>
      <c r="AF306" s="84">
        <f>VLOOKUP($A306,lmic_raw[],32,FALSE)*(1+interactive!$C$7)</f>
        <v>1.0436199559808867E-3</v>
      </c>
      <c r="AG306" s="84">
        <f>VLOOKUP($A306,lmic_raw[],33,FALSE)*(1+interactive!$C$7)</f>
        <v>1.7021511230116281E-3</v>
      </c>
      <c r="AH306" s="84">
        <f>VLOOKUP($A306,lmic_raw[],34,FALSE)*(1+interactive!$C$7)</f>
        <v>2.6877670965000239E-3</v>
      </c>
      <c r="AI306" s="84">
        <f>VLOOKUP($A306,lmic_raw[],35,FALSE)*(1+interactive!$C$7)</f>
        <v>3.612036369739266E-3</v>
      </c>
      <c r="AJ306" s="84">
        <f>VLOOKUP($A306,lmic_raw[],36,FALSE)*(1+interactive!$C$7)</f>
        <v>4.5924009199306698E-3</v>
      </c>
      <c r="AK306" s="84">
        <f>VLOOKUP($A306,lmic_raw[],37,FALSE)*(1+interactive!$C$7)</f>
        <v>5.9602219503795502E-3</v>
      </c>
      <c r="AL306" s="84">
        <f>VLOOKUP($A306,lmic_raw[],38,FALSE)*(1+interactive!$C$7)</f>
        <v>7.342677538236057E-3</v>
      </c>
      <c r="AM306" s="84">
        <f>VLOOKUP($A306,lmic_raw[],39,FALSE)*(1+interactive!$C$7)</f>
        <v>9.027285202148138E-3</v>
      </c>
      <c r="AN306" s="84">
        <f>VLOOKUP($A306,lmic_raw[],40,FALSE)*(1+interactive!$C$7)</f>
        <v>1.2024456605297801E-2</v>
      </c>
      <c r="AO306" s="84">
        <f>VLOOKUP($A306,lmic_raw[],41,FALSE)*(1+interactive!$C$7)</f>
        <v>1.5559301342286641E-2</v>
      </c>
      <c r="AP306" s="84">
        <f>VLOOKUP($A306,lmic_raw[],42,FALSE)*(1+interactive!$C$7)</f>
        <v>2.2367405766487377E-2</v>
      </c>
      <c r="AQ306" s="84">
        <f>VLOOKUP($A306,lmic_raw[],43,FALSE)*(1+interactive!$C$7)</f>
        <v>3.3458601833906948E-2</v>
      </c>
      <c r="AR306" s="84">
        <f>VLOOKUP($A306,lmic_raw[],44,FALSE)*(1+interactive!$C$7)</f>
        <v>5.0976521067808846E-2</v>
      </c>
      <c r="AS306" s="84">
        <f>VLOOKUP($A306,lmic_raw[],45,FALSE)*(1+interactive!$C$7)</f>
        <v>7.7035595202035595E-2</v>
      </c>
      <c r="AT306" s="84">
        <f>VLOOKUP($A306,lmic_raw[],46,FALSE)*(1+interactive!$C$7)</f>
        <v>0.11477758034772892</v>
      </c>
      <c r="AU306" s="84">
        <f>VLOOKUP($A306,lmic_raw[],47,FALSE)*(1+interactive!$C$7)</f>
        <v>0.15752259566269641</v>
      </c>
      <c r="AV306" s="84">
        <f>VLOOKUP($A306,lmic_raw[],48,FALSE)*(1+interactive!$C$7)</f>
        <v>0.1901080803334419</v>
      </c>
      <c r="AW306" s="84">
        <f>VLOOKUP($A306,lmic_raw[],49,FALSE)*(1+interactive!$C$7)</f>
        <v>0.19916726345277219</v>
      </c>
      <c r="AX306" s="84">
        <f>VLOOKUP($A306,lmic_raw[],50,FALSE)*(1+interactive!$C$7)</f>
        <v>67.364850000000004</v>
      </c>
    </row>
    <row r="307" spans="1:50" x14ac:dyDescent="0.25">
      <c r="A307" s="110" t="s">
        <v>254</v>
      </c>
      <c r="B307" s="104" t="s">
        <v>405</v>
      </c>
      <c r="C307" s="105">
        <v>188</v>
      </c>
      <c r="D307" s="84" t="s">
        <v>679</v>
      </c>
      <c r="E307" s="84" t="s">
        <v>604</v>
      </c>
      <c r="F307" s="84" t="s">
        <v>665</v>
      </c>
      <c r="G307" s="84" t="s">
        <v>676</v>
      </c>
      <c r="H307" s="33">
        <f>VLOOKUP(lmic_raw_ub[[#This Row],[setting]],lmic_raw[],8,FALSE)</f>
        <v>5047561</v>
      </c>
      <c r="I307" s="33">
        <f>VLOOKUP(lmic_raw_ub[[#This Row],[setting]],lmic_raw[],9,FALSE)</f>
        <v>71226.133270999999</v>
      </c>
      <c r="J307" s="84">
        <f>MIN(VLOOKUP($A307,lmic_raw[],10,FALSE)*(1+interactive!$C$7),0.9999)</f>
        <v>0.99990000000000001</v>
      </c>
      <c r="K307" s="84">
        <f>MIN(VLOOKUP($A307,lmic_raw[],11,FALSE)*(1+interactive!$C$7),0.9999)</f>
        <v>0.91349999999999998</v>
      </c>
      <c r="L307" s="33">
        <f>MIN(VLOOKUP($A307,lmic_raw[],12,FALSE)*(1+interactive!$C$7),0.9999)</f>
        <v>0.99990000000000001</v>
      </c>
      <c r="M307" s="84">
        <f>IFERROR(VLOOKUP(lmic_raw_ub[[#This Row],[iso3]], hbv_prev[[iso3]:[ub]],4,FALSE)/100,0)</f>
        <v>9.9900000000000003E-2</v>
      </c>
      <c r="N307" s="84">
        <f>IFERROR(VLOOKUP(lmic_raw_ub[[#This Row],[setting]],hbe_prev[],5,FALSE),0)</f>
        <v>0.42950000000000005</v>
      </c>
      <c r="O307" s="84">
        <f>VLOOKUP(lmic_raw_ub[[#This Row],[gbd_super]],hbe_risk[],4,FALSE)</f>
        <v>0.9</v>
      </c>
      <c r="P307" s="84">
        <f>VLOOKUP(lmic_raw_ub[[#This Row],[gbd_super]],hbe_risk[],7,FALSE)</f>
        <v>0.3</v>
      </c>
      <c r="Q307" s="98">
        <f>VLOOKUP(lmic_raw_ub[[#This Row],[setting]],lmic_raw[],17,FALSE)*(1+interactive!$C$7)</f>
        <v>14.6180924707092</v>
      </c>
      <c r="R307" s="98">
        <f>VLOOKUP(lmic_raw_ub[[#This Row],[setting]],lmic_raw[],18,FALSE)*(1+interactive!$C$7)</f>
        <v>91.228094999999996</v>
      </c>
      <c r="S307" s="98">
        <f>VLOOKUP(lmic_raw_ub[[#This Row],[setting]],lmic_raw[],19,FALSE)*(1+interactive!$C$7)</f>
        <v>141.35719500000002</v>
      </c>
      <c r="T307" s="98">
        <f>VLOOKUP(lmic_raw_ub[[#This Row],[setting]],lmic_raw[],20,FALSE)*(1+interactive!$C$7)</f>
        <v>141.35719500000002</v>
      </c>
      <c r="U307" s="98">
        <f>VLOOKUP(lmic_raw_ub[[#This Row],[setting]],lmic_raw[],21,FALSE)*(1+interactive!$C$7)</f>
        <v>141.35719500000002</v>
      </c>
      <c r="V307" s="33">
        <f>IFERROR(VLOOKUP(lmic_raw_ub[[#This Row],[setting]],vcost_ub[],3,FALSE),0)</f>
        <v>14.62706631132318</v>
      </c>
      <c r="W307" s="33">
        <f>IFERROR(VLOOKUP(lmic_raw_ub[[#This Row],[setting]],vcost_ub[],4,FALSE),0)</f>
        <v>14.64995631132318</v>
      </c>
      <c r="X307" s="33">
        <f>IFERROR(VLOOKUP(lmic_raw_ub[[#This Row],[setting]],vcost_ub[],5,FALSE),0)</f>
        <v>14.0689055812874</v>
      </c>
      <c r="Y307" s="33">
        <f>IFERROR(VLOOKUP(lmic_raw_ub[[#This Row],[setting]],vcost_ub[],6,FALSE),0)</f>
        <v>14.0917955812874</v>
      </c>
      <c r="Z307" s="33">
        <f>IFERROR(VLOOKUP(lmic_raw_ub[[#This Row],[setting]],vcost_ub[],7,FALSE),0)</f>
        <v>14.049116403872805</v>
      </c>
      <c r="AA307" s="33">
        <f>IFERROR(VLOOKUP(lmic_raw_ub[[#This Row],[setting]],vcost_ub[],8,FALSE),0)</f>
        <v>14.90983981754556</v>
      </c>
      <c r="AB307" s="33">
        <f>IFERROR(VLOOKUP(lmic_raw_ub[[#This Row],[setting]],vcost_ub[],9,FALSE),0)</f>
        <v>14.93272981754556</v>
      </c>
      <c r="AC307" s="84">
        <f>VLOOKUP($A307,lmic_raw[],29,FALSE)*(1+interactive!$C$7)</f>
        <v>7.6840364999999442E-3</v>
      </c>
      <c r="AD307" s="84">
        <f>VLOOKUP($A307,lmic_raw[],30,FALSE)*(1+interactive!$C$7)</f>
        <v>4.8449547587691024E-4</v>
      </c>
      <c r="AE307" s="84">
        <f>VLOOKUP($A307,lmic_raw[],31,FALSE)*(1+interactive!$C$7)</f>
        <v>1.9864859824144407E-4</v>
      </c>
      <c r="AF307" s="84">
        <f>VLOOKUP($A307,lmic_raw[],32,FALSE)*(1+interactive!$C$7)</f>
        <v>2.6494374921401566E-4</v>
      </c>
      <c r="AG307" s="84">
        <f>VLOOKUP($A307,lmic_raw[],33,FALSE)*(1+interactive!$C$7)</f>
        <v>5.47810767724522E-4</v>
      </c>
      <c r="AH307" s="84">
        <f>VLOOKUP($A307,lmic_raw[],34,FALSE)*(1+interactive!$C$7)</f>
        <v>8.3040647949385825E-4</v>
      </c>
      <c r="AI307" s="84">
        <f>VLOOKUP($A307,lmic_raw[],35,FALSE)*(1+interactive!$C$7)</f>
        <v>9.6546940223510367E-4</v>
      </c>
      <c r="AJ307" s="84">
        <f>VLOOKUP($A307,lmic_raw[],36,FALSE)*(1+interactive!$C$7)</f>
        <v>1.1399615311745647E-3</v>
      </c>
      <c r="AK307" s="84">
        <f>VLOOKUP($A307,lmic_raw[],37,FALSE)*(1+interactive!$C$7)</f>
        <v>1.3985603515726487E-3</v>
      </c>
      <c r="AL307" s="84">
        <f>VLOOKUP($A307,lmic_raw[],38,FALSE)*(1+interactive!$C$7)</f>
        <v>1.8358241104170759E-3</v>
      </c>
      <c r="AM307" s="84">
        <f>VLOOKUP($A307,lmic_raw[],39,FALSE)*(1+interactive!$C$7)</f>
        <v>2.5921710105203891E-3</v>
      </c>
      <c r="AN307" s="84">
        <f>VLOOKUP($A307,lmic_raw[],40,FALSE)*(1+interactive!$C$7)</f>
        <v>3.8003885665016837E-3</v>
      </c>
      <c r="AO307" s="84">
        <f>VLOOKUP($A307,lmic_raw[],41,FALSE)*(1+interactive!$C$7)</f>
        <v>5.7656491555989819E-3</v>
      </c>
      <c r="AP307" s="84">
        <f>VLOOKUP($A307,lmic_raw[],42,FALSE)*(1+interactive!$C$7)</f>
        <v>8.879850796448624E-3</v>
      </c>
      <c r="AQ307" s="84">
        <f>VLOOKUP($A307,lmic_raw[],43,FALSE)*(1+interactive!$C$7)</f>
        <v>1.3904015770322384E-2</v>
      </c>
      <c r="AR307" s="84">
        <f>VLOOKUP($A307,lmic_raw[],44,FALSE)*(1+interactive!$C$7)</f>
        <v>2.1510604932386289E-2</v>
      </c>
      <c r="AS307" s="84">
        <f>VLOOKUP($A307,lmic_raw[],45,FALSE)*(1+interactive!$C$7)</f>
        <v>3.4097894881394059E-2</v>
      </c>
      <c r="AT307" s="84">
        <f>VLOOKUP($A307,lmic_raw[],46,FALSE)*(1+interactive!$C$7)</f>
        <v>5.2973451743123331E-2</v>
      </c>
      <c r="AU307" s="84">
        <f>VLOOKUP($A307,lmic_raw[],47,FALSE)*(1+interactive!$C$7)</f>
        <v>7.8864980847786398E-2</v>
      </c>
      <c r="AV307" s="84">
        <f>VLOOKUP($A307,lmic_raw[],48,FALSE)*(1+interactive!$C$7)</f>
        <v>0.1119692505070348</v>
      </c>
      <c r="AW307" s="84">
        <f>VLOOKUP($A307,lmic_raw[],49,FALSE)*(1+interactive!$C$7)</f>
        <v>0.14876225985532948</v>
      </c>
      <c r="AX307" s="84">
        <f>VLOOKUP($A307,lmic_raw[],50,FALSE)*(1+interactive!$C$7)</f>
        <v>84.003150000000005</v>
      </c>
    </row>
    <row r="308" spans="1:50" x14ac:dyDescent="0.25">
      <c r="A308" s="109" t="s">
        <v>141</v>
      </c>
      <c r="B308" s="101" t="s">
        <v>406</v>
      </c>
      <c r="C308" s="102">
        <v>384</v>
      </c>
      <c r="D308" s="82" t="s">
        <v>677</v>
      </c>
      <c r="E308" s="82" t="s">
        <v>591</v>
      </c>
      <c r="F308" s="82" t="s">
        <v>667</v>
      </c>
      <c r="G308" s="82" t="s">
        <v>678</v>
      </c>
      <c r="H308" s="33">
        <f>VLOOKUP(lmic_raw_ub[[#This Row],[setting]],lmic_raw[],8,FALSE)</f>
        <v>25716554</v>
      </c>
      <c r="I308" s="33">
        <f>VLOOKUP(lmic_raw_ub[[#This Row],[setting]],lmic_raw[],9,FALSE)</f>
        <v>923095.70583000011</v>
      </c>
      <c r="J308" s="84">
        <f>MIN(VLOOKUP($A308,lmic_raw[],10,FALSE)*(1+interactive!$C$7),0.9999)</f>
        <v>0.7329</v>
      </c>
      <c r="K308" s="84">
        <f>MIN(VLOOKUP($A308,lmic_raw[],11,FALSE)*(1+interactive!$C$7),0.9999)</f>
        <v>9.4500000000000001E-2</v>
      </c>
      <c r="L308" s="33">
        <f>MIN(VLOOKUP($A308,lmic_raw[],12,FALSE)*(1+interactive!$C$7),0.9999)</f>
        <v>0.88200000000000001</v>
      </c>
      <c r="M308" s="84">
        <f>IFERROR(VLOOKUP(lmic_raw_ub[[#This Row],[iso3]], hbv_prev[[iso3]:[ub]],4,FALSE)/100,0)</f>
        <v>7.8799999999999995E-2</v>
      </c>
      <c r="N308" s="84">
        <f>IFERROR(VLOOKUP(lmic_raw_ub[[#This Row],[setting]],hbe_prev[],5,FALSE),0)</f>
        <v>0.41070000000000001</v>
      </c>
      <c r="O308" s="84">
        <f>VLOOKUP(lmic_raw_ub[[#This Row],[gbd_super]],hbe_risk[],4,FALSE)</f>
        <v>0.74399999999999999</v>
      </c>
      <c r="P308" s="84">
        <f>VLOOKUP(lmic_raw_ub[[#This Row],[gbd_super]],hbe_risk[],7,FALSE)</f>
        <v>0.13300000000000001</v>
      </c>
      <c r="Q308" s="98">
        <f>VLOOKUP(lmic_raw_ub[[#This Row],[setting]],lmic_raw[],17,FALSE)*(1+interactive!$C$7)</f>
        <v>3.7881776542977823</v>
      </c>
      <c r="R308" s="98">
        <f>VLOOKUP(lmic_raw_ub[[#This Row],[setting]],lmic_raw[],18,FALSE)*(1+interactive!$C$7)</f>
        <v>31.416525000000004</v>
      </c>
      <c r="S308" s="98">
        <f>VLOOKUP(lmic_raw_ub[[#This Row],[setting]],lmic_raw[],19,FALSE)*(1+interactive!$C$7)</f>
        <v>81.545625000000015</v>
      </c>
      <c r="T308" s="98">
        <f>VLOOKUP(lmic_raw_ub[[#This Row],[setting]],lmic_raw[],20,FALSE)*(1+interactive!$C$7)</f>
        <v>81.545625000000015</v>
      </c>
      <c r="U308" s="98">
        <f>VLOOKUP(lmic_raw_ub[[#This Row],[setting]],lmic_raw[],21,FALSE)*(1+interactive!$C$7)</f>
        <v>81.545625000000015</v>
      </c>
      <c r="V308" s="33">
        <f>IFERROR(VLOOKUP(lmic_raw_ub[[#This Row],[setting]],vcost_ub[],3,FALSE),0)</f>
        <v>4.7321673867445515</v>
      </c>
      <c r="W308" s="33">
        <f>IFERROR(VLOOKUP(lmic_raw_ub[[#This Row],[setting]],vcost_ub[],4,FALSE),0)</f>
        <v>9.802302386744552</v>
      </c>
      <c r="X308" s="33">
        <f>IFERROR(VLOOKUP(lmic_raw_ub[[#This Row],[setting]],vcost_ub[],5,FALSE),0)</f>
        <v>4.2233552096187337</v>
      </c>
      <c r="Y308" s="33">
        <f>IFERROR(VLOOKUP(lmic_raw_ub[[#This Row],[setting]],vcost_ub[],6,FALSE),0)</f>
        <v>9.2934902096187351</v>
      </c>
      <c r="Z308" s="33">
        <f>IFERROR(VLOOKUP(lmic_raw_ub[[#This Row],[setting]],vcost_ub[],7,FALSE),0)</f>
        <v>9.2790967279930712</v>
      </c>
      <c r="AA308" s="33">
        <f>IFERROR(VLOOKUP(lmic_raw_ub[[#This Row],[setting]],vcost_ub[],8,FALSE),0)</f>
        <v>5.0037390742082275</v>
      </c>
      <c r="AB308" s="33">
        <f>IFERROR(VLOOKUP(lmic_raw_ub[[#This Row],[setting]],vcost_ub[],9,FALSE),0)</f>
        <v>10.073874074208227</v>
      </c>
      <c r="AC308" s="84">
        <f>VLOOKUP($A308,lmic_raw[],29,FALSE)*(1+interactive!$C$7)</f>
        <v>6.3482789999999956E-2</v>
      </c>
      <c r="AD308" s="84">
        <f>VLOOKUP($A308,lmic_raw[],30,FALSE)*(1+interactive!$C$7)</f>
        <v>7.4397056134479587E-3</v>
      </c>
      <c r="AE308" s="84">
        <f>VLOOKUP($A308,lmic_raw[],31,FALSE)*(1+interactive!$C$7)</f>
        <v>2.7128496503496546E-3</v>
      </c>
      <c r="AF308" s="84">
        <f>VLOOKUP($A308,lmic_raw[],32,FALSE)*(1+interactive!$C$7)</f>
        <v>1.9529501496306765E-3</v>
      </c>
      <c r="AG308" s="84">
        <f>VLOOKUP($A308,lmic_raw[],33,FALSE)*(1+interactive!$C$7)</f>
        <v>2.9101681745531552E-3</v>
      </c>
      <c r="AH308" s="84">
        <f>VLOOKUP($A308,lmic_raw[],34,FALSE)*(1+interactive!$C$7)</f>
        <v>4.3030360554522579E-3</v>
      </c>
      <c r="AI308" s="84">
        <f>VLOOKUP($A308,lmic_raw[],35,FALSE)*(1+interactive!$C$7)</f>
        <v>5.4897735512845188E-3</v>
      </c>
      <c r="AJ308" s="84">
        <f>VLOOKUP($A308,lmic_raw[],36,FALSE)*(1+interactive!$C$7)</f>
        <v>6.7332565343040402E-3</v>
      </c>
      <c r="AK308" s="84">
        <f>VLOOKUP($A308,lmic_raw[],37,FALSE)*(1+interactive!$C$7)</f>
        <v>8.4405343023970982E-3</v>
      </c>
      <c r="AL308" s="84">
        <f>VLOOKUP($A308,lmic_raw[],38,FALSE)*(1+interactive!$C$7)</f>
        <v>1.0237851914425595E-2</v>
      </c>
      <c r="AM308" s="84">
        <f>VLOOKUP($A308,lmic_raw[],39,FALSE)*(1+interactive!$C$7)</f>
        <v>1.2317365838045423E-2</v>
      </c>
      <c r="AN308" s="84">
        <f>VLOOKUP($A308,lmic_raw[],40,FALSE)*(1+interactive!$C$7)</f>
        <v>1.6076492086612638E-2</v>
      </c>
      <c r="AO308" s="84">
        <f>VLOOKUP($A308,lmic_raw[],41,FALSE)*(1+interactive!$C$7)</f>
        <v>2.0516586185045611E-2</v>
      </c>
      <c r="AP308" s="84">
        <f>VLOOKUP($A308,lmic_raw[],42,FALSE)*(1+interactive!$C$7)</f>
        <v>2.8908801975983226E-2</v>
      </c>
      <c r="AQ308" s="84">
        <f>VLOOKUP($A308,lmic_raw[],43,FALSE)*(1+interactive!$C$7)</f>
        <v>4.2057271622457926E-2</v>
      </c>
      <c r="AR308" s="84">
        <f>VLOOKUP($A308,lmic_raw[],44,FALSE)*(1+interactive!$C$7)</f>
        <v>6.1942564966317351E-2</v>
      </c>
      <c r="AS308" s="84">
        <f>VLOOKUP($A308,lmic_raw[],45,FALSE)*(1+interactive!$C$7)</f>
        <v>8.9632154075950918E-2</v>
      </c>
      <c r="AT308" s="84">
        <f>VLOOKUP($A308,lmic_raw[],46,FALSE)*(1+interactive!$C$7)</f>
        <v>0.12672532263895597</v>
      </c>
      <c r="AU308" s="84">
        <f>VLOOKUP($A308,lmic_raw[],47,FALSE)*(1+interactive!$C$7)</f>
        <v>0.16527496002866171</v>
      </c>
      <c r="AV308" s="84">
        <f>VLOOKUP($A308,lmic_raw[],48,FALSE)*(1+interactive!$C$7)</f>
        <v>0.19238938460276342</v>
      </c>
      <c r="AW308" s="84">
        <f>VLOOKUP($A308,lmic_raw[],49,FALSE)*(1+interactive!$C$7)</f>
        <v>0.19904176052197139</v>
      </c>
      <c r="AX308" s="84">
        <f>VLOOKUP($A308,lmic_raw[],50,FALSE)*(1+interactive!$C$7)</f>
        <v>60.107250000000001</v>
      </c>
    </row>
    <row r="309" spans="1:50" x14ac:dyDescent="0.25">
      <c r="A309" s="110" t="s">
        <v>232</v>
      </c>
      <c r="B309" s="104" t="s">
        <v>407</v>
      </c>
      <c r="C309" s="105">
        <v>192</v>
      </c>
      <c r="D309" s="84" t="s">
        <v>679</v>
      </c>
      <c r="E309" s="84" t="s">
        <v>223</v>
      </c>
      <c r="F309" s="84" t="s">
        <v>665</v>
      </c>
      <c r="G309" s="84" t="s">
        <v>676</v>
      </c>
      <c r="H309" s="33">
        <f>VLOOKUP(lmic_raw_ub[[#This Row],[setting]],lmic_raw[],8,FALSE)</f>
        <v>11333484</v>
      </c>
      <c r="I309" s="33">
        <f>VLOOKUP(lmic_raw_ub[[#This Row],[setting]],lmic_raw[],9,FALSE)</f>
        <v>115794.20602800002</v>
      </c>
      <c r="J309" s="84">
        <f>MIN(VLOOKUP($A309,lmic_raw[],10,FALSE)*(1+interactive!$C$7),0.9999)</f>
        <v>0.99990000000000001</v>
      </c>
      <c r="K309" s="84">
        <f>MIN(VLOOKUP($A309,lmic_raw[],11,FALSE)*(1+interactive!$C$7),0.9999)</f>
        <v>0.99990000000000001</v>
      </c>
      <c r="L309" s="33">
        <f>MIN(VLOOKUP($A309,lmic_raw[],12,FALSE)*(1+interactive!$C$7),0.9999)</f>
        <v>0.99990000000000001</v>
      </c>
      <c r="M309" s="84">
        <f>IFERROR(VLOOKUP(lmic_raw_ub[[#This Row],[iso3]], hbv_prev[[iso3]:[ub]],4,FALSE)/100,0)</f>
        <v>1.8500000000000003E-2</v>
      </c>
      <c r="N309" s="84">
        <f>IFERROR(VLOOKUP(lmic_raw_ub[[#This Row],[setting]],hbe_prev[],5,FALSE),0)</f>
        <v>0.43</v>
      </c>
      <c r="O309" s="84">
        <f>VLOOKUP(lmic_raw_ub[[#This Row],[gbd_super]],hbe_risk[],4,FALSE)</f>
        <v>0.9</v>
      </c>
      <c r="P309" s="84">
        <f>VLOOKUP(lmic_raw_ub[[#This Row],[gbd_super]],hbe_risk[],7,FALSE)</f>
        <v>0.3</v>
      </c>
      <c r="Q309" s="98">
        <f>VLOOKUP(lmic_raw_ub[[#This Row],[setting]],lmic_raw[],17,FALSE)*(1+interactive!$C$7)</f>
        <v>12.811029584196362</v>
      </c>
      <c r="R309" s="98">
        <f>VLOOKUP(lmic_raw_ub[[#This Row],[setting]],lmic_raw[],18,FALSE)*(1+interactive!$C$7)</f>
        <v>91.228094999999996</v>
      </c>
      <c r="S309" s="98">
        <f>VLOOKUP(lmic_raw_ub[[#This Row],[setting]],lmic_raw[],19,FALSE)*(1+interactive!$C$7)</f>
        <v>141.35719500000002</v>
      </c>
      <c r="T309" s="98">
        <f>VLOOKUP(lmic_raw_ub[[#This Row],[setting]],lmic_raw[],20,FALSE)*(1+interactive!$C$7)</f>
        <v>141.35719500000002</v>
      </c>
      <c r="U309" s="98">
        <f>VLOOKUP(lmic_raw_ub[[#This Row],[setting]],lmic_raw[],21,FALSE)*(1+interactive!$C$7)</f>
        <v>141.35719500000002</v>
      </c>
      <c r="V309" s="33">
        <f>IFERROR(VLOOKUP(lmic_raw_ub[[#This Row],[setting]],vcost_ub[],3,FALSE),0)</f>
        <v>11.770280102090943</v>
      </c>
      <c r="W309" s="33">
        <f>IFERROR(VLOOKUP(lmic_raw_ub[[#This Row],[setting]],vcost_ub[],4,FALSE),0)</f>
        <v>11.793170102090944</v>
      </c>
      <c r="X309" s="33">
        <f>IFERROR(VLOOKUP(lmic_raw_ub[[#This Row],[setting]],vcost_ub[],5,FALSE),0)</f>
        <v>11.232274887495535</v>
      </c>
      <c r="Y309" s="33">
        <f>IFERROR(VLOOKUP(lmic_raw_ub[[#This Row],[setting]],vcost_ub[],6,FALSE),0)</f>
        <v>11.255164887495535</v>
      </c>
      <c r="Z309" s="33">
        <f>IFERROR(VLOOKUP(lmic_raw_ub[[#This Row],[setting]],vcost_ub[],7,FALSE),0)</f>
        <v>11.223486186909337</v>
      </c>
      <c r="AA309" s="33">
        <f>IFERROR(VLOOKUP(lmic_raw_ub[[#This Row],[setting]],vcost_ub[],8,FALSE),0)</f>
        <v>12.048478429961829</v>
      </c>
      <c r="AB309" s="33">
        <f>IFERROR(VLOOKUP(lmic_raw_ub[[#This Row],[setting]],vcost_ub[],9,FALSE),0)</f>
        <v>12.071368429961829</v>
      </c>
      <c r="AC309" s="84">
        <f>VLOOKUP($A309,lmic_raw[],29,FALSE)*(1+interactive!$C$7)</f>
        <v>4.7103104999999482E-3</v>
      </c>
      <c r="AD309" s="84">
        <f>VLOOKUP($A309,lmic_raw[],30,FALSE)*(1+interactive!$C$7)</f>
        <v>2.8650727449847996E-4</v>
      </c>
      <c r="AE309" s="84">
        <f>VLOOKUP($A309,lmic_raw[],31,FALSE)*(1+interactive!$C$7)</f>
        <v>1.6861411395299348E-4</v>
      </c>
      <c r="AF309" s="84">
        <f>VLOOKUP($A309,lmic_raw[],32,FALSE)*(1+interactive!$C$7)</f>
        <v>2.1440256301702491E-4</v>
      </c>
      <c r="AG309" s="84">
        <f>VLOOKUP($A309,lmic_raw[],33,FALSE)*(1+interactive!$C$7)</f>
        <v>4.4998918613442041E-4</v>
      </c>
      <c r="AH309" s="84">
        <f>VLOOKUP($A309,lmic_raw[],34,FALSE)*(1+interactive!$C$7)</f>
        <v>6.0250298554991575E-4</v>
      </c>
      <c r="AI309" s="84">
        <f>VLOOKUP($A309,lmic_raw[],35,FALSE)*(1+interactive!$C$7)</f>
        <v>6.6622155431293511E-4</v>
      </c>
      <c r="AJ309" s="84">
        <f>VLOOKUP($A309,lmic_raw[],36,FALSE)*(1+interactive!$C$7)</f>
        <v>8.2993635591092723E-4</v>
      </c>
      <c r="AK309" s="84">
        <f>VLOOKUP($A309,lmic_raw[],37,FALSE)*(1+interactive!$C$7)</f>
        <v>1.1219183717560233E-3</v>
      </c>
      <c r="AL309" s="84">
        <f>VLOOKUP($A309,lmic_raw[],38,FALSE)*(1+interactive!$C$7)</f>
        <v>1.7829519156825112E-3</v>
      </c>
      <c r="AM309" s="84">
        <f>VLOOKUP($A309,lmic_raw[],39,FALSE)*(1+interactive!$C$7)</f>
        <v>2.9736073288610366E-3</v>
      </c>
      <c r="AN309" s="84">
        <f>VLOOKUP($A309,lmic_raw[],40,FALSE)*(1+interactive!$C$7)</f>
        <v>4.7903248563541606E-3</v>
      </c>
      <c r="AO309" s="84">
        <f>VLOOKUP($A309,lmic_raw[],41,FALSE)*(1+interactive!$C$7)</f>
        <v>7.3860883649489685E-3</v>
      </c>
      <c r="AP309" s="84">
        <f>VLOOKUP($A309,lmic_raw[],42,FALSE)*(1+interactive!$C$7)</f>
        <v>1.1702067424583684E-2</v>
      </c>
      <c r="AQ309" s="84">
        <f>VLOOKUP($A309,lmic_raw[],43,FALSE)*(1+interactive!$C$7)</f>
        <v>1.7855114365333158E-2</v>
      </c>
      <c r="AR309" s="84">
        <f>VLOOKUP($A309,lmic_raw[],44,FALSE)*(1+interactive!$C$7)</f>
        <v>2.6029844089512821E-2</v>
      </c>
      <c r="AS309" s="84">
        <f>VLOOKUP($A309,lmic_raw[],45,FALSE)*(1+interactive!$C$7)</f>
        <v>3.9446844112182106E-2</v>
      </c>
      <c r="AT309" s="84">
        <f>VLOOKUP($A309,lmic_raw[],46,FALSE)*(1+interactive!$C$7)</f>
        <v>6.3429264972472962E-2</v>
      </c>
      <c r="AU309" s="84">
        <f>VLOOKUP($A309,lmic_raw[],47,FALSE)*(1+interactive!$C$7)</f>
        <v>8.9947572057597555E-2</v>
      </c>
      <c r="AV309" s="84">
        <f>VLOOKUP($A309,lmic_raw[],48,FALSE)*(1+interactive!$C$7)</f>
        <v>0.11956395055577872</v>
      </c>
      <c r="AW309" s="84">
        <f>VLOOKUP($A309,lmic_raw[],49,FALSE)*(1+interactive!$C$7)</f>
        <v>0.15017008888538708</v>
      </c>
      <c r="AX309" s="84">
        <f>VLOOKUP($A309,lmic_raw[],50,FALSE)*(1+interactive!$C$7)</f>
        <v>82.619250000000008</v>
      </c>
    </row>
    <row r="310" spans="1:50" x14ac:dyDescent="0.25">
      <c r="A310" s="109" t="s">
        <v>103</v>
      </c>
      <c r="B310" s="101" t="s">
        <v>414</v>
      </c>
      <c r="C310" s="102">
        <v>262</v>
      </c>
      <c r="D310" s="82" t="s">
        <v>673</v>
      </c>
      <c r="E310" s="82" t="s">
        <v>597</v>
      </c>
      <c r="F310" s="82" t="s">
        <v>667</v>
      </c>
      <c r="G310" s="82" t="s">
        <v>678</v>
      </c>
      <c r="H310" s="33">
        <f>VLOOKUP(lmic_raw_ub[[#This Row],[setting]],lmic_raw[],8,FALSE)</f>
        <v>973557</v>
      </c>
      <c r="I310" s="33">
        <f>VLOOKUP(lmic_raw_ub[[#This Row],[setting]],lmic_raw[],9,FALSE)</f>
        <v>21121.319115000002</v>
      </c>
      <c r="J310" s="84">
        <f>MIN(VLOOKUP($A310,lmic_raw[],10,FALSE)*(1+interactive!$C$7),0.9999)</f>
        <v>0.91034999999999999</v>
      </c>
      <c r="K310" s="84">
        <f>MIN(VLOOKUP($A310,lmic_raw[],11,FALSE)*(1+interactive!$C$7),0.9999)</f>
        <v>0.99749999999999994</v>
      </c>
      <c r="L310" s="33">
        <f>MIN(VLOOKUP($A310,lmic_raw[],12,FALSE)*(1+interactive!$C$7),0.9999)</f>
        <v>0.89249999999999996</v>
      </c>
      <c r="M310" s="84">
        <f>IFERROR(VLOOKUP(lmic_raw_ub[[#This Row],[iso3]], hbv_prev[[iso3]:[ub]],4,FALSE)/100,0)</f>
        <v>0.22920000000000001</v>
      </c>
      <c r="N310" s="84">
        <f>IFERROR(VLOOKUP(lmic_raw_ub[[#This Row],[setting]],hbe_prev[],5,FALSE),0)</f>
        <v>0.39960000000000001</v>
      </c>
      <c r="O310" s="84">
        <f>VLOOKUP(lmic_raw_ub[[#This Row],[gbd_super]],hbe_risk[],4,FALSE)</f>
        <v>0.74399999999999999</v>
      </c>
      <c r="P310" s="84">
        <f>VLOOKUP(lmic_raw_ub[[#This Row],[gbd_super]],hbe_risk[],7,FALSE)</f>
        <v>0.13300000000000001</v>
      </c>
      <c r="Q310" s="98">
        <f>VLOOKUP(lmic_raw_ub[[#This Row],[setting]],lmic_raw[],17,FALSE)*(1+interactive!$C$7)</f>
        <v>4.4736153009060988</v>
      </c>
      <c r="R310" s="98">
        <f>VLOOKUP(lmic_raw_ub[[#This Row],[setting]],lmic_raw[],18,FALSE)*(1+interactive!$C$7)</f>
        <v>31.416525000000004</v>
      </c>
      <c r="S310" s="98">
        <f>VLOOKUP(lmic_raw_ub[[#This Row],[setting]],lmic_raw[],19,FALSE)*(1+interactive!$C$7)</f>
        <v>81.545625000000015</v>
      </c>
      <c r="T310" s="98">
        <f>VLOOKUP(lmic_raw_ub[[#This Row],[setting]],lmic_raw[],20,FALSE)*(1+interactive!$C$7)</f>
        <v>81.545625000000015</v>
      </c>
      <c r="U310" s="98">
        <f>VLOOKUP(lmic_raw_ub[[#This Row],[setting]],lmic_raw[],21,FALSE)*(1+interactive!$C$7)</f>
        <v>81.545625000000015</v>
      </c>
      <c r="V310" s="33">
        <f>IFERROR(VLOOKUP(lmic_raw_ub[[#This Row],[setting]],vcost_ub[],3,FALSE),0)</f>
        <v>9.1991315622469738</v>
      </c>
      <c r="W310" s="33">
        <f>IFERROR(VLOOKUP(lmic_raw_ub[[#This Row],[setting]],vcost_ub[],4,FALSE),0)</f>
        <v>14.269266562246974</v>
      </c>
      <c r="X310" s="33">
        <f>IFERROR(VLOOKUP(lmic_raw_ub[[#This Row],[setting]],vcost_ub[],5,FALSE),0)</f>
        <v>8.6778971795925202</v>
      </c>
      <c r="Y310" s="33">
        <f>IFERROR(VLOOKUP(lmic_raw_ub[[#This Row],[setting]],vcost_ub[],6,FALSE),0)</f>
        <v>13.748032179592521</v>
      </c>
      <c r="Z310" s="33">
        <f>IFERROR(VLOOKUP(lmic_raw_ub[[#This Row],[setting]],vcost_ub[],7,FALSE),0)</f>
        <v>13.726830739775467</v>
      </c>
      <c r="AA310" s="33">
        <f>IFERROR(VLOOKUP(lmic_raw_ub[[#This Row],[setting]],vcost_ub[],8,FALSE),0)</f>
        <v>9.4735230141558002</v>
      </c>
      <c r="AB310" s="33">
        <f>IFERROR(VLOOKUP(lmic_raw_ub[[#This Row],[setting]],vcost_ub[],9,FALSE),0)</f>
        <v>14.543658014155801</v>
      </c>
      <c r="AC310" s="84">
        <f>VLOOKUP($A310,lmic_raw[],29,FALSE)*(1+interactive!$C$7)</f>
        <v>3.5334652500000022E-2</v>
      </c>
      <c r="AD310" s="84">
        <f>VLOOKUP($A310,lmic_raw[],30,FALSE)*(1+interactive!$C$7)</f>
        <v>4.7551296093710253E-3</v>
      </c>
      <c r="AE310" s="84">
        <f>VLOOKUP($A310,lmic_raw[],31,FALSE)*(1+interactive!$C$7)</f>
        <v>1.8658947045567841E-3</v>
      </c>
      <c r="AF310" s="84">
        <f>VLOOKUP($A310,lmic_raw[],32,FALSE)*(1+interactive!$C$7)</f>
        <v>1.2747800671641923E-3</v>
      </c>
      <c r="AG310" s="84">
        <f>VLOOKUP($A310,lmic_raw[],33,FALSE)*(1+interactive!$C$7)</f>
        <v>1.7032426883974935E-3</v>
      </c>
      <c r="AH310" s="84">
        <f>VLOOKUP($A310,lmic_raw[],34,FALSE)*(1+interactive!$C$7)</f>
        <v>2.2777213570817183E-3</v>
      </c>
      <c r="AI310" s="84">
        <f>VLOOKUP($A310,lmic_raw[],35,FALSE)*(1+interactive!$C$7)</f>
        <v>2.7445467096541801E-3</v>
      </c>
      <c r="AJ310" s="84">
        <f>VLOOKUP($A310,lmic_raw[],36,FALSE)*(1+interactive!$C$7)</f>
        <v>3.463455038555479E-3</v>
      </c>
      <c r="AK310" s="84">
        <f>VLOOKUP($A310,lmic_raw[],37,FALSE)*(1+interactive!$C$7)</f>
        <v>4.6902182482030279E-3</v>
      </c>
      <c r="AL310" s="84">
        <f>VLOOKUP($A310,lmic_raw[],38,FALSE)*(1+interactive!$C$7)</f>
        <v>5.7900850229833829E-3</v>
      </c>
      <c r="AM310" s="84">
        <f>VLOOKUP($A310,lmic_raw[],39,FALSE)*(1+interactive!$C$7)</f>
        <v>6.9502881972931026E-3</v>
      </c>
      <c r="AN310" s="84">
        <f>VLOOKUP($A310,lmic_raw[],40,FALSE)*(1+interactive!$C$7)</f>
        <v>9.0929701269253631E-3</v>
      </c>
      <c r="AO310" s="84">
        <f>VLOOKUP($A310,lmic_raw[],41,FALSE)*(1+interactive!$C$7)</f>
        <v>1.1893974390922574E-2</v>
      </c>
      <c r="AP310" s="84">
        <f>VLOOKUP($A310,lmic_raw[],42,FALSE)*(1+interactive!$C$7)</f>
        <v>1.7926799237069378E-2</v>
      </c>
      <c r="AQ310" s="84">
        <f>VLOOKUP($A310,lmic_raw[],43,FALSE)*(1+interactive!$C$7)</f>
        <v>2.7643343997271905E-2</v>
      </c>
      <c r="AR310" s="84">
        <f>VLOOKUP($A310,lmic_raw[],44,FALSE)*(1+interactive!$C$7)</f>
        <v>4.3039174342356788E-2</v>
      </c>
      <c r="AS310" s="84">
        <f>VLOOKUP($A310,lmic_raw[],45,FALSE)*(1+interactive!$C$7)</f>
        <v>6.5597605741143344E-2</v>
      </c>
      <c r="AT310" s="84">
        <f>VLOOKUP($A310,lmic_raw[],46,FALSE)*(1+interactive!$C$7)</f>
        <v>9.6274295897434414E-2</v>
      </c>
      <c r="AU310" s="84">
        <f>VLOOKUP($A310,lmic_raw[],47,FALSE)*(1+interactive!$C$7)</f>
        <v>0.13078924888408708</v>
      </c>
      <c r="AV310" s="84">
        <f>VLOOKUP($A310,lmic_raw[],48,FALSE)*(1+interactive!$C$7)</f>
        <v>0.16119898153366818</v>
      </c>
      <c r="AW310" s="84">
        <f>VLOOKUP($A310,lmic_raw[],49,FALSE)*(1+interactive!$C$7)</f>
        <v>0.1832810302423396</v>
      </c>
      <c r="AX310" s="84">
        <f>VLOOKUP($A310,lmic_raw[],50,FALSE)*(1+interactive!$C$7)</f>
        <v>69.867000000000004</v>
      </c>
    </row>
    <row r="311" spans="1:50" x14ac:dyDescent="0.25">
      <c r="A311" s="110" t="s">
        <v>234</v>
      </c>
      <c r="B311" s="104" t="s">
        <v>612</v>
      </c>
      <c r="C311" s="105">
        <v>212</v>
      </c>
      <c r="D311" s="84" t="s">
        <v>679</v>
      </c>
      <c r="E311" s="84" t="s">
        <v>223</v>
      </c>
      <c r="F311" s="84" t="s">
        <v>665</v>
      </c>
      <c r="G311" s="84" t="s">
        <v>676</v>
      </c>
      <c r="H311" s="33">
        <f>VLOOKUP(lmic_raw_ub[[#This Row],[setting]],lmic_raw[],8,FALSE)</f>
        <v>71808</v>
      </c>
      <c r="I311" s="33">
        <f>VLOOKUP(lmic_raw_ub[[#This Row],[setting]],lmic_raw[],9,FALSE)</f>
        <v>861.69600000000014</v>
      </c>
      <c r="J311" s="84">
        <f>MIN(VLOOKUP($A311,lmic_raw[],10,FALSE)*(1+interactive!$C$7),0.9999)</f>
        <v>0</v>
      </c>
      <c r="K311" s="84">
        <f>MIN(VLOOKUP($A311,lmic_raw[],11,FALSE)*(1+interactive!$C$7),0.9999)</f>
        <v>0.99990000000000001</v>
      </c>
      <c r="L311" s="33">
        <f>MIN(VLOOKUP($A311,lmic_raw[],12,FALSE)*(1+interactive!$C$7),0.9999)</f>
        <v>0.99990000000000001</v>
      </c>
      <c r="M311" s="84">
        <f>IFERROR(VLOOKUP(lmic_raw_ub[[#This Row],[iso3]], hbv_prev[[iso3]:[ub]],4,FALSE)/100,0)</f>
        <v>8.2500000000000004E-2</v>
      </c>
      <c r="N311" s="84">
        <f>IFERROR(VLOOKUP(lmic_raw_ub[[#This Row],[setting]],hbe_prev[],5,FALSE),0)</f>
        <v>0</v>
      </c>
      <c r="O311" s="84">
        <f>VLOOKUP(lmic_raw_ub[[#This Row],[gbd_super]],hbe_risk[],4,FALSE)</f>
        <v>0.9</v>
      </c>
      <c r="P311" s="84">
        <f>VLOOKUP(lmic_raw_ub[[#This Row],[gbd_super]],hbe_risk[],7,FALSE)</f>
        <v>0.3</v>
      </c>
      <c r="Q311" s="98">
        <f>VLOOKUP(lmic_raw_ub[[#This Row],[setting]],lmic_raw[],17,FALSE)*(1+interactive!$C$7)</f>
        <v>0</v>
      </c>
      <c r="R311" s="98">
        <f>VLOOKUP(lmic_raw_ub[[#This Row],[setting]],lmic_raw[],18,FALSE)*(1+interactive!$C$7)</f>
        <v>91.228094999999996</v>
      </c>
      <c r="S311" s="98">
        <f>VLOOKUP(lmic_raw_ub[[#This Row],[setting]],lmic_raw[],19,FALSE)*(1+interactive!$C$7)</f>
        <v>141.35719500000002</v>
      </c>
      <c r="T311" s="98">
        <f>VLOOKUP(lmic_raw_ub[[#This Row],[setting]],lmic_raw[],20,FALSE)*(1+interactive!$C$7)</f>
        <v>141.35719500000002</v>
      </c>
      <c r="U311" s="98">
        <f>VLOOKUP(lmic_raw_ub[[#This Row],[setting]],lmic_raw[],21,FALSE)*(1+interactive!$C$7)</f>
        <v>141.35719500000002</v>
      </c>
      <c r="V311" s="33">
        <f>IFERROR(VLOOKUP(lmic_raw_ub[[#This Row],[setting]],vcost_ub[],3,FALSE),0)</f>
        <v>38.30525780982223</v>
      </c>
      <c r="W311" s="33">
        <f>IFERROR(VLOOKUP(lmic_raw_ub[[#This Row],[setting]],vcost_ub[],4,FALSE),0)</f>
        <v>38.328147809822227</v>
      </c>
      <c r="X311" s="33">
        <f>IFERROR(VLOOKUP(lmic_raw_ub[[#This Row],[setting]],vcost_ub[],5,FALSE),0)</f>
        <v>37.775524864206986</v>
      </c>
      <c r="Y311" s="33">
        <f>IFERROR(VLOOKUP(lmic_raw_ub[[#This Row],[setting]],vcost_ub[],6,FALSE),0)</f>
        <v>37.798414864206983</v>
      </c>
      <c r="Z311" s="33">
        <f>IFERROR(VLOOKUP(lmic_raw_ub[[#This Row],[setting]],vcost_ub[],7,FALSE),0)</f>
        <v>37.774032404523112</v>
      </c>
      <c r="AA311" s="33">
        <f>IFERROR(VLOOKUP(lmic_raw_ub[[#This Row],[setting]],vcost_ub[],8,FALSE),0)</f>
        <v>38.581578383384731</v>
      </c>
      <c r="AB311" s="33">
        <f>IFERROR(VLOOKUP(lmic_raw_ub[[#This Row],[setting]],vcost_ub[],9,FALSE),0)</f>
        <v>38.604468383384727</v>
      </c>
      <c r="AC311" s="84">
        <f>VLOOKUP($A311,lmic_raw[],29,FALSE)*(1+interactive!$C$7)</f>
        <v>0</v>
      </c>
      <c r="AD311" s="84">
        <f>VLOOKUP($A311,lmic_raw[],30,FALSE)*(1+interactive!$C$7)</f>
        <v>0</v>
      </c>
      <c r="AE311" s="84">
        <f>VLOOKUP($A311,lmic_raw[],31,FALSE)*(1+interactive!$C$7)</f>
        <v>0</v>
      </c>
      <c r="AF311" s="84">
        <f>VLOOKUP($A311,lmic_raw[],32,FALSE)*(1+interactive!$C$7)</f>
        <v>0</v>
      </c>
      <c r="AG311" s="84">
        <f>VLOOKUP($A311,lmic_raw[],33,FALSE)*(1+interactive!$C$7)</f>
        <v>0</v>
      </c>
      <c r="AH311" s="84">
        <f>VLOOKUP($A311,lmic_raw[],34,FALSE)*(1+interactive!$C$7)</f>
        <v>0</v>
      </c>
      <c r="AI311" s="84">
        <f>VLOOKUP($A311,lmic_raw[],35,FALSE)*(1+interactive!$C$7)</f>
        <v>0</v>
      </c>
      <c r="AJ311" s="84">
        <f>VLOOKUP($A311,lmic_raw[],36,FALSE)*(1+interactive!$C$7)</f>
        <v>0</v>
      </c>
      <c r="AK311" s="84">
        <f>VLOOKUP($A311,lmic_raw[],37,FALSE)*(1+interactive!$C$7)</f>
        <v>0</v>
      </c>
      <c r="AL311" s="84">
        <f>VLOOKUP($A311,lmic_raw[],38,FALSE)*(1+interactive!$C$7)</f>
        <v>0</v>
      </c>
      <c r="AM311" s="84">
        <f>VLOOKUP($A311,lmic_raw[],39,FALSE)*(1+interactive!$C$7)</f>
        <v>0</v>
      </c>
      <c r="AN311" s="84">
        <f>VLOOKUP($A311,lmic_raw[],40,FALSE)*(1+interactive!$C$7)</f>
        <v>0</v>
      </c>
      <c r="AO311" s="84">
        <f>VLOOKUP($A311,lmic_raw[],41,FALSE)*(1+interactive!$C$7)</f>
        <v>0</v>
      </c>
      <c r="AP311" s="84">
        <f>VLOOKUP($A311,lmic_raw[],42,FALSE)*(1+interactive!$C$7)</f>
        <v>0</v>
      </c>
      <c r="AQ311" s="84">
        <f>VLOOKUP($A311,lmic_raw[],43,FALSE)*(1+interactive!$C$7)</f>
        <v>0</v>
      </c>
      <c r="AR311" s="84">
        <f>VLOOKUP($A311,lmic_raw[],44,FALSE)*(1+interactive!$C$7)</f>
        <v>0</v>
      </c>
      <c r="AS311" s="84">
        <f>VLOOKUP($A311,lmic_raw[],45,FALSE)*(1+interactive!$C$7)</f>
        <v>0</v>
      </c>
      <c r="AT311" s="84">
        <f>VLOOKUP($A311,lmic_raw[],46,FALSE)*(1+interactive!$C$7)</f>
        <v>0</v>
      </c>
      <c r="AU311" s="84">
        <f>VLOOKUP($A311,lmic_raw[],47,FALSE)*(1+interactive!$C$7)</f>
        <v>0</v>
      </c>
      <c r="AV311" s="84">
        <f>VLOOKUP($A311,lmic_raw[],48,FALSE)*(1+interactive!$C$7)</f>
        <v>0</v>
      </c>
      <c r="AW311" s="84">
        <f>VLOOKUP($A311,lmic_raw[],49,FALSE)*(1+interactive!$C$7)</f>
        <v>0</v>
      </c>
      <c r="AX311" s="84">
        <f>VLOOKUP($A311,lmic_raw[],50,FALSE)*(1+interactive!$C$7)</f>
        <v>0</v>
      </c>
    </row>
    <row r="312" spans="1:50" x14ac:dyDescent="0.25">
      <c r="A312" s="109" t="s">
        <v>614</v>
      </c>
      <c r="B312" s="101" t="s">
        <v>415</v>
      </c>
      <c r="C312" s="102">
        <v>214</v>
      </c>
      <c r="D312" s="82" t="s">
        <v>679</v>
      </c>
      <c r="E312" s="82" t="s">
        <v>223</v>
      </c>
      <c r="F312" s="82" t="s">
        <v>665</v>
      </c>
      <c r="G312" s="82" t="s">
        <v>676</v>
      </c>
      <c r="H312" s="33">
        <f>VLOOKUP(lmic_raw_ub[[#This Row],[setting]],lmic_raw[],8,FALSE)</f>
        <v>10738957</v>
      </c>
      <c r="I312" s="33">
        <f>VLOOKUP(lmic_raw_ub[[#This Row],[setting]],lmic_raw[],9,FALSE)</f>
        <v>211396.368545</v>
      </c>
      <c r="J312" s="84">
        <f>MIN(VLOOKUP($A312,lmic_raw[],10,FALSE)*(1+interactive!$C$7),0.9999)</f>
        <v>0.99990000000000001</v>
      </c>
      <c r="K312" s="84">
        <f>MIN(VLOOKUP($A312,lmic_raw[],11,FALSE)*(1+interactive!$C$7),0.9999)</f>
        <v>0.69300000000000006</v>
      </c>
      <c r="L312" s="33">
        <f>MIN(VLOOKUP($A312,lmic_raw[],12,FALSE)*(1+interactive!$C$7),0.9999)</f>
        <v>0.91349999999999998</v>
      </c>
      <c r="M312" s="84">
        <f>IFERROR(VLOOKUP(lmic_raw_ub[[#This Row],[iso3]], hbv_prev[[iso3]:[ub]],4,FALSE)/100,0)</f>
        <v>0.13350000000000001</v>
      </c>
      <c r="N312" s="84">
        <f>IFERROR(VLOOKUP(lmic_raw_ub[[#This Row],[setting]],hbe_prev[],5,FALSE),0)</f>
        <v>0.43</v>
      </c>
      <c r="O312" s="84">
        <f>VLOOKUP(lmic_raw_ub[[#This Row],[gbd_super]],hbe_risk[],4,FALSE)</f>
        <v>0.9</v>
      </c>
      <c r="P312" s="84">
        <f>VLOOKUP(lmic_raw_ub[[#This Row],[gbd_super]],hbe_risk[],7,FALSE)</f>
        <v>0.3</v>
      </c>
      <c r="Q312" s="98">
        <f>VLOOKUP(lmic_raw_ub[[#This Row],[setting]],lmic_raw[],17,FALSE)*(1+interactive!$C$7)</f>
        <v>9.9820414791038523</v>
      </c>
      <c r="R312" s="98">
        <f>VLOOKUP(lmic_raw_ub[[#This Row],[setting]],lmic_raw[],18,FALSE)*(1+interactive!$C$7)</f>
        <v>91.228094999999996</v>
      </c>
      <c r="S312" s="98">
        <f>VLOOKUP(lmic_raw_ub[[#This Row],[setting]],lmic_raw[],19,FALSE)*(1+interactive!$C$7)</f>
        <v>141.35719500000002</v>
      </c>
      <c r="T312" s="98">
        <f>VLOOKUP(lmic_raw_ub[[#This Row],[setting]],lmic_raw[],20,FALSE)*(1+interactive!$C$7)</f>
        <v>141.35719500000002</v>
      </c>
      <c r="U312" s="98">
        <f>VLOOKUP(lmic_raw_ub[[#This Row],[setting]],lmic_raw[],21,FALSE)*(1+interactive!$C$7)</f>
        <v>141.35719500000002</v>
      </c>
      <c r="V312" s="33">
        <f>IFERROR(VLOOKUP(lmic_raw_ub[[#This Row],[setting]],vcost_ub[],3,FALSE),0)</f>
        <v>10.403193917290986</v>
      </c>
      <c r="W312" s="33">
        <f>IFERROR(VLOOKUP(lmic_raw_ub[[#This Row],[setting]],vcost_ub[],4,FALSE),0)</f>
        <v>10.426083917290986</v>
      </c>
      <c r="X312" s="33">
        <f>IFERROR(VLOOKUP(lmic_raw_ub[[#This Row],[setting]],vcost_ub[],5,FALSE),0)</f>
        <v>9.8685502677710399</v>
      </c>
      <c r="Y312" s="33">
        <f>IFERROR(VLOOKUP(lmic_raw_ub[[#This Row],[setting]],vcost_ub[],6,FALSE),0)</f>
        <v>9.8914402677710402</v>
      </c>
      <c r="Z312" s="33">
        <f>IFERROR(VLOOKUP(lmic_raw_ub[[#This Row],[setting]],vcost_ub[],7,FALSE),0)</f>
        <v>9.8617207137875287</v>
      </c>
      <c r="AA312" s="33">
        <f>IFERROR(VLOOKUP(lmic_raw_ub[[#This Row],[setting]],vcost_ub[],8,FALSE),0)</f>
        <v>10.680629190512841</v>
      </c>
      <c r="AB312" s="33">
        <f>IFERROR(VLOOKUP(lmic_raw_ub[[#This Row],[setting]],vcost_ub[],9,FALSE),0)</f>
        <v>10.703519190512841</v>
      </c>
      <c r="AC312" s="84">
        <f>VLOOKUP($A312,lmic_raw[],29,FALSE)*(1+interactive!$C$7)</f>
        <v>2.7156286499999946E-2</v>
      </c>
      <c r="AD312" s="84">
        <f>VLOOKUP($A312,lmic_raw[],30,FALSE)*(1+interactive!$C$7)</f>
        <v>8.1225328736405158E-4</v>
      </c>
      <c r="AE312" s="84">
        <f>VLOOKUP($A312,lmic_raw[],31,FALSE)*(1+interactive!$C$7)</f>
        <v>3.9047067795557028E-4</v>
      </c>
      <c r="AF312" s="84">
        <f>VLOOKUP($A312,lmic_raw[],32,FALSE)*(1+interactive!$C$7)</f>
        <v>3.9130638915606318E-4</v>
      </c>
      <c r="AG312" s="84">
        <f>VLOOKUP($A312,lmic_raw[],33,FALSE)*(1+interactive!$C$7)</f>
        <v>9.8608178729017227E-4</v>
      </c>
      <c r="AH312" s="84">
        <f>VLOOKUP($A312,lmic_raw[],34,FALSE)*(1+interactive!$C$7)</f>
        <v>1.7425678837705554E-3</v>
      </c>
      <c r="AI312" s="84">
        <f>VLOOKUP($A312,lmic_raw[],35,FALSE)*(1+interactive!$C$7)</f>
        <v>2.2040437623105005E-3</v>
      </c>
      <c r="AJ312" s="84">
        <f>VLOOKUP($A312,lmic_raw[],36,FALSE)*(1+interactive!$C$7)</f>
        <v>2.6871705481480174E-3</v>
      </c>
      <c r="AK312" s="84">
        <f>VLOOKUP($A312,lmic_raw[],37,FALSE)*(1+interactive!$C$7)</f>
        <v>2.9847787520991226E-3</v>
      </c>
      <c r="AL312" s="84">
        <f>VLOOKUP($A312,lmic_raw[],38,FALSE)*(1+interactive!$C$7)</f>
        <v>3.7500411862322162E-3</v>
      </c>
      <c r="AM312" s="84">
        <f>VLOOKUP($A312,lmic_raw[],39,FALSE)*(1+interactive!$C$7)</f>
        <v>5.0038463465409914E-3</v>
      </c>
      <c r="AN312" s="84">
        <f>VLOOKUP($A312,lmic_raw[],40,FALSE)*(1+interactive!$C$7)</f>
        <v>6.6241016614006967E-3</v>
      </c>
      <c r="AO312" s="84">
        <f>VLOOKUP($A312,lmic_raw[],41,FALSE)*(1+interactive!$C$7)</f>
        <v>9.6066629240124084E-3</v>
      </c>
      <c r="AP312" s="84">
        <f>VLOOKUP($A312,lmic_raw[],42,FALSE)*(1+interactive!$C$7)</f>
        <v>1.4171404144453878E-2</v>
      </c>
      <c r="AQ312" s="84">
        <f>VLOOKUP($A312,lmic_raw[],43,FALSE)*(1+interactive!$C$7)</f>
        <v>2.0859036833784282E-2</v>
      </c>
      <c r="AR312" s="84">
        <f>VLOOKUP($A312,lmic_raw[],44,FALSE)*(1+interactive!$C$7)</f>
        <v>3.0246212685517852E-2</v>
      </c>
      <c r="AS312" s="84">
        <f>VLOOKUP($A312,lmic_raw[],45,FALSE)*(1+interactive!$C$7)</f>
        <v>4.3860022794586513E-2</v>
      </c>
      <c r="AT312" s="84">
        <f>VLOOKUP($A312,lmic_raw[],46,FALSE)*(1+interactive!$C$7)</f>
        <v>6.0637465725273842E-2</v>
      </c>
      <c r="AU312" s="84">
        <f>VLOOKUP($A312,lmic_raw[],47,FALSE)*(1+interactive!$C$7)</f>
        <v>8.0014745456791062E-2</v>
      </c>
      <c r="AV312" s="84">
        <f>VLOOKUP($A312,lmic_raw[],48,FALSE)*(1+interactive!$C$7)</f>
        <v>0.10064475645029461</v>
      </c>
      <c r="AW312" s="84">
        <f>VLOOKUP($A312,lmic_raw[],49,FALSE)*(1+interactive!$C$7)</f>
        <v>0.12096311876246614</v>
      </c>
      <c r="AX312" s="84">
        <f>VLOOKUP($A312,lmic_raw[],50,FALSE)*(1+interactive!$C$7)</f>
        <v>77.501550000000009</v>
      </c>
    </row>
    <row r="313" spans="1:50" x14ac:dyDescent="0.25">
      <c r="A313" s="110" t="s">
        <v>267</v>
      </c>
      <c r="B313" s="104" t="s">
        <v>416</v>
      </c>
      <c r="C313" s="105">
        <v>218</v>
      </c>
      <c r="D313" s="84" t="s">
        <v>679</v>
      </c>
      <c r="E313" s="84" t="s">
        <v>593</v>
      </c>
      <c r="F313" s="84" t="s">
        <v>665</v>
      </c>
      <c r="G313" s="84" t="s">
        <v>676</v>
      </c>
      <c r="H313" s="33">
        <f>VLOOKUP(lmic_raw_ub[[#This Row],[setting]],lmic_raw[],8,FALSE)</f>
        <v>17373657</v>
      </c>
      <c r="I313" s="33">
        <f>VLOOKUP(lmic_raw_ub[[#This Row],[setting]],lmic_raw[],9,FALSE)</f>
        <v>344971.333392</v>
      </c>
      <c r="J313" s="84">
        <f>MIN(VLOOKUP($A313,lmic_raw[],10,FALSE)*(1+interactive!$C$7),0.9999)</f>
        <v>0.97965000000000002</v>
      </c>
      <c r="K313" s="84">
        <f>MIN(VLOOKUP($A313,lmic_raw[],11,FALSE)*(1+interactive!$C$7),0.9999)</f>
        <v>0.74549999999999994</v>
      </c>
      <c r="L313" s="33">
        <f>MIN(VLOOKUP($A313,lmic_raw[],12,FALSE)*(1+interactive!$C$7),0.9999)</f>
        <v>0.89249999999999996</v>
      </c>
      <c r="M313" s="84">
        <f>IFERROR(VLOOKUP(lmic_raw_ub[[#This Row],[iso3]], hbv_prev[[iso3]:[ub]],4,FALSE)/100,0)</f>
        <v>0.1143</v>
      </c>
      <c r="N313" s="84">
        <f>IFERROR(VLOOKUP(lmic_raw_ub[[#This Row],[setting]],hbe_prev[],5,FALSE),0)</f>
        <v>0.43020000000000003</v>
      </c>
      <c r="O313" s="84">
        <f>VLOOKUP(lmic_raw_ub[[#This Row],[gbd_super]],hbe_risk[],4,FALSE)</f>
        <v>0.9</v>
      </c>
      <c r="P313" s="84">
        <f>VLOOKUP(lmic_raw_ub[[#This Row],[gbd_super]],hbe_risk[],7,FALSE)</f>
        <v>0.3</v>
      </c>
      <c r="Q313" s="98">
        <f>VLOOKUP(lmic_raw_ub[[#This Row],[setting]],lmic_raw[],17,FALSE)*(1+interactive!$C$7)</f>
        <v>0</v>
      </c>
      <c r="R313" s="98">
        <f>VLOOKUP(lmic_raw_ub[[#This Row],[setting]],lmic_raw[],18,FALSE)*(1+interactive!$C$7)</f>
        <v>91.228094999999996</v>
      </c>
      <c r="S313" s="98">
        <f>VLOOKUP(lmic_raw_ub[[#This Row],[setting]],lmic_raw[],19,FALSE)*(1+interactive!$C$7)</f>
        <v>141.35719500000002</v>
      </c>
      <c r="T313" s="98">
        <f>VLOOKUP(lmic_raw_ub[[#This Row],[setting]],lmic_raw[],20,FALSE)*(1+interactive!$C$7)</f>
        <v>141.35719500000002</v>
      </c>
      <c r="U313" s="98">
        <f>VLOOKUP(lmic_raw_ub[[#This Row],[setting]],lmic_raw[],21,FALSE)*(1+interactive!$C$7)</f>
        <v>141.35719500000002</v>
      </c>
      <c r="V313" s="33">
        <f>IFERROR(VLOOKUP(lmic_raw_ub[[#This Row],[setting]],vcost_ub[],3,FALSE),0)</f>
        <v>7.6846152565058778</v>
      </c>
      <c r="W313" s="33">
        <f>IFERROR(VLOOKUP(lmic_raw_ub[[#This Row],[setting]],vcost_ub[],4,FALSE),0)</f>
        <v>7.7075052565058781</v>
      </c>
      <c r="X313" s="33">
        <f>IFERROR(VLOOKUP(lmic_raw_ub[[#This Row],[setting]],vcost_ub[],5,FALSE),0)</f>
        <v>7.1635678100381979</v>
      </c>
      <c r="Y313" s="33">
        <f>IFERROR(VLOOKUP(lmic_raw_ub[[#This Row],[setting]],vcost_ub[],6,FALSE),0)</f>
        <v>7.1864578100381982</v>
      </c>
      <c r="Z313" s="33">
        <f>IFERROR(VLOOKUP(lmic_raw_ub[[#This Row],[setting]],vcost_ub[],7,FALSE),0)</f>
        <v>7.1650016388032975</v>
      </c>
      <c r="AA313" s="33">
        <f>IFERROR(VLOOKUP(lmic_raw_ub[[#This Row],[setting]],vcost_ub[],8,FALSE),0)</f>
        <v>7.9589642750471556</v>
      </c>
      <c r="AB313" s="33">
        <f>IFERROR(VLOOKUP(lmic_raw_ub[[#This Row],[setting]],vcost_ub[],9,FALSE),0)</f>
        <v>7.9818542750471559</v>
      </c>
      <c r="AC313" s="84">
        <f>VLOOKUP($A313,lmic_raw[],29,FALSE)*(1+interactive!$C$7)</f>
        <v>1.428419999999994E-2</v>
      </c>
      <c r="AD313" s="84">
        <f>VLOOKUP($A313,lmic_raw[],30,FALSE)*(1+interactive!$C$7)</f>
        <v>7.2205356672168429E-4</v>
      </c>
      <c r="AE313" s="84">
        <f>VLOOKUP($A313,lmic_raw[],31,FALSE)*(1+interactive!$C$7)</f>
        <v>4.133893820277855E-4</v>
      </c>
      <c r="AF313" s="84">
        <f>VLOOKUP($A313,lmic_raw[],32,FALSE)*(1+interactive!$C$7)</f>
        <v>5.2002974617661971E-4</v>
      </c>
      <c r="AG313" s="84">
        <f>VLOOKUP($A313,lmic_raw[],33,FALSE)*(1+interactive!$C$7)</f>
        <v>1.0807316063231292E-3</v>
      </c>
      <c r="AH313" s="84">
        <f>VLOOKUP($A313,lmic_raw[],34,FALSE)*(1+interactive!$C$7)</f>
        <v>1.7032050036944414E-3</v>
      </c>
      <c r="AI313" s="84">
        <f>VLOOKUP($A313,lmic_raw[],35,FALSE)*(1+interactive!$C$7)</f>
        <v>2.0485036913162062E-3</v>
      </c>
      <c r="AJ313" s="84">
        <f>VLOOKUP($A313,lmic_raw[],36,FALSE)*(1+interactive!$C$7)</f>
        <v>2.1255970682588798E-3</v>
      </c>
      <c r="AK313" s="84">
        <f>VLOOKUP($A313,lmic_raw[],37,FALSE)*(1+interactive!$C$7)</f>
        <v>2.2768445375733145E-3</v>
      </c>
      <c r="AL313" s="84">
        <f>VLOOKUP($A313,lmic_raw[],38,FALSE)*(1+interactive!$C$7)</f>
        <v>2.84626015544155E-3</v>
      </c>
      <c r="AM313" s="84">
        <f>VLOOKUP($A313,lmic_raw[],39,FALSE)*(1+interactive!$C$7)</f>
        <v>3.6232942825225943E-3</v>
      </c>
      <c r="AN313" s="84">
        <f>VLOOKUP($A313,lmic_raw[],40,FALSE)*(1+interactive!$C$7)</f>
        <v>5.281412038155288E-3</v>
      </c>
      <c r="AO313" s="84">
        <f>VLOOKUP($A313,lmic_raw[],41,FALSE)*(1+interactive!$C$7)</f>
        <v>7.201212862297671E-3</v>
      </c>
      <c r="AP313" s="84">
        <f>VLOOKUP($A313,lmic_raw[],42,FALSE)*(1+interactive!$C$7)</f>
        <v>1.0470697422218135E-2</v>
      </c>
      <c r="AQ313" s="84">
        <f>VLOOKUP($A313,lmic_raw[],43,FALSE)*(1+interactive!$C$7)</f>
        <v>1.4680739461354821E-2</v>
      </c>
      <c r="AR313" s="84">
        <f>VLOOKUP($A313,lmic_raw[],44,FALSE)*(1+interactive!$C$7)</f>
        <v>2.3956681473236725E-2</v>
      </c>
      <c r="AS313" s="84">
        <f>VLOOKUP($A313,lmic_raw[],45,FALSE)*(1+interactive!$C$7)</f>
        <v>3.8348397163032455E-2</v>
      </c>
      <c r="AT313" s="84">
        <f>VLOOKUP($A313,lmic_raw[],46,FALSE)*(1+interactive!$C$7)</f>
        <v>5.8721609166823716E-2</v>
      </c>
      <c r="AU313" s="84">
        <f>VLOOKUP($A313,lmic_raw[],47,FALSE)*(1+interactive!$C$7)</f>
        <v>8.9383277352656554E-2</v>
      </c>
      <c r="AV313" s="84">
        <f>VLOOKUP($A313,lmic_raw[],48,FALSE)*(1+interactive!$C$7)</f>
        <v>0.11446772273272936</v>
      </c>
      <c r="AW313" s="84">
        <f>VLOOKUP($A313,lmic_raw[],49,FALSE)*(1+interactive!$C$7)</f>
        <v>0.14670558266820294</v>
      </c>
      <c r="AX313" s="84">
        <f>VLOOKUP($A313,lmic_raw[],50,FALSE)*(1+interactive!$C$7)</f>
        <v>80.537099999999995</v>
      </c>
    </row>
    <row r="314" spans="1:50" x14ac:dyDescent="0.25">
      <c r="A314" s="109" t="s">
        <v>158</v>
      </c>
      <c r="B314" s="101" t="s">
        <v>417</v>
      </c>
      <c r="C314" s="102">
        <v>818</v>
      </c>
      <c r="D314" s="82" t="s">
        <v>673</v>
      </c>
      <c r="E314" s="82" t="s">
        <v>579</v>
      </c>
      <c r="F314" s="82" t="s">
        <v>579</v>
      </c>
      <c r="G314" s="82" t="s">
        <v>678</v>
      </c>
      <c r="H314" s="33">
        <f>VLOOKUP(lmic_raw_ub[[#This Row],[setting]],lmic_raw[],8,FALSE)</f>
        <v>100388076</v>
      </c>
      <c r="I314" s="33">
        <f>VLOOKUP(lmic_raw_ub[[#This Row],[setting]],lmic_raw[],9,FALSE)</f>
        <v>2664098.760888</v>
      </c>
      <c r="J314" s="84">
        <f>MIN(VLOOKUP($A314,lmic_raw[],10,FALSE)*(1+interactive!$C$7),0.9999)</f>
        <v>0.91034999999999999</v>
      </c>
      <c r="K314" s="84">
        <f>MIN(VLOOKUP($A314,lmic_raw[],11,FALSE)*(1+interactive!$C$7),0.9999)</f>
        <v>0.95550000000000013</v>
      </c>
      <c r="L314" s="33">
        <f>MIN(VLOOKUP($A314,lmic_raw[],12,FALSE)*(1+interactive!$C$7),0.9999)</f>
        <v>0.99749999999999994</v>
      </c>
      <c r="M314" s="84">
        <f>IFERROR(VLOOKUP(lmic_raw_ub[[#This Row],[iso3]], hbv_prev[[iso3]:[ub]],4,FALSE)/100,0)</f>
        <v>2.4300000000000002E-2</v>
      </c>
      <c r="N314" s="84">
        <f>IFERROR(VLOOKUP(lmic_raw_ub[[#This Row],[setting]],hbe_prev[],5,FALSE),0)</f>
        <v>0.37619999999999998</v>
      </c>
      <c r="O314" s="84">
        <f>VLOOKUP(lmic_raw_ub[[#This Row],[gbd_super]],hbe_risk[],4,FALSE)</f>
        <v>0.9</v>
      </c>
      <c r="P314" s="84">
        <f>VLOOKUP(lmic_raw_ub[[#This Row],[gbd_super]],hbe_risk[],7,FALSE)</f>
        <v>0.3</v>
      </c>
      <c r="Q314" s="98">
        <f>VLOOKUP(lmic_raw_ub[[#This Row],[setting]],lmic_raw[],17,FALSE)*(1+interactive!$C$7)</f>
        <v>0</v>
      </c>
      <c r="R314" s="98">
        <f>VLOOKUP(lmic_raw_ub[[#This Row],[setting]],lmic_raw[],18,FALSE)*(1+interactive!$C$7)</f>
        <v>48.652695000000001</v>
      </c>
      <c r="S314" s="98">
        <f>VLOOKUP(lmic_raw_ub[[#This Row],[setting]],lmic_raw[],19,FALSE)*(1+interactive!$C$7)</f>
        <v>98.781795000000017</v>
      </c>
      <c r="T314" s="98">
        <f>VLOOKUP(lmic_raw_ub[[#This Row],[setting]],lmic_raw[],20,FALSE)*(1+interactive!$C$7)</f>
        <v>98.781795000000017</v>
      </c>
      <c r="U314" s="98">
        <f>VLOOKUP(lmic_raw_ub[[#This Row],[setting]],lmic_raw[],21,FALSE)*(1+interactive!$C$7)</f>
        <v>98.781795000000017</v>
      </c>
      <c r="V314" s="33">
        <f>IFERROR(VLOOKUP(lmic_raw_ub[[#This Row],[setting]],vcost_ub[],3,FALSE),0)</f>
        <v>5.7999676848699941</v>
      </c>
      <c r="W314" s="33">
        <f>IFERROR(VLOOKUP(lmic_raw_ub[[#This Row],[setting]],vcost_ub[],4,FALSE),0)</f>
        <v>6.3035476848699945</v>
      </c>
      <c r="X314" s="33">
        <f>IFERROR(VLOOKUP(lmic_raw_ub[[#This Row],[setting]],vcost_ub[],5,FALSE),0)</f>
        <v>5.2834319578972142</v>
      </c>
      <c r="Y314" s="33">
        <f>IFERROR(VLOOKUP(lmic_raw_ub[[#This Row],[setting]],vcost_ub[],6,FALSE),0)</f>
        <v>5.7870119578972146</v>
      </c>
      <c r="Z314" s="33">
        <f>IFERROR(VLOOKUP(lmic_raw_ub[[#This Row],[setting]],vcost_ub[],7,FALSE),0)</f>
        <v>5.7686444876193894</v>
      </c>
      <c r="AA314" s="33">
        <f>IFERROR(VLOOKUP(lmic_raw_ub[[#This Row],[setting]],vcost_ub[],8,FALSE),0)</f>
        <v>6.0732925707651884</v>
      </c>
      <c r="AB314" s="33">
        <f>IFERROR(VLOOKUP(lmic_raw_ub[[#This Row],[setting]],vcost_ub[],9,FALSE),0)</f>
        <v>6.5768725707651887</v>
      </c>
      <c r="AC314" s="84">
        <f>VLOOKUP($A314,lmic_raw[],29,FALSE)*(1+interactive!$C$7)</f>
        <v>1.638315000000003E-2</v>
      </c>
      <c r="AD314" s="84">
        <f>VLOOKUP($A314,lmic_raw[],30,FALSE)*(1+interactive!$C$7)</f>
        <v>1.1528382349803813E-3</v>
      </c>
      <c r="AE314" s="84">
        <f>VLOOKUP($A314,lmic_raw[],31,FALSE)*(1+interactive!$C$7)</f>
        <v>4.2213251378143171E-4</v>
      </c>
      <c r="AF314" s="84">
        <f>VLOOKUP($A314,lmic_raw[],32,FALSE)*(1+interactive!$C$7)</f>
        <v>3.5409375730175482E-4</v>
      </c>
      <c r="AG314" s="84">
        <f>VLOOKUP($A314,lmic_raw[],33,FALSE)*(1+interactive!$C$7)</f>
        <v>5.1395302199563789E-4</v>
      </c>
      <c r="AH314" s="84">
        <f>VLOOKUP($A314,lmic_raw[],34,FALSE)*(1+interactive!$C$7)</f>
        <v>7.7133442836673719E-4</v>
      </c>
      <c r="AI314" s="84">
        <f>VLOOKUP($A314,lmic_raw[],35,FALSE)*(1+interactive!$C$7)</f>
        <v>9.52025843440297E-4</v>
      </c>
      <c r="AJ314" s="84">
        <f>VLOOKUP($A314,lmic_raw[],36,FALSE)*(1+interactive!$C$7)</f>
        <v>1.2549258103742853E-3</v>
      </c>
      <c r="AK314" s="84">
        <f>VLOOKUP($A314,lmic_raw[],37,FALSE)*(1+interactive!$C$7)</f>
        <v>1.5123277640267806E-3</v>
      </c>
      <c r="AL314" s="84">
        <f>VLOOKUP($A314,lmic_raw[],38,FALSE)*(1+interactive!$C$7)</f>
        <v>2.2650481154104056E-3</v>
      </c>
      <c r="AM314" s="84">
        <f>VLOOKUP($A314,lmic_raw[],39,FALSE)*(1+interactive!$C$7)</f>
        <v>4.7218431975087159E-3</v>
      </c>
      <c r="AN314" s="84">
        <f>VLOOKUP($A314,lmic_raw[],40,FALSE)*(1+interactive!$C$7)</f>
        <v>8.6722904388792776E-3</v>
      </c>
      <c r="AO314" s="84">
        <f>VLOOKUP($A314,lmic_raw[],41,FALSE)*(1+interactive!$C$7)</f>
        <v>1.1967305862328633E-2</v>
      </c>
      <c r="AP314" s="84">
        <f>VLOOKUP($A314,lmic_raw[],42,FALSE)*(1+interactive!$C$7)</f>
        <v>1.9247043768680021E-2</v>
      </c>
      <c r="AQ314" s="84">
        <f>VLOOKUP($A314,lmic_raw[],43,FALSE)*(1+interactive!$C$7)</f>
        <v>2.9512164945043898E-2</v>
      </c>
      <c r="AR314" s="84">
        <f>VLOOKUP($A314,lmic_raw[],44,FALSE)*(1+interactive!$C$7)</f>
        <v>4.6176992920395669E-2</v>
      </c>
      <c r="AS314" s="84">
        <f>VLOOKUP($A314,lmic_raw[],45,FALSE)*(1+interactive!$C$7)</f>
        <v>7.0742415569198233E-2</v>
      </c>
      <c r="AT314" s="84">
        <f>VLOOKUP($A314,lmic_raw[],46,FALSE)*(1+interactive!$C$7)</f>
        <v>9.9560630893391691E-2</v>
      </c>
      <c r="AU314" s="84">
        <f>VLOOKUP($A314,lmic_raw[],47,FALSE)*(1+interactive!$C$7)</f>
        <v>0.13085176926174732</v>
      </c>
      <c r="AV314" s="84">
        <f>VLOOKUP($A314,lmic_raw[],48,FALSE)*(1+interactive!$C$7)</f>
        <v>0.15714082040458924</v>
      </c>
      <c r="AW314" s="84">
        <f>VLOOKUP($A314,lmic_raw[],49,FALSE)*(1+interactive!$C$7)</f>
        <v>0.18023538214993942</v>
      </c>
      <c r="AX314" s="84">
        <f>VLOOKUP($A314,lmic_raw[],50,FALSE)*(1+interactive!$C$7)</f>
        <v>75.33120000000001</v>
      </c>
    </row>
    <row r="315" spans="1:50" x14ac:dyDescent="0.25">
      <c r="A315" s="110" t="s">
        <v>255</v>
      </c>
      <c r="B315" s="104" t="s">
        <v>418</v>
      </c>
      <c r="C315" s="105">
        <v>222</v>
      </c>
      <c r="D315" s="84" t="s">
        <v>679</v>
      </c>
      <c r="E315" s="84" t="s">
        <v>604</v>
      </c>
      <c r="F315" s="84" t="s">
        <v>665</v>
      </c>
      <c r="G315" s="84" t="s">
        <v>678</v>
      </c>
      <c r="H315" s="33">
        <f>VLOOKUP(lmic_raw_ub[[#This Row],[setting]],lmic_raw[],8,FALSE)</f>
        <v>6453550</v>
      </c>
      <c r="I315" s="33">
        <f>VLOOKUP(lmic_raw_ub[[#This Row],[setting]],lmic_raw[],9,FALSE)</f>
        <v>118629.15610000001</v>
      </c>
      <c r="J315" s="84">
        <f>MIN(VLOOKUP($A315,lmic_raw[],10,FALSE)*(1+interactive!$C$7),0.9999)</f>
        <v>0.99990000000000001</v>
      </c>
      <c r="K315" s="84">
        <f>MIN(VLOOKUP($A315,lmic_raw[],11,FALSE)*(1+interactive!$C$7),0.9999)</f>
        <v>0.79800000000000004</v>
      </c>
      <c r="L315" s="33">
        <f>MIN(VLOOKUP($A315,lmic_raw[],12,FALSE)*(1+interactive!$C$7),0.9999)</f>
        <v>0.85050000000000014</v>
      </c>
      <c r="M315" s="84">
        <f>IFERROR(VLOOKUP(lmic_raw_ub[[#This Row],[iso3]], hbv_prev[[iso3]:[ub]],4,FALSE)/100,0)</f>
        <v>0.1928</v>
      </c>
      <c r="N315" s="84">
        <f>IFERROR(VLOOKUP(lmic_raw_ub[[#This Row],[setting]],hbe_prev[],5,FALSE),0)</f>
        <v>0.42950000000000005</v>
      </c>
      <c r="O315" s="84">
        <f>VLOOKUP(lmic_raw_ub[[#This Row],[gbd_super]],hbe_risk[],4,FALSE)</f>
        <v>0.9</v>
      </c>
      <c r="P315" s="84">
        <f>VLOOKUP(lmic_raw_ub[[#This Row],[gbd_super]],hbe_risk[],7,FALSE)</f>
        <v>0.3</v>
      </c>
      <c r="Q315" s="98">
        <f>VLOOKUP(lmic_raw_ub[[#This Row],[setting]],lmic_raw[],17,FALSE)*(1+interactive!$C$7)</f>
        <v>0</v>
      </c>
      <c r="R315" s="98">
        <f>VLOOKUP(lmic_raw_ub[[#This Row],[setting]],lmic_raw[],18,FALSE)*(1+interactive!$C$7)</f>
        <v>91.228094999999996</v>
      </c>
      <c r="S315" s="98">
        <f>VLOOKUP(lmic_raw_ub[[#This Row],[setting]],lmic_raw[],19,FALSE)*(1+interactive!$C$7)</f>
        <v>141.35719500000002</v>
      </c>
      <c r="T315" s="98">
        <f>VLOOKUP(lmic_raw_ub[[#This Row],[setting]],lmic_raw[],20,FALSE)*(1+interactive!$C$7)</f>
        <v>141.35719500000002</v>
      </c>
      <c r="U315" s="98">
        <f>VLOOKUP(lmic_raw_ub[[#This Row],[setting]],lmic_raw[],21,FALSE)*(1+interactive!$C$7)</f>
        <v>141.35719500000002</v>
      </c>
      <c r="V315" s="33">
        <f>IFERROR(VLOOKUP(lmic_raw_ub[[#This Row],[setting]],vcost_ub[],3,FALSE),0)</f>
        <v>7.1526792182855141</v>
      </c>
      <c r="W315" s="33">
        <f>IFERROR(VLOOKUP(lmic_raw_ub[[#This Row],[setting]],vcost_ub[],4,FALSE),0)</f>
        <v>7.1755692182855144</v>
      </c>
      <c r="X315" s="33">
        <f>IFERROR(VLOOKUP(lmic_raw_ub[[#This Row],[setting]],vcost_ub[],5,FALSE),0)</f>
        <v>6.6207363840214679</v>
      </c>
      <c r="Y315" s="33">
        <f>IFERROR(VLOOKUP(lmic_raw_ub[[#This Row],[setting]],vcost_ub[],6,FALSE),0)</f>
        <v>6.6436263840214682</v>
      </c>
      <c r="Z315" s="33">
        <f>IFERROR(VLOOKUP(lmic_raw_ub[[#This Row],[setting]],vcost_ub[],7,FALSE),0)</f>
        <v>6.6150066668970888</v>
      </c>
      <c r="AA315" s="33">
        <f>IFERROR(VLOOKUP(lmic_raw_ub[[#This Row],[setting]],vcost_ub[],8,FALSE),0)</f>
        <v>7.4295014230136953</v>
      </c>
      <c r="AB315" s="33">
        <f>IFERROR(VLOOKUP(lmic_raw_ub[[#This Row],[setting]],vcost_ub[],9,FALSE),0)</f>
        <v>7.4523914230136956</v>
      </c>
      <c r="AC315" s="84">
        <f>VLOOKUP($A315,lmic_raw[],29,FALSE)*(1+interactive!$C$7)</f>
        <v>1.5302805000000037E-2</v>
      </c>
      <c r="AD315" s="84">
        <f>VLOOKUP($A315,lmic_raw[],30,FALSE)*(1+interactive!$C$7)</f>
        <v>6.1726635153387492E-4</v>
      </c>
      <c r="AE315" s="84">
        <f>VLOOKUP($A315,lmic_raw[],31,FALSE)*(1+interactive!$C$7)</f>
        <v>2.8727302051692729E-4</v>
      </c>
      <c r="AF315" s="84">
        <f>VLOOKUP($A315,lmic_raw[],32,FALSE)*(1+interactive!$C$7)</f>
        <v>5.9446435905531202E-4</v>
      </c>
      <c r="AG315" s="84">
        <f>VLOOKUP($A315,lmic_raw[],33,FALSE)*(1+interactive!$C$7)</f>
        <v>1.6240397474665356E-3</v>
      </c>
      <c r="AH315" s="84">
        <f>VLOOKUP($A315,lmic_raw[],34,FALSE)*(1+interactive!$C$7)</f>
        <v>2.6962743142812996E-3</v>
      </c>
      <c r="AI315" s="84">
        <f>VLOOKUP($A315,lmic_raw[],35,FALSE)*(1+interactive!$C$7)</f>
        <v>3.3524862611766359E-3</v>
      </c>
      <c r="AJ315" s="84">
        <f>VLOOKUP($A315,lmic_raw[],36,FALSE)*(1+interactive!$C$7)</f>
        <v>3.5114590262010151E-3</v>
      </c>
      <c r="AK315" s="84">
        <f>VLOOKUP($A315,lmic_raw[],37,FALSE)*(1+interactive!$C$7)</f>
        <v>3.6787158201554643E-3</v>
      </c>
      <c r="AL315" s="84">
        <f>VLOOKUP($A315,lmic_raw[],38,FALSE)*(1+interactive!$C$7)</f>
        <v>4.3855814915660912E-3</v>
      </c>
      <c r="AM315" s="84">
        <f>VLOOKUP($A315,lmic_raw[],39,FALSE)*(1+interactive!$C$7)</f>
        <v>5.5951148198739821E-3</v>
      </c>
      <c r="AN315" s="84">
        <f>VLOOKUP($A315,lmic_raw[],40,FALSE)*(1+interactive!$C$7)</f>
        <v>7.352392571720121E-3</v>
      </c>
      <c r="AO315" s="84">
        <f>VLOOKUP($A315,lmic_raw[],41,FALSE)*(1+interactive!$C$7)</f>
        <v>9.6971712402376762E-3</v>
      </c>
      <c r="AP315" s="84">
        <f>VLOOKUP($A315,lmic_raw[],42,FALSE)*(1+interactive!$C$7)</f>
        <v>1.322639481709945E-2</v>
      </c>
      <c r="AQ315" s="84">
        <f>VLOOKUP($A315,lmic_raw[],43,FALSE)*(1+interactive!$C$7)</f>
        <v>1.8819588424880677E-2</v>
      </c>
      <c r="AR315" s="84">
        <f>VLOOKUP($A315,lmic_raw[],44,FALSE)*(1+interactive!$C$7)</f>
        <v>2.7280637203718459E-2</v>
      </c>
      <c r="AS315" s="84">
        <f>VLOOKUP($A315,lmic_raw[],45,FALSE)*(1+interactive!$C$7)</f>
        <v>4.2064076015538826E-2</v>
      </c>
      <c r="AT315" s="84">
        <f>VLOOKUP($A315,lmic_raw[],46,FALSE)*(1+interactive!$C$7)</f>
        <v>6.8114848311823184E-2</v>
      </c>
      <c r="AU315" s="84">
        <f>VLOOKUP($A315,lmic_raw[],47,FALSE)*(1+interactive!$C$7)</f>
        <v>0.10264041908714509</v>
      </c>
      <c r="AV315" s="84">
        <f>VLOOKUP($A315,lmic_raw[],48,FALSE)*(1+interactive!$C$7)</f>
        <v>0.13998121802759006</v>
      </c>
      <c r="AW315" s="84">
        <f>VLOOKUP($A315,lmic_raw[],49,FALSE)*(1+interactive!$C$7)</f>
        <v>0.17267349238044222</v>
      </c>
      <c r="AX315" s="84">
        <f>VLOOKUP($A315,lmic_raw[],50,FALSE)*(1+interactive!$C$7)</f>
        <v>76.635300000000001</v>
      </c>
    </row>
    <row r="316" spans="1:50" x14ac:dyDescent="0.25">
      <c r="A316" s="109" t="s">
        <v>128</v>
      </c>
      <c r="B316" s="101" t="s">
        <v>419</v>
      </c>
      <c r="C316" s="102">
        <v>226</v>
      </c>
      <c r="D316" s="82" t="s">
        <v>677</v>
      </c>
      <c r="E316" s="82" t="s">
        <v>582</v>
      </c>
      <c r="F316" s="82" t="s">
        <v>667</v>
      </c>
      <c r="G316" s="82" t="s">
        <v>676</v>
      </c>
      <c r="H316" s="33">
        <f>VLOOKUP(lmic_raw_ub[[#This Row],[setting]],lmic_raw[],8,FALSE)</f>
        <v>1355982</v>
      </c>
      <c r="I316" s="33">
        <f>VLOOKUP(lmic_raw_ub[[#This Row],[setting]],lmic_raw[],9,FALSE)</f>
        <v>45363.021827999997</v>
      </c>
      <c r="J316" s="84">
        <f>MIN(VLOOKUP($A316,lmic_raw[],10,FALSE)*(1+interactive!$C$7),0.9999)</f>
        <v>0.70665</v>
      </c>
      <c r="K316" s="84">
        <f>MIN(VLOOKUP($A316,lmic_raw[],11,FALSE)*(1+interactive!$C$7),0.9999)</f>
        <v>0</v>
      </c>
      <c r="L316" s="33">
        <f>MIN(VLOOKUP($A316,lmic_raw[],12,FALSE)*(1+interactive!$C$7),0.9999)</f>
        <v>0.55650000000000011</v>
      </c>
      <c r="M316" s="84">
        <f>IFERROR(VLOOKUP(lmic_raw_ub[[#This Row],[iso3]], hbv_prev[[iso3]:[ub]],4,FALSE)/100,0)</f>
        <v>0.114</v>
      </c>
      <c r="N316" s="84">
        <f>IFERROR(VLOOKUP(lmic_raw_ub[[#This Row],[setting]],hbe_prev[],5,FALSE),0)</f>
        <v>0.40200000000000002</v>
      </c>
      <c r="O316" s="84">
        <f>VLOOKUP(lmic_raw_ub[[#This Row],[gbd_super]],hbe_risk[],4,FALSE)</f>
        <v>0.74399999999999999</v>
      </c>
      <c r="P316" s="84">
        <f>VLOOKUP(lmic_raw_ub[[#This Row],[gbd_super]],hbe_risk[],7,FALSE)</f>
        <v>0.13300000000000001</v>
      </c>
      <c r="Q316" s="98">
        <f>VLOOKUP(lmic_raw_ub[[#This Row],[setting]],lmic_raw[],17,FALSE)*(1+interactive!$C$7)</f>
        <v>0</v>
      </c>
      <c r="R316" s="98">
        <f>VLOOKUP(lmic_raw_ub[[#This Row],[setting]],lmic_raw[],18,FALSE)*(1+interactive!$C$7)</f>
        <v>31.416525000000004</v>
      </c>
      <c r="S316" s="98">
        <f>VLOOKUP(lmic_raw_ub[[#This Row],[setting]],lmic_raw[],19,FALSE)*(1+interactive!$C$7)</f>
        <v>81.545625000000015</v>
      </c>
      <c r="T316" s="98">
        <f>VLOOKUP(lmic_raw_ub[[#This Row],[setting]],lmic_raw[],20,FALSE)*(1+interactive!$C$7)</f>
        <v>81.545625000000015</v>
      </c>
      <c r="U316" s="98">
        <f>VLOOKUP(lmic_raw_ub[[#This Row],[setting]],lmic_raw[],21,FALSE)*(1+interactive!$C$7)</f>
        <v>81.545625000000015</v>
      </c>
      <c r="V316" s="33">
        <f>IFERROR(VLOOKUP(lmic_raw_ub[[#This Row],[setting]],vcost_ub[],3,FALSE),0)</f>
        <v>7.5564862866696174</v>
      </c>
      <c r="W316" s="33">
        <f>IFERROR(VLOOKUP(lmic_raw_ub[[#This Row],[setting]],vcost_ub[],4,FALSE),0)</f>
        <v>12.626621286669618</v>
      </c>
      <c r="X316" s="33">
        <f>IFERROR(VLOOKUP(lmic_raw_ub[[#This Row],[setting]],vcost_ub[],5,FALSE),0)</f>
        <v>7.0235973032413597</v>
      </c>
      <c r="Y316" s="33">
        <f>IFERROR(VLOOKUP(lmic_raw_ub[[#This Row],[setting]],vcost_ub[],6,FALSE),0)</f>
        <v>12.09373230324136</v>
      </c>
      <c r="Z316" s="33">
        <f>IFERROR(VLOOKUP(lmic_raw_ub[[#This Row],[setting]],vcost_ub[],7,FALSE),0)</f>
        <v>12.065563089674512</v>
      </c>
      <c r="AA316" s="33">
        <f>IFERROR(VLOOKUP(lmic_raw_ub[[#This Row],[setting]],vcost_ub[],8,FALSE),0)</f>
        <v>7.8335232614534798</v>
      </c>
      <c r="AB316" s="33">
        <f>IFERROR(VLOOKUP(lmic_raw_ub[[#This Row],[setting]],vcost_ub[],9,FALSE),0)</f>
        <v>12.903658261453479</v>
      </c>
      <c r="AC316" s="84">
        <f>VLOOKUP($A316,lmic_raw[],29,FALSE)*(1+interactive!$C$7)</f>
        <v>6.9459127499999995E-2</v>
      </c>
      <c r="AD316" s="84">
        <f>VLOOKUP($A316,lmic_raw[],30,FALSE)*(1+interactive!$C$7)</f>
        <v>7.7727648153188104E-3</v>
      </c>
      <c r="AE316" s="84">
        <f>VLOOKUP($A316,lmic_raw[],31,FALSE)*(1+interactive!$C$7)</f>
        <v>2.2901229942682453E-3</v>
      </c>
      <c r="AF316" s="84">
        <f>VLOOKUP($A316,lmic_raw[],32,FALSE)*(1+interactive!$C$7)</f>
        <v>1.6340611587468763E-3</v>
      </c>
      <c r="AG316" s="84">
        <f>VLOOKUP($A316,lmic_raw[],33,FALSE)*(1+interactive!$C$7)</f>
        <v>2.4289178669117686E-3</v>
      </c>
      <c r="AH316" s="84">
        <f>VLOOKUP($A316,lmic_raw[],34,FALSE)*(1+interactive!$C$7)</f>
        <v>3.654245761964534E-3</v>
      </c>
      <c r="AI316" s="84">
        <f>VLOOKUP($A316,lmic_raw[],35,FALSE)*(1+interactive!$C$7)</f>
        <v>4.7797341048343052E-3</v>
      </c>
      <c r="AJ316" s="84">
        <f>VLOOKUP($A316,lmic_raw[],36,FALSE)*(1+interactive!$C$7)</f>
        <v>6.0354805068088564E-3</v>
      </c>
      <c r="AK316" s="84">
        <f>VLOOKUP($A316,lmic_raw[],37,FALSE)*(1+interactive!$C$7)</f>
        <v>7.7953479373147044E-3</v>
      </c>
      <c r="AL316" s="84">
        <f>VLOOKUP($A316,lmic_raw[],38,FALSE)*(1+interactive!$C$7)</f>
        <v>9.4988338490574163E-3</v>
      </c>
      <c r="AM316" s="84">
        <f>VLOOKUP($A316,lmic_raw[],39,FALSE)*(1+interactive!$C$7)</f>
        <v>1.1404862497359539E-2</v>
      </c>
      <c r="AN316" s="84">
        <f>VLOOKUP($A316,lmic_raw[],40,FALSE)*(1+interactive!$C$7)</f>
        <v>1.4690660704199984E-2</v>
      </c>
      <c r="AO316" s="84">
        <f>VLOOKUP($A316,lmic_raw[],41,FALSE)*(1+interactive!$C$7)</f>
        <v>1.8644016875275959E-2</v>
      </c>
      <c r="AP316" s="84">
        <f>VLOOKUP($A316,lmic_raw[],42,FALSE)*(1+interactive!$C$7)</f>
        <v>2.6242524152832521E-2</v>
      </c>
      <c r="AQ316" s="84">
        <f>VLOOKUP($A316,lmic_raw[],43,FALSE)*(1+interactive!$C$7)</f>
        <v>3.8400236269681545E-2</v>
      </c>
      <c r="AR316" s="84">
        <f>VLOOKUP($A316,lmic_raw[],44,FALSE)*(1+interactive!$C$7)</f>
        <v>5.7298368615599643E-2</v>
      </c>
      <c r="AS316" s="84">
        <f>VLOOKUP($A316,lmic_raw[],45,FALSE)*(1+interactive!$C$7)</f>
        <v>8.426329423058708E-2</v>
      </c>
      <c r="AT316" s="84">
        <f>VLOOKUP($A316,lmic_raw[],46,FALSE)*(1+interactive!$C$7)</f>
        <v>0.12172810430954861</v>
      </c>
      <c r="AU316" s="84">
        <f>VLOOKUP($A316,lmic_raw[],47,FALSE)*(1+interactive!$C$7)</f>
        <v>0.16180336919267241</v>
      </c>
      <c r="AV316" s="84">
        <f>VLOOKUP($A316,lmic_raw[],48,FALSE)*(1+interactive!$C$7)</f>
        <v>0.19072366440381383</v>
      </c>
      <c r="AW316" s="84">
        <f>VLOOKUP($A316,lmic_raw[],49,FALSE)*(1+interactive!$C$7)</f>
        <v>0.19864548158872186</v>
      </c>
      <c r="AX316" s="84">
        <f>VLOOKUP($A316,lmic_raw[],50,FALSE)*(1+interactive!$C$7)</f>
        <v>61.158300000000004</v>
      </c>
    </row>
    <row r="317" spans="1:50" x14ac:dyDescent="0.25">
      <c r="A317" s="110" t="s">
        <v>104</v>
      </c>
      <c r="B317" s="104" t="s">
        <v>420</v>
      </c>
      <c r="C317" s="105">
        <v>232</v>
      </c>
      <c r="D317" s="84" t="s">
        <v>677</v>
      </c>
      <c r="E317" s="84" t="s">
        <v>597</v>
      </c>
      <c r="F317" s="84" t="s">
        <v>667</v>
      </c>
      <c r="G317" s="84" t="s">
        <v>674</v>
      </c>
      <c r="H317" s="33">
        <f>VLOOKUP(lmic_raw_ub[[#This Row],[setting]],lmic_raw[],8,FALSE)</f>
        <v>3497117</v>
      </c>
      <c r="I317" s="33">
        <f>VLOOKUP(lmic_raw_ub[[#This Row],[setting]],lmic_raw[],9,FALSE)</f>
        <v>107137.676412</v>
      </c>
      <c r="J317" s="84">
        <f>MIN(VLOOKUP($A317,lmic_raw[],10,FALSE)*(1+interactive!$C$7),0.9999)</f>
        <v>0.35385000000000005</v>
      </c>
      <c r="K317" s="84">
        <f>MIN(VLOOKUP($A317,lmic_raw[],11,FALSE)*(1+interactive!$C$7),0.9999)</f>
        <v>0</v>
      </c>
      <c r="L317" s="33">
        <f>MIN(VLOOKUP($A317,lmic_raw[],12,FALSE)*(1+interactive!$C$7),0.9999)</f>
        <v>0.99749999999999994</v>
      </c>
      <c r="M317" s="84">
        <f>IFERROR(VLOOKUP(lmic_raw_ub[[#This Row],[iso3]], hbv_prev[[iso3]:[ub]],4,FALSE)/100,0)</f>
        <v>2.2700000000000001E-2</v>
      </c>
      <c r="N317" s="84">
        <f>IFERROR(VLOOKUP(lmic_raw_ub[[#This Row],[setting]],hbe_prev[],5,FALSE),0)</f>
        <v>0.39960000000000001</v>
      </c>
      <c r="O317" s="84">
        <f>VLOOKUP(lmic_raw_ub[[#This Row],[gbd_super]],hbe_risk[],4,FALSE)</f>
        <v>0.74399999999999999</v>
      </c>
      <c r="P317" s="84">
        <f>VLOOKUP(lmic_raw_ub[[#This Row],[gbd_super]],hbe_risk[],7,FALSE)</f>
        <v>0.13300000000000001</v>
      </c>
      <c r="Q317" s="98">
        <f>VLOOKUP(lmic_raw_ub[[#This Row],[setting]],lmic_raw[],17,FALSE)*(1+interactive!$C$7)</f>
        <v>2.3425273450875119</v>
      </c>
      <c r="R317" s="98">
        <f>VLOOKUP(lmic_raw_ub[[#This Row],[setting]],lmic_raw[],18,FALSE)*(1+interactive!$C$7)</f>
        <v>31.416525000000004</v>
      </c>
      <c r="S317" s="98">
        <f>VLOOKUP(lmic_raw_ub[[#This Row],[setting]],lmic_raw[],19,FALSE)*(1+interactive!$C$7)</f>
        <v>81.545625000000015</v>
      </c>
      <c r="T317" s="98">
        <f>VLOOKUP(lmic_raw_ub[[#This Row],[setting]],lmic_raw[],20,FALSE)*(1+interactive!$C$7)</f>
        <v>81.545625000000015</v>
      </c>
      <c r="U317" s="98">
        <f>VLOOKUP(lmic_raw_ub[[#This Row],[setting]],lmic_raw[],21,FALSE)*(1+interactive!$C$7)</f>
        <v>81.545625000000015</v>
      </c>
      <c r="V317" s="33">
        <f>IFERROR(VLOOKUP(lmic_raw_ub[[#This Row],[setting]],vcost_ub[],3,FALSE),0)</f>
        <v>9.2821854831519843</v>
      </c>
      <c r="W317" s="33">
        <f>IFERROR(VLOOKUP(lmic_raw_ub[[#This Row],[setting]],vcost_ub[],4,FALSE),0)</f>
        <v>14.352320483151985</v>
      </c>
      <c r="X317" s="33">
        <f>IFERROR(VLOOKUP(lmic_raw_ub[[#This Row],[setting]],vcost_ub[],5,FALSE),0)</f>
        <v>8.7884078798156651</v>
      </c>
      <c r="Y317" s="33">
        <f>IFERROR(VLOOKUP(lmic_raw_ub[[#This Row],[setting]],vcost_ub[],6,FALSE),0)</f>
        <v>13.858542879815666</v>
      </c>
      <c r="Z317" s="33">
        <f>IFERROR(VLOOKUP(lmic_raw_ub[[#This Row],[setting]],vcost_ub[],7,FALSE),0)</f>
        <v>13.853072278822641</v>
      </c>
      <c r="AA317" s="33">
        <f>IFERROR(VLOOKUP(lmic_raw_ub[[#This Row],[setting]],vcost_ub[],8,FALSE),0)</f>
        <v>9.5503444146020939</v>
      </c>
      <c r="AB317" s="33">
        <f>IFERROR(VLOOKUP(lmic_raw_ub[[#This Row],[setting]],vcost_ub[],9,FALSE),0)</f>
        <v>14.620479414602094</v>
      </c>
      <c r="AC317" s="84">
        <f>VLOOKUP($A317,lmic_raw[],29,FALSE)*(1+interactive!$C$7)</f>
        <v>3.6459948000000048E-2</v>
      </c>
      <c r="AD317" s="84">
        <f>VLOOKUP($A317,lmic_raw[],30,FALSE)*(1+interactive!$C$7)</f>
        <v>2.6020065768944962E-3</v>
      </c>
      <c r="AE317" s="84">
        <f>VLOOKUP($A317,lmic_raw[],31,FALSE)*(1+interactive!$C$7)</f>
        <v>8.8375704031701003E-4</v>
      </c>
      <c r="AF317" s="84">
        <f>VLOOKUP($A317,lmic_raw[],32,FALSE)*(1+interactive!$C$7)</f>
        <v>6.6808869723276648E-4</v>
      </c>
      <c r="AG317" s="84">
        <f>VLOOKUP($A317,lmic_raw[],33,FALSE)*(1+interactive!$C$7)</f>
        <v>1.2893950160499862E-3</v>
      </c>
      <c r="AH317" s="84">
        <f>VLOOKUP($A317,lmic_raw[],34,FALSE)*(1+interactive!$C$7)</f>
        <v>1.833124538989459E-3</v>
      </c>
      <c r="AI317" s="84">
        <f>VLOOKUP($A317,lmic_raw[],35,FALSE)*(1+interactive!$C$7)</f>
        <v>2.4245764112803174E-3</v>
      </c>
      <c r="AJ317" s="84">
        <f>VLOOKUP($A317,lmic_raw[],36,FALSE)*(1+interactive!$C$7)</f>
        <v>3.2478075052726567E-3</v>
      </c>
      <c r="AK317" s="84">
        <f>VLOOKUP($A317,lmic_raw[],37,FALSE)*(1+interactive!$C$7)</f>
        <v>4.2153265458819223E-3</v>
      </c>
      <c r="AL317" s="84">
        <f>VLOOKUP($A317,lmic_raw[],38,FALSE)*(1+interactive!$C$7)</f>
        <v>6.0940457915160976E-3</v>
      </c>
      <c r="AM317" s="84">
        <f>VLOOKUP($A317,lmic_raw[],39,FALSE)*(1+interactive!$C$7)</f>
        <v>8.2437444320121334E-3</v>
      </c>
      <c r="AN317" s="84">
        <f>VLOOKUP($A317,lmic_raw[],40,FALSE)*(1+interactive!$C$7)</f>
        <v>1.2181586819863623E-2</v>
      </c>
      <c r="AO317" s="84">
        <f>VLOOKUP($A317,lmic_raw[],41,FALSE)*(1+interactive!$C$7)</f>
        <v>1.7660339558705246E-2</v>
      </c>
      <c r="AP317" s="84">
        <f>VLOOKUP($A317,lmic_raw[],42,FALSE)*(1+interactive!$C$7)</f>
        <v>2.5298541650025284E-2</v>
      </c>
      <c r="AQ317" s="84">
        <f>VLOOKUP($A317,lmic_raw[],43,FALSE)*(1+interactive!$C$7)</f>
        <v>3.5611633705219345E-2</v>
      </c>
      <c r="AR317" s="84">
        <f>VLOOKUP($A317,lmic_raw[],44,FALSE)*(1+interactive!$C$7)</f>
        <v>5.2638882094616299E-2</v>
      </c>
      <c r="AS317" s="84">
        <f>VLOOKUP($A317,lmic_raw[],45,FALSE)*(1+interactive!$C$7)</f>
        <v>7.2204057153309048E-2</v>
      </c>
      <c r="AT317" s="84">
        <f>VLOOKUP($A317,lmic_raw[],46,FALSE)*(1+interactive!$C$7)</f>
        <v>0.10044624467875078</v>
      </c>
      <c r="AU317" s="84">
        <f>VLOOKUP($A317,lmic_raw[],47,FALSE)*(1+interactive!$C$7)</f>
        <v>0.12796630358206371</v>
      </c>
      <c r="AV317" s="84">
        <f>VLOOKUP($A317,lmic_raw[],48,FALSE)*(1+interactive!$C$7)</f>
        <v>0.1506764640334636</v>
      </c>
      <c r="AW317" s="84">
        <f>VLOOKUP($A317,lmic_raw[],49,FALSE)*(1+interactive!$C$7)</f>
        <v>0.16940372407082813</v>
      </c>
      <c r="AX317" s="84">
        <f>VLOOKUP($A317,lmic_raw[],50,FALSE)*(1+interactive!$C$7)</f>
        <v>69.030149999999992</v>
      </c>
    </row>
    <row r="318" spans="1:50" x14ac:dyDescent="0.25">
      <c r="A318" s="109" t="s">
        <v>133</v>
      </c>
      <c r="B318" s="101" t="s">
        <v>422</v>
      </c>
      <c r="C318" s="102">
        <v>748</v>
      </c>
      <c r="D318" s="82" t="s">
        <v>677</v>
      </c>
      <c r="E318" s="82" t="s">
        <v>594</v>
      </c>
      <c r="F318" s="82" t="s">
        <v>667</v>
      </c>
      <c r="G318" s="82" t="s">
        <v>678</v>
      </c>
      <c r="H318" s="33">
        <f>VLOOKUP(lmic_raw_ub[[#This Row],[setting]],lmic_raw[],8,FALSE)</f>
        <v>1148133</v>
      </c>
      <c r="I318" s="33">
        <f>VLOOKUP(lmic_raw_ub[[#This Row],[setting]],lmic_raw[],9,FALSE)</f>
        <v>30670.076829000001</v>
      </c>
      <c r="J318" s="84">
        <f>MIN(VLOOKUP($A318,lmic_raw[],10,FALSE)*(1+interactive!$C$7),0.9999)</f>
        <v>0.92085000000000006</v>
      </c>
      <c r="K318" s="84">
        <f>MIN(VLOOKUP($A318,lmic_raw[],11,FALSE)*(1+interactive!$C$7),0.9999)</f>
        <v>0</v>
      </c>
      <c r="L318" s="33">
        <f>MIN(VLOOKUP($A318,lmic_raw[],12,FALSE)*(1+interactive!$C$7),0.9999)</f>
        <v>0.94500000000000006</v>
      </c>
      <c r="M318" s="84">
        <f>IFERROR(VLOOKUP(lmic_raw_ub[[#This Row],[iso3]], hbv_prev[[iso3]:[ub]],4,FALSE)/100,0)</f>
        <v>0.18329999999999999</v>
      </c>
      <c r="N318" s="84">
        <f>IFERROR(VLOOKUP(lmic_raw_ub[[#This Row],[setting]],hbe_prev[],5,FALSE),0)</f>
        <v>0.3679</v>
      </c>
      <c r="O318" s="84">
        <f>VLOOKUP(lmic_raw_ub[[#This Row],[gbd_super]],hbe_risk[],4,FALSE)</f>
        <v>0.74399999999999999</v>
      </c>
      <c r="P318" s="84">
        <f>VLOOKUP(lmic_raw_ub[[#This Row],[gbd_super]],hbe_risk[],7,FALSE)</f>
        <v>0.13300000000000001</v>
      </c>
      <c r="Q318" s="98">
        <f>VLOOKUP(lmic_raw_ub[[#This Row],[setting]],lmic_raw[],17,FALSE)*(1+interactive!$C$7)</f>
        <v>6.97857833669286</v>
      </c>
      <c r="R318" s="98">
        <f>VLOOKUP(lmic_raw_ub[[#This Row],[setting]],lmic_raw[],18,FALSE)*(1+interactive!$C$7)</f>
        <v>31.416525000000004</v>
      </c>
      <c r="S318" s="98">
        <f>VLOOKUP(lmic_raw_ub[[#This Row],[setting]],lmic_raw[],19,FALSE)*(1+interactive!$C$7)</f>
        <v>81.545625000000015</v>
      </c>
      <c r="T318" s="98">
        <f>VLOOKUP(lmic_raw_ub[[#This Row],[setting]],lmic_raw[],20,FALSE)*(1+interactive!$C$7)</f>
        <v>81.545625000000015</v>
      </c>
      <c r="U318" s="98">
        <f>VLOOKUP(lmic_raw_ub[[#This Row],[setting]],lmic_raw[],21,FALSE)*(1+interactive!$C$7)</f>
        <v>81.545625000000015</v>
      </c>
      <c r="V318" s="33">
        <f>IFERROR(VLOOKUP(lmic_raw_ub[[#This Row],[setting]],vcost_ub[],3,FALSE),0)</f>
        <v>12.503817240050285</v>
      </c>
      <c r="W318" s="33">
        <f>IFERROR(VLOOKUP(lmic_raw_ub[[#This Row],[setting]],vcost_ub[],4,FALSE),0)</f>
        <v>17.573952240050286</v>
      </c>
      <c r="X318" s="33">
        <f>IFERROR(VLOOKUP(lmic_raw_ub[[#This Row],[setting]],vcost_ub[],5,FALSE),0)</f>
        <v>11.978682677004814</v>
      </c>
      <c r="Y318" s="33">
        <f>IFERROR(VLOOKUP(lmic_raw_ub[[#This Row],[setting]],vcost_ub[],6,FALSE),0)</f>
        <v>17.048817677004813</v>
      </c>
      <c r="Z318" s="33">
        <f>IFERROR(VLOOKUP(lmic_raw_ub[[#This Row],[setting]],vcost_ub[],7,FALSE),0)</f>
        <v>17.026384480050773</v>
      </c>
      <c r="AA318" s="33">
        <f>IFERROR(VLOOKUP(lmic_raw_ub[[#This Row],[setting]],vcost_ub[],8,FALSE),0)</f>
        <v>12.779094008980389</v>
      </c>
      <c r="AB318" s="33">
        <f>IFERROR(VLOOKUP(lmic_raw_ub[[#This Row],[setting]],vcost_ub[],9,FALSE),0)</f>
        <v>17.849229008980387</v>
      </c>
      <c r="AC318" s="84">
        <f>VLOOKUP($A318,lmic_raw[],29,FALSE)*(1+interactive!$C$7)</f>
        <v>4.3433019000000031E-2</v>
      </c>
      <c r="AD318" s="84">
        <f>VLOOKUP($A318,lmic_raw[],30,FALSE)*(1+interactive!$C$7)</f>
        <v>3.5762380501730292E-3</v>
      </c>
      <c r="AE318" s="84">
        <f>VLOOKUP($A318,lmic_raw[],31,FALSE)*(1+interactive!$C$7)</f>
        <v>1.0293225814980279E-3</v>
      </c>
      <c r="AF318" s="84">
        <f>VLOOKUP($A318,lmic_raw[],32,FALSE)*(1+interactive!$C$7)</f>
        <v>9.1148021166019175E-4</v>
      </c>
      <c r="AG318" s="84">
        <f>VLOOKUP($A318,lmic_raw[],33,FALSE)*(1+interactive!$C$7)</f>
        <v>1.518447884728179E-3</v>
      </c>
      <c r="AH318" s="84">
        <f>VLOOKUP($A318,lmic_raw[],34,FALSE)*(1+interactive!$C$7)</f>
        <v>2.8503178525989509E-3</v>
      </c>
      <c r="AI318" s="84">
        <f>VLOOKUP($A318,lmic_raw[],35,FALSE)*(1+interactive!$C$7)</f>
        <v>5.3693649293698959E-3</v>
      </c>
      <c r="AJ318" s="84">
        <f>VLOOKUP($A318,lmic_raw[],36,FALSE)*(1+interactive!$C$7)</f>
        <v>8.2856259412120974E-3</v>
      </c>
      <c r="AK318" s="84">
        <f>VLOOKUP($A318,lmic_raw[],37,FALSE)*(1+interactive!$C$7)</f>
        <v>1.2436137130275863E-2</v>
      </c>
      <c r="AL318" s="84">
        <f>VLOOKUP($A318,lmic_raw[],38,FALSE)*(1+interactive!$C$7)</f>
        <v>1.4463324215198001E-2</v>
      </c>
      <c r="AM318" s="84">
        <f>VLOOKUP($A318,lmic_raw[],39,FALSE)*(1+interactive!$C$7)</f>
        <v>1.7297621643383106E-2</v>
      </c>
      <c r="AN318" s="84">
        <f>VLOOKUP($A318,lmic_raw[],40,FALSE)*(1+interactive!$C$7)</f>
        <v>2.0151659552270246E-2</v>
      </c>
      <c r="AO318" s="84">
        <f>VLOOKUP($A318,lmic_raw[],41,FALSE)*(1+interactive!$C$7)</f>
        <v>2.3506111254844586E-2</v>
      </c>
      <c r="AP318" s="84">
        <f>VLOOKUP($A318,lmic_raw[],42,FALSE)*(1+interactive!$C$7)</f>
        <v>2.8476642952101266E-2</v>
      </c>
      <c r="AQ318" s="84">
        <f>VLOOKUP($A318,lmic_raw[],43,FALSE)*(1+interactive!$C$7)</f>
        <v>3.6672144151176318E-2</v>
      </c>
      <c r="AR318" s="84">
        <f>VLOOKUP($A318,lmic_raw[],44,FALSE)*(1+interactive!$C$7)</f>
        <v>5.01182610318745E-2</v>
      </c>
      <c r="AS318" s="84">
        <f>VLOOKUP($A318,lmic_raw[],45,FALSE)*(1+interactive!$C$7)</f>
        <v>6.9901736627838731E-2</v>
      </c>
      <c r="AT318" s="84">
        <f>VLOOKUP($A318,lmic_raw[],46,FALSE)*(1+interactive!$C$7)</f>
        <v>0.10236749938676604</v>
      </c>
      <c r="AU318" s="84">
        <f>VLOOKUP($A318,lmic_raw[],47,FALSE)*(1+interactive!$C$7)</f>
        <v>0.14420090098177638</v>
      </c>
      <c r="AV318" s="84">
        <f>VLOOKUP($A318,lmic_raw[],48,FALSE)*(1+interactive!$C$7)</f>
        <v>0.17796457763234289</v>
      </c>
      <c r="AW318" s="84">
        <f>VLOOKUP($A318,lmic_raw[],49,FALSE)*(1+interactive!$C$7)</f>
        <v>0.19213435031867798</v>
      </c>
      <c r="AX318" s="84">
        <f>VLOOKUP($A318,lmic_raw[],50,FALSE)*(1+interactive!$C$7)</f>
        <v>62.279700000000005</v>
      </c>
    </row>
    <row r="319" spans="1:50" x14ac:dyDescent="0.25">
      <c r="A319" s="110" t="s">
        <v>105</v>
      </c>
      <c r="B319" s="104" t="s">
        <v>423</v>
      </c>
      <c r="C319" s="105">
        <v>231</v>
      </c>
      <c r="D319" s="84" t="s">
        <v>677</v>
      </c>
      <c r="E319" s="84" t="s">
        <v>597</v>
      </c>
      <c r="F319" s="84" t="s">
        <v>667</v>
      </c>
      <c r="G319" s="84" t="s">
        <v>674</v>
      </c>
      <c r="H319" s="33">
        <f>VLOOKUP(lmic_raw_ub[[#This Row],[setting]],lmic_raw[],8,FALSE)</f>
        <v>112078727</v>
      </c>
      <c r="I319" s="33">
        <f>VLOOKUP(lmic_raw_ub[[#This Row],[setting]],lmic_raw[],9,FALSE)</f>
        <v>3650516.2171169999</v>
      </c>
      <c r="J319" s="84">
        <f>MIN(VLOOKUP($A319,lmic_raw[],10,FALSE)*(1+interactive!$C$7),0.9999)</f>
        <v>0.49874999999999997</v>
      </c>
      <c r="K319" s="84">
        <f>MIN(VLOOKUP($A319,lmic_raw[],11,FALSE)*(1+interactive!$C$7),0.9999)</f>
        <v>0</v>
      </c>
      <c r="L319" s="33">
        <f>MIN(VLOOKUP($A319,lmic_raw[],12,FALSE)*(1+interactive!$C$7),0.9999)</f>
        <v>0.71400000000000008</v>
      </c>
      <c r="M319" s="84">
        <f>IFERROR(VLOOKUP(lmic_raw_ub[[#This Row],[iso3]], hbv_prev[[iso3]:[ub]],4,FALSE)/100,0)</f>
        <v>6.8199999999999997E-2</v>
      </c>
      <c r="N319" s="84">
        <f>IFERROR(VLOOKUP(lmic_raw_ub[[#This Row],[setting]],hbe_prev[],5,FALSE),0)</f>
        <v>0.39960000000000001</v>
      </c>
      <c r="O319" s="84">
        <f>VLOOKUP(lmic_raw_ub[[#This Row],[gbd_super]],hbe_risk[],4,FALSE)</f>
        <v>0.74399999999999999</v>
      </c>
      <c r="P319" s="84">
        <f>VLOOKUP(lmic_raw_ub[[#This Row],[gbd_super]],hbe_risk[],7,FALSE)</f>
        <v>0.13300000000000001</v>
      </c>
      <c r="Q319" s="98">
        <f>VLOOKUP(lmic_raw_ub[[#This Row],[setting]],lmic_raw[],17,FALSE)*(1+interactive!$C$7)</f>
        <v>2.5793148957340217</v>
      </c>
      <c r="R319" s="98">
        <f>VLOOKUP(lmic_raw_ub[[#This Row],[setting]],lmic_raw[],18,FALSE)*(1+interactive!$C$7)</f>
        <v>31.416525000000004</v>
      </c>
      <c r="S319" s="98">
        <f>VLOOKUP(lmic_raw_ub[[#This Row],[setting]],lmic_raw[],19,FALSE)*(1+interactive!$C$7)</f>
        <v>81.545625000000015</v>
      </c>
      <c r="T319" s="98">
        <f>VLOOKUP(lmic_raw_ub[[#This Row],[setting]],lmic_raw[],20,FALSE)*(1+interactive!$C$7)</f>
        <v>81.545625000000015</v>
      </c>
      <c r="U319" s="98">
        <f>VLOOKUP(lmic_raw_ub[[#This Row],[setting]],lmic_raw[],21,FALSE)*(1+interactive!$C$7)</f>
        <v>81.545625000000015</v>
      </c>
      <c r="V319" s="33">
        <f>IFERROR(VLOOKUP(lmic_raw_ub[[#This Row],[setting]],vcost_ub[],3,FALSE),0)</f>
        <v>2.6055731134885147</v>
      </c>
      <c r="W319" s="33">
        <f>IFERROR(VLOOKUP(lmic_raw_ub[[#This Row],[setting]],vcost_ub[],4,FALSE),0)</f>
        <v>7.6757081134885148</v>
      </c>
      <c r="X319" s="33">
        <f>IFERROR(VLOOKUP(lmic_raw_ub[[#This Row],[setting]],vcost_ub[],5,FALSE),0)</f>
        <v>2.1081638744914408</v>
      </c>
      <c r="Y319" s="33">
        <f>IFERROR(VLOOKUP(lmic_raw_ub[[#This Row],[setting]],vcost_ub[],6,FALSE),0)</f>
        <v>7.1782988744914409</v>
      </c>
      <c r="Z319" s="33">
        <f>IFERROR(VLOOKUP(lmic_raw_ub[[#This Row],[setting]],vcost_ub[],7,FALSE),0)</f>
        <v>7.1708075777482687</v>
      </c>
      <c r="AA319" s="33">
        <f>IFERROR(VLOOKUP(lmic_raw_ub[[#This Row],[setting]],vcost_ub[],8,FALSE),0)</f>
        <v>2.8745564039536413</v>
      </c>
      <c r="AB319" s="33">
        <f>IFERROR(VLOOKUP(lmic_raw_ub[[#This Row],[setting]],vcost_ub[],9,FALSE),0)</f>
        <v>7.9446914039536418</v>
      </c>
      <c r="AC319" s="84">
        <f>VLOOKUP($A319,lmic_raw[],29,FALSE)*(1+interactive!$C$7)</f>
        <v>3.8863377000000053E-2</v>
      </c>
      <c r="AD319" s="84">
        <f>VLOOKUP($A319,lmic_raw[],30,FALSE)*(1+interactive!$C$7)</f>
        <v>4.8735473405951083E-3</v>
      </c>
      <c r="AE319" s="84">
        <f>VLOOKUP($A319,lmic_raw[],31,FALSE)*(1+interactive!$C$7)</f>
        <v>2.0932284666478661E-3</v>
      </c>
      <c r="AF319" s="84">
        <f>VLOOKUP($A319,lmic_raw[],32,FALSE)*(1+interactive!$C$7)</f>
        <v>1.6227416762766205E-3</v>
      </c>
      <c r="AG319" s="84">
        <f>VLOOKUP($A319,lmic_raw[],33,FALSE)*(1+interactive!$C$7)</f>
        <v>2.0003318406964488E-3</v>
      </c>
      <c r="AH319" s="84">
        <f>VLOOKUP($A319,lmic_raw[],34,FALSE)*(1+interactive!$C$7)</f>
        <v>2.4651045026377071E-3</v>
      </c>
      <c r="AI319" s="84">
        <f>VLOOKUP($A319,lmic_raw[],35,FALSE)*(1+interactive!$C$7)</f>
        <v>2.8452405455671424E-3</v>
      </c>
      <c r="AJ319" s="84">
        <f>VLOOKUP($A319,lmic_raw[],36,FALSE)*(1+interactive!$C$7)</f>
        <v>3.6007982730363918E-3</v>
      </c>
      <c r="AK319" s="84">
        <f>VLOOKUP($A319,lmic_raw[],37,FALSE)*(1+interactive!$C$7)</f>
        <v>4.9835809164021907E-3</v>
      </c>
      <c r="AL319" s="84">
        <f>VLOOKUP($A319,lmic_raw[],38,FALSE)*(1+interactive!$C$7)</f>
        <v>6.0668035110673377E-3</v>
      </c>
      <c r="AM319" s="84">
        <f>VLOOKUP($A319,lmic_raw[],39,FALSE)*(1+interactive!$C$7)</f>
        <v>7.069754286869125E-3</v>
      </c>
      <c r="AN319" s="84">
        <f>VLOOKUP($A319,lmic_raw[],40,FALSE)*(1+interactive!$C$7)</f>
        <v>9.0632100821740023E-3</v>
      </c>
      <c r="AO319" s="84">
        <f>VLOOKUP($A319,lmic_raw[],41,FALSE)*(1+interactive!$C$7)</f>
        <v>1.1652523788601626E-2</v>
      </c>
      <c r="AP319" s="84">
        <f>VLOOKUP($A319,lmic_raw[],42,FALSE)*(1+interactive!$C$7)</f>
        <v>1.7599924616462807E-2</v>
      </c>
      <c r="AQ319" s="84">
        <f>VLOOKUP($A319,lmic_raw[],43,FALSE)*(1+interactive!$C$7)</f>
        <v>2.7242122044630664E-2</v>
      </c>
      <c r="AR319" s="84">
        <f>VLOOKUP($A319,lmic_raw[],44,FALSE)*(1+interactive!$C$7)</f>
        <v>4.2521951522242571E-2</v>
      </c>
      <c r="AS319" s="84">
        <f>VLOOKUP($A319,lmic_raw[],45,FALSE)*(1+interactive!$C$7)</f>
        <v>6.5186753808413281E-2</v>
      </c>
      <c r="AT319" s="84">
        <f>VLOOKUP($A319,lmic_raw[],46,FALSE)*(1+interactive!$C$7)</f>
        <v>9.5948251415376204E-2</v>
      </c>
      <c r="AU319" s="84">
        <f>VLOOKUP($A319,lmic_raw[],47,FALSE)*(1+interactive!$C$7)</f>
        <v>0.13042135034879945</v>
      </c>
      <c r="AV319" s="84">
        <f>VLOOKUP($A319,lmic_raw[],48,FALSE)*(1+interactive!$C$7)</f>
        <v>0.16077842641823614</v>
      </c>
      <c r="AW319" s="84">
        <f>VLOOKUP($A319,lmic_raw[],49,FALSE)*(1+interactive!$C$7)</f>
        <v>0.18186721102615686</v>
      </c>
      <c r="AX319" s="84">
        <f>VLOOKUP($A319,lmic_raw[],50,FALSE)*(1+interactive!$C$7)</f>
        <v>69.265349999999998</v>
      </c>
    </row>
    <row r="320" spans="1:50" x14ac:dyDescent="0.25">
      <c r="A320" s="109" t="s">
        <v>281</v>
      </c>
      <c r="B320" s="101" t="s">
        <v>424</v>
      </c>
      <c r="C320" s="102">
        <v>242</v>
      </c>
      <c r="D320" s="82" t="s">
        <v>681</v>
      </c>
      <c r="E320" s="82" t="s">
        <v>98</v>
      </c>
      <c r="F320" s="82" t="s">
        <v>666</v>
      </c>
      <c r="G320" s="82" t="s">
        <v>676</v>
      </c>
      <c r="H320" s="33">
        <f>VLOOKUP(lmic_raw_ub[[#This Row],[setting]],lmic_raw[],8,FALSE)</f>
        <v>889955</v>
      </c>
      <c r="I320" s="33">
        <f>VLOOKUP(lmic_raw_ub[[#This Row],[setting]],lmic_raw[],9,FALSE)</f>
        <v>19110.003714999999</v>
      </c>
      <c r="J320" s="84">
        <f>MIN(VLOOKUP($A320,lmic_raw[],10,FALSE)*(1+interactive!$C$7),0.9999)</f>
        <v>0.99990000000000001</v>
      </c>
      <c r="K320" s="84">
        <f>MIN(VLOOKUP($A320,lmic_raw[],11,FALSE)*(1+interactive!$C$7),0.9999)</f>
        <v>0.99990000000000001</v>
      </c>
      <c r="L320" s="33">
        <f>MIN(VLOOKUP($A320,lmic_raw[],12,FALSE)*(1+interactive!$C$7),0.9999)</f>
        <v>0.99990000000000001</v>
      </c>
      <c r="M320" s="84">
        <f>IFERROR(VLOOKUP(lmic_raw_ub[[#This Row],[iso3]], hbv_prev[[iso3]:[ub]],4,FALSE)/100,0)</f>
        <v>2.9399999999999999E-2</v>
      </c>
      <c r="N320" s="84">
        <f>IFERROR(VLOOKUP(lmic_raw_ub[[#This Row],[setting]],hbe_prev[],5,FALSE),0)</f>
        <v>0.47889999999999999</v>
      </c>
      <c r="O320" s="84">
        <f>VLOOKUP(lmic_raw_ub[[#This Row],[gbd_super]],hbe_risk[],4,FALSE)</f>
        <v>0.9</v>
      </c>
      <c r="P320" s="84">
        <f>VLOOKUP(lmic_raw_ub[[#This Row],[gbd_super]],hbe_risk[],7,FALSE)</f>
        <v>0.3</v>
      </c>
      <c r="Q320" s="98">
        <f>VLOOKUP(lmic_raw_ub[[#This Row],[setting]],lmic_raw[],17,FALSE)*(1+interactive!$C$7)</f>
        <v>6.5174657380654466</v>
      </c>
      <c r="R320" s="98">
        <f>VLOOKUP(lmic_raw_ub[[#This Row],[setting]],lmic_raw[],18,FALSE)*(1+interactive!$C$7)</f>
        <v>76.738725000000002</v>
      </c>
      <c r="S320" s="98">
        <f>VLOOKUP(lmic_raw_ub[[#This Row],[setting]],lmic_raw[],19,FALSE)*(1+interactive!$C$7)</f>
        <v>126.867825</v>
      </c>
      <c r="T320" s="98">
        <f>VLOOKUP(lmic_raw_ub[[#This Row],[setting]],lmic_raw[],20,FALSE)*(1+interactive!$C$7)</f>
        <v>126.867825</v>
      </c>
      <c r="U320" s="98">
        <f>VLOOKUP(lmic_raw_ub[[#This Row],[setting]],lmic_raw[],21,FALSE)*(1+interactive!$C$7)</f>
        <v>126.867825</v>
      </c>
      <c r="V320" s="33">
        <f>IFERROR(VLOOKUP(lmic_raw_ub[[#This Row],[setting]],vcost_ub[],3,FALSE),0)</f>
        <v>9.1531640322878314</v>
      </c>
      <c r="W320" s="33">
        <f>IFERROR(VLOOKUP(lmic_raw_ub[[#This Row],[setting]],vcost_ub[],4,FALSE),0)</f>
        <v>9.8169740322878312</v>
      </c>
      <c r="X320" s="33">
        <f>IFERROR(VLOOKUP(lmic_raw_ub[[#This Row],[setting]],vcost_ub[],5,FALSE),0)</f>
        <v>8.6340704413230203</v>
      </c>
      <c r="Y320" s="33">
        <f>IFERROR(VLOOKUP(lmic_raw_ub[[#This Row],[setting]],vcost_ub[],6,FALSE),0)</f>
        <v>9.2978804413230201</v>
      </c>
      <c r="Z320" s="33">
        <f>IFERROR(VLOOKUP(lmic_raw_ub[[#This Row],[setting]],vcost_ub[],7,FALSE),0)</f>
        <v>9.2787898004210412</v>
      </c>
      <c r="AA320" s="33">
        <f>IFERROR(VLOOKUP(lmic_raw_ub[[#This Row],[setting]],vcost_ub[],8,FALSE),0)</f>
        <v>9.4270695376168003</v>
      </c>
      <c r="AB320" s="33">
        <f>IFERROR(VLOOKUP(lmic_raw_ub[[#This Row],[setting]],vcost_ub[],9,FALSE),0)</f>
        <v>10.0908795376168</v>
      </c>
      <c r="AC320" s="84">
        <f>VLOOKUP($A320,lmic_raw[],29,FALSE)*(1+interactive!$C$7)</f>
        <v>2.1343864499999962E-2</v>
      </c>
      <c r="AD320" s="84">
        <f>VLOOKUP($A320,lmic_raw[],30,FALSE)*(1+interactive!$C$7)</f>
        <v>1.1514097705977286E-3</v>
      </c>
      <c r="AE320" s="84">
        <f>VLOOKUP($A320,lmic_raw[],31,FALSE)*(1+interactive!$C$7)</f>
        <v>7.6466347032452613E-4</v>
      </c>
      <c r="AF320" s="84">
        <f>VLOOKUP($A320,lmic_raw[],32,FALSE)*(1+interactive!$C$7)</f>
        <v>7.1269681655038056E-4</v>
      </c>
      <c r="AG320" s="84">
        <f>VLOOKUP($A320,lmic_raw[],33,FALSE)*(1+interactive!$C$7)</f>
        <v>1.5944725838374597E-3</v>
      </c>
      <c r="AH320" s="84">
        <f>VLOOKUP($A320,lmic_raw[],34,FALSE)*(1+interactive!$C$7)</f>
        <v>2.264153410903076E-3</v>
      </c>
      <c r="AI320" s="84">
        <f>VLOOKUP($A320,lmic_raw[],35,FALSE)*(1+interactive!$C$7)</f>
        <v>2.5111045723504497E-3</v>
      </c>
      <c r="AJ320" s="84">
        <f>VLOOKUP($A320,lmic_raw[],36,FALSE)*(1+interactive!$C$7)</f>
        <v>2.9441933324999294E-3</v>
      </c>
      <c r="AK320" s="84">
        <f>VLOOKUP($A320,lmic_raw[],37,FALSE)*(1+interactive!$C$7)</f>
        <v>3.7710238322378534E-3</v>
      </c>
      <c r="AL320" s="84">
        <f>VLOOKUP($A320,lmic_raw[],38,FALSE)*(1+interactive!$C$7)</f>
        <v>5.0807828777867849E-3</v>
      </c>
      <c r="AM320" s="84">
        <f>VLOOKUP($A320,lmic_raw[],39,FALSE)*(1+interactive!$C$7)</f>
        <v>7.2099280045811237E-3</v>
      </c>
      <c r="AN320" s="84">
        <f>VLOOKUP($A320,lmic_raw[],40,FALSE)*(1+interactive!$C$7)</f>
        <v>1.0410122629183274E-2</v>
      </c>
      <c r="AO320" s="84">
        <f>VLOOKUP($A320,lmic_raw[],41,FALSE)*(1+interactive!$C$7)</f>
        <v>1.5120178360183995E-2</v>
      </c>
      <c r="AP320" s="84">
        <f>VLOOKUP($A320,lmic_raw[],42,FALSE)*(1+interactive!$C$7)</f>
        <v>2.3500065495571713E-2</v>
      </c>
      <c r="AQ320" s="84">
        <f>VLOOKUP($A320,lmic_raw[],43,FALSE)*(1+interactive!$C$7)</f>
        <v>3.6477982690851278E-2</v>
      </c>
      <c r="AR320" s="84">
        <f>VLOOKUP($A320,lmic_raw[],44,FALSE)*(1+interactive!$C$7)</f>
        <v>5.4861155548274983E-2</v>
      </c>
      <c r="AS320" s="84">
        <f>VLOOKUP($A320,lmic_raw[],45,FALSE)*(1+interactive!$C$7)</f>
        <v>8.0044787789601404E-2</v>
      </c>
      <c r="AT320" s="84">
        <f>VLOOKUP($A320,lmic_raw[],46,FALSE)*(1+interactive!$C$7)</f>
        <v>0.11284727802654002</v>
      </c>
      <c r="AU320" s="84">
        <f>VLOOKUP($A320,lmic_raw[],47,FALSE)*(1+interactive!$C$7)</f>
        <v>0.14811491462671822</v>
      </c>
      <c r="AV320" s="84">
        <f>VLOOKUP($A320,lmic_raw[],48,FALSE)*(1+interactive!$C$7)</f>
        <v>0.17576249145514306</v>
      </c>
      <c r="AW320" s="84">
        <f>VLOOKUP($A320,lmic_raw[],49,FALSE)*(1+interactive!$C$7)</f>
        <v>0.19274997976468136</v>
      </c>
      <c r="AX320" s="84">
        <f>VLOOKUP($A320,lmic_raw[],50,FALSE)*(1+interactive!$C$7)</f>
        <v>70.636650000000003</v>
      </c>
    </row>
    <row r="321" spans="1:50" x14ac:dyDescent="0.25">
      <c r="A321" s="110" t="s">
        <v>129</v>
      </c>
      <c r="B321" s="104" t="s">
        <v>427</v>
      </c>
      <c r="C321" s="105">
        <v>266</v>
      </c>
      <c r="D321" s="84" t="s">
        <v>677</v>
      </c>
      <c r="E321" s="84" t="s">
        <v>582</v>
      </c>
      <c r="F321" s="84" t="s">
        <v>667</v>
      </c>
      <c r="G321" s="84" t="s">
        <v>676</v>
      </c>
      <c r="H321" s="33">
        <f>VLOOKUP(lmic_raw_ub[[#This Row],[setting]],lmic_raw[],8,FALSE)</f>
        <v>2172578</v>
      </c>
      <c r="I321" s="33">
        <f>VLOOKUP(lmic_raw_ub[[#This Row],[setting]],lmic_raw[],9,FALSE)</f>
        <v>69513.805687999993</v>
      </c>
      <c r="J321" s="84">
        <f>MIN(VLOOKUP($A321,lmic_raw[],10,FALSE)*(1+interactive!$C$7),0.9999)</f>
        <v>0.94710000000000005</v>
      </c>
      <c r="K321" s="84">
        <f>MIN(VLOOKUP($A321,lmic_raw[],11,FALSE)*(1+interactive!$C$7),0.9999)</f>
        <v>0</v>
      </c>
      <c r="L321" s="33">
        <f>MIN(VLOOKUP($A321,lmic_raw[],12,FALSE)*(1+interactive!$C$7),0.9999)</f>
        <v>0.73499999999999999</v>
      </c>
      <c r="M321" s="84">
        <f>IFERROR(VLOOKUP(lmic_raw_ub[[#This Row],[iso3]], hbv_prev[[iso3]:[ub]],4,FALSE)/100,0)</f>
        <v>0.1115</v>
      </c>
      <c r="N321" s="84">
        <f>IFERROR(VLOOKUP(lmic_raw_ub[[#This Row],[setting]],hbe_prev[],5,FALSE),0)</f>
        <v>0.40200000000000002</v>
      </c>
      <c r="O321" s="84">
        <f>VLOOKUP(lmic_raw_ub[[#This Row],[gbd_super]],hbe_risk[],4,FALSE)</f>
        <v>0.74399999999999999</v>
      </c>
      <c r="P321" s="84">
        <f>VLOOKUP(lmic_raw_ub[[#This Row],[gbd_super]],hbe_risk[],7,FALSE)</f>
        <v>0.13300000000000001</v>
      </c>
      <c r="Q321" s="98">
        <f>VLOOKUP(lmic_raw_ub[[#This Row],[setting]],lmic_raw[],17,FALSE)*(1+interactive!$C$7)</f>
        <v>15.365842630645547</v>
      </c>
      <c r="R321" s="98">
        <f>VLOOKUP(lmic_raw_ub[[#This Row],[setting]],lmic_raw[],18,FALSE)*(1+interactive!$C$7)</f>
        <v>31.416525000000004</v>
      </c>
      <c r="S321" s="98">
        <f>VLOOKUP(lmic_raw_ub[[#This Row],[setting]],lmic_raw[],19,FALSE)*(1+interactive!$C$7)</f>
        <v>81.545625000000015</v>
      </c>
      <c r="T321" s="98">
        <f>VLOOKUP(lmic_raw_ub[[#This Row],[setting]],lmic_raw[],20,FALSE)*(1+interactive!$C$7)</f>
        <v>81.545625000000015</v>
      </c>
      <c r="U321" s="98">
        <f>VLOOKUP(lmic_raw_ub[[#This Row],[setting]],lmic_raw[],21,FALSE)*(1+interactive!$C$7)</f>
        <v>81.545625000000015</v>
      </c>
      <c r="V321" s="33">
        <f>IFERROR(VLOOKUP(lmic_raw_ub[[#This Row],[setting]],vcost_ub[],3,FALSE),0)</f>
        <v>9.698649953940885</v>
      </c>
      <c r="W321" s="33">
        <f>IFERROR(VLOOKUP(lmic_raw_ub[[#This Row],[setting]],vcost_ub[],4,FALSE),0)</f>
        <v>14.768784953940886</v>
      </c>
      <c r="X321" s="33">
        <f>IFERROR(VLOOKUP(lmic_raw_ub[[#This Row],[setting]],vcost_ub[],5,FALSE),0)</f>
        <v>9.1704921612420573</v>
      </c>
      <c r="Y321" s="33">
        <f>IFERROR(VLOOKUP(lmic_raw_ub[[#This Row],[setting]],vcost_ub[],6,FALSE),0)</f>
        <v>14.240627161242058</v>
      </c>
      <c r="Z321" s="33">
        <f>IFERROR(VLOOKUP(lmic_raw_ub[[#This Row],[setting]],vcost_ub[],7,FALSE),0)</f>
        <v>14.216798942672007</v>
      </c>
      <c r="AA321" s="33">
        <f>IFERROR(VLOOKUP(lmic_raw_ub[[#This Row],[setting]],vcost_ub[],8,FALSE),0)</f>
        <v>9.9746129774548766</v>
      </c>
      <c r="AB321" s="33">
        <f>IFERROR(VLOOKUP(lmic_raw_ub[[#This Row],[setting]],vcost_ub[],9,FALSE),0)</f>
        <v>15.044747977454877</v>
      </c>
      <c r="AC321" s="84">
        <f>VLOOKUP($A321,lmic_raw[],29,FALSE)*(1+interactive!$C$7)</f>
        <v>3.7053502499999988E-2</v>
      </c>
      <c r="AD321" s="84">
        <f>VLOOKUP($A321,lmic_raw[],30,FALSE)*(1+interactive!$C$7)</f>
        <v>3.4463379937793742E-3</v>
      </c>
      <c r="AE321" s="84">
        <f>VLOOKUP($A321,lmic_raw[],31,FALSE)*(1+interactive!$C$7)</f>
        <v>1.495894181931569E-3</v>
      </c>
      <c r="AF321" s="84">
        <f>VLOOKUP($A321,lmic_raw[],32,FALSE)*(1+interactive!$C$7)</f>
        <v>1.0677132360660689E-3</v>
      </c>
      <c r="AG321" s="84">
        <f>VLOOKUP($A321,lmic_raw[],33,FALSE)*(1+interactive!$C$7)</f>
        <v>1.7672972366569145E-3</v>
      </c>
      <c r="AH321" s="84">
        <f>VLOOKUP($A321,lmic_raw[],34,FALSE)*(1+interactive!$C$7)</f>
        <v>2.5747785909020363E-3</v>
      </c>
      <c r="AI321" s="84">
        <f>VLOOKUP($A321,lmic_raw[],35,FALSE)*(1+interactive!$C$7)</f>
        <v>2.9432444823779256E-3</v>
      </c>
      <c r="AJ321" s="84">
        <f>VLOOKUP($A321,lmic_raw[],36,FALSE)*(1+interactive!$C$7)</f>
        <v>3.4246067865379413E-3</v>
      </c>
      <c r="AK321" s="84">
        <f>VLOOKUP($A321,lmic_raw[],37,FALSE)*(1+interactive!$C$7)</f>
        <v>4.1658041736249473E-3</v>
      </c>
      <c r="AL321" s="84">
        <f>VLOOKUP($A321,lmic_raw[],38,FALSE)*(1+interactive!$C$7)</f>
        <v>5.2944684252241971E-3</v>
      </c>
      <c r="AM321" s="84">
        <f>VLOOKUP($A321,lmic_raw[],39,FALSE)*(1+interactive!$C$7)</f>
        <v>6.7402147866258656E-3</v>
      </c>
      <c r="AN321" s="84">
        <f>VLOOKUP($A321,lmic_raw[],40,FALSE)*(1+interactive!$C$7)</f>
        <v>9.6528266423356133E-3</v>
      </c>
      <c r="AO321" s="84">
        <f>VLOOKUP($A321,lmic_raw[],41,FALSE)*(1+interactive!$C$7)</f>
        <v>1.2995081423133124E-2</v>
      </c>
      <c r="AP321" s="84">
        <f>VLOOKUP($A321,lmic_raw[],42,FALSE)*(1+interactive!$C$7)</f>
        <v>1.9728221067850035E-2</v>
      </c>
      <c r="AQ321" s="84">
        <f>VLOOKUP($A321,lmic_raw[],43,FALSE)*(1+interactive!$C$7)</f>
        <v>3.0693129810232825E-2</v>
      </c>
      <c r="AR321" s="84">
        <f>VLOOKUP($A321,lmic_raw[],44,FALSE)*(1+interactive!$C$7)</f>
        <v>4.7746477698816833E-2</v>
      </c>
      <c r="AS321" s="84">
        <f>VLOOKUP($A321,lmic_raw[],45,FALSE)*(1+interactive!$C$7)</f>
        <v>7.3214564947794186E-2</v>
      </c>
      <c r="AT321" s="84">
        <f>VLOOKUP($A321,lmic_raw[],46,FALSE)*(1+interactive!$C$7)</f>
        <v>0.10935768694579009</v>
      </c>
      <c r="AU321" s="84">
        <f>VLOOKUP($A321,lmic_raw[],47,FALSE)*(1+interactive!$C$7)</f>
        <v>0.15135489710843703</v>
      </c>
      <c r="AV321" s="84">
        <f>VLOOKUP($A321,lmic_raw[],48,FALSE)*(1+interactive!$C$7)</f>
        <v>0.18728235699113696</v>
      </c>
      <c r="AW321" s="84">
        <f>VLOOKUP($A321,lmic_raw[],49,FALSE)*(1+interactive!$C$7)</f>
        <v>0.19901805121162308</v>
      </c>
      <c r="AX321" s="84">
        <f>VLOOKUP($A321,lmic_raw[],50,FALSE)*(1+interactive!$C$7)</f>
        <v>69.363</v>
      </c>
    </row>
    <row r="322" spans="1:50" x14ac:dyDescent="0.25">
      <c r="A322" s="109" t="s">
        <v>617</v>
      </c>
      <c r="B322" s="101" t="s">
        <v>428</v>
      </c>
      <c r="C322" s="102">
        <v>270</v>
      </c>
      <c r="D322" s="82" t="s">
        <v>677</v>
      </c>
      <c r="E322" s="82" t="s">
        <v>591</v>
      </c>
      <c r="F322" s="82" t="s">
        <v>667</v>
      </c>
      <c r="G322" s="82" t="s">
        <v>674</v>
      </c>
      <c r="H322" s="33">
        <f>VLOOKUP(lmic_raw_ub[[#This Row],[setting]],lmic_raw[],8,FALSE)</f>
        <v>2347696</v>
      </c>
      <c r="I322" s="33">
        <f>VLOOKUP(lmic_raw_ub[[#This Row],[setting]],lmic_raw[],9,FALSE)</f>
        <v>90982.61078399999</v>
      </c>
      <c r="J322" s="84">
        <f>MIN(VLOOKUP($A322,lmic_raw[],10,FALSE)*(1+interactive!$C$7),0.9999)</f>
        <v>0.87885000000000013</v>
      </c>
      <c r="K322" s="84">
        <f>MIN(VLOOKUP($A322,lmic_raw[],11,FALSE)*(1+interactive!$C$7),0.9999)</f>
        <v>0</v>
      </c>
      <c r="L322" s="33">
        <f>MIN(VLOOKUP($A322,lmic_raw[],12,FALSE)*(1+interactive!$C$7),0.9999)</f>
        <v>0.92400000000000004</v>
      </c>
      <c r="M322" s="84">
        <f>IFERROR(VLOOKUP(lmic_raw_ub[[#This Row],[iso3]], hbv_prev[[iso3]:[ub]],4,FALSE)/100,0)</f>
        <v>7.0800000000000002E-2</v>
      </c>
      <c r="N322" s="84">
        <f>IFERROR(VLOOKUP(lmic_raw_ub[[#This Row],[setting]],hbe_prev[],5,FALSE),0)</f>
        <v>0.41070000000000001</v>
      </c>
      <c r="O322" s="84">
        <f>VLOOKUP(lmic_raw_ub[[#This Row],[gbd_super]],hbe_risk[],4,FALSE)</f>
        <v>0.74399999999999999</v>
      </c>
      <c r="P322" s="84">
        <f>VLOOKUP(lmic_raw_ub[[#This Row],[gbd_super]],hbe_risk[],7,FALSE)</f>
        <v>0.13300000000000001</v>
      </c>
      <c r="Q322" s="98">
        <f>VLOOKUP(lmic_raw_ub[[#This Row],[setting]],lmic_raw[],17,FALSE)*(1+interactive!$C$7)</f>
        <v>3.3769150663327911</v>
      </c>
      <c r="R322" s="98">
        <f>VLOOKUP(lmic_raw_ub[[#This Row],[setting]],lmic_raw[],18,FALSE)*(1+interactive!$C$7)</f>
        <v>31.416525000000004</v>
      </c>
      <c r="S322" s="98">
        <f>VLOOKUP(lmic_raw_ub[[#This Row],[setting]],lmic_raw[],19,FALSE)*(1+interactive!$C$7)</f>
        <v>81.545625000000015</v>
      </c>
      <c r="T322" s="98">
        <f>VLOOKUP(lmic_raw_ub[[#This Row],[setting]],lmic_raw[],20,FALSE)*(1+interactive!$C$7)</f>
        <v>81.545625000000015</v>
      </c>
      <c r="U322" s="98">
        <f>VLOOKUP(lmic_raw_ub[[#This Row],[setting]],lmic_raw[],21,FALSE)*(1+interactive!$C$7)</f>
        <v>81.545625000000015</v>
      </c>
      <c r="V322" s="33">
        <f>IFERROR(VLOOKUP(lmic_raw_ub[[#This Row],[setting]],vcost_ub[],3,FALSE),0)</f>
        <v>9.4520029610677216</v>
      </c>
      <c r="W322" s="33">
        <f>IFERROR(VLOOKUP(lmic_raw_ub[[#This Row],[setting]],vcost_ub[],4,FALSE),0)</f>
        <v>14.522137961067722</v>
      </c>
      <c r="X322" s="33">
        <f>IFERROR(VLOOKUP(lmic_raw_ub[[#This Row],[setting]],vcost_ub[],5,FALSE),0)</f>
        <v>8.9559723304579464</v>
      </c>
      <c r="Y322" s="33">
        <f>IFERROR(VLOOKUP(lmic_raw_ub[[#This Row],[setting]],vcost_ub[],6,FALSE),0)</f>
        <v>14.026107330457947</v>
      </c>
      <c r="Z322" s="33">
        <f>IFERROR(VLOOKUP(lmic_raw_ub[[#This Row],[setting]],vcost_ub[],7,FALSE),0)</f>
        <v>14.019417420212072</v>
      </c>
      <c r="AA322" s="33">
        <f>IFERROR(VLOOKUP(lmic_raw_ub[[#This Row],[setting]],vcost_ub[],8,FALSE),0)</f>
        <v>9.7206733158866534</v>
      </c>
      <c r="AB322" s="33">
        <f>IFERROR(VLOOKUP(lmic_raw_ub[[#This Row],[setting]],vcost_ub[],9,FALSE),0)</f>
        <v>14.790808315886654</v>
      </c>
      <c r="AC322" s="84">
        <f>VLOOKUP($A322,lmic_raw[],29,FALSE)*(1+interactive!$C$7)</f>
        <v>4.708903499999998E-2</v>
      </c>
      <c r="AD322" s="84">
        <f>VLOOKUP($A322,lmic_raw[],30,FALSE)*(1+interactive!$C$7)</f>
        <v>6.304427650514339E-3</v>
      </c>
      <c r="AE322" s="84">
        <f>VLOOKUP($A322,lmic_raw[],31,FALSE)*(1+interactive!$C$7)</f>
        <v>2.9591481676767423E-3</v>
      </c>
      <c r="AF322" s="84">
        <f>VLOOKUP($A322,lmic_raw[],32,FALSE)*(1+interactive!$C$7)</f>
        <v>1.7775354792705473E-3</v>
      </c>
      <c r="AG322" s="84">
        <f>VLOOKUP($A322,lmic_raw[],33,FALSE)*(1+interactive!$C$7)</f>
        <v>2.7134372275555126E-3</v>
      </c>
      <c r="AH322" s="84">
        <f>VLOOKUP($A322,lmic_raw[],34,FALSE)*(1+interactive!$C$7)</f>
        <v>3.8224951283348406E-3</v>
      </c>
      <c r="AI322" s="84">
        <f>VLOOKUP($A322,lmic_raw[],35,FALSE)*(1+interactive!$C$7)</f>
        <v>4.0601913204760627E-3</v>
      </c>
      <c r="AJ322" s="84">
        <f>VLOOKUP($A322,lmic_raw[],36,FALSE)*(1+interactive!$C$7)</f>
        <v>4.4567013953163738E-3</v>
      </c>
      <c r="AK322" s="84">
        <f>VLOOKUP($A322,lmic_raw[],37,FALSE)*(1+interactive!$C$7)</f>
        <v>5.0968330697575941E-3</v>
      </c>
      <c r="AL322" s="84">
        <f>VLOOKUP($A322,lmic_raw[],38,FALSE)*(1+interactive!$C$7)</f>
        <v>6.2528624161096906E-3</v>
      </c>
      <c r="AM322" s="84">
        <f>VLOOKUP($A322,lmic_raw[],39,FALSE)*(1+interactive!$C$7)</f>
        <v>7.803035782172443E-3</v>
      </c>
      <c r="AN322" s="84">
        <f>VLOOKUP($A322,lmic_raw[],40,FALSE)*(1+interactive!$C$7)</f>
        <v>1.090671446259542E-2</v>
      </c>
      <c r="AO322" s="84">
        <f>VLOOKUP($A322,lmic_raw[],41,FALSE)*(1+interactive!$C$7)</f>
        <v>1.5554271475994037E-2</v>
      </c>
      <c r="AP322" s="84">
        <f>VLOOKUP($A322,lmic_raw[],42,FALSE)*(1+interactive!$C$7)</f>
        <v>2.4098563065723982E-2</v>
      </c>
      <c r="AQ322" s="84">
        <f>VLOOKUP($A322,lmic_raw[],43,FALSE)*(1+interactive!$C$7)</f>
        <v>3.6842378120373262E-2</v>
      </c>
      <c r="AR322" s="84">
        <f>VLOOKUP($A322,lmic_raw[],44,FALSE)*(1+interactive!$C$7)</f>
        <v>5.8659838678276552E-2</v>
      </c>
      <c r="AS322" s="84">
        <f>VLOOKUP($A322,lmic_raw[],45,FALSE)*(1+interactive!$C$7)</f>
        <v>8.9787021823395943E-2</v>
      </c>
      <c r="AT322" s="84">
        <f>VLOOKUP($A322,lmic_raw[],46,FALSE)*(1+interactive!$C$7)</f>
        <v>0.12770311621105288</v>
      </c>
      <c r="AU322" s="84">
        <f>VLOOKUP($A322,lmic_raw[],47,FALSE)*(1+interactive!$C$7)</f>
        <v>0.16232448519774068</v>
      </c>
      <c r="AV322" s="84">
        <f>VLOOKUP($A322,lmic_raw[],48,FALSE)*(1+interactive!$C$7)</f>
        <v>0.18604888851713505</v>
      </c>
      <c r="AW322" s="84">
        <f>VLOOKUP($A322,lmic_raw[],49,FALSE)*(1+interactive!$C$7)</f>
        <v>0.1972016587319631</v>
      </c>
      <c r="AX322" s="84">
        <f>VLOOKUP($A322,lmic_raw[],50,FALSE)*(1+interactive!$C$7)</f>
        <v>64.612800000000007</v>
      </c>
    </row>
    <row r="323" spans="1:50" x14ac:dyDescent="0.25">
      <c r="A323" s="110" t="s">
        <v>169</v>
      </c>
      <c r="B323" s="104" t="s">
        <v>429</v>
      </c>
      <c r="C323" s="105">
        <v>268</v>
      </c>
      <c r="D323" s="84" t="s">
        <v>675</v>
      </c>
      <c r="E323" s="84" t="s">
        <v>184</v>
      </c>
      <c r="F323" s="84" t="s">
        <v>663</v>
      </c>
      <c r="G323" s="84" t="s">
        <v>676</v>
      </c>
      <c r="H323" s="33">
        <f>VLOOKUP(lmic_raw_ub[[#This Row],[setting]],lmic_raw[],8,FALSE)</f>
        <v>3996762</v>
      </c>
      <c r="I323" s="33">
        <f>VLOOKUP(lmic_raw_ub[[#This Row],[setting]],lmic_raw[],9,FALSE)</f>
        <v>54339.976152000003</v>
      </c>
      <c r="J323" s="84">
        <f>MIN(VLOOKUP($A323,lmic_raw[],10,FALSE)*(1+interactive!$C$7),0.9999)</f>
        <v>0.99990000000000001</v>
      </c>
      <c r="K323" s="84">
        <f>MIN(VLOOKUP($A323,lmic_raw[],11,FALSE)*(1+interactive!$C$7),0.9999)</f>
        <v>0.98699999999999999</v>
      </c>
      <c r="L323" s="33">
        <f>MIN(VLOOKUP($A323,lmic_raw[],12,FALSE)*(1+interactive!$C$7),0.9999)</f>
        <v>0.98699999999999999</v>
      </c>
      <c r="M323" s="84">
        <f>IFERROR(VLOOKUP(lmic_raw_ub[[#This Row],[iso3]], hbv_prev[[iso3]:[ub]],4,FALSE)/100,0)</f>
        <v>2.8300000000000002E-2</v>
      </c>
      <c r="N323" s="84">
        <f>IFERROR(VLOOKUP(lmic_raw_ub[[#This Row],[setting]],hbe_prev[],5,FALSE),0)</f>
        <v>0.43079999999999996</v>
      </c>
      <c r="O323" s="84">
        <f>VLOOKUP(lmic_raw_ub[[#This Row],[gbd_super]],hbe_risk[],4,FALSE)</f>
        <v>0.9</v>
      </c>
      <c r="P323" s="84">
        <f>VLOOKUP(lmic_raw_ub[[#This Row],[gbd_super]],hbe_risk[],7,FALSE)</f>
        <v>0.3</v>
      </c>
      <c r="Q323" s="98">
        <f>VLOOKUP(lmic_raw_ub[[#This Row],[setting]],lmic_raw[],17,FALSE)*(1+interactive!$C$7)</f>
        <v>6.2557531820877257</v>
      </c>
      <c r="R323" s="98">
        <f>VLOOKUP(lmic_raw_ub[[#This Row],[setting]],lmic_raw[],18,FALSE)*(1+interactive!$C$7)</f>
        <v>46.76427000000001</v>
      </c>
      <c r="S323" s="98">
        <f>VLOOKUP(lmic_raw_ub[[#This Row],[setting]],lmic_raw[],19,FALSE)*(1+interactive!$C$7)</f>
        <v>96.893370000000019</v>
      </c>
      <c r="T323" s="98">
        <f>VLOOKUP(lmic_raw_ub[[#This Row],[setting]],lmic_raw[],20,FALSE)*(1+interactive!$C$7)</f>
        <v>96.893370000000019</v>
      </c>
      <c r="U323" s="98">
        <f>VLOOKUP(lmic_raw_ub[[#This Row],[setting]],lmic_raw[],21,FALSE)*(1+interactive!$C$7)</f>
        <v>96.893370000000019</v>
      </c>
      <c r="V323" s="33">
        <f>IFERROR(VLOOKUP(lmic_raw_ub[[#This Row],[setting]],vcost_ub[],3,FALSE),0)</f>
        <v>10.375340564931458</v>
      </c>
      <c r="W323" s="33">
        <f>IFERROR(VLOOKUP(lmic_raw_ub[[#This Row],[setting]],vcost_ub[],4,FALSE),0)</f>
        <v>14.644325564931458</v>
      </c>
      <c r="X323" s="33">
        <f>IFERROR(VLOOKUP(lmic_raw_ub[[#This Row],[setting]],vcost_ub[],5,FALSE),0)</f>
        <v>9.8624542058649638</v>
      </c>
      <c r="Y323" s="33">
        <f>IFERROR(VLOOKUP(lmic_raw_ub[[#This Row],[setting]],vcost_ub[],6,FALSE),0)</f>
        <v>14.131439205864964</v>
      </c>
      <c r="Z323" s="33">
        <f>IFERROR(VLOOKUP(lmic_raw_ub[[#This Row],[setting]],vcost_ub[],7,FALSE),0)</f>
        <v>14.114033814656578</v>
      </c>
      <c r="AA323" s="33">
        <f>IFERROR(VLOOKUP(lmic_raw_ub[[#This Row],[setting]],vcost_ub[],8,FALSE),0)</f>
        <v>10.647837066700687</v>
      </c>
      <c r="AB323" s="33">
        <f>IFERROR(VLOOKUP(lmic_raw_ub[[#This Row],[setting]],vcost_ub[],9,FALSE),0)</f>
        <v>14.916822066700687</v>
      </c>
      <c r="AC323" s="84">
        <f>VLOOKUP($A323,lmic_raw[],29,FALSE)*(1+interactive!$C$7)</f>
        <v>9.8411670000000083E-3</v>
      </c>
      <c r="AD323" s="84">
        <f>VLOOKUP($A323,lmic_raw[],30,FALSE)*(1+interactive!$C$7)</f>
        <v>2.0787431028815857E-4</v>
      </c>
      <c r="AE323" s="84">
        <f>VLOOKUP($A323,lmic_raw[],31,FALSE)*(1+interactive!$C$7)</f>
        <v>2.1772180472502006E-4</v>
      </c>
      <c r="AF323" s="84">
        <f>VLOOKUP($A323,lmic_raw[],32,FALSE)*(1+interactive!$C$7)</f>
        <v>2.5203820881914237E-4</v>
      </c>
      <c r="AG323" s="84">
        <f>VLOOKUP($A323,lmic_raw[],33,FALSE)*(1+interactive!$C$7)</f>
        <v>4.8040825978166757E-4</v>
      </c>
      <c r="AH323" s="84">
        <f>VLOOKUP($A323,lmic_raw[],34,FALSE)*(1+interactive!$C$7)</f>
        <v>7.98467078306036E-4</v>
      </c>
      <c r="AI323" s="84">
        <f>VLOOKUP($A323,lmic_raw[],35,FALSE)*(1+interactive!$C$7)</f>
        <v>9.8520021953007434E-4</v>
      </c>
      <c r="AJ323" s="84">
        <f>VLOOKUP($A323,lmic_raw[],36,FALSE)*(1+interactive!$C$7)</f>
        <v>1.4703392606160934E-3</v>
      </c>
      <c r="AK323" s="84">
        <f>VLOOKUP($A323,lmic_raw[],37,FALSE)*(1+interactive!$C$7)</f>
        <v>2.0883934824790598E-3</v>
      </c>
      <c r="AL323" s="84">
        <f>VLOOKUP($A323,lmic_raw[],38,FALSE)*(1+interactive!$C$7)</f>
        <v>3.231299726391659E-3</v>
      </c>
      <c r="AM323" s="84">
        <f>VLOOKUP($A323,lmic_raw[],39,FALSE)*(1+interactive!$C$7)</f>
        <v>5.2859396940917163E-3</v>
      </c>
      <c r="AN323" s="84">
        <f>VLOOKUP($A323,lmic_raw[],40,FALSE)*(1+interactive!$C$7)</f>
        <v>7.783478422144937E-3</v>
      </c>
      <c r="AO323" s="84">
        <f>VLOOKUP($A323,lmic_raw[],41,FALSE)*(1+interactive!$C$7)</f>
        <v>1.1458882992652013E-2</v>
      </c>
      <c r="AP323" s="84">
        <f>VLOOKUP($A323,lmic_raw[],42,FALSE)*(1+interactive!$C$7)</f>
        <v>1.6522785735139895E-2</v>
      </c>
      <c r="AQ323" s="84">
        <f>VLOOKUP($A323,lmic_raw[],43,FALSE)*(1+interactive!$C$7)</f>
        <v>2.3511544932271054E-2</v>
      </c>
      <c r="AR323" s="84">
        <f>VLOOKUP($A323,lmic_raw[],44,FALSE)*(1+interactive!$C$7)</f>
        <v>3.7763048569893432E-2</v>
      </c>
      <c r="AS323" s="84">
        <f>VLOOKUP($A323,lmic_raw[],45,FALSE)*(1+interactive!$C$7)</f>
        <v>6.0366774991244217E-2</v>
      </c>
      <c r="AT323" s="84">
        <f>VLOOKUP($A323,lmic_raw[],46,FALSE)*(1+interactive!$C$7)</f>
        <v>9.0125234556428027E-2</v>
      </c>
      <c r="AU323" s="84">
        <f>VLOOKUP($A323,lmic_raw[],47,FALSE)*(1+interactive!$C$7)</f>
        <v>0.12432472659422408</v>
      </c>
      <c r="AV323" s="84">
        <f>VLOOKUP($A323,lmic_raw[],48,FALSE)*(1+interactive!$C$7)</f>
        <v>0.15880486785268871</v>
      </c>
      <c r="AW323" s="84">
        <f>VLOOKUP($A323,lmic_raw[],49,FALSE)*(1+interactive!$C$7)</f>
        <v>0.18328161388065764</v>
      </c>
      <c r="AX323" s="84">
        <f>VLOOKUP($A323,lmic_raw[],50,FALSE)*(1+interactive!$C$7)</f>
        <v>77.195999999999998</v>
      </c>
    </row>
    <row r="324" spans="1:50" x14ac:dyDescent="0.25">
      <c r="A324" s="109" t="s">
        <v>143</v>
      </c>
      <c r="B324" s="101" t="s">
        <v>431</v>
      </c>
      <c r="C324" s="102">
        <v>288</v>
      </c>
      <c r="D324" s="82" t="s">
        <v>677</v>
      </c>
      <c r="E324" s="82" t="s">
        <v>591</v>
      </c>
      <c r="F324" s="82" t="s">
        <v>667</v>
      </c>
      <c r="G324" s="82" t="s">
        <v>678</v>
      </c>
      <c r="H324" s="33">
        <f>VLOOKUP(lmic_raw_ub[[#This Row],[setting]],lmic_raw[],8,FALSE)</f>
        <v>30417858</v>
      </c>
      <c r="I324" s="33">
        <f>VLOOKUP(lmic_raw_ub[[#This Row],[setting]],lmic_raw[],9,FALSE)</f>
        <v>899577.7324920001</v>
      </c>
      <c r="J324" s="84">
        <f>MIN(VLOOKUP($A324,lmic_raw[],10,FALSE)*(1+interactive!$C$7),0.9999)</f>
        <v>0.81795000000000007</v>
      </c>
      <c r="K324" s="84">
        <f>MIN(VLOOKUP($A324,lmic_raw[],11,FALSE)*(1+interactive!$C$7),0.9999)</f>
        <v>0</v>
      </c>
      <c r="L324" s="33">
        <f>MIN(VLOOKUP($A324,lmic_raw[],12,FALSE)*(1+interactive!$C$7),0.9999)</f>
        <v>0.99990000000000001</v>
      </c>
      <c r="M324" s="84">
        <f>IFERROR(VLOOKUP(lmic_raw_ub[[#This Row],[iso3]], hbv_prev[[iso3]:[ub]],4,FALSE)/100,0)</f>
        <v>0.10339999999999999</v>
      </c>
      <c r="N324" s="84">
        <f>IFERROR(VLOOKUP(lmic_raw_ub[[#This Row],[setting]],hbe_prev[],5,FALSE),0)</f>
        <v>0.41070000000000001</v>
      </c>
      <c r="O324" s="84">
        <f>VLOOKUP(lmic_raw_ub[[#This Row],[gbd_super]],hbe_risk[],4,FALSE)</f>
        <v>0.74399999999999999</v>
      </c>
      <c r="P324" s="84">
        <f>VLOOKUP(lmic_raw_ub[[#This Row],[gbd_super]],hbe_risk[],7,FALSE)</f>
        <v>0.13300000000000001</v>
      </c>
      <c r="Q324" s="98">
        <f>VLOOKUP(lmic_raw_ub[[#This Row],[setting]],lmic_raw[],17,FALSE)*(1+interactive!$C$7)</f>
        <v>3.5140025956544552</v>
      </c>
      <c r="R324" s="98">
        <f>VLOOKUP(lmic_raw_ub[[#This Row],[setting]],lmic_raw[],18,FALSE)*(1+interactive!$C$7)</f>
        <v>31.416525000000004</v>
      </c>
      <c r="S324" s="98">
        <f>VLOOKUP(lmic_raw_ub[[#This Row],[setting]],lmic_raw[],19,FALSE)*(1+interactive!$C$7)</f>
        <v>81.545625000000015</v>
      </c>
      <c r="T324" s="98">
        <f>VLOOKUP(lmic_raw_ub[[#This Row],[setting]],lmic_raw[],20,FALSE)*(1+interactive!$C$7)</f>
        <v>81.545625000000015</v>
      </c>
      <c r="U324" s="98">
        <f>VLOOKUP(lmic_raw_ub[[#This Row],[setting]],lmic_raw[],21,FALSE)*(1+interactive!$C$7)</f>
        <v>81.545625000000015</v>
      </c>
      <c r="V324" s="33">
        <f>IFERROR(VLOOKUP(lmic_raw_ub[[#This Row],[setting]],vcost_ub[],3,FALSE),0)</f>
        <v>8.7136982951427839</v>
      </c>
      <c r="W324" s="33">
        <f>IFERROR(VLOOKUP(lmic_raw_ub[[#This Row],[setting]],vcost_ub[],4,FALSE),0)</f>
        <v>13.783833295142784</v>
      </c>
      <c r="X324" s="33">
        <f>IFERROR(VLOOKUP(lmic_raw_ub[[#This Row],[setting]],vcost_ub[],5,FALSE),0)</f>
        <v>8.2069378037775405</v>
      </c>
      <c r="Y324" s="33">
        <f>IFERROR(VLOOKUP(lmic_raw_ub[[#This Row],[setting]],vcost_ub[],6,FALSE),0)</f>
        <v>13.277072803777541</v>
      </c>
      <c r="Z324" s="33">
        <f>IFERROR(VLOOKUP(lmic_raw_ub[[#This Row],[setting]],vcost_ub[],7,FALSE),0)</f>
        <v>13.264646967165783</v>
      </c>
      <c r="AA324" s="33">
        <f>IFERROR(VLOOKUP(lmic_raw_ub[[#This Row],[setting]],vcost_ub[],8,FALSE),0)</f>
        <v>8.9848042625258415</v>
      </c>
      <c r="AB324" s="33">
        <f>IFERROR(VLOOKUP(lmic_raw_ub[[#This Row],[setting]],vcost_ub[],9,FALSE),0)</f>
        <v>14.054939262525842</v>
      </c>
      <c r="AC324" s="84">
        <f>VLOOKUP($A324,lmic_raw[],29,FALSE)*(1+interactive!$C$7)</f>
        <v>3.7424729999999948E-2</v>
      </c>
      <c r="AD324" s="84">
        <f>VLOOKUP($A324,lmic_raw[],30,FALSE)*(1+interactive!$C$7)</f>
        <v>4.357349515853785E-3</v>
      </c>
      <c r="AE324" s="84">
        <f>VLOOKUP($A324,lmic_raw[],31,FALSE)*(1+interactive!$C$7)</f>
        <v>2.5503667096950858E-3</v>
      </c>
      <c r="AF324" s="84">
        <f>VLOOKUP($A324,lmic_raw[],32,FALSE)*(1+interactive!$C$7)</f>
        <v>1.5519133099052599E-3</v>
      </c>
      <c r="AG324" s="84">
        <f>VLOOKUP($A324,lmic_raw[],33,FALSE)*(1+interactive!$C$7)</f>
        <v>2.3836134553547046E-3</v>
      </c>
      <c r="AH324" s="84">
        <f>VLOOKUP($A324,lmic_raw[],34,FALSE)*(1+interactive!$C$7)</f>
        <v>3.35640348010861E-3</v>
      </c>
      <c r="AI324" s="84">
        <f>VLOOKUP($A324,lmic_raw[],35,FALSE)*(1+interactive!$C$7)</f>
        <v>3.5888415113675661E-3</v>
      </c>
      <c r="AJ324" s="84">
        <f>VLOOKUP($A324,lmic_raw[],36,FALSE)*(1+interactive!$C$7)</f>
        <v>3.9890540456286178E-3</v>
      </c>
      <c r="AK324" s="84">
        <f>VLOOKUP($A324,lmic_raw[],37,FALSE)*(1+interactive!$C$7)</f>
        <v>4.6032836278182459E-3</v>
      </c>
      <c r="AL324" s="84">
        <f>VLOOKUP($A324,lmic_raw[],38,FALSE)*(1+interactive!$C$7)</f>
        <v>5.7351335657581885E-3</v>
      </c>
      <c r="AM324" s="84">
        <f>VLOOKUP($A324,lmic_raw[],39,FALSE)*(1+interactive!$C$7)</f>
        <v>7.2593404653250888E-3</v>
      </c>
      <c r="AN324" s="84">
        <f>VLOOKUP($A324,lmic_raw[],40,FALSE)*(1+interactive!$C$7)</f>
        <v>1.0271765640290545E-2</v>
      </c>
      <c r="AO324" s="84">
        <f>VLOOKUP($A324,lmic_raw[],41,FALSE)*(1+interactive!$C$7)</f>
        <v>1.4674194809737149E-2</v>
      </c>
      <c r="AP324" s="84">
        <f>VLOOKUP($A324,lmic_raw[],42,FALSE)*(1+interactive!$C$7)</f>
        <v>2.2741168308894257E-2</v>
      </c>
      <c r="AQ324" s="84">
        <f>VLOOKUP($A324,lmic_raw[],43,FALSE)*(1+interactive!$C$7)</f>
        <v>3.5066318406387388E-2</v>
      </c>
      <c r="AR324" s="84">
        <f>VLOOKUP($A324,lmic_raw[],44,FALSE)*(1+interactive!$C$7)</f>
        <v>5.6325470896592233E-2</v>
      </c>
      <c r="AS324" s="84">
        <f>VLOOKUP($A324,lmic_raw[],45,FALSE)*(1+interactive!$C$7)</f>
        <v>8.7089312881041894E-2</v>
      </c>
      <c r="AT324" s="84">
        <f>VLOOKUP($A324,lmic_raw[],46,FALSE)*(1+interactive!$C$7)</f>
        <v>0.12232427496198646</v>
      </c>
      <c r="AU324" s="84">
        <f>VLOOKUP($A324,lmic_raw[],47,FALSE)*(1+interactive!$C$7)</f>
        <v>0.15446318932776751</v>
      </c>
      <c r="AV324" s="84">
        <f>VLOOKUP($A324,lmic_raw[],48,FALSE)*(1+interactive!$C$7)</f>
        <v>0.17817517741158681</v>
      </c>
      <c r="AW324" s="84">
        <f>VLOOKUP($A324,lmic_raw[],49,FALSE)*(1+interactive!$C$7)</f>
        <v>0.19433075135202785</v>
      </c>
      <c r="AX324" s="84">
        <f>VLOOKUP($A324,lmic_raw[],50,FALSE)*(1+interactive!$C$7)</f>
        <v>66.834600000000009</v>
      </c>
    </row>
    <row r="325" spans="1:50" x14ac:dyDescent="0.25">
      <c r="A325" s="110" t="s">
        <v>236</v>
      </c>
      <c r="B325" s="104" t="s">
        <v>619</v>
      </c>
      <c r="C325" s="105">
        <v>308</v>
      </c>
      <c r="D325" s="84" t="s">
        <v>679</v>
      </c>
      <c r="E325" s="84" t="s">
        <v>223</v>
      </c>
      <c r="F325" s="84" t="s">
        <v>665</v>
      </c>
      <c r="G325" s="84" t="s">
        <v>676</v>
      </c>
      <c r="H325" s="33">
        <f>VLOOKUP(lmic_raw_ub[[#This Row],[setting]],lmic_raw[],8,FALSE)</f>
        <v>112002</v>
      </c>
      <c r="I325" s="33">
        <f>VLOOKUP(lmic_raw_ub[[#This Row],[setting]],lmic_raw[],9,FALSE)</f>
        <v>1858.7851919999998</v>
      </c>
      <c r="J325" s="84">
        <f>MIN(VLOOKUP($A325,lmic_raw[],10,FALSE)*(1+interactive!$C$7),0.9999)</f>
        <v>0</v>
      </c>
      <c r="K325" s="84">
        <f>MIN(VLOOKUP($A325,lmic_raw[],11,FALSE)*(1+interactive!$C$7),0.9999)</f>
        <v>0.99990000000000001</v>
      </c>
      <c r="L325" s="33">
        <f>MIN(VLOOKUP($A325,lmic_raw[],12,FALSE)*(1+interactive!$C$7),0.9999)</f>
        <v>0.98699999999999999</v>
      </c>
      <c r="M325" s="84">
        <f>IFERROR(VLOOKUP(lmic_raw_ub[[#This Row],[iso3]], hbv_prev[[iso3]:[ub]],4,FALSE)/100,0)</f>
        <v>0.11840000000000001</v>
      </c>
      <c r="N325" s="84">
        <f>IFERROR(VLOOKUP(lmic_raw_ub[[#This Row],[setting]],hbe_prev[],5,FALSE),0)</f>
        <v>0.43</v>
      </c>
      <c r="O325" s="84">
        <f>VLOOKUP(lmic_raw_ub[[#This Row],[gbd_super]],hbe_risk[],4,FALSE)</f>
        <v>0.9</v>
      </c>
      <c r="P325" s="84">
        <f>VLOOKUP(lmic_raw_ub[[#This Row],[gbd_super]],hbe_risk[],7,FALSE)</f>
        <v>0.3</v>
      </c>
      <c r="Q325" s="98">
        <f>VLOOKUP(lmic_raw_ub[[#This Row],[setting]],lmic_raw[],17,FALSE)*(1+interactive!$C$7)</f>
        <v>14.007429840094517</v>
      </c>
      <c r="R325" s="98">
        <f>VLOOKUP(lmic_raw_ub[[#This Row],[setting]],lmic_raw[],18,FALSE)*(1+interactive!$C$7)</f>
        <v>91.228094999999996</v>
      </c>
      <c r="S325" s="98">
        <f>VLOOKUP(lmic_raw_ub[[#This Row],[setting]],lmic_raw[],19,FALSE)*(1+interactive!$C$7)</f>
        <v>141.35719500000002</v>
      </c>
      <c r="T325" s="98">
        <f>VLOOKUP(lmic_raw_ub[[#This Row],[setting]],lmic_raw[],20,FALSE)*(1+interactive!$C$7)</f>
        <v>141.35719500000002</v>
      </c>
      <c r="U325" s="98">
        <f>VLOOKUP(lmic_raw_ub[[#This Row],[setting]],lmic_raw[],21,FALSE)*(1+interactive!$C$7)</f>
        <v>141.35719500000002</v>
      </c>
      <c r="V325" s="33">
        <f>IFERROR(VLOOKUP(lmic_raw_ub[[#This Row],[setting]],vcost_ub[],3,FALSE),0)</f>
        <v>40.194684469071817</v>
      </c>
      <c r="W325" s="33">
        <f>IFERROR(VLOOKUP(lmic_raw_ub[[#This Row],[setting]],vcost_ub[],4,FALSE),0)</f>
        <v>40.217574469071813</v>
      </c>
      <c r="X325" s="33">
        <f>IFERROR(VLOOKUP(lmic_raw_ub[[#This Row],[setting]],vcost_ub[],5,FALSE),0)</f>
        <v>39.649043684730174</v>
      </c>
      <c r="Y325" s="33">
        <f>IFERROR(VLOOKUP(lmic_raw_ub[[#This Row],[setting]],vcost_ub[],6,FALSE),0)</f>
        <v>39.67193368473017</v>
      </c>
      <c r="Z325" s="33">
        <f>IFERROR(VLOOKUP(lmic_raw_ub[[#This Row],[setting]],vcost_ub[],7,FALSE),0)</f>
        <v>39.638858128885403</v>
      </c>
      <c r="AA325" s="33">
        <f>IFERROR(VLOOKUP(lmic_raw_ub[[#This Row],[setting]],vcost_ub[],8,FALSE),0)</f>
        <v>40.474616024431107</v>
      </c>
      <c r="AB325" s="33">
        <f>IFERROR(VLOOKUP(lmic_raw_ub[[#This Row],[setting]],vcost_ub[],9,FALSE),0)</f>
        <v>40.497506024431104</v>
      </c>
      <c r="AC325" s="84">
        <f>VLOOKUP($A325,lmic_raw[],29,FALSE)*(1+interactive!$C$7)</f>
        <v>1.5747637499999939E-2</v>
      </c>
      <c r="AD325" s="84">
        <f>VLOOKUP($A325,lmic_raw[],30,FALSE)*(1+interactive!$C$7)</f>
        <v>3.8572221535537792E-4</v>
      </c>
      <c r="AE325" s="84">
        <f>VLOOKUP($A325,lmic_raw[],31,FALSE)*(1+interactive!$C$7)</f>
        <v>4.076612421226703E-4</v>
      </c>
      <c r="AF325" s="84">
        <f>VLOOKUP($A325,lmic_raw[],32,FALSE)*(1+interactive!$C$7)</f>
        <v>3.8673205415129877E-4</v>
      </c>
      <c r="AG325" s="84">
        <f>VLOOKUP($A325,lmic_raw[],33,FALSE)*(1+interactive!$C$7)</f>
        <v>9.0805317700703536E-4</v>
      </c>
      <c r="AH325" s="84">
        <f>VLOOKUP($A325,lmic_raw[],34,FALSE)*(1+interactive!$C$7)</f>
        <v>1.2342783943134936E-3</v>
      </c>
      <c r="AI325" s="84">
        <f>VLOOKUP($A325,lmic_raw[],35,FALSE)*(1+interactive!$C$7)</f>
        <v>1.3242816709321511E-3</v>
      </c>
      <c r="AJ325" s="84">
        <f>VLOOKUP($A325,lmic_raw[],36,FALSE)*(1+interactive!$C$7)</f>
        <v>1.5845613393588216E-3</v>
      </c>
      <c r="AK325" s="84">
        <f>VLOOKUP($A325,lmic_raw[],37,FALSE)*(1+interactive!$C$7)</f>
        <v>2.1356674449276064E-3</v>
      </c>
      <c r="AL325" s="84">
        <f>VLOOKUP($A325,lmic_raw[],38,FALSE)*(1+interactive!$C$7)</f>
        <v>3.096784905901118E-3</v>
      </c>
      <c r="AM325" s="84">
        <f>VLOOKUP($A325,lmic_raw[],39,FALSE)*(1+interactive!$C$7)</f>
        <v>4.7592093307938406E-3</v>
      </c>
      <c r="AN325" s="84">
        <f>VLOOKUP($A325,lmic_raw[],40,FALSE)*(1+interactive!$C$7)</f>
        <v>7.3155595528970061E-3</v>
      </c>
      <c r="AO325" s="84">
        <f>VLOOKUP($A325,lmic_raw[],41,FALSE)*(1+interactive!$C$7)</f>
        <v>1.1204530064487118E-2</v>
      </c>
      <c r="AP325" s="84">
        <f>VLOOKUP($A325,lmic_raw[],42,FALSE)*(1+interactive!$C$7)</f>
        <v>1.7373515471689582E-2</v>
      </c>
      <c r="AQ325" s="84">
        <f>VLOOKUP($A325,lmic_raw[],43,FALSE)*(1+interactive!$C$7)</f>
        <v>2.6656383893143346E-2</v>
      </c>
      <c r="AR325" s="84">
        <f>VLOOKUP($A325,lmic_raw[],44,FALSE)*(1+interactive!$C$7)</f>
        <v>4.0478838095112171E-2</v>
      </c>
      <c r="AS325" s="84">
        <f>VLOOKUP($A325,lmic_raw[],45,FALSE)*(1+interactive!$C$7)</f>
        <v>6.1951871626471283E-2</v>
      </c>
      <c r="AT325" s="84">
        <f>VLOOKUP($A325,lmic_raw[],46,FALSE)*(1+interactive!$C$7)</f>
        <v>9.1646826999831496E-2</v>
      </c>
      <c r="AU325" s="84">
        <f>VLOOKUP($A325,lmic_raw[],47,FALSE)*(1+interactive!$C$7)</f>
        <v>0.12670779569935195</v>
      </c>
      <c r="AV325" s="84">
        <f>VLOOKUP($A325,lmic_raw[],48,FALSE)*(1+interactive!$C$7)</f>
        <v>0.15898620186137613</v>
      </c>
      <c r="AW325" s="84">
        <f>VLOOKUP($A325,lmic_raw[],49,FALSE)*(1+interactive!$C$7)</f>
        <v>0.18328439760721746</v>
      </c>
      <c r="AX325" s="84">
        <f>VLOOKUP($A325,lmic_raw[],50,FALSE)*(1+interactive!$C$7)</f>
        <v>76.012650000000008</v>
      </c>
    </row>
    <row r="326" spans="1:50" x14ac:dyDescent="0.25">
      <c r="A326" s="109" t="s">
        <v>256</v>
      </c>
      <c r="B326" s="101" t="s">
        <v>432</v>
      </c>
      <c r="C326" s="102">
        <v>320</v>
      </c>
      <c r="D326" s="82" t="s">
        <v>679</v>
      </c>
      <c r="E326" s="82" t="s">
        <v>604</v>
      </c>
      <c r="F326" s="82" t="s">
        <v>665</v>
      </c>
      <c r="G326" s="82" t="s">
        <v>676</v>
      </c>
      <c r="H326" s="33">
        <f>VLOOKUP(lmic_raw_ub[[#This Row],[setting]],lmic_raw[],8,FALSE)</f>
        <v>17581476</v>
      </c>
      <c r="I326" s="33">
        <f>VLOOKUP(lmic_raw_ub[[#This Row],[setting]],lmic_raw[],9,FALSE)</f>
        <v>435352.50871199998</v>
      </c>
      <c r="J326" s="84">
        <f>MIN(VLOOKUP($A326,lmic_raw[],10,FALSE)*(1+interactive!$C$7),0.9999)</f>
        <v>0.68250000000000011</v>
      </c>
      <c r="K326" s="84">
        <f>MIN(VLOOKUP($A326,lmic_raw[],11,FALSE)*(1+interactive!$C$7),0.9999)</f>
        <v>0.504</v>
      </c>
      <c r="L326" s="33">
        <f>MIN(VLOOKUP($A326,lmic_raw[],12,FALSE)*(1+interactive!$C$7),0.9999)</f>
        <v>0.90300000000000002</v>
      </c>
      <c r="M326" s="84">
        <f>IFERROR(VLOOKUP(lmic_raw_ub[[#This Row],[iso3]], hbv_prev[[iso3]:[ub]],4,FALSE)/100,0)</f>
        <v>2.5000000000000001E-3</v>
      </c>
      <c r="N326" s="84">
        <f>IFERROR(VLOOKUP(lmic_raw_ub[[#This Row],[setting]],hbe_prev[],5,FALSE),0)</f>
        <v>0.42950000000000005</v>
      </c>
      <c r="O326" s="84">
        <f>VLOOKUP(lmic_raw_ub[[#This Row],[gbd_super]],hbe_risk[],4,FALSE)</f>
        <v>0.9</v>
      </c>
      <c r="P326" s="84">
        <f>VLOOKUP(lmic_raw_ub[[#This Row],[gbd_super]],hbe_risk[],7,FALSE)</f>
        <v>0.3</v>
      </c>
      <c r="Q326" s="98">
        <f>VLOOKUP(lmic_raw_ub[[#This Row],[setting]],lmic_raw[],17,FALSE)*(1+interactive!$C$7)</f>
        <v>5.8444905941227345</v>
      </c>
      <c r="R326" s="98">
        <f>VLOOKUP(lmic_raw_ub[[#This Row],[setting]],lmic_raw[],18,FALSE)*(1+interactive!$C$7)</f>
        <v>91.228094999999996</v>
      </c>
      <c r="S326" s="98">
        <f>VLOOKUP(lmic_raw_ub[[#This Row],[setting]],lmic_raw[],19,FALSE)*(1+interactive!$C$7)</f>
        <v>141.35719500000002</v>
      </c>
      <c r="T326" s="98">
        <f>VLOOKUP(lmic_raw_ub[[#This Row],[setting]],lmic_raw[],20,FALSE)*(1+interactive!$C$7)</f>
        <v>141.35719500000002</v>
      </c>
      <c r="U326" s="98">
        <f>VLOOKUP(lmic_raw_ub[[#This Row],[setting]],lmic_raw[],21,FALSE)*(1+interactive!$C$7)</f>
        <v>141.35719500000002</v>
      </c>
      <c r="V326" s="33">
        <f>IFERROR(VLOOKUP(lmic_raw_ub[[#This Row],[setting]],vcost_ub[],3,FALSE),0)</f>
        <v>6.8133843429323955</v>
      </c>
      <c r="W326" s="33">
        <f>IFERROR(VLOOKUP(lmic_raw_ub[[#This Row],[setting]],vcost_ub[],4,FALSE),0)</f>
        <v>6.8362743429323958</v>
      </c>
      <c r="X326" s="33">
        <f>IFERROR(VLOOKUP(lmic_raw_ub[[#This Row],[setting]],vcost_ub[],5,FALSE),0)</f>
        <v>6.2996700615128622</v>
      </c>
      <c r="Y326" s="33">
        <f>IFERROR(VLOOKUP(lmic_raw_ub[[#This Row],[setting]],vcost_ub[],6,FALSE),0)</f>
        <v>6.3225600615128625</v>
      </c>
      <c r="Z326" s="33">
        <f>IFERROR(VLOOKUP(lmic_raw_ub[[#This Row],[setting]],vcost_ub[],7,FALSE),0)</f>
        <v>6.303826977887919</v>
      </c>
      <c r="AA326" s="33">
        <f>IFERROR(VLOOKUP(lmic_raw_ub[[#This Row],[setting]],vcost_ub[],8,FALSE),0)</f>
        <v>7.0860687779964842</v>
      </c>
      <c r="AB326" s="33">
        <f>IFERROR(VLOOKUP(lmic_raw_ub[[#This Row],[setting]],vcost_ub[],9,FALSE),0)</f>
        <v>7.1089587779964845</v>
      </c>
      <c r="AC326" s="84">
        <f>VLOOKUP($A326,lmic_raw[],29,FALSE)*(1+interactive!$C$7)</f>
        <v>2.1779299499999974E-2</v>
      </c>
      <c r="AD326" s="84">
        <f>VLOOKUP($A326,lmic_raw[],30,FALSE)*(1+interactive!$C$7)</f>
        <v>1.4368533604036313E-3</v>
      </c>
      <c r="AE326" s="84">
        <f>VLOOKUP($A326,lmic_raw[],31,FALSE)*(1+interactive!$C$7)</f>
        <v>3.8057552702510798E-4</v>
      </c>
      <c r="AF326" s="84">
        <f>VLOOKUP($A326,lmic_raw[],32,FALSE)*(1+interactive!$C$7)</f>
        <v>5.4743979077917667E-4</v>
      </c>
      <c r="AG326" s="84">
        <f>VLOOKUP($A326,lmic_raw[],33,FALSE)*(1+interactive!$C$7)</f>
        <v>1.1651380012004079E-3</v>
      </c>
      <c r="AH326" s="84">
        <f>VLOOKUP($A326,lmic_raw[],34,FALSE)*(1+interactive!$C$7)</f>
        <v>1.9953791610690889E-3</v>
      </c>
      <c r="AI326" s="84">
        <f>VLOOKUP($A326,lmic_raw[],35,FALSE)*(1+interactive!$C$7)</f>
        <v>2.6491094463751397E-3</v>
      </c>
      <c r="AJ326" s="84">
        <f>VLOOKUP($A326,lmic_raw[],36,FALSE)*(1+interactive!$C$7)</f>
        <v>3.0562652959143679E-3</v>
      </c>
      <c r="AK326" s="84">
        <f>VLOOKUP($A326,lmic_raw[],37,FALSE)*(1+interactive!$C$7)</f>
        <v>3.3691071828936834E-3</v>
      </c>
      <c r="AL326" s="84">
        <f>VLOOKUP($A326,lmic_raw[],38,FALSE)*(1+interactive!$C$7)</f>
        <v>3.8254346742596992E-3</v>
      </c>
      <c r="AM326" s="84">
        <f>VLOOKUP($A326,lmic_raw[],39,FALSE)*(1+interactive!$C$7)</f>
        <v>4.6646731486246033E-3</v>
      </c>
      <c r="AN326" s="84">
        <f>VLOOKUP($A326,lmic_raw[],40,FALSE)*(1+interactive!$C$7)</f>
        <v>6.1341943719321846E-3</v>
      </c>
      <c r="AO326" s="84">
        <f>VLOOKUP($A326,lmic_raw[],41,FALSE)*(1+interactive!$C$7)</f>
        <v>8.5306310226280421E-3</v>
      </c>
      <c r="AP326" s="84">
        <f>VLOOKUP($A326,lmic_raw[],42,FALSE)*(1+interactive!$C$7)</f>
        <v>1.2375416405832939E-2</v>
      </c>
      <c r="AQ326" s="84">
        <f>VLOOKUP($A326,lmic_raw[],43,FALSE)*(1+interactive!$C$7)</f>
        <v>1.6691641741807393E-2</v>
      </c>
      <c r="AR326" s="84">
        <f>VLOOKUP($A326,lmic_raw[],44,FALSE)*(1+interactive!$C$7)</f>
        <v>2.4050841673526578E-2</v>
      </c>
      <c r="AS326" s="84">
        <f>VLOOKUP($A326,lmic_raw[],45,FALSE)*(1+interactive!$C$7)</f>
        <v>4.0141232717967892E-2</v>
      </c>
      <c r="AT326" s="84">
        <f>VLOOKUP($A326,lmic_raw[],46,FALSE)*(1+interactive!$C$7)</f>
        <v>6.5766262303756068E-2</v>
      </c>
      <c r="AU326" s="84">
        <f>VLOOKUP($A326,lmic_raw[],47,FALSE)*(1+interactive!$C$7)</f>
        <v>9.795758438313594E-2</v>
      </c>
      <c r="AV326" s="84">
        <f>VLOOKUP($A326,lmic_raw[],48,FALSE)*(1+interactive!$C$7)</f>
        <v>0.1324538429464607</v>
      </c>
      <c r="AW326" s="84">
        <f>VLOOKUP($A326,lmic_raw[],49,FALSE)*(1+interactive!$C$7)</f>
        <v>0.16183257890731084</v>
      </c>
      <c r="AX326" s="84">
        <f>VLOOKUP($A326,lmic_raw[],50,FALSE)*(1+interactive!$C$7)</f>
        <v>77.632800000000017</v>
      </c>
    </row>
    <row r="327" spans="1:50" x14ac:dyDescent="0.25">
      <c r="A327" s="110" t="s">
        <v>144</v>
      </c>
      <c r="B327" s="104" t="s">
        <v>433</v>
      </c>
      <c r="C327" s="105">
        <v>324</v>
      </c>
      <c r="D327" s="84" t="s">
        <v>677</v>
      </c>
      <c r="E327" s="84" t="s">
        <v>591</v>
      </c>
      <c r="F327" s="84" t="s">
        <v>667</v>
      </c>
      <c r="G327" s="84" t="s">
        <v>674</v>
      </c>
      <c r="H327" s="33">
        <f>VLOOKUP(lmic_raw_ub[[#This Row],[setting]],lmic_raw[],8,FALSE)</f>
        <v>12771246</v>
      </c>
      <c r="I327" s="33">
        <f>VLOOKUP(lmic_raw_ub[[#This Row],[setting]],lmic_raw[],9,FALSE)</f>
        <v>466891.21126799996</v>
      </c>
      <c r="J327" s="84">
        <f>MIN(VLOOKUP($A327,lmic_raw[],10,FALSE)*(1+interactive!$C$7),0.9999)</f>
        <v>0.55230000000000001</v>
      </c>
      <c r="K327" s="84">
        <f>MIN(VLOOKUP($A327,lmic_raw[],11,FALSE)*(1+interactive!$C$7),0.9999)</f>
        <v>0</v>
      </c>
      <c r="L327" s="33">
        <f>MIN(VLOOKUP($A327,lmic_raw[],12,FALSE)*(1+interactive!$C$7),0.9999)</f>
        <v>0.49349999999999999</v>
      </c>
      <c r="M327" s="84">
        <f>IFERROR(VLOOKUP(lmic_raw_ub[[#This Row],[iso3]], hbv_prev[[iso3]:[ub]],4,FALSE)/100,0)</f>
        <v>0.21789999999999998</v>
      </c>
      <c r="N327" s="84">
        <f>IFERROR(VLOOKUP(lmic_raw_ub[[#This Row],[setting]],hbe_prev[],5,FALSE),0)</f>
        <v>0.41070000000000001</v>
      </c>
      <c r="O327" s="84">
        <f>VLOOKUP(lmic_raw_ub[[#This Row],[gbd_super]],hbe_risk[],4,FALSE)</f>
        <v>0.74399999999999999</v>
      </c>
      <c r="P327" s="84">
        <f>VLOOKUP(lmic_raw_ub[[#This Row],[gbd_super]],hbe_risk[],7,FALSE)</f>
        <v>0.13300000000000001</v>
      </c>
      <c r="Q327" s="98">
        <f>VLOOKUP(lmic_raw_ub[[#This Row],[setting]],lmic_raw[],17,FALSE)*(1+interactive!$C$7)</f>
        <v>2.7288649277212911</v>
      </c>
      <c r="R327" s="98">
        <f>VLOOKUP(lmic_raw_ub[[#This Row],[setting]],lmic_raw[],18,FALSE)*(1+interactive!$C$7)</f>
        <v>31.416525000000004</v>
      </c>
      <c r="S327" s="98">
        <f>VLOOKUP(lmic_raw_ub[[#This Row],[setting]],lmic_raw[],19,FALSE)*(1+interactive!$C$7)</f>
        <v>81.545625000000015</v>
      </c>
      <c r="T327" s="98">
        <f>VLOOKUP(lmic_raw_ub[[#This Row],[setting]],lmic_raw[],20,FALSE)*(1+interactive!$C$7)</f>
        <v>81.545625000000015</v>
      </c>
      <c r="U327" s="98">
        <f>VLOOKUP(lmic_raw_ub[[#This Row],[setting]],lmic_raw[],21,FALSE)*(1+interactive!$C$7)</f>
        <v>81.545625000000015</v>
      </c>
      <c r="V327" s="33">
        <f>IFERROR(VLOOKUP(lmic_raw_ub[[#This Row],[setting]],vcost_ub[],3,FALSE),0)</f>
        <v>2.9619865353081263</v>
      </c>
      <c r="W327" s="33">
        <f>IFERROR(VLOOKUP(lmic_raw_ub[[#This Row],[setting]],vcost_ub[],4,FALSE),0)</f>
        <v>8.0321215353081268</v>
      </c>
      <c r="X327" s="33">
        <f>IFERROR(VLOOKUP(lmic_raw_ub[[#This Row],[setting]],vcost_ub[],5,FALSE),0)</f>
        <v>2.4617872473948079</v>
      </c>
      <c r="Y327" s="33">
        <f>IFERROR(VLOOKUP(lmic_raw_ub[[#This Row],[setting]],vcost_ub[],6,FALSE),0)</f>
        <v>7.5319222473948084</v>
      </c>
      <c r="Z327" s="33">
        <f>IFERROR(VLOOKUP(lmic_raw_ub[[#This Row],[setting]],vcost_ub[],7,FALSE),0)</f>
        <v>7.5222303940178241</v>
      </c>
      <c r="AA327" s="33">
        <f>IFERROR(VLOOKUP(lmic_raw_ub[[#This Row],[setting]],vcost_ub[],8,FALSE),0)</f>
        <v>3.2316031497603763</v>
      </c>
      <c r="AB327" s="33">
        <f>IFERROR(VLOOKUP(lmic_raw_ub[[#This Row],[setting]],vcost_ub[],9,FALSE),0)</f>
        <v>8.3017381497603768</v>
      </c>
      <c r="AC327" s="84">
        <f>VLOOKUP($A327,lmic_raw[],29,FALSE)*(1+interactive!$C$7)</f>
        <v>5.424397649999993E-2</v>
      </c>
      <c r="AD327" s="84">
        <f>VLOOKUP($A327,lmic_raw[],30,FALSE)*(1+interactive!$C$7)</f>
        <v>8.0517139033405311E-3</v>
      </c>
      <c r="AE327" s="84">
        <f>VLOOKUP($A327,lmic_raw[],31,FALSE)*(1+interactive!$C$7)</f>
        <v>2.8907727086528189E-3</v>
      </c>
      <c r="AF327" s="84">
        <f>VLOOKUP($A327,lmic_raw[],32,FALSE)*(1+interactive!$C$7)</f>
        <v>1.703119158440099E-3</v>
      </c>
      <c r="AG327" s="84">
        <f>VLOOKUP($A327,lmic_raw[],33,FALSE)*(1+interactive!$C$7)</f>
        <v>2.5964443594545341E-3</v>
      </c>
      <c r="AH327" s="84">
        <f>VLOOKUP($A327,lmic_raw[],34,FALSE)*(1+interactive!$C$7)</f>
        <v>3.6383525749246336E-3</v>
      </c>
      <c r="AI327" s="84">
        <f>VLOOKUP($A327,lmic_raw[],35,FALSE)*(1+interactive!$C$7)</f>
        <v>3.9016798160823271E-3</v>
      </c>
      <c r="AJ327" s="84">
        <f>VLOOKUP($A327,lmic_raw[],36,FALSE)*(1+interactive!$C$7)</f>
        <v>4.3056398854803193E-3</v>
      </c>
      <c r="AK327" s="84">
        <f>VLOOKUP($A327,lmic_raw[],37,FALSE)*(1+interactive!$C$7)</f>
        <v>4.9452078930670986E-3</v>
      </c>
      <c r="AL327" s="84">
        <f>VLOOKUP($A327,lmic_raw[],38,FALSE)*(1+interactive!$C$7)</f>
        <v>6.0183218453963632E-3</v>
      </c>
      <c r="AM327" s="84">
        <f>VLOOKUP($A327,lmic_raw[],39,FALSE)*(1+interactive!$C$7)</f>
        <v>7.4643935642659262E-3</v>
      </c>
      <c r="AN327" s="84">
        <f>VLOOKUP($A327,lmic_raw[],40,FALSE)*(1+interactive!$C$7)</f>
        <v>1.0485746465616855E-2</v>
      </c>
      <c r="AO327" s="84">
        <f>VLOOKUP($A327,lmic_raw[],41,FALSE)*(1+interactive!$C$7)</f>
        <v>1.4954558362932574E-2</v>
      </c>
      <c r="AP327" s="84">
        <f>VLOOKUP($A327,lmic_raw[],42,FALSE)*(1+interactive!$C$7)</f>
        <v>2.3498902756790042E-2</v>
      </c>
      <c r="AQ327" s="84">
        <f>VLOOKUP($A327,lmic_raw[],43,FALSE)*(1+interactive!$C$7)</f>
        <v>3.6413878600653191E-2</v>
      </c>
      <c r="AR327" s="84">
        <f>VLOOKUP($A327,lmic_raw[],44,FALSE)*(1+interactive!$C$7)</f>
        <v>5.8433438655127345E-2</v>
      </c>
      <c r="AS327" s="84">
        <f>VLOOKUP($A327,lmic_raw[],45,FALSE)*(1+interactive!$C$7)</f>
        <v>8.9687753740723922E-2</v>
      </c>
      <c r="AT327" s="84">
        <f>VLOOKUP($A327,lmic_raw[],46,FALSE)*(1+interactive!$C$7)</f>
        <v>0.12784537400537241</v>
      </c>
      <c r="AU327" s="84">
        <f>VLOOKUP($A327,lmic_raw[],47,FALSE)*(1+interactive!$C$7)</f>
        <v>0.16246672435143339</v>
      </c>
      <c r="AV327" s="84">
        <f>VLOOKUP($A327,lmic_raw[],48,FALSE)*(1+interactive!$C$7)</f>
        <v>0.18605618074129321</v>
      </c>
      <c r="AW327" s="84">
        <f>VLOOKUP($A327,lmic_raw[],49,FALSE)*(1+interactive!$C$7)</f>
        <v>0.19741801182182186</v>
      </c>
      <c r="AX327" s="84">
        <f>VLOOKUP($A327,lmic_raw[],50,FALSE)*(1+interactive!$C$7)</f>
        <v>64.096199999999996</v>
      </c>
    </row>
    <row r="328" spans="1:50" x14ac:dyDescent="0.25">
      <c r="A328" s="109" t="s">
        <v>145</v>
      </c>
      <c r="B328" s="101" t="s">
        <v>434</v>
      </c>
      <c r="C328" s="102">
        <v>624</v>
      </c>
      <c r="D328" s="82" t="s">
        <v>677</v>
      </c>
      <c r="E328" s="82" t="s">
        <v>591</v>
      </c>
      <c r="F328" s="82" t="s">
        <v>667</v>
      </c>
      <c r="G328" s="82" t="s">
        <v>674</v>
      </c>
      <c r="H328" s="33">
        <f>VLOOKUP(lmic_raw_ub[[#This Row],[setting]],lmic_raw[],8,FALSE)</f>
        <v>1920917</v>
      </c>
      <c r="I328" s="33">
        <f>VLOOKUP(lmic_raw_ub[[#This Row],[setting]],lmic_raw[],9,FALSE)</f>
        <v>67979.331713000007</v>
      </c>
      <c r="J328" s="84">
        <f>MIN(VLOOKUP($A328,lmic_raw[],10,FALSE)*(1+interactive!$C$7),0.9999)</f>
        <v>0.46200000000000002</v>
      </c>
      <c r="K328" s="84">
        <f>MIN(VLOOKUP($A328,lmic_raw[],11,FALSE)*(1+interactive!$C$7),0.9999)</f>
        <v>0</v>
      </c>
      <c r="L328" s="33">
        <f>MIN(VLOOKUP($A328,lmic_raw[],12,FALSE)*(1+interactive!$C$7),0.9999)</f>
        <v>0.88200000000000001</v>
      </c>
      <c r="M328" s="84">
        <f>IFERROR(VLOOKUP(lmic_raw_ub[[#This Row],[iso3]], hbv_prev[[iso3]:[ub]],4,FALSE)/100,0)</f>
        <v>0.3831</v>
      </c>
      <c r="N328" s="84">
        <f>IFERROR(VLOOKUP(lmic_raw_ub[[#This Row],[setting]],hbe_prev[],5,FALSE),0)</f>
        <v>0.41070000000000001</v>
      </c>
      <c r="O328" s="84">
        <f>VLOOKUP(lmic_raw_ub[[#This Row],[gbd_super]],hbe_risk[],4,FALSE)</f>
        <v>0.74399999999999999</v>
      </c>
      <c r="P328" s="84">
        <f>VLOOKUP(lmic_raw_ub[[#This Row],[gbd_super]],hbe_risk[],7,FALSE)</f>
        <v>0.13300000000000001</v>
      </c>
      <c r="Q328" s="98">
        <f>VLOOKUP(lmic_raw_ub[[#This Row],[setting]],lmic_raw[],17,FALSE)*(1+interactive!$C$7)</f>
        <v>0</v>
      </c>
      <c r="R328" s="98">
        <f>VLOOKUP(lmic_raw_ub[[#This Row],[setting]],lmic_raw[],18,FALSE)*(1+interactive!$C$7)</f>
        <v>31.416525000000004</v>
      </c>
      <c r="S328" s="98">
        <f>VLOOKUP(lmic_raw_ub[[#This Row],[setting]],lmic_raw[],19,FALSE)*(1+interactive!$C$7)</f>
        <v>81.545625000000015</v>
      </c>
      <c r="T328" s="98">
        <f>VLOOKUP(lmic_raw_ub[[#This Row],[setting]],lmic_raw[],20,FALSE)*(1+interactive!$C$7)</f>
        <v>81.545625000000015</v>
      </c>
      <c r="U328" s="98">
        <f>VLOOKUP(lmic_raw_ub[[#This Row],[setting]],lmic_raw[],21,FALSE)*(1+interactive!$C$7)</f>
        <v>81.545625000000015</v>
      </c>
      <c r="V328" s="33">
        <f>IFERROR(VLOOKUP(lmic_raw_ub[[#This Row],[setting]],vcost_ub[],3,FALSE),0)</f>
        <v>7.2659938062968132</v>
      </c>
      <c r="W328" s="33">
        <f>IFERROR(VLOOKUP(lmic_raw_ub[[#This Row],[setting]],vcost_ub[],4,FALSE),0)</f>
        <v>12.336128806296813</v>
      </c>
      <c r="X328" s="33">
        <f>IFERROR(VLOOKUP(lmic_raw_ub[[#This Row],[setting]],vcost_ub[],5,FALSE),0)</f>
        <v>6.771044972457446</v>
      </c>
      <c r="Y328" s="33">
        <f>IFERROR(VLOOKUP(lmic_raw_ub[[#This Row],[setting]],vcost_ub[],6,FALSE),0)</f>
        <v>11.841179972457446</v>
      </c>
      <c r="Z328" s="33">
        <f>IFERROR(VLOOKUP(lmic_raw_ub[[#This Row],[setting]],vcost_ub[],7,FALSE),0)</f>
        <v>11.834897935893117</v>
      </c>
      <c r="AA328" s="33">
        <f>IFERROR(VLOOKUP(lmic_raw_ub[[#This Row],[setting]],vcost_ub[],8,FALSE),0)</f>
        <v>7.5344185998856519</v>
      </c>
      <c r="AB328" s="33">
        <f>IFERROR(VLOOKUP(lmic_raw_ub[[#This Row],[setting]],vcost_ub[],9,FALSE),0)</f>
        <v>12.604553599885651</v>
      </c>
      <c r="AC328" s="84">
        <f>VLOOKUP($A328,lmic_raw[],29,FALSE)*(1+interactive!$C$7)</f>
        <v>5.9993891999999979E-2</v>
      </c>
      <c r="AD328" s="84">
        <f>VLOOKUP($A328,lmic_raw[],30,FALSE)*(1+interactive!$C$7)</f>
        <v>7.0498760498556448E-3</v>
      </c>
      <c r="AE328" s="84">
        <f>VLOOKUP($A328,lmic_raw[],31,FALSE)*(1+interactive!$C$7)</f>
        <v>2.7742593026925961E-3</v>
      </c>
      <c r="AF328" s="84">
        <f>VLOOKUP($A328,lmic_raw[],32,FALSE)*(1+interactive!$C$7)</f>
        <v>1.9511884984040506E-3</v>
      </c>
      <c r="AG328" s="84">
        <f>VLOOKUP($A328,lmic_raw[],33,FALSE)*(1+interactive!$C$7)</f>
        <v>2.896362658566241E-3</v>
      </c>
      <c r="AH328" s="84">
        <f>VLOOKUP($A328,lmic_raw[],34,FALSE)*(1+interactive!$C$7)</f>
        <v>4.2707239403003442E-3</v>
      </c>
      <c r="AI328" s="84">
        <f>VLOOKUP($A328,lmic_raw[],35,FALSE)*(1+interactive!$C$7)</f>
        <v>5.396555867944311E-3</v>
      </c>
      <c r="AJ328" s="84">
        <f>VLOOKUP($A328,lmic_raw[],36,FALSE)*(1+interactive!$C$7)</f>
        <v>6.5936793803368426E-3</v>
      </c>
      <c r="AK328" s="84">
        <f>VLOOKUP($A328,lmic_raw[],37,FALSE)*(1+interactive!$C$7)</f>
        <v>8.2372583866583467E-3</v>
      </c>
      <c r="AL328" s="84">
        <f>VLOOKUP($A328,lmic_raw[],38,FALSE)*(1+interactive!$C$7)</f>
        <v>9.984233390263976E-3</v>
      </c>
      <c r="AM328" s="84">
        <f>VLOOKUP($A328,lmic_raw[],39,FALSE)*(1+interactive!$C$7)</f>
        <v>1.1972046214426378E-2</v>
      </c>
      <c r="AN328" s="84">
        <f>VLOOKUP($A328,lmic_raw[],40,FALSE)*(1+interactive!$C$7)</f>
        <v>1.5585866714706033E-2</v>
      </c>
      <c r="AO328" s="84">
        <f>VLOOKUP($A328,lmic_raw[],41,FALSE)*(1+interactive!$C$7)</f>
        <v>1.9820299206392247E-2</v>
      </c>
      <c r="AP328" s="84">
        <f>VLOOKUP($A328,lmic_raw[],42,FALSE)*(1+interactive!$C$7)</f>
        <v>2.7901741904926045E-2</v>
      </c>
      <c r="AQ328" s="84">
        <f>VLOOKUP($A328,lmic_raw[],43,FALSE)*(1+interactive!$C$7)</f>
        <v>4.0774328990910581E-2</v>
      </c>
      <c r="AR328" s="84">
        <f>VLOOKUP($A328,lmic_raw[],44,FALSE)*(1+interactive!$C$7)</f>
        <v>6.0690493984278303E-2</v>
      </c>
      <c r="AS328" s="84">
        <f>VLOOKUP($A328,lmic_raw[],45,FALSE)*(1+interactive!$C$7)</f>
        <v>8.8706089706367675E-2</v>
      </c>
      <c r="AT328" s="84">
        <f>VLOOKUP($A328,lmic_raw[],46,FALSE)*(1+interactive!$C$7)</f>
        <v>0.12680589056312347</v>
      </c>
      <c r="AU328" s="84">
        <f>VLOOKUP($A328,lmic_raw[],47,FALSE)*(1+interactive!$C$7)</f>
        <v>0.16634345042019608</v>
      </c>
      <c r="AV328" s="84">
        <f>VLOOKUP($A328,lmic_raw[],48,FALSE)*(1+interactive!$C$7)</f>
        <v>0.1935066490589358</v>
      </c>
      <c r="AW328" s="84">
        <f>VLOOKUP($A328,lmic_raw[],49,FALSE)*(1+interactive!$C$7)</f>
        <v>0.19933349476755366</v>
      </c>
      <c r="AX328" s="84">
        <f>VLOOKUP($A328,lmic_raw[],50,FALSE)*(1+interactive!$C$7)</f>
        <v>60.709950000000006</v>
      </c>
    </row>
    <row r="329" spans="1:50" x14ac:dyDescent="0.25">
      <c r="A329" s="110" t="s">
        <v>270</v>
      </c>
      <c r="B329" s="104" t="s">
        <v>435</v>
      </c>
      <c r="C329" s="105">
        <v>328</v>
      </c>
      <c r="D329" s="84" t="s">
        <v>679</v>
      </c>
      <c r="E329" s="84" t="s">
        <v>223</v>
      </c>
      <c r="F329" s="84" t="s">
        <v>665</v>
      </c>
      <c r="G329" s="84" t="s">
        <v>676</v>
      </c>
      <c r="H329" s="33">
        <f>VLOOKUP(lmic_raw_ub[[#This Row],[setting]],lmic_raw[],8,FALSE)</f>
        <v>782775</v>
      </c>
      <c r="I329" s="33">
        <f>VLOOKUP(lmic_raw_ub[[#This Row],[setting]],lmic_raw[],9,FALSE)</f>
        <v>15707.945925</v>
      </c>
      <c r="J329" s="84">
        <f>MIN(VLOOKUP($A329,lmic_raw[],10,FALSE)*(1+interactive!$C$7),0.9999)</f>
        <v>0.97335000000000005</v>
      </c>
      <c r="K329" s="84">
        <f>MIN(VLOOKUP($A329,lmic_raw[],11,FALSE)*(1+interactive!$C$7),0.9999)</f>
        <v>0</v>
      </c>
      <c r="L329" s="33">
        <f>MIN(VLOOKUP($A329,lmic_raw[],12,FALSE)*(1+interactive!$C$7),0.9999)</f>
        <v>0.99990000000000001</v>
      </c>
      <c r="M329" s="84">
        <f>IFERROR(VLOOKUP(lmic_raw_ub[[#This Row],[iso3]], hbv_prev[[iso3]:[ub]],4,FALSE)/100,0)</f>
        <v>0.3271</v>
      </c>
      <c r="N329" s="84">
        <f>IFERROR(VLOOKUP(lmic_raw_ub[[#This Row],[setting]],hbe_prev[],5,FALSE),0)</f>
        <v>0.43</v>
      </c>
      <c r="O329" s="84">
        <f>VLOOKUP(lmic_raw_ub[[#This Row],[gbd_super]],hbe_risk[],4,FALSE)</f>
        <v>0.9</v>
      </c>
      <c r="P329" s="84">
        <f>VLOOKUP(lmic_raw_ub[[#This Row],[gbd_super]],hbe_risk[],7,FALSE)</f>
        <v>0.3</v>
      </c>
      <c r="Q329" s="98">
        <f>VLOOKUP(lmic_raw_ub[[#This Row],[setting]],lmic_raw[],17,FALSE)*(1+interactive!$C$7)</f>
        <v>7.7761785072916298</v>
      </c>
      <c r="R329" s="98">
        <f>VLOOKUP(lmic_raw_ub[[#This Row],[setting]],lmic_raw[],18,FALSE)*(1+interactive!$C$7)</f>
        <v>91.228094999999996</v>
      </c>
      <c r="S329" s="98">
        <f>VLOOKUP(lmic_raw_ub[[#This Row],[setting]],lmic_raw[],19,FALSE)*(1+interactive!$C$7)</f>
        <v>141.35719500000002</v>
      </c>
      <c r="T329" s="98">
        <f>VLOOKUP(lmic_raw_ub[[#This Row],[setting]],lmic_raw[],20,FALSE)*(1+interactive!$C$7)</f>
        <v>141.35719500000002</v>
      </c>
      <c r="U329" s="98">
        <f>VLOOKUP(lmic_raw_ub[[#This Row],[setting]],lmic_raw[],21,FALSE)*(1+interactive!$C$7)</f>
        <v>141.35719500000002</v>
      </c>
      <c r="V329" s="33">
        <f>IFERROR(VLOOKUP(lmic_raw_ub[[#This Row],[setting]],vcost_ub[],3,FALSE),0)</f>
        <v>15.919856689289492</v>
      </c>
      <c r="W329" s="33">
        <f>IFERROR(VLOOKUP(lmic_raw_ub[[#This Row],[setting]],vcost_ub[],4,FALSE),0)</f>
        <v>15.942746689289493</v>
      </c>
      <c r="X329" s="33">
        <f>IFERROR(VLOOKUP(lmic_raw_ub[[#This Row],[setting]],vcost_ub[],5,FALSE),0)</f>
        <v>15.396320941048455</v>
      </c>
      <c r="Y329" s="33">
        <f>IFERROR(VLOOKUP(lmic_raw_ub[[#This Row],[setting]],vcost_ub[],6,FALSE),0)</f>
        <v>15.419210941048455</v>
      </c>
      <c r="Z329" s="33">
        <f>IFERROR(VLOOKUP(lmic_raw_ub[[#This Row],[setting]],vcost_ub[],7,FALSE),0)</f>
        <v>15.396409945532545</v>
      </c>
      <c r="AA329" s="33">
        <f>IFERROR(VLOOKUP(lmic_raw_ub[[#This Row],[setting]],vcost_ub[],8,FALSE),0)</f>
        <v>16.194770537067669</v>
      </c>
      <c r="AB329" s="33">
        <f>IFERROR(VLOOKUP(lmic_raw_ub[[#This Row],[setting]],vcost_ub[],9,FALSE),0)</f>
        <v>16.217660537067669</v>
      </c>
      <c r="AC329" s="84">
        <f>VLOOKUP($A329,lmic_raw[],29,FALSE)*(1+interactive!$C$7)</f>
        <v>2.8109665500000051E-2</v>
      </c>
      <c r="AD329" s="84">
        <f>VLOOKUP($A329,lmic_raw[],30,FALSE)*(1+interactive!$C$7)</f>
        <v>1.49086511396099E-3</v>
      </c>
      <c r="AE329" s="84">
        <f>VLOOKUP($A329,lmic_raw[],31,FALSE)*(1+interactive!$C$7)</f>
        <v>9.9295108010844803E-4</v>
      </c>
      <c r="AF329" s="84">
        <f>VLOOKUP($A329,lmic_raw[],32,FALSE)*(1+interactive!$C$7)</f>
        <v>8.1067507035916973E-4</v>
      </c>
      <c r="AG329" s="84">
        <f>VLOOKUP($A329,lmic_raw[],33,FALSE)*(1+interactive!$C$7)</f>
        <v>1.8118492092341015E-3</v>
      </c>
      <c r="AH329" s="84">
        <f>VLOOKUP($A329,lmic_raw[],34,FALSE)*(1+interactive!$C$7)</f>
        <v>2.9545207686026654E-3</v>
      </c>
      <c r="AI329" s="84">
        <f>VLOOKUP($A329,lmic_raw[],35,FALSE)*(1+interactive!$C$7)</f>
        <v>3.6917596037999829E-3</v>
      </c>
      <c r="AJ329" s="84">
        <f>VLOOKUP($A329,lmic_raw[],36,FALSE)*(1+interactive!$C$7)</f>
        <v>3.9654386049692899E-3</v>
      </c>
      <c r="AK329" s="84">
        <f>VLOOKUP($A329,lmic_raw[],37,FALSE)*(1+interactive!$C$7)</f>
        <v>4.6099533613859255E-3</v>
      </c>
      <c r="AL329" s="84">
        <f>VLOOKUP($A329,lmic_raw[],38,FALSE)*(1+interactive!$C$7)</f>
        <v>5.2610919138176577E-3</v>
      </c>
      <c r="AM329" s="84">
        <f>VLOOKUP($A329,lmic_raw[],39,FALSE)*(1+interactive!$C$7)</f>
        <v>6.2840229222297156E-3</v>
      </c>
      <c r="AN329" s="84">
        <f>VLOOKUP($A329,lmic_raw[],40,FALSE)*(1+interactive!$C$7)</f>
        <v>1.1503630244220978E-2</v>
      </c>
      <c r="AO329" s="84">
        <f>VLOOKUP($A329,lmic_raw[],41,FALSE)*(1+interactive!$C$7)</f>
        <v>1.3166796921062221E-2</v>
      </c>
      <c r="AP329" s="84">
        <f>VLOOKUP($A329,lmic_raw[],42,FALSE)*(1+interactive!$C$7)</f>
        <v>1.8257430937563601E-2</v>
      </c>
      <c r="AQ329" s="84">
        <f>VLOOKUP($A329,lmic_raw[],43,FALSE)*(1+interactive!$C$7)</f>
        <v>2.4107825647710537E-2</v>
      </c>
      <c r="AR329" s="84">
        <f>VLOOKUP($A329,lmic_raw[],44,FALSE)*(1+interactive!$C$7)</f>
        <v>3.2427761630128379E-2</v>
      </c>
      <c r="AS329" s="84">
        <f>VLOOKUP($A329,lmic_raw[],45,FALSE)*(1+interactive!$C$7)</f>
        <v>4.9049365398026325E-2</v>
      </c>
      <c r="AT329" s="84">
        <f>VLOOKUP($A329,lmic_raw[],46,FALSE)*(1+interactive!$C$7)</f>
        <v>6.2734951646005399E-2</v>
      </c>
      <c r="AU329" s="84">
        <f>VLOOKUP($A329,lmic_raw[],47,FALSE)*(1+interactive!$C$7)</f>
        <v>8.2640185370226674E-2</v>
      </c>
      <c r="AV329" s="84">
        <f>VLOOKUP($A329,lmic_raw[],48,FALSE)*(1+interactive!$C$7)</f>
        <v>0.10409162231405004</v>
      </c>
      <c r="AW329" s="84">
        <f>VLOOKUP($A329,lmic_raw[],49,FALSE)*(1+interactive!$C$7)</f>
        <v>0.12573821260563994</v>
      </c>
      <c r="AX329" s="84">
        <f>VLOOKUP($A329,lmic_raw[],50,FALSE)*(1+interactive!$C$7)</f>
        <v>73.198650000000001</v>
      </c>
    </row>
    <row r="330" spans="1:50" x14ac:dyDescent="0.25">
      <c r="A330" s="109" t="s">
        <v>238</v>
      </c>
      <c r="B330" s="101" t="s">
        <v>436</v>
      </c>
      <c r="C330" s="102">
        <v>332</v>
      </c>
      <c r="D330" s="82" t="s">
        <v>679</v>
      </c>
      <c r="E330" s="82" t="s">
        <v>223</v>
      </c>
      <c r="F330" s="82" t="s">
        <v>665</v>
      </c>
      <c r="G330" s="82" t="s">
        <v>674</v>
      </c>
      <c r="H330" s="33">
        <f>VLOOKUP(lmic_raw_ub[[#This Row],[setting]],lmic_raw[],8,FALSE)</f>
        <v>11263079</v>
      </c>
      <c r="I330" s="33">
        <f>VLOOKUP(lmic_raw_ub[[#This Row],[setting]],lmic_raw[],9,FALSE)</f>
        <v>276317.11710700003</v>
      </c>
      <c r="J330" s="84">
        <f>MIN(VLOOKUP($A330,lmic_raw[],10,FALSE)*(1+interactive!$C$7),0.9999)</f>
        <v>0.41369999999999996</v>
      </c>
      <c r="K330" s="84">
        <f>MIN(VLOOKUP($A330,lmic_raw[],11,FALSE)*(1+interactive!$C$7),0.9999)</f>
        <v>0</v>
      </c>
      <c r="L330" s="33">
        <f>MIN(VLOOKUP($A330,lmic_raw[],12,FALSE)*(1+interactive!$C$7),0.9999)</f>
        <v>0.53550000000000009</v>
      </c>
      <c r="M330" s="84">
        <f>IFERROR(VLOOKUP(lmic_raw_ub[[#This Row],[iso3]], hbv_prev[[iso3]:[ub]],4,FALSE)/100,0)</f>
        <v>4.3799999999999999E-2</v>
      </c>
      <c r="N330" s="84">
        <f>IFERROR(VLOOKUP(lmic_raw_ub[[#This Row],[setting]],hbe_prev[],5,FALSE),0)</f>
        <v>0.43</v>
      </c>
      <c r="O330" s="84">
        <f>VLOOKUP(lmic_raw_ub[[#This Row],[gbd_super]],hbe_risk[],4,FALSE)</f>
        <v>0.9</v>
      </c>
      <c r="P330" s="84">
        <f>VLOOKUP(lmic_raw_ub[[#This Row],[gbd_super]],hbe_risk[],7,FALSE)</f>
        <v>0.3</v>
      </c>
      <c r="Q330" s="98">
        <f>VLOOKUP(lmic_raw_ub[[#This Row],[setting]],lmic_raw[],17,FALSE)*(1+interactive!$C$7)</f>
        <v>3.4641525849920316</v>
      </c>
      <c r="R330" s="98">
        <f>VLOOKUP(lmic_raw_ub[[#This Row],[setting]],lmic_raw[],18,FALSE)*(1+interactive!$C$7)</f>
        <v>91.228094999999996</v>
      </c>
      <c r="S330" s="98">
        <f>VLOOKUP(lmic_raw_ub[[#This Row],[setting]],lmic_raw[],19,FALSE)*(1+interactive!$C$7)</f>
        <v>141.35719500000002</v>
      </c>
      <c r="T330" s="98">
        <f>VLOOKUP(lmic_raw_ub[[#This Row],[setting]],lmic_raw[],20,FALSE)*(1+interactive!$C$7)</f>
        <v>141.35719500000002</v>
      </c>
      <c r="U330" s="98">
        <f>VLOOKUP(lmic_raw_ub[[#This Row],[setting]],lmic_raw[],21,FALSE)*(1+interactive!$C$7)</f>
        <v>141.35719500000002</v>
      </c>
      <c r="V330" s="33">
        <f>IFERROR(VLOOKUP(lmic_raw_ub[[#This Row],[setting]],vcost_ub[],3,FALSE),0)</f>
        <v>3.3537152968412443</v>
      </c>
      <c r="W330" s="33">
        <f>IFERROR(VLOOKUP(lmic_raw_ub[[#This Row],[setting]],vcost_ub[],4,FALSE),0)</f>
        <v>3.3766052968412441</v>
      </c>
      <c r="X330" s="33">
        <f>IFERROR(VLOOKUP(lmic_raw_ub[[#This Row],[setting]],vcost_ub[],5,FALSE),0)</f>
        <v>2.8487433143552039</v>
      </c>
      <c r="Y330" s="33">
        <f>IFERROR(VLOOKUP(lmic_raw_ub[[#This Row],[setting]],vcost_ub[],6,FALSE),0)</f>
        <v>2.8716333143552037</v>
      </c>
      <c r="Z330" s="33">
        <f>IFERROR(VLOOKUP(lmic_raw_ub[[#This Row],[setting]],vcost_ub[],7,FALSE),0)</f>
        <v>2.8596215321644807</v>
      </c>
      <c r="AA330" s="33">
        <f>IFERROR(VLOOKUP(lmic_raw_ub[[#This Row],[setting]],vcost_ub[],8,FALSE),0)</f>
        <v>3.6244152836811674</v>
      </c>
      <c r="AB330" s="33">
        <f>IFERROR(VLOOKUP(lmic_raw_ub[[#This Row],[setting]],vcost_ub[],9,FALSE),0)</f>
        <v>3.6473052836811672</v>
      </c>
      <c r="AC330" s="84">
        <f>VLOOKUP($A330,lmic_raw[],29,FALSE)*(1+interactive!$C$7)</f>
        <v>5.7040147500000041E-2</v>
      </c>
      <c r="AD330" s="84">
        <f>VLOOKUP($A330,lmic_raw[],30,FALSE)*(1+interactive!$C$7)</f>
        <v>7.4205663503902914E-3</v>
      </c>
      <c r="AE330" s="84">
        <f>VLOOKUP($A330,lmic_raw[],31,FALSE)*(1+interactive!$C$7)</f>
        <v>2.6404444715770487E-3</v>
      </c>
      <c r="AF330" s="84">
        <f>VLOOKUP($A330,lmic_raw[],32,FALSE)*(1+interactive!$C$7)</f>
        <v>2.1486576428291428E-3</v>
      </c>
      <c r="AG330" s="84">
        <f>VLOOKUP($A330,lmic_raw[],33,FALSE)*(1+interactive!$C$7)</f>
        <v>2.6588077065428199E-3</v>
      </c>
      <c r="AH330" s="84">
        <f>VLOOKUP($A330,lmic_raw[],34,FALSE)*(1+interactive!$C$7)</f>
        <v>3.3593780616230431E-3</v>
      </c>
      <c r="AI330" s="84">
        <f>VLOOKUP($A330,lmic_raw[],35,FALSE)*(1+interactive!$C$7)</f>
        <v>3.9900289771890984E-3</v>
      </c>
      <c r="AJ330" s="84">
        <f>VLOOKUP($A330,lmic_raw[],36,FALSE)*(1+interactive!$C$7)</f>
        <v>4.5347711191606674E-3</v>
      </c>
      <c r="AK330" s="84">
        <f>VLOOKUP($A330,lmic_raw[],37,FALSE)*(1+interactive!$C$7)</f>
        <v>5.0887955226757891E-3</v>
      </c>
      <c r="AL330" s="84">
        <f>VLOOKUP($A330,lmic_raw[],38,FALSE)*(1+interactive!$C$7)</f>
        <v>5.8250385227866771E-3</v>
      </c>
      <c r="AM330" s="84">
        <f>VLOOKUP($A330,lmic_raw[],39,FALSE)*(1+interactive!$C$7)</f>
        <v>7.0018002095518402E-3</v>
      </c>
      <c r="AN330" s="84">
        <f>VLOOKUP($A330,lmic_raw[],40,FALSE)*(1+interactive!$C$7)</f>
        <v>9.0041316181609828E-3</v>
      </c>
      <c r="AO330" s="84">
        <f>VLOOKUP($A330,lmic_raw[],41,FALSE)*(1+interactive!$C$7)</f>
        <v>1.2400312391851822E-2</v>
      </c>
      <c r="AP330" s="84">
        <f>VLOOKUP($A330,lmic_raw[],42,FALSE)*(1+interactive!$C$7)</f>
        <v>1.8049033182618589E-2</v>
      </c>
      <c r="AQ330" s="84">
        <f>VLOOKUP($A330,lmic_raw[],43,FALSE)*(1+interactive!$C$7)</f>
        <v>2.7147381763469477E-2</v>
      </c>
      <c r="AR330" s="84">
        <f>VLOOKUP($A330,lmic_raw[],44,FALSE)*(1+interactive!$C$7)</f>
        <v>4.13878636686517E-2</v>
      </c>
      <c r="AS330" s="84">
        <f>VLOOKUP($A330,lmic_raw[],45,FALSE)*(1+interactive!$C$7)</f>
        <v>6.2376032156177062E-2</v>
      </c>
      <c r="AT330" s="84">
        <f>VLOOKUP($A330,lmic_raw[],46,FALSE)*(1+interactive!$C$7)</f>
        <v>8.5893149357849766E-2</v>
      </c>
      <c r="AU330" s="84">
        <f>VLOOKUP($A330,lmic_raw[],47,FALSE)*(1+interactive!$C$7)</f>
        <v>0.11113244906708877</v>
      </c>
      <c r="AV330" s="84">
        <f>VLOOKUP($A330,lmic_raw[],48,FALSE)*(1+interactive!$C$7)</f>
        <v>0.1349973880947645</v>
      </c>
      <c r="AW330" s="84">
        <f>VLOOKUP($A330,lmic_raw[],49,FALSE)*(1+interactive!$C$7)</f>
        <v>0.15564628846374504</v>
      </c>
      <c r="AX330" s="84">
        <f>VLOOKUP($A330,lmic_raw[],50,FALSE)*(1+interactive!$C$7)</f>
        <v>66.694950000000006</v>
      </c>
    </row>
    <row r="331" spans="1:50" x14ac:dyDescent="0.25">
      <c r="A331" s="110" t="s">
        <v>257</v>
      </c>
      <c r="B331" s="104" t="s">
        <v>437</v>
      </c>
      <c r="C331" s="105">
        <v>340</v>
      </c>
      <c r="D331" s="84" t="s">
        <v>679</v>
      </c>
      <c r="E331" s="84" t="s">
        <v>604</v>
      </c>
      <c r="F331" s="84" t="s">
        <v>665</v>
      </c>
      <c r="G331" s="84" t="s">
        <v>678</v>
      </c>
      <c r="H331" s="33">
        <f>VLOOKUP(lmic_raw_ub[[#This Row],[setting]],lmic_raw[],8,FALSE)</f>
        <v>9746115</v>
      </c>
      <c r="I331" s="33">
        <f>VLOOKUP(lmic_raw_ub[[#This Row],[setting]],lmic_raw[],9,FALSE)</f>
        <v>212504.29145999998</v>
      </c>
      <c r="J331" s="84">
        <f>MIN(VLOOKUP($A331,lmic_raw[],10,FALSE)*(1+interactive!$C$7),0.9999)</f>
        <v>0.86835000000000007</v>
      </c>
      <c r="K331" s="84">
        <f>MIN(VLOOKUP($A331,lmic_raw[],11,FALSE)*(1+interactive!$C$7),0.9999)</f>
        <v>0.78750000000000009</v>
      </c>
      <c r="L331" s="33">
        <f>MIN(VLOOKUP($A331,lmic_raw[],12,FALSE)*(1+interactive!$C$7),0.9999)</f>
        <v>0.91349999999999998</v>
      </c>
      <c r="M331" s="84">
        <f>IFERROR(VLOOKUP(lmic_raw_ub[[#This Row],[iso3]], hbv_prev[[iso3]:[ub]],4,FALSE)/100,0)</f>
        <v>0.12909999999999999</v>
      </c>
      <c r="N331" s="84">
        <f>IFERROR(VLOOKUP(lmic_raw_ub[[#This Row],[setting]],hbe_prev[],5,FALSE),0)</f>
        <v>0.42950000000000005</v>
      </c>
      <c r="O331" s="84">
        <f>VLOOKUP(lmic_raw_ub[[#This Row],[gbd_super]],hbe_risk[],4,FALSE)</f>
        <v>0.9</v>
      </c>
      <c r="P331" s="84">
        <f>VLOOKUP(lmic_raw_ub[[#This Row],[gbd_super]],hbe_risk[],7,FALSE)</f>
        <v>0.3</v>
      </c>
      <c r="Q331" s="98">
        <f>VLOOKUP(lmic_raw_ub[[#This Row],[setting]],lmic_raw[],17,FALSE)*(1+interactive!$C$7)</f>
        <v>5.6450905514730421</v>
      </c>
      <c r="R331" s="98">
        <f>VLOOKUP(lmic_raw_ub[[#This Row],[setting]],lmic_raw[],18,FALSE)*(1+interactive!$C$7)</f>
        <v>91.228094999999996</v>
      </c>
      <c r="S331" s="98">
        <f>VLOOKUP(lmic_raw_ub[[#This Row],[setting]],lmic_raw[],19,FALSE)*(1+interactive!$C$7)</f>
        <v>141.35719500000002</v>
      </c>
      <c r="T331" s="98">
        <f>VLOOKUP(lmic_raw_ub[[#This Row],[setting]],lmic_raw[],20,FALSE)*(1+interactive!$C$7)</f>
        <v>141.35719500000002</v>
      </c>
      <c r="U331" s="98">
        <f>VLOOKUP(lmic_raw_ub[[#This Row],[setting]],lmic_raw[],21,FALSE)*(1+interactive!$C$7)</f>
        <v>141.35719500000002</v>
      </c>
      <c r="V331" s="33">
        <f>IFERROR(VLOOKUP(lmic_raw_ub[[#This Row],[setting]],vcost_ub[],3,FALSE),0)</f>
        <v>7.0264597950955467</v>
      </c>
      <c r="W331" s="33">
        <f>IFERROR(VLOOKUP(lmic_raw_ub[[#This Row],[setting]],vcost_ub[],4,FALSE),0)</f>
        <v>7.049349795095547</v>
      </c>
      <c r="X331" s="33">
        <f>IFERROR(VLOOKUP(lmic_raw_ub[[#This Row],[setting]],vcost_ub[],5,FALSE),0)</f>
        <v>6.5141934511344335</v>
      </c>
      <c r="Y331" s="33">
        <f>IFERROR(VLOOKUP(lmic_raw_ub[[#This Row],[setting]],vcost_ub[],6,FALSE),0)</f>
        <v>6.5370834511344338</v>
      </c>
      <c r="Z331" s="33">
        <f>IFERROR(VLOOKUP(lmic_raw_ub[[#This Row],[setting]],vcost_ub[],7,FALSE),0)</f>
        <v>6.5206634236346259</v>
      </c>
      <c r="AA331" s="33">
        <f>IFERROR(VLOOKUP(lmic_raw_ub[[#This Row],[setting]],vcost_ub[],8,FALSE),0)</f>
        <v>7.298815557239628</v>
      </c>
      <c r="AB331" s="33">
        <f>IFERROR(VLOOKUP(lmic_raw_ub[[#This Row],[setting]],vcost_ub[],9,FALSE),0)</f>
        <v>7.3217055572396283</v>
      </c>
      <c r="AC331" s="84">
        <f>VLOOKUP($A331,lmic_raw[],29,FALSE)*(1+interactive!$C$7)</f>
        <v>1.5792073499999979E-2</v>
      </c>
      <c r="AD331" s="84">
        <f>VLOOKUP($A331,lmic_raw[],30,FALSE)*(1+interactive!$C$7)</f>
        <v>1.6717639467830933E-3</v>
      </c>
      <c r="AE331" s="84">
        <f>VLOOKUP($A331,lmic_raw[],31,FALSE)*(1+interactive!$C$7)</f>
        <v>9.0188754814369773E-4</v>
      </c>
      <c r="AF331" s="84">
        <f>VLOOKUP($A331,lmic_raw[],32,FALSE)*(1+interactive!$C$7)</f>
        <v>7.293703727815435E-4</v>
      </c>
      <c r="AG331" s="84">
        <f>VLOOKUP($A331,lmic_raw[],33,FALSE)*(1+interactive!$C$7)</f>
        <v>1.0476176304721121E-3</v>
      </c>
      <c r="AH331" s="84">
        <f>VLOOKUP($A331,lmic_raw[],34,FALSE)*(1+interactive!$C$7)</f>
        <v>1.5322109579639107E-3</v>
      </c>
      <c r="AI331" s="84">
        <f>VLOOKUP($A331,lmic_raw[],35,FALSE)*(1+interactive!$C$7)</f>
        <v>2.0238888702855222E-3</v>
      </c>
      <c r="AJ331" s="84">
        <f>VLOOKUP($A331,lmic_raw[],36,FALSE)*(1+interactive!$C$7)</f>
        <v>2.4914288009719454E-3</v>
      </c>
      <c r="AK331" s="84">
        <f>VLOOKUP($A331,lmic_raw[],37,FALSE)*(1+interactive!$C$7)</f>
        <v>2.973814171014646E-3</v>
      </c>
      <c r="AL331" s="84">
        <f>VLOOKUP($A331,lmic_raw[],38,FALSE)*(1+interactive!$C$7)</f>
        <v>3.5712719514487583E-3</v>
      </c>
      <c r="AM331" s="84">
        <f>VLOOKUP($A331,lmic_raw[],39,FALSE)*(1+interactive!$C$7)</f>
        <v>4.4353964606050145E-3</v>
      </c>
      <c r="AN331" s="84">
        <f>VLOOKUP($A331,lmic_raw[],40,FALSE)*(1+interactive!$C$7)</f>
        <v>5.797216795984458E-3</v>
      </c>
      <c r="AO331" s="84">
        <f>VLOOKUP($A331,lmic_raw[],41,FALSE)*(1+interactive!$C$7)</f>
        <v>8.0036799474726798E-3</v>
      </c>
      <c r="AP331" s="84">
        <f>VLOOKUP($A331,lmic_raw[],42,FALSE)*(1+interactive!$C$7)</f>
        <v>1.1584147559840711E-2</v>
      </c>
      <c r="AQ331" s="84">
        <f>VLOOKUP($A331,lmic_raw[],43,FALSE)*(1+interactive!$C$7)</f>
        <v>1.7335642049845654E-2</v>
      </c>
      <c r="AR331" s="84">
        <f>VLOOKUP($A331,lmic_raw[],44,FALSE)*(1+interactive!$C$7)</f>
        <v>2.6394264605353469E-2</v>
      </c>
      <c r="AS331" s="84">
        <f>VLOOKUP($A331,lmic_raw[],45,FALSE)*(1+interactive!$C$7)</f>
        <v>4.0219273780321488E-2</v>
      </c>
      <c r="AT331" s="84">
        <f>VLOOKUP($A331,lmic_raw[],46,FALSE)*(1+interactive!$C$7)</f>
        <v>6.0312289412620346E-2</v>
      </c>
      <c r="AU331" s="84">
        <f>VLOOKUP($A331,lmic_raw[],47,FALSE)*(1+interactive!$C$7)</f>
        <v>8.7474377440953904E-2</v>
      </c>
      <c r="AV331" s="84">
        <f>VLOOKUP($A331,lmic_raw[],48,FALSE)*(1+interactive!$C$7)</f>
        <v>0.12046970838195394</v>
      </c>
      <c r="AW331" s="84">
        <f>VLOOKUP($A331,lmic_raw[],49,FALSE)*(1+interactive!$C$7)</f>
        <v>0.15680807090473531</v>
      </c>
      <c r="AX331" s="84">
        <f>VLOOKUP($A331,lmic_raw[],50,FALSE)*(1+interactive!$C$7)</f>
        <v>78.741600000000005</v>
      </c>
    </row>
    <row r="332" spans="1:50" x14ac:dyDescent="0.25">
      <c r="A332" s="109" t="s">
        <v>194</v>
      </c>
      <c r="B332" s="101" t="s">
        <v>438</v>
      </c>
      <c r="C332" s="102">
        <v>356</v>
      </c>
      <c r="D332" s="82" t="s">
        <v>680</v>
      </c>
      <c r="E332" s="82" t="s">
        <v>589</v>
      </c>
      <c r="F332" s="82" t="s">
        <v>589</v>
      </c>
      <c r="G332" s="82" t="s">
        <v>678</v>
      </c>
      <c r="H332" s="33">
        <f>VLOOKUP(lmic_raw_ub[[#This Row],[setting]],lmic_raw[],8,FALSE)</f>
        <v>1366417756</v>
      </c>
      <c r="I332" s="33">
        <f>VLOOKUP(lmic_raw_ub[[#This Row],[setting]],lmic_raw[],9,FALSE)</f>
        <v>24622847.963119999</v>
      </c>
      <c r="J332" s="84">
        <f>MIN(VLOOKUP($A332,lmic_raw[],10,FALSE)*(1+interactive!$C$7),0.9999)</f>
        <v>0.82845000000000002</v>
      </c>
      <c r="K332" s="84">
        <f>MIN(VLOOKUP($A332,lmic_raw[],11,FALSE)*(1+interactive!$C$7),0.9999)</f>
        <v>0.58800000000000008</v>
      </c>
      <c r="L332" s="33">
        <f>MIN(VLOOKUP($A332,lmic_raw[],12,FALSE)*(1+interactive!$C$7),0.9999)</f>
        <v>0.95550000000000013</v>
      </c>
      <c r="M332" s="84">
        <f>IFERROR(VLOOKUP(lmic_raw_ub[[#This Row],[iso3]], hbv_prev[[iso3]:[ub]],4,FALSE)/100,0)</f>
        <v>2.0199999999999999E-2</v>
      </c>
      <c r="N332" s="84">
        <f>IFERROR(VLOOKUP(lmic_raw_ub[[#This Row],[setting]],hbe_prev[],5,FALSE),0)</f>
        <v>0.35830000000000001</v>
      </c>
      <c r="O332" s="84">
        <f>VLOOKUP(lmic_raw_ub[[#This Row],[gbd_super]],hbe_risk[],4,FALSE)</f>
        <v>0.9</v>
      </c>
      <c r="P332" s="84">
        <f>VLOOKUP(lmic_raw_ub[[#This Row],[gbd_super]],hbe_risk[],7,FALSE)</f>
        <v>0.3</v>
      </c>
      <c r="Q332" s="98">
        <f>VLOOKUP(lmic_raw_ub[[#This Row],[setting]],lmic_raw[],17,FALSE)*(1+interactive!$C$7)</f>
        <v>4.0498902102755032</v>
      </c>
      <c r="R332" s="98">
        <f>VLOOKUP(lmic_raw_ub[[#This Row],[setting]],lmic_raw[],18,FALSE)*(1+interactive!$C$7)</f>
        <v>48.194895000000002</v>
      </c>
      <c r="S332" s="98">
        <f>VLOOKUP(lmic_raw_ub[[#This Row],[setting]],lmic_raw[],19,FALSE)*(1+interactive!$C$7)</f>
        <v>98.323995000000011</v>
      </c>
      <c r="T332" s="98">
        <f>VLOOKUP(lmic_raw_ub[[#This Row],[setting]],lmic_raw[],20,FALSE)*(1+interactive!$C$7)</f>
        <v>98.323995000000011</v>
      </c>
      <c r="U332" s="98">
        <f>VLOOKUP(lmic_raw_ub[[#This Row],[setting]],lmic_raw[],21,FALSE)*(1+interactive!$C$7)</f>
        <v>98.323995000000011</v>
      </c>
      <c r="V332" s="33">
        <f>IFERROR(VLOOKUP(lmic_raw_ub[[#This Row],[setting]],vcost_ub[],3,FALSE),0)</f>
        <v>3.5850488222521313</v>
      </c>
      <c r="W332" s="33">
        <f>IFERROR(VLOOKUP(lmic_raw_ub[[#This Row],[setting]],vcost_ub[],4,FALSE),0)</f>
        <v>6.1575488222521315</v>
      </c>
      <c r="X332" s="33">
        <f>IFERROR(VLOOKUP(lmic_raw_ub[[#This Row],[setting]],vcost_ub[],5,FALSE),0)</f>
        <v>3.0779513173364084</v>
      </c>
      <c r="Y332" s="33">
        <f>IFERROR(VLOOKUP(lmic_raw_ub[[#This Row],[setting]],vcost_ub[],6,FALSE),0)</f>
        <v>5.6504513173364082</v>
      </c>
      <c r="Z332" s="33">
        <f>IFERROR(VLOOKUP(lmic_raw_ub[[#This Row],[setting]],vcost_ub[],7,FALSE),0)</f>
        <v>5.6368525855415452</v>
      </c>
      <c r="AA332" s="33">
        <f>IFERROR(VLOOKUP(lmic_raw_ub[[#This Row],[setting]],vcost_ub[],8,FALSE),0)</f>
        <v>3.8562312896435769</v>
      </c>
      <c r="AB332" s="33">
        <f>IFERROR(VLOOKUP(lmic_raw_ub[[#This Row],[setting]],vcost_ub[],9,FALSE),0)</f>
        <v>6.4287312896435775</v>
      </c>
      <c r="AC332" s="84">
        <f>VLOOKUP($A332,lmic_raw[],29,FALSE)*(1+interactive!$C$7)</f>
        <v>3.3600000000000005E-2</v>
      </c>
      <c r="AD332" s="84">
        <f>VLOOKUP($A332,lmic_raw[],30,FALSE)*(1+interactive!$C$7)</f>
        <v>2.0081846590909126E-3</v>
      </c>
      <c r="AE332" s="84">
        <f>VLOOKUP($A332,lmic_raw[],31,FALSE)*(1+interactive!$C$7)</f>
        <v>7.5111822929503907E-4</v>
      </c>
      <c r="AF332" s="84">
        <f>VLOOKUP($A332,lmic_raw[],32,FALSE)*(1+interactive!$C$7)</f>
        <v>6.3168579649538678E-4</v>
      </c>
      <c r="AG332" s="84">
        <f>VLOOKUP($A332,lmic_raw[],33,FALSE)*(1+interactive!$C$7)</f>
        <v>9.9374396147896529E-4</v>
      </c>
      <c r="AH332" s="84">
        <f>VLOOKUP($A332,lmic_raw[],34,FALSE)*(1+interactive!$C$7)</f>
        <v>1.4418757883867452E-3</v>
      </c>
      <c r="AI332" s="84">
        <f>VLOOKUP($A332,lmic_raw[],35,FALSE)*(1+interactive!$C$7)</f>
        <v>1.6302938787652668E-3</v>
      </c>
      <c r="AJ332" s="84">
        <f>VLOOKUP($A332,lmic_raw[],36,FALSE)*(1+interactive!$C$7)</f>
        <v>2.0806540712741571E-3</v>
      </c>
      <c r="AK332" s="84">
        <f>VLOOKUP($A332,lmic_raw[],37,FALSE)*(1+interactive!$C$7)</f>
        <v>2.8809037149678733E-3</v>
      </c>
      <c r="AL332" s="84">
        <f>VLOOKUP($A332,lmic_raw[],38,FALSE)*(1+interactive!$C$7)</f>
        <v>3.8737288411454128E-3</v>
      </c>
      <c r="AM332" s="84">
        <f>VLOOKUP($A332,lmic_raw[],39,FALSE)*(1+interactive!$C$7)</f>
        <v>5.5633275713169424E-3</v>
      </c>
      <c r="AN332" s="84">
        <f>VLOOKUP($A332,lmic_raw[],40,FALSE)*(1+interactive!$C$7)</f>
        <v>8.9025352994668728E-3</v>
      </c>
      <c r="AO332" s="84">
        <f>VLOOKUP($A332,lmic_raw[],41,FALSE)*(1+interactive!$C$7)</f>
        <v>1.3227090473912609E-2</v>
      </c>
      <c r="AP332" s="84">
        <f>VLOOKUP($A332,lmic_raw[],42,FALSE)*(1+interactive!$C$7)</f>
        <v>1.9527255378280872E-2</v>
      </c>
      <c r="AQ332" s="84">
        <f>VLOOKUP($A332,lmic_raw[],43,FALSE)*(1+interactive!$C$7)</f>
        <v>2.9292368121390539E-2</v>
      </c>
      <c r="AR332" s="84">
        <f>VLOOKUP($A332,lmic_raw[],44,FALSE)*(1+interactive!$C$7)</f>
        <v>4.4992146679166824E-2</v>
      </c>
      <c r="AS332" s="84">
        <f>VLOOKUP($A332,lmic_raw[],45,FALSE)*(1+interactive!$C$7)</f>
        <v>6.3713977040217709E-2</v>
      </c>
      <c r="AT332" s="84">
        <f>VLOOKUP($A332,lmic_raw[],46,FALSE)*(1+interactive!$C$7)</f>
        <v>9.0951123657178709E-2</v>
      </c>
      <c r="AU332" s="84">
        <f>VLOOKUP($A332,lmic_raw[],47,FALSE)*(1+interactive!$C$7)</f>
        <v>0.12180646425240672</v>
      </c>
      <c r="AV332" s="84">
        <f>VLOOKUP($A332,lmic_raw[],48,FALSE)*(1+interactive!$C$7)</f>
        <v>0.15026254255736265</v>
      </c>
      <c r="AW332" s="84">
        <f>VLOOKUP($A332,lmic_raw[],49,FALSE)*(1+interactive!$C$7)</f>
        <v>0.14490689248034472</v>
      </c>
      <c r="AX332" s="84">
        <f>VLOOKUP($A332,lmic_raw[],50,FALSE)*(1+interactive!$C$7)</f>
        <v>72.735600000000005</v>
      </c>
    </row>
    <row r="333" spans="1:50" x14ac:dyDescent="0.25">
      <c r="A333" s="110" t="s">
        <v>213</v>
      </c>
      <c r="B333" s="104" t="s">
        <v>439</v>
      </c>
      <c r="C333" s="105">
        <v>360</v>
      </c>
      <c r="D333" s="84" t="s">
        <v>680</v>
      </c>
      <c r="E333" s="84" t="s">
        <v>598</v>
      </c>
      <c r="F333" s="84" t="s">
        <v>666</v>
      </c>
      <c r="G333" s="84" t="s">
        <v>678</v>
      </c>
      <c r="H333" s="33">
        <f>VLOOKUP(lmic_raw_ub[[#This Row],[setting]],lmic_raw[],8,FALSE)</f>
        <v>270625567</v>
      </c>
      <c r="I333" s="33">
        <f>VLOOKUP(lmic_raw_ub[[#This Row],[setting]],lmic_raw[],9,FALSE)</f>
        <v>4926738.4472349994</v>
      </c>
      <c r="J333" s="84">
        <f>MIN(VLOOKUP($A333,lmic_raw[],10,FALSE)*(1+interactive!$C$7),0.9999)</f>
        <v>0.82950000000000013</v>
      </c>
      <c r="K333" s="84">
        <f>MIN(VLOOKUP($A333,lmic_raw[],11,FALSE)*(1+interactive!$C$7),0.9999)</f>
        <v>0.88200000000000001</v>
      </c>
      <c r="L333" s="33">
        <f>MIN(VLOOKUP($A333,lmic_raw[],12,FALSE)*(1+interactive!$C$7),0.9999)</f>
        <v>0.89249999999999996</v>
      </c>
      <c r="M333" s="84">
        <f>IFERROR(VLOOKUP(lmic_raw_ub[[#This Row],[iso3]], hbv_prev[[iso3]:[ub]],4,FALSE)/100,0)</f>
        <v>3.1400000000000004E-2</v>
      </c>
      <c r="N333" s="84">
        <f>IFERROR(VLOOKUP(lmic_raw_ub[[#This Row],[setting]],hbe_prev[],5,FALSE),0)</f>
        <v>0.47729999999999995</v>
      </c>
      <c r="O333" s="84">
        <f>VLOOKUP(lmic_raw_ub[[#This Row],[gbd_super]],hbe_risk[],4,FALSE)</f>
        <v>0.9</v>
      </c>
      <c r="P333" s="84">
        <f>VLOOKUP(lmic_raw_ub[[#This Row],[gbd_super]],hbe_risk[],7,FALSE)</f>
        <v>0.3</v>
      </c>
      <c r="Q333" s="98">
        <f>VLOOKUP(lmic_raw_ub[[#This Row],[setting]],lmic_raw[],17,FALSE)*(1+interactive!$C$7)</f>
        <v>5.0344279208583593</v>
      </c>
      <c r="R333" s="98">
        <f>VLOOKUP(lmic_raw_ub[[#This Row],[setting]],lmic_raw[],18,FALSE)*(1+interactive!$C$7)</f>
        <v>76.738725000000002</v>
      </c>
      <c r="S333" s="98">
        <f>VLOOKUP(lmic_raw_ub[[#This Row],[setting]],lmic_raw[],19,FALSE)*(1+interactive!$C$7)</f>
        <v>126.867825</v>
      </c>
      <c r="T333" s="98">
        <f>VLOOKUP(lmic_raw_ub[[#This Row],[setting]],lmic_raw[],20,FALSE)*(1+interactive!$C$7)</f>
        <v>126.867825</v>
      </c>
      <c r="U333" s="98">
        <f>VLOOKUP(lmic_raw_ub[[#This Row],[setting]],lmic_raw[],21,FALSE)*(1+interactive!$C$7)</f>
        <v>126.867825</v>
      </c>
      <c r="V333" s="33">
        <f>IFERROR(VLOOKUP(lmic_raw_ub[[#This Row],[setting]],vcost_ub[],3,FALSE),0)</f>
        <v>4.4050725956494947</v>
      </c>
      <c r="W333" s="33">
        <f>IFERROR(VLOOKUP(lmic_raw_ub[[#This Row],[setting]],vcost_ub[],4,FALSE),0)</f>
        <v>5.0688825956494945</v>
      </c>
      <c r="X333" s="33">
        <f>IFERROR(VLOOKUP(lmic_raw_ub[[#This Row],[setting]],vcost_ub[],5,FALSE),0)</f>
        <v>3.876635214525038</v>
      </c>
      <c r="Y333" s="33">
        <f>IFERROR(VLOOKUP(lmic_raw_ub[[#This Row],[setting]],vcost_ub[],6,FALSE),0)</f>
        <v>4.5404452145250378</v>
      </c>
      <c r="Z333" s="33">
        <f>IFERROR(VLOOKUP(lmic_raw_ub[[#This Row],[setting]],vcost_ub[],7,FALSE),0)</f>
        <v>4.5157438463912261</v>
      </c>
      <c r="AA333" s="33">
        <f>IFERROR(VLOOKUP(lmic_raw_ub[[#This Row],[setting]],vcost_ub[],8,FALSE),0)</f>
        <v>4.6810990840208362</v>
      </c>
      <c r="AB333" s="33">
        <f>IFERROR(VLOOKUP(lmic_raw_ub[[#This Row],[setting]],vcost_ub[],9,FALSE),0)</f>
        <v>5.344909084020836</v>
      </c>
      <c r="AC333" s="84">
        <f>VLOOKUP($A333,lmic_raw[],29,FALSE)*(1+interactive!$C$7)</f>
        <v>1.9869024000000002E-2</v>
      </c>
      <c r="AD333" s="84">
        <f>VLOOKUP($A333,lmic_raw[],30,FALSE)*(1+interactive!$C$7)</f>
        <v>1.5983280957566452E-3</v>
      </c>
      <c r="AE333" s="84">
        <f>VLOOKUP($A333,lmic_raw[],31,FALSE)*(1+interactive!$C$7)</f>
        <v>5.317669518702259E-4</v>
      </c>
      <c r="AF333" s="84">
        <f>VLOOKUP($A333,lmic_raw[],32,FALSE)*(1+interactive!$C$7)</f>
        <v>4.6992266743958847E-4</v>
      </c>
      <c r="AG333" s="84">
        <f>VLOOKUP($A333,lmic_raw[],33,FALSE)*(1+interactive!$C$7)</f>
        <v>9.8525335156254032E-4</v>
      </c>
      <c r="AH333" s="84">
        <f>VLOOKUP($A333,lmic_raw[],34,FALSE)*(1+interactive!$C$7)</f>
        <v>1.294545076868453E-3</v>
      </c>
      <c r="AI333" s="84">
        <f>VLOOKUP($A333,lmic_raw[],35,FALSE)*(1+interactive!$C$7)</f>
        <v>1.3718696299308646E-3</v>
      </c>
      <c r="AJ333" s="84">
        <f>VLOOKUP($A333,lmic_raw[],36,FALSE)*(1+interactive!$C$7)</f>
        <v>1.6319205705330731E-3</v>
      </c>
      <c r="AK333" s="84">
        <f>VLOOKUP($A333,lmic_raw[],37,FALSE)*(1+interactive!$C$7)</f>
        <v>2.1955601320357318E-3</v>
      </c>
      <c r="AL333" s="84">
        <f>VLOOKUP($A333,lmic_raw[],38,FALSE)*(1+interactive!$C$7)</f>
        <v>3.1497590788818132E-3</v>
      </c>
      <c r="AM333" s="84">
        <f>VLOOKUP($A333,lmic_raw[],39,FALSE)*(1+interactive!$C$7)</f>
        <v>4.8260066024062532E-3</v>
      </c>
      <c r="AN333" s="84">
        <f>VLOOKUP($A333,lmic_raw[],40,FALSE)*(1+interactive!$C$7)</f>
        <v>7.4628070438420829E-3</v>
      </c>
      <c r="AO333" s="84">
        <f>VLOOKUP($A333,lmic_raw[],41,FALSE)*(1+interactive!$C$7)</f>
        <v>1.1589469335299878E-2</v>
      </c>
      <c r="AP333" s="84">
        <f>VLOOKUP($A333,lmic_raw[],42,FALSE)*(1+interactive!$C$7)</f>
        <v>1.78593161261161E-2</v>
      </c>
      <c r="AQ333" s="84">
        <f>VLOOKUP($A333,lmic_raw[],43,FALSE)*(1+interactive!$C$7)</f>
        <v>2.7082054787097947E-2</v>
      </c>
      <c r="AR333" s="84">
        <f>VLOOKUP($A333,lmic_raw[],44,FALSE)*(1+interactive!$C$7)</f>
        <v>4.1457301910177359E-2</v>
      </c>
      <c r="AS333" s="84">
        <f>VLOOKUP($A333,lmic_raw[],45,FALSE)*(1+interactive!$C$7)</f>
        <v>6.4054375396910709E-2</v>
      </c>
      <c r="AT333" s="84">
        <f>VLOOKUP($A333,lmic_raw[],46,FALSE)*(1+interactive!$C$7)</f>
        <v>9.3890542058254117E-2</v>
      </c>
      <c r="AU333" s="84">
        <f>VLOOKUP($A333,lmic_raw[],47,FALSE)*(1+interactive!$C$7)</f>
        <v>0.12900237788885924</v>
      </c>
      <c r="AV333" s="84">
        <f>VLOOKUP($A333,lmic_raw[],48,FALSE)*(1+interactive!$C$7)</f>
        <v>0.15996857237431761</v>
      </c>
      <c r="AW333" s="84">
        <f>VLOOKUP($A333,lmic_raw[],49,FALSE)*(1+interactive!$C$7)</f>
        <v>0.18287860799293942</v>
      </c>
      <c r="AX333" s="84">
        <f>VLOOKUP($A333,lmic_raw[],50,FALSE)*(1+interactive!$C$7)</f>
        <v>74.979450000000014</v>
      </c>
    </row>
    <row r="334" spans="1:50" x14ac:dyDescent="0.25">
      <c r="A334" s="82" t="s">
        <v>195</v>
      </c>
      <c r="B334" s="101" t="s">
        <v>440</v>
      </c>
      <c r="C334" s="102">
        <v>364</v>
      </c>
      <c r="D334" s="82" t="s">
        <v>673</v>
      </c>
      <c r="E334" s="82" t="s">
        <v>579</v>
      </c>
      <c r="F334" s="82" t="s">
        <v>579</v>
      </c>
      <c r="G334" s="82" t="s">
        <v>676</v>
      </c>
      <c r="H334" s="33">
        <f>VLOOKUP(lmic_raw_ub[[#This Row],[setting]],lmic_raw[],8,FALSE)</f>
        <v>82913893</v>
      </c>
      <c r="I334" s="33">
        <f>VLOOKUP(lmic_raw_ub[[#This Row],[setting]],lmic_raw[],9,FALSE)</f>
        <v>1583406.6146210001</v>
      </c>
      <c r="J334" s="84">
        <f>MIN(VLOOKUP($A334,lmic_raw[],10,FALSE)*(1+interactive!$C$7),0.9999)</f>
        <v>0.99990000000000001</v>
      </c>
      <c r="K334" s="84">
        <f>MIN(VLOOKUP($A334,lmic_raw[],11,FALSE)*(1+interactive!$C$7),0.9999)</f>
        <v>0.99749999999999994</v>
      </c>
      <c r="L334" s="33">
        <f>MIN(VLOOKUP($A334,lmic_raw[],12,FALSE)*(1+interactive!$C$7),0.9999)</f>
        <v>0.99990000000000001</v>
      </c>
      <c r="M334" s="84">
        <f>IFERROR(VLOOKUP(lmic_raw_ub[[#This Row],[iso3]], hbv_prev[[iso3]:[ub]],4,FALSE)/100,0)</f>
        <v>1.9E-3</v>
      </c>
      <c r="N334" s="84">
        <f>IFERROR(VLOOKUP(lmic_raw_ub[[#This Row],[setting]],hbe_prev[],5,FALSE),0)</f>
        <v>0.37619999999999998</v>
      </c>
      <c r="O334" s="84">
        <f>VLOOKUP(lmic_raw_ub[[#This Row],[gbd_super]],hbe_risk[],4,FALSE)</f>
        <v>0.9</v>
      </c>
      <c r="P334" s="84">
        <f>VLOOKUP(lmic_raw_ub[[#This Row],[gbd_super]],hbe_risk[],7,FALSE)</f>
        <v>0.3</v>
      </c>
      <c r="Q334" s="98">
        <f>VLOOKUP(lmic_raw_ub[[#This Row],[setting]],lmic_raw[],17,FALSE)*(1+interactive!$C$7)</f>
        <v>11.041354205680342</v>
      </c>
      <c r="R334" s="98">
        <f>VLOOKUP(lmic_raw_ub[[#This Row],[setting]],lmic_raw[],18,FALSE)*(1+interactive!$C$7)</f>
        <v>48.652695000000001</v>
      </c>
      <c r="S334" s="98">
        <f>VLOOKUP(lmic_raw_ub[[#This Row],[setting]],lmic_raw[],19,FALSE)*(1+interactive!$C$7)</f>
        <v>98.781795000000017</v>
      </c>
      <c r="T334" s="98">
        <f>VLOOKUP(lmic_raw_ub[[#This Row],[setting]],lmic_raw[],20,FALSE)*(1+interactive!$C$7)</f>
        <v>98.781795000000017</v>
      </c>
      <c r="U334" s="98">
        <f>VLOOKUP(lmic_raw_ub[[#This Row],[setting]],lmic_raw[],21,FALSE)*(1+interactive!$C$7)</f>
        <v>98.781795000000017</v>
      </c>
      <c r="V334" s="33">
        <f>IFERROR(VLOOKUP(lmic_raw_ub[[#This Row],[setting]],vcost_ub[],3,FALSE),0)</f>
        <v>7.444286432361614</v>
      </c>
      <c r="W334" s="33">
        <f>IFERROR(VLOOKUP(lmic_raw_ub[[#This Row],[setting]],vcost_ub[],4,FALSE),0)</f>
        <v>7.9478664323616144</v>
      </c>
      <c r="X334" s="33">
        <f>IFERROR(VLOOKUP(lmic_raw_ub[[#This Row],[setting]],vcost_ub[],5,FALSE),0)</f>
        <v>6.9247786507300635</v>
      </c>
      <c r="Y334" s="33">
        <f>IFERROR(VLOOKUP(lmic_raw_ub[[#This Row],[setting]],vcost_ub[],6,FALSE),0)</f>
        <v>7.4283586507300639</v>
      </c>
      <c r="Z334" s="33">
        <f>IFERROR(VLOOKUP(lmic_raw_ub[[#This Row],[setting]],vcost_ub[],7,FALSE),0)</f>
        <v>7.4062487630991338</v>
      </c>
      <c r="AA334" s="33">
        <f>IFERROR(VLOOKUP(lmic_raw_ub[[#This Row],[setting]],vcost_ub[],8,FALSE),0)</f>
        <v>7.7182859564308872</v>
      </c>
      <c r="AB334" s="33">
        <f>IFERROR(VLOOKUP(lmic_raw_ub[[#This Row],[setting]],vcost_ub[],9,FALSE),0)</f>
        <v>8.2218659564308876</v>
      </c>
      <c r="AC334" s="84">
        <f>VLOOKUP($A334,lmic_raw[],29,FALSE)*(1+interactive!$C$7)</f>
        <v>1.3458322499999953E-2</v>
      </c>
      <c r="AD334" s="84">
        <f>VLOOKUP($A334,lmic_raw[],30,FALSE)*(1+interactive!$C$7)</f>
        <v>5.5841267656120972E-4</v>
      </c>
      <c r="AE334" s="84">
        <f>VLOOKUP($A334,lmic_raw[],31,FALSE)*(1+interactive!$C$7)</f>
        <v>1.8471629986170014E-4</v>
      </c>
      <c r="AF334" s="84">
        <f>VLOOKUP($A334,lmic_raw[],32,FALSE)*(1+interactive!$C$7)</f>
        <v>2.0574202178473276E-4</v>
      </c>
      <c r="AG334" s="84">
        <f>VLOOKUP($A334,lmic_raw[],33,FALSE)*(1+interactive!$C$7)</f>
        <v>4.4805471444909898E-4</v>
      </c>
      <c r="AH334" s="84">
        <f>VLOOKUP($A334,lmic_raw[],34,FALSE)*(1+interactive!$C$7)</f>
        <v>7.9738038658215245E-4</v>
      </c>
      <c r="AI334" s="84">
        <f>VLOOKUP($A334,lmic_raw[],35,FALSE)*(1+interactive!$C$7)</f>
        <v>6.2137479854789638E-4</v>
      </c>
      <c r="AJ334" s="84">
        <f>VLOOKUP($A334,lmic_raw[],36,FALSE)*(1+interactive!$C$7)</f>
        <v>6.773125844568551E-4</v>
      </c>
      <c r="AK334" s="84">
        <f>VLOOKUP($A334,lmic_raw[],37,FALSE)*(1+interactive!$C$7)</f>
        <v>7.4112321547917909E-4</v>
      </c>
      <c r="AL334" s="84">
        <f>VLOOKUP($A334,lmic_raw[],38,FALSE)*(1+interactive!$C$7)</f>
        <v>1.0916555623559725E-3</v>
      </c>
      <c r="AM334" s="84">
        <f>VLOOKUP($A334,lmic_raw[],39,FALSE)*(1+interactive!$C$7)</f>
        <v>1.8266907638754982E-3</v>
      </c>
      <c r="AN334" s="84">
        <f>VLOOKUP($A334,lmic_raw[],40,FALSE)*(1+interactive!$C$7)</f>
        <v>3.4010818631050768E-3</v>
      </c>
      <c r="AO334" s="84">
        <f>VLOOKUP($A334,lmic_raw[],41,FALSE)*(1+interactive!$C$7)</f>
        <v>5.0381783102678348E-3</v>
      </c>
      <c r="AP334" s="84">
        <f>VLOOKUP($A334,lmic_raw[],42,FALSE)*(1+interactive!$C$7)</f>
        <v>9.3134854406086241E-3</v>
      </c>
      <c r="AQ334" s="84">
        <f>VLOOKUP($A334,lmic_raw[],43,FALSE)*(1+interactive!$C$7)</f>
        <v>1.6971039634590228E-2</v>
      </c>
      <c r="AR334" s="84">
        <f>VLOOKUP($A334,lmic_raw[],44,FALSE)*(1+interactive!$C$7)</f>
        <v>3.3831010608886755E-2</v>
      </c>
      <c r="AS334" s="84">
        <f>VLOOKUP($A334,lmic_raw[],45,FALSE)*(1+interactive!$C$7)</f>
        <v>6.7229980862245561E-2</v>
      </c>
      <c r="AT334" s="84">
        <f>VLOOKUP($A334,lmic_raw[],46,FALSE)*(1+interactive!$C$7)</f>
        <v>9.675867699245766E-2</v>
      </c>
      <c r="AU334" s="84">
        <f>VLOOKUP($A334,lmic_raw[],47,FALSE)*(1+interactive!$C$7)</f>
        <v>0.13191119083738626</v>
      </c>
      <c r="AV334" s="84">
        <f>VLOOKUP($A334,lmic_raw[],48,FALSE)*(1+interactive!$C$7)</f>
        <v>0.16558841105245961</v>
      </c>
      <c r="AW334" s="84">
        <f>VLOOKUP($A334,lmic_raw[],49,FALSE)*(1+interactive!$C$7)</f>
        <v>0.18775466739068844</v>
      </c>
      <c r="AX334" s="84">
        <f>VLOOKUP($A334,lmic_raw[],50,FALSE)*(1+interactive!$C$7)</f>
        <v>80.163300000000007</v>
      </c>
    </row>
    <row r="335" spans="1:50" x14ac:dyDescent="0.25">
      <c r="A335" s="110" t="s">
        <v>170</v>
      </c>
      <c r="B335" s="104" t="s">
        <v>441</v>
      </c>
      <c r="C335" s="105">
        <v>368</v>
      </c>
      <c r="D335" s="84" t="s">
        <v>673</v>
      </c>
      <c r="E335" s="84" t="s">
        <v>579</v>
      </c>
      <c r="F335" s="84" t="s">
        <v>579</v>
      </c>
      <c r="G335" s="84" t="s">
        <v>676</v>
      </c>
      <c r="H335" s="33">
        <f>VLOOKUP(lmic_raw_ub[[#This Row],[setting]],lmic_raw[],8,FALSE)</f>
        <v>39309789</v>
      </c>
      <c r="I335" s="33">
        <f>VLOOKUP(lmic_raw_ub[[#This Row],[setting]],lmic_raw[],9,FALSE)</f>
        <v>1145133.4633589999</v>
      </c>
      <c r="J335" s="84">
        <f>MIN(VLOOKUP($A335,lmic_raw[],10,FALSE)*(1+interactive!$C$7),0.9999)</f>
        <v>0.9093</v>
      </c>
      <c r="K335" s="84">
        <f>MIN(VLOOKUP($A335,lmic_raw[],11,FALSE)*(1+interactive!$C$7),0.9999)</f>
        <v>0.43049999999999999</v>
      </c>
      <c r="L335" s="33">
        <f>MIN(VLOOKUP($A335,lmic_raw[],12,FALSE)*(1+interactive!$C$7),0.9999)</f>
        <v>0.88200000000000001</v>
      </c>
      <c r="M335" s="84">
        <f>IFERROR(VLOOKUP(lmic_raw_ub[[#This Row],[iso3]], hbv_prev[[iso3]:[ub]],4,FALSE)/100,0)</f>
        <v>1.8E-3</v>
      </c>
      <c r="N335" s="84">
        <f>IFERROR(VLOOKUP(lmic_raw_ub[[#This Row],[setting]],hbe_prev[],5,FALSE),0)</f>
        <v>0.37619999999999998</v>
      </c>
      <c r="O335" s="84">
        <f>VLOOKUP(lmic_raw_ub[[#This Row],[gbd_super]],hbe_risk[],4,FALSE)</f>
        <v>0.9</v>
      </c>
      <c r="P335" s="84">
        <f>VLOOKUP(lmic_raw_ub[[#This Row],[gbd_super]],hbe_risk[],7,FALSE)</f>
        <v>0.3</v>
      </c>
      <c r="Q335" s="98">
        <f>VLOOKUP(lmic_raw_ub[[#This Row],[setting]],lmic_raw[],17,FALSE)*(1+interactive!$C$7)</f>
        <v>4.6356278355589744</v>
      </c>
      <c r="R335" s="98">
        <f>VLOOKUP(lmic_raw_ub[[#This Row],[setting]],lmic_raw[],18,FALSE)*(1+interactive!$C$7)</f>
        <v>48.652695000000001</v>
      </c>
      <c r="S335" s="98">
        <f>VLOOKUP(lmic_raw_ub[[#This Row],[setting]],lmic_raw[],19,FALSE)*(1+interactive!$C$7)</f>
        <v>98.781795000000017</v>
      </c>
      <c r="T335" s="98">
        <f>VLOOKUP(lmic_raw_ub[[#This Row],[setting]],lmic_raw[],20,FALSE)*(1+interactive!$C$7)</f>
        <v>98.781795000000017</v>
      </c>
      <c r="U335" s="98">
        <f>VLOOKUP(lmic_raw_ub[[#This Row],[setting]],lmic_raw[],21,FALSE)*(1+interactive!$C$7)</f>
        <v>98.781795000000017</v>
      </c>
      <c r="V335" s="33">
        <f>IFERROR(VLOOKUP(lmic_raw_ub[[#This Row],[setting]],vcost_ub[],3,FALSE),0)</f>
        <v>6.39082000154401</v>
      </c>
      <c r="W335" s="33">
        <f>IFERROR(VLOOKUP(lmic_raw_ub[[#This Row],[setting]],vcost_ub[],4,FALSE),0)</f>
        <v>6.8944000015440103</v>
      </c>
      <c r="X335" s="33">
        <f>IFERROR(VLOOKUP(lmic_raw_ub[[#This Row],[setting]],vcost_ub[],5,FALSE),0)</f>
        <v>5.8725993500041103</v>
      </c>
      <c r="Y335" s="33">
        <f>IFERROR(VLOOKUP(lmic_raw_ub[[#This Row],[setting]],vcost_ub[],6,FALSE),0)</f>
        <v>6.3761793500041106</v>
      </c>
      <c r="Z335" s="33">
        <f>IFERROR(VLOOKUP(lmic_raw_ub[[#This Row],[setting]],vcost_ub[],7,FALSE),0)</f>
        <v>6.3572739559057991</v>
      </c>
      <c r="AA335" s="33">
        <f>IFERROR(VLOOKUP(lmic_raw_ub[[#This Row],[setting]],vcost_ub[],8,FALSE),0)</f>
        <v>6.664527354978981</v>
      </c>
      <c r="AB335" s="33">
        <f>IFERROR(VLOOKUP(lmic_raw_ub[[#This Row],[setting]],vcost_ub[],9,FALSE),0)</f>
        <v>7.1681073549789813</v>
      </c>
      <c r="AC335" s="84">
        <f>VLOOKUP($A335,lmic_raw[],29,FALSE)*(1+interactive!$C$7)</f>
        <v>2.531634000000002E-2</v>
      </c>
      <c r="AD335" s="84">
        <f>VLOOKUP($A335,lmic_raw[],30,FALSE)*(1+interactive!$C$7)</f>
        <v>1.1339808095017472E-3</v>
      </c>
      <c r="AE335" s="84">
        <f>VLOOKUP($A335,lmic_raw[],31,FALSE)*(1+interactive!$C$7)</f>
        <v>7.1212629535417633E-4</v>
      </c>
      <c r="AF335" s="84">
        <f>VLOOKUP($A335,lmic_raw[],32,FALSE)*(1+interactive!$C$7)</f>
        <v>5.9385741571829132E-4</v>
      </c>
      <c r="AG335" s="84">
        <f>VLOOKUP($A335,lmic_raw[],33,FALSE)*(1+interactive!$C$7)</f>
        <v>1.0504350099686313E-3</v>
      </c>
      <c r="AH335" s="84">
        <f>VLOOKUP($A335,lmic_raw[],34,FALSE)*(1+interactive!$C$7)</f>
        <v>1.4858813775139265E-3</v>
      </c>
      <c r="AI335" s="84">
        <f>VLOOKUP($A335,lmic_raw[],35,FALSE)*(1+interactive!$C$7)</f>
        <v>1.6004185945742446E-3</v>
      </c>
      <c r="AJ335" s="84">
        <f>VLOOKUP($A335,lmic_raw[],36,FALSE)*(1+interactive!$C$7)</f>
        <v>1.83530794092175E-3</v>
      </c>
      <c r="AK335" s="84">
        <f>VLOOKUP($A335,lmic_raw[],37,FALSE)*(1+interactive!$C$7)</f>
        <v>2.313926199303277E-3</v>
      </c>
      <c r="AL335" s="84">
        <f>VLOOKUP($A335,lmic_raw[],38,FALSE)*(1+interactive!$C$7)</f>
        <v>3.2453648241989354E-3</v>
      </c>
      <c r="AM335" s="84">
        <f>VLOOKUP($A335,lmic_raw[],39,FALSE)*(1+interactive!$C$7)</f>
        <v>4.9269924895710953E-3</v>
      </c>
      <c r="AN335" s="84">
        <f>VLOOKUP($A335,lmic_raw[],40,FALSE)*(1+interactive!$C$7)</f>
        <v>7.5229696541237335E-3</v>
      </c>
      <c r="AO335" s="84">
        <f>VLOOKUP($A335,lmic_raw[],41,FALSE)*(1+interactive!$C$7)</f>
        <v>1.1630352163331073E-2</v>
      </c>
      <c r="AP335" s="84">
        <f>VLOOKUP($A335,lmic_raw[],42,FALSE)*(1+interactive!$C$7)</f>
        <v>1.8076219864854696E-2</v>
      </c>
      <c r="AQ335" s="84">
        <f>VLOOKUP($A335,lmic_raw[],43,FALSE)*(1+interactive!$C$7)</f>
        <v>2.8603318144052894E-2</v>
      </c>
      <c r="AR335" s="84">
        <f>VLOOKUP($A335,lmic_raw[],44,FALSE)*(1+interactive!$C$7)</f>
        <v>4.5211923299575726E-2</v>
      </c>
      <c r="AS335" s="84">
        <f>VLOOKUP($A335,lmic_raw[],45,FALSE)*(1+interactive!$C$7)</f>
        <v>6.9239899546043274E-2</v>
      </c>
      <c r="AT335" s="84">
        <f>VLOOKUP($A335,lmic_raw[],46,FALSE)*(1+interactive!$C$7)</f>
        <v>0.10203123668849866</v>
      </c>
      <c r="AU335" s="84">
        <f>VLOOKUP($A335,lmic_raw[],47,FALSE)*(1+interactive!$C$7)</f>
        <v>0.1373325941575895</v>
      </c>
      <c r="AV335" s="84">
        <f>VLOOKUP($A335,lmic_raw[],48,FALSE)*(1+interactive!$C$7)</f>
        <v>0.16773222384353303</v>
      </c>
      <c r="AW335" s="84">
        <f>VLOOKUP($A335,lmic_raw[],49,FALSE)*(1+interactive!$C$7)</f>
        <v>0.18674116218268028</v>
      </c>
      <c r="AX335" s="84">
        <f>VLOOKUP($A335,lmic_raw[],50,FALSE)*(1+interactive!$C$7)</f>
        <v>73.886399999999995</v>
      </c>
    </row>
    <row r="336" spans="1:50" x14ac:dyDescent="0.25">
      <c r="A336" s="109" t="s">
        <v>239</v>
      </c>
      <c r="B336" s="101" t="s">
        <v>444</v>
      </c>
      <c r="C336" s="102">
        <v>388</v>
      </c>
      <c r="D336" s="82" t="s">
        <v>679</v>
      </c>
      <c r="E336" s="82" t="s">
        <v>223</v>
      </c>
      <c r="F336" s="82" t="s">
        <v>665</v>
      </c>
      <c r="G336" s="82" t="s">
        <v>676</v>
      </c>
      <c r="H336" s="33">
        <f>VLOOKUP(lmic_raw_ub[[#This Row],[setting]],lmic_raw[],8,FALSE)</f>
        <v>2948277</v>
      </c>
      <c r="I336" s="33">
        <f>VLOOKUP(lmic_raw_ub[[#This Row],[setting]],lmic_raw[],9,FALSE)</f>
        <v>47847.587433000001</v>
      </c>
      <c r="J336" s="84">
        <f>MIN(VLOOKUP($A336,lmic_raw[],10,FALSE)*(1+interactive!$C$7),0.9999)</f>
        <v>0.99990000000000001</v>
      </c>
      <c r="K336" s="84">
        <f>MIN(VLOOKUP($A336,lmic_raw[],11,FALSE)*(1+interactive!$C$7),0.9999)</f>
        <v>0</v>
      </c>
      <c r="L336" s="33">
        <f>MIN(VLOOKUP($A336,lmic_raw[],12,FALSE)*(1+interactive!$C$7),0.9999)</f>
        <v>0.99990000000000001</v>
      </c>
      <c r="M336" s="84">
        <f>IFERROR(VLOOKUP(lmic_raw_ub[[#This Row],[iso3]], hbv_prev[[iso3]:[ub]],4,FALSE)/100,0)</f>
        <v>1.41E-2</v>
      </c>
      <c r="N336" s="84">
        <f>IFERROR(VLOOKUP(lmic_raw_ub[[#This Row],[setting]],hbe_prev[],5,FALSE),0)</f>
        <v>0.43</v>
      </c>
      <c r="O336" s="84">
        <f>VLOOKUP(lmic_raw_ub[[#This Row],[gbd_super]],hbe_risk[],4,FALSE)</f>
        <v>0.9</v>
      </c>
      <c r="P336" s="84">
        <f>VLOOKUP(lmic_raw_ub[[#This Row],[gbd_super]],hbe_risk[],7,FALSE)</f>
        <v>0.3</v>
      </c>
      <c r="Q336" s="98">
        <f>VLOOKUP(lmic_raw_ub[[#This Row],[setting]],lmic_raw[],17,FALSE)*(1+interactive!$C$7)</f>
        <v>9.9321914684414292</v>
      </c>
      <c r="R336" s="98">
        <f>VLOOKUP(lmic_raw_ub[[#This Row],[setting]],lmic_raw[],18,FALSE)*(1+interactive!$C$7)</f>
        <v>91.228094999999996</v>
      </c>
      <c r="S336" s="98">
        <f>VLOOKUP(lmic_raw_ub[[#This Row],[setting]],lmic_raw[],19,FALSE)*(1+interactive!$C$7)</f>
        <v>141.35719500000002</v>
      </c>
      <c r="T336" s="98">
        <f>VLOOKUP(lmic_raw_ub[[#This Row],[setting]],lmic_raw[],20,FALSE)*(1+interactive!$C$7)</f>
        <v>141.35719500000002</v>
      </c>
      <c r="U336" s="98">
        <f>VLOOKUP(lmic_raw_ub[[#This Row],[setting]],lmic_raw[],21,FALSE)*(1+interactive!$C$7)</f>
        <v>141.35719500000002</v>
      </c>
      <c r="V336" s="33">
        <f>IFERROR(VLOOKUP(lmic_raw_ub[[#This Row],[setting]],vcost_ub[],3,FALSE),0)</f>
        <v>12.633399385463767</v>
      </c>
      <c r="W336" s="33">
        <f>IFERROR(VLOOKUP(lmic_raw_ub[[#This Row],[setting]],vcost_ub[],4,FALSE),0)</f>
        <v>12.656289385463767</v>
      </c>
      <c r="X336" s="33">
        <f>IFERROR(VLOOKUP(lmic_raw_ub[[#This Row],[setting]],vcost_ub[],5,FALSE),0)</f>
        <v>12.114828762632076</v>
      </c>
      <c r="Y336" s="33">
        <f>IFERROR(VLOOKUP(lmic_raw_ub[[#This Row],[setting]],vcost_ub[],6,FALSE),0)</f>
        <v>12.137718762632076</v>
      </c>
      <c r="Z336" s="33">
        <f>IFERROR(VLOOKUP(lmic_raw_ub[[#This Row],[setting]],vcost_ub[],7,FALSE),0)</f>
        <v>12.116887971946969</v>
      </c>
      <c r="AA336" s="33">
        <f>IFERROR(VLOOKUP(lmic_raw_ub[[#This Row],[setting]],vcost_ub[],8,FALSE),0)</f>
        <v>12.907186180234911</v>
      </c>
      <c r="AB336" s="33">
        <f>IFERROR(VLOOKUP(lmic_raw_ub[[#This Row],[setting]],vcost_ub[],9,FALSE),0)</f>
        <v>12.930076180234911</v>
      </c>
      <c r="AC336" s="84">
        <f>VLOOKUP($A336,lmic_raw[],29,FALSE)*(1+interactive!$C$7)</f>
        <v>1.2361219500000058E-2</v>
      </c>
      <c r="AD336" s="84">
        <f>VLOOKUP($A336,lmic_raw[],30,FALSE)*(1+interactive!$C$7)</f>
        <v>8.4839973726287619E-4</v>
      </c>
      <c r="AE336" s="84">
        <f>VLOOKUP($A336,lmic_raw[],31,FALSE)*(1+interactive!$C$7)</f>
        <v>3.6026461476752004E-4</v>
      </c>
      <c r="AF336" s="84">
        <f>VLOOKUP($A336,lmic_raw[],32,FALSE)*(1+interactive!$C$7)</f>
        <v>3.4351085768505172E-4</v>
      </c>
      <c r="AG336" s="84">
        <f>VLOOKUP($A336,lmic_raw[],33,FALSE)*(1+interactive!$C$7)</f>
        <v>8.2836981671643398E-4</v>
      </c>
      <c r="AH336" s="84">
        <f>VLOOKUP($A336,lmic_raw[],34,FALSE)*(1+interactive!$C$7)</f>
        <v>1.1319560776694008E-3</v>
      </c>
      <c r="AI336" s="84">
        <f>VLOOKUP($A336,lmic_raw[],35,FALSE)*(1+interactive!$C$7)</f>
        <v>1.2054311884014434E-3</v>
      </c>
      <c r="AJ336" s="84">
        <f>VLOOKUP($A336,lmic_raw[],36,FALSE)*(1+interactive!$C$7)</f>
        <v>1.4423720720455817E-3</v>
      </c>
      <c r="AK336" s="84">
        <f>VLOOKUP($A336,lmic_raw[],37,FALSE)*(1+interactive!$C$7)</f>
        <v>1.9517706201661006E-3</v>
      </c>
      <c r="AL336" s="84">
        <f>VLOOKUP($A336,lmic_raw[],38,FALSE)*(1+interactive!$C$7)</f>
        <v>2.8533758647448148E-3</v>
      </c>
      <c r="AM336" s="84">
        <f>VLOOKUP($A336,lmic_raw[],39,FALSE)*(1+interactive!$C$7)</f>
        <v>4.4276788163067141E-3</v>
      </c>
      <c r="AN336" s="84">
        <f>VLOOKUP($A336,lmic_raw[],40,FALSE)*(1+interactive!$C$7)</f>
        <v>6.8970928109862994E-3</v>
      </c>
      <c r="AO336" s="84">
        <f>VLOOKUP($A336,lmic_raw[],41,FALSE)*(1+interactive!$C$7)</f>
        <v>1.0612424063641648E-2</v>
      </c>
      <c r="AP336" s="84">
        <f>VLOOKUP($A336,lmic_raw[],42,FALSE)*(1+interactive!$C$7)</f>
        <v>1.4869253583329434E-2</v>
      </c>
      <c r="AQ336" s="84">
        <f>VLOOKUP($A336,lmic_raw[],43,FALSE)*(1+interactive!$C$7)</f>
        <v>2.1023688699544747E-2</v>
      </c>
      <c r="AR336" s="84">
        <f>VLOOKUP($A336,lmic_raw[],44,FALSE)*(1+interactive!$C$7)</f>
        <v>3.1757470504404466E-2</v>
      </c>
      <c r="AS336" s="84">
        <f>VLOOKUP($A336,lmic_raw[],45,FALSE)*(1+interactive!$C$7)</f>
        <v>5.1018392212887634E-2</v>
      </c>
      <c r="AT336" s="84">
        <f>VLOOKUP($A336,lmic_raw[],46,FALSE)*(1+interactive!$C$7)</f>
        <v>7.8619034170265875E-2</v>
      </c>
      <c r="AU336" s="84">
        <f>VLOOKUP($A336,lmic_raw[],47,FALSE)*(1+interactive!$C$7)</f>
        <v>0.1130521063295285</v>
      </c>
      <c r="AV336" s="84">
        <f>VLOOKUP($A336,lmic_raw[],48,FALSE)*(1+interactive!$C$7)</f>
        <v>0.14621290912694762</v>
      </c>
      <c r="AW336" s="84">
        <f>VLOOKUP($A336,lmic_raw[],49,FALSE)*(1+interactive!$C$7)</f>
        <v>0.17218635636877758</v>
      </c>
      <c r="AX336" s="84">
        <f>VLOOKUP($A336,lmic_raw[],50,FALSE)*(1+interactive!$C$7)</f>
        <v>78.048599999999993</v>
      </c>
    </row>
    <row r="337" spans="1:50" x14ac:dyDescent="0.25">
      <c r="A337" s="110" t="s">
        <v>172</v>
      </c>
      <c r="B337" s="104" t="s">
        <v>446</v>
      </c>
      <c r="C337" s="105">
        <v>400</v>
      </c>
      <c r="D337" s="84" t="s">
        <v>673</v>
      </c>
      <c r="E337" s="84" t="s">
        <v>579</v>
      </c>
      <c r="F337" s="84" t="s">
        <v>579</v>
      </c>
      <c r="G337" s="84" t="s">
        <v>676</v>
      </c>
      <c r="H337" s="33">
        <f>VLOOKUP(lmic_raw_ub[[#This Row],[setting]],lmic_raw[],8,FALSE)</f>
        <v>10101697</v>
      </c>
      <c r="I337" s="33">
        <f>VLOOKUP(lmic_raw_ub[[#This Row],[setting]],lmic_raw[],9,FALSE)</f>
        <v>222732.31715300001</v>
      </c>
      <c r="J337" s="84">
        <f>MIN(VLOOKUP($A337,lmic_raw[],10,FALSE)*(1+interactive!$C$7),0.9999)</f>
        <v>0.99990000000000001</v>
      </c>
      <c r="K337" s="84">
        <f>MIN(VLOOKUP($A337,lmic_raw[],11,FALSE)*(1+interactive!$C$7),0.9999)</f>
        <v>0</v>
      </c>
      <c r="L337" s="33">
        <f>MIN(VLOOKUP($A337,lmic_raw[],12,FALSE)*(1+interactive!$C$7),0.9999)</f>
        <v>0.93450000000000011</v>
      </c>
      <c r="M337" s="84">
        <f>IFERROR(VLOOKUP(lmic_raw_ub[[#This Row],[iso3]], hbv_prev[[iso3]:[ub]],4,FALSE)/100,0)</f>
        <v>3.8599999999999995E-2</v>
      </c>
      <c r="N337" s="84">
        <f>IFERROR(VLOOKUP(lmic_raw_ub[[#This Row],[setting]],hbe_prev[],5,FALSE),0)</f>
        <v>0.37619999999999998</v>
      </c>
      <c r="O337" s="84">
        <f>VLOOKUP(lmic_raw_ub[[#This Row],[gbd_super]],hbe_risk[],4,FALSE)</f>
        <v>0.9</v>
      </c>
      <c r="P337" s="84">
        <f>VLOOKUP(lmic_raw_ub[[#This Row],[gbd_super]],hbe_risk[],7,FALSE)</f>
        <v>0.3</v>
      </c>
      <c r="Q337" s="98">
        <f>VLOOKUP(lmic_raw_ub[[#This Row],[setting]],lmic_raw[],17,FALSE)*(1+interactive!$C$7)</f>
        <v>0</v>
      </c>
      <c r="R337" s="98">
        <f>VLOOKUP(lmic_raw_ub[[#This Row],[setting]],lmic_raw[],18,FALSE)*(1+interactive!$C$7)</f>
        <v>48.652695000000001</v>
      </c>
      <c r="S337" s="98">
        <f>VLOOKUP(lmic_raw_ub[[#This Row],[setting]],lmic_raw[],19,FALSE)*(1+interactive!$C$7)</f>
        <v>98.781795000000017</v>
      </c>
      <c r="T337" s="98">
        <f>VLOOKUP(lmic_raw_ub[[#This Row],[setting]],lmic_raw[],20,FALSE)*(1+interactive!$C$7)</f>
        <v>98.781795000000017</v>
      </c>
      <c r="U337" s="98">
        <f>VLOOKUP(lmic_raw_ub[[#This Row],[setting]],lmic_raw[],21,FALSE)*(1+interactive!$C$7)</f>
        <v>98.781795000000017</v>
      </c>
      <c r="V337" s="33">
        <f>IFERROR(VLOOKUP(lmic_raw_ub[[#This Row],[setting]],vcost_ub[],3,FALSE),0)</f>
        <v>9.4012064832855806</v>
      </c>
      <c r="W337" s="33">
        <f>IFERROR(VLOOKUP(lmic_raw_ub[[#This Row],[setting]],vcost_ub[],4,FALSE),0)</f>
        <v>9.9047864832855801</v>
      </c>
      <c r="X337" s="33">
        <f>IFERROR(VLOOKUP(lmic_raw_ub[[#This Row],[setting]],vcost_ub[],5,FALSE),0)</f>
        <v>8.8909847393934065</v>
      </c>
      <c r="Y337" s="33">
        <f>IFERROR(VLOOKUP(lmic_raw_ub[[#This Row],[setting]],vcost_ub[],6,FALSE),0)</f>
        <v>9.394564739393406</v>
      </c>
      <c r="Z337" s="33">
        <f>IFERROR(VLOOKUP(lmic_raw_ub[[#This Row],[setting]],vcost_ub[],7,FALSE),0)</f>
        <v>9.3792563423950632</v>
      </c>
      <c r="AA337" s="33">
        <f>IFERROR(VLOOKUP(lmic_raw_ub[[#This Row],[setting]],vcost_ub[],8,FALSE),0)</f>
        <v>9.6730981337575734</v>
      </c>
      <c r="AB337" s="33">
        <f>IFERROR(VLOOKUP(lmic_raw_ub[[#This Row],[setting]],vcost_ub[],9,FALSE),0)</f>
        <v>10.176678133757573</v>
      </c>
      <c r="AC337" s="84">
        <f>VLOOKUP($A337,lmic_raw[],29,FALSE)*(1+interactive!$C$7)</f>
        <v>1.5364387499999939E-2</v>
      </c>
      <c r="AD337" s="84">
        <f>VLOOKUP($A337,lmic_raw[],30,FALSE)*(1+interactive!$C$7)</f>
        <v>6.4013074820584053E-4</v>
      </c>
      <c r="AE337" s="84">
        <f>VLOOKUP($A337,lmic_raw[],31,FALSE)*(1+interactive!$C$7)</f>
        <v>3.4470090746118831E-4</v>
      </c>
      <c r="AF337" s="84">
        <f>VLOOKUP($A337,lmic_raw[],32,FALSE)*(1+interactive!$C$7)</f>
        <v>2.8956157138782066E-4</v>
      </c>
      <c r="AG337" s="84">
        <f>VLOOKUP($A337,lmic_raw[],33,FALSE)*(1+interactive!$C$7)</f>
        <v>5.3762053650491227E-4</v>
      </c>
      <c r="AH337" s="84">
        <f>VLOOKUP($A337,lmic_raw[],34,FALSE)*(1+interactive!$C$7)</f>
        <v>7.5192675091745027E-4</v>
      </c>
      <c r="AI337" s="84">
        <f>VLOOKUP($A337,lmic_raw[],35,FALSE)*(1+interactive!$C$7)</f>
        <v>8.1037212716291004E-4</v>
      </c>
      <c r="AJ337" s="84">
        <f>VLOOKUP($A337,lmic_raw[],36,FALSE)*(1+interactive!$C$7)</f>
        <v>9.5615846007032106E-4</v>
      </c>
      <c r="AK337" s="84">
        <f>VLOOKUP($A337,lmic_raw[],37,FALSE)*(1+interactive!$C$7)</f>
        <v>1.2835836596474712E-3</v>
      </c>
      <c r="AL337" s="84">
        <f>VLOOKUP($A337,lmic_raw[],38,FALSE)*(1+interactive!$C$7)</f>
        <v>1.9438385307546247E-3</v>
      </c>
      <c r="AM337" s="84">
        <f>VLOOKUP($A337,lmic_raw[],39,FALSE)*(1+interactive!$C$7)</f>
        <v>3.2678595267535025E-3</v>
      </c>
      <c r="AN337" s="84">
        <f>VLOOKUP($A337,lmic_raw[],40,FALSE)*(1+interactive!$C$7)</f>
        <v>5.3265767948915211E-3</v>
      </c>
      <c r="AO337" s="84">
        <f>VLOOKUP($A337,lmic_raw[],41,FALSE)*(1+interactive!$C$7)</f>
        <v>8.7884626691527128E-3</v>
      </c>
      <c r="AP337" s="84">
        <f>VLOOKUP($A337,lmic_raw[],42,FALSE)*(1+interactive!$C$7)</f>
        <v>1.4061494474419272E-2</v>
      </c>
      <c r="AQ337" s="84">
        <f>VLOOKUP($A337,lmic_raw[],43,FALSE)*(1+interactive!$C$7)</f>
        <v>2.3230489463282485E-2</v>
      </c>
      <c r="AR337" s="84">
        <f>VLOOKUP($A337,lmic_raw[],44,FALSE)*(1+interactive!$C$7)</f>
        <v>3.799688720853122E-2</v>
      </c>
      <c r="AS337" s="84">
        <f>VLOOKUP($A337,lmic_raw[],45,FALSE)*(1+interactive!$C$7)</f>
        <v>6.0522364756295147E-2</v>
      </c>
      <c r="AT337" s="84">
        <f>VLOOKUP($A337,lmic_raw[],46,FALSE)*(1+interactive!$C$7)</f>
        <v>9.330819155977442E-2</v>
      </c>
      <c r="AU337" s="84">
        <f>VLOOKUP($A337,lmic_raw[],47,FALSE)*(1+interactive!$C$7)</f>
        <v>0.12955131956512234</v>
      </c>
      <c r="AV337" s="84">
        <f>VLOOKUP($A337,lmic_raw[],48,FALSE)*(1+interactive!$C$7)</f>
        <v>0.16245439537153941</v>
      </c>
      <c r="AW337" s="84">
        <f>VLOOKUP($A337,lmic_raw[],49,FALSE)*(1+interactive!$C$7)</f>
        <v>0.18537709770482003</v>
      </c>
      <c r="AX337" s="84">
        <f>VLOOKUP($A337,lmic_raw[],50,FALSE)*(1+interactive!$C$7)</f>
        <v>78.043350000000004</v>
      </c>
    </row>
    <row r="338" spans="1:50" x14ac:dyDescent="0.25">
      <c r="A338" s="109" t="s">
        <v>185</v>
      </c>
      <c r="B338" s="101" t="s">
        <v>447</v>
      </c>
      <c r="C338" s="102">
        <v>398</v>
      </c>
      <c r="D338" s="82" t="s">
        <v>675</v>
      </c>
      <c r="E338" s="82" t="s">
        <v>184</v>
      </c>
      <c r="F338" s="82" t="s">
        <v>663</v>
      </c>
      <c r="G338" s="82" t="s">
        <v>676</v>
      </c>
      <c r="H338" s="33">
        <f>VLOOKUP(lmic_raw_ub[[#This Row],[setting]],lmic_raw[],8,FALSE)</f>
        <v>18551428</v>
      </c>
      <c r="I338" s="33">
        <f>VLOOKUP(lmic_raw_ub[[#This Row],[setting]],lmic_raw[],9,FALSE)</f>
        <v>396573.87635599996</v>
      </c>
      <c r="J338" s="84">
        <f>MIN(VLOOKUP($A338,lmic_raw[],10,FALSE)*(1+interactive!$C$7),0.9999)</f>
        <v>0.99990000000000001</v>
      </c>
      <c r="K338" s="84">
        <f>MIN(VLOOKUP($A338,lmic_raw[],11,FALSE)*(1+interactive!$C$7),0.9999)</f>
        <v>0.97650000000000015</v>
      </c>
      <c r="L338" s="33">
        <f>MIN(VLOOKUP($A338,lmic_raw[],12,FALSE)*(1+interactive!$C$7),0.9999)</f>
        <v>0.99990000000000001</v>
      </c>
      <c r="M338" s="84">
        <f>IFERROR(VLOOKUP(lmic_raw_ub[[#This Row],[iso3]], hbv_prev[[iso3]:[ub]],4,FALSE)/100,0)</f>
        <v>2.0499999999999997E-2</v>
      </c>
      <c r="N338" s="84">
        <f>IFERROR(VLOOKUP(lmic_raw_ub[[#This Row],[setting]],hbe_prev[],5,FALSE),0)</f>
        <v>0.43079999999999996</v>
      </c>
      <c r="O338" s="84">
        <f>VLOOKUP(lmic_raw_ub[[#This Row],[gbd_super]],hbe_risk[],4,FALSE)</f>
        <v>0.9</v>
      </c>
      <c r="P338" s="84">
        <f>VLOOKUP(lmic_raw_ub[[#This Row],[gbd_super]],hbe_risk[],7,FALSE)</f>
        <v>0.3</v>
      </c>
      <c r="Q338" s="98">
        <f>VLOOKUP(lmic_raw_ub[[#This Row],[setting]],lmic_raw[],17,FALSE)*(1+interactive!$C$7)</f>
        <v>11.801566868282295</v>
      </c>
      <c r="R338" s="98">
        <f>VLOOKUP(lmic_raw_ub[[#This Row],[setting]],lmic_raw[],18,FALSE)*(1+interactive!$C$7)</f>
        <v>46.76427000000001</v>
      </c>
      <c r="S338" s="98">
        <f>VLOOKUP(lmic_raw_ub[[#This Row],[setting]],lmic_raw[],19,FALSE)*(1+interactive!$C$7)</f>
        <v>96.893370000000019</v>
      </c>
      <c r="T338" s="98">
        <f>VLOOKUP(lmic_raw_ub[[#This Row],[setting]],lmic_raw[],20,FALSE)*(1+interactive!$C$7)</f>
        <v>96.893370000000019</v>
      </c>
      <c r="U338" s="98">
        <f>VLOOKUP(lmic_raw_ub[[#This Row],[setting]],lmic_raw[],21,FALSE)*(1+interactive!$C$7)</f>
        <v>96.893370000000019</v>
      </c>
      <c r="V338" s="33">
        <f>IFERROR(VLOOKUP(lmic_raw_ub[[#This Row],[setting]],vcost_ub[],3,FALSE),0)</f>
        <v>12.036670258680479</v>
      </c>
      <c r="W338" s="33">
        <f>IFERROR(VLOOKUP(lmic_raw_ub[[#This Row],[setting]],vcost_ub[],4,FALSE),0)</f>
        <v>16.305655258680481</v>
      </c>
      <c r="X338" s="33">
        <f>IFERROR(VLOOKUP(lmic_raw_ub[[#This Row],[setting]],vcost_ub[],5,FALSE),0)</f>
        <v>11.494673045396105</v>
      </c>
      <c r="Y338" s="33">
        <f>IFERROR(VLOOKUP(lmic_raw_ub[[#This Row],[setting]],vcost_ub[],6,FALSE),0)</f>
        <v>15.763658045396106</v>
      </c>
      <c r="Z338" s="33">
        <f>IFERROR(VLOOKUP(lmic_raw_ub[[#This Row],[setting]],vcost_ub[],7,FALSE),0)</f>
        <v>15.731055702126483</v>
      </c>
      <c r="AA338" s="33">
        <f>IFERROR(VLOOKUP(lmic_raw_ub[[#This Row],[setting]],vcost_ub[],8,FALSE),0)</f>
        <v>12.315774745762971</v>
      </c>
      <c r="AB338" s="33">
        <f>IFERROR(VLOOKUP(lmic_raw_ub[[#This Row],[setting]],vcost_ub[],9,FALSE),0)</f>
        <v>16.584759745762973</v>
      </c>
      <c r="AC338" s="84">
        <f>VLOOKUP($A338,lmic_raw[],29,FALSE)*(1+interactive!$C$7)</f>
        <v>8.0573325000000556E-3</v>
      </c>
      <c r="AD338" s="84">
        <f>VLOOKUP($A338,lmic_raw[],30,FALSE)*(1+interactive!$C$7)</f>
        <v>5.8671146845993291E-4</v>
      </c>
      <c r="AE338" s="84">
        <f>VLOOKUP($A338,lmic_raw[],31,FALSE)*(1+interactive!$C$7)</f>
        <v>2.8721673013564516E-4</v>
      </c>
      <c r="AF338" s="84">
        <f>VLOOKUP($A338,lmic_raw[],32,FALSE)*(1+interactive!$C$7)</f>
        <v>3.0753425643968919E-4</v>
      </c>
      <c r="AG338" s="84">
        <f>VLOOKUP($A338,lmic_raw[],33,FALSE)*(1+interactive!$C$7)</f>
        <v>6.2010333044987384E-4</v>
      </c>
      <c r="AH338" s="84">
        <f>VLOOKUP($A338,lmic_raw[],34,FALSE)*(1+interactive!$C$7)</f>
        <v>9.1142423943853408E-4</v>
      </c>
      <c r="AI338" s="84">
        <f>VLOOKUP($A338,lmic_raw[],35,FALSE)*(1+interactive!$C$7)</f>
        <v>1.1888633874373566E-3</v>
      </c>
      <c r="AJ338" s="84">
        <f>VLOOKUP($A338,lmic_raw[],36,FALSE)*(1+interactive!$C$7)</f>
        <v>1.8230163709156636E-3</v>
      </c>
      <c r="AK338" s="84">
        <f>VLOOKUP($A338,lmic_raw[],37,FALSE)*(1+interactive!$C$7)</f>
        <v>2.9033968850301945E-3</v>
      </c>
      <c r="AL338" s="84">
        <f>VLOOKUP($A338,lmic_raw[],38,FALSE)*(1+interactive!$C$7)</f>
        <v>4.0022119493187611E-3</v>
      </c>
      <c r="AM338" s="84">
        <f>VLOOKUP($A338,lmic_raw[],39,FALSE)*(1+interactive!$C$7)</f>
        <v>5.3664000594738949E-3</v>
      </c>
      <c r="AN338" s="84">
        <f>VLOOKUP($A338,lmic_raw[],40,FALSE)*(1+interactive!$C$7)</f>
        <v>7.5076091855580448E-3</v>
      </c>
      <c r="AO338" s="84">
        <f>VLOOKUP($A338,lmic_raw[],41,FALSE)*(1+interactive!$C$7)</f>
        <v>1.1261839603257454E-2</v>
      </c>
      <c r="AP338" s="84">
        <f>VLOOKUP($A338,lmic_raw[],42,FALSE)*(1+interactive!$C$7)</f>
        <v>1.736562127354644E-2</v>
      </c>
      <c r="AQ338" s="84">
        <f>VLOOKUP($A338,lmic_raw[],43,FALSE)*(1+interactive!$C$7)</f>
        <v>2.5964845351213763E-2</v>
      </c>
      <c r="AR338" s="84">
        <f>VLOOKUP($A338,lmic_raw[],44,FALSE)*(1+interactive!$C$7)</f>
        <v>3.6313140585900051E-2</v>
      </c>
      <c r="AS338" s="84">
        <f>VLOOKUP($A338,lmic_raw[],45,FALSE)*(1+interactive!$C$7)</f>
        <v>5.6988718040932827E-2</v>
      </c>
      <c r="AT338" s="84">
        <f>VLOOKUP($A338,lmic_raw[],46,FALSE)*(1+interactive!$C$7)</f>
        <v>8.36678689755017E-2</v>
      </c>
      <c r="AU338" s="84">
        <f>VLOOKUP($A338,lmic_raw[],47,FALSE)*(1+interactive!$C$7)</f>
        <v>0.11675032166556683</v>
      </c>
      <c r="AV338" s="84">
        <f>VLOOKUP($A338,lmic_raw[],48,FALSE)*(1+interactive!$C$7)</f>
        <v>0.1514479801130843</v>
      </c>
      <c r="AW338" s="84">
        <f>VLOOKUP($A338,lmic_raw[],49,FALSE)*(1+interactive!$C$7)</f>
        <v>0.17819457649381792</v>
      </c>
      <c r="AX338" s="84">
        <f>VLOOKUP($A338,lmic_raw[],50,FALSE)*(1+interactive!$C$7)</f>
        <v>76.886250000000004</v>
      </c>
    </row>
    <row r="339" spans="1:50" x14ac:dyDescent="0.25">
      <c r="A339" s="110" t="s">
        <v>106</v>
      </c>
      <c r="B339" s="104" t="s">
        <v>448</v>
      </c>
      <c r="C339" s="105">
        <v>404</v>
      </c>
      <c r="D339" s="84" t="s">
        <v>677</v>
      </c>
      <c r="E339" s="84" t="s">
        <v>597</v>
      </c>
      <c r="F339" s="84" t="s">
        <v>667</v>
      </c>
      <c r="G339" s="84" t="s">
        <v>678</v>
      </c>
      <c r="H339" s="33">
        <f>VLOOKUP(lmic_raw_ub[[#This Row],[setting]],lmic_raw[],8,FALSE)</f>
        <v>52573967</v>
      </c>
      <c r="I339" s="33">
        <f>VLOOKUP(lmic_raw_ub[[#This Row],[setting]],lmic_raw[],9,FALSE)</f>
        <v>1519650.5161349999</v>
      </c>
      <c r="J339" s="84">
        <f>MIN(VLOOKUP($A339,lmic_raw[],10,FALSE)*(1+interactive!$C$7),0.9999)</f>
        <v>0.64260000000000006</v>
      </c>
      <c r="K339" s="84">
        <f>MIN(VLOOKUP($A339,lmic_raw[],11,FALSE)*(1+interactive!$C$7),0.9999)</f>
        <v>0</v>
      </c>
      <c r="L339" s="33">
        <f>MIN(VLOOKUP($A339,lmic_raw[],12,FALSE)*(1+interactive!$C$7),0.9999)</f>
        <v>0.96600000000000008</v>
      </c>
      <c r="M339" s="84">
        <f>IFERROR(VLOOKUP(lmic_raw_ub[[#This Row],[iso3]], hbv_prev[[iso3]:[ub]],4,FALSE)/100,0)</f>
        <v>2.8500000000000001E-2</v>
      </c>
      <c r="N339" s="84">
        <f>IFERROR(VLOOKUP(lmic_raw_ub[[#This Row],[setting]],hbe_prev[],5,FALSE),0)</f>
        <v>0.39960000000000001</v>
      </c>
      <c r="O339" s="84">
        <f>VLOOKUP(lmic_raw_ub[[#This Row],[gbd_super]],hbe_risk[],4,FALSE)</f>
        <v>0.74399999999999999</v>
      </c>
      <c r="P339" s="84">
        <f>VLOOKUP(lmic_raw_ub[[#This Row],[gbd_super]],hbe_risk[],7,FALSE)</f>
        <v>0.13300000000000001</v>
      </c>
      <c r="Q339" s="98">
        <f>VLOOKUP(lmic_raw_ub[[#This Row],[setting]],lmic_raw[],17,FALSE)*(1+interactive!$C$7)</f>
        <v>3.3021400503391565</v>
      </c>
      <c r="R339" s="98">
        <f>VLOOKUP(lmic_raw_ub[[#This Row],[setting]],lmic_raw[],18,FALSE)*(1+interactive!$C$7)</f>
        <v>31.416525000000004</v>
      </c>
      <c r="S339" s="98">
        <f>VLOOKUP(lmic_raw_ub[[#This Row],[setting]],lmic_raw[],19,FALSE)*(1+interactive!$C$7)</f>
        <v>81.545625000000015</v>
      </c>
      <c r="T339" s="98">
        <f>VLOOKUP(lmic_raw_ub[[#This Row],[setting]],lmic_raw[],20,FALSE)*(1+interactive!$C$7)</f>
        <v>81.545625000000015</v>
      </c>
      <c r="U339" s="98">
        <f>VLOOKUP(lmic_raw_ub[[#This Row],[setting]],lmic_raw[],21,FALSE)*(1+interactive!$C$7)</f>
        <v>81.545625000000015</v>
      </c>
      <c r="V339" s="33">
        <f>IFERROR(VLOOKUP(lmic_raw_ub[[#This Row],[setting]],vcost_ub[],3,FALSE),0)</f>
        <v>5.3578653208016958</v>
      </c>
      <c r="W339" s="33">
        <f>IFERROR(VLOOKUP(lmic_raw_ub[[#This Row],[setting]],vcost_ub[],4,FALSE),0)</f>
        <v>10.428000320801697</v>
      </c>
      <c r="X339" s="33">
        <f>IFERROR(VLOOKUP(lmic_raw_ub[[#This Row],[setting]],vcost_ub[],5,FALSE),0)</f>
        <v>4.8548466333416789</v>
      </c>
      <c r="Y339" s="33">
        <f>IFERROR(VLOOKUP(lmic_raw_ub[[#This Row],[setting]],vcost_ub[],6,FALSE),0)</f>
        <v>9.9249816333416803</v>
      </c>
      <c r="Z339" s="33">
        <f>IFERROR(VLOOKUP(lmic_raw_ub[[#This Row],[setting]],vcost_ub[],7,FALSE),0)</f>
        <v>9.9142909030847335</v>
      </c>
      <c r="AA339" s="33">
        <f>IFERROR(VLOOKUP(lmic_raw_ub[[#This Row],[setting]],vcost_ub[],8,FALSE),0)</f>
        <v>5.6281219216541176</v>
      </c>
      <c r="AB339" s="33">
        <f>IFERROR(VLOOKUP(lmic_raw_ub[[#This Row],[setting]],vcost_ub[],9,FALSE),0)</f>
        <v>10.698256921654117</v>
      </c>
      <c r="AC339" s="84">
        <f>VLOOKUP($A339,lmic_raw[],29,FALSE)*(1+interactive!$C$7)</f>
        <v>3.8190264000000057E-2</v>
      </c>
      <c r="AD339" s="84">
        <f>VLOOKUP($A339,lmic_raw[],30,FALSE)*(1+interactive!$C$7)</f>
        <v>3.0217503881579308E-3</v>
      </c>
      <c r="AE339" s="84">
        <f>VLOOKUP($A339,lmic_raw[],31,FALSE)*(1+interactive!$C$7)</f>
        <v>9.3322057324097066E-4</v>
      </c>
      <c r="AF339" s="84">
        <f>VLOOKUP($A339,lmic_raw[],32,FALSE)*(1+interactive!$C$7)</f>
        <v>7.5801532126981198E-4</v>
      </c>
      <c r="AG339" s="84">
        <f>VLOOKUP($A339,lmic_raw[],33,FALSE)*(1+interactive!$C$7)</f>
        <v>1.3162454632712427E-3</v>
      </c>
      <c r="AH339" s="84">
        <f>VLOOKUP($A339,lmic_raw[],34,FALSE)*(1+interactive!$C$7)</f>
        <v>2.1158653163829669E-3</v>
      </c>
      <c r="AI339" s="84">
        <f>VLOOKUP($A339,lmic_raw[],35,FALSE)*(1+interactive!$C$7)</f>
        <v>2.9130547255813567E-3</v>
      </c>
      <c r="AJ339" s="84">
        <f>VLOOKUP($A339,lmic_raw[],36,FALSE)*(1+interactive!$C$7)</f>
        <v>3.7979860115238749E-3</v>
      </c>
      <c r="AK339" s="84">
        <f>VLOOKUP($A339,lmic_raw[],37,FALSE)*(1+interactive!$C$7)</f>
        <v>5.0767426974585479E-3</v>
      </c>
      <c r="AL339" s="84">
        <f>VLOOKUP($A339,lmic_raw[],38,FALSE)*(1+interactive!$C$7)</f>
        <v>6.3812824658306391E-3</v>
      </c>
      <c r="AM339" s="84">
        <f>VLOOKUP($A339,lmic_raw[],39,FALSE)*(1+interactive!$C$7)</f>
        <v>8.0222139881127603E-3</v>
      </c>
      <c r="AN339" s="84">
        <f>VLOOKUP($A339,lmic_raw[],40,FALSE)*(1+interactive!$C$7)</f>
        <v>1.0800007516039054E-2</v>
      </c>
      <c r="AO339" s="84">
        <f>VLOOKUP($A339,lmic_raw[],41,FALSE)*(1+interactive!$C$7)</f>
        <v>1.3982957654224715E-2</v>
      </c>
      <c r="AP339" s="84">
        <f>VLOOKUP($A339,lmic_raw[],42,FALSE)*(1+interactive!$C$7)</f>
        <v>1.9968246147685456E-2</v>
      </c>
      <c r="AQ339" s="84">
        <f>VLOOKUP($A339,lmic_raw[],43,FALSE)*(1+interactive!$C$7)</f>
        <v>2.9745665543907455E-2</v>
      </c>
      <c r="AR339" s="84">
        <f>VLOOKUP($A339,lmic_raw[],44,FALSE)*(1+interactive!$C$7)</f>
        <v>4.4975840607875205E-2</v>
      </c>
      <c r="AS339" s="84">
        <f>VLOOKUP($A339,lmic_raw[],45,FALSE)*(1+interactive!$C$7)</f>
        <v>6.789815349144708E-2</v>
      </c>
      <c r="AT339" s="84">
        <f>VLOOKUP($A339,lmic_raw[],46,FALSE)*(1+interactive!$C$7)</f>
        <v>0.102078021390319</v>
      </c>
      <c r="AU339" s="84">
        <f>VLOOKUP($A339,lmic_raw[],47,FALSE)*(1+interactive!$C$7)</f>
        <v>0.14372677219085253</v>
      </c>
      <c r="AV339" s="84">
        <f>VLOOKUP($A339,lmic_raw[],48,FALSE)*(1+interactive!$C$7)</f>
        <v>0.18088099855201858</v>
      </c>
      <c r="AW339" s="84">
        <f>VLOOKUP($A339,lmic_raw[],49,FALSE)*(1+interactive!$C$7)</f>
        <v>0.19609416825390699</v>
      </c>
      <c r="AX339" s="84">
        <f>VLOOKUP($A339,lmic_raw[],50,FALSE)*(1+interactive!$C$7)</f>
        <v>69.486900000000006</v>
      </c>
    </row>
    <row r="340" spans="1:50" x14ac:dyDescent="0.25">
      <c r="A340" s="109" t="s">
        <v>288</v>
      </c>
      <c r="B340" s="101" t="s">
        <v>449</v>
      </c>
      <c r="C340" s="102">
        <v>296</v>
      </c>
      <c r="D340" s="82" t="s">
        <v>681</v>
      </c>
      <c r="E340" s="82" t="s">
        <v>98</v>
      </c>
      <c r="F340" s="82" t="s">
        <v>666</v>
      </c>
      <c r="G340" s="82" t="s">
        <v>678</v>
      </c>
      <c r="H340" s="33">
        <f>VLOOKUP(lmic_raw_ub[[#This Row],[setting]],lmic_raw[],8,FALSE)</f>
        <v>117608</v>
      </c>
      <c r="I340" s="33">
        <f>VLOOKUP(lmic_raw_ub[[#This Row],[setting]],lmic_raw[],9,FALSE)</f>
        <v>3301.6093840000003</v>
      </c>
      <c r="J340" s="84">
        <f>MIN(VLOOKUP($A340,lmic_raw[],10,FALSE)*(1+interactive!$C$7),0.9999)</f>
        <v>0.90405000000000002</v>
      </c>
      <c r="K340" s="84">
        <f>MIN(VLOOKUP($A340,lmic_raw[],11,FALSE)*(1+interactive!$C$7),0.9999)</f>
        <v>0.99990000000000001</v>
      </c>
      <c r="L340" s="33">
        <f>MIN(VLOOKUP($A340,lmic_raw[],12,FALSE)*(1+interactive!$C$7),0.9999)</f>
        <v>0.98699999999999999</v>
      </c>
      <c r="M340" s="84">
        <f>IFERROR(VLOOKUP(lmic_raw_ub[[#This Row],[iso3]], hbv_prev[[iso3]:[ub]],4,FALSE)/100,0)</f>
        <v>0.18440000000000001</v>
      </c>
      <c r="N340" s="84">
        <f>IFERROR(VLOOKUP(lmic_raw_ub[[#This Row],[setting]],hbe_prev[],5,FALSE),0)</f>
        <v>0.47889999999999999</v>
      </c>
      <c r="O340" s="84">
        <f>VLOOKUP(lmic_raw_ub[[#This Row],[gbd_super]],hbe_risk[],4,FALSE)</f>
        <v>0.9</v>
      </c>
      <c r="P340" s="84">
        <f>VLOOKUP(lmic_raw_ub[[#This Row],[gbd_super]],hbe_risk[],7,FALSE)</f>
        <v>0.3</v>
      </c>
      <c r="Q340" s="98">
        <f>VLOOKUP(lmic_raw_ub[[#This Row],[setting]],lmic_raw[],17,FALSE)*(1+interactive!$C$7)</f>
        <v>6.355453203412571</v>
      </c>
      <c r="R340" s="98">
        <f>VLOOKUP(lmic_raw_ub[[#This Row],[setting]],lmic_raw[],18,FALSE)*(1+interactive!$C$7)</f>
        <v>76.738725000000002</v>
      </c>
      <c r="S340" s="98">
        <f>VLOOKUP(lmic_raw_ub[[#This Row],[setting]],lmic_raw[],19,FALSE)*(1+interactive!$C$7)</f>
        <v>126.867825</v>
      </c>
      <c r="T340" s="98">
        <f>VLOOKUP(lmic_raw_ub[[#This Row],[setting]],lmic_raw[],20,FALSE)*(1+interactive!$C$7)</f>
        <v>126.867825</v>
      </c>
      <c r="U340" s="98">
        <f>VLOOKUP(lmic_raw_ub[[#This Row],[setting]],lmic_raw[],21,FALSE)*(1+interactive!$C$7)</f>
        <v>126.867825</v>
      </c>
      <c r="V340" s="33">
        <f>IFERROR(VLOOKUP(lmic_raw_ub[[#This Row],[setting]],vcost_ub[],3,FALSE),0)</f>
        <v>24.274501065768305</v>
      </c>
      <c r="W340" s="33">
        <f>IFERROR(VLOOKUP(lmic_raw_ub[[#This Row],[setting]],vcost_ub[],4,FALSE),0)</f>
        <v>24.938311065768307</v>
      </c>
      <c r="X340" s="33">
        <f>IFERROR(VLOOKUP(lmic_raw_ub[[#This Row],[setting]],vcost_ub[],5,FALSE),0)</f>
        <v>23.773486988695183</v>
      </c>
      <c r="Y340" s="33">
        <f>IFERROR(VLOOKUP(lmic_raw_ub[[#This Row],[setting]],vcost_ub[],6,FALSE),0)</f>
        <v>24.437296988695184</v>
      </c>
      <c r="Z340" s="33">
        <f>IFERROR(VLOOKUP(lmic_raw_ub[[#This Row],[setting]],vcost_ub[],7,FALSE),0)</f>
        <v>24.427869843252296</v>
      </c>
      <c r="AA340" s="33">
        <f>IFERROR(VLOOKUP(lmic_raw_ub[[#This Row],[setting]],vcost_ub[],8,FALSE),0)</f>
        <v>24.544302632361124</v>
      </c>
      <c r="AB340" s="33">
        <f>IFERROR(VLOOKUP(lmic_raw_ub[[#This Row],[setting]],vcost_ub[],9,FALSE),0)</f>
        <v>25.208112632361125</v>
      </c>
      <c r="AC340" s="84">
        <f>VLOOKUP($A340,lmic_raw[],29,FALSE)*(1+interactive!$C$7)</f>
        <v>4.4951109000000045E-2</v>
      </c>
      <c r="AD340" s="84">
        <f>VLOOKUP($A340,lmic_raw[],30,FALSE)*(1+interactive!$C$7)</f>
        <v>3.1221473122843074E-3</v>
      </c>
      <c r="AE340" s="84">
        <f>VLOOKUP($A340,lmic_raw[],31,FALSE)*(1+interactive!$C$7)</f>
        <v>1.0607811415952913E-3</v>
      </c>
      <c r="AF340" s="84">
        <f>VLOOKUP($A340,lmic_raw[],32,FALSE)*(1+interactive!$C$7)</f>
        <v>8.0879581016968097E-4</v>
      </c>
      <c r="AG340" s="84">
        <f>VLOOKUP($A340,lmic_raw[],33,FALSE)*(1+interactive!$C$7)</f>
        <v>1.4291986630934547E-3</v>
      </c>
      <c r="AH340" s="84">
        <f>VLOOKUP($A340,lmic_raw[],34,FALSE)*(1+interactive!$C$7)</f>
        <v>1.8991647855462841E-3</v>
      </c>
      <c r="AI340" s="84">
        <f>VLOOKUP($A340,lmic_raw[],35,FALSE)*(1+interactive!$C$7)</f>
        <v>2.0286505147195824E-3</v>
      </c>
      <c r="AJ340" s="84">
        <f>VLOOKUP($A340,lmic_raw[],36,FALSE)*(1+interactive!$C$7)</f>
        <v>2.3780505603235888E-3</v>
      </c>
      <c r="AK340" s="84">
        <f>VLOOKUP($A340,lmic_raw[],37,FALSE)*(1+interactive!$C$7)</f>
        <v>3.1147434221824384E-3</v>
      </c>
      <c r="AL340" s="84">
        <f>VLOOKUP($A340,lmic_raw[],38,FALSE)*(1+interactive!$C$7)</f>
        <v>4.294821648474517E-3</v>
      </c>
      <c r="AM340" s="84">
        <f>VLOOKUP($A340,lmic_raw[],39,FALSE)*(1+interactive!$C$7)</f>
        <v>6.2427475049407427E-3</v>
      </c>
      <c r="AN340" s="84">
        <f>VLOOKUP($A340,lmic_raw[],40,FALSE)*(1+interactive!$C$7)</f>
        <v>9.3327919243927689E-3</v>
      </c>
      <c r="AO340" s="84">
        <f>VLOOKUP($A340,lmic_raw[],41,FALSE)*(1+interactive!$C$7)</f>
        <v>1.4011968006478049E-2</v>
      </c>
      <c r="AP340" s="84">
        <f>VLOOKUP($A340,lmic_raw[],42,FALSE)*(1+interactive!$C$7)</f>
        <v>1.958283554472183E-2</v>
      </c>
      <c r="AQ340" s="84">
        <f>VLOOKUP($A340,lmic_raw[],43,FALSE)*(1+interactive!$C$7)</f>
        <v>2.708189270696983E-2</v>
      </c>
      <c r="AR340" s="84">
        <f>VLOOKUP($A340,lmic_raw[],44,FALSE)*(1+interactive!$C$7)</f>
        <v>3.9124771501632405E-2</v>
      </c>
      <c r="AS340" s="84">
        <f>VLOOKUP($A340,lmic_raw[],45,FALSE)*(1+interactive!$C$7)</f>
        <v>5.9057800496884423E-2</v>
      </c>
      <c r="AT340" s="84">
        <f>VLOOKUP($A340,lmic_raw[],46,FALSE)*(1+interactive!$C$7)</f>
        <v>8.5765636920599422E-2</v>
      </c>
      <c r="AU340" s="84">
        <f>VLOOKUP($A340,lmic_raw[],47,FALSE)*(1+interactive!$C$7)</f>
        <v>0.11442611318689742</v>
      </c>
      <c r="AV340" s="84">
        <f>VLOOKUP($A340,lmic_raw[],48,FALSE)*(1+interactive!$C$7)</f>
        <v>0.13832044878009012</v>
      </c>
      <c r="AW340" s="84">
        <f>VLOOKUP($A340,lmic_raw[],49,FALSE)*(1+interactive!$C$7)</f>
        <v>0.16108847733039983</v>
      </c>
      <c r="AX340" s="84">
        <f>VLOOKUP($A340,lmic_raw[],50,FALSE)*(1+interactive!$C$7)</f>
        <v>71.389499999999998</v>
      </c>
    </row>
    <row r="341" spans="1:50" x14ac:dyDescent="0.25">
      <c r="A341" s="82" t="s">
        <v>610</v>
      </c>
      <c r="B341" s="104" t="s">
        <v>410</v>
      </c>
      <c r="C341" s="105">
        <v>408</v>
      </c>
      <c r="D341" s="84" t="s">
        <v>680</v>
      </c>
      <c r="E341" s="84" t="s">
        <v>603</v>
      </c>
      <c r="F341" s="84" t="s">
        <v>666</v>
      </c>
      <c r="G341" s="84" t="s">
        <v>674</v>
      </c>
      <c r="H341" s="33">
        <f>VLOOKUP(lmic_raw_ub[[#This Row],[setting]],lmic_raw[],8,FALSE)</f>
        <v>25666158</v>
      </c>
      <c r="I341" s="33">
        <f>VLOOKUP(lmic_raw_ub[[#This Row],[setting]],lmic_raw[],9,FALSE)</f>
        <v>357760.57636200002</v>
      </c>
      <c r="J341" s="84">
        <f>MIN(VLOOKUP($A341,lmic_raw[],10,FALSE)*(1+interactive!$C$7),0.9999)</f>
        <v>0.96810000000000007</v>
      </c>
      <c r="K341" s="84">
        <f>MIN(VLOOKUP($A341,lmic_raw[],11,FALSE)*(1+interactive!$C$7),0.9999)</f>
        <v>0.99990000000000001</v>
      </c>
      <c r="L341" s="33">
        <f>MIN(VLOOKUP($A341,lmic_raw[],12,FALSE)*(1+interactive!$C$7),0.9999)</f>
        <v>0.99990000000000001</v>
      </c>
      <c r="M341" s="84">
        <f>IFERROR(VLOOKUP(lmic_raw_ub[[#This Row],[iso3]], hbv_prev[[iso3]:[ub]],4,FALSE)/100,0)</f>
        <v>0.37240000000000001</v>
      </c>
      <c r="N341" s="84">
        <f>IFERROR(VLOOKUP(lmic_raw_ub[[#This Row],[setting]],hbe_prev[],5,FALSE),0)</f>
        <v>0.49159999999999998</v>
      </c>
      <c r="O341" s="84">
        <f>VLOOKUP(lmic_raw_ub[[#This Row],[gbd_super]],hbe_risk[],4,FALSE)</f>
        <v>0.9</v>
      </c>
      <c r="P341" s="84">
        <f>VLOOKUP(lmic_raw_ub[[#This Row],[gbd_super]],hbe_risk[],7,FALSE)</f>
        <v>0.3</v>
      </c>
      <c r="Q341" s="98">
        <f>VLOOKUP(lmic_raw_ub[[#This Row],[setting]],lmic_raw[],17,FALSE)*(1+interactive!$C$7)</f>
        <v>0</v>
      </c>
      <c r="R341" s="98">
        <f>VLOOKUP(lmic_raw_ub[[#This Row],[setting]],lmic_raw[],18,FALSE)*(1+interactive!$C$7)</f>
        <v>76.738725000000002</v>
      </c>
      <c r="S341" s="98">
        <f>VLOOKUP(lmic_raw_ub[[#This Row],[setting]],lmic_raw[],19,FALSE)*(1+interactive!$C$7)</f>
        <v>126.867825</v>
      </c>
      <c r="T341" s="98">
        <f>VLOOKUP(lmic_raw_ub[[#This Row],[setting]],lmic_raw[],20,FALSE)*(1+interactive!$C$7)</f>
        <v>126.867825</v>
      </c>
      <c r="U341" s="98">
        <f>VLOOKUP(lmic_raw_ub[[#This Row],[setting]],lmic_raw[],21,FALSE)*(1+interactive!$C$7)</f>
        <v>126.867825</v>
      </c>
      <c r="V341" s="33">
        <f>IFERROR(VLOOKUP(lmic_raw_ub[[#This Row],[setting]],vcost_ub[],3,FALSE),0)</f>
        <v>7.065039181286549</v>
      </c>
      <c r="W341" s="33">
        <f>IFERROR(VLOOKUP(lmic_raw_ub[[#This Row],[setting]],vcost_ub[],4,FALSE),0)</f>
        <v>7.7288491812865487</v>
      </c>
      <c r="X341" s="33">
        <f>IFERROR(VLOOKUP(lmic_raw_ub[[#This Row],[setting]],vcost_ub[],5,FALSE),0)</f>
        <v>6.5816999999999997</v>
      </c>
      <c r="Y341" s="33">
        <f>IFERROR(VLOOKUP(lmic_raw_ub[[#This Row],[setting]],vcost_ub[],6,FALSE),0)</f>
        <v>7.2455099999999995</v>
      </c>
      <c r="Z341" s="33">
        <f>IFERROR(VLOOKUP(lmic_raw_ub[[#This Row],[setting]],vcost_ub[],7,FALSE),0)</f>
        <v>7.2455099999999995</v>
      </c>
      <c r="AA341" s="33">
        <f>IFERROR(VLOOKUP(lmic_raw_ub[[#This Row],[setting]],vcost_ub[],8,FALSE),0)</f>
        <v>7.3308286549707598</v>
      </c>
      <c r="AB341" s="33">
        <f>IFERROR(VLOOKUP(lmic_raw_ub[[#This Row],[setting]],vcost_ub[],9,FALSE),0)</f>
        <v>7.9946386549707595</v>
      </c>
      <c r="AC341" s="84">
        <f>VLOOKUP($A341,lmic_raw[],29,FALSE)*(1+interactive!$C$7)</f>
        <v>1.4593015500000016E-2</v>
      </c>
      <c r="AD341" s="84">
        <f>VLOOKUP($A341,lmic_raw[],30,FALSE)*(1+interactive!$C$7)</f>
        <v>1.2101996123341757E-3</v>
      </c>
      <c r="AE341" s="84">
        <f>VLOOKUP($A341,lmic_raw[],31,FALSE)*(1+interactive!$C$7)</f>
        <v>6.76976776294543E-4</v>
      </c>
      <c r="AF341" s="84">
        <f>VLOOKUP($A341,lmic_raw[],32,FALSE)*(1+interactive!$C$7)</f>
        <v>6.2885934488552894E-4</v>
      </c>
      <c r="AG341" s="84">
        <f>VLOOKUP($A341,lmic_raw[],33,FALSE)*(1+interactive!$C$7)</f>
        <v>9.0815714136070281E-4</v>
      </c>
      <c r="AH341" s="84">
        <f>VLOOKUP($A341,lmic_raw[],34,FALSE)*(1+interactive!$C$7)</f>
        <v>1.3023832528690972E-3</v>
      </c>
      <c r="AI341" s="84">
        <f>VLOOKUP($A341,lmic_raw[],35,FALSE)*(1+interactive!$C$7)</f>
        <v>1.6166537677029858E-3</v>
      </c>
      <c r="AJ341" s="84">
        <f>VLOOKUP($A341,lmic_raw[],36,FALSE)*(1+interactive!$C$7)</f>
        <v>1.8361111788017307E-3</v>
      </c>
      <c r="AK341" s="84">
        <f>VLOOKUP($A341,lmic_raw[],37,FALSE)*(1+interactive!$C$7)</f>
        <v>2.1172400377942368E-3</v>
      </c>
      <c r="AL341" s="84">
        <f>VLOOKUP($A341,lmic_raw[],38,FALSE)*(1+interactive!$C$7)</f>
        <v>2.5719810651282891E-3</v>
      </c>
      <c r="AM341" s="84">
        <f>VLOOKUP($A341,lmic_raw[],39,FALSE)*(1+interactive!$C$7)</f>
        <v>3.5103247017580666E-3</v>
      </c>
      <c r="AN341" s="84">
        <f>VLOOKUP($A341,lmic_raw[],40,FALSE)*(1+interactive!$C$7)</f>
        <v>5.0374676525030866E-3</v>
      </c>
      <c r="AO341" s="84">
        <f>VLOOKUP($A341,lmic_raw[],41,FALSE)*(1+interactive!$C$7)</f>
        <v>1.0165478279454193E-2</v>
      </c>
      <c r="AP341" s="84">
        <f>VLOOKUP($A341,lmic_raw[],42,FALSE)*(1+interactive!$C$7)</f>
        <v>2.0790417589432605E-2</v>
      </c>
      <c r="AQ341" s="84">
        <f>VLOOKUP($A341,lmic_raw[],43,FALSE)*(1+interactive!$C$7)</f>
        <v>3.0309721623997924E-2</v>
      </c>
      <c r="AR341" s="84">
        <f>VLOOKUP($A341,lmic_raw[],44,FALSE)*(1+interactive!$C$7)</f>
        <v>4.2492055300424152E-2</v>
      </c>
      <c r="AS341" s="84">
        <f>VLOOKUP($A341,lmic_raw[],45,FALSE)*(1+interactive!$C$7)</f>
        <v>6.61876684910776E-2</v>
      </c>
      <c r="AT341" s="84">
        <f>VLOOKUP($A341,lmic_raw[],46,FALSE)*(1+interactive!$C$7)</f>
        <v>9.2448918733457508E-2</v>
      </c>
      <c r="AU341" s="84">
        <f>VLOOKUP($A341,lmic_raw[],47,FALSE)*(1+interactive!$C$7)</f>
        <v>0.12486299875365534</v>
      </c>
      <c r="AV341" s="84">
        <f>VLOOKUP($A341,lmic_raw[],48,FALSE)*(1+interactive!$C$7)</f>
        <v>0.15593217190328482</v>
      </c>
      <c r="AW341" s="84">
        <f>VLOOKUP($A341,lmic_raw[],49,FALSE)*(1+interactive!$C$7)</f>
        <v>0.17882326697259843</v>
      </c>
      <c r="AX341" s="84">
        <f>VLOOKUP($A341,lmic_raw[],50,FALSE)*(1+interactive!$C$7)</f>
        <v>75.562200000000004</v>
      </c>
    </row>
    <row r="342" spans="1:50" x14ac:dyDescent="0.25">
      <c r="A342" s="82" t="s">
        <v>186</v>
      </c>
      <c r="B342" s="101" t="s">
        <v>453</v>
      </c>
      <c r="C342" s="102">
        <v>417</v>
      </c>
      <c r="D342" s="82" t="s">
        <v>675</v>
      </c>
      <c r="E342" s="82" t="s">
        <v>184</v>
      </c>
      <c r="F342" s="82" t="s">
        <v>663</v>
      </c>
      <c r="G342" s="82" t="s">
        <v>678</v>
      </c>
      <c r="H342" s="33">
        <f>VLOOKUP(lmic_raw_ub[[#This Row],[setting]],lmic_raw[],8,FALSE)</f>
        <v>6415851</v>
      </c>
      <c r="I342" s="33">
        <f>VLOOKUP(lmic_raw_ub[[#This Row],[setting]],lmic_raw[],9,FALSE)</f>
        <v>159190.09501200001</v>
      </c>
      <c r="J342" s="84">
        <f>MIN(VLOOKUP($A342,lmic_raw[],10,FALSE)*(1+interactive!$C$7),0.9999)</f>
        <v>0.99990000000000001</v>
      </c>
      <c r="K342" s="84">
        <f>MIN(VLOOKUP($A342,lmic_raw[],11,FALSE)*(1+interactive!$C$7),0.9999)</f>
        <v>0.99990000000000001</v>
      </c>
      <c r="L342" s="33">
        <f>MIN(VLOOKUP($A342,lmic_raw[],12,FALSE)*(1+interactive!$C$7),0.9999)</f>
        <v>0.99749999999999994</v>
      </c>
      <c r="M342" s="84">
        <f>IFERROR(VLOOKUP(lmic_raw_ub[[#This Row],[iso3]], hbv_prev[[iso3]:[ub]],4,FALSE)/100,0)</f>
        <v>0.1981</v>
      </c>
      <c r="N342" s="84">
        <f>IFERROR(VLOOKUP(lmic_raw_ub[[#This Row],[setting]],hbe_prev[],5,FALSE),0)</f>
        <v>0.43079999999999996</v>
      </c>
      <c r="O342" s="84">
        <f>VLOOKUP(lmic_raw_ub[[#This Row],[gbd_super]],hbe_risk[],4,FALSE)</f>
        <v>0.9</v>
      </c>
      <c r="P342" s="84">
        <f>VLOOKUP(lmic_raw_ub[[#This Row],[gbd_super]],hbe_risk[],7,FALSE)</f>
        <v>0.3</v>
      </c>
      <c r="Q342" s="98">
        <f>VLOOKUP(lmic_raw_ub[[#This Row],[setting]],lmic_raw[],17,FALSE)*(1+interactive!$C$7)</f>
        <v>3.4516900823264258</v>
      </c>
      <c r="R342" s="98">
        <f>VLOOKUP(lmic_raw_ub[[#This Row],[setting]],lmic_raw[],18,FALSE)*(1+interactive!$C$7)</f>
        <v>46.76427000000001</v>
      </c>
      <c r="S342" s="98">
        <f>VLOOKUP(lmic_raw_ub[[#This Row],[setting]],lmic_raw[],19,FALSE)*(1+interactive!$C$7)</f>
        <v>96.893370000000019</v>
      </c>
      <c r="T342" s="98">
        <f>VLOOKUP(lmic_raw_ub[[#This Row],[setting]],lmic_raw[],20,FALSE)*(1+interactive!$C$7)</f>
        <v>96.893370000000019</v>
      </c>
      <c r="U342" s="98">
        <f>VLOOKUP(lmic_raw_ub[[#This Row],[setting]],lmic_raw[],21,FALSE)*(1+interactive!$C$7)</f>
        <v>96.893370000000019</v>
      </c>
      <c r="V342" s="33">
        <f>IFERROR(VLOOKUP(lmic_raw_ub[[#This Row],[setting]],vcost_ub[],3,FALSE),0)</f>
        <v>7.8083370670438432</v>
      </c>
      <c r="W342" s="33">
        <f>IFERROR(VLOOKUP(lmic_raw_ub[[#This Row],[setting]],vcost_ub[],4,FALSE),0)</f>
        <v>12.077322067043845</v>
      </c>
      <c r="X342" s="33">
        <f>IFERROR(VLOOKUP(lmic_raw_ub[[#This Row],[setting]],vcost_ub[],5,FALSE),0)</f>
        <v>7.3103602676348736</v>
      </c>
      <c r="Y342" s="33">
        <f>IFERROR(VLOOKUP(lmic_raw_ub[[#This Row],[setting]],vcost_ub[],6,FALSE),0)</f>
        <v>11.579345267634874</v>
      </c>
      <c r="Z342" s="33">
        <f>IFERROR(VLOOKUP(lmic_raw_ub[[#This Row],[setting]],vcost_ub[],7,FALSE),0)</f>
        <v>11.571084207345596</v>
      </c>
      <c r="AA342" s="33">
        <f>IFERROR(VLOOKUP(lmic_raw_ub[[#This Row],[setting]],vcost_ub[],8,FALSE),0)</f>
        <v>8.0774491902405074</v>
      </c>
      <c r="AB342" s="33">
        <f>IFERROR(VLOOKUP(lmic_raw_ub[[#This Row],[setting]],vcost_ub[],9,FALSE),0)</f>
        <v>12.346434190240508</v>
      </c>
      <c r="AC342" s="84">
        <f>VLOOKUP($A342,lmic_raw[],29,FALSE)*(1+interactive!$C$7)</f>
        <v>1.628155199999996E-2</v>
      </c>
      <c r="AD342" s="84">
        <f>VLOOKUP($A342,lmic_raw[],30,FALSE)*(1+interactive!$C$7)</f>
        <v>7.5270119030517336E-4</v>
      </c>
      <c r="AE342" s="84">
        <f>VLOOKUP($A342,lmic_raw[],31,FALSE)*(1+interactive!$C$7)</f>
        <v>3.1539870917416285E-4</v>
      </c>
      <c r="AF342" s="84">
        <f>VLOOKUP($A342,lmic_raw[],32,FALSE)*(1+interactive!$C$7)</f>
        <v>3.7906402473904309E-4</v>
      </c>
      <c r="AG342" s="84">
        <f>VLOOKUP($A342,lmic_raw[],33,FALSE)*(1+interactive!$C$7)</f>
        <v>5.9505577881071193E-4</v>
      </c>
      <c r="AH342" s="84">
        <f>VLOOKUP($A342,lmic_raw[],34,FALSE)*(1+interactive!$C$7)</f>
        <v>8.122687840880678E-4</v>
      </c>
      <c r="AI342" s="84">
        <f>VLOOKUP($A342,lmic_raw[],35,FALSE)*(1+interactive!$C$7)</f>
        <v>1.0432618360573728E-3</v>
      </c>
      <c r="AJ342" s="84">
        <f>VLOOKUP($A342,lmic_raw[],36,FALSE)*(1+interactive!$C$7)</f>
        <v>1.674449300654941E-3</v>
      </c>
      <c r="AK342" s="84">
        <f>VLOOKUP($A342,lmic_raw[],37,FALSE)*(1+interactive!$C$7)</f>
        <v>2.4927663683402428E-3</v>
      </c>
      <c r="AL342" s="84">
        <f>VLOOKUP($A342,lmic_raw[],38,FALSE)*(1+interactive!$C$7)</f>
        <v>3.7826620251478855E-3</v>
      </c>
      <c r="AM342" s="84">
        <f>VLOOKUP($A342,lmic_raw[],39,FALSE)*(1+interactive!$C$7)</f>
        <v>5.2646878693317425E-3</v>
      </c>
      <c r="AN342" s="84">
        <f>VLOOKUP($A342,lmic_raw[],40,FALSE)*(1+interactive!$C$7)</f>
        <v>7.5888189658171144E-3</v>
      </c>
      <c r="AO342" s="84">
        <f>VLOOKUP($A342,lmic_raw[],41,FALSE)*(1+interactive!$C$7)</f>
        <v>1.111764474285647E-2</v>
      </c>
      <c r="AP342" s="84">
        <f>VLOOKUP($A342,lmic_raw[],42,FALSE)*(1+interactive!$C$7)</f>
        <v>1.753368921691811E-2</v>
      </c>
      <c r="AQ342" s="84">
        <f>VLOOKUP($A342,lmic_raw[],43,FALSE)*(1+interactive!$C$7)</f>
        <v>2.5457327373950098E-2</v>
      </c>
      <c r="AR342" s="84">
        <f>VLOOKUP($A342,lmic_raw[],44,FALSE)*(1+interactive!$C$7)</f>
        <v>5.1205562214903702E-2</v>
      </c>
      <c r="AS342" s="84">
        <f>VLOOKUP($A342,lmic_raw[],45,FALSE)*(1+interactive!$C$7)</f>
        <v>8.6698002377892214E-2</v>
      </c>
      <c r="AT342" s="84">
        <f>VLOOKUP($A342,lmic_raw[],46,FALSE)*(1+interactive!$C$7)</f>
        <v>0.11178643556031874</v>
      </c>
      <c r="AU342" s="84">
        <f>VLOOKUP($A342,lmic_raw[],47,FALSE)*(1+interactive!$C$7)</f>
        <v>0.13259937524973842</v>
      </c>
      <c r="AV342" s="84">
        <f>VLOOKUP($A342,lmic_raw[],48,FALSE)*(1+interactive!$C$7)</f>
        <v>0.1485332001961612</v>
      </c>
      <c r="AW342" s="84">
        <f>VLOOKUP($A342,lmic_raw[],49,FALSE)*(1+interactive!$C$7)</f>
        <v>0.16686400871486226</v>
      </c>
      <c r="AX342" s="84">
        <f>VLOOKUP($A342,lmic_raw[],50,FALSE)*(1+interactive!$C$7)</f>
        <v>74.741100000000003</v>
      </c>
    </row>
    <row r="343" spans="1:50" x14ac:dyDescent="0.25">
      <c r="A343" s="82" t="s">
        <v>628</v>
      </c>
      <c r="B343" s="104" t="s">
        <v>454</v>
      </c>
      <c r="C343" s="105">
        <v>418</v>
      </c>
      <c r="D343" s="84" t="s">
        <v>681</v>
      </c>
      <c r="E343" s="84" t="s">
        <v>598</v>
      </c>
      <c r="F343" s="84" t="s">
        <v>666</v>
      </c>
      <c r="G343" s="84" t="s">
        <v>678</v>
      </c>
      <c r="H343" s="33">
        <f>VLOOKUP(lmic_raw_ub[[#This Row],[setting]],lmic_raw[],8,FALSE)</f>
        <v>7169456</v>
      </c>
      <c r="I343" s="33">
        <f>VLOOKUP(lmic_raw_ub[[#This Row],[setting]],lmic_raw[],9,FALSE)</f>
        <v>170833.79756800001</v>
      </c>
      <c r="J343" s="84">
        <f>MIN(VLOOKUP($A343,lmic_raw[],10,FALSE)*(1+interactive!$C$7),0.9999)</f>
        <v>0.67725000000000002</v>
      </c>
      <c r="K343" s="84">
        <f>MIN(VLOOKUP($A343,lmic_raw[],11,FALSE)*(1+interactive!$C$7),0.9999)</f>
        <v>0.57750000000000012</v>
      </c>
      <c r="L343" s="33">
        <f>MIN(VLOOKUP($A343,lmic_raw[],12,FALSE)*(1+interactive!$C$7),0.9999)</f>
        <v>0.71400000000000008</v>
      </c>
      <c r="M343" s="84">
        <f>IFERROR(VLOOKUP(lmic_raw_ub[[#This Row],[iso3]], hbv_prev[[iso3]:[ub]],4,FALSE)/100,0)</f>
        <v>5.9900000000000002E-2</v>
      </c>
      <c r="N343" s="84">
        <f>IFERROR(VLOOKUP(lmic_raw_ub[[#This Row],[setting]],hbe_prev[],5,FALSE),0)</f>
        <v>0.47729999999999995</v>
      </c>
      <c r="O343" s="84">
        <f>VLOOKUP(lmic_raw_ub[[#This Row],[gbd_super]],hbe_risk[],4,FALSE)</f>
        <v>0.9</v>
      </c>
      <c r="P343" s="84">
        <f>VLOOKUP(lmic_raw_ub[[#This Row],[gbd_super]],hbe_risk[],7,FALSE)</f>
        <v>0.3</v>
      </c>
      <c r="Q343" s="98">
        <f>VLOOKUP(lmic_raw_ub[[#This Row],[setting]],lmic_raw[],17,FALSE)*(1+interactive!$C$7)</f>
        <v>0</v>
      </c>
      <c r="R343" s="98">
        <f>VLOOKUP(lmic_raw_ub[[#This Row],[setting]],lmic_raw[],18,FALSE)*(1+interactive!$C$7)</f>
        <v>76.738725000000002</v>
      </c>
      <c r="S343" s="98">
        <f>VLOOKUP(lmic_raw_ub[[#This Row],[setting]],lmic_raw[],19,FALSE)*(1+interactive!$C$7)</f>
        <v>126.867825</v>
      </c>
      <c r="T343" s="98">
        <f>VLOOKUP(lmic_raw_ub[[#This Row],[setting]],lmic_raw[],20,FALSE)*(1+interactive!$C$7)</f>
        <v>126.867825</v>
      </c>
      <c r="U343" s="98">
        <f>VLOOKUP(lmic_raw_ub[[#This Row],[setting]],lmic_raw[],21,FALSE)*(1+interactive!$C$7)</f>
        <v>126.867825</v>
      </c>
      <c r="V343" s="33">
        <f>IFERROR(VLOOKUP(lmic_raw_ub[[#This Row],[setting]],vcost_ub[],3,FALSE),0)</f>
        <v>5.0888774268460519</v>
      </c>
      <c r="W343" s="33">
        <f>IFERROR(VLOOKUP(lmic_raw_ub[[#This Row],[setting]],vcost_ub[],4,FALSE),0)</f>
        <v>5.7526874268460517</v>
      </c>
      <c r="X343" s="33">
        <f>IFERROR(VLOOKUP(lmic_raw_ub[[#This Row],[setting]],vcost_ub[],5,FALSE),0)</f>
        <v>4.5771420085727286</v>
      </c>
      <c r="Y343" s="33">
        <f>IFERROR(VLOOKUP(lmic_raw_ub[[#This Row],[setting]],vcost_ub[],6,FALSE),0)</f>
        <v>5.2409520085727284</v>
      </c>
      <c r="Z343" s="33">
        <f>IFERROR(VLOOKUP(lmic_raw_ub[[#This Row],[setting]],vcost_ub[],7,FALSE),0)</f>
        <v>5.2248870242956391</v>
      </c>
      <c r="AA343" s="33">
        <f>IFERROR(VLOOKUP(lmic_raw_ub[[#This Row],[setting]],vcost_ub[],8,FALSE),0)</f>
        <v>5.3611126721162172</v>
      </c>
      <c r="AB343" s="33">
        <f>IFERROR(VLOOKUP(lmic_raw_ub[[#This Row],[setting]],vcost_ub[],9,FALSE),0)</f>
        <v>6.024922672116217</v>
      </c>
      <c r="AC343" s="84">
        <f>VLOOKUP($A343,lmic_raw[],29,FALSE)*(1+interactive!$C$7)</f>
        <v>4.071667949999995E-2</v>
      </c>
      <c r="AD343" s="84">
        <f>VLOOKUP($A343,lmic_raw[],30,FALSE)*(1+interactive!$C$7)</f>
        <v>2.6114405169643281E-3</v>
      </c>
      <c r="AE343" s="84">
        <f>VLOOKUP($A343,lmic_raw[],31,FALSE)*(1+interactive!$C$7)</f>
        <v>9.4481279042160854E-4</v>
      </c>
      <c r="AF343" s="84">
        <f>VLOOKUP($A343,lmic_raw[],32,FALSE)*(1+interactive!$C$7)</f>
        <v>7.5670469956648555E-4</v>
      </c>
      <c r="AG343" s="84">
        <f>VLOOKUP($A343,lmic_raw[],33,FALSE)*(1+interactive!$C$7)</f>
        <v>1.2800006584995065E-3</v>
      </c>
      <c r="AH343" s="84">
        <f>VLOOKUP($A343,lmic_raw[],34,FALSE)*(1+interactive!$C$7)</f>
        <v>1.7990252060574058E-3</v>
      </c>
      <c r="AI343" s="84">
        <f>VLOOKUP($A343,lmic_raw[],35,FALSE)*(1+interactive!$C$7)</f>
        <v>1.9514286340282963E-3</v>
      </c>
      <c r="AJ343" s="84">
        <f>VLOOKUP($A343,lmic_raw[],36,FALSE)*(1+interactive!$C$7)</f>
        <v>2.2511120072782487E-3</v>
      </c>
      <c r="AK343" s="84">
        <f>VLOOKUP($A343,lmic_raw[],37,FALSE)*(1+interactive!$C$7)</f>
        <v>2.8694675598914341E-3</v>
      </c>
      <c r="AL343" s="84">
        <f>VLOOKUP($A343,lmic_raw[],38,FALSE)*(1+interactive!$C$7)</f>
        <v>3.956764799273157E-3</v>
      </c>
      <c r="AM343" s="84">
        <f>VLOOKUP($A343,lmic_raw[],39,FALSE)*(1+interactive!$C$7)</f>
        <v>5.8447124923907681E-3</v>
      </c>
      <c r="AN343" s="84">
        <f>VLOOKUP($A343,lmic_raw[],40,FALSE)*(1+interactive!$C$7)</f>
        <v>8.7902754420331655E-3</v>
      </c>
      <c r="AO343" s="84">
        <f>VLOOKUP($A343,lmic_raw[],41,FALSE)*(1+interactive!$C$7)</f>
        <v>1.3384758519675298E-2</v>
      </c>
      <c r="AP343" s="84">
        <f>VLOOKUP($A343,lmic_raw[],42,FALSE)*(1+interactive!$C$7)</f>
        <v>2.0513437587241438E-2</v>
      </c>
      <c r="AQ343" s="84">
        <f>VLOOKUP($A343,lmic_raw[],43,FALSE)*(1+interactive!$C$7)</f>
        <v>3.1501236997853267E-2</v>
      </c>
      <c r="AR343" s="84">
        <f>VLOOKUP($A343,lmic_raw[],44,FALSE)*(1+interactive!$C$7)</f>
        <v>4.8728482236234875E-2</v>
      </c>
      <c r="AS343" s="84">
        <f>VLOOKUP($A343,lmic_raw[],45,FALSE)*(1+interactive!$C$7)</f>
        <v>7.3808312644546611E-2</v>
      </c>
      <c r="AT343" s="84">
        <f>VLOOKUP($A343,lmic_raw[],46,FALSE)*(1+interactive!$C$7)</f>
        <v>0.10694102726243172</v>
      </c>
      <c r="AU343" s="84">
        <f>VLOOKUP($A343,lmic_raw[],47,FALSE)*(1+interactive!$C$7)</f>
        <v>0.142001863062029</v>
      </c>
      <c r="AV343" s="84">
        <f>VLOOKUP($A343,lmic_raw[],48,FALSE)*(1+interactive!$C$7)</f>
        <v>0.17041945171940051</v>
      </c>
      <c r="AW343" s="84">
        <f>VLOOKUP($A343,lmic_raw[],49,FALSE)*(1+interactive!$C$7)</f>
        <v>0.18869006566019356</v>
      </c>
      <c r="AX343" s="84">
        <f>VLOOKUP($A343,lmic_raw[],50,FALSE)*(1+interactive!$C$7)</f>
        <v>70.813050000000004</v>
      </c>
    </row>
    <row r="344" spans="1:50" x14ac:dyDescent="0.25">
      <c r="A344" s="109" t="s">
        <v>174</v>
      </c>
      <c r="B344" s="101" t="s">
        <v>456</v>
      </c>
      <c r="C344" s="102">
        <v>422</v>
      </c>
      <c r="D344" s="82" t="s">
        <v>673</v>
      </c>
      <c r="E344" s="82" t="s">
        <v>579</v>
      </c>
      <c r="F344" s="82" t="s">
        <v>579</v>
      </c>
      <c r="G344" s="82" t="s">
        <v>676</v>
      </c>
      <c r="H344" s="33">
        <f>VLOOKUP(lmic_raw_ub[[#This Row],[setting]],lmic_raw[],8,FALSE)</f>
        <v>6855709</v>
      </c>
      <c r="I344" s="33">
        <f>VLOOKUP(lmic_raw_ub[[#This Row],[setting]],lmic_raw[],9,FALSE)</f>
        <v>120441.09571200001</v>
      </c>
      <c r="J344" s="84">
        <f>MIN(VLOOKUP($A344,lmic_raw[],10,FALSE)*(1+interactive!$C$7),0.9999)</f>
        <v>0.99990000000000001</v>
      </c>
      <c r="K344" s="84">
        <f>MIN(VLOOKUP($A344,lmic_raw[],11,FALSE)*(1+interactive!$C$7),0.9999)</f>
        <v>0.84000000000000008</v>
      </c>
      <c r="L344" s="33">
        <f>MIN(VLOOKUP($A344,lmic_raw[],12,FALSE)*(1+interactive!$C$7),0.9999)</f>
        <v>0.84000000000000008</v>
      </c>
      <c r="M344" s="84">
        <f>IFERROR(VLOOKUP(lmic_raw_ub[[#This Row],[iso3]], hbv_prev[[iso3]:[ub]],4,FALSE)/100,0)</f>
        <v>1.6399999999999998E-2</v>
      </c>
      <c r="N344" s="84">
        <f>IFERROR(VLOOKUP(lmic_raw_ub[[#This Row],[setting]],hbe_prev[],5,FALSE),0)</f>
        <v>0.37619999999999998</v>
      </c>
      <c r="O344" s="84">
        <f>VLOOKUP(lmic_raw_ub[[#This Row],[gbd_super]],hbe_risk[],4,FALSE)</f>
        <v>0.9</v>
      </c>
      <c r="P344" s="84">
        <f>VLOOKUP(lmic_raw_ub[[#This Row],[gbd_super]],hbe_risk[],7,FALSE)</f>
        <v>0.3</v>
      </c>
      <c r="Q344" s="98">
        <f>VLOOKUP(lmic_raw_ub[[#This Row],[setting]],lmic_raw[],17,FALSE)*(1+interactive!$C$7)</f>
        <v>14.393767422728295</v>
      </c>
      <c r="R344" s="98">
        <f>VLOOKUP(lmic_raw_ub[[#This Row],[setting]],lmic_raw[],18,FALSE)*(1+interactive!$C$7)</f>
        <v>48.652695000000001</v>
      </c>
      <c r="S344" s="98">
        <f>VLOOKUP(lmic_raw_ub[[#This Row],[setting]],lmic_raw[],19,FALSE)*(1+interactive!$C$7)</f>
        <v>98.781795000000017</v>
      </c>
      <c r="T344" s="98">
        <f>VLOOKUP(lmic_raw_ub[[#This Row],[setting]],lmic_raw[],20,FALSE)*(1+interactive!$C$7)</f>
        <v>98.781795000000017</v>
      </c>
      <c r="U344" s="98">
        <f>VLOOKUP(lmic_raw_ub[[#This Row],[setting]],lmic_raw[],21,FALSE)*(1+interactive!$C$7)</f>
        <v>98.781795000000017</v>
      </c>
      <c r="V344" s="33">
        <f>IFERROR(VLOOKUP(lmic_raw_ub[[#This Row],[setting]],vcost_ub[],3,FALSE),0)</f>
        <v>9.8586306929554297</v>
      </c>
      <c r="W344" s="33">
        <f>IFERROR(VLOOKUP(lmic_raw_ub[[#This Row],[setting]],vcost_ub[],4,FALSE),0)</f>
        <v>10.362210692955429</v>
      </c>
      <c r="X344" s="33">
        <f>IFERROR(VLOOKUP(lmic_raw_ub[[#This Row],[setting]],vcost_ub[],5,FALSE),0)</f>
        <v>9.3280118521591628</v>
      </c>
      <c r="Y344" s="33">
        <f>IFERROR(VLOOKUP(lmic_raw_ub[[#This Row],[setting]],vcost_ub[],6,FALSE),0)</f>
        <v>9.8315918521591623</v>
      </c>
      <c r="Z344" s="33">
        <f>IFERROR(VLOOKUP(lmic_raw_ub[[#This Row],[setting]],vcost_ub[],7,FALSE),0)</f>
        <v>9.8040084047475862</v>
      </c>
      <c r="AA344" s="33">
        <f>IFERROR(VLOOKUP(lmic_raw_ub[[#This Row],[setting]],vcost_ub[],8,FALSE),0)</f>
        <v>10.135152359289087</v>
      </c>
      <c r="AB344" s="33">
        <f>IFERROR(VLOOKUP(lmic_raw_ub[[#This Row],[setting]],vcost_ub[],9,FALSE),0)</f>
        <v>10.638732359289087</v>
      </c>
      <c r="AC344" s="84">
        <f>VLOOKUP($A344,lmic_raw[],29,FALSE)*(1+interactive!$C$7)</f>
        <v>9.8854559999999401E-3</v>
      </c>
      <c r="AD344" s="84">
        <f>VLOOKUP($A344,lmic_raw[],30,FALSE)*(1+interactive!$C$7)</f>
        <v>3.9537231968562119E-4</v>
      </c>
      <c r="AE344" s="84">
        <f>VLOOKUP($A344,lmic_raw[],31,FALSE)*(1+interactive!$C$7)</f>
        <v>1.9237498004231218E-4</v>
      </c>
      <c r="AF344" s="84">
        <f>VLOOKUP($A344,lmic_raw[],32,FALSE)*(1+interactive!$C$7)</f>
        <v>1.611380920538153E-4</v>
      </c>
      <c r="AG344" s="84">
        <f>VLOOKUP($A344,lmic_raw[],33,FALSE)*(1+interactive!$C$7)</f>
        <v>3.0210700528991149E-4</v>
      </c>
      <c r="AH344" s="84">
        <f>VLOOKUP($A344,lmic_raw[],34,FALSE)*(1+interactive!$C$7)</f>
        <v>4.2116993280849271E-4</v>
      </c>
      <c r="AI344" s="84">
        <f>VLOOKUP($A344,lmic_raw[],35,FALSE)*(1+interactive!$C$7)</f>
        <v>4.5084559386451492E-4</v>
      </c>
      <c r="AJ344" s="84">
        <f>VLOOKUP($A344,lmic_raw[],36,FALSE)*(1+interactive!$C$7)</f>
        <v>5.3084589083587518E-4</v>
      </c>
      <c r="AK344" s="84">
        <f>VLOOKUP($A344,lmic_raw[],37,FALSE)*(1+interactive!$C$7)</f>
        <v>7.1459112323173448E-4</v>
      </c>
      <c r="AL344" s="84">
        <f>VLOOKUP($A344,lmic_raw[],38,FALSE)*(1+interactive!$C$7)</f>
        <v>1.0989625340284102E-3</v>
      </c>
      <c r="AM344" s="84">
        <f>VLOOKUP($A344,lmic_raw[],39,FALSE)*(1+interactive!$C$7)</f>
        <v>1.9167579029532864E-3</v>
      </c>
      <c r="AN344" s="84">
        <f>VLOOKUP($A344,lmic_raw[],40,FALSE)*(1+interactive!$C$7)</f>
        <v>3.2754766141580129E-3</v>
      </c>
      <c r="AO344" s="84">
        <f>VLOOKUP($A344,lmic_raw[],41,FALSE)*(1+interactive!$C$7)</f>
        <v>5.712357247959367E-3</v>
      </c>
      <c r="AP344" s="84">
        <f>VLOOKUP($A344,lmic_raw[],42,FALSE)*(1+interactive!$C$7)</f>
        <v>9.0740217642515351E-3</v>
      </c>
      <c r="AQ344" s="84">
        <f>VLOOKUP($A344,lmic_raw[],43,FALSE)*(1+interactive!$C$7)</f>
        <v>1.5470855250114201E-2</v>
      </c>
      <c r="AR344" s="84">
        <f>VLOOKUP($A344,lmic_raw[],44,FALSE)*(1+interactive!$C$7)</f>
        <v>2.6779589659180345E-2</v>
      </c>
      <c r="AS344" s="84">
        <f>VLOOKUP($A344,lmic_raw[],45,FALSE)*(1+interactive!$C$7)</f>
        <v>4.4277967182773804E-2</v>
      </c>
      <c r="AT344" s="84">
        <f>VLOOKUP($A344,lmic_raw[],46,FALSE)*(1+interactive!$C$7)</f>
        <v>7.1534992416606005E-2</v>
      </c>
      <c r="AU344" s="84">
        <f>VLOOKUP($A344,lmic_raw[],47,FALSE)*(1+interactive!$C$7)</f>
        <v>0.10708152530942154</v>
      </c>
      <c r="AV344" s="84">
        <f>VLOOKUP($A344,lmic_raw[],48,FALSE)*(1+interactive!$C$7)</f>
        <v>0.14285618867874683</v>
      </c>
      <c r="AW344" s="84">
        <f>VLOOKUP($A344,lmic_raw[],49,FALSE)*(1+interactive!$C$7)</f>
        <v>0.17122684905651381</v>
      </c>
      <c r="AX344" s="84">
        <f>VLOOKUP($A344,lmic_raw[],50,FALSE)*(1+interactive!$C$7)</f>
        <v>82.764150000000001</v>
      </c>
    </row>
    <row r="345" spans="1:50" x14ac:dyDescent="0.25">
      <c r="A345" s="110" t="s">
        <v>134</v>
      </c>
      <c r="B345" s="104" t="s">
        <v>457</v>
      </c>
      <c r="C345" s="105">
        <v>426</v>
      </c>
      <c r="D345" s="84" t="s">
        <v>677</v>
      </c>
      <c r="E345" s="84" t="s">
        <v>594</v>
      </c>
      <c r="F345" s="84" t="s">
        <v>667</v>
      </c>
      <c r="G345" s="84" t="s">
        <v>678</v>
      </c>
      <c r="H345" s="33">
        <f>VLOOKUP(lmic_raw_ub[[#This Row],[setting]],lmic_raw[],8,FALSE)</f>
        <v>2125267</v>
      </c>
      <c r="I345" s="33">
        <f>VLOOKUP(lmic_raw_ub[[#This Row],[setting]],lmic_raw[],9,FALSE)</f>
        <v>57454.468077999991</v>
      </c>
      <c r="J345" s="84">
        <f>MIN(VLOOKUP($A345,lmic_raw[],10,FALSE)*(1+interactive!$C$7),0.9999)</f>
        <v>0.93870000000000009</v>
      </c>
      <c r="K345" s="84">
        <f>MIN(VLOOKUP($A345,lmic_raw[],11,FALSE)*(1+interactive!$C$7),0.9999)</f>
        <v>0</v>
      </c>
      <c r="L345" s="33">
        <f>MIN(VLOOKUP($A345,lmic_raw[],12,FALSE)*(1+interactive!$C$7),0.9999)</f>
        <v>0.91349999999999998</v>
      </c>
      <c r="M345" s="84">
        <f>IFERROR(VLOOKUP(lmic_raw_ub[[#This Row],[iso3]], hbv_prev[[iso3]:[ub]],4,FALSE)/100,0)</f>
        <v>0.35310000000000002</v>
      </c>
      <c r="N345" s="84">
        <f>IFERROR(VLOOKUP(lmic_raw_ub[[#This Row],[setting]],hbe_prev[],5,FALSE),0)</f>
        <v>0.3679</v>
      </c>
      <c r="O345" s="84">
        <f>VLOOKUP(lmic_raw_ub[[#This Row],[gbd_super]],hbe_risk[],4,FALSE)</f>
        <v>0.74399999999999999</v>
      </c>
      <c r="P345" s="84">
        <f>VLOOKUP(lmic_raw_ub[[#This Row],[gbd_super]],hbe_risk[],7,FALSE)</f>
        <v>0.13300000000000001</v>
      </c>
      <c r="Q345" s="98">
        <f>VLOOKUP(lmic_raw_ub[[#This Row],[setting]],lmic_raw[],17,FALSE)*(1+interactive!$C$7)</f>
        <v>3.8255651622945992</v>
      </c>
      <c r="R345" s="98">
        <f>VLOOKUP(lmic_raw_ub[[#This Row],[setting]],lmic_raw[],18,FALSE)*(1+interactive!$C$7)</f>
        <v>31.416525000000004</v>
      </c>
      <c r="S345" s="98">
        <f>VLOOKUP(lmic_raw_ub[[#This Row],[setting]],lmic_raw[],19,FALSE)*(1+interactive!$C$7)</f>
        <v>81.545625000000015</v>
      </c>
      <c r="T345" s="98">
        <f>VLOOKUP(lmic_raw_ub[[#This Row],[setting]],lmic_raw[],20,FALSE)*(1+interactive!$C$7)</f>
        <v>81.545625000000015</v>
      </c>
      <c r="U345" s="98">
        <f>VLOOKUP(lmic_raw_ub[[#This Row],[setting]],lmic_raw[],21,FALSE)*(1+interactive!$C$7)</f>
        <v>81.545625000000015</v>
      </c>
      <c r="V345" s="33">
        <f>IFERROR(VLOOKUP(lmic_raw_ub[[#This Row],[setting]],vcost_ub[],3,FALSE),0)</f>
        <v>9.2132632739205054</v>
      </c>
      <c r="W345" s="33">
        <f>IFERROR(VLOOKUP(lmic_raw_ub[[#This Row],[setting]],vcost_ub[],4,FALSE),0)</f>
        <v>14.283398273920506</v>
      </c>
      <c r="X345" s="33">
        <f>IFERROR(VLOOKUP(lmic_raw_ub[[#This Row],[setting]],vcost_ub[],5,FALSE),0)</f>
        <v>8.7180587287239426</v>
      </c>
      <c r="Y345" s="33">
        <f>IFERROR(VLOOKUP(lmic_raw_ub[[#This Row],[setting]],vcost_ub[],6,FALSE),0)</f>
        <v>13.788193728723943</v>
      </c>
      <c r="Z345" s="33">
        <f>IFERROR(VLOOKUP(lmic_raw_ub[[#This Row],[setting]],vcost_ub[],7,FALSE),0)</f>
        <v>13.781917453954089</v>
      </c>
      <c r="AA345" s="33">
        <f>IFERROR(VLOOKUP(lmic_raw_ub[[#This Row],[setting]],vcost_ub[],8,FALSE),0)</f>
        <v>9.4817461124186462</v>
      </c>
      <c r="AB345" s="33">
        <f>IFERROR(VLOOKUP(lmic_raw_ub[[#This Row],[setting]],vcost_ub[],9,FALSE),0)</f>
        <v>14.551881112418647</v>
      </c>
      <c r="AC345" s="84">
        <f>VLOOKUP($A345,lmic_raw[],29,FALSE)*(1+interactive!$C$7)</f>
        <v>6.5371634999999956E-2</v>
      </c>
      <c r="AD345" s="84">
        <f>VLOOKUP($A345,lmic_raw[],30,FALSE)*(1+interactive!$C$7)</f>
        <v>6.9438927345953673E-3</v>
      </c>
      <c r="AE345" s="84">
        <f>VLOOKUP($A345,lmic_raw[],31,FALSE)*(1+interactive!$C$7)</f>
        <v>1.8130058066546408E-3</v>
      </c>
      <c r="AF345" s="84">
        <f>VLOOKUP($A345,lmic_raw[],32,FALSE)*(1+interactive!$C$7)</f>
        <v>1.4998843162438145E-3</v>
      </c>
      <c r="AG345" s="84">
        <f>VLOOKUP($A345,lmic_raw[],33,FALSE)*(1+interactive!$C$7)</f>
        <v>2.3037219567561633E-3</v>
      </c>
      <c r="AH345" s="84">
        <f>VLOOKUP($A345,lmic_raw[],34,FALSE)*(1+interactive!$C$7)</f>
        <v>4.226148943627884E-3</v>
      </c>
      <c r="AI345" s="84">
        <f>VLOOKUP($A345,lmic_raw[],35,FALSE)*(1+interactive!$C$7)</f>
        <v>7.8084261944162698E-3</v>
      </c>
      <c r="AJ345" s="84">
        <f>VLOOKUP($A345,lmic_raw[],36,FALSE)*(1+interactive!$C$7)</f>
        <v>1.1782298966407518E-2</v>
      </c>
      <c r="AK345" s="84">
        <f>VLOOKUP($A345,lmic_raw[],37,FALSE)*(1+interactive!$C$7)</f>
        <v>1.7280235144121206E-2</v>
      </c>
      <c r="AL345" s="84">
        <f>VLOOKUP($A345,lmic_raw[],38,FALSE)*(1+interactive!$C$7)</f>
        <v>1.9498657061440449E-2</v>
      </c>
      <c r="AM345" s="84">
        <f>VLOOKUP($A345,lmic_raw[],39,FALSE)*(1+interactive!$C$7)</f>
        <v>2.1646491515274768E-2</v>
      </c>
      <c r="AN345" s="84">
        <f>VLOOKUP($A345,lmic_raw[],40,FALSE)*(1+interactive!$C$7)</f>
        <v>2.3306011544348752E-2</v>
      </c>
      <c r="AO345" s="84">
        <f>VLOOKUP($A345,lmic_raw[],41,FALSE)*(1+interactive!$C$7)</f>
        <v>2.6219331219291257E-2</v>
      </c>
      <c r="AP345" s="84">
        <f>VLOOKUP($A345,lmic_raw[],42,FALSE)*(1+interactive!$C$7)</f>
        <v>3.1734836468947612E-2</v>
      </c>
      <c r="AQ345" s="84">
        <f>VLOOKUP($A345,lmic_raw[],43,FALSE)*(1+interactive!$C$7)</f>
        <v>4.162382723737873E-2</v>
      </c>
      <c r="AR345" s="84">
        <f>VLOOKUP($A345,lmic_raw[],44,FALSE)*(1+interactive!$C$7)</f>
        <v>5.7192219718902364E-2</v>
      </c>
      <c r="AS345" s="84">
        <f>VLOOKUP($A345,lmic_raw[],45,FALSE)*(1+interactive!$C$7)</f>
        <v>7.8321724003774518E-2</v>
      </c>
      <c r="AT345" s="84">
        <f>VLOOKUP($A345,lmic_raw[],46,FALSE)*(1+interactive!$C$7)</f>
        <v>0.1110280466320467</v>
      </c>
      <c r="AU345" s="84">
        <f>VLOOKUP($A345,lmic_raw[],47,FALSE)*(1+interactive!$C$7)</f>
        <v>0.15016929221910463</v>
      </c>
      <c r="AV345" s="84">
        <f>VLOOKUP($A345,lmic_raw[],48,FALSE)*(1+interactive!$C$7)</f>
        <v>0.17957523400921999</v>
      </c>
      <c r="AW345" s="84">
        <f>VLOOKUP($A345,lmic_raw[],49,FALSE)*(1+interactive!$C$7)</f>
        <v>0.19150976801715297</v>
      </c>
      <c r="AX345" s="84">
        <f>VLOOKUP($A345,lmic_raw[],50,FALSE)*(1+interactive!$C$7)</f>
        <v>56.186550000000004</v>
      </c>
    </row>
    <row r="346" spans="1:50" x14ac:dyDescent="0.25">
      <c r="A346" s="109" t="s">
        <v>146</v>
      </c>
      <c r="B346" s="101" t="s">
        <v>458</v>
      </c>
      <c r="C346" s="102">
        <v>430</v>
      </c>
      <c r="D346" s="82" t="s">
        <v>677</v>
      </c>
      <c r="E346" s="82" t="s">
        <v>591</v>
      </c>
      <c r="F346" s="82" t="s">
        <v>667</v>
      </c>
      <c r="G346" s="82" t="s">
        <v>674</v>
      </c>
      <c r="H346" s="33">
        <f>VLOOKUP(lmic_raw_ub[[#This Row],[setting]],lmic_raw[],8,FALSE)</f>
        <v>4937374</v>
      </c>
      <c r="I346" s="33">
        <f>VLOOKUP(lmic_raw_ub[[#This Row],[setting]],lmic_raw[],9,FALSE)</f>
        <v>164024.50165399996</v>
      </c>
      <c r="J346" s="84">
        <f>MIN(VLOOKUP($A346,lmic_raw[],10,FALSE)*(1+interactive!$C$7),0.9999)</f>
        <v>0.83789999999999998</v>
      </c>
      <c r="K346" s="84">
        <f>MIN(VLOOKUP($A346,lmic_raw[],11,FALSE)*(1+interactive!$C$7),0.9999)</f>
        <v>0</v>
      </c>
      <c r="L346" s="33">
        <f>MIN(VLOOKUP($A346,lmic_raw[],12,FALSE)*(1+interactive!$C$7),0.9999)</f>
        <v>0.77700000000000002</v>
      </c>
      <c r="M346" s="84">
        <f>IFERROR(VLOOKUP(lmic_raw_ub[[#This Row],[iso3]], hbv_prev[[iso3]:[ub]],4,FALSE)/100,0)</f>
        <v>0.18390000000000001</v>
      </c>
      <c r="N346" s="84">
        <f>IFERROR(VLOOKUP(lmic_raw_ub[[#This Row],[setting]],hbe_prev[],5,FALSE),0)</f>
        <v>0.41070000000000001</v>
      </c>
      <c r="O346" s="84">
        <f>VLOOKUP(lmic_raw_ub[[#This Row],[gbd_super]],hbe_risk[],4,FALSE)</f>
        <v>0.74399999999999999</v>
      </c>
      <c r="P346" s="84">
        <f>VLOOKUP(lmic_raw_ub[[#This Row],[gbd_super]],hbe_risk[],7,FALSE)</f>
        <v>0.13300000000000001</v>
      </c>
      <c r="Q346" s="98">
        <f>VLOOKUP(lmic_raw_ub[[#This Row],[setting]],lmic_raw[],17,FALSE)*(1+interactive!$C$7)</f>
        <v>2.5793148957340217</v>
      </c>
      <c r="R346" s="98">
        <f>VLOOKUP(lmic_raw_ub[[#This Row],[setting]],lmic_raw[],18,FALSE)*(1+interactive!$C$7)</f>
        <v>31.416525000000004</v>
      </c>
      <c r="S346" s="98">
        <f>VLOOKUP(lmic_raw_ub[[#This Row],[setting]],lmic_raw[],19,FALSE)*(1+interactive!$C$7)</f>
        <v>81.545625000000015</v>
      </c>
      <c r="T346" s="98">
        <f>VLOOKUP(lmic_raw_ub[[#This Row],[setting]],lmic_raw[],20,FALSE)*(1+interactive!$C$7)</f>
        <v>81.545625000000015</v>
      </c>
      <c r="U346" s="98">
        <f>VLOOKUP(lmic_raw_ub[[#This Row],[setting]],lmic_raw[],21,FALSE)*(1+interactive!$C$7)</f>
        <v>81.545625000000015</v>
      </c>
      <c r="V346" s="33">
        <f>IFERROR(VLOOKUP(lmic_raw_ub[[#This Row],[setting]],vcost_ub[],3,FALSE),0)</f>
        <v>5.2645603455323071</v>
      </c>
      <c r="W346" s="33">
        <f>IFERROR(VLOOKUP(lmic_raw_ub[[#This Row],[setting]],vcost_ub[],4,FALSE),0)</f>
        <v>10.334695345532307</v>
      </c>
      <c r="X346" s="33">
        <f>IFERROR(VLOOKUP(lmic_raw_ub[[#This Row],[setting]],vcost_ub[],5,FALSE),0)</f>
        <v>4.7710634513750732</v>
      </c>
      <c r="Y346" s="33">
        <f>IFERROR(VLOOKUP(lmic_raw_ub[[#This Row],[setting]],vcost_ub[],6,FALSE),0)</f>
        <v>9.8411984513750745</v>
      </c>
      <c r="Z346" s="33">
        <f>IFERROR(VLOOKUP(lmic_raw_ub[[#This Row],[setting]],vcost_ub[],7,FALSE),0)</f>
        <v>9.8358368639765565</v>
      </c>
      <c r="AA346" s="33">
        <f>IFERROR(VLOOKUP(lmic_raw_ub[[#This Row],[setting]],vcost_ub[],8,FALSE),0)</f>
        <v>5.5326555577209051</v>
      </c>
      <c r="AB346" s="33">
        <f>IFERROR(VLOOKUP(lmic_raw_ub[[#This Row],[setting]],vcost_ub[],9,FALSE),0)</f>
        <v>10.602790557720905</v>
      </c>
      <c r="AC346" s="84">
        <f>VLOOKUP($A346,lmic_raw[],29,FALSE)*(1+interactive!$C$7)</f>
        <v>5.6777657999999932E-2</v>
      </c>
      <c r="AD346" s="84">
        <f>VLOOKUP($A346,lmic_raw[],30,FALSE)*(1+interactive!$C$7)</f>
        <v>5.5605426878829051E-3</v>
      </c>
      <c r="AE346" s="84">
        <f>VLOOKUP($A346,lmic_raw[],31,FALSE)*(1+interactive!$C$7)</f>
        <v>1.6006808033801341E-3</v>
      </c>
      <c r="AF346" s="84">
        <f>VLOOKUP($A346,lmic_raw[],32,FALSE)*(1+interactive!$C$7)</f>
        <v>1.1372596364502296E-3</v>
      </c>
      <c r="AG346" s="84">
        <f>VLOOKUP($A346,lmic_raw[],33,FALSE)*(1+interactive!$C$7)</f>
        <v>1.787523477599781E-3</v>
      </c>
      <c r="AH346" s="84">
        <f>VLOOKUP($A346,lmic_raw[],34,FALSE)*(1+interactive!$C$7)</f>
        <v>2.630380564605384E-3</v>
      </c>
      <c r="AI346" s="84">
        <f>VLOOKUP($A346,lmic_raw[],35,FALSE)*(1+interactive!$C$7)</f>
        <v>3.196867009331277E-3</v>
      </c>
      <c r="AJ346" s="84">
        <f>VLOOKUP($A346,lmic_raw[],36,FALSE)*(1+interactive!$C$7)</f>
        <v>3.8493728488840596E-3</v>
      </c>
      <c r="AK346" s="84">
        <f>VLOOKUP($A346,lmic_raw[],37,FALSE)*(1+interactive!$C$7)</f>
        <v>4.7957914326772801E-3</v>
      </c>
      <c r="AL346" s="84">
        <f>VLOOKUP($A346,lmic_raw[],38,FALSE)*(1+interactive!$C$7)</f>
        <v>6.0127251154176112E-3</v>
      </c>
      <c r="AM346" s="84">
        <f>VLOOKUP($A346,lmic_raw[],39,FALSE)*(1+interactive!$C$7)</f>
        <v>7.4806768294510663E-3</v>
      </c>
      <c r="AN346" s="84">
        <f>VLOOKUP($A346,lmic_raw[],40,FALSE)*(1+interactive!$C$7)</f>
        <v>1.0341593442258287E-2</v>
      </c>
      <c r="AO346" s="84">
        <f>VLOOKUP($A346,lmic_raw[],41,FALSE)*(1+interactive!$C$7)</f>
        <v>1.371576265568066E-2</v>
      </c>
      <c r="AP346" s="84">
        <f>VLOOKUP($A346,lmic_raw[],42,FALSE)*(1+interactive!$C$7)</f>
        <v>2.0362061952819886E-2</v>
      </c>
      <c r="AQ346" s="84">
        <f>VLOOKUP($A346,lmic_raw[],43,FALSE)*(1+interactive!$C$7)</f>
        <v>3.1260673647582851E-2</v>
      </c>
      <c r="AR346" s="84">
        <f>VLOOKUP($A346,lmic_raw[],44,FALSE)*(1+interactive!$C$7)</f>
        <v>4.8580482035958383E-2</v>
      </c>
      <c r="AS346" s="84">
        <f>VLOOKUP($A346,lmic_raw[],45,FALSE)*(1+interactive!$C$7)</f>
        <v>7.4348108738983468E-2</v>
      </c>
      <c r="AT346" s="84">
        <f>VLOOKUP($A346,lmic_raw[],46,FALSE)*(1+interactive!$C$7)</f>
        <v>0.11104142354365279</v>
      </c>
      <c r="AU346" s="84">
        <f>VLOOKUP($A346,lmic_raw[],47,FALSE)*(1+interactive!$C$7)</f>
        <v>0.15289855993902712</v>
      </c>
      <c r="AV346" s="84">
        <f>VLOOKUP($A346,lmic_raw[],48,FALSE)*(1+interactive!$C$7)</f>
        <v>0.1872988568813603</v>
      </c>
      <c r="AW346" s="84">
        <f>VLOOKUP($A346,lmic_raw[],49,FALSE)*(1+interactive!$C$7)</f>
        <v>0.19849894004217569</v>
      </c>
      <c r="AX346" s="84">
        <f>VLOOKUP($A346,lmic_raw[],50,FALSE)*(1+interactive!$C$7)</f>
        <v>66.775800000000004</v>
      </c>
    </row>
    <row r="347" spans="1:50" x14ac:dyDescent="0.25">
      <c r="A347" s="110" t="s">
        <v>159</v>
      </c>
      <c r="B347" s="104" t="s">
        <v>459</v>
      </c>
      <c r="C347" s="105">
        <v>434</v>
      </c>
      <c r="D347" s="84" t="s">
        <v>673</v>
      </c>
      <c r="E347" s="84" t="s">
        <v>579</v>
      </c>
      <c r="F347" s="84" t="s">
        <v>579</v>
      </c>
      <c r="G347" s="84" t="s">
        <v>676</v>
      </c>
      <c r="H347" s="33">
        <f>VLOOKUP(lmic_raw_ub[[#This Row],[setting]],lmic_raw[],8,FALSE)</f>
        <v>6777453</v>
      </c>
      <c r="I347" s="33">
        <f>VLOOKUP(lmic_raw_ub[[#This Row],[setting]],lmic_raw[],9,FALSE)</f>
        <v>128805.494265</v>
      </c>
      <c r="J347" s="84">
        <f>MIN(VLOOKUP($A347,lmic_raw[],10,FALSE)*(1+interactive!$C$7),0.9999)</f>
        <v>0.99990000000000001</v>
      </c>
      <c r="K347" s="84">
        <f>MIN(VLOOKUP($A347,lmic_raw[],11,FALSE)*(1+interactive!$C$7),0.9999)</f>
        <v>0</v>
      </c>
      <c r="L347" s="33">
        <f>MIN(VLOOKUP($A347,lmic_raw[],12,FALSE)*(1+interactive!$C$7),0.9999)</f>
        <v>0.76649999999999996</v>
      </c>
      <c r="M347" s="84">
        <f>IFERROR(VLOOKUP(lmic_raw_ub[[#This Row],[iso3]], hbv_prev[[iso3]:[ub]],4,FALSE)/100,0)</f>
        <v>2.2499999999999999E-2</v>
      </c>
      <c r="N347" s="84">
        <f>IFERROR(VLOOKUP(lmic_raw_ub[[#This Row],[setting]],hbe_prev[],5,FALSE),0)</f>
        <v>0.37619999999999998</v>
      </c>
      <c r="O347" s="84">
        <f>VLOOKUP(lmic_raw_ub[[#This Row],[gbd_super]],hbe_risk[],4,FALSE)</f>
        <v>0.9</v>
      </c>
      <c r="P347" s="84">
        <f>VLOOKUP(lmic_raw_ub[[#This Row],[gbd_super]],hbe_risk[],7,FALSE)</f>
        <v>0.3</v>
      </c>
      <c r="Q347" s="98">
        <f>VLOOKUP(lmic_raw_ub[[#This Row],[setting]],lmic_raw[],17,FALSE)*(1+interactive!$C$7)</f>
        <v>13.621092257460738</v>
      </c>
      <c r="R347" s="98">
        <f>VLOOKUP(lmic_raw_ub[[#This Row],[setting]],lmic_raw[],18,FALSE)*(1+interactive!$C$7)</f>
        <v>48.652695000000001</v>
      </c>
      <c r="S347" s="98">
        <f>VLOOKUP(lmic_raw_ub[[#This Row],[setting]],lmic_raw[],19,FALSE)*(1+interactive!$C$7)</f>
        <v>98.781795000000017</v>
      </c>
      <c r="T347" s="98">
        <f>VLOOKUP(lmic_raw_ub[[#This Row],[setting]],lmic_raw[],20,FALSE)*(1+interactive!$C$7)</f>
        <v>98.781795000000017</v>
      </c>
      <c r="U347" s="98">
        <f>VLOOKUP(lmic_raw_ub[[#This Row],[setting]],lmic_raw[],21,FALSE)*(1+interactive!$C$7)</f>
        <v>98.781795000000017</v>
      </c>
      <c r="V347" s="33">
        <f>IFERROR(VLOOKUP(lmic_raw_ub[[#This Row],[setting]],vcost_ub[],3,FALSE),0)</f>
        <v>12.438582286688074</v>
      </c>
      <c r="W347" s="33">
        <f>IFERROR(VLOOKUP(lmic_raw_ub[[#This Row],[setting]],vcost_ub[],4,FALSE),0)</f>
        <v>12.942162286688074</v>
      </c>
      <c r="X347" s="33">
        <f>IFERROR(VLOOKUP(lmic_raw_ub[[#This Row],[setting]],vcost_ub[],5,FALSE),0)</f>
        <v>11.91036507184657</v>
      </c>
      <c r="Y347" s="33">
        <f>IFERROR(VLOOKUP(lmic_raw_ub[[#This Row],[setting]],vcost_ub[],6,FALSE),0)</f>
        <v>12.41394507184657</v>
      </c>
      <c r="Z347" s="33">
        <f>IFERROR(VLOOKUP(lmic_raw_ub[[#This Row],[setting]],vcost_ub[],7,FALSE),0)</f>
        <v>12.389718685328669</v>
      </c>
      <c r="AA347" s="33">
        <f>IFERROR(VLOOKUP(lmic_raw_ub[[#This Row],[setting]],vcost_ub[],8,FALSE),0)</f>
        <v>12.714558798663901</v>
      </c>
      <c r="AB347" s="33">
        <f>IFERROR(VLOOKUP(lmic_raw_ub[[#This Row],[setting]],vcost_ub[],9,FALSE),0)</f>
        <v>13.218138798663901</v>
      </c>
      <c r="AC347" s="84">
        <f>VLOOKUP($A347,lmic_raw[],29,FALSE)*(1+interactive!$C$7)</f>
        <v>1.1057991000000074E-2</v>
      </c>
      <c r="AD347" s="84">
        <f>VLOOKUP($A347,lmic_raw[],30,FALSE)*(1+interactive!$C$7)</f>
        <v>5.7611228039193628E-4</v>
      </c>
      <c r="AE347" s="84">
        <f>VLOOKUP($A347,lmic_raw[],31,FALSE)*(1+interactive!$C$7)</f>
        <v>4.0556945692268414E-4</v>
      </c>
      <c r="AF347" s="84">
        <f>VLOOKUP($A347,lmic_raw[],32,FALSE)*(1+interactive!$C$7)</f>
        <v>4.1296928628974686E-4</v>
      </c>
      <c r="AG347" s="84">
        <f>VLOOKUP($A347,lmic_raw[],33,FALSE)*(1+interactive!$C$7)</f>
        <v>1.0399356983648474E-3</v>
      </c>
      <c r="AH347" s="84">
        <f>VLOOKUP($A347,lmic_raw[],34,FALSE)*(1+interactive!$C$7)</f>
        <v>1.4072421766954005E-3</v>
      </c>
      <c r="AI347" s="84">
        <f>VLOOKUP($A347,lmic_raw[],35,FALSE)*(1+interactive!$C$7)</f>
        <v>1.4954083264634803E-3</v>
      </c>
      <c r="AJ347" s="84">
        <f>VLOOKUP($A347,lmic_raw[],36,FALSE)*(1+interactive!$C$7)</f>
        <v>1.6480413642938781E-3</v>
      </c>
      <c r="AK347" s="84">
        <f>VLOOKUP($A347,lmic_raw[],37,FALSE)*(1+interactive!$C$7)</f>
        <v>2.0688662207027759E-3</v>
      </c>
      <c r="AL347" s="84">
        <f>VLOOKUP($A347,lmic_raw[],38,FALSE)*(1+interactive!$C$7)</f>
        <v>2.914867067944072E-3</v>
      </c>
      <c r="AM347" s="84">
        <f>VLOOKUP($A347,lmic_raw[],39,FALSE)*(1+interactive!$C$7)</f>
        <v>4.1552332339414586E-3</v>
      </c>
      <c r="AN347" s="84">
        <f>VLOOKUP($A347,lmic_raw[],40,FALSE)*(1+interactive!$C$7)</f>
        <v>6.5295036205133619E-3</v>
      </c>
      <c r="AO347" s="84">
        <f>VLOOKUP($A347,lmic_raw[],41,FALSE)*(1+interactive!$C$7)</f>
        <v>1.0423991800362553E-2</v>
      </c>
      <c r="AP347" s="84">
        <f>VLOOKUP($A347,lmic_raw[],42,FALSE)*(1+interactive!$C$7)</f>
        <v>1.6432730315002649E-2</v>
      </c>
      <c r="AQ347" s="84">
        <f>VLOOKUP($A347,lmic_raw[],43,FALSE)*(1+interactive!$C$7)</f>
        <v>2.6464399998889204E-2</v>
      </c>
      <c r="AR347" s="84">
        <f>VLOOKUP($A347,lmic_raw[],44,FALSE)*(1+interactive!$C$7)</f>
        <v>4.0790869516712749E-2</v>
      </c>
      <c r="AS347" s="84">
        <f>VLOOKUP($A347,lmic_raw[],45,FALSE)*(1+interactive!$C$7)</f>
        <v>6.3988747880077121E-2</v>
      </c>
      <c r="AT347" s="84">
        <f>VLOOKUP($A347,lmic_raw[],46,FALSE)*(1+interactive!$C$7)</f>
        <v>9.6810251473444714E-2</v>
      </c>
      <c r="AU347" s="84">
        <f>VLOOKUP($A347,lmic_raw[],47,FALSE)*(1+interactive!$C$7)</f>
        <v>0.13331595559857973</v>
      </c>
      <c r="AV347" s="84">
        <f>VLOOKUP($A347,lmic_raw[],48,FALSE)*(1+interactive!$C$7)</f>
        <v>0.16558602022800026</v>
      </c>
      <c r="AW347" s="84">
        <f>VLOOKUP($A347,lmic_raw[],49,FALSE)*(1+interactive!$C$7)</f>
        <v>0.18520871936399233</v>
      </c>
      <c r="AX347" s="84">
        <f>VLOOKUP($A347,lmic_raw[],50,FALSE)*(1+interactive!$C$7)</f>
        <v>76.33605</v>
      </c>
    </row>
    <row r="348" spans="1:50" x14ac:dyDescent="0.25">
      <c r="A348" s="109" t="s">
        <v>107</v>
      </c>
      <c r="B348" s="101" t="s">
        <v>461</v>
      </c>
      <c r="C348" s="102">
        <v>450</v>
      </c>
      <c r="D348" s="82" t="s">
        <v>677</v>
      </c>
      <c r="E348" s="82" t="s">
        <v>597</v>
      </c>
      <c r="F348" s="82" t="s">
        <v>667</v>
      </c>
      <c r="G348" s="82" t="s">
        <v>674</v>
      </c>
      <c r="H348" s="33">
        <f>VLOOKUP(lmic_raw_ub[[#This Row],[setting]],lmic_raw[],8,FALSE)</f>
        <v>26969306</v>
      </c>
      <c r="I348" s="33">
        <f>VLOOKUP(lmic_raw_ub[[#This Row],[setting]],lmic_raw[],9,FALSE)</f>
        <v>885024.74569600006</v>
      </c>
      <c r="J348" s="84">
        <f>MIN(VLOOKUP($A348,lmic_raw[],10,FALSE)*(1+interactive!$C$7),0.9999)</f>
        <v>0.40635000000000004</v>
      </c>
      <c r="K348" s="84">
        <f>MIN(VLOOKUP($A348,lmic_raw[],11,FALSE)*(1+interactive!$C$7),0.9999)</f>
        <v>0</v>
      </c>
      <c r="L348" s="33">
        <f>MIN(VLOOKUP($A348,lmic_raw[],12,FALSE)*(1+interactive!$C$7),0.9999)</f>
        <v>0.82950000000000013</v>
      </c>
      <c r="M348" s="84">
        <f>IFERROR(VLOOKUP(lmic_raw_ub[[#This Row],[iso3]], hbv_prev[[iso3]:[ub]],4,FALSE)/100,0)</f>
        <v>0.1011</v>
      </c>
      <c r="N348" s="84">
        <f>IFERROR(VLOOKUP(lmic_raw_ub[[#This Row],[setting]],hbe_prev[],5,FALSE),0)</f>
        <v>0.39960000000000001</v>
      </c>
      <c r="O348" s="84">
        <f>VLOOKUP(lmic_raw_ub[[#This Row],[gbd_super]],hbe_risk[],4,FALSE)</f>
        <v>0.74399999999999999</v>
      </c>
      <c r="P348" s="84">
        <f>VLOOKUP(lmic_raw_ub[[#This Row],[gbd_super]],hbe_risk[],7,FALSE)</f>
        <v>0.13300000000000001</v>
      </c>
      <c r="Q348" s="98">
        <f>VLOOKUP(lmic_raw_ub[[#This Row],[setting]],lmic_raw[],17,FALSE)*(1+interactive!$C$7)</f>
        <v>2.5668523930684159</v>
      </c>
      <c r="R348" s="98">
        <f>VLOOKUP(lmic_raw_ub[[#This Row],[setting]],lmic_raw[],18,FALSE)*(1+interactive!$C$7)</f>
        <v>31.416525000000004</v>
      </c>
      <c r="S348" s="98">
        <f>VLOOKUP(lmic_raw_ub[[#This Row],[setting]],lmic_raw[],19,FALSE)*(1+interactive!$C$7)</f>
        <v>81.545625000000015</v>
      </c>
      <c r="T348" s="98">
        <f>VLOOKUP(lmic_raw_ub[[#This Row],[setting]],lmic_raw[],20,FALSE)*(1+interactive!$C$7)</f>
        <v>81.545625000000015</v>
      </c>
      <c r="U348" s="98">
        <f>VLOOKUP(lmic_raw_ub[[#This Row],[setting]],lmic_raw[],21,FALSE)*(1+interactive!$C$7)</f>
        <v>81.545625000000015</v>
      </c>
      <c r="V348" s="33">
        <f>IFERROR(VLOOKUP(lmic_raw_ub[[#This Row],[setting]],vcost_ub[],3,FALSE),0)</f>
        <v>3.0690744782456623</v>
      </c>
      <c r="W348" s="33">
        <f>IFERROR(VLOOKUP(lmic_raw_ub[[#This Row],[setting]],vcost_ub[],4,FALSE),0)</f>
        <v>8.1392094782456628</v>
      </c>
      <c r="X348" s="33">
        <f>IFERROR(VLOOKUP(lmic_raw_ub[[#This Row],[setting]],vcost_ub[],5,FALSE),0)</f>
        <v>2.5762896952942769</v>
      </c>
      <c r="Y348" s="33">
        <f>IFERROR(VLOOKUP(lmic_raw_ub[[#This Row],[setting]],vcost_ub[],6,FALSE),0)</f>
        <v>7.6464246952942769</v>
      </c>
      <c r="Z348" s="33">
        <f>IFERROR(VLOOKUP(lmic_raw_ub[[#This Row],[setting]],vcost_ub[],7,FALSE),0)</f>
        <v>7.6408116312916832</v>
      </c>
      <c r="AA348" s="33">
        <f>IFERROR(VLOOKUP(lmic_raw_ub[[#This Row],[setting]],vcost_ub[],8,FALSE),0)</f>
        <v>3.3370080455593141</v>
      </c>
      <c r="AB348" s="33">
        <f>IFERROR(VLOOKUP(lmic_raw_ub[[#This Row],[setting]],vcost_ub[],9,FALSE),0)</f>
        <v>8.4071430455593141</v>
      </c>
      <c r="AC348" s="84">
        <f>VLOOKUP($A348,lmic_raw[],29,FALSE)*(1+interactive!$C$7)</f>
        <v>3.049434149999998E-2</v>
      </c>
      <c r="AD348" s="84">
        <f>VLOOKUP($A348,lmic_raw[],30,FALSE)*(1+interactive!$C$7)</f>
        <v>3.8261647311396583E-3</v>
      </c>
      <c r="AE348" s="84">
        <f>VLOOKUP($A348,lmic_raw[],31,FALSE)*(1+interactive!$C$7)</f>
        <v>1.7676249717784825E-3</v>
      </c>
      <c r="AF348" s="84">
        <f>VLOOKUP($A348,lmic_raw[],32,FALSE)*(1+interactive!$C$7)</f>
        <v>1.389727388479392E-3</v>
      </c>
      <c r="AG348" s="84">
        <f>VLOOKUP($A348,lmic_raw[],33,FALSE)*(1+interactive!$C$7)</f>
        <v>1.9325835498258436E-3</v>
      </c>
      <c r="AH348" s="84">
        <f>VLOOKUP($A348,lmic_raw[],34,FALSE)*(1+interactive!$C$7)</f>
        <v>2.2361929337791422E-3</v>
      </c>
      <c r="AI348" s="84">
        <f>VLOOKUP($A348,lmic_raw[],35,FALSE)*(1+interactive!$C$7)</f>
        <v>2.4777430404005433E-3</v>
      </c>
      <c r="AJ348" s="84">
        <f>VLOOKUP($A348,lmic_raw[],36,FALSE)*(1+interactive!$C$7)</f>
        <v>3.1985958572355493E-3</v>
      </c>
      <c r="AK348" s="84">
        <f>VLOOKUP($A348,lmic_raw[],37,FALSE)*(1+interactive!$C$7)</f>
        <v>4.111629720260291E-3</v>
      </c>
      <c r="AL348" s="84">
        <f>VLOOKUP($A348,lmic_raw[],38,FALSE)*(1+interactive!$C$7)</f>
        <v>5.3088980370500334E-3</v>
      </c>
      <c r="AM348" s="84">
        <f>VLOOKUP($A348,lmic_raw[],39,FALSE)*(1+interactive!$C$7)</f>
        <v>6.9939926365390863E-3</v>
      </c>
      <c r="AN348" s="84">
        <f>VLOOKUP($A348,lmic_raw[],40,FALSE)*(1+interactive!$C$7)</f>
        <v>9.3546050362235643E-3</v>
      </c>
      <c r="AO348" s="84">
        <f>VLOOKUP($A348,lmic_raw[],41,FALSE)*(1+interactive!$C$7)</f>
        <v>1.3166942653531079E-2</v>
      </c>
      <c r="AP348" s="84">
        <f>VLOOKUP($A348,lmic_raw[],42,FALSE)*(1+interactive!$C$7)</f>
        <v>2.0121992600801251E-2</v>
      </c>
      <c r="AQ348" s="84">
        <f>VLOOKUP($A348,lmic_raw[],43,FALSE)*(1+interactive!$C$7)</f>
        <v>3.2412171688959095E-2</v>
      </c>
      <c r="AR348" s="84">
        <f>VLOOKUP($A348,lmic_raw[],44,FALSE)*(1+interactive!$C$7)</f>
        <v>4.9511488481258158E-2</v>
      </c>
      <c r="AS348" s="84">
        <f>VLOOKUP($A348,lmic_raw[],45,FALSE)*(1+interactive!$C$7)</f>
        <v>7.2026864807722635E-2</v>
      </c>
      <c r="AT348" s="84">
        <f>VLOOKUP($A348,lmic_raw[],46,FALSE)*(1+interactive!$C$7)</f>
        <v>9.9714300462043562E-2</v>
      </c>
      <c r="AU348" s="84">
        <f>VLOOKUP($A348,lmic_raw[],47,FALSE)*(1+interactive!$C$7)</f>
        <v>0.12971919476502042</v>
      </c>
      <c r="AV348" s="84">
        <f>VLOOKUP($A348,lmic_raw[],48,FALSE)*(1+interactive!$C$7)</f>
        <v>0.1573983054368441</v>
      </c>
      <c r="AW348" s="84">
        <f>VLOOKUP($A348,lmic_raw[],49,FALSE)*(1+interactive!$C$7)</f>
        <v>0.17827446458116308</v>
      </c>
      <c r="AX348" s="84">
        <f>VLOOKUP($A348,lmic_raw[],50,FALSE)*(1+interactive!$C$7)</f>
        <v>69.811350000000004</v>
      </c>
    </row>
    <row r="349" spans="1:50" x14ac:dyDescent="0.25">
      <c r="A349" s="110" t="s">
        <v>108</v>
      </c>
      <c r="B349" s="104" t="s">
        <v>462</v>
      </c>
      <c r="C349" s="105">
        <v>454</v>
      </c>
      <c r="D349" s="84" t="s">
        <v>677</v>
      </c>
      <c r="E349" s="84" t="s">
        <v>597</v>
      </c>
      <c r="F349" s="84" t="s">
        <v>667</v>
      </c>
      <c r="G349" s="84" t="s">
        <v>674</v>
      </c>
      <c r="H349" s="33">
        <f>VLOOKUP(lmic_raw_ub[[#This Row],[setting]],lmic_raw[],8,FALSE)</f>
        <v>18628749</v>
      </c>
      <c r="I349" s="33">
        <f>VLOOKUP(lmic_raw_ub[[#This Row],[setting]],lmic_raw[],9,FALSE)</f>
        <v>638127.7969950001</v>
      </c>
      <c r="J349" s="84">
        <f>MIN(VLOOKUP($A349,lmic_raw[],10,FALSE)*(1+interactive!$C$7),0.9999)</f>
        <v>0.95970000000000011</v>
      </c>
      <c r="K349" s="84">
        <f>MIN(VLOOKUP($A349,lmic_raw[],11,FALSE)*(1+interactive!$C$7),0.9999)</f>
        <v>0</v>
      </c>
      <c r="L349" s="33">
        <f>MIN(VLOOKUP($A349,lmic_raw[],12,FALSE)*(1+interactive!$C$7),0.9999)</f>
        <v>0.99749999999999994</v>
      </c>
      <c r="M349" s="84">
        <f>IFERROR(VLOOKUP(lmic_raw_ub[[#This Row],[iso3]], hbv_prev[[iso3]:[ub]],4,FALSE)/100,0)</f>
        <v>8.8800000000000004E-2</v>
      </c>
      <c r="N349" s="84">
        <f>IFERROR(VLOOKUP(lmic_raw_ub[[#This Row],[setting]],hbe_prev[],5,FALSE),0)</f>
        <v>0.39960000000000001</v>
      </c>
      <c r="O349" s="84">
        <f>VLOOKUP(lmic_raw_ub[[#This Row],[gbd_super]],hbe_risk[],4,FALSE)</f>
        <v>0.74399999999999999</v>
      </c>
      <c r="P349" s="84">
        <f>VLOOKUP(lmic_raw_ub[[#This Row],[gbd_super]],hbe_risk[],7,FALSE)</f>
        <v>0.13300000000000001</v>
      </c>
      <c r="Q349" s="98">
        <f>VLOOKUP(lmic_raw_ub[[#This Row],[setting]],lmic_raw[],17,FALSE)*(1+interactive!$C$7)</f>
        <v>2.9282649703709831</v>
      </c>
      <c r="R349" s="98">
        <f>VLOOKUP(lmic_raw_ub[[#This Row],[setting]],lmic_raw[],18,FALSE)*(1+interactive!$C$7)</f>
        <v>31.416525000000004</v>
      </c>
      <c r="S349" s="98">
        <f>VLOOKUP(lmic_raw_ub[[#This Row],[setting]],lmic_raw[],19,FALSE)*(1+interactive!$C$7)</f>
        <v>81.545625000000015</v>
      </c>
      <c r="T349" s="98">
        <f>VLOOKUP(lmic_raw_ub[[#This Row],[setting]],lmic_raw[],20,FALSE)*(1+interactive!$C$7)</f>
        <v>81.545625000000015</v>
      </c>
      <c r="U349" s="98">
        <f>VLOOKUP(lmic_raw_ub[[#This Row],[setting]],lmic_raw[],21,FALSE)*(1+interactive!$C$7)</f>
        <v>81.545625000000015</v>
      </c>
      <c r="V349" s="33">
        <f>IFERROR(VLOOKUP(lmic_raw_ub[[#This Row],[setting]],vcost_ub[],3,FALSE),0)</f>
        <v>5.6277387157596745</v>
      </c>
      <c r="W349" s="33">
        <f>IFERROR(VLOOKUP(lmic_raw_ub[[#This Row],[setting]],vcost_ub[],4,FALSE),0)</f>
        <v>10.697873715759675</v>
      </c>
      <c r="X349" s="33">
        <f>IFERROR(VLOOKUP(lmic_raw_ub[[#This Row],[setting]],vcost_ub[],5,FALSE),0)</f>
        <v>5.137664206321281</v>
      </c>
      <c r="Y349" s="33">
        <f>IFERROR(VLOOKUP(lmic_raw_ub[[#This Row],[setting]],vcost_ub[],6,FALSE),0)</f>
        <v>10.207799206321281</v>
      </c>
      <c r="Z349" s="33">
        <f>IFERROR(VLOOKUP(lmic_raw_ub[[#This Row],[setting]],vcost_ub[],7,FALSE),0)</f>
        <v>10.204234826109776</v>
      </c>
      <c r="AA349" s="33">
        <f>IFERROR(VLOOKUP(lmic_raw_ub[[#This Row],[setting]],vcost_ub[],8,FALSE),0)</f>
        <v>5.8950570676133216</v>
      </c>
      <c r="AB349" s="33">
        <f>IFERROR(VLOOKUP(lmic_raw_ub[[#This Row],[setting]],vcost_ub[],9,FALSE),0)</f>
        <v>10.965192067613323</v>
      </c>
      <c r="AC349" s="84">
        <f>VLOOKUP($A349,lmic_raw[],29,FALSE)*(1+interactive!$C$7)</f>
        <v>4.3402243500000069E-2</v>
      </c>
      <c r="AD349" s="84">
        <f>VLOOKUP($A349,lmic_raw[],30,FALSE)*(1+interactive!$C$7)</f>
        <v>3.8655109624218358E-3</v>
      </c>
      <c r="AE349" s="84">
        <f>VLOOKUP($A349,lmic_raw[],31,FALSE)*(1+interactive!$C$7)</f>
        <v>1.3093136547176389E-3</v>
      </c>
      <c r="AF349" s="84">
        <f>VLOOKUP($A349,lmic_raw[],32,FALSE)*(1+interactive!$C$7)</f>
        <v>1.0212689945835432E-3</v>
      </c>
      <c r="AG349" s="84">
        <f>VLOOKUP($A349,lmic_raw[],33,FALSE)*(1+interactive!$C$7)</f>
        <v>1.6793574553365677E-3</v>
      </c>
      <c r="AH349" s="84">
        <f>VLOOKUP($A349,lmic_raw[],34,FALSE)*(1+interactive!$C$7)</f>
        <v>2.6538985699500897E-3</v>
      </c>
      <c r="AI349" s="84">
        <f>VLOOKUP($A349,lmic_raw[],35,FALSE)*(1+interactive!$C$7)</f>
        <v>3.6450112415568879E-3</v>
      </c>
      <c r="AJ349" s="84">
        <f>VLOOKUP($A349,lmic_raw[],36,FALSE)*(1+interactive!$C$7)</f>
        <v>4.7524783796029108E-3</v>
      </c>
      <c r="AK349" s="84">
        <f>VLOOKUP($A349,lmic_raw[],37,FALSE)*(1+interactive!$C$7)</f>
        <v>6.3401261950926787E-3</v>
      </c>
      <c r="AL349" s="84">
        <f>VLOOKUP($A349,lmic_raw[],38,FALSE)*(1+interactive!$C$7)</f>
        <v>7.8729405285933706E-3</v>
      </c>
      <c r="AM349" s="84">
        <f>VLOOKUP($A349,lmic_raw[],39,FALSE)*(1+interactive!$C$7)</f>
        <v>9.6962730321831971E-3</v>
      </c>
      <c r="AN349" s="84">
        <f>VLOOKUP($A349,lmic_raw[],40,FALSE)*(1+interactive!$C$7)</f>
        <v>1.2705744341568693E-2</v>
      </c>
      <c r="AO349" s="84">
        <f>VLOOKUP($A349,lmic_raw[],41,FALSE)*(1+interactive!$C$7)</f>
        <v>1.6233762940212792E-2</v>
      </c>
      <c r="AP349" s="84">
        <f>VLOOKUP($A349,lmic_raw[],42,FALSE)*(1+interactive!$C$7)</f>
        <v>2.2889751512680773E-2</v>
      </c>
      <c r="AQ349" s="84">
        <f>VLOOKUP($A349,lmic_raw[],43,FALSE)*(1+interactive!$C$7)</f>
        <v>3.360905759304314E-2</v>
      </c>
      <c r="AR349" s="84">
        <f>VLOOKUP($A349,lmic_raw[],44,FALSE)*(1+interactive!$C$7)</f>
        <v>5.0168379027146298E-2</v>
      </c>
      <c r="AS349" s="84">
        <f>VLOOKUP($A349,lmic_raw[],45,FALSE)*(1+interactive!$C$7)</f>
        <v>7.4587495320058317E-2</v>
      </c>
      <c r="AT349" s="84">
        <f>VLOOKUP($A349,lmic_raw[],46,FALSE)*(1+interactive!$C$7)</f>
        <v>0.11036182619908703</v>
      </c>
      <c r="AU349" s="84">
        <f>VLOOKUP($A349,lmic_raw[],47,FALSE)*(1+interactive!$C$7)</f>
        <v>0.15195296143927808</v>
      </c>
      <c r="AV349" s="84">
        <f>VLOOKUP($A349,lmic_raw[],48,FALSE)*(1+interactive!$C$7)</f>
        <v>0.18606155347322251</v>
      </c>
      <c r="AW349" s="84">
        <f>VLOOKUP($A349,lmic_raw[],49,FALSE)*(1+interactive!$C$7)</f>
        <v>0.19798151720308915</v>
      </c>
      <c r="AX349" s="84">
        <f>VLOOKUP($A349,lmic_raw[],50,FALSE)*(1+interactive!$C$7)</f>
        <v>66.6036</v>
      </c>
    </row>
    <row r="350" spans="1:50" x14ac:dyDescent="0.25">
      <c r="A350" s="109" t="s">
        <v>215</v>
      </c>
      <c r="B350" s="101" t="s">
        <v>463</v>
      </c>
      <c r="C350" s="102">
        <v>458</v>
      </c>
      <c r="D350" s="82" t="s">
        <v>681</v>
      </c>
      <c r="E350" s="82" t="s">
        <v>598</v>
      </c>
      <c r="F350" s="82" t="s">
        <v>666</v>
      </c>
      <c r="G350" s="82" t="s">
        <v>676</v>
      </c>
      <c r="H350" s="33">
        <f>VLOOKUP(lmic_raw_ub[[#This Row],[setting]],lmic_raw[],8,FALSE)</f>
        <v>31949789</v>
      </c>
      <c r="I350" s="33">
        <f>VLOOKUP(lmic_raw_ub[[#This Row],[setting]],lmic_raw[],9,FALSE)</f>
        <v>537906.64760399994</v>
      </c>
      <c r="J350" s="84">
        <f>MIN(VLOOKUP($A350,lmic_raw[],10,FALSE)*(1+interactive!$C$7),0.9999)</f>
        <v>0.99990000000000001</v>
      </c>
      <c r="K350" s="84">
        <f>MIN(VLOOKUP($A350,lmic_raw[],11,FALSE)*(1+interactive!$C$7),0.9999)</f>
        <v>0.99990000000000001</v>
      </c>
      <c r="L350" s="33">
        <f>MIN(VLOOKUP($A350,lmic_raw[],12,FALSE)*(1+interactive!$C$7),0.9999)</f>
        <v>0.99990000000000001</v>
      </c>
      <c r="M350" s="84">
        <f>IFERROR(VLOOKUP(lmic_raw_ub[[#This Row],[iso3]], hbv_prev[[iso3]:[ub]],4,FALSE)/100,0)</f>
        <v>1.52E-2</v>
      </c>
      <c r="N350" s="84">
        <f>IFERROR(VLOOKUP(lmic_raw_ub[[#This Row],[setting]],hbe_prev[],5,FALSE),0)</f>
        <v>0.47729999999999995</v>
      </c>
      <c r="O350" s="84">
        <f>VLOOKUP(lmic_raw_ub[[#This Row],[gbd_super]],hbe_risk[],4,FALSE)</f>
        <v>0.9</v>
      </c>
      <c r="P350" s="84">
        <f>VLOOKUP(lmic_raw_ub[[#This Row],[gbd_super]],hbe_risk[],7,FALSE)</f>
        <v>0.3</v>
      </c>
      <c r="Q350" s="98">
        <f>VLOOKUP(lmic_raw_ub[[#This Row],[setting]],lmic_raw[],17,FALSE)*(1+interactive!$C$7)</f>
        <v>12.885804600189998</v>
      </c>
      <c r="R350" s="98">
        <f>VLOOKUP(lmic_raw_ub[[#This Row],[setting]],lmic_raw[],18,FALSE)*(1+interactive!$C$7)</f>
        <v>76.738725000000002</v>
      </c>
      <c r="S350" s="98">
        <f>VLOOKUP(lmic_raw_ub[[#This Row],[setting]],lmic_raw[],19,FALSE)*(1+interactive!$C$7)</f>
        <v>126.867825</v>
      </c>
      <c r="T350" s="98">
        <f>VLOOKUP(lmic_raw_ub[[#This Row],[setting]],lmic_raw[],20,FALSE)*(1+interactive!$C$7)</f>
        <v>126.867825</v>
      </c>
      <c r="U350" s="98">
        <f>VLOOKUP(lmic_raw_ub[[#This Row],[setting]],lmic_raw[],21,FALSE)*(1+interactive!$C$7)</f>
        <v>126.867825</v>
      </c>
      <c r="V350" s="33">
        <f>IFERROR(VLOOKUP(lmic_raw_ub[[#This Row],[setting]],vcost_ub[],3,FALSE),0)</f>
        <v>12.211022153790509</v>
      </c>
      <c r="W350" s="33">
        <f>IFERROR(VLOOKUP(lmic_raw_ub[[#This Row],[setting]],vcost_ub[],4,FALSE),0)</f>
        <v>12.874832153790509</v>
      </c>
      <c r="X350" s="33">
        <f>IFERROR(VLOOKUP(lmic_raw_ub[[#This Row],[setting]],vcost_ub[],5,FALSE),0)</f>
        <v>11.66011072865232</v>
      </c>
      <c r="Y350" s="33">
        <f>IFERROR(VLOOKUP(lmic_raw_ub[[#This Row],[setting]],vcost_ub[],6,FALSE),0)</f>
        <v>12.32392072865232</v>
      </c>
      <c r="Z350" s="33">
        <f>IFERROR(VLOOKUP(lmic_raw_ub[[#This Row],[setting]],vcost_ub[],7,FALSE),0)</f>
        <v>12.286807744041598</v>
      </c>
      <c r="AA350" s="33">
        <f>IFERROR(VLOOKUP(lmic_raw_ub[[#This Row],[setting]],vcost_ub[],8,FALSE),0)</f>
        <v>12.4921501122754</v>
      </c>
      <c r="AB350" s="33">
        <f>IFERROR(VLOOKUP(lmic_raw_ub[[#This Row],[setting]],vcost_ub[],9,FALSE),0)</f>
        <v>13.1559601122754</v>
      </c>
      <c r="AC350" s="84">
        <f>VLOOKUP($A350,lmic_raw[],29,FALSE)*(1+interactive!$C$7)</f>
        <v>6.1928685000000629E-3</v>
      </c>
      <c r="AD350" s="84">
        <f>VLOOKUP($A350,lmic_raw[],30,FALSE)*(1+interactive!$C$7)</f>
        <v>2.8255198311988376E-4</v>
      </c>
      <c r="AE350" s="84">
        <f>VLOOKUP($A350,lmic_raw[],31,FALSE)*(1+interactive!$C$7)</f>
        <v>1.8270891756465131E-4</v>
      </c>
      <c r="AF350" s="84">
        <f>VLOOKUP($A350,lmic_raw[],32,FALSE)*(1+interactive!$C$7)</f>
        <v>2.5361460706640635E-4</v>
      </c>
      <c r="AG350" s="84">
        <f>VLOOKUP($A350,lmic_raw[],33,FALSE)*(1+interactive!$C$7)</f>
        <v>5.9285380024404492E-4</v>
      </c>
      <c r="AH350" s="84">
        <f>VLOOKUP($A350,lmic_raw[],34,FALSE)*(1+interactive!$C$7)</f>
        <v>6.2162983826625237E-4</v>
      </c>
      <c r="AI350" s="84">
        <f>VLOOKUP($A350,lmic_raw[],35,FALSE)*(1+interactive!$C$7)</f>
        <v>6.5354797364877704E-4</v>
      </c>
      <c r="AJ350" s="84">
        <f>VLOOKUP($A350,lmic_raw[],36,FALSE)*(1+interactive!$C$7)</f>
        <v>1.1300602584569E-3</v>
      </c>
      <c r="AK350" s="84">
        <f>VLOOKUP($A350,lmic_raw[],37,FALSE)*(1+interactive!$C$7)</f>
        <v>1.6824584280492076E-3</v>
      </c>
      <c r="AL350" s="84">
        <f>VLOOKUP($A350,lmic_raw[],38,FALSE)*(1+interactive!$C$7)</f>
        <v>2.499329511011214E-3</v>
      </c>
      <c r="AM350" s="84">
        <f>VLOOKUP($A350,lmic_raw[],39,FALSE)*(1+interactive!$C$7)</f>
        <v>4.3646496126482888E-3</v>
      </c>
      <c r="AN350" s="84">
        <f>VLOOKUP($A350,lmic_raw[],40,FALSE)*(1+interactive!$C$7)</f>
        <v>6.6162968329346542E-3</v>
      </c>
      <c r="AO350" s="84">
        <f>VLOOKUP($A350,lmic_raw[],41,FALSE)*(1+interactive!$C$7)</f>
        <v>9.629126629913453E-3</v>
      </c>
      <c r="AP350" s="84">
        <f>VLOOKUP($A350,lmic_raw[],42,FALSE)*(1+interactive!$C$7)</f>
        <v>1.3258131990259074E-2</v>
      </c>
      <c r="AQ350" s="84">
        <f>VLOOKUP($A350,lmic_raw[],43,FALSE)*(1+interactive!$C$7)</f>
        <v>2.1290236232091132E-2</v>
      </c>
      <c r="AR350" s="84">
        <f>VLOOKUP($A350,lmic_raw[],44,FALSE)*(1+interactive!$C$7)</f>
        <v>3.5775817548198766E-2</v>
      </c>
      <c r="AS350" s="84">
        <f>VLOOKUP($A350,lmic_raw[],45,FALSE)*(1+interactive!$C$7)</f>
        <v>5.0794611341621498E-2</v>
      </c>
      <c r="AT350" s="84">
        <f>VLOOKUP($A350,lmic_raw[],46,FALSE)*(1+interactive!$C$7)</f>
        <v>7.3858749817296052E-2</v>
      </c>
      <c r="AU350" s="84">
        <f>VLOOKUP($A350,lmic_raw[],47,FALSE)*(1+interactive!$C$7)</f>
        <v>0.10085891481969204</v>
      </c>
      <c r="AV350" s="84">
        <f>VLOOKUP($A350,lmic_raw[],48,FALSE)*(1+interactive!$C$7)</f>
        <v>0.12749442100126798</v>
      </c>
      <c r="AW350" s="84">
        <f>VLOOKUP($A350,lmic_raw[],49,FALSE)*(1+interactive!$C$7)</f>
        <v>0.14824547873903759</v>
      </c>
      <c r="AX350" s="84">
        <f>VLOOKUP($A350,lmic_raw[],50,FALSE)*(1+interactive!$C$7)</f>
        <v>79.723350000000011</v>
      </c>
    </row>
    <row r="351" spans="1:50" x14ac:dyDescent="0.25">
      <c r="A351" s="110" t="s">
        <v>196</v>
      </c>
      <c r="B351" s="104" t="s">
        <v>464</v>
      </c>
      <c r="C351" s="105">
        <v>462</v>
      </c>
      <c r="D351" s="84" t="s">
        <v>680</v>
      </c>
      <c r="E351" s="84" t="s">
        <v>598</v>
      </c>
      <c r="F351" s="84" t="s">
        <v>666</v>
      </c>
      <c r="G351" s="84" t="s">
        <v>676</v>
      </c>
      <c r="H351" s="33">
        <f>VLOOKUP(lmic_raw_ub[[#This Row],[setting]],lmic_raw[],8,FALSE)</f>
        <v>530957</v>
      </c>
      <c r="I351" s="33">
        <f>VLOOKUP(lmic_raw_ub[[#This Row],[setting]],lmic_raw[],9,FALSE)</f>
        <v>7646.3117569999995</v>
      </c>
      <c r="J351" s="84">
        <f>MIN(VLOOKUP($A351,lmic_raw[],10,FALSE)*(1+interactive!$C$7),0.9999)</f>
        <v>0.99224999999999997</v>
      </c>
      <c r="K351" s="84">
        <f>MIN(VLOOKUP($A351,lmic_raw[],11,FALSE)*(1+interactive!$C$7),0.9999)</f>
        <v>0.99990000000000001</v>
      </c>
      <c r="L351" s="33">
        <f>MIN(VLOOKUP($A351,lmic_raw[],12,FALSE)*(1+interactive!$C$7),0.9999)</f>
        <v>0.99990000000000001</v>
      </c>
      <c r="M351" s="84">
        <f>IFERROR(VLOOKUP(lmic_raw_ub[[#This Row],[iso3]], hbv_prev[[iso3]:[ub]],4,FALSE)/100,0)</f>
        <v>0.14800000000000002</v>
      </c>
      <c r="N351" s="84">
        <f>IFERROR(VLOOKUP(lmic_raw_ub[[#This Row],[setting]],hbe_prev[],5,FALSE),0)</f>
        <v>0.47729999999999995</v>
      </c>
      <c r="O351" s="84">
        <f>VLOOKUP(lmic_raw_ub[[#This Row],[gbd_super]],hbe_risk[],4,FALSE)</f>
        <v>0.9</v>
      </c>
      <c r="P351" s="84">
        <f>VLOOKUP(lmic_raw_ub[[#This Row],[gbd_super]],hbe_risk[],7,FALSE)</f>
        <v>0.3</v>
      </c>
      <c r="Q351" s="98">
        <f>VLOOKUP(lmic_raw_ub[[#This Row],[setting]],lmic_raw[],17,FALSE)*(1+interactive!$C$7)</f>
        <v>0</v>
      </c>
      <c r="R351" s="98">
        <f>VLOOKUP(lmic_raw_ub[[#This Row],[setting]],lmic_raw[],18,FALSE)*(1+interactive!$C$7)</f>
        <v>76.738725000000002</v>
      </c>
      <c r="S351" s="98">
        <f>VLOOKUP(lmic_raw_ub[[#This Row],[setting]],lmic_raw[],19,FALSE)*(1+interactive!$C$7)</f>
        <v>126.867825</v>
      </c>
      <c r="T351" s="98">
        <f>VLOOKUP(lmic_raw_ub[[#This Row],[setting]],lmic_raw[],20,FALSE)*(1+interactive!$C$7)</f>
        <v>126.867825</v>
      </c>
      <c r="U351" s="98">
        <f>VLOOKUP(lmic_raw_ub[[#This Row],[setting]],lmic_raw[],21,FALSE)*(1+interactive!$C$7)</f>
        <v>126.867825</v>
      </c>
      <c r="V351" s="33">
        <f>IFERROR(VLOOKUP(lmic_raw_ub[[#This Row],[setting]],vcost_ub[],3,FALSE),0)</f>
        <v>26.417857909965313</v>
      </c>
      <c r="W351" s="33">
        <f>IFERROR(VLOOKUP(lmic_raw_ub[[#This Row],[setting]],vcost_ub[],4,FALSE),0)</f>
        <v>27.081667909965315</v>
      </c>
      <c r="X351" s="33">
        <f>IFERROR(VLOOKUP(lmic_raw_ub[[#This Row],[setting]],vcost_ub[],5,FALSE),0)</f>
        <v>25.870163486875352</v>
      </c>
      <c r="Y351" s="33">
        <f>IFERROR(VLOOKUP(lmic_raw_ub[[#This Row],[setting]],vcost_ub[],6,FALSE),0)</f>
        <v>26.533973486875354</v>
      </c>
      <c r="Z351" s="33">
        <f>IFERROR(VLOOKUP(lmic_raw_ub[[#This Row],[setting]],vcost_ub[],7,FALSE),0)</f>
        <v>26.497647245132441</v>
      </c>
      <c r="AA351" s="33">
        <f>IFERROR(VLOOKUP(lmic_raw_ub[[#This Row],[setting]],vcost_ub[],8,FALSE),0)</f>
        <v>26.698255628721466</v>
      </c>
      <c r="AB351" s="33">
        <f>IFERROR(VLOOKUP(lmic_raw_ub[[#This Row],[setting]],vcost_ub[],9,FALSE),0)</f>
        <v>27.362065628721467</v>
      </c>
      <c r="AC351" s="84">
        <f>VLOOKUP($A351,lmic_raw[],29,FALSE)*(1+interactive!$C$7)</f>
        <v>7.1031659999999828E-3</v>
      </c>
      <c r="AD351" s="84">
        <f>VLOOKUP($A351,lmic_raw[],30,FALSE)*(1+interactive!$C$7)</f>
        <v>3.0579165609011163E-4</v>
      </c>
      <c r="AE351" s="84">
        <f>VLOOKUP($A351,lmic_raw[],31,FALSE)*(1+interactive!$C$7)</f>
        <v>2.6523538410347462E-4</v>
      </c>
      <c r="AF351" s="84">
        <f>VLOOKUP($A351,lmic_raw[],32,FALSE)*(1+interactive!$C$7)</f>
        <v>3.5613260957012885E-4</v>
      </c>
      <c r="AG351" s="84">
        <f>VLOOKUP($A351,lmic_raw[],33,FALSE)*(1+interactive!$C$7)</f>
        <v>3.6367145915385061E-4</v>
      </c>
      <c r="AH351" s="84">
        <f>VLOOKUP($A351,lmic_raw[],34,FALSE)*(1+interactive!$C$7)</f>
        <v>5.3215445555759432E-4</v>
      </c>
      <c r="AI351" s="84">
        <f>VLOOKUP($A351,lmic_raw[],35,FALSE)*(1+interactive!$C$7)</f>
        <v>4.9412804684747819E-4</v>
      </c>
      <c r="AJ351" s="84">
        <f>VLOOKUP($A351,lmic_raw[],36,FALSE)*(1+interactive!$C$7)</f>
        <v>5.5244756376318833E-4</v>
      </c>
      <c r="AK351" s="84">
        <f>VLOOKUP($A351,lmic_raw[],37,FALSE)*(1+interactive!$C$7)</f>
        <v>6.1528517228751989E-4</v>
      </c>
      <c r="AL351" s="84">
        <f>VLOOKUP($A351,lmic_raw[],38,FALSE)*(1+interactive!$C$7)</f>
        <v>9.8067920849700496E-4</v>
      </c>
      <c r="AM351" s="84">
        <f>VLOOKUP($A351,lmic_raw[],39,FALSE)*(1+interactive!$C$7)</f>
        <v>1.7274070823502196E-3</v>
      </c>
      <c r="AN351" s="84">
        <f>VLOOKUP($A351,lmic_raw[],40,FALSE)*(1+interactive!$C$7)</f>
        <v>2.5115866074375028E-3</v>
      </c>
      <c r="AO351" s="84">
        <f>VLOOKUP($A351,lmic_raw[],41,FALSE)*(1+interactive!$C$7)</f>
        <v>4.8366081753631971E-3</v>
      </c>
      <c r="AP351" s="84">
        <f>VLOOKUP($A351,lmic_raw[],42,FALSE)*(1+interactive!$C$7)</f>
        <v>9.0302366100627092E-3</v>
      </c>
      <c r="AQ351" s="84">
        <f>VLOOKUP($A351,lmic_raw[],43,FALSE)*(1+interactive!$C$7)</f>
        <v>1.6913411956470753E-2</v>
      </c>
      <c r="AR351" s="84">
        <f>VLOOKUP($A351,lmic_raw[],44,FALSE)*(1+interactive!$C$7)</f>
        <v>3.1196746291609664E-2</v>
      </c>
      <c r="AS351" s="84">
        <f>VLOOKUP($A351,lmic_raw[],45,FALSE)*(1+interactive!$C$7)</f>
        <v>5.5849975324271148E-2</v>
      </c>
      <c r="AT351" s="84">
        <f>VLOOKUP($A351,lmic_raw[],46,FALSE)*(1+interactive!$C$7)</f>
        <v>7.6099897020507942E-2</v>
      </c>
      <c r="AU351" s="84">
        <f>VLOOKUP($A351,lmic_raw[],47,FALSE)*(1+interactive!$C$7)</f>
        <v>0.10315446837984948</v>
      </c>
      <c r="AV351" s="84">
        <f>VLOOKUP($A351,lmic_raw[],48,FALSE)*(1+interactive!$C$7)</f>
        <v>0.1305781451492023</v>
      </c>
      <c r="AW351" s="84">
        <f>VLOOKUP($A351,lmic_raw[],49,FALSE)*(1+interactive!$C$7)</f>
        <v>0.15480956676455052</v>
      </c>
      <c r="AX351" s="84">
        <f>VLOOKUP($A351,lmic_raw[],50,FALSE)*(1+interactive!$C$7)</f>
        <v>82.389299999999992</v>
      </c>
    </row>
    <row r="352" spans="1:50" x14ac:dyDescent="0.25">
      <c r="A352" s="109" t="s">
        <v>147</v>
      </c>
      <c r="B352" s="101" t="s">
        <v>465</v>
      </c>
      <c r="C352" s="102">
        <v>466</v>
      </c>
      <c r="D352" s="82" t="s">
        <v>677</v>
      </c>
      <c r="E352" s="82" t="s">
        <v>591</v>
      </c>
      <c r="F352" s="82" t="s">
        <v>667</v>
      </c>
      <c r="G352" s="82" t="s">
        <v>674</v>
      </c>
      <c r="H352" s="33">
        <f>VLOOKUP(lmic_raw_ub[[#This Row],[setting]],lmic_raw[],8,FALSE)</f>
        <v>19658023</v>
      </c>
      <c r="I352" s="33">
        <f>VLOOKUP(lmic_raw_ub[[#This Row],[setting]],lmic_raw[],9,FALSE)</f>
        <v>821469.46512399998</v>
      </c>
      <c r="J352" s="84">
        <f>MIN(VLOOKUP($A352,lmic_raw[],10,FALSE)*(1+interactive!$C$7),0.9999)</f>
        <v>0.70139999999999991</v>
      </c>
      <c r="K352" s="84">
        <f>MIN(VLOOKUP($A352,lmic_raw[],11,FALSE)*(1+interactive!$C$7),0.9999)</f>
        <v>0</v>
      </c>
      <c r="L352" s="33">
        <f>MIN(VLOOKUP($A352,lmic_raw[],12,FALSE)*(1+interactive!$C$7),0.9999)</f>
        <v>0.80850000000000011</v>
      </c>
      <c r="M352" s="84">
        <f>IFERROR(VLOOKUP(lmic_raw_ub[[#This Row],[iso3]], hbv_prev[[iso3]:[ub]],4,FALSE)/100,0)</f>
        <v>0.1106</v>
      </c>
      <c r="N352" s="84">
        <f>IFERROR(VLOOKUP(lmic_raw_ub[[#This Row],[setting]],hbe_prev[],5,FALSE),0)</f>
        <v>0.41070000000000001</v>
      </c>
      <c r="O352" s="84">
        <f>VLOOKUP(lmic_raw_ub[[#This Row],[gbd_super]],hbe_risk[],4,FALSE)</f>
        <v>0.74399999999999999</v>
      </c>
      <c r="P352" s="84">
        <f>VLOOKUP(lmic_raw_ub[[#This Row],[gbd_super]],hbe_risk[],7,FALSE)</f>
        <v>0.13300000000000001</v>
      </c>
      <c r="Q352" s="98">
        <f>VLOOKUP(lmic_raw_ub[[#This Row],[setting]],lmic_raw[],17,FALSE)*(1+interactive!$C$7)</f>
        <v>3.0528899970270409</v>
      </c>
      <c r="R352" s="98">
        <f>VLOOKUP(lmic_raw_ub[[#This Row],[setting]],lmic_raw[],18,FALSE)*(1+interactive!$C$7)</f>
        <v>31.416525000000004</v>
      </c>
      <c r="S352" s="98">
        <f>VLOOKUP(lmic_raw_ub[[#This Row],[setting]],lmic_raw[],19,FALSE)*(1+interactive!$C$7)</f>
        <v>81.545625000000015</v>
      </c>
      <c r="T352" s="98">
        <f>VLOOKUP(lmic_raw_ub[[#This Row],[setting]],lmic_raw[],20,FALSE)*(1+interactive!$C$7)</f>
        <v>81.545625000000015</v>
      </c>
      <c r="U352" s="98">
        <f>VLOOKUP(lmic_raw_ub[[#This Row],[setting]],lmic_raw[],21,FALSE)*(1+interactive!$C$7)</f>
        <v>81.545625000000015</v>
      </c>
      <c r="V352" s="33">
        <f>IFERROR(VLOOKUP(lmic_raw_ub[[#This Row],[setting]],vcost_ub[],3,FALSE),0)</f>
        <v>3.3594755567470984</v>
      </c>
      <c r="W352" s="33">
        <f>IFERROR(VLOOKUP(lmic_raw_ub[[#This Row],[setting]],vcost_ub[],4,FALSE),0)</f>
        <v>8.4296105567470985</v>
      </c>
      <c r="X352" s="33">
        <f>IFERROR(VLOOKUP(lmic_raw_ub[[#This Row],[setting]],vcost_ub[],5,FALSE),0)</f>
        <v>2.8611671490140766</v>
      </c>
      <c r="Y352" s="33">
        <f>IFERROR(VLOOKUP(lmic_raw_ub[[#This Row],[setting]],vcost_ub[],6,FALSE),0)</f>
        <v>7.9313021490140772</v>
      </c>
      <c r="Z352" s="33">
        <f>IFERROR(VLOOKUP(lmic_raw_ub[[#This Row],[setting]],vcost_ub[],7,FALSE),0)</f>
        <v>7.9229730544402859</v>
      </c>
      <c r="AA352" s="33">
        <f>IFERROR(VLOOKUP(lmic_raw_ub[[#This Row],[setting]],vcost_ub[],8,FALSE),0)</f>
        <v>3.6286629529989129</v>
      </c>
      <c r="AB352" s="33">
        <f>IFERROR(VLOOKUP(lmic_raw_ub[[#This Row],[setting]],vcost_ub[],9,FALSE),0)</f>
        <v>8.6987979529989126</v>
      </c>
      <c r="AC352" s="84">
        <f>VLOOKUP($A352,lmic_raw[],29,FALSE)*(1+interactive!$C$7)</f>
        <v>6.9111220499999931E-2</v>
      </c>
      <c r="AD352" s="84">
        <f>VLOOKUP($A352,lmic_raw[],30,FALSE)*(1+interactive!$C$7)</f>
        <v>1.1137467981404312E-2</v>
      </c>
      <c r="AE352" s="84">
        <f>VLOOKUP($A352,lmic_raw[],31,FALSE)*(1+interactive!$C$7)</f>
        <v>3.6438173375912112E-3</v>
      </c>
      <c r="AF352" s="84">
        <f>VLOOKUP($A352,lmic_raw[],32,FALSE)*(1+interactive!$C$7)</f>
        <v>2.0636551541411258E-3</v>
      </c>
      <c r="AG352" s="84">
        <f>VLOOKUP($A352,lmic_raw[],33,FALSE)*(1+interactive!$C$7)</f>
        <v>3.1175721811405534E-3</v>
      </c>
      <c r="AH352" s="84">
        <f>VLOOKUP($A352,lmic_raw[],34,FALSE)*(1+interactive!$C$7)</f>
        <v>4.0153323260593765E-3</v>
      </c>
      <c r="AI352" s="84">
        <f>VLOOKUP($A352,lmic_raw[],35,FALSE)*(1+interactive!$C$7)</f>
        <v>4.5085921866781812E-3</v>
      </c>
      <c r="AJ352" s="84">
        <f>VLOOKUP($A352,lmic_raw[],36,FALSE)*(1+interactive!$C$7)</f>
        <v>4.7859496490159211E-3</v>
      </c>
      <c r="AK352" s="84">
        <f>VLOOKUP($A352,lmic_raw[],37,FALSE)*(1+interactive!$C$7)</f>
        <v>5.3709721681987283E-3</v>
      </c>
      <c r="AL352" s="84">
        <f>VLOOKUP($A352,lmic_raw[],38,FALSE)*(1+interactive!$C$7)</f>
        <v>6.3833551858887413E-3</v>
      </c>
      <c r="AM352" s="84">
        <f>VLOOKUP($A352,lmic_raw[],39,FALSE)*(1+interactive!$C$7)</f>
        <v>7.4617022158614378E-3</v>
      </c>
      <c r="AN352" s="84">
        <f>VLOOKUP($A352,lmic_raw[],40,FALSE)*(1+interactive!$C$7)</f>
        <v>1.0512826863046042E-2</v>
      </c>
      <c r="AO352" s="84">
        <f>VLOOKUP($A352,lmic_raw[],41,FALSE)*(1+interactive!$C$7)</f>
        <v>1.501853908299893E-2</v>
      </c>
      <c r="AP352" s="84">
        <f>VLOOKUP($A352,lmic_raw[],42,FALSE)*(1+interactive!$C$7)</f>
        <v>2.3504419140887661E-2</v>
      </c>
      <c r="AQ352" s="84">
        <f>VLOOKUP($A352,lmic_raw[],43,FALSE)*(1+interactive!$C$7)</f>
        <v>3.634497862229253E-2</v>
      </c>
      <c r="AR352" s="84">
        <f>VLOOKUP($A352,lmic_raw[],44,FALSE)*(1+interactive!$C$7)</f>
        <v>5.8280625506620345E-2</v>
      </c>
      <c r="AS352" s="84">
        <f>VLOOKUP($A352,lmic_raw[],45,FALSE)*(1+interactive!$C$7)</f>
        <v>8.9568819595472415E-2</v>
      </c>
      <c r="AT352" s="84">
        <f>VLOOKUP($A352,lmic_raw[],46,FALSE)*(1+interactive!$C$7)</f>
        <v>0.12775544942045788</v>
      </c>
      <c r="AU352" s="84">
        <f>VLOOKUP($A352,lmic_raw[],47,FALSE)*(1+interactive!$C$7)</f>
        <v>0.16252616917382287</v>
      </c>
      <c r="AV352" s="84">
        <f>VLOOKUP($A352,lmic_raw[],48,FALSE)*(1+interactive!$C$7)</f>
        <v>0.18637074223770489</v>
      </c>
      <c r="AW352" s="84">
        <f>VLOOKUP($A352,lmic_raw[],49,FALSE)*(1+interactive!$C$7)</f>
        <v>0.19738984660885539</v>
      </c>
      <c r="AX352" s="84">
        <f>VLOOKUP($A352,lmic_raw[],50,FALSE)*(1+interactive!$C$7)</f>
        <v>61.645500000000006</v>
      </c>
    </row>
    <row r="353" spans="1:50" x14ac:dyDescent="0.25">
      <c r="A353" s="110" t="s">
        <v>682</v>
      </c>
      <c r="B353" s="104" t="s">
        <v>467</v>
      </c>
      <c r="C353" s="105">
        <v>584</v>
      </c>
      <c r="D353" s="84" t="s">
        <v>681</v>
      </c>
      <c r="E353" s="84" t="s">
        <v>98</v>
      </c>
      <c r="F353" s="84" t="s">
        <v>666</v>
      </c>
      <c r="G353" s="84" t="s">
        <v>676</v>
      </c>
      <c r="H353" s="33">
        <f>VLOOKUP(lmic_raw_ub[[#This Row],[setting]],lmic_raw[],8,FALSE)</f>
        <v>58791</v>
      </c>
      <c r="I353" s="33">
        <f>VLOOKUP(lmic_raw_ub[[#This Row],[setting]],lmic_raw[],9,FALSE)</f>
        <v>1706.70273</v>
      </c>
      <c r="J353" s="84">
        <f>MIN(VLOOKUP($A353,lmic_raw[],10,FALSE)*(1+interactive!$C$7),0.9999)</f>
        <v>0.89355000000000007</v>
      </c>
      <c r="K353" s="84">
        <f>MIN(VLOOKUP($A353,lmic_raw[],11,FALSE)*(1+interactive!$C$7),0.9999)</f>
        <v>0.99990000000000001</v>
      </c>
      <c r="L353" s="33">
        <f>MIN(VLOOKUP($A353,lmic_raw[],12,FALSE)*(1+interactive!$C$7),0.9999)</f>
        <v>0.86099999999999999</v>
      </c>
      <c r="M353" s="84">
        <f>IFERROR(VLOOKUP(lmic_raw_ub[[#This Row],[iso3]], hbv_prev[[iso3]:[ub]],4,FALSE)/100,0)</f>
        <v>0.11609999999999999</v>
      </c>
      <c r="N353" s="84">
        <f>IFERROR(VLOOKUP(lmic_raw_ub[[#This Row],[setting]],hbe_prev[],5,FALSE),0)</f>
        <v>0</v>
      </c>
      <c r="O353" s="84">
        <f>VLOOKUP(lmic_raw_ub[[#This Row],[gbd_super]],hbe_risk[],4,FALSE)</f>
        <v>0.9</v>
      </c>
      <c r="P353" s="84">
        <f>VLOOKUP(lmic_raw_ub[[#This Row],[gbd_super]],hbe_risk[],7,FALSE)</f>
        <v>0.3</v>
      </c>
      <c r="Q353" s="98">
        <f>VLOOKUP(lmic_raw_ub[[#This Row],[setting]],lmic_raw[],17,FALSE)*(1+interactive!$C$7)</f>
        <v>6.6545532673871097</v>
      </c>
      <c r="R353" s="98">
        <f>VLOOKUP(lmic_raw_ub[[#This Row],[setting]],lmic_raw[],18,FALSE)*(1+interactive!$C$7)</f>
        <v>76.738725000000002</v>
      </c>
      <c r="S353" s="98">
        <f>VLOOKUP(lmic_raw_ub[[#This Row],[setting]],lmic_raw[],19,FALSE)*(1+interactive!$C$7)</f>
        <v>126.867825</v>
      </c>
      <c r="T353" s="98">
        <f>VLOOKUP(lmic_raw_ub[[#This Row],[setting]],lmic_raw[],20,FALSE)*(1+interactive!$C$7)</f>
        <v>126.867825</v>
      </c>
      <c r="U353" s="98">
        <f>VLOOKUP(lmic_raw_ub[[#This Row],[setting]],lmic_raw[],21,FALSE)*(1+interactive!$C$7)</f>
        <v>126.867825</v>
      </c>
      <c r="V353" s="33">
        <f>IFERROR(VLOOKUP(lmic_raw_ub[[#This Row],[setting]],vcost_ub[],3,FALSE),0)</f>
        <v>22.346617821561424</v>
      </c>
      <c r="W353" s="33">
        <f>IFERROR(VLOOKUP(lmic_raw_ub[[#This Row],[setting]],vcost_ub[],4,FALSE),0)</f>
        <v>23.010427821561425</v>
      </c>
      <c r="X353" s="33">
        <f>IFERROR(VLOOKUP(lmic_raw_ub[[#This Row],[setting]],vcost_ub[],5,FALSE),0)</f>
        <v>21.841779416129409</v>
      </c>
      <c r="Y353" s="33">
        <f>IFERROR(VLOOKUP(lmic_raw_ub[[#This Row],[setting]],vcost_ub[],6,FALSE),0)</f>
        <v>22.505589416129411</v>
      </c>
      <c r="Z353" s="33">
        <f>IFERROR(VLOOKUP(lmic_raw_ub[[#This Row],[setting]],vcost_ub[],7,FALSE),0)</f>
        <v>22.49440942182666</v>
      </c>
      <c r="AA353" s="33">
        <f>IFERROR(VLOOKUP(lmic_raw_ub[[#This Row],[setting]],vcost_ub[],8,FALSE),0)</f>
        <v>22.617287487229575</v>
      </c>
      <c r="AB353" s="33">
        <f>IFERROR(VLOOKUP(lmic_raw_ub[[#This Row],[setting]],vcost_ub[],9,FALSE),0)</f>
        <v>23.281097487229577</v>
      </c>
      <c r="AC353" s="84">
        <f>VLOOKUP($A353,lmic_raw[],29,FALSE)*(1+interactive!$C$7)</f>
        <v>0</v>
      </c>
      <c r="AD353" s="84">
        <f>VLOOKUP($A353,lmic_raw[],30,FALSE)*(1+interactive!$C$7)</f>
        <v>0</v>
      </c>
      <c r="AE353" s="84">
        <f>VLOOKUP($A353,lmic_raw[],31,FALSE)*(1+interactive!$C$7)</f>
        <v>0</v>
      </c>
      <c r="AF353" s="84">
        <f>VLOOKUP($A353,lmic_raw[],32,FALSE)*(1+interactive!$C$7)</f>
        <v>0</v>
      </c>
      <c r="AG353" s="84">
        <f>VLOOKUP($A353,lmic_raw[],33,FALSE)*(1+interactive!$C$7)</f>
        <v>0</v>
      </c>
      <c r="AH353" s="84">
        <f>VLOOKUP($A353,lmic_raw[],34,FALSE)*(1+interactive!$C$7)</f>
        <v>0</v>
      </c>
      <c r="AI353" s="84">
        <f>VLOOKUP($A353,lmic_raw[],35,FALSE)*(1+interactive!$C$7)</f>
        <v>0</v>
      </c>
      <c r="AJ353" s="84">
        <f>VLOOKUP($A353,lmic_raw[],36,FALSE)*(1+interactive!$C$7)</f>
        <v>0</v>
      </c>
      <c r="AK353" s="84">
        <f>VLOOKUP($A353,lmic_raw[],37,FALSE)*(1+interactive!$C$7)</f>
        <v>0</v>
      </c>
      <c r="AL353" s="84">
        <f>VLOOKUP($A353,lmic_raw[],38,FALSE)*(1+interactive!$C$7)</f>
        <v>0</v>
      </c>
      <c r="AM353" s="84">
        <f>VLOOKUP($A353,lmic_raw[],39,FALSE)*(1+interactive!$C$7)</f>
        <v>0</v>
      </c>
      <c r="AN353" s="84">
        <f>VLOOKUP($A353,lmic_raw[],40,FALSE)*(1+interactive!$C$7)</f>
        <v>0</v>
      </c>
      <c r="AO353" s="84">
        <f>VLOOKUP($A353,lmic_raw[],41,FALSE)*(1+interactive!$C$7)</f>
        <v>0</v>
      </c>
      <c r="AP353" s="84">
        <f>VLOOKUP($A353,lmic_raw[],42,FALSE)*(1+interactive!$C$7)</f>
        <v>0</v>
      </c>
      <c r="AQ353" s="84">
        <f>VLOOKUP($A353,lmic_raw[],43,FALSE)*(1+interactive!$C$7)</f>
        <v>0</v>
      </c>
      <c r="AR353" s="84">
        <f>VLOOKUP($A353,lmic_raw[],44,FALSE)*(1+interactive!$C$7)</f>
        <v>0</v>
      </c>
      <c r="AS353" s="84">
        <f>VLOOKUP($A353,lmic_raw[],45,FALSE)*(1+interactive!$C$7)</f>
        <v>0</v>
      </c>
      <c r="AT353" s="84">
        <f>VLOOKUP($A353,lmic_raw[],46,FALSE)*(1+interactive!$C$7)</f>
        <v>0</v>
      </c>
      <c r="AU353" s="84">
        <f>VLOOKUP($A353,lmic_raw[],47,FALSE)*(1+interactive!$C$7)</f>
        <v>0</v>
      </c>
      <c r="AV353" s="84">
        <f>VLOOKUP($A353,lmic_raw[],48,FALSE)*(1+interactive!$C$7)</f>
        <v>0</v>
      </c>
      <c r="AW353" s="84">
        <f>VLOOKUP($A353,lmic_raw[],49,FALSE)*(1+interactive!$C$7)</f>
        <v>0</v>
      </c>
      <c r="AX353" s="84">
        <f>VLOOKUP($A353,lmic_raw[],50,FALSE)*(1+interactive!$C$7)</f>
        <v>0</v>
      </c>
    </row>
    <row r="354" spans="1:50" x14ac:dyDescent="0.25">
      <c r="A354" s="109" t="s">
        <v>148</v>
      </c>
      <c r="B354" s="101" t="s">
        <v>468</v>
      </c>
      <c r="C354" s="102">
        <v>478</v>
      </c>
      <c r="D354" s="82" t="s">
        <v>677</v>
      </c>
      <c r="E354" s="82" t="s">
        <v>591</v>
      </c>
      <c r="F354" s="82" t="s">
        <v>667</v>
      </c>
      <c r="G354" s="82" t="s">
        <v>678</v>
      </c>
      <c r="H354" s="33">
        <f>VLOOKUP(lmic_raw_ub[[#This Row],[setting]],lmic_raw[],8,FALSE)</f>
        <v>4525698</v>
      </c>
      <c r="I354" s="33">
        <f>VLOOKUP(lmic_raw_ub[[#This Row],[setting]],lmic_raw[],9,FALSE)</f>
        <v>153294.442656</v>
      </c>
      <c r="J354" s="84">
        <f>MIN(VLOOKUP($A354,lmic_raw[],10,FALSE)*(1+interactive!$C$7),0.9999)</f>
        <v>0.72765000000000002</v>
      </c>
      <c r="K354" s="84">
        <f>MIN(VLOOKUP($A354,lmic_raw[],11,FALSE)*(1+interactive!$C$7),0.9999)</f>
        <v>0</v>
      </c>
      <c r="L354" s="33">
        <f>MIN(VLOOKUP($A354,lmic_raw[],12,FALSE)*(1+interactive!$C$7),0.9999)</f>
        <v>0.85050000000000014</v>
      </c>
      <c r="M354" s="84">
        <f>IFERROR(VLOOKUP(lmic_raw_ub[[#This Row],[iso3]], hbv_prev[[iso3]:[ub]],4,FALSE)/100,0)</f>
        <v>0.128</v>
      </c>
      <c r="N354" s="84">
        <f>IFERROR(VLOOKUP(lmic_raw_ub[[#This Row],[setting]],hbe_prev[],5,FALSE),0)</f>
        <v>0.41070000000000001</v>
      </c>
      <c r="O354" s="84">
        <f>VLOOKUP(lmic_raw_ub[[#This Row],[gbd_super]],hbe_risk[],4,FALSE)</f>
        <v>0.74399999999999999</v>
      </c>
      <c r="P354" s="84">
        <f>VLOOKUP(lmic_raw_ub[[#This Row],[gbd_super]],hbe_risk[],7,FALSE)</f>
        <v>0.13300000000000001</v>
      </c>
      <c r="Q354" s="98">
        <f>VLOOKUP(lmic_raw_ub[[#This Row],[setting]],lmic_raw[],17,FALSE)*(1+interactive!$C$7)</f>
        <v>3.6635526276417236</v>
      </c>
      <c r="R354" s="98">
        <f>VLOOKUP(lmic_raw_ub[[#This Row],[setting]],lmic_raw[],18,FALSE)*(1+interactive!$C$7)</f>
        <v>31.416525000000004</v>
      </c>
      <c r="S354" s="98">
        <f>VLOOKUP(lmic_raw_ub[[#This Row],[setting]],lmic_raw[],19,FALSE)*(1+interactive!$C$7)</f>
        <v>81.545625000000015</v>
      </c>
      <c r="T354" s="98">
        <f>VLOOKUP(lmic_raw_ub[[#This Row],[setting]],lmic_raw[],20,FALSE)*(1+interactive!$C$7)</f>
        <v>81.545625000000015</v>
      </c>
      <c r="U354" s="98">
        <f>VLOOKUP(lmic_raw_ub[[#This Row],[setting]],lmic_raw[],21,FALSE)*(1+interactive!$C$7)</f>
        <v>81.545625000000015</v>
      </c>
      <c r="V354" s="33">
        <f>IFERROR(VLOOKUP(lmic_raw_ub[[#This Row],[setting]],vcost_ub[],3,FALSE),0)</f>
        <v>6.0553766779037383</v>
      </c>
      <c r="W354" s="33">
        <f>IFERROR(VLOOKUP(lmic_raw_ub[[#This Row],[setting]],vcost_ub[],4,FALSE),0)</f>
        <v>11.125511677903738</v>
      </c>
      <c r="X354" s="33">
        <f>IFERROR(VLOOKUP(lmic_raw_ub[[#This Row],[setting]],vcost_ub[],5,FALSE),0)</f>
        <v>5.5536550945549257</v>
      </c>
      <c r="Y354" s="33">
        <f>IFERROR(VLOOKUP(lmic_raw_ub[[#This Row],[setting]],vcost_ub[],6,FALSE),0)</f>
        <v>10.623790094554927</v>
      </c>
      <c r="Z354" s="33">
        <f>IFERROR(VLOOKUP(lmic_raw_ub[[#This Row],[setting]],vcost_ub[],7,FALSE),0)</f>
        <v>10.613675332392624</v>
      </c>
      <c r="AA354" s="33">
        <f>IFERROR(VLOOKUP(lmic_raw_ub[[#This Row],[setting]],vcost_ub[],8,FALSE),0)</f>
        <v>6.3253388440806102</v>
      </c>
      <c r="AB354" s="33">
        <f>IFERROR(VLOOKUP(lmic_raw_ub[[#This Row],[setting]],vcost_ub[],9,FALSE),0)</f>
        <v>11.395473844080611</v>
      </c>
      <c r="AC354" s="84">
        <f>VLOOKUP($A354,lmic_raw[],29,FALSE)*(1+interactive!$C$7)</f>
        <v>5.6134700999999967E-2</v>
      </c>
      <c r="AD354" s="84">
        <f>VLOOKUP($A354,lmic_raw[],30,FALSE)*(1+interactive!$C$7)</f>
        <v>7.0406994484471033E-3</v>
      </c>
      <c r="AE354" s="84">
        <f>VLOOKUP($A354,lmic_raw[],31,FALSE)*(1+interactive!$C$7)</f>
        <v>1.1395208340525278E-3</v>
      </c>
      <c r="AF354" s="84">
        <f>VLOOKUP($A354,lmic_raw[],32,FALSE)*(1+interactive!$C$7)</f>
        <v>8.9912748883192394E-4</v>
      </c>
      <c r="AG354" s="84">
        <f>VLOOKUP($A354,lmic_raw[],33,FALSE)*(1+interactive!$C$7)</f>
        <v>1.4808202728696749E-3</v>
      </c>
      <c r="AH354" s="84">
        <f>VLOOKUP($A354,lmic_raw[],34,FALSE)*(1+interactive!$C$7)</f>
        <v>2.0731390145915596E-3</v>
      </c>
      <c r="AI354" s="84">
        <f>VLOOKUP($A354,lmic_raw[],35,FALSE)*(1+interactive!$C$7)</f>
        <v>2.2495458546253652E-3</v>
      </c>
      <c r="AJ354" s="84">
        <f>VLOOKUP($A354,lmic_raw[],36,FALSE)*(1+interactive!$C$7)</f>
        <v>2.5812162459665894E-3</v>
      </c>
      <c r="AK354" s="84">
        <f>VLOOKUP($A354,lmic_raw[],37,FALSE)*(1+interactive!$C$7)</f>
        <v>3.2450188457233435E-3</v>
      </c>
      <c r="AL354" s="84">
        <f>VLOOKUP($A354,lmic_raw[],38,FALSE)*(1+interactive!$C$7)</f>
        <v>4.3777409656075459E-3</v>
      </c>
      <c r="AM354" s="84">
        <f>VLOOKUP($A354,lmic_raw[],39,FALSE)*(1+interactive!$C$7)</f>
        <v>6.3065091453133153E-3</v>
      </c>
      <c r="AN354" s="84">
        <f>VLOOKUP($A354,lmic_raw[],40,FALSE)*(1+interactive!$C$7)</f>
        <v>9.3318181424899525E-3</v>
      </c>
      <c r="AO354" s="84">
        <f>VLOOKUP($A354,lmic_raw[],41,FALSE)*(1+interactive!$C$7)</f>
        <v>1.3976991524957785E-2</v>
      </c>
      <c r="AP354" s="84">
        <f>VLOOKUP($A354,lmic_raw[],42,FALSE)*(1+interactive!$C$7)</f>
        <v>2.1273933302699544E-2</v>
      </c>
      <c r="AQ354" s="84">
        <f>VLOOKUP($A354,lmic_raw[],43,FALSE)*(1+interactive!$C$7)</f>
        <v>3.2490195187394738E-2</v>
      </c>
      <c r="AR354" s="84">
        <f>VLOOKUP($A354,lmic_raw[],44,FALSE)*(1+interactive!$C$7)</f>
        <v>4.9963049929511713E-2</v>
      </c>
      <c r="AS354" s="84">
        <f>VLOOKUP($A354,lmic_raw[],45,FALSE)*(1+interactive!$C$7)</f>
        <v>7.5101391605558634E-2</v>
      </c>
      <c r="AT354" s="84">
        <f>VLOOKUP($A354,lmic_raw[],46,FALSE)*(1+interactive!$C$7)</f>
        <v>0.10810369843483779</v>
      </c>
      <c r="AU354" s="84">
        <f>VLOOKUP($A354,lmic_raw[],47,FALSE)*(1+interactive!$C$7)</f>
        <v>0.14279206298670988</v>
      </c>
      <c r="AV354" s="84">
        <f>VLOOKUP($A354,lmic_raw[],48,FALSE)*(1+interactive!$C$7)</f>
        <v>0.170773742965936</v>
      </c>
      <c r="AW354" s="84">
        <f>VLOOKUP($A354,lmic_raw[],49,FALSE)*(1+interactive!$C$7)</f>
        <v>0.18874182078128893</v>
      </c>
      <c r="AX354" s="84">
        <f>VLOOKUP($A354,lmic_raw[],50,FALSE)*(1+interactive!$C$7)</f>
        <v>67.837350000000001</v>
      </c>
    </row>
    <row r="355" spans="1:50" x14ac:dyDescent="0.25">
      <c r="A355" s="110" t="s">
        <v>109</v>
      </c>
      <c r="B355" s="104" t="s">
        <v>469</v>
      </c>
      <c r="C355" s="105">
        <v>480</v>
      </c>
      <c r="D355" s="84" t="s">
        <v>677</v>
      </c>
      <c r="E355" s="84" t="s">
        <v>598</v>
      </c>
      <c r="F355" s="84" t="s">
        <v>666</v>
      </c>
      <c r="G355" s="84" t="s">
        <v>676</v>
      </c>
      <c r="H355" s="33">
        <f>VLOOKUP(lmic_raw_ub[[#This Row],[setting]],lmic_raw[],8,FALSE)</f>
        <v>1269670</v>
      </c>
      <c r="I355" s="33">
        <f>VLOOKUP(lmic_raw_ub[[#This Row],[setting]],lmic_raw[],9,FALSE)</f>
        <v>13006.49948</v>
      </c>
      <c r="J355" s="84">
        <f>MIN(VLOOKUP($A355,lmic_raw[],10,FALSE)*(1+interactive!$C$7),0.9999)</f>
        <v>0.99990000000000001</v>
      </c>
      <c r="K355" s="84">
        <f>MIN(VLOOKUP($A355,lmic_raw[],11,FALSE)*(1+interactive!$C$7),0.9999)</f>
        <v>0</v>
      </c>
      <c r="L355" s="33">
        <f>MIN(VLOOKUP($A355,lmic_raw[],12,FALSE)*(1+interactive!$C$7),0.9999)</f>
        <v>0.99990000000000001</v>
      </c>
      <c r="M355" s="84">
        <f>IFERROR(VLOOKUP(lmic_raw_ub[[#This Row],[iso3]], hbv_prev[[iso3]:[ub]],4,FALSE)/100,0)</f>
        <v>0.1822</v>
      </c>
      <c r="N355" s="84">
        <f>IFERROR(VLOOKUP(lmic_raw_ub[[#This Row],[setting]],hbe_prev[],5,FALSE),0)</f>
        <v>0.47729999999999995</v>
      </c>
      <c r="O355" s="84">
        <f>VLOOKUP(lmic_raw_ub[[#This Row],[gbd_super]],hbe_risk[],4,FALSE)</f>
        <v>0.9</v>
      </c>
      <c r="P355" s="84">
        <f>VLOOKUP(lmic_raw_ub[[#This Row],[gbd_super]],hbe_risk[],7,FALSE)</f>
        <v>0.3</v>
      </c>
      <c r="Q355" s="98">
        <f>VLOOKUP(lmic_raw_ub[[#This Row],[setting]],lmic_raw[],17,FALSE)*(1+interactive!$C$7)</f>
        <v>0</v>
      </c>
      <c r="R355" s="98">
        <f>VLOOKUP(lmic_raw_ub[[#This Row],[setting]],lmic_raw[],18,FALSE)*(1+interactive!$C$7)</f>
        <v>76.738725000000002</v>
      </c>
      <c r="S355" s="98">
        <f>VLOOKUP(lmic_raw_ub[[#This Row],[setting]],lmic_raw[],19,FALSE)*(1+interactive!$C$7)</f>
        <v>126.867825</v>
      </c>
      <c r="T355" s="98">
        <f>VLOOKUP(lmic_raw_ub[[#This Row],[setting]],lmic_raw[],20,FALSE)*(1+interactive!$C$7)</f>
        <v>126.867825</v>
      </c>
      <c r="U355" s="98">
        <f>VLOOKUP(lmic_raw_ub[[#This Row],[setting]],lmic_raw[],21,FALSE)*(1+interactive!$C$7)</f>
        <v>126.867825</v>
      </c>
      <c r="V355" s="33">
        <f>IFERROR(VLOOKUP(lmic_raw_ub[[#This Row],[setting]],vcost_ub[],3,FALSE),0)</f>
        <v>21.006547259559127</v>
      </c>
      <c r="W355" s="33">
        <f>IFERROR(VLOOKUP(lmic_raw_ub[[#This Row],[setting]],vcost_ub[],4,FALSE),0)</f>
        <v>21.670357259559129</v>
      </c>
      <c r="X355" s="33">
        <f>IFERROR(VLOOKUP(lmic_raw_ub[[#This Row],[setting]],vcost_ub[],5,FALSE),0)</f>
        <v>20.455938886100594</v>
      </c>
      <c r="Y355" s="33">
        <f>IFERROR(VLOOKUP(lmic_raw_ub[[#This Row],[setting]],vcost_ub[],6,FALSE),0)</f>
        <v>21.119748886100595</v>
      </c>
      <c r="Z355" s="33">
        <f>IFERROR(VLOOKUP(lmic_raw_ub[[#This Row],[setting]],vcost_ub[],7,FALSE),0)</f>
        <v>21.081743988792098</v>
      </c>
      <c r="AA355" s="33">
        <f>IFERROR(VLOOKUP(lmic_raw_ub[[#This Row],[setting]],vcost_ub[],8,FALSE),0)</f>
        <v>21.287606427171951</v>
      </c>
      <c r="AB355" s="33">
        <f>IFERROR(VLOOKUP(lmic_raw_ub[[#This Row],[setting]],vcost_ub[],9,FALSE),0)</f>
        <v>21.951416427171953</v>
      </c>
      <c r="AC355" s="84">
        <f>VLOOKUP($A355,lmic_raw[],29,FALSE)*(1+interactive!$C$7)</f>
        <v>1.1780737500000062E-2</v>
      </c>
      <c r="AD355" s="84">
        <f>VLOOKUP($A355,lmic_raw[],30,FALSE)*(1+interactive!$C$7)</f>
        <v>5.2028762204746652E-4</v>
      </c>
      <c r="AE355" s="84">
        <f>VLOOKUP($A355,lmic_raw[],31,FALSE)*(1+interactive!$C$7)</f>
        <v>1.5103173177076474E-4</v>
      </c>
      <c r="AF355" s="84">
        <f>VLOOKUP($A355,lmic_raw[],32,FALSE)*(1+interactive!$C$7)</f>
        <v>2.0343861589903168E-4</v>
      </c>
      <c r="AG355" s="84">
        <f>VLOOKUP($A355,lmic_raw[],33,FALSE)*(1+interactive!$C$7)</f>
        <v>5.7859195455679054E-4</v>
      </c>
      <c r="AH355" s="84">
        <f>VLOOKUP($A355,lmic_raw[],34,FALSE)*(1+interactive!$C$7)</f>
        <v>9.2786873578741785E-4</v>
      </c>
      <c r="AI355" s="84">
        <f>VLOOKUP($A355,lmic_raw[],35,FALSE)*(1+interactive!$C$7)</f>
        <v>1.2773346716555664E-3</v>
      </c>
      <c r="AJ355" s="84">
        <f>VLOOKUP($A355,lmic_raw[],36,FALSE)*(1+interactive!$C$7)</f>
        <v>1.5857377044762261E-3</v>
      </c>
      <c r="AK355" s="84">
        <f>VLOOKUP($A355,lmic_raw[],37,FALSE)*(1+interactive!$C$7)</f>
        <v>2.3367892811238236E-3</v>
      </c>
      <c r="AL355" s="84">
        <f>VLOOKUP($A355,lmic_raw[],38,FALSE)*(1+interactive!$C$7)</f>
        <v>3.3412476730974206E-3</v>
      </c>
      <c r="AM355" s="84">
        <f>VLOOKUP($A355,lmic_raw[],39,FALSE)*(1+interactive!$C$7)</f>
        <v>4.8597601186383026E-3</v>
      </c>
      <c r="AN355" s="84">
        <f>VLOOKUP($A355,lmic_raw[],40,FALSE)*(1+interactive!$C$7)</f>
        <v>7.1767327960626558E-3</v>
      </c>
      <c r="AO355" s="84">
        <f>VLOOKUP($A355,lmic_raw[],41,FALSE)*(1+interactive!$C$7)</f>
        <v>9.9853469500731963E-3</v>
      </c>
      <c r="AP355" s="84">
        <f>VLOOKUP($A355,lmic_raw[],42,FALSE)*(1+interactive!$C$7)</f>
        <v>1.5488406691365758E-2</v>
      </c>
      <c r="AQ355" s="84">
        <f>VLOOKUP($A355,lmic_raw[],43,FALSE)*(1+interactive!$C$7)</f>
        <v>2.2180575023002646E-2</v>
      </c>
      <c r="AR355" s="84">
        <f>VLOOKUP($A355,lmic_raw[],44,FALSE)*(1+interactive!$C$7)</f>
        <v>3.3515983496483513E-2</v>
      </c>
      <c r="AS355" s="84">
        <f>VLOOKUP($A355,lmic_raw[],45,FALSE)*(1+interactive!$C$7)</f>
        <v>4.7459282906829249E-2</v>
      </c>
      <c r="AT355" s="84">
        <f>VLOOKUP($A355,lmic_raw[],46,FALSE)*(1+interactive!$C$7)</f>
        <v>7.0945093853940572E-2</v>
      </c>
      <c r="AU355" s="84">
        <f>VLOOKUP($A355,lmic_raw[],47,FALSE)*(1+interactive!$C$7)</f>
        <v>9.9453969462453884E-2</v>
      </c>
      <c r="AV355" s="84">
        <f>VLOOKUP($A355,lmic_raw[],48,FALSE)*(1+interactive!$C$7)</f>
        <v>0.12846768461234698</v>
      </c>
      <c r="AW355" s="84">
        <f>VLOOKUP($A355,lmic_raw[],49,FALSE)*(1+interactive!$C$7)</f>
        <v>0.15512630193303556</v>
      </c>
      <c r="AX355" s="84">
        <f>VLOOKUP($A355,lmic_raw[],50,FALSE)*(1+interactive!$C$7)</f>
        <v>78.50115000000001</v>
      </c>
    </row>
    <row r="356" spans="1:50" x14ac:dyDescent="0.25">
      <c r="A356" s="109" t="s">
        <v>258</v>
      </c>
      <c r="B356" s="101" t="s">
        <v>470</v>
      </c>
      <c r="C356" s="102">
        <v>484</v>
      </c>
      <c r="D356" s="82" t="s">
        <v>679</v>
      </c>
      <c r="E356" s="82" t="s">
        <v>604</v>
      </c>
      <c r="F356" s="82" t="s">
        <v>665</v>
      </c>
      <c r="G356" s="82" t="s">
        <v>676</v>
      </c>
      <c r="H356" s="33">
        <f>VLOOKUP(lmic_raw_ub[[#This Row],[setting]],lmic_raw[],8,FALSE)</f>
        <v>127575529</v>
      </c>
      <c r="I356" s="33">
        <f>VLOOKUP(lmic_raw_ub[[#This Row],[setting]],lmic_raw[],9,FALSE)</f>
        <v>2262679.5823439998</v>
      </c>
      <c r="J356" s="84">
        <f>MIN(VLOOKUP($A356,lmic_raw[],10,FALSE)*(1+interactive!$C$7),0.9999)</f>
        <v>0.99990000000000001</v>
      </c>
      <c r="K356" s="84">
        <f>MIN(VLOOKUP($A356,lmic_raw[],11,FALSE)*(1+interactive!$C$7),0.9999)</f>
        <v>0</v>
      </c>
      <c r="L356" s="33">
        <f>MIN(VLOOKUP($A356,lmic_raw[],12,FALSE)*(1+interactive!$C$7),0.9999)</f>
        <v>0.58800000000000008</v>
      </c>
      <c r="M356" s="84">
        <f>IFERROR(VLOOKUP(lmic_raw_ub[[#This Row],[iso3]], hbv_prev[[iso3]:[ub]],4,FALSE)/100,0)</f>
        <v>3.5999999999999999E-3</v>
      </c>
      <c r="N356" s="84">
        <f>IFERROR(VLOOKUP(lmic_raw_ub[[#This Row],[setting]],hbe_prev[],5,FALSE),0)</f>
        <v>0.42950000000000005</v>
      </c>
      <c r="O356" s="84">
        <f>VLOOKUP(lmic_raw_ub[[#This Row],[gbd_super]],hbe_risk[],4,FALSE)</f>
        <v>0.9</v>
      </c>
      <c r="P356" s="84">
        <f>VLOOKUP(lmic_raw_ub[[#This Row],[gbd_super]],hbe_risk[],7,FALSE)</f>
        <v>0.3</v>
      </c>
      <c r="Q356" s="98">
        <f>VLOOKUP(lmic_raw_ub[[#This Row],[setting]],lmic_raw[],17,FALSE)*(1+interactive!$C$7)</f>
        <v>17.484468083798529</v>
      </c>
      <c r="R356" s="98">
        <f>VLOOKUP(lmic_raw_ub[[#This Row],[setting]],lmic_raw[],18,FALSE)*(1+interactive!$C$7)</f>
        <v>91.228094999999996</v>
      </c>
      <c r="S356" s="98">
        <f>VLOOKUP(lmic_raw_ub[[#This Row],[setting]],lmic_raw[],19,FALSE)*(1+interactive!$C$7)</f>
        <v>141.35719500000002</v>
      </c>
      <c r="T356" s="98">
        <f>VLOOKUP(lmic_raw_ub[[#This Row],[setting]],lmic_raw[],20,FALSE)*(1+interactive!$C$7)</f>
        <v>141.35719500000002</v>
      </c>
      <c r="U356" s="98">
        <f>VLOOKUP(lmic_raw_ub[[#This Row],[setting]],lmic_raw[],21,FALSE)*(1+interactive!$C$7)</f>
        <v>141.35719500000002</v>
      </c>
      <c r="V356" s="33">
        <f>IFERROR(VLOOKUP(lmic_raw_ub[[#This Row],[setting]],vcost_ub[],3,FALSE),0)</f>
        <v>7.3457060006555803</v>
      </c>
      <c r="W356" s="33">
        <f>IFERROR(VLOOKUP(lmic_raw_ub[[#This Row],[setting]],vcost_ub[],4,FALSE),0)</f>
        <v>7.3685960006555806</v>
      </c>
      <c r="X356" s="33">
        <f>IFERROR(VLOOKUP(lmic_raw_ub[[#This Row],[setting]],vcost_ub[],5,FALSE),0)</f>
        <v>6.8010883302308702</v>
      </c>
      <c r="Y356" s="33">
        <f>IFERROR(VLOOKUP(lmic_raw_ub[[#This Row],[setting]],vcost_ub[],6,FALSE),0)</f>
        <v>6.8239783302308705</v>
      </c>
      <c r="Z356" s="33">
        <f>IFERROR(VLOOKUP(lmic_raw_ub[[#This Row],[setting]],vcost_ub[],7,FALSE),0)</f>
        <v>6.7886969258562644</v>
      </c>
      <c r="AA356" s="33">
        <f>IFERROR(VLOOKUP(lmic_raw_ub[[#This Row],[setting]],vcost_ub[],8,FALSE),0)</f>
        <v>7.6254053154325012</v>
      </c>
      <c r="AB356" s="33">
        <f>IFERROR(VLOOKUP(lmic_raw_ub[[#This Row],[setting]],vcost_ub[],9,FALSE),0)</f>
        <v>7.6482953154325015</v>
      </c>
      <c r="AC356" s="84">
        <f>VLOOKUP($A356,lmic_raw[],29,FALSE)*(1+interactive!$C$7)</f>
        <v>1.4188597499999981E-2</v>
      </c>
      <c r="AD356" s="84">
        <f>VLOOKUP($A356,lmic_raw[],30,FALSE)*(1+interactive!$C$7)</f>
        <v>5.4650742754302985E-4</v>
      </c>
      <c r="AE356" s="84">
        <f>VLOOKUP($A356,lmic_raw[],31,FALSE)*(1+interactive!$C$7)</f>
        <v>2.6787748178964282E-4</v>
      </c>
      <c r="AF356" s="84">
        <f>VLOOKUP($A356,lmic_raw[],32,FALSE)*(1+interactive!$C$7)</f>
        <v>3.8050341876212635E-4</v>
      </c>
      <c r="AG356" s="84">
        <f>VLOOKUP($A356,lmic_raw[],33,FALSE)*(1+interactive!$C$7)</f>
        <v>8.0487840964025116E-4</v>
      </c>
      <c r="AH356" s="84">
        <f>VLOOKUP($A356,lmic_raw[],34,FALSE)*(1+interactive!$C$7)</f>
        <v>1.31065992027429E-3</v>
      </c>
      <c r="AI356" s="84">
        <f>VLOOKUP($A356,lmic_raw[],35,FALSE)*(1+interactive!$C$7)</f>
        <v>1.6458815766785624E-3</v>
      </c>
      <c r="AJ356" s="84">
        <f>VLOOKUP($A356,lmic_raw[],36,FALSE)*(1+interactive!$C$7)</f>
        <v>1.8961792144801214E-3</v>
      </c>
      <c r="AK356" s="84">
        <f>VLOOKUP($A356,lmic_raw[],37,FALSE)*(1+interactive!$C$7)</f>
        <v>2.2961312444337791E-3</v>
      </c>
      <c r="AL356" s="84">
        <f>VLOOKUP($A356,lmic_raw[],38,FALSE)*(1+interactive!$C$7)</f>
        <v>3.0459593139553608E-3</v>
      </c>
      <c r="AM356" s="84">
        <f>VLOOKUP($A356,lmic_raw[],39,FALSE)*(1+interactive!$C$7)</f>
        <v>4.3287216644763166E-3</v>
      </c>
      <c r="AN356" s="84">
        <f>VLOOKUP($A356,lmic_raw[],40,FALSE)*(1+interactive!$C$7)</f>
        <v>6.3824103364858963E-3</v>
      </c>
      <c r="AO356" s="84">
        <f>VLOOKUP($A356,lmic_raw[],41,FALSE)*(1+interactive!$C$7)</f>
        <v>9.5432157666218813E-3</v>
      </c>
      <c r="AP356" s="84">
        <f>VLOOKUP($A356,lmic_raw[],42,FALSE)*(1+interactive!$C$7)</f>
        <v>1.4282655653215435E-2</v>
      </c>
      <c r="AQ356" s="84">
        <f>VLOOKUP($A356,lmic_raw[],43,FALSE)*(1+interactive!$C$7)</f>
        <v>2.1304254693115209E-2</v>
      </c>
      <c r="AR356" s="84">
        <f>VLOOKUP($A356,lmic_raw[],44,FALSE)*(1+interactive!$C$7)</f>
        <v>3.1490191880449964E-2</v>
      </c>
      <c r="AS356" s="84">
        <f>VLOOKUP($A356,lmic_raw[],45,FALSE)*(1+interactive!$C$7)</f>
        <v>4.5813897597584974E-2</v>
      </c>
      <c r="AT356" s="84">
        <f>VLOOKUP($A356,lmic_raw[],46,FALSE)*(1+interactive!$C$7)</f>
        <v>6.5190284033272858E-2</v>
      </c>
      <c r="AU356" s="84">
        <f>VLOOKUP($A356,lmic_raw[],47,FALSE)*(1+interactive!$C$7)</f>
        <v>9.0571515782686213E-2</v>
      </c>
      <c r="AV356" s="84">
        <f>VLOOKUP($A356,lmic_raw[],48,FALSE)*(1+interactive!$C$7)</f>
        <v>0.12255005096636321</v>
      </c>
      <c r="AW356" s="84">
        <f>VLOOKUP($A356,lmic_raw[],49,FALSE)*(1+interactive!$C$7)</f>
        <v>0.15764918840596712</v>
      </c>
      <c r="AX356" s="84">
        <f>VLOOKUP($A356,lmic_raw[],50,FALSE)*(1+interactive!$C$7)</f>
        <v>78.725850000000008</v>
      </c>
    </row>
    <row r="357" spans="1:50" x14ac:dyDescent="0.25">
      <c r="A357" s="82" t="s">
        <v>472</v>
      </c>
      <c r="B357" s="104" t="s">
        <v>471</v>
      </c>
      <c r="C357" s="105">
        <v>583</v>
      </c>
      <c r="D357" s="84" t="s">
        <v>681</v>
      </c>
      <c r="E357" s="84" t="s">
        <v>98</v>
      </c>
      <c r="F357" s="84" t="s">
        <v>666</v>
      </c>
      <c r="G357" s="84" t="s">
        <v>678</v>
      </c>
      <c r="H357" s="33">
        <f>VLOOKUP(lmic_raw_ub[[#This Row],[setting]],lmic_raw[],8,FALSE)</f>
        <v>113811</v>
      </c>
      <c r="I357" s="33">
        <f>VLOOKUP(lmic_raw_ub[[#This Row],[setting]],lmic_raw[],9,FALSE)</f>
        <v>2601.3780270000002</v>
      </c>
      <c r="J357" s="84">
        <f>MIN(VLOOKUP($A357,lmic_raw[],10,FALSE)*(1+interactive!$C$7),0.9999)</f>
        <v>0.91349999999999998</v>
      </c>
      <c r="K357" s="84">
        <f>MIN(VLOOKUP($A357,lmic_raw[],11,FALSE)*(1+interactive!$C$7),0.9999)</f>
        <v>0.73499999999999999</v>
      </c>
      <c r="L357" s="33">
        <f>MIN(VLOOKUP($A357,lmic_raw[],12,FALSE)*(1+interactive!$C$7),0.9999)</f>
        <v>0.88200000000000001</v>
      </c>
      <c r="M357" s="84">
        <f>IFERROR(VLOOKUP(lmic_raw_ub[[#This Row],[iso3]], hbv_prev[[iso3]:[ub]],4,FALSE)/100,0)</f>
        <v>5.0999999999999997E-2</v>
      </c>
      <c r="N357" s="84">
        <f>IFERROR(VLOOKUP(lmic_raw_ub[[#This Row],[setting]],hbe_prev[],5,FALSE),0)</f>
        <v>0.47889999999999999</v>
      </c>
      <c r="O357" s="84">
        <f>VLOOKUP(lmic_raw_ub[[#This Row],[gbd_super]],hbe_risk[],4,FALSE)</f>
        <v>0.9</v>
      </c>
      <c r="P357" s="84">
        <f>VLOOKUP(lmic_raw_ub[[#This Row],[gbd_super]],hbe_risk[],7,FALSE)</f>
        <v>0.3</v>
      </c>
      <c r="Q357" s="98">
        <f>VLOOKUP(lmic_raw_ub[[#This Row],[setting]],lmic_raw[],17,FALSE)*(1+interactive!$C$7)</f>
        <v>8.0254285606037463</v>
      </c>
      <c r="R357" s="98">
        <f>VLOOKUP(lmic_raw_ub[[#This Row],[setting]],lmic_raw[],18,FALSE)*(1+interactive!$C$7)</f>
        <v>76.738725000000002</v>
      </c>
      <c r="S357" s="98">
        <f>VLOOKUP(lmic_raw_ub[[#This Row],[setting]],lmic_raw[],19,FALSE)*(1+interactive!$C$7)</f>
        <v>126.867825</v>
      </c>
      <c r="T357" s="98">
        <f>VLOOKUP(lmic_raw_ub[[#This Row],[setting]],lmic_raw[],20,FALSE)*(1+interactive!$C$7)</f>
        <v>126.867825</v>
      </c>
      <c r="U357" s="98">
        <f>VLOOKUP(lmic_raw_ub[[#This Row],[setting]],lmic_raw[],21,FALSE)*(1+interactive!$C$7)</f>
        <v>126.867825</v>
      </c>
      <c r="V357" s="33">
        <f>IFERROR(VLOOKUP(lmic_raw_ub[[#This Row],[setting]],vcost_ub[],3,FALSE),0)</f>
        <v>15.112453302947571</v>
      </c>
      <c r="W357" s="33">
        <f>IFERROR(VLOOKUP(lmic_raw_ub[[#This Row],[setting]],vcost_ub[],4,FALSE),0)</f>
        <v>15.776263302947571</v>
      </c>
      <c r="X357" s="33">
        <f>IFERROR(VLOOKUP(lmic_raw_ub[[#This Row],[setting]],vcost_ub[],5,FALSE),0)</f>
        <v>14.590715218546018</v>
      </c>
      <c r="Y357" s="33">
        <f>IFERROR(VLOOKUP(lmic_raw_ub[[#This Row],[setting]],vcost_ub[],6,FALSE),0)</f>
        <v>15.254525218546018</v>
      </c>
      <c r="Z357" s="33">
        <f>IFERROR(VLOOKUP(lmic_raw_ub[[#This Row],[setting]],vcost_ub[],7,FALSE),0)</f>
        <v>15.233841785300925</v>
      </c>
      <c r="AA357" s="33">
        <f>IFERROR(VLOOKUP(lmic_raw_ub[[#This Row],[setting]],vcost_ub[],8,FALSE),0)</f>
        <v>15.386959092062796</v>
      </c>
      <c r="AB357" s="33">
        <f>IFERROR(VLOOKUP(lmic_raw_ub[[#This Row],[setting]],vcost_ub[],9,FALSE),0)</f>
        <v>16.050769092062797</v>
      </c>
      <c r="AC357" s="84">
        <f>VLOOKUP($A357,lmic_raw[],29,FALSE)*(1+interactive!$C$7)</f>
        <v>2.4612913499999996E-2</v>
      </c>
      <c r="AD357" s="84">
        <f>VLOOKUP($A357,lmic_raw[],30,FALSE)*(1+interactive!$C$7)</f>
        <v>2.273131172302907E-3</v>
      </c>
      <c r="AE357" s="84">
        <f>VLOOKUP($A357,lmic_raw[],31,FALSE)*(1+interactive!$C$7)</f>
        <v>6.7219561249589862E-4</v>
      </c>
      <c r="AF357" s="84">
        <f>VLOOKUP($A357,lmic_raw[],32,FALSE)*(1+interactive!$C$7)</f>
        <v>5.7480585515656412E-4</v>
      </c>
      <c r="AG357" s="84">
        <f>VLOOKUP($A357,lmic_raw[],33,FALSE)*(1+interactive!$C$7)</f>
        <v>1.128458099712043E-3</v>
      </c>
      <c r="AH357" s="84">
        <f>VLOOKUP($A357,lmic_raw[],34,FALSE)*(1+interactive!$C$7)</f>
        <v>1.4602662373549467E-3</v>
      </c>
      <c r="AI357" s="84">
        <f>VLOOKUP($A357,lmic_raw[],35,FALSE)*(1+interactive!$C$7)</f>
        <v>1.5505205526197097E-3</v>
      </c>
      <c r="AJ357" s="84">
        <f>VLOOKUP($A357,lmic_raw[],36,FALSE)*(1+interactive!$C$7)</f>
        <v>1.8252714350126765E-3</v>
      </c>
      <c r="AK357" s="84">
        <f>VLOOKUP($A357,lmic_raw[],37,FALSE)*(1+interactive!$C$7)</f>
        <v>2.4165348653988183E-3</v>
      </c>
      <c r="AL357" s="84">
        <f>VLOOKUP($A357,lmic_raw[],38,FALSE)*(1+interactive!$C$7)</f>
        <v>3.3940867988295604E-3</v>
      </c>
      <c r="AM357" s="84">
        <f>VLOOKUP($A357,lmic_raw[],39,FALSE)*(1+interactive!$C$7)</f>
        <v>5.1008216597419045E-3</v>
      </c>
      <c r="AN357" s="84">
        <f>VLOOKUP($A357,lmic_raw[],40,FALSE)*(1+interactive!$C$7)</f>
        <v>7.8207794809244946E-3</v>
      </c>
      <c r="AO357" s="84">
        <f>VLOOKUP($A357,lmic_raw[],41,FALSE)*(1+interactive!$C$7)</f>
        <v>1.212419536188163E-2</v>
      </c>
      <c r="AP357" s="84">
        <f>VLOOKUP($A357,lmic_raw[],42,FALSE)*(1+interactive!$C$7)</f>
        <v>2.2994799358862492E-2</v>
      </c>
      <c r="AQ357" s="84">
        <f>VLOOKUP($A357,lmic_raw[],43,FALSE)*(1+interactive!$C$7)</f>
        <v>4.2512091957161338E-2</v>
      </c>
      <c r="AR357" s="84">
        <f>VLOOKUP($A357,lmic_raw[],44,FALSE)*(1+interactive!$C$7)</f>
        <v>6.7237172076621513E-2</v>
      </c>
      <c r="AS357" s="84">
        <f>VLOOKUP($A357,lmic_raw[],45,FALSE)*(1+interactive!$C$7)</f>
        <v>9.5939579224028848E-2</v>
      </c>
      <c r="AT357" s="84">
        <f>VLOOKUP($A357,lmic_raw[],46,FALSE)*(1+interactive!$C$7)</f>
        <v>0.13071236701554539</v>
      </c>
      <c r="AU357" s="84">
        <f>VLOOKUP($A357,lmic_raw[],47,FALSE)*(1+interactive!$C$7)</f>
        <v>0.16542203623111126</v>
      </c>
      <c r="AV357" s="84">
        <f>VLOOKUP($A357,lmic_raw[],48,FALSE)*(1+interactive!$C$7)</f>
        <v>0.18825934096298777</v>
      </c>
      <c r="AW357" s="84">
        <f>VLOOKUP($A357,lmic_raw[],49,FALSE)*(1+interactive!$C$7)</f>
        <v>0.19875113971850286</v>
      </c>
      <c r="AX357" s="84">
        <f>VLOOKUP($A357,lmic_raw[],50,FALSE)*(1+interactive!$C$7)</f>
        <v>71.080799999999996</v>
      </c>
    </row>
    <row r="358" spans="1:50" x14ac:dyDescent="0.25">
      <c r="A358" s="82" t="s">
        <v>639</v>
      </c>
      <c r="B358" s="101" t="s">
        <v>499</v>
      </c>
      <c r="C358" s="102">
        <v>498</v>
      </c>
      <c r="D358" s="82" t="s">
        <v>675</v>
      </c>
      <c r="E358" s="82" t="s">
        <v>306</v>
      </c>
      <c r="F358" s="82" t="s">
        <v>663</v>
      </c>
      <c r="G358" s="82" t="s">
        <v>678</v>
      </c>
      <c r="H358" s="33">
        <f>VLOOKUP(lmic_raw_ub[[#This Row],[setting]],lmic_raw[],8,FALSE)</f>
        <v>4043258</v>
      </c>
      <c r="I358" s="33">
        <f>VLOOKUP(lmic_raw_ub[[#This Row],[setting]],lmic_raw[],9,FALSE)</f>
        <v>41039.068699999996</v>
      </c>
      <c r="J358" s="84">
        <f>MIN(VLOOKUP($A358,lmic_raw[],10,FALSE)*(1+interactive!$C$7),0.9999)</f>
        <v>0.99990000000000001</v>
      </c>
      <c r="K358" s="84">
        <f>MIN(VLOOKUP($A358,lmic_raw[],11,FALSE)*(1+interactive!$C$7),0.9999)</f>
        <v>0.97650000000000015</v>
      </c>
      <c r="L358" s="33">
        <f>MIN(VLOOKUP($A358,lmic_raw[],12,FALSE)*(1+interactive!$C$7),0.9999)</f>
        <v>0.98699999999999999</v>
      </c>
      <c r="M358" s="84">
        <f>IFERROR(VLOOKUP(lmic_raw_ub[[#This Row],[iso3]], hbv_prev[[iso3]:[ub]],4,FALSE)/100,0)</f>
        <v>6.4399999999999999E-2</v>
      </c>
      <c r="N358" s="84">
        <f>IFERROR(VLOOKUP(lmic_raw_ub[[#This Row],[setting]],hbe_prev[],5,FALSE),0)</f>
        <v>0.42969999999999997</v>
      </c>
      <c r="O358" s="84">
        <f>VLOOKUP(lmic_raw_ub[[#This Row],[gbd_super]],hbe_risk[],4,FALSE)</f>
        <v>0.9</v>
      </c>
      <c r="P358" s="84">
        <f>VLOOKUP(lmic_raw_ub[[#This Row],[gbd_super]],hbe_risk[],7,FALSE)</f>
        <v>0.3</v>
      </c>
      <c r="Q358" s="98">
        <f>VLOOKUP(lmic_raw_ub[[#This Row],[setting]],lmic_raw[],17,FALSE)*(1+interactive!$C$7)</f>
        <v>0</v>
      </c>
      <c r="R358" s="98">
        <f>VLOOKUP(lmic_raw_ub[[#This Row],[setting]],lmic_raw[],18,FALSE)*(1+interactive!$C$7)</f>
        <v>46.76427000000001</v>
      </c>
      <c r="S358" s="98">
        <f>VLOOKUP(lmic_raw_ub[[#This Row],[setting]],lmic_raw[],19,FALSE)*(1+interactive!$C$7)</f>
        <v>96.893370000000019</v>
      </c>
      <c r="T358" s="98">
        <f>VLOOKUP(lmic_raw_ub[[#This Row],[setting]],lmic_raw[],20,FALSE)*(1+interactive!$C$7)</f>
        <v>96.893370000000019</v>
      </c>
      <c r="U358" s="98">
        <f>VLOOKUP(lmic_raw_ub[[#This Row],[setting]],lmic_raw[],21,FALSE)*(1+interactive!$C$7)</f>
        <v>96.893370000000019</v>
      </c>
      <c r="V358" s="33">
        <f>IFERROR(VLOOKUP(lmic_raw_ub[[#This Row],[setting]],vcost_ub[],3,FALSE),0)</f>
        <v>9.8785522444965679</v>
      </c>
      <c r="W358" s="33">
        <f>IFERROR(VLOOKUP(lmic_raw_ub[[#This Row],[setting]],vcost_ub[],4,FALSE),0)</f>
        <v>14.147537244496569</v>
      </c>
      <c r="X358" s="33">
        <f>IFERROR(VLOOKUP(lmic_raw_ub[[#This Row],[setting]],vcost_ub[],5,FALSE),0)</f>
        <v>9.3436129824848582</v>
      </c>
      <c r="Y358" s="33">
        <f>IFERROR(VLOOKUP(lmic_raw_ub[[#This Row],[setting]],vcost_ub[],6,FALSE),0)</f>
        <v>13.612597982484859</v>
      </c>
      <c r="Z358" s="33">
        <f>IFERROR(VLOOKUP(lmic_raw_ub[[#This Row],[setting]],vcost_ub[],7,FALSE),0)</f>
        <v>13.582644385076954</v>
      </c>
      <c r="AA358" s="33">
        <f>IFERROR(VLOOKUP(lmic_raw_ub[[#This Row],[setting]],vcost_ub[],8,FALSE),0)</f>
        <v>10.156054619940479</v>
      </c>
      <c r="AB358" s="33">
        <f>IFERROR(VLOOKUP(lmic_raw_ub[[#This Row],[setting]],vcost_ub[],9,FALSE),0)</f>
        <v>14.425039619940479</v>
      </c>
      <c r="AC358" s="84">
        <f>VLOOKUP($A358,lmic_raw[],29,FALSE)*(1+interactive!$C$7)</f>
        <v>1.2973873500000038E-2</v>
      </c>
      <c r="AD358" s="84">
        <f>VLOOKUP($A358,lmic_raw[],30,FALSE)*(1+interactive!$C$7)</f>
        <v>5.4235892484044723E-4</v>
      </c>
      <c r="AE358" s="84">
        <f>VLOOKUP($A358,lmic_raw[],31,FALSE)*(1+interactive!$C$7)</f>
        <v>2.3702050600823009E-4</v>
      </c>
      <c r="AF358" s="84">
        <f>VLOOKUP($A358,lmic_raw[],32,FALSE)*(1+interactive!$C$7)</f>
        <v>1.8532217834292628E-4</v>
      </c>
      <c r="AG358" s="84">
        <f>VLOOKUP($A358,lmic_raw[],33,FALSE)*(1+interactive!$C$7)</f>
        <v>4.3283451609274905E-4</v>
      </c>
      <c r="AH358" s="84">
        <f>VLOOKUP($A358,lmic_raw[],34,FALSE)*(1+interactive!$C$7)</f>
        <v>5.8630448054047542E-4</v>
      </c>
      <c r="AI358" s="84">
        <f>VLOOKUP($A358,lmic_raw[],35,FALSE)*(1+interactive!$C$7)</f>
        <v>8.8177094319286337E-4</v>
      </c>
      <c r="AJ358" s="84">
        <f>VLOOKUP($A358,lmic_raw[],36,FALSE)*(1+interactive!$C$7)</f>
        <v>1.3556979863299369E-3</v>
      </c>
      <c r="AK358" s="84">
        <f>VLOOKUP($A358,lmic_raw[],37,FALSE)*(1+interactive!$C$7)</f>
        <v>2.4244366080392824E-3</v>
      </c>
      <c r="AL358" s="84">
        <f>VLOOKUP($A358,lmic_raw[],38,FALSE)*(1+interactive!$C$7)</f>
        <v>3.4095671494057669E-3</v>
      </c>
      <c r="AM358" s="84">
        <f>VLOOKUP($A358,lmic_raw[],39,FALSE)*(1+interactive!$C$7)</f>
        <v>6.0468205675088043E-3</v>
      </c>
      <c r="AN358" s="84">
        <f>VLOOKUP($A358,lmic_raw[],40,FALSE)*(1+interactive!$C$7)</f>
        <v>8.9795777323924408E-3</v>
      </c>
      <c r="AO358" s="84">
        <f>VLOOKUP($A358,lmic_raw[],41,FALSE)*(1+interactive!$C$7)</f>
        <v>1.3463024991203899E-2</v>
      </c>
      <c r="AP358" s="84">
        <f>VLOOKUP($A358,lmic_raw[],42,FALSE)*(1+interactive!$C$7)</f>
        <v>2.2146356081337307E-2</v>
      </c>
      <c r="AQ358" s="84">
        <f>VLOOKUP($A358,lmic_raw[],43,FALSE)*(1+interactive!$C$7)</f>
        <v>2.8740958466349074E-2</v>
      </c>
      <c r="AR358" s="84">
        <f>VLOOKUP($A358,lmic_raw[],44,FALSE)*(1+interactive!$C$7)</f>
        <v>4.4553775002572502E-2</v>
      </c>
      <c r="AS358" s="84">
        <f>VLOOKUP($A358,lmic_raw[],45,FALSE)*(1+interactive!$C$7)</f>
        <v>6.6937421870355701E-2</v>
      </c>
      <c r="AT358" s="84">
        <f>VLOOKUP($A358,lmic_raw[],46,FALSE)*(1+interactive!$C$7)</f>
        <v>9.6732134571568554E-2</v>
      </c>
      <c r="AU358" s="84">
        <f>VLOOKUP($A358,lmic_raw[],47,FALSE)*(1+interactive!$C$7)</f>
        <v>0.13008436902881076</v>
      </c>
      <c r="AV358" s="84">
        <f>VLOOKUP($A358,lmic_raw[],48,FALSE)*(1+interactive!$C$7)</f>
        <v>0.15763721221557697</v>
      </c>
      <c r="AW358" s="84">
        <f>VLOOKUP($A358,lmic_raw[],49,FALSE)*(1+interactive!$C$7)</f>
        <v>0.18181257622945934</v>
      </c>
      <c r="AX358" s="84">
        <f>VLOOKUP($A358,lmic_raw[],50,FALSE)*(1+interactive!$C$7)</f>
        <v>75.268200000000007</v>
      </c>
    </row>
    <row r="359" spans="1:50" x14ac:dyDescent="0.25">
      <c r="A359" s="110" t="s">
        <v>208</v>
      </c>
      <c r="B359" s="104" t="s">
        <v>473</v>
      </c>
      <c r="C359" s="105">
        <v>496</v>
      </c>
      <c r="D359" s="84" t="s">
        <v>681</v>
      </c>
      <c r="E359" s="84" t="s">
        <v>184</v>
      </c>
      <c r="F359" s="84" t="s">
        <v>663</v>
      </c>
      <c r="G359" s="84" t="s">
        <v>678</v>
      </c>
      <c r="H359" s="33">
        <f>VLOOKUP(lmic_raw_ub[[#This Row],[setting]],lmic_raw[],8,FALSE)</f>
        <v>3225166</v>
      </c>
      <c r="I359" s="33">
        <f>VLOOKUP(lmic_raw_ub[[#This Row],[setting]],lmic_raw[],9,FALSE)</f>
        <v>78826.282206000003</v>
      </c>
      <c r="J359" s="84">
        <f>MIN(VLOOKUP($A359,lmic_raw[],10,FALSE)*(1+interactive!$C$7),0.9999)</f>
        <v>0.99990000000000001</v>
      </c>
      <c r="K359" s="84">
        <f>MIN(VLOOKUP($A359,lmic_raw[],11,FALSE)*(1+interactive!$C$7),0.9999)</f>
        <v>0.99990000000000001</v>
      </c>
      <c r="L359" s="33">
        <f>MIN(VLOOKUP($A359,lmic_raw[],12,FALSE)*(1+interactive!$C$7),0.9999)</f>
        <v>0.99990000000000001</v>
      </c>
      <c r="M359" s="84">
        <f>IFERROR(VLOOKUP(lmic_raw_ub[[#This Row],[iso3]], hbv_prev[[iso3]:[ub]],4,FALSE)/100,0)</f>
        <v>0.1331</v>
      </c>
      <c r="N359" s="84">
        <f>IFERROR(VLOOKUP(lmic_raw_ub[[#This Row],[setting]],hbe_prev[],5,FALSE),0)</f>
        <v>0.43079999999999996</v>
      </c>
      <c r="O359" s="84">
        <f>VLOOKUP(lmic_raw_ub[[#This Row],[gbd_super]],hbe_risk[],4,FALSE)</f>
        <v>0.9</v>
      </c>
      <c r="P359" s="84">
        <f>VLOOKUP(lmic_raw_ub[[#This Row],[gbd_super]],hbe_risk[],7,FALSE)</f>
        <v>0.3</v>
      </c>
      <c r="Q359" s="98">
        <f>VLOOKUP(lmic_raw_ub[[#This Row],[setting]],lmic_raw[],17,FALSE)*(1+interactive!$C$7)</f>
        <v>4.7727153648806384</v>
      </c>
      <c r="R359" s="98">
        <f>VLOOKUP(lmic_raw_ub[[#This Row],[setting]],lmic_raw[],18,FALSE)*(1+interactive!$C$7)</f>
        <v>46.76427000000001</v>
      </c>
      <c r="S359" s="98">
        <f>VLOOKUP(lmic_raw_ub[[#This Row],[setting]],lmic_raw[],19,FALSE)*(1+interactive!$C$7)</f>
        <v>96.893370000000019</v>
      </c>
      <c r="T359" s="98">
        <f>VLOOKUP(lmic_raw_ub[[#This Row],[setting]],lmic_raw[],20,FALSE)*(1+interactive!$C$7)</f>
        <v>96.893370000000019</v>
      </c>
      <c r="U359" s="98">
        <f>VLOOKUP(lmic_raw_ub[[#This Row],[setting]],lmic_raw[],21,FALSE)*(1+interactive!$C$7)</f>
        <v>96.893370000000019</v>
      </c>
      <c r="V359" s="33">
        <f>IFERROR(VLOOKUP(lmic_raw_ub[[#This Row],[setting]],vcost_ub[],3,FALSE),0)</f>
        <v>12.820809346383284</v>
      </c>
      <c r="W359" s="33">
        <f>IFERROR(VLOOKUP(lmic_raw_ub[[#This Row],[setting]],vcost_ub[],4,FALSE),0)</f>
        <v>17.089794346383286</v>
      </c>
      <c r="X359" s="33">
        <f>IFERROR(VLOOKUP(lmic_raw_ub[[#This Row],[setting]],vcost_ub[],5,FALSE),0)</f>
        <v>12.287460972505087</v>
      </c>
      <c r="Y359" s="33">
        <f>IFERROR(VLOOKUP(lmic_raw_ub[[#This Row],[setting]],vcost_ub[],6,FALSE),0)</f>
        <v>16.556445972505088</v>
      </c>
      <c r="Z359" s="33">
        <f>IFERROR(VLOOKUP(lmic_raw_ub[[#This Row],[setting]],vcost_ub[],7,FALSE),0)</f>
        <v>16.527231987253707</v>
      </c>
      <c r="AA359" s="33">
        <f>IFERROR(VLOOKUP(lmic_raw_ub[[#This Row],[setting]],vcost_ub[],8,FALSE),0)</f>
        <v>13.097950599980935</v>
      </c>
      <c r="AB359" s="33">
        <f>IFERROR(VLOOKUP(lmic_raw_ub[[#This Row],[setting]],vcost_ub[],9,FALSE),0)</f>
        <v>17.366935599980934</v>
      </c>
      <c r="AC359" s="84">
        <f>VLOOKUP($A359,lmic_raw[],29,FALSE)*(1+interactive!$C$7)</f>
        <v>1.8996242999999975E-2</v>
      </c>
      <c r="AD359" s="84">
        <f>VLOOKUP($A359,lmic_raw[],30,FALSE)*(1+interactive!$C$7)</f>
        <v>1.143590958805781E-3</v>
      </c>
      <c r="AE359" s="84">
        <f>VLOOKUP($A359,lmic_raw[],31,FALSE)*(1+interactive!$C$7)</f>
        <v>3.7876575510697861E-4</v>
      </c>
      <c r="AF359" s="84">
        <f>VLOOKUP($A359,lmic_raw[],32,FALSE)*(1+interactive!$C$7)</f>
        <v>3.5269302798255053E-4</v>
      </c>
      <c r="AG359" s="84">
        <f>VLOOKUP($A359,lmic_raw[],33,FALSE)*(1+interactive!$C$7)</f>
        <v>5.470381708042308E-4</v>
      </c>
      <c r="AH359" s="84">
        <f>VLOOKUP($A359,lmic_raw[],34,FALSE)*(1+interactive!$C$7)</f>
        <v>9.4632102782102377E-4</v>
      </c>
      <c r="AI359" s="84">
        <f>VLOOKUP($A359,lmic_raw[],35,FALSE)*(1+interactive!$C$7)</f>
        <v>1.3529518190633708E-3</v>
      </c>
      <c r="AJ359" s="84">
        <f>VLOOKUP($A359,lmic_raw[],36,FALSE)*(1+interactive!$C$7)</f>
        <v>2.0445331386633914E-3</v>
      </c>
      <c r="AK359" s="84">
        <f>VLOOKUP($A359,lmic_raw[],37,FALSE)*(1+interactive!$C$7)</f>
        <v>2.9767055608678644E-3</v>
      </c>
      <c r="AL359" s="84">
        <f>VLOOKUP($A359,lmic_raw[],38,FALSE)*(1+interactive!$C$7)</f>
        <v>4.5627897643012319E-3</v>
      </c>
      <c r="AM359" s="84">
        <f>VLOOKUP($A359,lmic_raw[],39,FALSE)*(1+interactive!$C$7)</f>
        <v>7.8488079389539191E-3</v>
      </c>
      <c r="AN359" s="84">
        <f>VLOOKUP($A359,lmic_raw[],40,FALSE)*(1+interactive!$C$7)</f>
        <v>1.1735700333189578E-2</v>
      </c>
      <c r="AO359" s="84">
        <f>VLOOKUP($A359,lmic_raw[],41,FALSE)*(1+interactive!$C$7)</f>
        <v>1.5913080702632813E-2</v>
      </c>
      <c r="AP359" s="84">
        <f>VLOOKUP($A359,lmic_raw[],42,FALSE)*(1+interactive!$C$7)</f>
        <v>2.234461568889308E-2</v>
      </c>
      <c r="AQ359" s="84">
        <f>VLOOKUP($A359,lmic_raw[],43,FALSE)*(1+interactive!$C$7)</f>
        <v>3.0466683556778937E-2</v>
      </c>
      <c r="AR359" s="84">
        <f>VLOOKUP($A359,lmic_raw[],44,FALSE)*(1+interactive!$C$7)</f>
        <v>4.8460628980749793E-2</v>
      </c>
      <c r="AS359" s="84">
        <f>VLOOKUP($A359,lmic_raw[],45,FALSE)*(1+interactive!$C$7)</f>
        <v>6.9177314402638496E-2</v>
      </c>
      <c r="AT359" s="84">
        <f>VLOOKUP($A359,lmic_raw[],46,FALSE)*(1+interactive!$C$7)</f>
        <v>9.4523200459753334E-2</v>
      </c>
      <c r="AU359" s="84">
        <f>VLOOKUP($A359,lmic_raw[],47,FALSE)*(1+interactive!$C$7)</f>
        <v>0.12322381239751728</v>
      </c>
      <c r="AV359" s="84">
        <f>VLOOKUP($A359,lmic_raw[],48,FALSE)*(1+interactive!$C$7)</f>
        <v>0.15079151358012652</v>
      </c>
      <c r="AW359" s="84">
        <f>VLOOKUP($A359,lmic_raw[],49,FALSE)*(1+interactive!$C$7)</f>
        <v>0.17336975804332314</v>
      </c>
      <c r="AX359" s="84">
        <f>VLOOKUP($A359,lmic_raw[],50,FALSE)*(1+interactive!$C$7)</f>
        <v>73.026450000000011</v>
      </c>
    </row>
    <row r="360" spans="1:50" x14ac:dyDescent="0.25">
      <c r="A360" s="109" t="s">
        <v>341</v>
      </c>
      <c r="B360" s="101" t="s">
        <v>474</v>
      </c>
      <c r="C360" s="102">
        <v>499</v>
      </c>
      <c r="D360" s="82" t="s">
        <v>675</v>
      </c>
      <c r="E360" s="82" t="s">
        <v>580</v>
      </c>
      <c r="F360" s="82" t="s">
        <v>663</v>
      </c>
      <c r="G360" s="82" t="s">
        <v>676</v>
      </c>
      <c r="H360" s="33">
        <f>VLOOKUP(lmic_raw_ub[[#This Row],[setting]],lmic_raw[],8,FALSE)</f>
        <v>627988</v>
      </c>
      <c r="I360" s="33">
        <f>VLOOKUP(lmic_raw_ub[[#This Row],[setting]],lmic_raw[],9,FALSE)</f>
        <v>7423.4461480000009</v>
      </c>
      <c r="J360" s="84">
        <f>MIN(VLOOKUP($A360,lmic_raw[],10,FALSE)*(1+interactive!$C$7),0.9999)</f>
        <v>0.99990000000000001</v>
      </c>
      <c r="K360" s="84">
        <f>MIN(VLOOKUP($A360,lmic_raw[],11,FALSE)*(1+interactive!$C$7),0.9999)</f>
        <v>0</v>
      </c>
      <c r="L360" s="33">
        <f>MIN(VLOOKUP($A360,lmic_raw[],12,FALSE)*(1+interactive!$C$7),0.9999)</f>
        <v>0.75600000000000001</v>
      </c>
      <c r="M360" s="84">
        <f>IFERROR(VLOOKUP(lmic_raw_ub[[#This Row],[iso3]], hbv_prev[[iso3]:[ub]],4,FALSE)/100,0)</f>
        <v>0.1153</v>
      </c>
      <c r="N360" s="84">
        <f>IFERROR(VLOOKUP(lmic_raw_ub[[#This Row],[setting]],hbe_prev[],5,FALSE),0)</f>
        <v>0.42849999999999999</v>
      </c>
      <c r="O360" s="84">
        <f>VLOOKUP(lmic_raw_ub[[#This Row],[gbd_super]],hbe_risk[],4,FALSE)</f>
        <v>0.9</v>
      </c>
      <c r="P360" s="84">
        <f>VLOOKUP(lmic_raw_ub[[#This Row],[gbd_super]],hbe_risk[],7,FALSE)</f>
        <v>0.3</v>
      </c>
      <c r="Q360" s="98">
        <f>VLOOKUP(lmic_raw_ub[[#This Row],[setting]],lmic_raw[],17,FALSE)*(1+interactive!$C$7)</f>
        <v>0</v>
      </c>
      <c r="R360" s="98">
        <f>VLOOKUP(lmic_raw_ub[[#This Row],[setting]],lmic_raw[],18,FALSE)*(1+interactive!$C$7)</f>
        <v>46.76427000000001</v>
      </c>
      <c r="S360" s="98">
        <f>VLOOKUP(lmic_raw_ub[[#This Row],[setting]],lmic_raw[],19,FALSE)*(1+interactive!$C$7)</f>
        <v>96.893370000000019</v>
      </c>
      <c r="T360" s="98">
        <f>VLOOKUP(lmic_raw_ub[[#This Row],[setting]],lmic_raw[],20,FALSE)*(1+interactive!$C$7)</f>
        <v>96.893370000000019</v>
      </c>
      <c r="U360" s="98">
        <f>VLOOKUP(lmic_raw_ub[[#This Row],[setting]],lmic_raw[],21,FALSE)*(1+interactive!$C$7)</f>
        <v>96.893370000000019</v>
      </c>
      <c r="V360" s="33">
        <f>IFERROR(VLOOKUP(lmic_raw_ub[[#This Row],[setting]],vcost_ub[],3,FALSE),0)</f>
        <v>18.688546102405077</v>
      </c>
      <c r="W360" s="33">
        <f>IFERROR(VLOOKUP(lmic_raw_ub[[#This Row],[setting]],vcost_ub[],4,FALSE),0)</f>
        <v>22.957531102405078</v>
      </c>
      <c r="X360" s="33">
        <f>IFERROR(VLOOKUP(lmic_raw_ub[[#This Row],[setting]],vcost_ub[],5,FALSE),0)</f>
        <v>18.152037973068062</v>
      </c>
      <c r="Y360" s="33">
        <f>IFERROR(VLOOKUP(lmic_raw_ub[[#This Row],[setting]],vcost_ub[],6,FALSE),0)</f>
        <v>22.421022973068062</v>
      </c>
      <c r="Z360" s="33">
        <f>IFERROR(VLOOKUP(lmic_raw_ub[[#This Row],[setting]],vcost_ub[],7,FALSE),0)</f>
        <v>22.391530726019163</v>
      </c>
      <c r="AA360" s="33">
        <f>IFERROR(VLOOKUP(lmic_raw_ub[[#This Row],[setting]],vcost_ub[],8,FALSE),0)</f>
        <v>18.966404601106881</v>
      </c>
      <c r="AB360" s="33">
        <f>IFERROR(VLOOKUP(lmic_raw_ub[[#This Row],[setting]],vcost_ub[],9,FALSE),0)</f>
        <v>23.235389601106881</v>
      </c>
      <c r="AC360" s="84">
        <f>VLOOKUP($A360,lmic_raw[],29,FALSE)*(1+interactive!$C$7)</f>
        <v>2.8969395000000512E-3</v>
      </c>
      <c r="AD360" s="84">
        <f>VLOOKUP($A360,lmic_raw[],30,FALSE)*(1+interactive!$C$7)</f>
        <v>1.152720343901655E-4</v>
      </c>
      <c r="AE360" s="84">
        <f>VLOOKUP($A360,lmic_raw[],31,FALSE)*(1+interactive!$C$7)</f>
        <v>1.3611193761446416E-4</v>
      </c>
      <c r="AF360" s="84">
        <f>VLOOKUP($A360,lmic_raw[],32,FALSE)*(1+interactive!$C$7)</f>
        <v>1.4795288144386952E-4</v>
      </c>
      <c r="AG360" s="84">
        <f>VLOOKUP($A360,lmic_raw[],33,FALSE)*(1+interactive!$C$7)</f>
        <v>2.7283719594486337E-4</v>
      </c>
      <c r="AH360" s="84">
        <f>VLOOKUP($A360,lmic_raw[],34,FALSE)*(1+interactive!$C$7)</f>
        <v>4.0437429373924597E-4</v>
      </c>
      <c r="AI360" s="84">
        <f>VLOOKUP($A360,lmic_raw[],35,FALSE)*(1+interactive!$C$7)</f>
        <v>6.1523752274270397E-4</v>
      </c>
      <c r="AJ360" s="84">
        <f>VLOOKUP($A360,lmic_raw[],36,FALSE)*(1+interactive!$C$7)</f>
        <v>6.126217290685521E-4</v>
      </c>
      <c r="AK360" s="84">
        <f>VLOOKUP($A360,lmic_raw[],37,FALSE)*(1+interactive!$C$7)</f>
        <v>1.0195189261516468E-3</v>
      </c>
      <c r="AL360" s="84">
        <f>VLOOKUP($A360,lmic_raw[],38,FALSE)*(1+interactive!$C$7)</f>
        <v>1.5823418956001213E-3</v>
      </c>
      <c r="AM360" s="84">
        <f>VLOOKUP($A360,lmic_raw[],39,FALSE)*(1+interactive!$C$7)</f>
        <v>2.6890849705933631E-3</v>
      </c>
      <c r="AN360" s="84">
        <f>VLOOKUP($A360,lmic_raw[],40,FALSE)*(1+interactive!$C$7)</f>
        <v>5.0212209947922354E-3</v>
      </c>
      <c r="AO360" s="84">
        <f>VLOOKUP($A360,lmic_raw[],41,FALSE)*(1+interactive!$C$7)</f>
        <v>8.9573477844137606E-3</v>
      </c>
      <c r="AP360" s="84">
        <f>VLOOKUP($A360,lmic_raw[],42,FALSE)*(1+interactive!$C$7)</f>
        <v>1.3434836081374382E-2</v>
      </c>
      <c r="AQ360" s="84">
        <f>VLOOKUP($A360,lmic_raw[],43,FALSE)*(1+interactive!$C$7)</f>
        <v>2.2245462757218587E-2</v>
      </c>
      <c r="AR360" s="84">
        <f>VLOOKUP($A360,lmic_raw[],44,FALSE)*(1+interactive!$C$7)</f>
        <v>3.2524136012094994E-2</v>
      </c>
      <c r="AS360" s="84">
        <f>VLOOKUP($A360,lmic_raw[],45,FALSE)*(1+interactive!$C$7)</f>
        <v>5.4023972887745977E-2</v>
      </c>
      <c r="AT360" s="84">
        <f>VLOOKUP($A360,lmic_raw[],46,FALSE)*(1+interactive!$C$7)</f>
        <v>8.5175940372233194E-2</v>
      </c>
      <c r="AU360" s="84">
        <f>VLOOKUP($A360,lmic_raw[],47,FALSE)*(1+interactive!$C$7)</f>
        <v>0.12348664567779409</v>
      </c>
      <c r="AV360" s="84">
        <f>VLOOKUP($A360,lmic_raw[],48,FALSE)*(1+interactive!$C$7)</f>
        <v>0.1635715559194573</v>
      </c>
      <c r="AW360" s="84">
        <f>VLOOKUP($A360,lmic_raw[],49,FALSE)*(1+interactive!$C$7)</f>
        <v>0.18807840888893518</v>
      </c>
      <c r="AX360" s="84">
        <f>VLOOKUP($A360,lmic_raw[],50,FALSE)*(1+interactive!$C$7)</f>
        <v>80.4846</v>
      </c>
    </row>
    <row r="361" spans="1:50" x14ac:dyDescent="0.25">
      <c r="A361" s="110" t="s">
        <v>160</v>
      </c>
      <c r="B361" s="104" t="s">
        <v>475</v>
      </c>
      <c r="C361" s="105">
        <v>504</v>
      </c>
      <c r="D361" s="84" t="s">
        <v>673</v>
      </c>
      <c r="E361" s="84" t="s">
        <v>579</v>
      </c>
      <c r="F361" s="84" t="s">
        <v>579</v>
      </c>
      <c r="G361" s="84" t="s">
        <v>678</v>
      </c>
      <c r="H361" s="33">
        <f>VLOOKUP(lmic_raw_ub[[#This Row],[setting]],lmic_raw[],8,FALSE)</f>
        <v>36471766</v>
      </c>
      <c r="I361" s="33">
        <f>VLOOKUP(lmic_raw_ub[[#This Row],[setting]],lmic_raw[],9,FALSE)</f>
        <v>694896.55759800004</v>
      </c>
      <c r="J361" s="84">
        <f>MIN(VLOOKUP($A361,lmic_raw[],10,FALSE)*(1+interactive!$C$7),0.9999)</f>
        <v>0.90405000000000002</v>
      </c>
      <c r="K361" s="84">
        <f>MIN(VLOOKUP($A361,lmic_raw[],11,FALSE)*(1+interactive!$C$7),0.9999)</f>
        <v>0.43049999999999999</v>
      </c>
      <c r="L361" s="33">
        <f>MIN(VLOOKUP($A361,lmic_raw[],12,FALSE)*(1+interactive!$C$7),0.9999)</f>
        <v>0.99990000000000001</v>
      </c>
      <c r="M361" s="84">
        <f>IFERROR(VLOOKUP(lmic_raw_ub[[#This Row],[iso3]], hbv_prev[[iso3]:[ub]],4,FALSE)/100,0)</f>
        <v>1.8700000000000001E-2</v>
      </c>
      <c r="N361" s="84">
        <f>IFERROR(VLOOKUP(lmic_raw_ub[[#This Row],[setting]],hbe_prev[],5,FALSE),0)</f>
        <v>0.37619999999999998</v>
      </c>
      <c r="O361" s="84">
        <f>VLOOKUP(lmic_raw_ub[[#This Row],[gbd_super]],hbe_risk[],4,FALSE)</f>
        <v>0.9</v>
      </c>
      <c r="P361" s="84">
        <f>VLOOKUP(lmic_raw_ub[[#This Row],[gbd_super]],hbe_risk[],7,FALSE)</f>
        <v>0.3</v>
      </c>
      <c r="Q361" s="98">
        <f>VLOOKUP(lmic_raw_ub[[#This Row],[setting]],lmic_raw[],17,FALSE)*(1+interactive!$C$7)</f>
        <v>7.4023034273234574</v>
      </c>
      <c r="R361" s="98">
        <f>VLOOKUP(lmic_raw_ub[[#This Row],[setting]],lmic_raw[],18,FALSE)*(1+interactive!$C$7)</f>
        <v>48.652695000000001</v>
      </c>
      <c r="S361" s="98">
        <f>VLOOKUP(lmic_raw_ub[[#This Row],[setting]],lmic_raw[],19,FALSE)*(1+interactive!$C$7)</f>
        <v>98.781795000000017</v>
      </c>
      <c r="T361" s="98">
        <f>VLOOKUP(lmic_raw_ub[[#This Row],[setting]],lmic_raw[],20,FALSE)*(1+interactive!$C$7)</f>
        <v>98.781795000000017</v>
      </c>
      <c r="U361" s="98">
        <f>VLOOKUP(lmic_raw_ub[[#This Row],[setting]],lmic_raw[],21,FALSE)*(1+interactive!$C$7)</f>
        <v>98.781795000000017</v>
      </c>
      <c r="V361" s="33">
        <f>IFERROR(VLOOKUP(lmic_raw_ub[[#This Row],[setting]],vcost_ub[],3,FALSE),0)</f>
        <v>7.8051944913246656</v>
      </c>
      <c r="W361" s="33">
        <f>IFERROR(VLOOKUP(lmic_raw_ub[[#This Row],[setting]],vcost_ub[],4,FALSE),0)</f>
        <v>8.3087744913246659</v>
      </c>
      <c r="X361" s="33">
        <f>IFERROR(VLOOKUP(lmic_raw_ub[[#This Row],[setting]],vcost_ub[],5,FALSE),0)</f>
        <v>7.2855034766050224</v>
      </c>
      <c r="Y361" s="33">
        <f>IFERROR(VLOOKUP(lmic_raw_ub[[#This Row],[setting]],vcost_ub[],6,FALSE),0)</f>
        <v>7.7890834766050228</v>
      </c>
      <c r="Z361" s="33">
        <f>IFERROR(VLOOKUP(lmic_raw_ub[[#This Row],[setting]],vcost_ub[],7,FALSE),0)</f>
        <v>7.768214037060245</v>
      </c>
      <c r="AA361" s="33">
        <f>IFERROR(VLOOKUP(lmic_raw_ub[[#This Row],[setting]],vcost_ub[],8,FALSE),0)</f>
        <v>8.0792356081808041</v>
      </c>
      <c r="AB361" s="33">
        <f>IFERROR(VLOOKUP(lmic_raw_ub[[#This Row],[setting]],vcost_ub[],9,FALSE),0)</f>
        <v>8.5828156081808036</v>
      </c>
      <c r="AC361" s="84">
        <f>VLOOKUP($A361,lmic_raw[],29,FALSE)*(1+interactive!$C$7)</f>
        <v>2.0862166500000071E-2</v>
      </c>
      <c r="AD361" s="84">
        <f>VLOOKUP($A361,lmic_raw[],30,FALSE)*(1+interactive!$C$7)</f>
        <v>9.4666248124088831E-4</v>
      </c>
      <c r="AE361" s="84">
        <f>VLOOKUP($A361,lmic_raw[],31,FALSE)*(1+interactive!$C$7)</f>
        <v>4.4193693119488171E-4</v>
      </c>
      <c r="AF361" s="84">
        <f>VLOOKUP($A361,lmic_raw[],32,FALSE)*(1+interactive!$C$7)</f>
        <v>2.6853862275198694E-4</v>
      </c>
      <c r="AG361" s="84">
        <f>VLOOKUP($A361,lmic_raw[],33,FALSE)*(1+interactive!$C$7)</f>
        <v>4.3570091449543936E-4</v>
      </c>
      <c r="AH361" s="84">
        <f>VLOOKUP($A361,lmic_raw[],34,FALSE)*(1+interactive!$C$7)</f>
        <v>6.3478528684053929E-4</v>
      </c>
      <c r="AI361" s="84">
        <f>VLOOKUP($A361,lmic_raw[],35,FALSE)*(1+interactive!$C$7)</f>
        <v>7.0242032585544564E-4</v>
      </c>
      <c r="AJ361" s="84">
        <f>VLOOKUP($A361,lmic_raw[],36,FALSE)*(1+interactive!$C$7)</f>
        <v>7.8003470932418335E-4</v>
      </c>
      <c r="AK361" s="84">
        <f>VLOOKUP($A361,lmic_raw[],37,FALSE)*(1+interactive!$C$7)</f>
        <v>1.0515156439193192E-3</v>
      </c>
      <c r="AL361" s="84">
        <f>VLOOKUP($A361,lmic_raw[],38,FALSE)*(1+interactive!$C$7)</f>
        <v>1.397339521428203E-3</v>
      </c>
      <c r="AM361" s="84">
        <f>VLOOKUP($A361,lmic_raw[],39,FALSE)*(1+interactive!$C$7)</f>
        <v>1.9954510388945019E-3</v>
      </c>
      <c r="AN361" s="84">
        <f>VLOOKUP($A361,lmic_raw[],40,FALSE)*(1+interactive!$C$7)</f>
        <v>3.0480811839353437E-3</v>
      </c>
      <c r="AO361" s="84">
        <f>VLOOKUP($A361,lmic_raw[],41,FALSE)*(1+interactive!$C$7)</f>
        <v>4.734788512861696E-3</v>
      </c>
      <c r="AP361" s="84">
        <f>VLOOKUP($A361,lmic_raw[],42,FALSE)*(1+interactive!$C$7)</f>
        <v>8.2143963870071075E-3</v>
      </c>
      <c r="AQ361" s="84">
        <f>VLOOKUP($A361,lmic_raw[],43,FALSE)*(1+interactive!$C$7)</f>
        <v>1.4604283184008766E-2</v>
      </c>
      <c r="AR361" s="84">
        <f>VLOOKUP($A361,lmic_raw[],44,FALSE)*(1+interactive!$C$7)</f>
        <v>2.9116560091278738E-2</v>
      </c>
      <c r="AS361" s="84">
        <f>VLOOKUP($A361,lmic_raw[],45,FALSE)*(1+interactive!$C$7)</f>
        <v>4.9373031409501944E-2</v>
      </c>
      <c r="AT361" s="84">
        <f>VLOOKUP($A361,lmic_raw[],46,FALSE)*(1+interactive!$C$7)</f>
        <v>9.6599041178495201E-2</v>
      </c>
      <c r="AU361" s="84">
        <f>VLOOKUP($A361,lmic_raw[],47,FALSE)*(1+interactive!$C$7)</f>
        <v>0.14632697087111499</v>
      </c>
      <c r="AV361" s="84">
        <f>VLOOKUP($A361,lmic_raw[],48,FALSE)*(1+interactive!$C$7)</f>
        <v>0.18187956957538573</v>
      </c>
      <c r="AW361" s="84">
        <f>VLOOKUP($A361,lmic_raw[],49,FALSE)*(1+interactive!$C$7)</f>
        <v>0.19360462141849033</v>
      </c>
      <c r="AX361" s="84">
        <f>VLOOKUP($A361,lmic_raw[],50,FALSE)*(1+interactive!$C$7)</f>
        <v>80.146500000000003</v>
      </c>
    </row>
    <row r="362" spans="1:50" x14ac:dyDescent="0.25">
      <c r="A362" s="109" t="s">
        <v>111</v>
      </c>
      <c r="B362" s="101" t="s">
        <v>476</v>
      </c>
      <c r="C362" s="102">
        <v>508</v>
      </c>
      <c r="D362" s="82" t="s">
        <v>677</v>
      </c>
      <c r="E362" s="82" t="s">
        <v>597</v>
      </c>
      <c r="F362" s="82" t="s">
        <v>667</v>
      </c>
      <c r="G362" s="82" t="s">
        <v>674</v>
      </c>
      <c r="H362" s="33">
        <f>VLOOKUP(lmic_raw_ub[[#This Row],[setting]],lmic_raw[],8,FALSE)</f>
        <v>30366043</v>
      </c>
      <c r="I362" s="33">
        <f>VLOOKUP(lmic_raw_ub[[#This Row],[setting]],lmic_raw[],9,FALSE)</f>
        <v>1144921.2852720001</v>
      </c>
      <c r="J362" s="84">
        <f>MIN(VLOOKUP($A362,lmic_raw[],10,FALSE)*(1+interactive!$C$7),0.9999)</f>
        <v>0.57539999999999991</v>
      </c>
      <c r="K362" s="84">
        <f>MIN(VLOOKUP($A362,lmic_raw[],11,FALSE)*(1+interactive!$C$7),0.9999)</f>
        <v>0</v>
      </c>
      <c r="L362" s="33">
        <f>MIN(VLOOKUP($A362,lmic_raw[],12,FALSE)*(1+interactive!$C$7),0.9999)</f>
        <v>0.92400000000000004</v>
      </c>
      <c r="M362" s="84">
        <f>IFERROR(VLOOKUP(lmic_raw_ub[[#This Row],[iso3]], hbv_prev[[iso3]:[ub]],4,FALSE)/100,0)</f>
        <v>9.7799999999999998E-2</v>
      </c>
      <c r="N362" s="84">
        <f>IFERROR(VLOOKUP(lmic_raw_ub[[#This Row],[setting]],hbe_prev[],5,FALSE),0)</f>
        <v>0.39960000000000001</v>
      </c>
      <c r="O362" s="84">
        <f>VLOOKUP(lmic_raw_ub[[#This Row],[gbd_super]],hbe_risk[],4,FALSE)</f>
        <v>0.74399999999999999</v>
      </c>
      <c r="P362" s="84">
        <f>VLOOKUP(lmic_raw_ub[[#This Row],[gbd_super]],hbe_risk[],7,FALSE)</f>
        <v>0.13300000000000001</v>
      </c>
      <c r="Q362" s="98">
        <f>VLOOKUP(lmic_raw_ub[[#This Row],[setting]],lmic_raw[],17,FALSE)*(1+interactive!$C$7)</f>
        <v>2.8534899543773489</v>
      </c>
      <c r="R362" s="98">
        <f>VLOOKUP(lmic_raw_ub[[#This Row],[setting]],lmic_raw[],18,FALSE)*(1+interactive!$C$7)</f>
        <v>31.416525000000004</v>
      </c>
      <c r="S362" s="98">
        <f>VLOOKUP(lmic_raw_ub[[#This Row],[setting]],lmic_raw[],19,FALSE)*(1+interactive!$C$7)</f>
        <v>81.545625000000015</v>
      </c>
      <c r="T362" s="98">
        <f>VLOOKUP(lmic_raw_ub[[#This Row],[setting]],lmic_raw[],20,FALSE)*(1+interactive!$C$7)</f>
        <v>81.545625000000015</v>
      </c>
      <c r="U362" s="98">
        <f>VLOOKUP(lmic_raw_ub[[#This Row],[setting]],lmic_raw[],21,FALSE)*(1+interactive!$C$7)</f>
        <v>81.545625000000015</v>
      </c>
      <c r="V362" s="33">
        <f>IFERROR(VLOOKUP(lmic_raw_ub[[#This Row],[setting]],vcost_ub[],3,FALSE),0)</f>
        <v>3.3652245190482803</v>
      </c>
      <c r="W362" s="33">
        <f>IFERROR(VLOOKUP(lmic_raw_ub[[#This Row],[setting]],vcost_ub[],4,FALSE),0)</f>
        <v>8.43535951904828</v>
      </c>
      <c r="X362" s="33">
        <f>IFERROR(VLOOKUP(lmic_raw_ub[[#This Row],[setting]],vcost_ub[],5,FALSE),0)</f>
        <v>2.8735847590973722</v>
      </c>
      <c r="Y362" s="33">
        <f>IFERROR(VLOOKUP(lmic_raw_ub[[#This Row],[setting]],vcost_ub[],6,FALSE),0)</f>
        <v>7.9437197590973732</v>
      </c>
      <c r="Z362" s="33">
        <f>IFERROR(VLOOKUP(lmic_raw_ub[[#This Row],[setting]],vcost_ub[],7,FALSE),0)</f>
        <v>7.9392856538854888</v>
      </c>
      <c r="AA362" s="33">
        <f>IFERROR(VLOOKUP(lmic_raw_ub[[#This Row],[setting]],vcost_ub[],8,FALSE),0)</f>
        <v>3.6328981731655046</v>
      </c>
      <c r="AB362" s="33">
        <f>IFERROR(VLOOKUP(lmic_raw_ub[[#This Row],[setting]],vcost_ub[],9,FALSE),0)</f>
        <v>8.7030331731655046</v>
      </c>
      <c r="AC362" s="84">
        <f>VLOOKUP($A362,lmic_raw[],29,FALSE)*(1+interactive!$C$7)</f>
        <v>5.661160050000006E-2</v>
      </c>
      <c r="AD362" s="84">
        <f>VLOOKUP($A362,lmic_raw[],30,FALSE)*(1+interactive!$C$7)</f>
        <v>5.3675585150619641E-3</v>
      </c>
      <c r="AE362" s="84">
        <f>VLOOKUP($A362,lmic_raw[],31,FALSE)*(1+interactive!$C$7)</f>
        <v>1.4713501639151045E-3</v>
      </c>
      <c r="AF362" s="84">
        <f>VLOOKUP($A362,lmic_raw[],32,FALSE)*(1+interactive!$C$7)</f>
        <v>1.1496484286674256E-3</v>
      </c>
      <c r="AG362" s="84">
        <f>VLOOKUP($A362,lmic_raw[],33,FALSE)*(1+interactive!$C$7)</f>
        <v>1.8126296959582412E-3</v>
      </c>
      <c r="AH362" s="84">
        <f>VLOOKUP($A362,lmic_raw[],34,FALSE)*(1+interactive!$C$7)</f>
        <v>3.0087294492355835E-3</v>
      </c>
      <c r="AI362" s="84">
        <f>VLOOKUP($A362,lmic_raw[],35,FALSE)*(1+interactive!$C$7)</f>
        <v>4.6097514813786379E-3</v>
      </c>
      <c r="AJ362" s="84">
        <f>VLOOKUP($A362,lmic_raw[],36,FALSE)*(1+interactive!$C$7)</f>
        <v>6.3711068245035363E-3</v>
      </c>
      <c r="AK362" s="84">
        <f>VLOOKUP($A362,lmic_raw[],37,FALSE)*(1+interactive!$C$7)</f>
        <v>8.8365248479442757E-3</v>
      </c>
      <c r="AL362" s="84">
        <f>VLOOKUP($A362,lmic_raw[],38,FALSE)*(1+interactive!$C$7)</f>
        <v>1.0586443377638834E-2</v>
      </c>
      <c r="AM362" s="84">
        <f>VLOOKUP($A362,lmic_raw[],39,FALSE)*(1+interactive!$C$7)</f>
        <v>1.2456415880917818E-2</v>
      </c>
      <c r="AN362" s="84">
        <f>VLOOKUP($A362,lmic_raw[],40,FALSE)*(1+interactive!$C$7)</f>
        <v>1.5244520634669041E-2</v>
      </c>
      <c r="AO362" s="84">
        <f>VLOOKUP($A362,lmic_raw[],41,FALSE)*(1+interactive!$C$7)</f>
        <v>1.8855201286572858E-2</v>
      </c>
      <c r="AP362" s="84">
        <f>VLOOKUP($A362,lmic_raw[],42,FALSE)*(1+interactive!$C$7)</f>
        <v>2.5419131670020523E-2</v>
      </c>
      <c r="AQ362" s="84">
        <f>VLOOKUP($A362,lmic_raw[],43,FALSE)*(1+interactive!$C$7)</f>
        <v>3.6061119556713754E-2</v>
      </c>
      <c r="AR362" s="84">
        <f>VLOOKUP($A362,lmic_raw[],44,FALSE)*(1+interactive!$C$7)</f>
        <v>5.2788134031505937E-2</v>
      </c>
      <c r="AS362" s="84">
        <f>VLOOKUP($A362,lmic_raw[],45,FALSE)*(1+interactive!$C$7)</f>
        <v>7.7234598478461841E-2</v>
      </c>
      <c r="AT362" s="84">
        <f>VLOOKUP($A362,lmic_raw[],46,FALSE)*(1+interactive!$C$7)</f>
        <v>0.11373802878473264</v>
      </c>
      <c r="AU362" s="84">
        <f>VLOOKUP($A362,lmic_raw[],47,FALSE)*(1+interactive!$C$7)</f>
        <v>0.15542838559604361</v>
      </c>
      <c r="AV362" s="84">
        <f>VLOOKUP($A362,lmic_raw[],48,FALSE)*(1+interactive!$C$7)</f>
        <v>0.18706420927533504</v>
      </c>
      <c r="AW362" s="84">
        <f>VLOOKUP($A362,lmic_raw[],49,FALSE)*(1+interactive!$C$7)</f>
        <v>0.19751478927492139</v>
      </c>
      <c r="AX362" s="84">
        <f>VLOOKUP($A362,lmic_raw[],50,FALSE)*(1+interactive!$C$7)</f>
        <v>63.056700000000006</v>
      </c>
    </row>
    <row r="363" spans="1:50" x14ac:dyDescent="0.25">
      <c r="A363" s="110" t="s">
        <v>216</v>
      </c>
      <c r="B363" s="104" t="s">
        <v>477</v>
      </c>
      <c r="C363" s="105">
        <v>104</v>
      </c>
      <c r="D363" s="84" t="s">
        <v>680</v>
      </c>
      <c r="E363" s="84" t="s">
        <v>598</v>
      </c>
      <c r="F363" s="84" t="s">
        <v>666</v>
      </c>
      <c r="G363" s="84" t="s">
        <v>678</v>
      </c>
      <c r="H363" s="33">
        <f>VLOOKUP(lmic_raw_ub[[#This Row],[setting]],lmic_raw[],8,FALSE)</f>
        <v>54045422</v>
      </c>
      <c r="I363" s="33">
        <f>VLOOKUP(lmic_raw_ub[[#This Row],[setting]],lmic_raw[],9,FALSE)</f>
        <v>956549.92397800006</v>
      </c>
      <c r="J363" s="84">
        <f>MIN(VLOOKUP($A363,lmic_raw[],10,FALSE)*(1+interactive!$C$7),0.9999)</f>
        <v>0.38955000000000001</v>
      </c>
      <c r="K363" s="84">
        <f>MIN(VLOOKUP($A363,lmic_raw[],11,FALSE)*(1+interactive!$C$7),0.9999)</f>
        <v>0.17850000000000002</v>
      </c>
      <c r="L363" s="33">
        <f>MIN(VLOOKUP($A363,lmic_raw[],12,FALSE)*(1+interactive!$C$7),0.9999)</f>
        <v>0.94500000000000006</v>
      </c>
      <c r="M363" s="84">
        <f>IFERROR(VLOOKUP(lmic_raw_ub[[#This Row],[iso3]], hbv_prev[[iso3]:[ub]],4,FALSE)/100,0)</f>
        <v>0.4128</v>
      </c>
      <c r="N363" s="84">
        <f>IFERROR(VLOOKUP(lmic_raw_ub[[#This Row],[setting]],hbe_prev[],5,FALSE),0)</f>
        <v>0.47729999999999995</v>
      </c>
      <c r="O363" s="84">
        <f>VLOOKUP(lmic_raw_ub[[#This Row],[gbd_super]],hbe_risk[],4,FALSE)</f>
        <v>0.9</v>
      </c>
      <c r="P363" s="84">
        <f>VLOOKUP(lmic_raw_ub[[#This Row],[gbd_super]],hbe_risk[],7,FALSE)</f>
        <v>0.3</v>
      </c>
      <c r="Q363" s="98">
        <f>VLOOKUP(lmic_raw_ub[[#This Row],[setting]],lmic_raw[],17,FALSE)*(1+interactive!$C$7)</f>
        <v>3.2273650343455218</v>
      </c>
      <c r="R363" s="98">
        <f>VLOOKUP(lmic_raw_ub[[#This Row],[setting]],lmic_raw[],18,FALSE)*(1+interactive!$C$7)</f>
        <v>76.738725000000002</v>
      </c>
      <c r="S363" s="98">
        <f>VLOOKUP(lmic_raw_ub[[#This Row],[setting]],lmic_raw[],19,FALSE)*(1+interactive!$C$7)</f>
        <v>126.867825</v>
      </c>
      <c r="T363" s="98">
        <f>VLOOKUP(lmic_raw_ub[[#This Row],[setting]],lmic_raw[],20,FALSE)*(1+interactive!$C$7)</f>
        <v>126.867825</v>
      </c>
      <c r="U363" s="98">
        <f>VLOOKUP(lmic_raw_ub[[#This Row],[setting]],lmic_raw[],21,FALSE)*(1+interactive!$C$7)</f>
        <v>126.867825</v>
      </c>
      <c r="V363" s="33">
        <f>IFERROR(VLOOKUP(lmic_raw_ub[[#This Row],[setting]],vcost_ub[],3,FALSE),0)</f>
        <v>4.8350289363833516</v>
      </c>
      <c r="W363" s="33">
        <f>IFERROR(VLOOKUP(lmic_raw_ub[[#This Row],[setting]],vcost_ub[],4,FALSE),0)</f>
        <v>5.4988389363833514</v>
      </c>
      <c r="X363" s="33">
        <f>IFERROR(VLOOKUP(lmic_raw_ub[[#This Row],[setting]],vcost_ub[],5,FALSE),0)</f>
        <v>4.3355290661690367</v>
      </c>
      <c r="Y363" s="33">
        <f>IFERROR(VLOOKUP(lmic_raw_ub[[#This Row],[setting]],vcost_ub[],6,FALSE),0)</f>
        <v>4.9993390661690364</v>
      </c>
      <c r="Z363" s="33">
        <f>IFERROR(VLOOKUP(lmic_raw_ub[[#This Row],[setting]],vcost_ub[],7,FALSE),0)</f>
        <v>4.9899382455067443</v>
      </c>
      <c r="AA363" s="33">
        <f>IFERROR(VLOOKUP(lmic_raw_ub[[#This Row],[setting]],vcost_ub[],8,FALSE),0)</f>
        <v>5.1044867873088329</v>
      </c>
      <c r="AB363" s="33">
        <f>IFERROR(VLOOKUP(lmic_raw_ub[[#This Row],[setting]],vcost_ub[],9,FALSE),0)</f>
        <v>5.7682967873088327</v>
      </c>
      <c r="AC363" s="84">
        <f>VLOOKUP($A363,lmic_raw[],29,FALSE)*(1+interactive!$C$7)</f>
        <v>4.0341514499999988E-2</v>
      </c>
      <c r="AD363" s="84">
        <f>VLOOKUP($A363,lmic_raw[],30,FALSE)*(1+interactive!$C$7)</f>
        <v>2.6377144049169513E-3</v>
      </c>
      <c r="AE363" s="84">
        <f>VLOOKUP($A363,lmic_raw[],31,FALSE)*(1+interactive!$C$7)</f>
        <v>1.1265892323359299E-3</v>
      </c>
      <c r="AF363" s="84">
        <f>VLOOKUP($A363,lmic_raw[],32,FALSE)*(1+interactive!$C$7)</f>
        <v>9.1468103676684302E-4</v>
      </c>
      <c r="AG363" s="84">
        <f>VLOOKUP($A363,lmic_raw[],33,FALSE)*(1+interactive!$C$7)</f>
        <v>1.4825072850576521E-3</v>
      </c>
      <c r="AH363" s="84">
        <f>VLOOKUP($A363,lmic_raw[],34,FALSE)*(1+interactive!$C$7)</f>
        <v>2.0950093473352006E-3</v>
      </c>
      <c r="AI363" s="84">
        <f>VLOOKUP($A363,lmic_raw[],35,FALSE)*(1+interactive!$C$7)</f>
        <v>2.269822227396657E-3</v>
      </c>
      <c r="AJ363" s="84">
        <f>VLOOKUP($A363,lmic_raw[],36,FALSE)*(1+interactive!$C$7)</f>
        <v>2.6126948652408903E-3</v>
      </c>
      <c r="AK363" s="84">
        <f>VLOOKUP($A363,lmic_raw[],37,FALSE)*(1+interactive!$C$7)</f>
        <v>3.302816623148061E-3</v>
      </c>
      <c r="AL363" s="84">
        <f>VLOOKUP($A363,lmic_raw[],38,FALSE)*(1+interactive!$C$7)</f>
        <v>4.4582476763413252E-3</v>
      </c>
      <c r="AM363" s="84">
        <f>VLOOKUP($A363,lmic_raw[],39,FALSE)*(1+interactive!$C$7)</f>
        <v>6.3728540691578876E-3</v>
      </c>
      <c r="AN363" s="84">
        <f>VLOOKUP($A363,lmic_raw[],40,FALSE)*(1+interactive!$C$7)</f>
        <v>9.3416298435973766E-3</v>
      </c>
      <c r="AO363" s="84">
        <f>VLOOKUP($A363,lmic_raw[],41,FALSE)*(1+interactive!$C$7)</f>
        <v>1.3838927074850804E-2</v>
      </c>
      <c r="AP363" s="84">
        <f>VLOOKUP($A363,lmic_raw[],42,FALSE)*(1+interactive!$C$7)</f>
        <v>2.0905797472031876E-2</v>
      </c>
      <c r="AQ363" s="84">
        <f>VLOOKUP($A363,lmic_raw[],43,FALSE)*(1+interactive!$C$7)</f>
        <v>3.2041535834872854E-2</v>
      </c>
      <c r="AR363" s="84">
        <f>VLOOKUP($A363,lmic_raw[],44,FALSE)*(1+interactive!$C$7)</f>
        <v>4.9539295353899504E-2</v>
      </c>
      <c r="AS363" s="84">
        <f>VLOOKUP($A363,lmic_raw[],45,FALSE)*(1+interactive!$C$7)</f>
        <v>7.447112292514621E-2</v>
      </c>
      <c r="AT363" s="84">
        <f>VLOOKUP($A363,lmic_raw[],46,FALSE)*(1+interactive!$C$7)</f>
        <v>0.10725043428833224</v>
      </c>
      <c r="AU363" s="84">
        <f>VLOOKUP($A363,lmic_raw[],47,FALSE)*(1+interactive!$C$7)</f>
        <v>0.14196940961282431</v>
      </c>
      <c r="AV363" s="84">
        <f>VLOOKUP($A363,lmic_raw[],48,FALSE)*(1+interactive!$C$7)</f>
        <v>0.1701976283241653</v>
      </c>
      <c r="AW363" s="84">
        <f>VLOOKUP($A363,lmic_raw[],49,FALSE)*(1+interactive!$C$7)</f>
        <v>0.18847363153112434</v>
      </c>
      <c r="AX363" s="84">
        <f>VLOOKUP($A363,lmic_raw[],50,FALSE)*(1+interactive!$C$7)</f>
        <v>70.096950000000007</v>
      </c>
    </row>
    <row r="364" spans="1:50" x14ac:dyDescent="0.25">
      <c r="A364" s="109" t="s">
        <v>135</v>
      </c>
      <c r="B364" s="101" t="s">
        <v>478</v>
      </c>
      <c r="C364" s="102">
        <v>516</v>
      </c>
      <c r="D364" s="82" t="s">
        <v>677</v>
      </c>
      <c r="E364" s="82" t="s">
        <v>594</v>
      </c>
      <c r="F364" s="82" t="s">
        <v>667</v>
      </c>
      <c r="G364" s="82" t="s">
        <v>676</v>
      </c>
      <c r="H364" s="33">
        <f>VLOOKUP(lmic_raw_ub[[#This Row],[setting]],lmic_raw[],8,FALSE)</f>
        <v>2494524</v>
      </c>
      <c r="I364" s="33">
        <f>VLOOKUP(lmic_raw_ub[[#This Row],[setting]],lmic_raw[],9,FALSE)</f>
        <v>71929.599539999996</v>
      </c>
      <c r="J364" s="84">
        <f>MIN(VLOOKUP($A364,lmic_raw[],10,FALSE)*(1+interactive!$C$7),0.9999)</f>
        <v>0.91770000000000018</v>
      </c>
      <c r="K364" s="84">
        <f>MIN(VLOOKUP($A364,lmic_raw[],11,FALSE)*(1+interactive!$C$7),0.9999)</f>
        <v>0.85050000000000014</v>
      </c>
      <c r="L364" s="33">
        <f>MIN(VLOOKUP($A364,lmic_raw[],12,FALSE)*(1+interactive!$C$7),0.9999)</f>
        <v>0.91349999999999998</v>
      </c>
      <c r="M364" s="84">
        <f>IFERROR(VLOOKUP(lmic_raw_ub[[#This Row],[iso3]], hbv_prev[[iso3]:[ub]],4,FALSE)/100,0)</f>
        <v>2.7699999999999999E-2</v>
      </c>
      <c r="N364" s="84">
        <f>IFERROR(VLOOKUP(lmic_raw_ub[[#This Row],[setting]],hbe_prev[],5,FALSE),0)</f>
        <v>0.3679</v>
      </c>
      <c r="O364" s="84">
        <f>VLOOKUP(lmic_raw_ub[[#This Row],[gbd_super]],hbe_risk[],4,FALSE)</f>
        <v>0.74399999999999999</v>
      </c>
      <c r="P364" s="84">
        <f>VLOOKUP(lmic_raw_ub[[#This Row],[gbd_super]],hbe_risk[],7,FALSE)</f>
        <v>0.13300000000000001</v>
      </c>
      <c r="Q364" s="98">
        <f>VLOOKUP(lmic_raw_ub[[#This Row],[setting]],lmic_raw[],17,FALSE)*(1+interactive!$C$7)</f>
        <v>9.5832413938044674</v>
      </c>
      <c r="R364" s="98">
        <f>VLOOKUP(lmic_raw_ub[[#This Row],[setting]],lmic_raw[],18,FALSE)*(1+interactive!$C$7)</f>
        <v>31.416525000000004</v>
      </c>
      <c r="S364" s="98">
        <f>VLOOKUP(lmic_raw_ub[[#This Row],[setting]],lmic_raw[],19,FALSE)*(1+interactive!$C$7)</f>
        <v>81.545625000000015</v>
      </c>
      <c r="T364" s="98">
        <f>VLOOKUP(lmic_raw_ub[[#This Row],[setting]],lmic_raw[],20,FALSE)*(1+interactive!$C$7)</f>
        <v>81.545625000000015</v>
      </c>
      <c r="U364" s="98">
        <f>VLOOKUP(lmic_raw_ub[[#This Row],[setting]],lmic_raw[],21,FALSE)*(1+interactive!$C$7)</f>
        <v>81.545625000000015</v>
      </c>
      <c r="V364" s="33">
        <f>IFERROR(VLOOKUP(lmic_raw_ub[[#This Row],[setting]],vcost_ub[],3,FALSE),0)</f>
        <v>1.3296821977950719</v>
      </c>
      <c r="W364" s="33">
        <f>IFERROR(VLOOKUP(lmic_raw_ub[[#This Row],[setting]],vcost_ub[],4,FALSE),0)</f>
        <v>6.3998171977950724</v>
      </c>
      <c r="X364" s="33">
        <f>IFERROR(VLOOKUP(lmic_raw_ub[[#This Row],[setting]],vcost_ub[],5,FALSE),0)</f>
        <v>0.8178099264509765</v>
      </c>
      <c r="Y364" s="33">
        <f>IFERROR(VLOOKUP(lmic_raw_ub[[#This Row],[setting]],vcost_ub[],6,FALSE),0)</f>
        <v>5.8879449264509773</v>
      </c>
      <c r="Z364" s="33">
        <f>IFERROR(VLOOKUP(lmic_raw_ub[[#This Row],[setting]],vcost_ub[],7,FALSE),0)</f>
        <v>5.8728260360769857</v>
      </c>
      <c r="AA364" s="33">
        <f>IFERROR(VLOOKUP(lmic_raw_ub[[#This Row],[setting]],vcost_ub[],8,FALSE),0)</f>
        <v>1.6019485078727131</v>
      </c>
      <c r="AB364" s="33">
        <f>IFERROR(VLOOKUP(lmic_raw_ub[[#This Row],[setting]],vcost_ub[],9,FALSE),0)</f>
        <v>6.6720835078727134</v>
      </c>
      <c r="AC364" s="84">
        <f>VLOOKUP($A364,lmic_raw[],29,FALSE)*(1+interactive!$C$7)</f>
        <v>3.5063594999999996E-2</v>
      </c>
      <c r="AD364" s="84">
        <f>VLOOKUP($A364,lmic_raw[],30,FALSE)*(1+interactive!$C$7)</f>
        <v>3.0334173868756032E-3</v>
      </c>
      <c r="AE364" s="84">
        <f>VLOOKUP($A364,lmic_raw[],31,FALSE)*(1+interactive!$C$7)</f>
        <v>1.2859870736308182E-3</v>
      </c>
      <c r="AF364" s="84">
        <f>VLOOKUP($A364,lmic_raw[],32,FALSE)*(1+interactive!$C$7)</f>
        <v>1.0378729863828001E-3</v>
      </c>
      <c r="AG364" s="84">
        <f>VLOOKUP($A364,lmic_raw[],33,FALSE)*(1+interactive!$C$7)</f>
        <v>1.7484861606114504E-3</v>
      </c>
      <c r="AH364" s="84">
        <f>VLOOKUP($A364,lmic_raw[],34,FALSE)*(1+interactive!$C$7)</f>
        <v>2.8581204497139944E-3</v>
      </c>
      <c r="AI364" s="84">
        <f>VLOOKUP($A364,lmic_raw[],35,FALSE)*(1+interactive!$C$7)</f>
        <v>4.1181473126917154E-3</v>
      </c>
      <c r="AJ364" s="84">
        <f>VLOOKUP($A364,lmic_raw[],36,FALSE)*(1+interactive!$C$7)</f>
        <v>5.4818669484547411E-3</v>
      </c>
      <c r="AK364" s="84">
        <f>VLOOKUP($A364,lmic_raw[],37,FALSE)*(1+interactive!$C$7)</f>
        <v>7.3995178474823044E-3</v>
      </c>
      <c r="AL364" s="84">
        <f>VLOOKUP($A364,lmic_raw[],38,FALSE)*(1+interactive!$C$7)</f>
        <v>9.05644370152448E-3</v>
      </c>
      <c r="AM364" s="84">
        <f>VLOOKUP($A364,lmic_raw[],39,FALSE)*(1+interactive!$C$7)</f>
        <v>1.104367651531169E-2</v>
      </c>
      <c r="AN364" s="84">
        <f>VLOOKUP($A364,lmic_raw[],40,FALSE)*(1+interactive!$C$7)</f>
        <v>1.4132079118231156E-2</v>
      </c>
      <c r="AO364" s="84">
        <f>VLOOKUP($A364,lmic_raw[],41,FALSE)*(1+interactive!$C$7)</f>
        <v>1.7675767792643932E-2</v>
      </c>
      <c r="AP364" s="84">
        <f>VLOOKUP($A364,lmic_raw[],42,FALSE)*(1+interactive!$C$7)</f>
        <v>2.4221330538052616E-2</v>
      </c>
      <c r="AQ364" s="84">
        <f>VLOOKUP($A364,lmic_raw[],43,FALSE)*(1+interactive!$C$7)</f>
        <v>3.5119396206886519E-2</v>
      </c>
      <c r="AR364" s="84">
        <f>VLOOKUP($A364,lmic_raw[],44,FALSE)*(1+interactive!$C$7)</f>
        <v>5.2231716644249304E-2</v>
      </c>
      <c r="AS364" s="84">
        <f>VLOOKUP($A364,lmic_raw[],45,FALSE)*(1+interactive!$C$7)</f>
        <v>7.6872980347654635E-2</v>
      </c>
      <c r="AT364" s="84">
        <f>VLOOKUP($A364,lmic_raw[],46,FALSE)*(1+interactive!$C$7)</f>
        <v>0.11270807945629688</v>
      </c>
      <c r="AU364" s="84">
        <f>VLOOKUP($A364,lmic_raw[],47,FALSE)*(1+interactive!$C$7)</f>
        <v>0.15417833623609989</v>
      </c>
      <c r="AV364" s="84">
        <f>VLOOKUP($A364,lmic_raw[],48,FALSE)*(1+interactive!$C$7)</f>
        <v>0.18691676159931661</v>
      </c>
      <c r="AW364" s="84">
        <f>VLOOKUP($A364,lmic_raw[],49,FALSE)*(1+interactive!$C$7)</f>
        <v>0.19796159125186441</v>
      </c>
      <c r="AX364" s="84">
        <f>VLOOKUP($A364,lmic_raw[],50,FALSE)*(1+interactive!$C$7)</f>
        <v>66.175200000000004</v>
      </c>
    </row>
    <row r="365" spans="1:50" x14ac:dyDescent="0.25">
      <c r="A365" s="110" t="s">
        <v>291</v>
      </c>
      <c r="B365" s="104" t="s">
        <v>479</v>
      </c>
      <c r="C365" s="105">
        <v>520</v>
      </c>
      <c r="D365" s="84" t="s">
        <v>681</v>
      </c>
      <c r="E365" s="84" t="s">
        <v>98</v>
      </c>
      <c r="F365" s="84" t="s">
        <v>666</v>
      </c>
      <c r="G365" s="84" t="s">
        <v>676</v>
      </c>
      <c r="H365" s="33">
        <f>VLOOKUP(lmic_raw_ub[[#This Row],[setting]],lmic_raw[],8,FALSE)</f>
        <v>10764</v>
      </c>
      <c r="I365" s="33">
        <f>VLOOKUP(lmic_raw_ub[[#This Row],[setting]],lmic_raw[],9,FALSE)</f>
        <v>231.31835999999996</v>
      </c>
      <c r="J365" s="84">
        <f>MIN(VLOOKUP($A365,lmic_raw[],10,FALSE)*(1+interactive!$C$7),0.9999)</f>
        <v>0.99990000000000001</v>
      </c>
      <c r="K365" s="84">
        <f>MIN(VLOOKUP($A365,lmic_raw[],11,FALSE)*(1+interactive!$C$7),0.9999)</f>
        <v>0.99990000000000001</v>
      </c>
      <c r="L365" s="33">
        <f>MIN(VLOOKUP($A365,lmic_raw[],12,FALSE)*(1+interactive!$C$7),0.9999)</f>
        <v>0.99990000000000001</v>
      </c>
      <c r="M365" s="84">
        <f>IFERROR(VLOOKUP(lmic_raw_ub[[#This Row],[iso3]], hbv_prev[[iso3]:[ub]],4,FALSE)/100,0)</f>
        <v>0.1464</v>
      </c>
      <c r="N365" s="84">
        <f>IFERROR(VLOOKUP(lmic_raw_ub[[#This Row],[setting]],hbe_prev[],5,FALSE),0)</f>
        <v>0</v>
      </c>
      <c r="O365" s="84">
        <f>VLOOKUP(lmic_raw_ub[[#This Row],[gbd_super]],hbe_risk[],4,FALSE)</f>
        <v>0.9</v>
      </c>
      <c r="P365" s="84">
        <f>VLOOKUP(lmic_raw_ub[[#This Row],[gbd_super]],hbe_risk[],7,FALSE)</f>
        <v>0.3</v>
      </c>
      <c r="Q365" s="98">
        <f>VLOOKUP(lmic_raw_ub[[#This Row],[setting]],lmic_raw[],17,FALSE)*(1+interactive!$C$7)</f>
        <v>6.3803782087437835</v>
      </c>
      <c r="R365" s="98">
        <f>VLOOKUP(lmic_raw_ub[[#This Row],[setting]],lmic_raw[],18,FALSE)*(1+interactive!$C$7)</f>
        <v>76.738725000000002</v>
      </c>
      <c r="S365" s="98">
        <f>VLOOKUP(lmic_raw_ub[[#This Row],[setting]],lmic_raw[],19,FALSE)*(1+interactive!$C$7)</f>
        <v>126.867825</v>
      </c>
      <c r="T365" s="98">
        <f>VLOOKUP(lmic_raw_ub[[#This Row],[setting]],lmic_raw[],20,FALSE)*(1+interactive!$C$7)</f>
        <v>126.867825</v>
      </c>
      <c r="U365" s="98">
        <f>VLOOKUP(lmic_raw_ub[[#This Row],[setting]],lmic_raw[],21,FALSE)*(1+interactive!$C$7)</f>
        <v>126.867825</v>
      </c>
      <c r="V365" s="33">
        <f>IFERROR(VLOOKUP(lmic_raw_ub[[#This Row],[setting]],vcost_ub[],3,FALSE),0)</f>
        <v>0.60308025393517106</v>
      </c>
      <c r="W365" s="33">
        <f>IFERROR(VLOOKUP(lmic_raw_ub[[#This Row],[setting]],vcost_ub[],4,FALSE),0)</f>
        <v>1.2668902539351712</v>
      </c>
      <c r="X365" s="33">
        <f>IFERROR(VLOOKUP(lmic_raw_ub[[#This Row],[setting]],vcost_ub[],5,FALSE),0)</f>
        <v>6.5973042781609523E-2</v>
      </c>
      <c r="Y365" s="33">
        <f>IFERROR(VLOOKUP(lmic_raw_ub[[#This Row],[setting]],vcost_ub[],6,FALSE),0)</f>
        <v>0.72978304278160955</v>
      </c>
      <c r="Z365" s="33">
        <f>IFERROR(VLOOKUP(lmic_raw_ub[[#This Row],[setting]],vcost_ub[],7,FALSE),0)</f>
        <v>0.70151393999028999</v>
      </c>
      <c r="AA365" s="33">
        <f>IFERROR(VLOOKUP(lmic_raw_ub[[#This Row],[setting]],vcost_ub[],8,FALSE),0)</f>
        <v>0.88107474053397927</v>
      </c>
      <c r="AB365" s="33">
        <f>IFERROR(VLOOKUP(lmic_raw_ub[[#This Row],[setting]],vcost_ub[],9,FALSE),0)</f>
        <v>1.5448847405339792</v>
      </c>
      <c r="AC365" s="84">
        <f>VLOOKUP($A365,lmic_raw[],29,FALSE)*(1+interactive!$C$7)</f>
        <v>0</v>
      </c>
      <c r="AD365" s="84">
        <f>VLOOKUP($A365,lmic_raw[],30,FALSE)*(1+interactive!$C$7)</f>
        <v>0</v>
      </c>
      <c r="AE365" s="84">
        <f>VLOOKUP($A365,lmic_raw[],31,FALSE)*(1+interactive!$C$7)</f>
        <v>0</v>
      </c>
      <c r="AF365" s="84">
        <f>VLOOKUP($A365,lmic_raw[],32,FALSE)*(1+interactive!$C$7)</f>
        <v>0</v>
      </c>
      <c r="AG365" s="84">
        <f>VLOOKUP($A365,lmic_raw[],33,FALSE)*(1+interactive!$C$7)</f>
        <v>0</v>
      </c>
      <c r="AH365" s="84">
        <f>VLOOKUP($A365,lmic_raw[],34,FALSE)*(1+interactive!$C$7)</f>
        <v>0</v>
      </c>
      <c r="AI365" s="84">
        <f>VLOOKUP($A365,lmic_raw[],35,FALSE)*(1+interactive!$C$7)</f>
        <v>0</v>
      </c>
      <c r="AJ365" s="84">
        <f>VLOOKUP($A365,lmic_raw[],36,FALSE)*(1+interactive!$C$7)</f>
        <v>0</v>
      </c>
      <c r="AK365" s="84">
        <f>VLOOKUP($A365,lmic_raw[],37,FALSE)*(1+interactive!$C$7)</f>
        <v>0</v>
      </c>
      <c r="AL365" s="84">
        <f>VLOOKUP($A365,lmic_raw[],38,FALSE)*(1+interactive!$C$7)</f>
        <v>0</v>
      </c>
      <c r="AM365" s="84">
        <f>VLOOKUP($A365,lmic_raw[],39,FALSE)*(1+interactive!$C$7)</f>
        <v>0</v>
      </c>
      <c r="AN365" s="84">
        <f>VLOOKUP($A365,lmic_raw[],40,FALSE)*(1+interactive!$C$7)</f>
        <v>0</v>
      </c>
      <c r="AO365" s="84">
        <f>VLOOKUP($A365,lmic_raw[],41,FALSE)*(1+interactive!$C$7)</f>
        <v>0</v>
      </c>
      <c r="AP365" s="84">
        <f>VLOOKUP($A365,lmic_raw[],42,FALSE)*(1+interactive!$C$7)</f>
        <v>0</v>
      </c>
      <c r="AQ365" s="84">
        <f>VLOOKUP($A365,lmic_raw[],43,FALSE)*(1+interactive!$C$7)</f>
        <v>0</v>
      </c>
      <c r="AR365" s="84">
        <f>VLOOKUP($A365,lmic_raw[],44,FALSE)*(1+interactive!$C$7)</f>
        <v>0</v>
      </c>
      <c r="AS365" s="84">
        <f>VLOOKUP($A365,lmic_raw[],45,FALSE)*(1+interactive!$C$7)</f>
        <v>0</v>
      </c>
      <c r="AT365" s="84">
        <f>VLOOKUP($A365,lmic_raw[],46,FALSE)*(1+interactive!$C$7)</f>
        <v>0</v>
      </c>
      <c r="AU365" s="84">
        <f>VLOOKUP($A365,lmic_raw[],47,FALSE)*(1+interactive!$C$7)</f>
        <v>0</v>
      </c>
      <c r="AV365" s="84">
        <f>VLOOKUP($A365,lmic_raw[],48,FALSE)*(1+interactive!$C$7)</f>
        <v>0</v>
      </c>
      <c r="AW365" s="84">
        <f>VLOOKUP($A365,lmic_raw[],49,FALSE)*(1+interactive!$C$7)</f>
        <v>0</v>
      </c>
      <c r="AX365" s="84">
        <f>VLOOKUP($A365,lmic_raw[],50,FALSE)*(1+interactive!$C$7)</f>
        <v>0</v>
      </c>
    </row>
    <row r="366" spans="1:50" x14ac:dyDescent="0.25">
      <c r="A366" s="109" t="s">
        <v>197</v>
      </c>
      <c r="B366" s="101" t="s">
        <v>480</v>
      </c>
      <c r="C366" s="102">
        <v>524</v>
      </c>
      <c r="D366" s="82" t="s">
        <v>680</v>
      </c>
      <c r="E366" s="82" t="s">
        <v>589</v>
      </c>
      <c r="F366" s="82" t="s">
        <v>589</v>
      </c>
      <c r="G366" s="82" t="s">
        <v>674</v>
      </c>
      <c r="H366" s="33">
        <f>VLOOKUP(lmic_raw_ub[[#This Row],[setting]],lmic_raw[],8,FALSE)</f>
        <v>28608715</v>
      </c>
      <c r="I366" s="33">
        <f>VLOOKUP(lmic_raw_ub[[#This Row],[setting]],lmic_raw[],9,FALSE)</f>
        <v>572717.8655849999</v>
      </c>
      <c r="J366" s="84">
        <f>MIN(VLOOKUP($A366,lmic_raw[],10,FALSE)*(1+interactive!$C$7),0.9999)</f>
        <v>0.60270000000000001</v>
      </c>
      <c r="K366" s="84">
        <f>MIN(VLOOKUP($A366,lmic_raw[],11,FALSE)*(1+interactive!$C$7),0.9999)</f>
        <v>0</v>
      </c>
      <c r="L366" s="33">
        <f>MIN(VLOOKUP($A366,lmic_raw[],12,FALSE)*(1+interactive!$C$7),0.9999)</f>
        <v>0.97650000000000015</v>
      </c>
      <c r="M366" s="84">
        <f>IFERROR(VLOOKUP(lmic_raw_ub[[#This Row],[iso3]], hbv_prev[[iso3]:[ub]],4,FALSE)/100,0)</f>
        <v>1.1299999999999999E-2</v>
      </c>
      <c r="N366" s="84">
        <f>IFERROR(VLOOKUP(lmic_raw_ub[[#This Row],[setting]],hbe_prev[],5,FALSE),0)</f>
        <v>0.35830000000000001</v>
      </c>
      <c r="O366" s="84">
        <f>VLOOKUP(lmic_raw_ub[[#This Row],[gbd_super]],hbe_risk[],4,FALSE)</f>
        <v>0.9</v>
      </c>
      <c r="P366" s="84">
        <f>VLOOKUP(lmic_raw_ub[[#This Row],[gbd_super]],hbe_risk[],7,FALSE)</f>
        <v>0.3</v>
      </c>
      <c r="Q366" s="98">
        <f>VLOOKUP(lmic_raw_ub[[#This Row],[setting]],lmic_raw[],17,FALSE)*(1+interactive!$C$7)</f>
        <v>2.8410274517117426</v>
      </c>
      <c r="R366" s="98">
        <f>VLOOKUP(lmic_raw_ub[[#This Row],[setting]],lmic_raw[],18,FALSE)*(1+interactive!$C$7)</f>
        <v>48.194895000000002</v>
      </c>
      <c r="S366" s="98">
        <f>VLOOKUP(lmic_raw_ub[[#This Row],[setting]],lmic_raw[],19,FALSE)*(1+interactive!$C$7)</f>
        <v>98.323995000000011</v>
      </c>
      <c r="T366" s="98">
        <f>VLOOKUP(lmic_raw_ub[[#This Row],[setting]],lmic_raw[],20,FALSE)*(1+interactive!$C$7)</f>
        <v>98.323995000000011</v>
      </c>
      <c r="U366" s="98">
        <f>VLOOKUP(lmic_raw_ub[[#This Row],[setting]],lmic_raw[],21,FALSE)*(1+interactive!$C$7)</f>
        <v>98.323995000000011</v>
      </c>
      <c r="V366" s="33">
        <f>IFERROR(VLOOKUP(lmic_raw_ub[[#This Row],[setting]],vcost_ub[],3,FALSE),0)</f>
        <v>4.9523695144787085</v>
      </c>
      <c r="W366" s="33">
        <f>IFERROR(VLOOKUP(lmic_raw_ub[[#This Row],[setting]],vcost_ub[],4,FALSE),0)</f>
        <v>7.5248695144787092</v>
      </c>
      <c r="X366" s="33">
        <f>IFERROR(VLOOKUP(lmic_raw_ub[[#This Row],[setting]],vcost_ub[],5,FALSE),0)</f>
        <v>4.4510552799956802</v>
      </c>
      <c r="Y366" s="33">
        <f>IFERROR(VLOOKUP(lmic_raw_ub[[#This Row],[setting]],vcost_ub[],6,FALSE),0)</f>
        <v>7.02355527999568</v>
      </c>
      <c r="Z366" s="33">
        <f>IFERROR(VLOOKUP(lmic_raw_ub[[#This Row],[setting]],vcost_ub[],7,FALSE),0)</f>
        <v>7.0137311352285501</v>
      </c>
      <c r="AA366" s="33">
        <f>IFERROR(VLOOKUP(lmic_raw_ub[[#This Row],[setting]],vcost_ub[],8,FALSE),0)</f>
        <v>5.2222392149621202</v>
      </c>
      <c r="AB366" s="33">
        <f>IFERROR(VLOOKUP(lmic_raw_ub[[#This Row],[setting]],vcost_ub[],9,FALSE),0)</f>
        <v>7.7947392149621209</v>
      </c>
      <c r="AC366" s="84">
        <f>VLOOKUP($A366,lmic_raw[],29,FALSE)*(1+interactive!$C$7)</f>
        <v>2.9339709000000016E-2</v>
      </c>
      <c r="AD366" s="84">
        <f>VLOOKUP($A366,lmic_raw[],30,FALSE)*(1+interactive!$C$7)</f>
        <v>1.5374030065014206E-3</v>
      </c>
      <c r="AE366" s="84">
        <f>VLOOKUP($A366,lmic_raw[],31,FALSE)*(1+interactive!$C$7)</f>
        <v>6.2720911772092577E-4</v>
      </c>
      <c r="AF366" s="84">
        <f>VLOOKUP($A366,lmic_raw[],32,FALSE)*(1+interactive!$C$7)</f>
        <v>5.139635511156621E-4</v>
      </c>
      <c r="AG366" s="84">
        <f>VLOOKUP($A366,lmic_raw[],33,FALSE)*(1+interactive!$C$7)</f>
        <v>9.0244372089275137E-4</v>
      </c>
      <c r="AH366" s="84">
        <f>VLOOKUP($A366,lmic_raw[],34,FALSE)*(1+interactive!$C$7)</f>
        <v>1.246643171882742E-3</v>
      </c>
      <c r="AI366" s="84">
        <f>VLOOKUP($A366,lmic_raw[],35,FALSE)*(1+interactive!$C$7)</f>
        <v>1.3546013693873159E-3</v>
      </c>
      <c r="AJ366" s="84">
        <f>VLOOKUP($A366,lmic_raw[],36,FALSE)*(1+interactive!$C$7)</f>
        <v>1.5947804222987013E-3</v>
      </c>
      <c r="AK366" s="84">
        <f>VLOOKUP($A366,lmic_raw[],37,FALSE)*(1+interactive!$C$7)</f>
        <v>2.0831384894257924E-3</v>
      </c>
      <c r="AL366" s="84">
        <f>VLOOKUP($A366,lmic_raw[],38,FALSE)*(1+interactive!$C$7)</f>
        <v>2.9927669066678428E-3</v>
      </c>
      <c r="AM366" s="84">
        <f>VLOOKUP($A366,lmic_raw[],39,FALSE)*(1+interactive!$C$7)</f>
        <v>4.6771041527894569E-3</v>
      </c>
      <c r="AN366" s="84">
        <f>VLOOKUP($A366,lmic_raw[],40,FALSE)*(1+interactive!$C$7)</f>
        <v>7.2998278283100734E-3</v>
      </c>
      <c r="AO366" s="84">
        <f>VLOOKUP($A366,lmic_raw[],41,FALSE)*(1+interactive!$C$7)</f>
        <v>1.1499188514311542E-2</v>
      </c>
      <c r="AP366" s="84">
        <f>VLOOKUP($A366,lmic_raw[],42,FALSE)*(1+interactive!$C$7)</f>
        <v>1.8039945310322155E-2</v>
      </c>
      <c r="AQ366" s="84">
        <f>VLOOKUP($A366,lmic_raw[],43,FALSE)*(1+interactive!$C$7)</f>
        <v>2.8624227778338548E-2</v>
      </c>
      <c r="AR366" s="84">
        <f>VLOOKUP($A366,lmic_raw[],44,FALSE)*(1+interactive!$C$7)</f>
        <v>4.5369785796160425E-2</v>
      </c>
      <c r="AS366" s="84">
        <f>VLOOKUP($A366,lmic_raw[],45,FALSE)*(1+interactive!$C$7)</f>
        <v>7.0111660239106532E-2</v>
      </c>
      <c r="AT366" s="84">
        <f>VLOOKUP($A366,lmic_raw[],46,FALSE)*(1+interactive!$C$7)</f>
        <v>0.10356877343514813</v>
      </c>
      <c r="AU366" s="84">
        <f>VLOOKUP($A366,lmic_raw[],47,FALSE)*(1+interactive!$C$7)</f>
        <v>0.13965928287635196</v>
      </c>
      <c r="AV366" s="84">
        <f>VLOOKUP($A366,lmic_raw[],48,FALSE)*(1+interactive!$C$7)</f>
        <v>0.16925634841930245</v>
      </c>
      <c r="AW366" s="84">
        <f>VLOOKUP($A366,lmic_raw[],49,FALSE)*(1+interactive!$C$7)</f>
        <v>0.18832893788226795</v>
      </c>
      <c r="AX366" s="84">
        <f>VLOOKUP($A366,lmic_raw[],50,FALSE)*(1+interactive!$C$7)</f>
        <v>73.821299999999994</v>
      </c>
    </row>
    <row r="367" spans="1:50" x14ac:dyDescent="0.25">
      <c r="A367" s="110" t="s">
        <v>259</v>
      </c>
      <c r="B367" s="104" t="s">
        <v>482</v>
      </c>
      <c r="C367" s="105">
        <v>558</v>
      </c>
      <c r="D367" s="84" t="s">
        <v>679</v>
      </c>
      <c r="E367" s="84" t="s">
        <v>604</v>
      </c>
      <c r="F367" s="84" t="s">
        <v>665</v>
      </c>
      <c r="G367" s="84" t="s">
        <v>678</v>
      </c>
      <c r="H367" s="33">
        <f>VLOOKUP(lmic_raw_ub[[#This Row],[setting]],lmic_raw[],8,FALSE)</f>
        <v>6545503</v>
      </c>
      <c r="I367" s="33">
        <f>VLOOKUP(lmic_raw_ub[[#This Row],[setting]],lmic_raw[],9,FALSE)</f>
        <v>136585.01110100001</v>
      </c>
      <c r="J367" s="84">
        <f>MIN(VLOOKUP($A367,lmic_raw[],10,FALSE)*(1+interactive!$C$7),0.9999)</f>
        <v>0.74549999999999994</v>
      </c>
      <c r="K367" s="84">
        <f>MIN(VLOOKUP($A367,lmic_raw[],11,FALSE)*(1+interactive!$C$7),0.9999)</f>
        <v>0</v>
      </c>
      <c r="L367" s="33">
        <f>MIN(VLOOKUP($A367,lmic_raw[],12,FALSE)*(1+interactive!$C$7),0.9999)</f>
        <v>0.99990000000000001</v>
      </c>
      <c r="M367" s="84">
        <f>IFERROR(VLOOKUP(lmic_raw_ub[[#This Row],[iso3]], hbv_prev[[iso3]:[ub]],4,FALSE)/100,0)</f>
        <v>7.7000000000000002E-3</v>
      </c>
      <c r="N367" s="84">
        <f>IFERROR(VLOOKUP(lmic_raw_ub[[#This Row],[setting]],hbe_prev[],5,FALSE),0)</f>
        <v>0.42950000000000005</v>
      </c>
      <c r="O367" s="84">
        <f>VLOOKUP(lmic_raw_ub[[#This Row],[gbd_super]],hbe_risk[],4,FALSE)</f>
        <v>0.9</v>
      </c>
      <c r="P367" s="84">
        <f>VLOOKUP(lmic_raw_ub[[#This Row],[gbd_super]],hbe_risk[],7,FALSE)</f>
        <v>0.3</v>
      </c>
      <c r="Q367" s="98">
        <f>VLOOKUP(lmic_raw_ub[[#This Row],[setting]],lmic_raw[],17,FALSE)*(1+interactive!$C$7)</f>
        <v>0</v>
      </c>
      <c r="R367" s="98">
        <f>VLOOKUP(lmic_raw_ub[[#This Row],[setting]],lmic_raw[],18,FALSE)*(1+interactive!$C$7)</f>
        <v>91.228094999999996</v>
      </c>
      <c r="S367" s="98">
        <f>VLOOKUP(lmic_raw_ub[[#This Row],[setting]],lmic_raw[],19,FALSE)*(1+interactive!$C$7)</f>
        <v>141.35719500000002</v>
      </c>
      <c r="T367" s="98">
        <f>VLOOKUP(lmic_raw_ub[[#This Row],[setting]],lmic_raw[],20,FALSE)*(1+interactive!$C$7)</f>
        <v>141.35719500000002</v>
      </c>
      <c r="U367" s="98">
        <f>VLOOKUP(lmic_raw_ub[[#This Row],[setting]],lmic_raw[],21,FALSE)*(1+interactive!$C$7)</f>
        <v>141.35719500000002</v>
      </c>
      <c r="V367" s="33">
        <f>IFERROR(VLOOKUP(lmic_raw_ub[[#This Row],[setting]],vcost_ub[],3,FALSE),0)</f>
        <v>10.193501847888678</v>
      </c>
      <c r="W367" s="33">
        <f>IFERROR(VLOOKUP(lmic_raw_ub[[#This Row],[setting]],vcost_ub[],4,FALSE),0)</f>
        <v>10.216391847888678</v>
      </c>
      <c r="X367" s="33">
        <f>IFERROR(VLOOKUP(lmic_raw_ub[[#This Row],[setting]],vcost_ub[],5,FALSE),0)</f>
        <v>9.6882664829763794</v>
      </c>
      <c r="Y367" s="33">
        <f>IFERROR(VLOOKUP(lmic_raw_ub[[#This Row],[setting]],vcost_ub[],6,FALSE),0)</f>
        <v>9.7111564829763797</v>
      </c>
      <c r="Z367" s="33">
        <f>IFERROR(VLOOKUP(lmic_raw_ub[[#This Row],[setting]],vcost_ub[],7,FALSE),0)</f>
        <v>9.6984596573731761</v>
      </c>
      <c r="AA367" s="33">
        <f>IFERROR(VLOOKUP(lmic_raw_ub[[#This Row],[setting]],vcost_ub[],8,FALSE),0)</f>
        <v>10.464261620923519</v>
      </c>
      <c r="AB367" s="33">
        <f>IFERROR(VLOOKUP(lmic_raw_ub[[#This Row],[setting]],vcost_ub[],9,FALSE),0)</f>
        <v>10.48715162092352</v>
      </c>
      <c r="AC367" s="84">
        <f>VLOOKUP($A367,lmic_raw[],29,FALSE)*(1+interactive!$C$7)</f>
        <v>1.7623231500000062E-2</v>
      </c>
      <c r="AD367" s="84">
        <f>VLOOKUP($A367,lmic_raw[],30,FALSE)*(1+interactive!$C$7)</f>
        <v>9.2555110247038357E-4</v>
      </c>
      <c r="AE367" s="84">
        <f>VLOOKUP($A367,lmic_raw[],31,FALSE)*(1+interactive!$C$7)</f>
        <v>4.8402385083757155E-4</v>
      </c>
      <c r="AF367" s="84">
        <f>VLOOKUP($A367,lmic_raw[],32,FALSE)*(1+interactive!$C$7)</f>
        <v>4.8372412702627675E-4</v>
      </c>
      <c r="AG367" s="84">
        <f>VLOOKUP($A367,lmic_raw[],33,FALSE)*(1+interactive!$C$7)</f>
        <v>1.1878667458321912E-3</v>
      </c>
      <c r="AH367" s="84">
        <f>VLOOKUP($A367,lmic_raw[],34,FALSE)*(1+interactive!$C$7)</f>
        <v>1.5830857016187641E-3</v>
      </c>
      <c r="AI367" s="84">
        <f>VLOOKUP($A367,lmic_raw[],35,FALSE)*(1+interactive!$C$7)</f>
        <v>1.8574062294458567E-3</v>
      </c>
      <c r="AJ367" s="84">
        <f>VLOOKUP($A367,lmic_raw[],36,FALSE)*(1+interactive!$C$7)</f>
        <v>2.2337703415762408E-3</v>
      </c>
      <c r="AK367" s="84">
        <f>VLOOKUP($A367,lmic_raw[],37,FALSE)*(1+interactive!$C$7)</f>
        <v>2.8341732152057592E-3</v>
      </c>
      <c r="AL367" s="84">
        <f>VLOOKUP($A367,lmic_raw[],38,FALSE)*(1+interactive!$C$7)</f>
        <v>3.6067830742343705E-3</v>
      </c>
      <c r="AM367" s="84">
        <f>VLOOKUP($A367,lmic_raw[],39,FALSE)*(1+interactive!$C$7)</f>
        <v>4.7435174085627167E-3</v>
      </c>
      <c r="AN367" s="84">
        <f>VLOOKUP($A367,lmic_raw[],40,FALSE)*(1+interactive!$C$7)</f>
        <v>6.6735942830029957E-3</v>
      </c>
      <c r="AO367" s="84">
        <f>VLOOKUP($A367,lmic_raw[],41,FALSE)*(1+interactive!$C$7)</f>
        <v>9.4949513811554524E-3</v>
      </c>
      <c r="AP367" s="84">
        <f>VLOOKUP($A367,lmic_raw[],42,FALSE)*(1+interactive!$C$7)</f>
        <v>1.367690861996898E-2</v>
      </c>
      <c r="AQ367" s="84">
        <f>VLOOKUP($A367,lmic_raw[],43,FALSE)*(1+interactive!$C$7)</f>
        <v>1.9976694075429284E-2</v>
      </c>
      <c r="AR367" s="84">
        <f>VLOOKUP($A367,lmic_raw[],44,FALSE)*(1+interactive!$C$7)</f>
        <v>2.8907905555558198E-2</v>
      </c>
      <c r="AS367" s="84">
        <f>VLOOKUP($A367,lmic_raw[],45,FALSE)*(1+interactive!$C$7)</f>
        <v>4.2407780221249462E-2</v>
      </c>
      <c r="AT367" s="84">
        <f>VLOOKUP($A367,lmic_raw[],46,FALSE)*(1+interactive!$C$7)</f>
        <v>6.904178821352519E-2</v>
      </c>
      <c r="AU367" s="84">
        <f>VLOOKUP($A367,lmic_raw[],47,FALSE)*(1+interactive!$C$7)</f>
        <v>9.736003705275012E-2</v>
      </c>
      <c r="AV367" s="84">
        <f>VLOOKUP($A367,lmic_raw[],48,FALSE)*(1+interactive!$C$7)</f>
        <v>0.1270800478901048</v>
      </c>
      <c r="AW367" s="84">
        <f>VLOOKUP($A367,lmic_raw[],49,FALSE)*(1+interactive!$C$7)</f>
        <v>0.15270474583406796</v>
      </c>
      <c r="AX367" s="84">
        <f>VLOOKUP($A367,lmic_raw[],50,FALSE)*(1+interactive!$C$7)</f>
        <v>77.861699999999999</v>
      </c>
    </row>
    <row r="368" spans="1:50" x14ac:dyDescent="0.25">
      <c r="A368" s="109" t="s">
        <v>633</v>
      </c>
      <c r="B368" s="101" t="s">
        <v>483</v>
      </c>
      <c r="C368" s="102">
        <v>562</v>
      </c>
      <c r="D368" s="82" t="s">
        <v>677</v>
      </c>
      <c r="E368" s="82" t="s">
        <v>591</v>
      </c>
      <c r="F368" s="82" t="s">
        <v>667</v>
      </c>
      <c r="G368" s="82" t="s">
        <v>674</v>
      </c>
      <c r="H368" s="33">
        <f>VLOOKUP(lmic_raw_ub[[#This Row],[setting]],lmic_raw[],8,FALSE)</f>
        <v>23310719</v>
      </c>
      <c r="I368" s="33">
        <f>VLOOKUP(lmic_raw_ub[[#This Row],[setting]],lmic_raw[],9,FALSE)</f>
        <v>1078656.9002870002</v>
      </c>
      <c r="J368" s="84">
        <f>MIN(VLOOKUP($A368,lmic_raw[],10,FALSE)*(1+interactive!$C$7),0.9999)</f>
        <v>0.61739999999999995</v>
      </c>
      <c r="K368" s="84">
        <f>MIN(VLOOKUP($A368,lmic_raw[],11,FALSE)*(1+interactive!$C$7),0.9999)</f>
        <v>0</v>
      </c>
      <c r="L368" s="33">
        <f>MIN(VLOOKUP($A368,lmic_raw[],12,FALSE)*(1+interactive!$C$7),0.9999)</f>
        <v>0.85050000000000014</v>
      </c>
      <c r="M368" s="84">
        <f>IFERROR(VLOOKUP(lmic_raw_ub[[#This Row],[iso3]], hbv_prev[[iso3]:[ub]],4,FALSE)/100,0)</f>
        <v>0.16219999999999998</v>
      </c>
      <c r="N368" s="84">
        <f>IFERROR(VLOOKUP(lmic_raw_ub[[#This Row],[setting]],hbe_prev[],5,FALSE),0)</f>
        <v>0.41070000000000001</v>
      </c>
      <c r="O368" s="84">
        <f>VLOOKUP(lmic_raw_ub[[#This Row],[gbd_super]],hbe_risk[],4,FALSE)</f>
        <v>0.74399999999999999</v>
      </c>
      <c r="P368" s="84">
        <f>VLOOKUP(lmic_raw_ub[[#This Row],[gbd_super]],hbe_risk[],7,FALSE)</f>
        <v>0.13300000000000001</v>
      </c>
      <c r="Q368" s="98">
        <f>VLOOKUP(lmic_raw_ub[[#This Row],[setting]],lmic_raw[],17,FALSE)*(1+interactive!$C$7)</f>
        <v>2.5793148957340217</v>
      </c>
      <c r="R368" s="98">
        <f>VLOOKUP(lmic_raw_ub[[#This Row],[setting]],lmic_raw[],18,FALSE)*(1+interactive!$C$7)</f>
        <v>31.416525000000004</v>
      </c>
      <c r="S368" s="98">
        <f>VLOOKUP(lmic_raw_ub[[#This Row],[setting]],lmic_raw[],19,FALSE)*(1+interactive!$C$7)</f>
        <v>81.545625000000015</v>
      </c>
      <c r="T368" s="98">
        <f>VLOOKUP(lmic_raw_ub[[#This Row],[setting]],lmic_raw[],20,FALSE)*(1+interactive!$C$7)</f>
        <v>81.545625000000015</v>
      </c>
      <c r="U368" s="98">
        <f>VLOOKUP(lmic_raw_ub[[#This Row],[setting]],lmic_raw[],21,FALSE)*(1+interactive!$C$7)</f>
        <v>81.545625000000015</v>
      </c>
      <c r="V368" s="33">
        <f>IFERROR(VLOOKUP(lmic_raw_ub[[#This Row],[setting]],vcost_ub[],3,FALSE),0)</f>
        <v>3.3568941204478606</v>
      </c>
      <c r="W368" s="33">
        <f>IFERROR(VLOOKUP(lmic_raw_ub[[#This Row],[setting]],vcost_ub[],4,FALSE),0)</f>
        <v>8.4270291204478607</v>
      </c>
      <c r="X368" s="33">
        <f>IFERROR(VLOOKUP(lmic_raw_ub[[#This Row],[setting]],vcost_ub[],5,FALSE),0)</f>
        <v>2.8643699389318518</v>
      </c>
      <c r="Y368" s="33">
        <f>IFERROR(VLOOKUP(lmic_raw_ub[[#This Row],[setting]],vcost_ub[],6,FALSE),0)</f>
        <v>7.9345049389318518</v>
      </c>
      <c r="Z368" s="33">
        <f>IFERROR(VLOOKUP(lmic_raw_ub[[#This Row],[setting]],vcost_ub[],7,FALSE),0)</f>
        <v>7.9295603447111453</v>
      </c>
      <c r="AA368" s="33">
        <f>IFERROR(VLOOKUP(lmic_raw_ub[[#This Row],[setting]],vcost_ub[],8,FALSE),0)</f>
        <v>3.6247685328344632</v>
      </c>
      <c r="AB368" s="33">
        <f>IFERROR(VLOOKUP(lmic_raw_ub[[#This Row],[setting]],vcost_ub[],9,FALSE),0)</f>
        <v>8.6949035328344628</v>
      </c>
      <c r="AC368" s="84">
        <f>VLOOKUP($A368,lmic_raw[],29,FALSE)*(1+interactive!$C$7)</f>
        <v>4.8634046999999986E-2</v>
      </c>
      <c r="AD368" s="84">
        <f>VLOOKUP($A368,lmic_raw[],30,FALSE)*(1+interactive!$C$7)</f>
        <v>1.0552466757625034E-2</v>
      </c>
      <c r="AE368" s="84">
        <f>VLOOKUP($A368,lmic_raw[],31,FALSE)*(1+interactive!$C$7)</f>
        <v>2.3353548721143434E-3</v>
      </c>
      <c r="AF368" s="84">
        <f>VLOOKUP($A368,lmic_raw[],32,FALSE)*(1+interactive!$C$7)</f>
        <v>1.3975126757874877E-3</v>
      </c>
      <c r="AG368" s="84">
        <f>VLOOKUP($A368,lmic_raw[],33,FALSE)*(1+interactive!$C$7)</f>
        <v>2.3300716942091151E-3</v>
      </c>
      <c r="AH368" s="84">
        <f>VLOOKUP($A368,lmic_raw[],34,FALSE)*(1+interactive!$C$7)</f>
        <v>3.0456129224326633E-3</v>
      </c>
      <c r="AI368" s="84">
        <f>VLOOKUP($A368,lmic_raw[],35,FALSE)*(1+interactive!$C$7)</f>
        <v>3.8194152003484679E-3</v>
      </c>
      <c r="AJ368" s="84">
        <f>VLOOKUP($A368,lmic_raw[],36,FALSE)*(1+interactive!$C$7)</f>
        <v>4.0854931670074226E-3</v>
      </c>
      <c r="AK368" s="84">
        <f>VLOOKUP($A368,lmic_raw[],37,FALSE)*(1+interactive!$C$7)</f>
        <v>4.6968283896133287E-3</v>
      </c>
      <c r="AL368" s="84">
        <f>VLOOKUP($A368,lmic_raw[],38,FALSE)*(1+interactive!$C$7)</f>
        <v>5.6832319894283469E-3</v>
      </c>
      <c r="AM368" s="84">
        <f>VLOOKUP($A368,lmic_raw[],39,FALSE)*(1+interactive!$C$7)</f>
        <v>7.3109941430212801E-3</v>
      </c>
      <c r="AN368" s="84">
        <f>VLOOKUP($A368,lmic_raw[],40,FALSE)*(1+interactive!$C$7)</f>
        <v>1.055984771450909E-2</v>
      </c>
      <c r="AO368" s="84">
        <f>VLOOKUP($A368,lmic_raw[],41,FALSE)*(1+interactive!$C$7)</f>
        <v>1.5204379067438645E-2</v>
      </c>
      <c r="AP368" s="84">
        <f>VLOOKUP($A368,lmic_raw[],42,FALSE)*(1+interactive!$C$7)</f>
        <v>2.1547905535353431E-2</v>
      </c>
      <c r="AQ368" s="84">
        <f>VLOOKUP($A368,lmic_raw[],43,FALSE)*(1+interactive!$C$7)</f>
        <v>3.2587976004823264E-2</v>
      </c>
      <c r="AR368" s="84">
        <f>VLOOKUP($A368,lmic_raw[],44,FALSE)*(1+interactive!$C$7)</f>
        <v>5.3014225670050888E-2</v>
      </c>
      <c r="AS368" s="84">
        <f>VLOOKUP($A368,lmic_raw[],45,FALSE)*(1+interactive!$C$7)</f>
        <v>8.3358796286837664E-2</v>
      </c>
      <c r="AT368" s="84">
        <f>VLOOKUP($A368,lmic_raw[],46,FALSE)*(1+interactive!$C$7)</f>
        <v>0.12202506750429573</v>
      </c>
      <c r="AU368" s="84">
        <f>VLOOKUP($A368,lmic_raw[],47,FALSE)*(1+interactive!$C$7)</f>
        <v>0.15870013211775946</v>
      </c>
      <c r="AV368" s="84">
        <f>VLOOKUP($A368,lmic_raw[],48,FALSE)*(1+interactive!$C$7)</f>
        <v>0.18399737123583385</v>
      </c>
      <c r="AW368" s="84">
        <f>VLOOKUP($A368,lmic_raw[],49,FALSE)*(1+interactive!$C$7)</f>
        <v>0.19560070425905179</v>
      </c>
      <c r="AX368" s="84">
        <f>VLOOKUP($A368,lmic_raw[],50,FALSE)*(1+interactive!$C$7)</f>
        <v>64.888950000000008</v>
      </c>
    </row>
    <row r="369" spans="1:50" x14ac:dyDescent="0.25">
      <c r="A369" s="110" t="s">
        <v>150</v>
      </c>
      <c r="B369" s="104" t="s">
        <v>484</v>
      </c>
      <c r="C369" s="105">
        <v>566</v>
      </c>
      <c r="D369" s="84" t="s">
        <v>677</v>
      </c>
      <c r="E369" s="84" t="s">
        <v>591</v>
      </c>
      <c r="F369" s="84" t="s">
        <v>667</v>
      </c>
      <c r="G369" s="84" t="s">
        <v>678</v>
      </c>
      <c r="H369" s="33">
        <f>VLOOKUP(lmic_raw_ub[[#This Row],[setting]],lmic_raw[],8,FALSE)</f>
        <v>200963603</v>
      </c>
      <c r="I369" s="33">
        <f>VLOOKUP(lmic_raw_ub[[#This Row],[setting]],lmic_raw[],9,FALSE)</f>
        <v>7656311.3470940003</v>
      </c>
      <c r="J369" s="84">
        <f>MIN(VLOOKUP($A369,lmic_raw[],10,FALSE)*(1+interactive!$C$7),0.9999)</f>
        <v>0.41369999999999996</v>
      </c>
      <c r="K369" s="84">
        <f>MIN(VLOOKUP($A369,lmic_raw[],11,FALSE)*(1+interactive!$C$7),0.9999)</f>
        <v>0</v>
      </c>
      <c r="L369" s="33">
        <f>MIN(VLOOKUP($A369,lmic_raw[],12,FALSE)*(1+interactive!$C$7),0.9999)</f>
        <v>0.59849999999999992</v>
      </c>
      <c r="M369" s="84">
        <f>IFERROR(VLOOKUP(lmic_raw_ub[[#This Row],[iso3]], hbv_prev[[iso3]:[ub]],4,FALSE)/100,0)</f>
        <v>6.9500000000000006E-2</v>
      </c>
      <c r="N369" s="84">
        <f>IFERROR(VLOOKUP(lmic_raw_ub[[#This Row],[setting]],hbe_prev[],5,FALSE),0)</f>
        <v>0.41070000000000001</v>
      </c>
      <c r="O369" s="84">
        <f>VLOOKUP(lmic_raw_ub[[#This Row],[gbd_super]],hbe_risk[],4,FALSE)</f>
        <v>0.74399999999999999</v>
      </c>
      <c r="P369" s="84">
        <f>VLOOKUP(lmic_raw_ub[[#This Row],[gbd_super]],hbe_risk[],7,FALSE)</f>
        <v>0.13300000000000001</v>
      </c>
      <c r="Q369" s="98">
        <f>VLOOKUP(lmic_raw_ub[[#This Row],[setting]],lmic_raw[],17,FALSE)*(1+interactive!$C$7)</f>
        <v>4.1869777395971663</v>
      </c>
      <c r="R369" s="98">
        <f>VLOOKUP(lmic_raw_ub[[#This Row],[setting]],lmic_raw[],18,FALSE)*(1+interactive!$C$7)</f>
        <v>31.416525000000004</v>
      </c>
      <c r="S369" s="98">
        <f>VLOOKUP(lmic_raw_ub[[#This Row],[setting]],lmic_raw[],19,FALSE)*(1+interactive!$C$7)</f>
        <v>81.545625000000015</v>
      </c>
      <c r="T369" s="98">
        <f>VLOOKUP(lmic_raw_ub[[#This Row],[setting]],lmic_raw[],20,FALSE)*(1+interactive!$C$7)</f>
        <v>81.545625000000015</v>
      </c>
      <c r="U369" s="98">
        <f>VLOOKUP(lmic_raw_ub[[#This Row],[setting]],lmic_raw[],21,FALSE)*(1+interactive!$C$7)</f>
        <v>81.545625000000015</v>
      </c>
      <c r="V369" s="33">
        <f>IFERROR(VLOOKUP(lmic_raw_ub[[#This Row],[setting]],vcost_ub[],3,FALSE),0)</f>
        <v>2.650048493361965</v>
      </c>
      <c r="W369" s="33">
        <f>IFERROR(VLOOKUP(lmic_raw_ub[[#This Row],[setting]],vcost_ub[],4,FALSE),0)</f>
        <v>7.7201834933619651</v>
      </c>
      <c r="X369" s="33">
        <f>IFERROR(VLOOKUP(lmic_raw_ub[[#This Row],[setting]],vcost_ub[],5,FALSE),0)</f>
        <v>2.1419183537605595</v>
      </c>
      <c r="Y369" s="33">
        <f>IFERROR(VLOOKUP(lmic_raw_ub[[#This Row],[setting]],vcost_ub[],6,FALSE),0)</f>
        <v>7.2120533537605596</v>
      </c>
      <c r="Z369" s="33">
        <f>IFERROR(VLOOKUP(lmic_raw_ub[[#This Row],[setting]],vcost_ub[],7,FALSE),0)</f>
        <v>7.1981524718240344</v>
      </c>
      <c r="AA369" s="33">
        <f>IFERROR(VLOOKUP(lmic_raw_ub[[#This Row],[setting]],vcost_ub[],8,FALSE),0)</f>
        <v>2.9214653624918787</v>
      </c>
      <c r="AB369" s="33">
        <f>IFERROR(VLOOKUP(lmic_raw_ub[[#This Row],[setting]],vcost_ub[],9,FALSE),0)</f>
        <v>7.9916003624918792</v>
      </c>
      <c r="AC369" s="84">
        <f>VLOOKUP($A369,lmic_raw[],29,FALSE)*(1+interactive!$C$7)</f>
        <v>6.5264314500000059E-2</v>
      </c>
      <c r="AD369" s="84">
        <f>VLOOKUP($A369,lmic_raw[],30,FALSE)*(1+interactive!$C$7)</f>
        <v>1.1083045853780012E-2</v>
      </c>
      <c r="AE369" s="84">
        <f>VLOOKUP($A369,lmic_raw[],31,FALSE)*(1+interactive!$C$7)</f>
        <v>6.2056636556527189E-3</v>
      </c>
      <c r="AF369" s="84">
        <f>VLOOKUP($A369,lmic_raw[],32,FALSE)*(1+interactive!$C$7)</f>
        <v>3.376688896987729E-3</v>
      </c>
      <c r="AG369" s="84">
        <f>VLOOKUP($A369,lmic_raw[],33,FALSE)*(1+interactive!$C$7)</f>
        <v>5.3157757715819433E-3</v>
      </c>
      <c r="AH369" s="84">
        <f>VLOOKUP($A369,lmic_raw[],34,FALSE)*(1+interactive!$C$7)</f>
        <v>6.4114276843212229E-3</v>
      </c>
      <c r="AI369" s="84">
        <f>VLOOKUP($A369,lmic_raw[],35,FALSE)*(1+interactive!$C$7)</f>
        <v>7.0503930118557693E-3</v>
      </c>
      <c r="AJ369" s="84">
        <f>VLOOKUP($A369,lmic_raw[],36,FALSE)*(1+interactive!$C$7)</f>
        <v>7.3860782785339155E-3</v>
      </c>
      <c r="AK369" s="84">
        <f>VLOOKUP($A369,lmic_raw[],37,FALSE)*(1+interactive!$C$7)</f>
        <v>8.0870402994986136E-3</v>
      </c>
      <c r="AL369" s="84">
        <f>VLOOKUP($A369,lmic_raw[],38,FALSE)*(1+interactive!$C$7)</f>
        <v>9.1878116538381422E-3</v>
      </c>
      <c r="AM369" s="84">
        <f>VLOOKUP($A369,lmic_raw[],39,FALSE)*(1+interactive!$C$7)</f>
        <v>1.0638852659240389E-2</v>
      </c>
      <c r="AN369" s="84">
        <f>VLOOKUP($A369,lmic_raw[],40,FALSE)*(1+interactive!$C$7)</f>
        <v>1.4049752740381725E-2</v>
      </c>
      <c r="AO369" s="84">
        <f>VLOOKUP($A369,lmic_raw[],41,FALSE)*(1+interactive!$C$7)</f>
        <v>1.922903842073817E-2</v>
      </c>
      <c r="AP369" s="84">
        <f>VLOOKUP($A369,lmic_raw[],42,FALSE)*(1+interactive!$C$7)</f>
        <v>2.9592473551123877E-2</v>
      </c>
      <c r="AQ369" s="84">
        <f>VLOOKUP($A369,lmic_raw[],43,FALSE)*(1+interactive!$C$7)</f>
        <v>4.4531742602379673E-2</v>
      </c>
      <c r="AR369" s="84">
        <f>VLOOKUP($A369,lmic_raw[],44,FALSE)*(1+interactive!$C$7)</f>
        <v>6.8994272389426167E-2</v>
      </c>
      <c r="AS369" s="84">
        <f>VLOOKUP($A369,lmic_raw[],45,FALSE)*(1+interactive!$C$7)</f>
        <v>0.10174969103072433</v>
      </c>
      <c r="AT369" s="84">
        <f>VLOOKUP($A369,lmic_raw[],46,FALSE)*(1+interactive!$C$7)</f>
        <v>0.13925653004002383</v>
      </c>
      <c r="AU369" s="84">
        <f>VLOOKUP($A369,lmic_raw[],47,FALSE)*(1+interactive!$C$7)</f>
        <v>0.17066804141891234</v>
      </c>
      <c r="AV369" s="84">
        <f>VLOOKUP($A369,lmic_raw[],48,FALSE)*(1+interactive!$C$7)</f>
        <v>0.1899024811429979</v>
      </c>
      <c r="AW369" s="84">
        <f>VLOOKUP($A369,lmic_raw[],49,FALSE)*(1+interactive!$C$7)</f>
        <v>0.19572984161213169</v>
      </c>
      <c r="AX369" s="84">
        <f>VLOOKUP($A369,lmic_raw[],50,FALSE)*(1+interactive!$C$7)</f>
        <v>56.884800000000006</v>
      </c>
    </row>
    <row r="370" spans="1:50" x14ac:dyDescent="0.25">
      <c r="A370" s="109" t="s">
        <v>342</v>
      </c>
      <c r="B370" s="101" t="s">
        <v>485</v>
      </c>
      <c r="C370" s="102">
        <v>807</v>
      </c>
      <c r="D370" s="82" t="s">
        <v>675</v>
      </c>
      <c r="E370" s="82" t="s">
        <v>580</v>
      </c>
      <c r="F370" s="82" t="s">
        <v>663</v>
      </c>
      <c r="G370" s="82" t="s">
        <v>676</v>
      </c>
      <c r="H370" s="33">
        <f>VLOOKUP(lmic_raw_ub[[#This Row],[setting]],lmic_raw[],8,FALSE)</f>
        <v>2083458</v>
      </c>
      <c r="I370" s="33">
        <f>VLOOKUP(lmic_raw_ub[[#This Row],[setting]],lmic_raw[],9,FALSE)</f>
        <v>22680.523787999999</v>
      </c>
      <c r="J370" s="84">
        <f>MIN(VLOOKUP($A370,lmic_raw[],10,FALSE)*(1+interactive!$C$7),0.9999)</f>
        <v>0.99990000000000001</v>
      </c>
      <c r="K370" s="84">
        <f>MIN(VLOOKUP($A370,lmic_raw[],11,FALSE)*(1+interactive!$C$7),0.9999)</f>
        <v>0.99990000000000001</v>
      </c>
      <c r="L370" s="33">
        <f>MIN(VLOOKUP($A370,lmic_raw[],12,FALSE)*(1+interactive!$C$7),0.9999)</f>
        <v>0.96600000000000008</v>
      </c>
      <c r="M370" s="84">
        <f>IFERROR(VLOOKUP(lmic_raw_ub[[#This Row],[iso3]], hbv_prev[[iso3]:[ub]],4,FALSE)/100,0)</f>
        <v>0.10880000000000001</v>
      </c>
      <c r="N370" s="84">
        <f>IFERROR(VLOOKUP(lmic_raw_ub[[#This Row],[setting]],hbe_prev[],5,FALSE),0)</f>
        <v>0.42849999999999999</v>
      </c>
      <c r="O370" s="84">
        <f>VLOOKUP(lmic_raw_ub[[#This Row],[gbd_super]],hbe_risk[],4,FALSE)</f>
        <v>0.9</v>
      </c>
      <c r="P370" s="84">
        <f>VLOOKUP(lmic_raw_ub[[#This Row],[gbd_super]],hbe_risk[],7,FALSE)</f>
        <v>0.3</v>
      </c>
      <c r="Q370" s="98">
        <f>VLOOKUP(lmic_raw_ub[[#This Row],[setting]],lmic_raw[],17,FALSE)*(1+interactive!$C$7)</f>
        <v>9.3589163458235642</v>
      </c>
      <c r="R370" s="98">
        <f>VLOOKUP(lmic_raw_ub[[#This Row],[setting]],lmic_raw[],18,FALSE)*(1+interactive!$C$7)</f>
        <v>46.76427000000001</v>
      </c>
      <c r="S370" s="98">
        <f>VLOOKUP(lmic_raw_ub[[#This Row],[setting]],lmic_raw[],19,FALSE)*(1+interactive!$C$7)</f>
        <v>96.893370000000019</v>
      </c>
      <c r="T370" s="98">
        <f>VLOOKUP(lmic_raw_ub[[#This Row],[setting]],lmic_raw[],20,FALSE)*(1+interactive!$C$7)</f>
        <v>96.893370000000019</v>
      </c>
      <c r="U370" s="98">
        <f>VLOOKUP(lmic_raw_ub[[#This Row],[setting]],lmic_raw[],21,FALSE)*(1+interactive!$C$7)</f>
        <v>96.893370000000019</v>
      </c>
      <c r="V370" s="33">
        <f>IFERROR(VLOOKUP(lmic_raw_ub[[#This Row],[setting]],vcost_ub[],3,FALSE),0)</f>
        <v>12.255329847388074</v>
      </c>
      <c r="W370" s="33">
        <f>IFERROR(VLOOKUP(lmic_raw_ub[[#This Row],[setting]],vcost_ub[],4,FALSE),0)</f>
        <v>16.524314847388077</v>
      </c>
      <c r="X370" s="33">
        <f>IFERROR(VLOOKUP(lmic_raw_ub[[#This Row],[setting]],vcost_ub[],5,FALSE),0)</f>
        <v>11.735398438623431</v>
      </c>
      <c r="Y370" s="33">
        <f>IFERROR(VLOOKUP(lmic_raw_ub[[#This Row],[setting]],vcost_ub[],6,FALSE),0)</f>
        <v>16.004383438623432</v>
      </c>
      <c r="Z370" s="33">
        <f>IFERROR(VLOOKUP(lmic_raw_ub[[#This Row],[setting]],vcost_ub[],7,FALSE),0)</f>
        <v>15.983648213065477</v>
      </c>
      <c r="AA370" s="33">
        <f>IFERROR(VLOOKUP(lmic_raw_ub[[#This Row],[setting]],vcost_ub[],8,FALSE),0)</f>
        <v>12.529425532217621</v>
      </c>
      <c r="AB370" s="33">
        <f>IFERROR(VLOOKUP(lmic_raw_ub[[#This Row],[setting]],vcost_ub[],9,FALSE),0)</f>
        <v>16.798410532217623</v>
      </c>
      <c r="AC370" s="84">
        <f>VLOOKUP($A370,lmic_raw[],29,FALSE)*(1+interactive!$C$7)</f>
        <v>1.1223764999999926E-2</v>
      </c>
      <c r="AD370" s="84">
        <f>VLOOKUP($A370,lmic_raw[],30,FALSE)*(1+interactive!$C$7)</f>
        <v>2.9894374942071432E-4</v>
      </c>
      <c r="AE370" s="84">
        <f>VLOOKUP($A370,lmic_raw[],31,FALSE)*(1+interactive!$C$7)</f>
        <v>1.4644772040641436E-4</v>
      </c>
      <c r="AF370" s="84">
        <f>VLOOKUP($A370,lmic_raw[],32,FALSE)*(1+interactive!$C$7)</f>
        <v>1.9445781244582054E-4</v>
      </c>
      <c r="AG370" s="84">
        <f>VLOOKUP($A370,lmic_raw[],33,FALSE)*(1+interactive!$C$7)</f>
        <v>3.0612159879504303E-4</v>
      </c>
      <c r="AH370" s="84">
        <f>VLOOKUP($A370,lmic_raw[],34,FALSE)*(1+interactive!$C$7)</f>
        <v>3.2939443045355225E-4</v>
      </c>
      <c r="AI370" s="84">
        <f>VLOOKUP($A370,lmic_raw[],35,FALSE)*(1+interactive!$C$7)</f>
        <v>4.9107607169644925E-4</v>
      </c>
      <c r="AJ370" s="84">
        <f>VLOOKUP($A370,lmic_raw[],36,FALSE)*(1+interactive!$C$7)</f>
        <v>5.8666428206749911E-4</v>
      </c>
      <c r="AK370" s="84">
        <f>VLOOKUP($A370,lmic_raw[],37,FALSE)*(1+interactive!$C$7)</f>
        <v>9.3562613166154923E-4</v>
      </c>
      <c r="AL370" s="84">
        <f>VLOOKUP($A370,lmic_raw[],38,FALSE)*(1+interactive!$C$7)</f>
        <v>1.7088150216703402E-3</v>
      </c>
      <c r="AM370" s="84">
        <f>VLOOKUP($A370,lmic_raw[],39,FALSE)*(1+interactive!$C$7)</f>
        <v>2.6393162646140044E-3</v>
      </c>
      <c r="AN370" s="84">
        <f>VLOOKUP($A370,lmic_raw[],40,FALSE)*(1+interactive!$C$7)</f>
        <v>4.9233961461122768E-3</v>
      </c>
      <c r="AO370" s="84">
        <f>VLOOKUP($A370,lmic_raw[],41,FALSE)*(1+interactive!$C$7)</f>
        <v>8.3691374832477548E-3</v>
      </c>
      <c r="AP370" s="84">
        <f>VLOOKUP($A370,lmic_raw[],42,FALSE)*(1+interactive!$C$7)</f>
        <v>1.3828995569468826E-2</v>
      </c>
      <c r="AQ370" s="84">
        <f>VLOOKUP($A370,lmic_raw[],43,FALSE)*(1+interactive!$C$7)</f>
        <v>2.1402531568139704E-2</v>
      </c>
      <c r="AR370" s="84">
        <f>VLOOKUP($A370,lmic_raw[],44,FALSE)*(1+interactive!$C$7)</f>
        <v>3.361912544912897E-2</v>
      </c>
      <c r="AS370" s="84">
        <f>VLOOKUP($A370,lmic_raw[],45,FALSE)*(1+interactive!$C$7)</f>
        <v>5.9658325729081384E-2</v>
      </c>
      <c r="AT370" s="84">
        <f>VLOOKUP($A370,lmic_raw[],46,FALSE)*(1+interactive!$C$7)</f>
        <v>9.6105397474416487E-2</v>
      </c>
      <c r="AU370" s="84">
        <f>VLOOKUP($A370,lmic_raw[],47,FALSE)*(1+interactive!$C$7)</f>
        <v>0.13620687662120384</v>
      </c>
      <c r="AV370" s="84">
        <f>VLOOKUP($A370,lmic_raw[],48,FALSE)*(1+interactive!$C$7)</f>
        <v>0.17509103800118414</v>
      </c>
      <c r="AW370" s="84">
        <f>VLOOKUP($A370,lmic_raw[],49,FALSE)*(1+interactive!$C$7)</f>
        <v>0.19555991184090768</v>
      </c>
      <c r="AX370" s="84">
        <f>VLOOKUP($A370,lmic_raw[],50,FALSE)*(1+interactive!$C$7)</f>
        <v>79.383150000000001</v>
      </c>
    </row>
    <row r="371" spans="1:50" x14ac:dyDescent="0.25">
      <c r="A371" s="110" t="s">
        <v>198</v>
      </c>
      <c r="B371" s="104" t="s">
        <v>488</v>
      </c>
      <c r="C371" s="105">
        <v>586</v>
      </c>
      <c r="D371" s="84" t="s">
        <v>673</v>
      </c>
      <c r="E371" s="84" t="s">
        <v>589</v>
      </c>
      <c r="F371" s="84" t="s">
        <v>589</v>
      </c>
      <c r="G371" s="84" t="s">
        <v>678</v>
      </c>
      <c r="H371" s="33">
        <f>VLOOKUP(lmic_raw_ub[[#This Row],[setting]],lmic_raw[],8,FALSE)</f>
        <v>216565317</v>
      </c>
      <c r="I371" s="33">
        <f>VLOOKUP(lmic_raw_ub[[#This Row],[setting]],lmic_raw[],9,FALSE)</f>
        <v>6176875.9714740003</v>
      </c>
      <c r="J371" s="84">
        <f>MIN(VLOOKUP($A371,lmic_raw[],10,FALSE)*(1+interactive!$C$7),0.9999)</f>
        <v>0.69510000000000005</v>
      </c>
      <c r="K371" s="84">
        <f>MIN(VLOOKUP($A371,lmic_raw[],11,FALSE)*(1+interactive!$C$7),0.9999)</f>
        <v>0</v>
      </c>
      <c r="L371" s="33">
        <f>MIN(VLOOKUP($A371,lmic_raw[],12,FALSE)*(1+interactive!$C$7),0.9999)</f>
        <v>0.78750000000000009</v>
      </c>
      <c r="M371" s="84">
        <f>IFERROR(VLOOKUP(lmic_raw_ub[[#This Row],[iso3]], hbv_prev[[iso3]:[ub]],4,FALSE)/100,0)</f>
        <v>7.3099999999999998E-2</v>
      </c>
      <c r="N371" s="84">
        <f>IFERROR(VLOOKUP(lmic_raw_ub[[#This Row],[setting]],hbe_prev[],5,FALSE),0)</f>
        <v>0.35830000000000001</v>
      </c>
      <c r="O371" s="84">
        <f>VLOOKUP(lmic_raw_ub[[#This Row],[gbd_super]],hbe_risk[],4,FALSE)</f>
        <v>0.9</v>
      </c>
      <c r="P371" s="84">
        <f>VLOOKUP(lmic_raw_ub[[#This Row],[gbd_super]],hbe_risk[],7,FALSE)</f>
        <v>0.3</v>
      </c>
      <c r="Q371" s="98">
        <f>VLOOKUP(lmic_raw_ub[[#This Row],[setting]],lmic_raw[],17,FALSE)*(1+interactive!$C$7)</f>
        <v>3.239827537011128</v>
      </c>
      <c r="R371" s="98">
        <f>VLOOKUP(lmic_raw_ub[[#This Row],[setting]],lmic_raw[],18,FALSE)*(1+interactive!$C$7)</f>
        <v>48.194895000000002</v>
      </c>
      <c r="S371" s="98">
        <f>VLOOKUP(lmic_raw_ub[[#This Row],[setting]],lmic_raw[],19,FALSE)*(1+interactive!$C$7)</f>
        <v>98.323995000000011</v>
      </c>
      <c r="T371" s="98">
        <f>VLOOKUP(lmic_raw_ub[[#This Row],[setting]],lmic_raw[],20,FALSE)*(1+interactive!$C$7)</f>
        <v>98.323995000000011</v>
      </c>
      <c r="U371" s="98">
        <f>VLOOKUP(lmic_raw_ub[[#This Row],[setting]],lmic_raw[],21,FALSE)*(1+interactive!$C$7)</f>
        <v>98.323995000000011</v>
      </c>
      <c r="V371" s="33">
        <f>IFERROR(VLOOKUP(lmic_raw_ub[[#This Row],[setting]],vcost_ub[],3,FALSE),0)</f>
        <v>2.999717002956217</v>
      </c>
      <c r="W371" s="33">
        <f>IFERROR(VLOOKUP(lmic_raw_ub[[#This Row],[setting]],vcost_ub[],4,FALSE),0)</f>
        <v>5.5722170029562168</v>
      </c>
      <c r="X371" s="33">
        <f>IFERROR(VLOOKUP(lmic_raw_ub[[#This Row],[setting]],vcost_ub[],5,FALSE),0)</f>
        <v>2.5010756593221308</v>
      </c>
      <c r="Y371" s="33">
        <f>IFERROR(VLOOKUP(lmic_raw_ub[[#This Row],[setting]],vcost_ub[],6,FALSE),0)</f>
        <v>5.0735756593221311</v>
      </c>
      <c r="Z371" s="33">
        <f>IFERROR(VLOOKUP(lmic_raw_ub[[#This Row],[setting]],vcost_ub[],7,FALSE),0)</f>
        <v>5.0643163114140775</v>
      </c>
      <c r="AA371" s="33">
        <f>IFERROR(VLOOKUP(lmic_raw_ub[[#This Row],[setting]],vcost_ub[],8,FALSE),0)</f>
        <v>3.2689799736150218</v>
      </c>
      <c r="AB371" s="33">
        <f>IFERROR(VLOOKUP(lmic_raw_ub[[#This Row],[setting]],vcost_ub[],9,FALSE),0)</f>
        <v>5.841479973615022</v>
      </c>
      <c r="AC371" s="84">
        <f>VLOOKUP($A371,lmic_raw[],29,FALSE)*(1+interactive!$C$7)</f>
        <v>6.4400227499999962E-2</v>
      </c>
      <c r="AD371" s="84">
        <f>VLOOKUP($A371,lmic_raw[],30,FALSE)*(1+interactive!$C$7)</f>
        <v>3.7936031483814339E-3</v>
      </c>
      <c r="AE371" s="84">
        <f>VLOOKUP($A371,lmic_raw[],31,FALSE)*(1+interactive!$C$7)</f>
        <v>1.1150690452710593E-3</v>
      </c>
      <c r="AF371" s="84">
        <f>VLOOKUP($A371,lmic_raw[],32,FALSE)*(1+interactive!$C$7)</f>
        <v>7.1842002086396019E-4</v>
      </c>
      <c r="AG371" s="84">
        <f>VLOOKUP($A371,lmic_raw[],33,FALSE)*(1+interactive!$C$7)</f>
        <v>9.4642577808832075E-4</v>
      </c>
      <c r="AH371" s="84">
        <f>VLOOKUP($A371,lmic_raw[],34,FALSE)*(1+interactive!$C$7)</f>
        <v>1.2680931442002605E-3</v>
      </c>
      <c r="AI371" s="84">
        <f>VLOOKUP($A371,lmic_raw[],35,FALSE)*(1+interactive!$C$7)</f>
        <v>1.4150865514171729E-3</v>
      </c>
      <c r="AJ371" s="84">
        <f>VLOOKUP($A371,lmic_raw[],36,FALSE)*(1+interactive!$C$7)</f>
        <v>1.7783554963479496E-3</v>
      </c>
      <c r="AK371" s="84">
        <f>VLOOKUP($A371,lmic_raw[],37,FALSE)*(1+interactive!$C$7)</f>
        <v>2.37201597563336E-3</v>
      </c>
      <c r="AL371" s="84">
        <f>VLOOKUP($A371,lmic_raw[],38,FALSE)*(1+interactive!$C$7)</f>
        <v>3.3433648981504365E-3</v>
      </c>
      <c r="AM371" s="84">
        <f>VLOOKUP($A371,lmic_raw[],39,FALSE)*(1+interactive!$C$7)</f>
        <v>4.9296437868407237E-3</v>
      </c>
      <c r="AN371" s="84">
        <f>VLOOKUP($A371,lmic_raw[],40,FALSE)*(1+interactive!$C$7)</f>
        <v>7.5127547656911068E-3</v>
      </c>
      <c r="AO371" s="84">
        <f>VLOOKUP($A371,lmic_raw[],41,FALSE)*(1+interactive!$C$7)</f>
        <v>1.1637091909780331E-2</v>
      </c>
      <c r="AP371" s="84">
        <f>VLOOKUP($A371,lmic_raw[],42,FALSE)*(1+interactive!$C$7)</f>
        <v>1.8628526120419119E-2</v>
      </c>
      <c r="AQ371" s="84">
        <f>VLOOKUP($A371,lmic_raw[],43,FALSE)*(1+interactive!$C$7)</f>
        <v>2.9021238649259751E-2</v>
      </c>
      <c r="AR371" s="84">
        <f>VLOOKUP($A371,lmic_raw[],44,FALSE)*(1+interactive!$C$7)</f>
        <v>4.4277806492189549E-2</v>
      </c>
      <c r="AS371" s="84">
        <f>VLOOKUP($A371,lmic_raw[],45,FALSE)*(1+interactive!$C$7)</f>
        <v>6.70581995120276E-2</v>
      </c>
      <c r="AT371" s="84">
        <f>VLOOKUP($A371,lmic_raw[],46,FALSE)*(1+interactive!$C$7)</f>
        <v>9.9138582817684159E-2</v>
      </c>
      <c r="AU371" s="84">
        <f>VLOOKUP($A371,lmic_raw[],47,FALSE)*(1+interactive!$C$7)</f>
        <v>0.13863188325012804</v>
      </c>
      <c r="AV371" s="84">
        <f>VLOOKUP($A371,lmic_raw[],48,FALSE)*(1+interactive!$C$7)</f>
        <v>0.17178126405684202</v>
      </c>
      <c r="AW371" s="84">
        <f>VLOOKUP($A371,lmic_raw[],49,FALSE)*(1+interactive!$C$7)</f>
        <v>0.19023737618341166</v>
      </c>
      <c r="AX371" s="84">
        <f>VLOOKUP($A371,lmic_raw[],50,FALSE)*(1+interactive!$C$7)</f>
        <v>70.367850000000004</v>
      </c>
    </row>
    <row r="372" spans="1:50" x14ac:dyDescent="0.25">
      <c r="A372" s="82" t="s">
        <v>683</v>
      </c>
      <c r="B372" s="101" t="s">
        <v>517</v>
      </c>
      <c r="C372" s="106">
        <v>275</v>
      </c>
      <c r="D372" s="82" t="s">
        <v>673</v>
      </c>
      <c r="E372" s="82" t="s">
        <v>579</v>
      </c>
      <c r="F372" s="82" t="s">
        <v>579</v>
      </c>
      <c r="G372" s="82" t="s">
        <v>678</v>
      </c>
      <c r="H372" s="33">
        <f>VLOOKUP(lmic_raw_ub[[#This Row],[setting]],lmic_raw[],8,FALSE)</f>
        <v>4981422</v>
      </c>
      <c r="I372" s="33">
        <f>VLOOKUP(lmic_raw_ub[[#This Row],[setting]],lmic_raw[],9,FALSE)</f>
        <v>146583.32377199997</v>
      </c>
      <c r="J372" s="84">
        <f>MIN(VLOOKUP($A372,lmic_raw[],10,FALSE)*(1+interactive!$C$7),0.9999)</f>
        <v>0.99990000000000001</v>
      </c>
      <c r="K372" s="84">
        <f>MIN(VLOOKUP($A372,lmic_raw[],11,FALSE)*(1+interactive!$C$7),0.9999)</f>
        <v>0.99990000000000001</v>
      </c>
      <c r="L372" s="33">
        <f>MIN(VLOOKUP($A372,lmic_raw[],12,FALSE)*(1+interactive!$C$7),0.9999)</f>
        <v>0.99990000000000001</v>
      </c>
      <c r="M372" s="84">
        <f>IFERROR(VLOOKUP(lmic_raw_ub[[#This Row],[iso3]], hbv_prev[[iso3]:[ub]],4,FALSE)/100,0)</f>
        <v>0</v>
      </c>
      <c r="N372" s="84">
        <f>IFERROR(VLOOKUP(lmic_raw_ub[[#This Row],[setting]],hbe_prev[],5,FALSE),0)</f>
        <v>0</v>
      </c>
      <c r="O372" s="84">
        <f>VLOOKUP(lmic_raw_ub[[#This Row],[gbd_super]],hbe_risk[],4,FALSE)</f>
        <v>0.9</v>
      </c>
      <c r="P372" s="84">
        <f>VLOOKUP(lmic_raw_ub[[#This Row],[gbd_super]],hbe_risk[],7,FALSE)</f>
        <v>0.3</v>
      </c>
      <c r="Q372" s="98">
        <f>VLOOKUP(lmic_raw_ub[[#This Row],[setting]],lmic_raw[],17,FALSE)*(1+interactive!$C$7)</f>
        <v>0</v>
      </c>
      <c r="R372" s="98">
        <f>VLOOKUP(lmic_raw_ub[[#This Row],[setting]],lmic_raw[],18,FALSE)*(1+interactive!$C$7)</f>
        <v>48.652695000000001</v>
      </c>
      <c r="S372" s="98">
        <f>VLOOKUP(lmic_raw_ub[[#This Row],[setting]],lmic_raw[],19,FALSE)*(1+interactive!$C$7)</f>
        <v>98.781795000000017</v>
      </c>
      <c r="T372" s="98">
        <f>VLOOKUP(lmic_raw_ub[[#This Row],[setting]],lmic_raw[],20,FALSE)*(1+interactive!$C$7)</f>
        <v>98.781795000000017</v>
      </c>
      <c r="U372" s="98">
        <f>VLOOKUP(lmic_raw_ub[[#This Row],[setting]],lmic_raw[],21,FALSE)*(1+interactive!$C$7)</f>
        <v>98.781795000000017</v>
      </c>
      <c r="V372" s="33">
        <f>IFERROR(VLOOKUP(lmic_raw_ub[[#This Row],[setting]],vcost_ub[],3,FALSE),0)</f>
        <v>0.48333918128654974</v>
      </c>
      <c r="W372" s="33">
        <f>IFERROR(VLOOKUP(lmic_raw_ub[[#This Row],[setting]],vcost_ub[],4,FALSE),0)</f>
        <v>0.98691918128654976</v>
      </c>
      <c r="X372" s="33">
        <f>IFERROR(VLOOKUP(lmic_raw_ub[[#This Row],[setting]],vcost_ub[],5,FALSE),0)</f>
        <v>0</v>
      </c>
      <c r="Y372" s="33">
        <f>IFERROR(VLOOKUP(lmic_raw_ub[[#This Row],[setting]],vcost_ub[],6,FALSE),0)</f>
        <v>0.50358000000000003</v>
      </c>
      <c r="Z372" s="33">
        <f>IFERROR(VLOOKUP(lmic_raw_ub[[#This Row],[setting]],vcost_ub[],7,FALSE),0)</f>
        <v>0.50358000000000003</v>
      </c>
      <c r="AA372" s="33">
        <f>IFERROR(VLOOKUP(lmic_raw_ub[[#This Row],[setting]],vcost_ub[],8,FALSE),0)</f>
        <v>0.7491286549707602</v>
      </c>
      <c r="AB372" s="33">
        <f>IFERROR(VLOOKUP(lmic_raw_ub[[#This Row],[setting]],vcost_ub[],9,FALSE),0)</f>
        <v>1.2527086549707602</v>
      </c>
      <c r="AC372" s="84">
        <f>VLOOKUP($A372,lmic_raw[],29,FALSE)*(1+interactive!$C$7)</f>
        <v>1.8333493500000062E-2</v>
      </c>
      <c r="AD372" s="84">
        <f>VLOOKUP($A372,lmic_raw[],30,FALSE)*(1+interactive!$C$7)</f>
        <v>7.7777557713120185E-4</v>
      </c>
      <c r="AE372" s="84">
        <f>VLOOKUP($A372,lmic_raw[],31,FALSE)*(1+interactive!$C$7)</f>
        <v>3.6304126408925647E-4</v>
      </c>
      <c r="AF372" s="84">
        <f>VLOOKUP($A372,lmic_raw[],32,FALSE)*(1+interactive!$C$7)</f>
        <v>3.043871760934072E-4</v>
      </c>
      <c r="AG372" s="84">
        <f>VLOOKUP($A372,lmic_raw[],33,FALSE)*(1+interactive!$C$7)</f>
        <v>5.6220080406564816E-4</v>
      </c>
      <c r="AH372" s="84">
        <f>VLOOKUP($A372,lmic_raw[],34,FALSE)*(1+interactive!$C$7)</f>
        <v>7.8587713560795177E-4</v>
      </c>
      <c r="AI372" s="84">
        <f>VLOOKUP($A372,lmic_raw[],35,FALSE)*(1+interactive!$C$7)</f>
        <v>8.4716979360521176E-4</v>
      </c>
      <c r="AJ372" s="84">
        <f>VLOOKUP($A372,lmic_raw[],36,FALSE)*(1+interactive!$C$7)</f>
        <v>9.9932650293776113E-4</v>
      </c>
      <c r="AK372" s="84">
        <f>VLOOKUP($A372,lmic_raw[],37,FALSE)*(1+interactive!$C$7)</f>
        <v>1.3356998771681531E-3</v>
      </c>
      <c r="AL372" s="84">
        <f>VLOOKUP($A372,lmic_raw[],38,FALSE)*(1+interactive!$C$7)</f>
        <v>2.0208929928033957E-3</v>
      </c>
      <c r="AM372" s="84">
        <f>VLOOKUP($A372,lmic_raw[],39,FALSE)*(1+interactive!$C$7)</f>
        <v>3.373602566345381E-3</v>
      </c>
      <c r="AN372" s="84">
        <f>VLOOKUP($A372,lmic_raw[],40,FALSE)*(1+interactive!$C$7)</f>
        <v>5.4799534004566991E-3</v>
      </c>
      <c r="AO372" s="84">
        <f>VLOOKUP($A372,lmic_raw[],41,FALSE)*(1+interactive!$C$7)</f>
        <v>9.0294380720136579E-3</v>
      </c>
      <c r="AP372" s="84">
        <f>VLOOKUP($A372,lmic_raw[],42,FALSE)*(1+interactive!$C$7)</f>
        <v>1.4424106704932039E-2</v>
      </c>
      <c r="AQ372" s="84">
        <f>VLOOKUP($A372,lmic_raw[],43,FALSE)*(1+interactive!$C$7)</f>
        <v>2.385603653397635E-2</v>
      </c>
      <c r="AR372" s="84">
        <f>VLOOKUP($A372,lmic_raw[],44,FALSE)*(1+interactive!$C$7)</f>
        <v>3.8996120809076787E-2</v>
      </c>
      <c r="AS372" s="84">
        <f>VLOOKUP($A372,lmic_raw[],45,FALSE)*(1+interactive!$C$7)</f>
        <v>6.1425810721154231E-2</v>
      </c>
      <c r="AT372" s="84">
        <f>VLOOKUP($A372,lmic_raw[],46,FALSE)*(1+interactive!$C$7)</f>
        <v>9.3868040908042391E-2</v>
      </c>
      <c r="AU372" s="84">
        <f>VLOOKUP($A372,lmic_raw[],47,FALSE)*(1+interactive!$C$7)</f>
        <v>0.13085606737825306</v>
      </c>
      <c r="AV372" s="84">
        <f>VLOOKUP($A372,lmic_raw[],48,FALSE)*(1+interactive!$C$7)</f>
        <v>0.16267174375891894</v>
      </c>
      <c r="AW372" s="84">
        <f>VLOOKUP($A372,lmic_raw[],49,FALSE)*(1+interactive!$C$7)</f>
        <v>0.18483485301367081</v>
      </c>
      <c r="AX372" s="84">
        <f>VLOOKUP($A372,lmic_raw[],50,FALSE)*(1+interactive!$C$7)</f>
        <v>77.506800000000013</v>
      </c>
    </row>
    <row r="373" spans="1:50" x14ac:dyDescent="0.25">
      <c r="A373" s="110" t="s">
        <v>283</v>
      </c>
      <c r="B373" s="104" t="s">
        <v>491</v>
      </c>
      <c r="C373" s="105">
        <v>598</v>
      </c>
      <c r="D373" s="84" t="s">
        <v>681</v>
      </c>
      <c r="E373" s="84" t="s">
        <v>98</v>
      </c>
      <c r="F373" s="84" t="s">
        <v>666</v>
      </c>
      <c r="G373" s="84" t="s">
        <v>678</v>
      </c>
      <c r="H373" s="33">
        <f>VLOOKUP(lmic_raw_ub[[#This Row],[setting]],lmic_raw[],8,FALSE)</f>
        <v>8776119</v>
      </c>
      <c r="I373" s="33">
        <f>VLOOKUP(lmic_raw_ub[[#This Row],[setting]],lmic_raw[],9,FALSE)</f>
        <v>238964.94425100001</v>
      </c>
      <c r="J373" s="84">
        <f>MIN(VLOOKUP($A373,lmic_raw[],10,FALSE)*(1+interactive!$C$7),0.9999)</f>
        <v>0.57435000000000003</v>
      </c>
      <c r="K373" s="84">
        <f>MIN(VLOOKUP($A373,lmic_raw[],11,FALSE)*(1+interactive!$C$7),0.9999)</f>
        <v>0.26250000000000001</v>
      </c>
      <c r="L373" s="33">
        <f>MIN(VLOOKUP($A373,lmic_raw[],12,FALSE)*(1+interactive!$C$7),0.9999)</f>
        <v>0.36749999999999999</v>
      </c>
      <c r="M373" s="84">
        <f>IFERROR(VLOOKUP(lmic_raw_ub[[#This Row],[iso3]], hbv_prev[[iso3]:[ub]],4,FALSE)/100,0)</f>
        <v>6.7900000000000002E-2</v>
      </c>
      <c r="N373" s="84">
        <f>IFERROR(VLOOKUP(lmic_raw_ub[[#This Row],[setting]],hbe_prev[],5,FALSE),0)</f>
        <v>0.47889999999999999</v>
      </c>
      <c r="O373" s="84">
        <f>VLOOKUP(lmic_raw_ub[[#This Row],[gbd_super]],hbe_risk[],4,FALSE)</f>
        <v>0.9</v>
      </c>
      <c r="P373" s="84">
        <f>VLOOKUP(lmic_raw_ub[[#This Row],[gbd_super]],hbe_risk[],7,FALSE)</f>
        <v>0.3</v>
      </c>
      <c r="Q373" s="98">
        <f>VLOOKUP(lmic_raw_ub[[#This Row],[setting]],lmic_raw[],17,FALSE)*(1+interactive!$C$7)</f>
        <v>5.3459904874985043</v>
      </c>
      <c r="R373" s="98">
        <f>VLOOKUP(lmic_raw_ub[[#This Row],[setting]],lmic_raw[],18,FALSE)*(1+interactive!$C$7)</f>
        <v>76.738725000000002</v>
      </c>
      <c r="S373" s="98">
        <f>VLOOKUP(lmic_raw_ub[[#This Row],[setting]],lmic_raw[],19,FALSE)*(1+interactive!$C$7)</f>
        <v>126.867825</v>
      </c>
      <c r="T373" s="98">
        <f>VLOOKUP(lmic_raw_ub[[#This Row],[setting]],lmic_raw[],20,FALSE)*(1+interactive!$C$7)</f>
        <v>126.867825</v>
      </c>
      <c r="U373" s="98">
        <f>VLOOKUP(lmic_raw_ub[[#This Row],[setting]],lmic_raw[],21,FALSE)*(1+interactive!$C$7)</f>
        <v>126.867825</v>
      </c>
      <c r="V373" s="33">
        <f>IFERROR(VLOOKUP(lmic_raw_ub[[#This Row],[setting]],vcost_ub[],3,FALSE),0)</f>
        <v>4.4452051027635839</v>
      </c>
      <c r="W373" s="33">
        <f>IFERROR(VLOOKUP(lmic_raw_ub[[#This Row],[setting]],vcost_ub[],4,FALSE),0)</f>
        <v>5.1090151027635837</v>
      </c>
      <c r="X373" s="33">
        <f>IFERROR(VLOOKUP(lmic_raw_ub[[#This Row],[setting]],vcost_ub[],5,FALSE),0)</f>
        <v>3.9311222707862448</v>
      </c>
      <c r="Y373" s="33">
        <f>IFERROR(VLOOKUP(lmic_raw_ub[[#This Row],[setting]],vcost_ub[],6,FALSE),0)</f>
        <v>4.594932270786245</v>
      </c>
      <c r="Z373" s="33">
        <f>IFERROR(VLOOKUP(lmic_raw_ub[[#This Row],[setting]],vcost_ub[],7,FALSE),0)</f>
        <v>4.5781668171034688</v>
      </c>
      <c r="AA373" s="33">
        <f>IFERROR(VLOOKUP(lmic_raw_ub[[#This Row],[setting]],vcost_ub[],8,FALSE),0)</f>
        <v>4.7179731965432499</v>
      </c>
      <c r="AB373" s="33">
        <f>IFERROR(VLOOKUP(lmic_raw_ub[[#This Row],[setting]],vcost_ub[],9,FALSE),0)</f>
        <v>5.3817831965432497</v>
      </c>
      <c r="AC373" s="84">
        <f>VLOOKUP($A373,lmic_raw[],29,FALSE)*(1+interactive!$C$7)</f>
        <v>4.405847249999998E-2</v>
      </c>
      <c r="AD373" s="84">
        <f>VLOOKUP($A373,lmic_raw[],30,FALSE)*(1+interactive!$C$7)</f>
        <v>3.03119362347827E-3</v>
      </c>
      <c r="AE373" s="84">
        <f>VLOOKUP($A373,lmic_raw[],31,FALSE)*(1+interactive!$C$7)</f>
        <v>1.2297920578149789E-3</v>
      </c>
      <c r="AF373" s="84">
        <f>VLOOKUP($A373,lmic_raw[],32,FALSE)*(1+interactive!$C$7)</f>
        <v>9.7104510172090213E-4</v>
      </c>
      <c r="AG373" s="84">
        <f>VLOOKUP($A373,lmic_raw[],33,FALSE)*(1+interactive!$C$7)</f>
        <v>1.7595462507148725E-3</v>
      </c>
      <c r="AH373" s="84">
        <f>VLOOKUP($A373,lmic_raw[],34,FALSE)*(1+interactive!$C$7)</f>
        <v>2.3735883228267951E-3</v>
      </c>
      <c r="AI373" s="84">
        <f>VLOOKUP($A373,lmic_raw[],35,FALSE)*(1+interactive!$C$7)</f>
        <v>2.5794803963847886E-3</v>
      </c>
      <c r="AJ373" s="84">
        <f>VLOOKUP($A373,lmic_raw[],36,FALSE)*(1+interactive!$C$7)</f>
        <v>2.9988667000573816E-3</v>
      </c>
      <c r="AK373" s="84">
        <f>VLOOKUP($A373,lmic_raw[],37,FALSE)*(1+interactive!$C$7)</f>
        <v>3.8246633108025225E-3</v>
      </c>
      <c r="AL373" s="84">
        <f>VLOOKUP($A373,lmic_raw[],38,FALSE)*(1+interactive!$C$7)</f>
        <v>5.1034100160954792E-3</v>
      </c>
      <c r="AM373" s="84">
        <f>VLOOKUP($A373,lmic_raw[],39,FALSE)*(1+interactive!$C$7)</f>
        <v>7.2077630159116035E-3</v>
      </c>
      <c r="AN373" s="84">
        <f>VLOOKUP($A373,lmic_raw[],40,FALSE)*(1+interactive!$C$7)</f>
        <v>1.0489755547877224E-2</v>
      </c>
      <c r="AO373" s="84">
        <f>VLOOKUP($A373,lmic_raw[],41,FALSE)*(1+interactive!$C$7)</f>
        <v>1.5400901755609332E-2</v>
      </c>
      <c r="AP373" s="84">
        <f>VLOOKUP($A373,lmic_raw[],42,FALSE)*(1+interactive!$C$7)</f>
        <v>2.5488614353958279E-2</v>
      </c>
      <c r="AQ373" s="84">
        <f>VLOOKUP($A373,lmic_raw[],43,FALSE)*(1+interactive!$C$7)</f>
        <v>4.1881185408583425E-2</v>
      </c>
      <c r="AR373" s="84">
        <f>VLOOKUP($A373,lmic_raw[],44,FALSE)*(1+interactive!$C$7)</f>
        <v>6.5071687443200424E-2</v>
      </c>
      <c r="AS373" s="84">
        <f>VLOOKUP($A373,lmic_raw[],45,FALSE)*(1+interactive!$C$7)</f>
        <v>9.4105646333746379E-2</v>
      </c>
      <c r="AT373" s="84">
        <f>VLOOKUP($A373,lmic_raw[],46,FALSE)*(1+interactive!$C$7)</f>
        <v>0.12784274308655114</v>
      </c>
      <c r="AU373" s="84">
        <f>VLOOKUP($A373,lmic_raw[],47,FALSE)*(1+interactive!$C$7)</f>
        <v>0.1607844487902659</v>
      </c>
      <c r="AV373" s="84">
        <f>VLOOKUP($A373,lmic_raw[],48,FALSE)*(1+interactive!$C$7)</f>
        <v>0.18368851298036062</v>
      </c>
      <c r="AW373" s="84">
        <f>VLOOKUP($A373,lmic_raw[],49,FALSE)*(1+interactive!$C$7)</f>
        <v>0.19574218075663177</v>
      </c>
      <c r="AX373" s="84">
        <f>VLOOKUP($A373,lmic_raw[],50,FALSE)*(1+interactive!$C$7)</f>
        <v>67.358549999999994</v>
      </c>
    </row>
    <row r="374" spans="1:50" x14ac:dyDescent="0.25">
      <c r="A374" s="109" t="s">
        <v>271</v>
      </c>
      <c r="B374" s="101" t="s">
        <v>492</v>
      </c>
      <c r="C374" s="102">
        <v>600</v>
      </c>
      <c r="D374" s="82" t="s">
        <v>679</v>
      </c>
      <c r="E374" s="82" t="s">
        <v>595</v>
      </c>
      <c r="F374" s="82" t="s">
        <v>665</v>
      </c>
      <c r="G374" s="82" t="s">
        <v>676</v>
      </c>
      <c r="H374" s="33">
        <f>VLOOKUP(lmic_raw_ub[[#This Row],[setting]],lmic_raw[],8,FALSE)</f>
        <v>7044639</v>
      </c>
      <c r="I374" s="33">
        <f>VLOOKUP(lmic_raw_ub[[#This Row],[setting]],lmic_raw[],9,FALSE)</f>
        <v>145936.74152400001</v>
      </c>
      <c r="J374" s="84">
        <f>MIN(VLOOKUP($A374,lmic_raw[],10,FALSE)*(1+interactive!$C$7),0.9999)</f>
        <v>0.97860000000000014</v>
      </c>
      <c r="K374" s="84">
        <f>MIN(VLOOKUP($A374,lmic_raw[],11,FALSE)*(1+interactive!$C$7),0.9999)</f>
        <v>0</v>
      </c>
      <c r="L374" s="33">
        <f>MIN(VLOOKUP($A374,lmic_raw[],12,FALSE)*(1+interactive!$C$7),0.9999)</f>
        <v>0.90300000000000002</v>
      </c>
      <c r="M374" s="84">
        <f>IFERROR(VLOOKUP(lmic_raw_ub[[#This Row],[iso3]], hbv_prev[[iso3]:[ub]],4,FALSE)/100,0)</f>
        <v>0.20610000000000001</v>
      </c>
      <c r="N374" s="84">
        <f>IFERROR(VLOOKUP(lmic_raw_ub[[#This Row],[setting]],hbe_prev[],5,FALSE),0)</f>
        <v>0.433</v>
      </c>
      <c r="O374" s="84">
        <f>VLOOKUP(lmic_raw_ub[[#This Row],[gbd_super]],hbe_risk[],4,FALSE)</f>
        <v>0.9</v>
      </c>
      <c r="P374" s="84">
        <f>VLOOKUP(lmic_raw_ub[[#This Row],[gbd_super]],hbe_risk[],7,FALSE)</f>
        <v>0.3</v>
      </c>
      <c r="Q374" s="98">
        <f>VLOOKUP(lmic_raw_ub[[#This Row],[setting]],lmic_raw[],17,FALSE)*(1+interactive!$C$7)</f>
        <v>6.8664158127024084</v>
      </c>
      <c r="R374" s="98">
        <f>VLOOKUP(lmic_raw_ub[[#This Row],[setting]],lmic_raw[],18,FALSE)*(1+interactive!$C$7)</f>
        <v>91.228094999999996</v>
      </c>
      <c r="S374" s="98">
        <f>VLOOKUP(lmic_raw_ub[[#This Row],[setting]],lmic_raw[],19,FALSE)*(1+interactive!$C$7)</f>
        <v>141.35719500000002</v>
      </c>
      <c r="T374" s="98">
        <f>VLOOKUP(lmic_raw_ub[[#This Row],[setting]],lmic_raw[],20,FALSE)*(1+interactive!$C$7)</f>
        <v>141.35719500000002</v>
      </c>
      <c r="U374" s="98">
        <f>VLOOKUP(lmic_raw_ub[[#This Row],[setting]],lmic_raw[],21,FALSE)*(1+interactive!$C$7)</f>
        <v>141.35719500000002</v>
      </c>
      <c r="V374" s="33">
        <f>IFERROR(VLOOKUP(lmic_raw_ub[[#This Row],[setting]],vcost_ub[],3,FALSE),0)</f>
        <v>9.2603848964362552</v>
      </c>
      <c r="W374" s="33">
        <f>IFERROR(VLOOKUP(lmic_raw_ub[[#This Row],[setting]],vcost_ub[],4,FALSE),0)</f>
        <v>9.2832748964362555</v>
      </c>
      <c r="X374" s="33">
        <f>IFERROR(VLOOKUP(lmic_raw_ub[[#This Row],[setting]],vcost_ub[],5,FALSE),0)</f>
        <v>8.7440210551789015</v>
      </c>
      <c r="Y374" s="33">
        <f>IFERROR(VLOOKUP(lmic_raw_ub[[#This Row],[setting]],vcost_ub[],6,FALSE),0)</f>
        <v>8.7669110551789018</v>
      </c>
      <c r="Z374" s="33">
        <f>IFERROR(VLOOKUP(lmic_raw_ub[[#This Row],[setting]],vcost_ub[],7,FALSE),0)</f>
        <v>8.748116045923803</v>
      </c>
      <c r="AA374" s="33">
        <f>IFERROR(VLOOKUP(lmic_raw_ub[[#This Row],[setting]],vcost_ub[],8,FALSE),0)</f>
        <v>9.5336707653285639</v>
      </c>
      <c r="AB374" s="33">
        <f>IFERROR(VLOOKUP(lmic_raw_ub[[#This Row],[setting]],vcost_ub[],9,FALSE),0)</f>
        <v>9.5565607653285642</v>
      </c>
      <c r="AC374" s="84">
        <f>VLOOKUP($A374,lmic_raw[],29,FALSE)*(1+interactive!$C$7)</f>
        <v>1.9976155499999947E-2</v>
      </c>
      <c r="AD374" s="84">
        <f>VLOOKUP($A374,lmic_raw[],30,FALSE)*(1+interactive!$C$7)</f>
        <v>6.592395990401873E-4</v>
      </c>
      <c r="AE374" s="84">
        <f>VLOOKUP($A374,lmic_raw[],31,FALSE)*(1+interactive!$C$7)</f>
        <v>5.7916826893027835E-4</v>
      </c>
      <c r="AF374" s="84">
        <f>VLOOKUP($A374,lmic_raw[],32,FALSE)*(1+interactive!$C$7)</f>
        <v>4.7146081707474412E-4</v>
      </c>
      <c r="AG374" s="84">
        <f>VLOOKUP($A374,lmic_raw[],33,FALSE)*(1+interactive!$C$7)</f>
        <v>1.1044011379980467E-3</v>
      </c>
      <c r="AH374" s="84">
        <f>VLOOKUP($A374,lmic_raw[],34,FALSE)*(1+interactive!$C$7)</f>
        <v>1.6797931964436898E-3</v>
      </c>
      <c r="AI374" s="84">
        <f>VLOOKUP($A374,lmic_raw[],35,FALSE)*(1+interactive!$C$7)</f>
        <v>2.0468796893475488E-3</v>
      </c>
      <c r="AJ374" s="84">
        <f>VLOOKUP($A374,lmic_raw[],36,FALSE)*(1+interactive!$C$7)</f>
        <v>2.0848289430453683E-3</v>
      </c>
      <c r="AK374" s="84">
        <f>VLOOKUP($A374,lmic_raw[],37,FALSE)*(1+interactive!$C$7)</f>
        <v>2.4687142816846338E-3</v>
      </c>
      <c r="AL374" s="84">
        <f>VLOOKUP($A374,lmic_raw[],38,FALSE)*(1+interactive!$C$7)</f>
        <v>3.0219827186275883E-3</v>
      </c>
      <c r="AM374" s="84">
        <f>VLOOKUP($A374,lmic_raw[],39,FALSE)*(1+interactive!$C$7)</f>
        <v>4.411863782036984E-3</v>
      </c>
      <c r="AN374" s="84">
        <f>VLOOKUP($A374,lmic_raw[],40,FALSE)*(1+interactive!$C$7)</f>
        <v>6.4042733334096456E-3</v>
      </c>
      <c r="AO374" s="84">
        <f>VLOOKUP($A374,lmic_raw[],41,FALSE)*(1+interactive!$C$7)</f>
        <v>8.9608625956854454E-3</v>
      </c>
      <c r="AP374" s="84">
        <f>VLOOKUP($A374,lmic_raw[],42,FALSE)*(1+interactive!$C$7)</f>
        <v>1.3880028017965946E-2</v>
      </c>
      <c r="AQ374" s="84">
        <f>VLOOKUP($A374,lmic_raw[],43,FALSE)*(1+interactive!$C$7)</f>
        <v>2.0231394411421202E-2</v>
      </c>
      <c r="AR374" s="84">
        <f>VLOOKUP($A374,lmic_raw[],44,FALSE)*(1+interactive!$C$7)</f>
        <v>2.9089567185078994E-2</v>
      </c>
      <c r="AS374" s="84">
        <f>VLOOKUP($A374,lmic_raw[],45,FALSE)*(1+interactive!$C$7)</f>
        <v>4.0901654687201923E-2</v>
      </c>
      <c r="AT374" s="84">
        <f>VLOOKUP($A374,lmic_raw[],46,FALSE)*(1+interactive!$C$7)</f>
        <v>7.3392207369207194E-2</v>
      </c>
      <c r="AU374" s="84">
        <f>VLOOKUP($A374,lmic_raw[],47,FALSE)*(1+interactive!$C$7)</f>
        <v>0.10490435544868519</v>
      </c>
      <c r="AV374" s="84">
        <f>VLOOKUP($A374,lmic_raw[],48,FALSE)*(1+interactive!$C$7)</f>
        <v>0.13548066616516596</v>
      </c>
      <c r="AW374" s="84">
        <f>VLOOKUP($A374,lmic_raw[],49,FALSE)*(1+interactive!$C$7)</f>
        <v>0.16075847424453499</v>
      </c>
      <c r="AX374" s="84">
        <f>VLOOKUP($A374,lmic_raw[],50,FALSE)*(1+interactive!$C$7)</f>
        <v>77.78609999999999</v>
      </c>
    </row>
    <row r="375" spans="1:50" x14ac:dyDescent="0.25">
      <c r="A375" s="110" t="s">
        <v>272</v>
      </c>
      <c r="B375" s="104" t="s">
        <v>493</v>
      </c>
      <c r="C375" s="105">
        <v>604</v>
      </c>
      <c r="D375" s="84" t="s">
        <v>679</v>
      </c>
      <c r="E375" s="84" t="s">
        <v>593</v>
      </c>
      <c r="F375" s="84" t="s">
        <v>665</v>
      </c>
      <c r="G375" s="84" t="s">
        <v>676</v>
      </c>
      <c r="H375" s="33">
        <f>VLOOKUP(lmic_raw_ub[[#This Row],[setting]],lmic_raw[],8,FALSE)</f>
        <v>32510462</v>
      </c>
      <c r="I375" s="33">
        <f>VLOOKUP(lmic_raw_ub[[#This Row],[setting]],lmic_raw[],9,FALSE)</f>
        <v>588374.3412759999</v>
      </c>
      <c r="J375" s="84">
        <f>MIN(VLOOKUP($A375,lmic_raw[],10,FALSE)*(1+interactive!$C$7),0.9999)</f>
        <v>0.95550000000000013</v>
      </c>
      <c r="K375" s="84">
        <f>MIN(VLOOKUP($A375,lmic_raw[],11,FALSE)*(1+interactive!$C$7),0.9999)</f>
        <v>0.86099999999999999</v>
      </c>
      <c r="L375" s="33">
        <f>MIN(VLOOKUP($A375,lmic_raw[],12,FALSE)*(1+interactive!$C$7),0.9999)</f>
        <v>0.92400000000000004</v>
      </c>
      <c r="M375" s="84">
        <f>IFERROR(VLOOKUP(lmic_raw_ub[[#This Row],[iso3]], hbv_prev[[iso3]:[ub]],4,FALSE)/100,0)</f>
        <v>1.9E-2</v>
      </c>
      <c r="N375" s="84">
        <f>IFERROR(VLOOKUP(lmic_raw_ub[[#This Row],[setting]],hbe_prev[],5,FALSE),0)</f>
        <v>0.43020000000000003</v>
      </c>
      <c r="O375" s="84">
        <f>VLOOKUP(lmic_raw_ub[[#This Row],[gbd_super]],hbe_risk[],4,FALSE)</f>
        <v>0.9</v>
      </c>
      <c r="P375" s="84">
        <f>VLOOKUP(lmic_raw_ub[[#This Row],[gbd_super]],hbe_risk[],7,FALSE)</f>
        <v>0.3</v>
      </c>
      <c r="Q375" s="98">
        <f>VLOOKUP(lmic_raw_ub[[#This Row],[setting]],lmic_raw[],17,FALSE)*(1+interactive!$C$7)</f>
        <v>10.542854099056113</v>
      </c>
      <c r="R375" s="98">
        <f>VLOOKUP(lmic_raw_ub[[#This Row],[setting]],lmic_raw[],18,FALSE)*(1+interactive!$C$7)</f>
        <v>91.228094999999996</v>
      </c>
      <c r="S375" s="98">
        <f>VLOOKUP(lmic_raw_ub[[#This Row],[setting]],lmic_raw[],19,FALSE)*(1+interactive!$C$7)</f>
        <v>141.35719500000002</v>
      </c>
      <c r="T375" s="98">
        <f>VLOOKUP(lmic_raw_ub[[#This Row],[setting]],lmic_raw[],20,FALSE)*(1+interactive!$C$7)</f>
        <v>141.35719500000002</v>
      </c>
      <c r="U375" s="98">
        <f>VLOOKUP(lmic_raw_ub[[#This Row],[setting]],lmic_raw[],21,FALSE)*(1+interactive!$C$7)</f>
        <v>141.35719500000002</v>
      </c>
      <c r="V375" s="33">
        <f>IFERROR(VLOOKUP(lmic_raw_ub[[#This Row],[setting]],vcost_ub[],3,FALSE),0)</f>
        <v>7.1990432166571132</v>
      </c>
      <c r="W375" s="33">
        <f>IFERROR(VLOOKUP(lmic_raw_ub[[#This Row],[setting]],vcost_ub[],4,FALSE),0)</f>
        <v>7.2219332166571135</v>
      </c>
      <c r="X375" s="33">
        <f>IFERROR(VLOOKUP(lmic_raw_ub[[#This Row],[setting]],vcost_ub[],5,FALSE),0)</f>
        <v>6.6740316999286851</v>
      </c>
      <c r="Y375" s="33">
        <f>IFERROR(VLOOKUP(lmic_raw_ub[[#This Row],[setting]],vcost_ub[],6,FALSE),0)</f>
        <v>6.6969216999286854</v>
      </c>
      <c r="Z375" s="33">
        <f>IFERROR(VLOOKUP(lmic_raw_ub[[#This Row],[setting]],vcost_ub[],7,FALSE),0)</f>
        <v>6.6737869275266046</v>
      </c>
      <c r="AA375" s="33">
        <f>IFERROR(VLOOKUP(lmic_raw_ub[[#This Row],[setting]],vcost_ub[],8,FALSE),0)</f>
        <v>7.4742920548281315</v>
      </c>
      <c r="AB375" s="33">
        <f>IFERROR(VLOOKUP(lmic_raw_ub[[#This Row],[setting]],vcost_ub[],9,FALSE),0)</f>
        <v>7.4971820548281318</v>
      </c>
      <c r="AC375" s="84">
        <f>VLOOKUP($A375,lmic_raw[],29,FALSE)*(1+interactive!$C$7)</f>
        <v>1.3426759500000015E-2</v>
      </c>
      <c r="AD375" s="84">
        <f>VLOOKUP($A375,lmic_raw[],30,FALSE)*(1+interactive!$C$7)</f>
        <v>9.1898555165335015E-4</v>
      </c>
      <c r="AE375" s="84">
        <f>VLOOKUP($A375,lmic_raw[],31,FALSE)*(1+interactive!$C$7)</f>
        <v>5.196993467326505E-4</v>
      </c>
      <c r="AF375" s="84">
        <f>VLOOKUP($A375,lmic_raw[],32,FALSE)*(1+interactive!$C$7)</f>
        <v>3.5268426491479884E-4</v>
      </c>
      <c r="AG375" s="84">
        <f>VLOOKUP($A375,lmic_raw[],33,FALSE)*(1+interactive!$C$7)</f>
        <v>8.3423264624480308E-4</v>
      </c>
      <c r="AH375" s="84">
        <f>VLOOKUP($A375,lmic_raw[],34,FALSE)*(1+interactive!$C$7)</f>
        <v>1.2393025676174282E-3</v>
      </c>
      <c r="AI375" s="84">
        <f>VLOOKUP($A375,lmic_raw[],35,FALSE)*(1+interactive!$C$7)</f>
        <v>1.6079807878475031E-3</v>
      </c>
      <c r="AJ375" s="84">
        <f>VLOOKUP($A375,lmic_raw[],36,FALSE)*(1+interactive!$C$7)</f>
        <v>1.7676069527859284E-3</v>
      </c>
      <c r="AK375" s="84">
        <f>VLOOKUP($A375,lmic_raw[],37,FALSE)*(1+interactive!$C$7)</f>
        <v>2.1137470717851872E-3</v>
      </c>
      <c r="AL375" s="84">
        <f>VLOOKUP($A375,lmic_raw[],38,FALSE)*(1+interactive!$C$7)</f>
        <v>2.6939064887440017E-3</v>
      </c>
      <c r="AM375" s="84">
        <f>VLOOKUP($A375,lmic_raw[],39,FALSE)*(1+interactive!$C$7)</f>
        <v>3.5935612215692763E-3</v>
      </c>
      <c r="AN375" s="84">
        <f>VLOOKUP($A375,lmic_raw[],40,FALSE)*(1+interactive!$C$7)</f>
        <v>4.9975000639995177E-3</v>
      </c>
      <c r="AO375" s="84">
        <f>VLOOKUP($A375,lmic_raw[],41,FALSE)*(1+interactive!$C$7)</f>
        <v>7.1320586307002031E-3</v>
      </c>
      <c r="AP375" s="84">
        <f>VLOOKUP($A375,lmic_raw[],42,FALSE)*(1+interactive!$C$7)</f>
        <v>1.075482940435377E-2</v>
      </c>
      <c r="AQ375" s="84">
        <f>VLOOKUP($A375,lmic_raw[],43,FALSE)*(1+interactive!$C$7)</f>
        <v>1.603789158604892E-2</v>
      </c>
      <c r="AR375" s="84">
        <f>VLOOKUP($A375,lmic_raw[],44,FALSE)*(1+interactive!$C$7)</f>
        <v>2.7057960046562624E-2</v>
      </c>
      <c r="AS375" s="84">
        <f>VLOOKUP($A375,lmic_raw[],45,FALSE)*(1+interactive!$C$7)</f>
        <v>4.187231319509372E-2</v>
      </c>
      <c r="AT375" s="84">
        <f>VLOOKUP($A375,lmic_raw[],46,FALSE)*(1+interactive!$C$7)</f>
        <v>6.5694086397326934E-2</v>
      </c>
      <c r="AU375" s="84">
        <f>VLOOKUP($A375,lmic_raw[],47,FALSE)*(1+interactive!$C$7)</f>
        <v>9.7817125060168778E-2</v>
      </c>
      <c r="AV375" s="84">
        <f>VLOOKUP($A375,lmic_raw[],48,FALSE)*(1+interactive!$C$7)</f>
        <v>0.12983467794754508</v>
      </c>
      <c r="AW375" s="84">
        <f>VLOOKUP($A375,lmic_raw[],49,FALSE)*(1+interactive!$C$7)</f>
        <v>0.15742495312577165</v>
      </c>
      <c r="AX375" s="84">
        <f>VLOOKUP($A375,lmic_raw[],50,FALSE)*(1+interactive!$C$7)</f>
        <v>80.229450000000014</v>
      </c>
    </row>
    <row r="376" spans="1:50" x14ac:dyDescent="0.25">
      <c r="A376" s="109" t="s">
        <v>654</v>
      </c>
      <c r="B376" s="101" t="s">
        <v>494</v>
      </c>
      <c r="C376" s="102">
        <v>608</v>
      </c>
      <c r="D376" s="82" t="s">
        <v>681</v>
      </c>
      <c r="E376" s="82" t="s">
        <v>598</v>
      </c>
      <c r="F376" s="82" t="s">
        <v>666</v>
      </c>
      <c r="G376" s="82" t="s">
        <v>678</v>
      </c>
      <c r="H376" s="33">
        <f>VLOOKUP(lmic_raw_ub[[#This Row],[setting]],lmic_raw[],8,FALSE)</f>
        <v>108116622</v>
      </c>
      <c r="I376" s="33">
        <f>VLOOKUP(lmic_raw_ub[[#This Row],[setting]],lmic_raw[],9,FALSE)</f>
        <v>2224607.6142720003</v>
      </c>
      <c r="J376" s="84">
        <f>MIN(VLOOKUP($A376,lmic_raw[],10,FALSE)*(1+interactive!$C$7),0.9999)</f>
        <v>0.81585000000000008</v>
      </c>
      <c r="K376" s="84">
        <f>MIN(VLOOKUP($A376,lmic_raw[],11,FALSE)*(1+interactive!$C$7),0.9999)</f>
        <v>0.52500000000000002</v>
      </c>
      <c r="L376" s="33">
        <f>MIN(VLOOKUP($A376,lmic_raw[],12,FALSE)*(1+interactive!$C$7),0.9999)</f>
        <v>0.68250000000000011</v>
      </c>
      <c r="M376" s="84">
        <f>IFERROR(VLOOKUP(lmic_raw_ub[[#This Row],[iso3]], hbv_prev[[iso3]:[ub]],4,FALSE)/100,0)</f>
        <v>4.4999999999999998E-2</v>
      </c>
      <c r="N376" s="84">
        <f>IFERROR(VLOOKUP(lmic_raw_ub[[#This Row],[setting]],hbe_prev[],5,FALSE),0)</f>
        <v>0.4773</v>
      </c>
      <c r="O376" s="84">
        <f>VLOOKUP(lmic_raw_ub[[#This Row],[gbd_super]],hbe_risk[],4,FALSE)</f>
        <v>0.9</v>
      </c>
      <c r="P376" s="84">
        <f>VLOOKUP(lmic_raw_ub[[#This Row],[gbd_super]],hbe_risk[],7,FALSE)</f>
        <v>0.3</v>
      </c>
      <c r="Q376" s="98">
        <f>VLOOKUP(lmic_raw_ub[[#This Row],[setting]],lmic_raw[],17,FALSE)*(1+interactive!$C$7)</f>
        <v>4.9098028942023015</v>
      </c>
      <c r="R376" s="98">
        <f>VLOOKUP(lmic_raw_ub[[#This Row],[setting]],lmic_raw[],18,FALSE)*(1+interactive!$C$7)</f>
        <v>76.738725000000002</v>
      </c>
      <c r="S376" s="98">
        <f>VLOOKUP(lmic_raw_ub[[#This Row],[setting]],lmic_raw[],19,FALSE)*(1+interactive!$C$7)</f>
        <v>126.867825</v>
      </c>
      <c r="T376" s="98">
        <f>VLOOKUP(lmic_raw_ub[[#This Row],[setting]],lmic_raw[],20,FALSE)*(1+interactive!$C$7)</f>
        <v>126.867825</v>
      </c>
      <c r="U376" s="98">
        <f>VLOOKUP(lmic_raw_ub[[#This Row],[setting]],lmic_raw[],21,FALSE)*(1+interactive!$C$7)</f>
        <v>126.867825</v>
      </c>
      <c r="V376" s="33">
        <f>IFERROR(VLOOKUP(lmic_raw_ub[[#This Row],[setting]],vcost_ub[],3,FALSE),0)</f>
        <v>3.5130401439697576</v>
      </c>
      <c r="W376" s="33">
        <f>IFERROR(VLOOKUP(lmic_raw_ub[[#This Row],[setting]],vcost_ub[],4,FALSE),0)</f>
        <v>4.1768501439697578</v>
      </c>
      <c r="X376" s="33">
        <f>IFERROR(VLOOKUP(lmic_raw_ub[[#This Row],[setting]],vcost_ub[],5,FALSE),0)</f>
        <v>2.9920264257207756</v>
      </c>
      <c r="Y376" s="33">
        <f>IFERROR(VLOOKUP(lmic_raw_ub[[#This Row],[setting]],vcost_ub[],6,FALSE),0)</f>
        <v>3.6558364257207758</v>
      </c>
      <c r="Z376" s="33">
        <f>IFERROR(VLOOKUP(lmic_raw_ub[[#This Row],[setting]],vcost_ub[],7,FALSE),0)</f>
        <v>3.635425438654508</v>
      </c>
      <c r="AA376" s="33">
        <f>IFERROR(VLOOKUP(lmic_raw_ub[[#This Row],[setting]],vcost_ub[],8,FALSE),0)</f>
        <v>3.7873815064123115</v>
      </c>
      <c r="AB376" s="33">
        <f>IFERROR(VLOOKUP(lmic_raw_ub[[#This Row],[setting]],vcost_ub[],9,FALSE),0)</f>
        <v>4.4511915064123118</v>
      </c>
      <c r="AC376" s="84">
        <f>VLOOKUP($A376,lmic_raw[],29,FALSE)*(1+interactive!$C$7)</f>
        <v>2.0638337999999968E-2</v>
      </c>
      <c r="AD376" s="84">
        <f>VLOOKUP($A376,lmic_raw[],30,FALSE)*(1+interactive!$C$7)</f>
        <v>2.1465544803824163E-3</v>
      </c>
      <c r="AE376" s="84">
        <f>VLOOKUP($A376,lmic_raw[],31,FALSE)*(1+interactive!$C$7)</f>
        <v>6.436360115665569E-4</v>
      </c>
      <c r="AF376" s="84">
        <f>VLOOKUP($A376,lmic_raw[],32,FALSE)*(1+interactive!$C$7)</f>
        <v>5.5867260014132159E-4</v>
      </c>
      <c r="AG376" s="84">
        <f>VLOOKUP($A376,lmic_raw[],33,FALSE)*(1+interactive!$C$7)</f>
        <v>1.1950531300706849E-3</v>
      </c>
      <c r="AH376" s="84">
        <f>VLOOKUP($A376,lmic_raw[],34,FALSE)*(1+interactive!$C$7)</f>
        <v>1.6716158278059919E-3</v>
      </c>
      <c r="AI376" s="84">
        <f>VLOOKUP($A376,lmic_raw[],35,FALSE)*(1+interactive!$C$7)</f>
        <v>1.826884382083029E-3</v>
      </c>
      <c r="AJ376" s="84">
        <f>VLOOKUP($A376,lmic_raw[],36,FALSE)*(1+interactive!$C$7)</f>
        <v>2.1801471394451923E-3</v>
      </c>
      <c r="AK376" s="84">
        <f>VLOOKUP($A376,lmic_raw[],37,FALSE)*(1+interactive!$C$7)</f>
        <v>2.8934391959445343E-3</v>
      </c>
      <c r="AL376" s="84">
        <f>VLOOKUP($A376,lmic_raw[],38,FALSE)*(1+interactive!$C$7)</f>
        <v>4.061991232646698E-3</v>
      </c>
      <c r="AM376" s="84">
        <f>VLOOKUP($A376,lmic_raw[],39,FALSE)*(1+interactive!$C$7)</f>
        <v>6.0182455659779097E-3</v>
      </c>
      <c r="AN376" s="84">
        <f>VLOOKUP($A376,lmic_raw[],40,FALSE)*(1+interactive!$C$7)</f>
        <v>9.0041804842055512E-3</v>
      </c>
      <c r="AO376" s="84">
        <f>VLOOKUP($A376,lmic_raw[],41,FALSE)*(1+interactive!$C$7)</f>
        <v>1.3434441287582026E-2</v>
      </c>
      <c r="AP376" s="84">
        <f>VLOOKUP($A376,lmic_raw[],42,FALSE)*(1+interactive!$C$7)</f>
        <v>1.8310575699432279E-2</v>
      </c>
      <c r="AQ376" s="84">
        <f>VLOOKUP($A376,lmic_raw[],43,FALSE)*(1+interactive!$C$7)</f>
        <v>2.4708956083751128E-2</v>
      </c>
      <c r="AR376" s="84">
        <f>VLOOKUP($A376,lmic_raw[],44,FALSE)*(1+interactive!$C$7)</f>
        <v>3.5444719476318963E-2</v>
      </c>
      <c r="AS376" s="84">
        <f>VLOOKUP($A376,lmic_raw[],45,FALSE)*(1+interactive!$C$7)</f>
        <v>5.4321709075467496E-2</v>
      </c>
      <c r="AT376" s="84">
        <f>VLOOKUP($A376,lmic_raw[],46,FALSE)*(1+interactive!$C$7)</f>
        <v>7.9794365327861591E-2</v>
      </c>
      <c r="AU376" s="84">
        <f>VLOOKUP($A376,lmic_raw[],47,FALSE)*(1+interactive!$C$7)</f>
        <v>0.10999647594111628</v>
      </c>
      <c r="AV376" s="84">
        <f>VLOOKUP($A376,lmic_raw[],48,FALSE)*(1+interactive!$C$7)</f>
        <v>0.13885622289473876</v>
      </c>
      <c r="AW376" s="84">
        <f>VLOOKUP($A376,lmic_raw[],49,FALSE)*(1+interactive!$C$7)</f>
        <v>0.16463104304132126</v>
      </c>
      <c r="AX376" s="84">
        <f>VLOOKUP($A376,lmic_raw[],50,FALSE)*(1+interactive!$C$7)</f>
        <v>74.586749999999995</v>
      </c>
    </row>
    <row r="377" spans="1:50" x14ac:dyDescent="0.25">
      <c r="A377" s="110" t="s">
        <v>313</v>
      </c>
      <c r="B377" s="104" t="s">
        <v>500</v>
      </c>
      <c r="C377" s="105">
        <v>642</v>
      </c>
      <c r="D377" s="84" t="s">
        <v>675</v>
      </c>
      <c r="E377" s="84" t="s">
        <v>580</v>
      </c>
      <c r="F377" s="84" t="s">
        <v>663</v>
      </c>
      <c r="G377" s="84" t="s">
        <v>676</v>
      </c>
      <c r="H377" s="33">
        <f>VLOOKUP(lmic_raw_ub[[#This Row],[setting]],lmic_raw[],8,FALSE)</f>
        <v>19364558</v>
      </c>
      <c r="I377" s="33">
        <f>VLOOKUP(lmic_raw_ub[[#This Row],[setting]],lmic_raw[],9,FALSE)</f>
        <v>189462.83547200004</v>
      </c>
      <c r="J377" s="84">
        <f>MIN(VLOOKUP($A377,lmic_raw[],10,FALSE)*(1+interactive!$C$7),0.9999)</f>
        <v>0.99645000000000006</v>
      </c>
      <c r="K377" s="84">
        <f>MIN(VLOOKUP($A377,lmic_raw[],11,FALSE)*(1+interactive!$C$7),0.9999)</f>
        <v>0.99990000000000001</v>
      </c>
      <c r="L377" s="33">
        <f>MIN(VLOOKUP($A377,lmic_raw[],12,FALSE)*(1+interactive!$C$7),0.9999)</f>
        <v>0.94500000000000006</v>
      </c>
      <c r="M377" s="84">
        <f>IFERROR(VLOOKUP(lmic_raw_ub[[#This Row],[iso3]], hbv_prev[[iso3]:[ub]],4,FALSE)/100,0)</f>
        <v>5.8400000000000001E-2</v>
      </c>
      <c r="N377" s="84">
        <f>IFERROR(VLOOKUP(lmic_raw_ub[[#This Row],[setting]],hbe_prev[],5,FALSE),0)</f>
        <v>0.42849999999999999</v>
      </c>
      <c r="O377" s="84">
        <f>VLOOKUP(lmic_raw_ub[[#This Row],[gbd_super]],hbe_risk[],4,FALSE)</f>
        <v>0.9</v>
      </c>
      <c r="P377" s="84">
        <f>VLOOKUP(lmic_raw_ub[[#This Row],[gbd_super]],hbe_risk[],7,FALSE)</f>
        <v>0.3</v>
      </c>
      <c r="Q377" s="98">
        <f>VLOOKUP(lmic_raw_ub[[#This Row],[setting]],lmic_raw[],17,FALSE)*(1+interactive!$C$7)</f>
        <v>14.14451736941618</v>
      </c>
      <c r="R377" s="98">
        <f>VLOOKUP(lmic_raw_ub[[#This Row],[setting]],lmic_raw[],18,FALSE)*(1+interactive!$C$7)</f>
        <v>46.76427000000001</v>
      </c>
      <c r="S377" s="98">
        <f>VLOOKUP(lmic_raw_ub[[#This Row],[setting]],lmic_raw[],19,FALSE)*(1+interactive!$C$7)</f>
        <v>96.893370000000019</v>
      </c>
      <c r="T377" s="98">
        <f>VLOOKUP(lmic_raw_ub[[#This Row],[setting]],lmic_raw[],20,FALSE)*(1+interactive!$C$7)</f>
        <v>96.893370000000019</v>
      </c>
      <c r="U377" s="98">
        <f>VLOOKUP(lmic_raw_ub[[#This Row],[setting]],lmic_raw[],21,FALSE)*(1+interactive!$C$7)</f>
        <v>96.893370000000019</v>
      </c>
      <c r="V377" s="33">
        <f>IFERROR(VLOOKUP(lmic_raw_ub[[#This Row],[setting]],vcost_ub[],3,FALSE),0)</f>
        <v>10.437962773632282</v>
      </c>
      <c r="W377" s="33">
        <f>IFERROR(VLOOKUP(lmic_raw_ub[[#This Row],[setting]],vcost_ub[],4,FALSE),0)</f>
        <v>14.706947773632283</v>
      </c>
      <c r="X377" s="33">
        <f>IFERROR(VLOOKUP(lmic_raw_ub[[#This Row],[setting]],vcost_ub[],5,FALSE),0)</f>
        <v>9.878456524708394</v>
      </c>
      <c r="Y377" s="33">
        <f>IFERROR(VLOOKUP(lmic_raw_ub[[#This Row],[setting]],vcost_ub[],6,FALSE),0)</f>
        <v>14.147441524708395</v>
      </c>
      <c r="Z377" s="33">
        <f>IFERROR(VLOOKUP(lmic_raw_ub[[#This Row],[setting]],vcost_ub[],7,FALSE),0)</f>
        <v>14.105822618942742</v>
      </c>
      <c r="AA377" s="33">
        <f>IFERROR(VLOOKUP(lmic_raw_ub[[#This Row],[setting]],vcost_ub[],8,FALSE),0)</f>
        <v>10.721041704387547</v>
      </c>
      <c r="AB377" s="33">
        <f>IFERROR(VLOOKUP(lmic_raw_ub[[#This Row],[setting]],vcost_ub[],9,FALSE),0)</f>
        <v>14.990026704387548</v>
      </c>
      <c r="AC377" s="84">
        <f>VLOOKUP($A377,lmic_raw[],29,FALSE)*(1+interactive!$C$7)</f>
        <v>7.0184519999999901E-3</v>
      </c>
      <c r="AD377" s="84">
        <f>VLOOKUP($A377,lmic_raw[],30,FALSE)*(1+interactive!$C$7)</f>
        <v>3.1834325773710554E-4</v>
      </c>
      <c r="AE377" s="84">
        <f>VLOOKUP($A377,lmic_raw[],31,FALSE)*(1+interactive!$C$7)</f>
        <v>1.4962940693952795E-4</v>
      </c>
      <c r="AF377" s="84">
        <f>VLOOKUP($A377,lmic_raw[],32,FALSE)*(1+interactive!$C$7)</f>
        <v>2.0458284709961075E-4</v>
      </c>
      <c r="AG377" s="84">
        <f>VLOOKUP($A377,lmic_raw[],33,FALSE)*(1+interactive!$C$7)</f>
        <v>3.7920874231048008E-4</v>
      </c>
      <c r="AH377" s="84">
        <f>VLOOKUP($A377,lmic_raw[],34,FALSE)*(1+interactive!$C$7)</f>
        <v>4.9271677979517009E-4</v>
      </c>
      <c r="AI377" s="84">
        <f>VLOOKUP($A377,lmic_raw[],35,FALSE)*(1+interactive!$C$7)</f>
        <v>6.8378951808910923E-4</v>
      </c>
      <c r="AJ377" s="84">
        <f>VLOOKUP($A377,lmic_raw[],36,FALSE)*(1+interactive!$C$7)</f>
        <v>7.8254756719900031E-4</v>
      </c>
      <c r="AK377" s="84">
        <f>VLOOKUP($A377,lmic_raw[],37,FALSE)*(1+interactive!$C$7)</f>
        <v>1.2626091406555792E-3</v>
      </c>
      <c r="AL377" s="84">
        <f>VLOOKUP($A377,lmic_raw[],38,FALSE)*(1+interactive!$C$7)</f>
        <v>2.356641519909749E-3</v>
      </c>
      <c r="AM377" s="84">
        <f>VLOOKUP($A377,lmic_raw[],39,FALSE)*(1+interactive!$C$7)</f>
        <v>3.7139673608463765E-3</v>
      </c>
      <c r="AN377" s="84">
        <f>VLOOKUP($A377,lmic_raw[],40,FALSE)*(1+interactive!$C$7)</f>
        <v>6.6573697632187744E-3</v>
      </c>
      <c r="AO377" s="84">
        <f>VLOOKUP($A377,lmic_raw[],41,FALSE)*(1+interactive!$C$7)</f>
        <v>1.1168292730980739E-2</v>
      </c>
      <c r="AP377" s="84">
        <f>VLOOKUP($A377,lmic_raw[],42,FALSE)*(1+interactive!$C$7)</f>
        <v>1.612834392871175E-2</v>
      </c>
      <c r="AQ377" s="84">
        <f>VLOOKUP($A377,lmic_raw[],43,FALSE)*(1+interactive!$C$7)</f>
        <v>2.0966345575680733E-2</v>
      </c>
      <c r="AR377" s="84">
        <f>VLOOKUP($A377,lmic_raw[],44,FALSE)*(1+interactive!$C$7)</f>
        <v>3.0368320793221909E-2</v>
      </c>
      <c r="AS377" s="84">
        <f>VLOOKUP($A377,lmic_raw[],45,FALSE)*(1+interactive!$C$7)</f>
        <v>4.855983006970082E-2</v>
      </c>
      <c r="AT377" s="84">
        <f>VLOOKUP($A377,lmic_raw[],46,FALSE)*(1+interactive!$C$7)</f>
        <v>7.719790908925693E-2</v>
      </c>
      <c r="AU377" s="84">
        <f>VLOOKUP($A377,lmic_raw[],47,FALSE)*(1+interactive!$C$7)</f>
        <v>0.1140872377370121</v>
      </c>
      <c r="AV377" s="84">
        <f>VLOOKUP($A377,lmic_raw[],48,FALSE)*(1+interactive!$C$7)</f>
        <v>0.149963715098276</v>
      </c>
      <c r="AW377" s="84">
        <f>VLOOKUP($A377,lmic_raw[],49,FALSE)*(1+interactive!$C$7)</f>
        <v>0.1767863205967124</v>
      </c>
      <c r="AX377" s="84">
        <f>VLOOKUP($A377,lmic_raw[],50,FALSE)*(1+interactive!$C$7)</f>
        <v>79.618350000000007</v>
      </c>
    </row>
    <row r="378" spans="1:50" x14ac:dyDescent="0.25">
      <c r="A378" s="109" t="s">
        <v>641</v>
      </c>
      <c r="B378" s="101" t="s">
        <v>501</v>
      </c>
      <c r="C378" s="102">
        <v>643</v>
      </c>
      <c r="D378" s="82" t="s">
        <v>675</v>
      </c>
      <c r="E378" s="82" t="s">
        <v>306</v>
      </c>
      <c r="F378" s="82" t="s">
        <v>663</v>
      </c>
      <c r="G378" s="82" t="s">
        <v>676</v>
      </c>
      <c r="H378" s="33">
        <f>VLOOKUP(lmic_raw_ub[[#This Row],[setting]],lmic_raw[],8,FALSE)</f>
        <v>145872260</v>
      </c>
      <c r="I378" s="33">
        <f>VLOOKUP(lmic_raw_ub[[#This Row],[setting]],lmic_raw[],9,FALSE)</f>
        <v>1862788.7602000001</v>
      </c>
      <c r="J378" s="84">
        <f>MIN(VLOOKUP($A378,lmic_raw[],10,FALSE)*(1+interactive!$C$7),0.9999)</f>
        <v>0.99990000000000001</v>
      </c>
      <c r="K378" s="84">
        <f>MIN(VLOOKUP($A378,lmic_raw[],11,FALSE)*(1+interactive!$C$7),0.9999)</f>
        <v>0</v>
      </c>
      <c r="L378" s="33">
        <f>MIN(VLOOKUP($A378,lmic_raw[],12,FALSE)*(1+interactive!$C$7),0.9999)</f>
        <v>0.99990000000000001</v>
      </c>
      <c r="M378" s="84">
        <f>IFERROR(VLOOKUP(lmic_raw_ub[[#This Row],[iso3]], hbv_prev[[iso3]:[ub]],4,FALSE)/100,0)</f>
        <v>3.5299999999999998E-2</v>
      </c>
      <c r="N378" s="84">
        <f>IFERROR(VLOOKUP(lmic_raw_ub[[#This Row],[setting]],hbe_prev[],5,FALSE),0)</f>
        <v>0.42969999999999997</v>
      </c>
      <c r="O378" s="84">
        <f>VLOOKUP(lmic_raw_ub[[#This Row],[gbd_super]],hbe_risk[],4,FALSE)</f>
        <v>0.9</v>
      </c>
      <c r="P378" s="84">
        <f>VLOOKUP(lmic_raw_ub[[#This Row],[gbd_super]],hbe_risk[],7,FALSE)</f>
        <v>0.3</v>
      </c>
      <c r="Q378" s="98">
        <f>VLOOKUP(lmic_raw_ub[[#This Row],[setting]],lmic_raw[],17,FALSE)*(1+interactive!$C$7)</f>
        <v>18.655943334365467</v>
      </c>
      <c r="R378" s="98">
        <f>VLOOKUP(lmic_raw_ub[[#This Row],[setting]],lmic_raw[],18,FALSE)*(1+interactive!$C$7)</f>
        <v>46.76427000000001</v>
      </c>
      <c r="S378" s="98">
        <f>VLOOKUP(lmic_raw_ub[[#This Row],[setting]],lmic_raw[],19,FALSE)*(1+interactive!$C$7)</f>
        <v>96.893370000000019</v>
      </c>
      <c r="T378" s="98">
        <f>VLOOKUP(lmic_raw_ub[[#This Row],[setting]],lmic_raw[],20,FALSE)*(1+interactive!$C$7)</f>
        <v>96.893370000000019</v>
      </c>
      <c r="U378" s="98">
        <f>VLOOKUP(lmic_raw_ub[[#This Row],[setting]],lmic_raw[],21,FALSE)*(1+interactive!$C$7)</f>
        <v>96.893370000000019</v>
      </c>
      <c r="V378" s="33">
        <f>IFERROR(VLOOKUP(lmic_raw_ub[[#This Row],[setting]],vcost_ub[],3,FALSE),0)</f>
        <v>10.25621022188548</v>
      </c>
      <c r="W378" s="33">
        <f>IFERROR(VLOOKUP(lmic_raw_ub[[#This Row],[setting]],vcost_ub[],4,FALSE),0)</f>
        <v>14.525195221885481</v>
      </c>
      <c r="X378" s="33">
        <f>IFERROR(VLOOKUP(lmic_raw_ub[[#This Row],[setting]],vcost_ub[],5,FALSE),0)</f>
        <v>9.7043162758120829</v>
      </c>
      <c r="Y378" s="33">
        <f>IFERROR(VLOOKUP(lmic_raw_ub[[#This Row],[setting]],vcost_ub[],6,FALSE),0)</f>
        <v>13.973301275812084</v>
      </c>
      <c r="Z378" s="33">
        <f>IFERROR(VLOOKUP(lmic_raw_ub[[#This Row],[setting]],vcost_ub[],7,FALSE),0)</f>
        <v>13.935668006164796</v>
      </c>
      <c r="AA378" s="33">
        <f>IFERROR(VLOOKUP(lmic_raw_ub[[#This Row],[setting]],vcost_ub[],8,FALSE),0)</f>
        <v>10.537561206594926</v>
      </c>
      <c r="AB378" s="33">
        <f>IFERROR(VLOOKUP(lmic_raw_ub[[#This Row],[setting]],vcost_ub[],9,FALSE),0)</f>
        <v>14.806546206594927</v>
      </c>
      <c r="AC378" s="84">
        <f>VLOOKUP($A378,lmic_raw[],29,FALSE)*(1+interactive!$C$7)</f>
        <v>6.0464565000000296E-3</v>
      </c>
      <c r="AD378" s="84">
        <f>VLOOKUP($A378,lmic_raw[],30,FALSE)*(1+interactive!$C$7)</f>
        <v>3.5774496008498814E-4</v>
      </c>
      <c r="AE378" s="84">
        <f>VLOOKUP($A378,lmic_raw[],31,FALSE)*(1+interactive!$C$7)</f>
        <v>2.0700584018428213E-4</v>
      </c>
      <c r="AF378" s="84">
        <f>VLOOKUP($A378,lmic_raw[],32,FALSE)*(1+interactive!$C$7)</f>
        <v>2.7298092993022471E-4</v>
      </c>
      <c r="AG378" s="84">
        <f>VLOOKUP($A378,lmic_raw[],33,FALSE)*(1+interactive!$C$7)</f>
        <v>6.5764226295985642E-4</v>
      </c>
      <c r="AH378" s="84">
        <f>VLOOKUP($A378,lmic_raw[],34,FALSE)*(1+interactive!$C$7)</f>
        <v>1.1661859369565123E-3</v>
      </c>
      <c r="AI378" s="84">
        <f>VLOOKUP($A378,lmic_raw[],35,FALSE)*(1+interactive!$C$7)</f>
        <v>1.8728691953136306E-3</v>
      </c>
      <c r="AJ378" s="84">
        <f>VLOOKUP($A378,lmic_raw[],36,FALSE)*(1+interactive!$C$7)</f>
        <v>3.1430717674886437E-3</v>
      </c>
      <c r="AK378" s="84">
        <f>VLOOKUP($A378,lmic_raw[],37,FALSE)*(1+interactive!$C$7)</f>
        <v>4.6093032032654673E-3</v>
      </c>
      <c r="AL378" s="84">
        <f>VLOOKUP($A378,lmic_raw[],38,FALSE)*(1+interactive!$C$7)</f>
        <v>5.5311588229761529E-3</v>
      </c>
      <c r="AM378" s="84">
        <f>VLOOKUP($A378,lmic_raw[],39,FALSE)*(1+interactive!$C$7)</f>
        <v>6.796692394021967E-3</v>
      </c>
      <c r="AN378" s="84">
        <f>VLOOKUP($A378,lmic_raw[],40,FALSE)*(1+interactive!$C$7)</f>
        <v>9.2742136261744039E-3</v>
      </c>
      <c r="AO378" s="84">
        <f>VLOOKUP($A378,lmic_raw[],41,FALSE)*(1+interactive!$C$7)</f>
        <v>1.2947815628750636E-2</v>
      </c>
      <c r="AP378" s="84">
        <f>VLOOKUP($A378,lmic_raw[],42,FALSE)*(1+interactive!$C$7)</f>
        <v>1.862264817536869E-2</v>
      </c>
      <c r="AQ378" s="84">
        <f>VLOOKUP($A378,lmic_raw[],43,FALSE)*(1+interactive!$C$7)</f>
        <v>2.517794933955975E-2</v>
      </c>
      <c r="AR378" s="84">
        <f>VLOOKUP($A378,lmic_raw[],44,FALSE)*(1+interactive!$C$7)</f>
        <v>3.4732336754161791E-2</v>
      </c>
      <c r="AS378" s="84">
        <f>VLOOKUP($A378,lmic_raw[],45,FALSE)*(1+interactive!$C$7)</f>
        <v>5.2165040151178954E-2</v>
      </c>
      <c r="AT378" s="84">
        <f>VLOOKUP($A378,lmic_raw[],46,FALSE)*(1+interactive!$C$7)</f>
        <v>7.845871077585416E-2</v>
      </c>
      <c r="AU378" s="84">
        <f>VLOOKUP($A378,lmic_raw[],47,FALSE)*(1+interactive!$C$7)</f>
        <v>0.10570432653906629</v>
      </c>
      <c r="AV378" s="84">
        <f>VLOOKUP($A378,lmic_raw[],48,FALSE)*(1+interactive!$C$7)</f>
        <v>0.13830285190340175</v>
      </c>
      <c r="AW378" s="84">
        <f>VLOOKUP($A378,lmic_raw[],49,FALSE)*(1+interactive!$C$7)</f>
        <v>0.16643607731717763</v>
      </c>
      <c r="AX378" s="84">
        <f>VLOOKUP($A378,lmic_raw[],50,FALSE)*(1+interactive!$C$7)</f>
        <v>75.903450000000007</v>
      </c>
    </row>
    <row r="379" spans="1:50" x14ac:dyDescent="0.25">
      <c r="A379" s="110" t="s">
        <v>113</v>
      </c>
      <c r="B379" s="104" t="s">
        <v>502</v>
      </c>
      <c r="C379" s="105">
        <v>646</v>
      </c>
      <c r="D379" s="84" t="s">
        <v>677</v>
      </c>
      <c r="E379" s="84" t="s">
        <v>597</v>
      </c>
      <c r="F379" s="84" t="s">
        <v>667</v>
      </c>
      <c r="G379" s="84" t="s">
        <v>674</v>
      </c>
      <c r="H379" s="33">
        <f>VLOOKUP(lmic_raw_ub[[#This Row],[setting]],lmic_raw[],8,FALSE)</f>
        <v>12626938</v>
      </c>
      <c r="I379" s="33">
        <f>VLOOKUP(lmic_raw_ub[[#This Row],[setting]],lmic_raw[],9,FALSE)</f>
        <v>405248.948172</v>
      </c>
      <c r="J379" s="84">
        <f>MIN(VLOOKUP($A379,lmic_raw[],10,FALSE)*(1+interactive!$C$7),0.9999)</f>
        <v>0.95235000000000003</v>
      </c>
      <c r="K379" s="84">
        <f>MIN(VLOOKUP($A379,lmic_raw[],11,FALSE)*(1+interactive!$C$7),0.9999)</f>
        <v>0</v>
      </c>
      <c r="L379" s="33">
        <f>MIN(VLOOKUP($A379,lmic_raw[],12,FALSE)*(1+interactive!$C$7),0.9999)</f>
        <v>0.99990000000000001</v>
      </c>
      <c r="M379" s="84">
        <f>IFERROR(VLOOKUP(lmic_raw_ub[[#This Row],[iso3]], hbv_prev[[iso3]:[ub]],4,FALSE)/100,0)</f>
        <v>7.7399999999999997E-2</v>
      </c>
      <c r="N379" s="84">
        <f>IFERROR(VLOOKUP(lmic_raw_ub[[#This Row],[setting]],hbe_prev[],5,FALSE),0)</f>
        <v>0.39960000000000001</v>
      </c>
      <c r="O379" s="84">
        <f>VLOOKUP(lmic_raw_ub[[#This Row],[gbd_super]],hbe_risk[],4,FALSE)</f>
        <v>0.74399999999999999</v>
      </c>
      <c r="P379" s="84">
        <f>VLOOKUP(lmic_raw_ub[[#This Row],[gbd_super]],hbe_risk[],7,FALSE)</f>
        <v>0.13300000000000001</v>
      </c>
      <c r="Q379" s="98">
        <f>VLOOKUP(lmic_raw_ub[[#This Row],[setting]],lmic_raw[],17,FALSE)*(1+interactive!$C$7)</f>
        <v>3.0279649916958293</v>
      </c>
      <c r="R379" s="98">
        <f>VLOOKUP(lmic_raw_ub[[#This Row],[setting]],lmic_raw[],18,FALSE)*(1+interactive!$C$7)</f>
        <v>31.416525000000004</v>
      </c>
      <c r="S379" s="98">
        <f>VLOOKUP(lmic_raw_ub[[#This Row],[setting]],lmic_raw[],19,FALSE)*(1+interactive!$C$7)</f>
        <v>81.545625000000015</v>
      </c>
      <c r="T379" s="98">
        <f>VLOOKUP(lmic_raw_ub[[#This Row],[setting]],lmic_raw[],20,FALSE)*(1+interactive!$C$7)</f>
        <v>81.545625000000015</v>
      </c>
      <c r="U379" s="98">
        <f>VLOOKUP(lmic_raw_ub[[#This Row],[setting]],lmic_raw[],21,FALSE)*(1+interactive!$C$7)</f>
        <v>81.545625000000015</v>
      </c>
      <c r="V379" s="33">
        <f>IFERROR(VLOOKUP(lmic_raw_ub[[#This Row],[setting]],vcost_ub[],3,FALSE),0)</f>
        <v>6.6315826784578737</v>
      </c>
      <c r="W379" s="33">
        <f>IFERROR(VLOOKUP(lmic_raw_ub[[#This Row],[setting]],vcost_ub[],4,FALSE),0)</f>
        <v>11.701717678457875</v>
      </c>
      <c r="X379" s="33">
        <f>IFERROR(VLOOKUP(lmic_raw_ub[[#This Row],[setting]],vcost_ub[],5,FALSE),0)</f>
        <v>6.1347528910034841</v>
      </c>
      <c r="Y379" s="33">
        <f>IFERROR(VLOOKUP(lmic_raw_ub[[#This Row],[setting]],vcost_ub[],6,FALSE),0)</f>
        <v>11.204887891003484</v>
      </c>
      <c r="Z379" s="33">
        <f>IFERROR(VLOOKUP(lmic_raw_ub[[#This Row],[setting]],vcost_ub[],7,FALSE),0)</f>
        <v>11.197699485784369</v>
      </c>
      <c r="AA379" s="33">
        <f>IFERROR(VLOOKUP(lmic_raw_ub[[#This Row],[setting]],vcost_ub[],8,FALSE),0)</f>
        <v>6.9004344369777284</v>
      </c>
      <c r="AB379" s="33">
        <f>IFERROR(VLOOKUP(lmic_raw_ub[[#This Row],[setting]],vcost_ub[],9,FALSE),0)</f>
        <v>11.97056943697773</v>
      </c>
      <c r="AC379" s="84">
        <f>VLOOKUP($A379,lmic_raw[],29,FALSE)*(1+interactive!$C$7)</f>
        <v>3.0654372000000079E-2</v>
      </c>
      <c r="AD379" s="84">
        <f>VLOOKUP($A379,lmic_raw[],30,FALSE)*(1+interactive!$C$7)</f>
        <v>2.4909484688053016E-3</v>
      </c>
      <c r="AE379" s="84">
        <f>VLOOKUP($A379,lmic_raw[],31,FALSE)*(1+interactive!$C$7)</f>
        <v>9.9582778815158102E-4</v>
      </c>
      <c r="AF379" s="84">
        <f>VLOOKUP($A379,lmic_raw[],32,FALSE)*(1+interactive!$C$7)</f>
        <v>7.7091027859474588E-4</v>
      </c>
      <c r="AG379" s="84">
        <f>VLOOKUP($A379,lmic_raw[],33,FALSE)*(1+interactive!$C$7)</f>
        <v>1.3471433721220184E-3</v>
      </c>
      <c r="AH379" s="84">
        <f>VLOOKUP($A379,lmic_raw[],34,FALSE)*(1+interactive!$C$7)</f>
        <v>2.0279120052268222E-3</v>
      </c>
      <c r="AI379" s="84">
        <f>VLOOKUP($A379,lmic_raw[],35,FALSE)*(1+interactive!$C$7)</f>
        <v>2.4482049791448727E-3</v>
      </c>
      <c r="AJ379" s="84">
        <f>VLOOKUP($A379,lmic_raw[],36,FALSE)*(1+interactive!$C$7)</f>
        <v>2.9457602370713061E-3</v>
      </c>
      <c r="AK379" s="84">
        <f>VLOOKUP($A379,lmic_raw[],37,FALSE)*(1+interactive!$C$7)</f>
        <v>3.6939413007960149E-3</v>
      </c>
      <c r="AL379" s="84">
        <f>VLOOKUP($A379,lmic_raw[],38,FALSE)*(1+interactive!$C$7)</f>
        <v>4.7426844855669422E-3</v>
      </c>
      <c r="AM379" s="84">
        <f>VLOOKUP($A379,lmic_raw[],39,FALSE)*(1+interactive!$C$7)</f>
        <v>6.1139704638213371E-3</v>
      </c>
      <c r="AN379" s="84">
        <f>VLOOKUP($A379,lmic_raw[],40,FALSE)*(1+interactive!$C$7)</f>
        <v>8.837210710149826E-3</v>
      </c>
      <c r="AO379" s="84">
        <f>VLOOKUP($A379,lmic_raw[],41,FALSE)*(1+interactive!$C$7)</f>
        <v>1.1905570264579857E-2</v>
      </c>
      <c r="AP379" s="84">
        <f>VLOOKUP($A379,lmic_raw[],42,FALSE)*(1+interactive!$C$7)</f>
        <v>1.7797746980497641E-2</v>
      </c>
      <c r="AQ379" s="84">
        <f>VLOOKUP($A379,lmic_raw[],43,FALSE)*(1+interactive!$C$7)</f>
        <v>2.7382773098479352E-2</v>
      </c>
      <c r="AR379" s="84">
        <f>VLOOKUP($A379,lmic_raw[],44,FALSE)*(1+interactive!$C$7)</f>
        <v>4.2356243392157364E-2</v>
      </c>
      <c r="AS379" s="84">
        <f>VLOOKUP($A379,lmic_raw[],45,FALSE)*(1+interactive!$C$7)</f>
        <v>6.5541076566441619E-2</v>
      </c>
      <c r="AT379" s="84">
        <f>VLOOKUP($A379,lmic_raw[],46,FALSE)*(1+interactive!$C$7)</f>
        <v>9.9793804988603949E-2</v>
      </c>
      <c r="AU379" s="84">
        <f>VLOOKUP($A379,lmic_raw[],47,FALSE)*(1+interactive!$C$7)</f>
        <v>0.14126396326921803</v>
      </c>
      <c r="AV379" s="84">
        <f>VLOOKUP($A379,lmic_raw[],48,FALSE)*(1+interactive!$C$7)</f>
        <v>0.18033380815689359</v>
      </c>
      <c r="AW379" s="84">
        <f>VLOOKUP($A379,lmic_raw[],49,FALSE)*(1+interactive!$C$7)</f>
        <v>0.19646060307566926</v>
      </c>
      <c r="AX379" s="84">
        <f>VLOOKUP($A379,lmic_raw[],50,FALSE)*(1+interactive!$C$7)</f>
        <v>71.85990000000001</v>
      </c>
    </row>
    <row r="380" spans="1:50" x14ac:dyDescent="0.25">
      <c r="A380" s="109" t="s">
        <v>245</v>
      </c>
      <c r="B380" s="101" t="s">
        <v>503</v>
      </c>
      <c r="C380" s="102">
        <v>662</v>
      </c>
      <c r="D380" s="82" t="s">
        <v>679</v>
      </c>
      <c r="E380" s="82" t="s">
        <v>223</v>
      </c>
      <c r="F380" s="82" t="s">
        <v>665</v>
      </c>
      <c r="G380" s="82" t="s">
        <v>676</v>
      </c>
      <c r="H380" s="33">
        <f>VLOOKUP(lmic_raw_ub[[#This Row],[setting]],lmic_raw[],8,FALSE)</f>
        <v>182795</v>
      </c>
      <c r="I380" s="33">
        <f>VLOOKUP(lmic_raw_ub[[#This Row],[setting]],lmic_raw[],9,FALSE)</f>
        <v>2212.9162699999997</v>
      </c>
      <c r="J380" s="84">
        <f>MIN(VLOOKUP($A380,lmic_raw[],10,FALSE)*(1+interactive!$C$7),0.9999)</f>
        <v>0.99990000000000001</v>
      </c>
      <c r="K380" s="84">
        <f>MIN(VLOOKUP($A380,lmic_raw[],11,FALSE)*(1+interactive!$C$7),0.9999)</f>
        <v>0.89249999999999996</v>
      </c>
      <c r="L380" s="33">
        <f>MIN(VLOOKUP($A380,lmic_raw[],12,FALSE)*(1+interactive!$C$7),0.9999)</f>
        <v>0.96600000000000008</v>
      </c>
      <c r="M380" s="84">
        <f>IFERROR(VLOOKUP(lmic_raw_ub[[#This Row],[iso3]], hbv_prev[[iso3]:[ub]],4,FALSE)/100,0)</f>
        <v>9.1899999999999996E-2</v>
      </c>
      <c r="N380" s="84">
        <f>IFERROR(VLOOKUP(lmic_raw_ub[[#This Row],[setting]],hbe_prev[],5,FALSE),0)</f>
        <v>0.43</v>
      </c>
      <c r="O380" s="84">
        <f>VLOOKUP(lmic_raw_ub[[#This Row],[gbd_super]],hbe_risk[],4,FALSE)</f>
        <v>0.9</v>
      </c>
      <c r="P380" s="84">
        <f>VLOOKUP(lmic_raw_ub[[#This Row],[gbd_super]],hbe_risk[],7,FALSE)</f>
        <v>0.3</v>
      </c>
      <c r="Q380" s="98">
        <f>VLOOKUP(lmic_raw_ub[[#This Row],[setting]],lmic_raw[],17,FALSE)*(1+interactive!$C$7)</f>
        <v>14.842417518690104</v>
      </c>
      <c r="R380" s="98">
        <f>VLOOKUP(lmic_raw_ub[[#This Row],[setting]],lmic_raw[],18,FALSE)*(1+interactive!$C$7)</f>
        <v>91.228094999999996</v>
      </c>
      <c r="S380" s="98">
        <f>VLOOKUP(lmic_raw_ub[[#This Row],[setting]],lmic_raw[],19,FALSE)*(1+interactive!$C$7)</f>
        <v>141.35719500000002</v>
      </c>
      <c r="T380" s="98">
        <f>VLOOKUP(lmic_raw_ub[[#This Row],[setting]],lmic_raw[],20,FALSE)*(1+interactive!$C$7)</f>
        <v>141.35719500000002</v>
      </c>
      <c r="U380" s="98">
        <f>VLOOKUP(lmic_raw_ub[[#This Row],[setting]],lmic_raw[],21,FALSE)*(1+interactive!$C$7)</f>
        <v>141.35719500000002</v>
      </c>
      <c r="V380" s="33">
        <f>IFERROR(VLOOKUP(lmic_raw_ub[[#This Row],[setting]],vcost_ub[],3,FALSE),0)</f>
        <v>32.016030974689421</v>
      </c>
      <c r="W380" s="33">
        <f>IFERROR(VLOOKUP(lmic_raw_ub[[#This Row],[setting]],vcost_ub[],4,FALSE),0)</f>
        <v>32.038920974689418</v>
      </c>
      <c r="X380" s="33">
        <f>IFERROR(VLOOKUP(lmic_raw_ub[[#This Row],[setting]],vcost_ub[],5,FALSE),0)</f>
        <v>31.465968756695798</v>
      </c>
      <c r="Y380" s="33">
        <f>IFERROR(VLOOKUP(lmic_raw_ub[[#This Row],[setting]],vcost_ub[],6,FALSE),0)</f>
        <v>31.488858756695798</v>
      </c>
      <c r="Z380" s="33">
        <f>IFERROR(VLOOKUP(lmic_raw_ub[[#This Row],[setting]],vcost_ub[],7,FALSE),0)</f>
        <v>31.453579012597579</v>
      </c>
      <c r="AA380" s="33">
        <f>IFERROR(VLOOKUP(lmic_raw_ub[[#This Row],[setting]],vcost_ub[],8,FALSE),0)</f>
        <v>32.296966168362353</v>
      </c>
      <c r="AB380" s="33">
        <f>IFERROR(VLOOKUP(lmic_raw_ub[[#This Row],[setting]],vcost_ub[],9,FALSE),0)</f>
        <v>32.31985616836235</v>
      </c>
      <c r="AC380" s="84">
        <f>VLOOKUP($A380,lmic_raw[],29,FALSE)*(1+interactive!$C$7)</f>
        <v>1.3114941000000014E-2</v>
      </c>
      <c r="AD380" s="84">
        <f>VLOOKUP($A380,lmic_raw[],30,FALSE)*(1+interactive!$C$7)</f>
        <v>9.6928414102067588E-4</v>
      </c>
      <c r="AE380" s="84">
        <f>VLOOKUP($A380,lmic_raw[],31,FALSE)*(1+interactive!$C$7)</f>
        <v>3.5429407619163282E-4</v>
      </c>
      <c r="AF380" s="84">
        <f>VLOOKUP($A380,lmic_raw[],32,FALSE)*(1+interactive!$C$7)</f>
        <v>3.2914214399403326E-4</v>
      </c>
      <c r="AG380" s="84">
        <f>VLOOKUP($A380,lmic_raw[],33,FALSE)*(1+interactive!$C$7)</f>
        <v>7.7762395340663843E-4</v>
      </c>
      <c r="AH380" s="84">
        <f>VLOOKUP($A380,lmic_raw[],34,FALSE)*(1+interactive!$C$7)</f>
        <v>1.0609999372794764E-3</v>
      </c>
      <c r="AI380" s="84">
        <f>VLOOKUP($A380,lmic_raw[],35,FALSE)*(1+interactive!$C$7)</f>
        <v>1.1264154387034234E-3</v>
      </c>
      <c r="AJ380" s="84">
        <f>VLOOKUP($A380,lmic_raw[],36,FALSE)*(1+interactive!$C$7)</f>
        <v>1.3526802595224669E-3</v>
      </c>
      <c r="AK380" s="84">
        <f>VLOOKUP($A380,lmic_raw[],37,FALSE)*(1+interactive!$C$7)</f>
        <v>1.860717228947579E-3</v>
      </c>
      <c r="AL380" s="84">
        <f>VLOOKUP($A380,lmic_raw[],38,FALSE)*(1+interactive!$C$7)</f>
        <v>2.7492377476178689E-3</v>
      </c>
      <c r="AM380" s="84">
        <f>VLOOKUP($A380,lmic_raw[],39,FALSE)*(1+interactive!$C$7)</f>
        <v>4.3008484235198541E-3</v>
      </c>
      <c r="AN380" s="84">
        <f>VLOOKUP($A380,lmic_raw[],40,FALSE)*(1+interactive!$C$7)</f>
        <v>6.7539839874340892E-3</v>
      </c>
      <c r="AO380" s="84">
        <f>VLOOKUP($A380,lmic_raw[],41,FALSE)*(1+interactive!$C$7)</f>
        <v>1.0473548839332105E-2</v>
      </c>
      <c r="AP380" s="84">
        <f>VLOOKUP($A380,lmic_raw[],42,FALSE)*(1+interactive!$C$7)</f>
        <v>1.3216112054242713E-2</v>
      </c>
      <c r="AQ380" s="84">
        <f>VLOOKUP($A380,lmic_raw[],43,FALSE)*(1+interactive!$C$7)</f>
        <v>1.6874830616333686E-2</v>
      </c>
      <c r="AR380" s="84">
        <f>VLOOKUP($A380,lmic_raw[],44,FALSE)*(1+interactive!$C$7)</f>
        <v>2.4673985700019597E-2</v>
      </c>
      <c r="AS380" s="84">
        <f>VLOOKUP($A380,lmic_raw[],45,FALSE)*(1+interactive!$C$7)</f>
        <v>4.1255118641149287E-2</v>
      </c>
      <c r="AT380" s="84">
        <f>VLOOKUP($A380,lmic_raw[],46,FALSE)*(1+interactive!$C$7)</f>
        <v>6.5343643191350761E-2</v>
      </c>
      <c r="AU380" s="84">
        <f>VLOOKUP($A380,lmic_raw[],47,FALSE)*(1+interactive!$C$7)</f>
        <v>9.6651828296388381E-2</v>
      </c>
      <c r="AV380" s="84">
        <f>VLOOKUP($A380,lmic_raw[],48,FALSE)*(1+interactive!$C$7)</f>
        <v>0.12812321381809724</v>
      </c>
      <c r="AW380" s="84">
        <f>VLOOKUP($A380,lmic_raw[],49,FALSE)*(1+interactive!$C$7)</f>
        <v>0.15393380431120357</v>
      </c>
      <c r="AX380" s="84">
        <f>VLOOKUP($A380,lmic_raw[],50,FALSE)*(1+interactive!$C$7)</f>
        <v>79.791600000000003</v>
      </c>
    </row>
    <row r="381" spans="1:50" x14ac:dyDescent="0.25">
      <c r="A381" s="110" t="s">
        <v>247</v>
      </c>
      <c r="B381" s="104" t="s">
        <v>624</v>
      </c>
      <c r="C381" s="105">
        <v>670</v>
      </c>
      <c r="D381" s="84" t="s">
        <v>679</v>
      </c>
      <c r="E381" s="84" t="s">
        <v>223</v>
      </c>
      <c r="F381" s="84" t="s">
        <v>665</v>
      </c>
      <c r="G381" s="84" t="s">
        <v>676</v>
      </c>
      <c r="H381" s="33">
        <f>VLOOKUP(lmic_raw_ub[[#This Row],[setting]],lmic_raw[],8,FALSE)</f>
        <v>110593</v>
      </c>
      <c r="I381" s="33">
        <f>VLOOKUP(lmic_raw_ub[[#This Row],[setting]],lmic_raw[],9,FALSE)</f>
        <v>1585.4612480000001</v>
      </c>
      <c r="J381" s="84">
        <f>MIN(VLOOKUP($A381,lmic_raw[],10,FALSE)*(1+interactive!$C$7),0.9999)</f>
        <v>0</v>
      </c>
      <c r="K381" s="84">
        <f>MIN(VLOOKUP($A381,lmic_raw[],11,FALSE)*(1+interactive!$C$7),0.9999)</f>
        <v>0.99990000000000001</v>
      </c>
      <c r="L381" s="33">
        <f>MIN(VLOOKUP($A381,lmic_raw[],12,FALSE)*(1+interactive!$C$7),0.9999)</f>
        <v>0.99990000000000001</v>
      </c>
      <c r="M381" s="84">
        <f>IFERROR(VLOOKUP(lmic_raw_ub[[#This Row],[iso3]], hbv_prev[[iso3]:[ub]],4,FALSE)/100,0)</f>
        <v>9.8299999999999998E-2</v>
      </c>
      <c r="N381" s="84">
        <f>IFERROR(VLOOKUP(lmic_raw_ub[[#This Row],[setting]],hbe_prev[],5,FALSE),0)</f>
        <v>0.43</v>
      </c>
      <c r="O381" s="84">
        <f>VLOOKUP(lmic_raw_ub[[#This Row],[gbd_super]],hbe_risk[],4,FALSE)</f>
        <v>0.9</v>
      </c>
      <c r="P381" s="84">
        <f>VLOOKUP(lmic_raw_ub[[#This Row],[gbd_super]],hbe_risk[],7,FALSE)</f>
        <v>0.3</v>
      </c>
      <c r="Q381" s="98">
        <f>VLOOKUP(lmic_raw_ub[[#This Row],[setting]],lmic_raw[],17,FALSE)*(1+interactive!$C$7)</f>
        <v>13.459079722807862</v>
      </c>
      <c r="R381" s="98">
        <f>VLOOKUP(lmic_raw_ub[[#This Row],[setting]],lmic_raw[],18,FALSE)*(1+interactive!$C$7)</f>
        <v>91.228094999999996</v>
      </c>
      <c r="S381" s="98">
        <f>VLOOKUP(lmic_raw_ub[[#This Row],[setting]],lmic_raw[],19,FALSE)*(1+interactive!$C$7)</f>
        <v>141.35719500000002</v>
      </c>
      <c r="T381" s="98">
        <f>VLOOKUP(lmic_raw_ub[[#This Row],[setting]],lmic_raw[],20,FALSE)*(1+interactive!$C$7)</f>
        <v>141.35719500000002</v>
      </c>
      <c r="U381" s="98">
        <f>VLOOKUP(lmic_raw_ub[[#This Row],[setting]],lmic_raw[],21,FALSE)*(1+interactive!$C$7)</f>
        <v>141.35719500000002</v>
      </c>
      <c r="V381" s="33">
        <f>IFERROR(VLOOKUP(lmic_raw_ub[[#This Row],[setting]],vcost_ub[],3,FALSE),0)</f>
        <v>34.597954736365196</v>
      </c>
      <c r="W381" s="33">
        <f>IFERROR(VLOOKUP(lmic_raw_ub[[#This Row],[setting]],vcost_ub[],4,FALSE),0)</f>
        <v>34.620844736365193</v>
      </c>
      <c r="X381" s="33">
        <f>IFERROR(VLOOKUP(lmic_raw_ub[[#This Row],[setting]],vcost_ub[],5,FALSE),0)</f>
        <v>34.072533914643884</v>
      </c>
      <c r="Y381" s="33">
        <f>IFERROR(VLOOKUP(lmic_raw_ub[[#This Row],[setting]],vcost_ub[],6,FALSE),0)</f>
        <v>34.095423914643881</v>
      </c>
      <c r="Z381" s="33">
        <f>IFERROR(VLOOKUP(lmic_raw_ub[[#This Row],[setting]],vcost_ub[],7,FALSE),0)</f>
        <v>34.073712106033867</v>
      </c>
      <c r="AA381" s="33">
        <f>IFERROR(VLOOKUP(lmic_raw_ub[[#This Row],[setting]],vcost_ub[],8,FALSE),0)</f>
        <v>34.873296484258518</v>
      </c>
      <c r="AB381" s="33">
        <f>IFERROR(VLOOKUP(lmic_raw_ub[[#This Row],[setting]],vcost_ub[],9,FALSE),0)</f>
        <v>34.896186484258514</v>
      </c>
      <c r="AC381" s="84">
        <f>VLOOKUP($A381,lmic_raw[],29,FALSE)*(1+interactive!$C$7)</f>
        <v>1.5396706500000031E-2</v>
      </c>
      <c r="AD381" s="84">
        <f>VLOOKUP($A381,lmic_raw[],30,FALSE)*(1+interactive!$C$7)</f>
        <v>3.5722175694966491E-4</v>
      </c>
      <c r="AE381" s="84">
        <f>VLOOKUP($A381,lmic_raw[],31,FALSE)*(1+interactive!$C$7)</f>
        <v>4.4769896222502542E-4</v>
      </c>
      <c r="AF381" s="84">
        <f>VLOOKUP($A381,lmic_raw[],32,FALSE)*(1+interactive!$C$7)</f>
        <v>4.3206543491592107E-4</v>
      </c>
      <c r="AG381" s="84">
        <f>VLOOKUP($A381,lmic_raw[],33,FALSE)*(1+interactive!$C$7)</f>
        <v>1.0483566625908982E-3</v>
      </c>
      <c r="AH381" s="84">
        <f>VLOOKUP($A381,lmic_raw[],34,FALSE)*(1+interactive!$C$7)</f>
        <v>1.4750764541849083E-3</v>
      </c>
      <c r="AI381" s="84">
        <f>VLOOKUP($A381,lmic_raw[],35,FALSE)*(1+interactive!$C$7)</f>
        <v>1.6074671838935495E-3</v>
      </c>
      <c r="AJ381" s="84">
        <f>VLOOKUP($A381,lmic_raw[],36,FALSE)*(1+interactive!$C$7)</f>
        <v>1.9157841862392664E-3</v>
      </c>
      <c r="AK381" s="84">
        <f>VLOOKUP($A381,lmic_raw[],37,FALSE)*(1+interactive!$C$7)</f>
        <v>2.5518550269312658E-3</v>
      </c>
      <c r="AL381" s="84">
        <f>VLOOKUP($A381,lmic_raw[],38,FALSE)*(1+interactive!$C$7)</f>
        <v>3.6451614165565155E-3</v>
      </c>
      <c r="AM381" s="84">
        <f>VLOOKUP($A381,lmic_raw[],39,FALSE)*(1+interactive!$C$7)</f>
        <v>5.4699162930085029E-3</v>
      </c>
      <c r="AN381" s="84">
        <f>VLOOKUP($A381,lmic_raw[],40,FALSE)*(1+interactive!$C$7)</f>
        <v>8.2427151119795899E-3</v>
      </c>
      <c r="AO381" s="84">
        <f>VLOOKUP($A381,lmic_raw[],41,FALSE)*(1+interactive!$C$7)</f>
        <v>1.239638384573174E-2</v>
      </c>
      <c r="AP381" s="84">
        <f>VLOOKUP($A381,lmic_raw[],42,FALSE)*(1+interactive!$C$7)</f>
        <v>1.7424882136101202E-2</v>
      </c>
      <c r="AQ381" s="84">
        <f>VLOOKUP($A381,lmic_raw[],43,FALSE)*(1+interactive!$C$7)</f>
        <v>2.436128683685642E-2</v>
      </c>
      <c r="AR381" s="84">
        <f>VLOOKUP($A381,lmic_raw[],44,FALSE)*(1+interactive!$C$7)</f>
        <v>3.6096043109741072E-2</v>
      </c>
      <c r="AS381" s="84">
        <f>VLOOKUP($A381,lmic_raw[],45,FALSE)*(1+interactive!$C$7)</f>
        <v>5.5869033584551163E-2</v>
      </c>
      <c r="AT381" s="84">
        <f>VLOOKUP($A381,lmic_raw[],46,FALSE)*(1+interactive!$C$7)</f>
        <v>8.3542506444369086E-2</v>
      </c>
      <c r="AU381" s="84">
        <f>VLOOKUP($A381,lmic_raw[],47,FALSE)*(1+interactive!$C$7)</f>
        <v>0.11767608616351675</v>
      </c>
      <c r="AV381" s="84">
        <f>VLOOKUP($A381,lmic_raw[],48,FALSE)*(1+interactive!$C$7)</f>
        <v>0.15088182105392789</v>
      </c>
      <c r="AW381" s="84">
        <f>VLOOKUP($A381,lmic_raw[],49,FALSE)*(1+interactive!$C$7)</f>
        <v>0.17717706780699219</v>
      </c>
      <c r="AX381" s="84">
        <f>VLOOKUP($A381,lmic_raw[],50,FALSE)*(1+interactive!$C$7)</f>
        <v>75.978000000000009</v>
      </c>
    </row>
    <row r="382" spans="1:50" x14ac:dyDescent="0.25">
      <c r="A382" s="109" t="s">
        <v>299</v>
      </c>
      <c r="B382" s="101" t="s">
        <v>504</v>
      </c>
      <c r="C382" s="102">
        <v>882</v>
      </c>
      <c r="D382" s="82" t="s">
        <v>681</v>
      </c>
      <c r="E382" s="82" t="s">
        <v>98</v>
      </c>
      <c r="F382" s="82" t="s">
        <v>666</v>
      </c>
      <c r="G382" s="82" t="s">
        <v>676</v>
      </c>
      <c r="H382" s="33">
        <f>VLOOKUP(lmic_raw_ub[[#This Row],[setting]],lmic_raw[],8,FALSE)</f>
        <v>197093</v>
      </c>
      <c r="I382" s="33">
        <f>VLOOKUP(lmic_raw_ub[[#This Row],[setting]],lmic_raw[],9,FALSE)</f>
        <v>4836.0709409999999</v>
      </c>
      <c r="J382" s="84">
        <f>MIN(VLOOKUP($A382,lmic_raw[],10,FALSE)*(1+interactive!$C$7),0.9999)</f>
        <v>0.8599500000000001</v>
      </c>
      <c r="K382" s="84">
        <f>MIN(VLOOKUP($A382,lmic_raw[],11,FALSE)*(1+interactive!$C$7),0.9999)</f>
        <v>0.68250000000000011</v>
      </c>
      <c r="L382" s="33">
        <f>MIN(VLOOKUP($A382,lmic_raw[],12,FALSE)*(1+interactive!$C$7),0.9999)</f>
        <v>0.60899999999999999</v>
      </c>
      <c r="M382" s="84">
        <f>IFERROR(VLOOKUP(lmic_raw_ub[[#This Row],[iso3]], hbv_prev[[iso3]:[ub]],4,FALSE)/100,0)</f>
        <v>5.1799999999999999E-2</v>
      </c>
      <c r="N382" s="84">
        <f>IFERROR(VLOOKUP(lmic_raw_ub[[#This Row],[setting]],hbe_prev[],5,FALSE),0)</f>
        <v>0.47889999999999999</v>
      </c>
      <c r="O382" s="84">
        <f>VLOOKUP(lmic_raw_ub[[#This Row],[gbd_super]],hbe_risk[],4,FALSE)</f>
        <v>0.9</v>
      </c>
      <c r="P382" s="84">
        <f>VLOOKUP(lmic_raw_ub[[#This Row],[gbd_super]],hbe_risk[],7,FALSE)</f>
        <v>0.3</v>
      </c>
      <c r="Q382" s="98">
        <f>VLOOKUP(lmic_raw_ub[[#This Row],[setting]],lmic_raw[],17,FALSE)*(1+interactive!$C$7)</f>
        <v>7.4272284326546689</v>
      </c>
      <c r="R382" s="98">
        <f>VLOOKUP(lmic_raw_ub[[#This Row],[setting]],lmic_raw[],18,FALSE)*(1+interactive!$C$7)</f>
        <v>76.738725000000002</v>
      </c>
      <c r="S382" s="98">
        <f>VLOOKUP(lmic_raw_ub[[#This Row],[setting]],lmic_raw[],19,FALSE)*(1+interactive!$C$7)</f>
        <v>126.867825</v>
      </c>
      <c r="T382" s="98">
        <f>VLOOKUP(lmic_raw_ub[[#This Row],[setting]],lmic_raw[],20,FALSE)*(1+interactive!$C$7)</f>
        <v>126.867825</v>
      </c>
      <c r="U382" s="98">
        <f>VLOOKUP(lmic_raw_ub[[#This Row],[setting]],lmic_raw[],21,FALSE)*(1+interactive!$C$7)</f>
        <v>126.867825</v>
      </c>
      <c r="V382" s="33">
        <f>IFERROR(VLOOKUP(lmic_raw_ub[[#This Row],[setting]],vcost_ub[],3,FALSE),0)</f>
        <v>8.8502030253728261</v>
      </c>
      <c r="W382" s="33">
        <f>IFERROR(VLOOKUP(lmic_raw_ub[[#This Row],[setting]],vcost_ub[],4,FALSE),0)</f>
        <v>9.5140130253728259</v>
      </c>
      <c r="X382" s="33">
        <f>IFERROR(VLOOKUP(lmic_raw_ub[[#This Row],[setting]],vcost_ub[],5,FALSE),0)</f>
        <v>8.3422729168519432</v>
      </c>
      <c r="Y382" s="33">
        <f>IFERROR(VLOOKUP(lmic_raw_ub[[#This Row],[setting]],vcost_ub[],6,FALSE),0)</f>
        <v>9.006082916851943</v>
      </c>
      <c r="Z382" s="33">
        <f>IFERROR(VLOOKUP(lmic_raw_ub[[#This Row],[setting]],vcost_ub[],7,FALSE),0)</f>
        <v>8.9932594389627347</v>
      </c>
      <c r="AA382" s="33">
        <f>IFERROR(VLOOKUP(lmic_raw_ub[[#This Row],[setting]],vcost_ub[],8,FALSE),0)</f>
        <v>9.1215744886746482</v>
      </c>
      <c r="AB382" s="33">
        <f>IFERROR(VLOOKUP(lmic_raw_ub[[#This Row],[setting]],vcost_ub[],9,FALSE),0)</f>
        <v>9.7853844886746479</v>
      </c>
      <c r="AC382" s="84">
        <f>VLOOKUP($A382,lmic_raw[],29,FALSE)*(1+interactive!$C$7)</f>
        <v>1.4124515999999952E-2</v>
      </c>
      <c r="AD382" s="84">
        <f>VLOOKUP($A382,lmic_raw[],30,FALSE)*(1+interactive!$C$7)</f>
        <v>7.2715209176627156E-4</v>
      </c>
      <c r="AE382" s="84">
        <f>VLOOKUP($A382,lmic_raw[],31,FALSE)*(1+interactive!$C$7)</f>
        <v>2.8635803608817857E-4</v>
      </c>
      <c r="AF382" s="84">
        <f>VLOOKUP($A382,lmic_raw[],32,FALSE)*(1+interactive!$C$7)</f>
        <v>2.6110592069791095E-4</v>
      </c>
      <c r="AG382" s="84">
        <f>VLOOKUP($A382,lmic_raw[],33,FALSE)*(1+interactive!$C$7)</f>
        <v>6.0513896667924833E-4</v>
      </c>
      <c r="AH382" s="84">
        <f>VLOOKUP($A382,lmic_raw[],34,FALSE)*(1+interactive!$C$7)</f>
        <v>7.8627617005598061E-4</v>
      </c>
      <c r="AI382" s="84">
        <f>VLOOKUP($A382,lmic_raw[],35,FALSE)*(1+interactive!$C$7)</f>
        <v>8.0473621666191293E-4</v>
      </c>
      <c r="AJ382" s="84">
        <f>VLOOKUP($A382,lmic_raw[],36,FALSE)*(1+interactive!$C$7)</f>
        <v>9.6403011087892632E-4</v>
      </c>
      <c r="AK382" s="84">
        <f>VLOOKUP($A382,lmic_raw[],37,FALSE)*(1+interactive!$C$7)</f>
        <v>1.3499798845023015E-3</v>
      </c>
      <c r="AL382" s="84">
        <f>VLOOKUP($A382,lmic_raw[],38,FALSE)*(1+interactive!$C$7)</f>
        <v>2.0806158041911755E-3</v>
      </c>
      <c r="AM382" s="84">
        <f>VLOOKUP($A382,lmic_raw[],39,FALSE)*(1+interactive!$C$7)</f>
        <v>3.4282172183551607E-3</v>
      </c>
      <c r="AN382" s="84">
        <f>VLOOKUP($A382,lmic_raw[],40,FALSE)*(1+interactive!$C$7)</f>
        <v>5.5849036318055727E-3</v>
      </c>
      <c r="AO382" s="84">
        <f>VLOOKUP($A382,lmic_raw[],41,FALSE)*(1+interactive!$C$7)</f>
        <v>9.0337176023734013E-3</v>
      </c>
      <c r="AP382" s="84">
        <f>VLOOKUP($A382,lmic_raw[],42,FALSE)*(1+interactive!$C$7)</f>
        <v>1.597585839710872E-2</v>
      </c>
      <c r="AQ382" s="84">
        <f>VLOOKUP($A382,lmic_raw[],43,FALSE)*(1+interactive!$C$7)</f>
        <v>2.7788822459335446E-2</v>
      </c>
      <c r="AR382" s="84">
        <f>VLOOKUP($A382,lmic_raw[],44,FALSE)*(1+interactive!$C$7)</f>
        <v>4.5448167932826355E-2</v>
      </c>
      <c r="AS382" s="84">
        <f>VLOOKUP($A382,lmic_raw[],45,FALSE)*(1+interactive!$C$7)</f>
        <v>7.0890072003811089E-2</v>
      </c>
      <c r="AT382" s="84">
        <f>VLOOKUP($A382,lmic_raw[],46,FALSE)*(1+interactive!$C$7)</f>
        <v>0.1046553140341394</v>
      </c>
      <c r="AU382" s="84">
        <f>VLOOKUP($A382,lmic_raw[],47,FALSE)*(1+interactive!$C$7)</f>
        <v>0.14269179176559876</v>
      </c>
      <c r="AV382" s="84">
        <f>VLOOKUP($A382,lmic_raw[],48,FALSE)*(1+interactive!$C$7)</f>
        <v>0.17435614895547821</v>
      </c>
      <c r="AW382" s="84">
        <f>VLOOKUP($A382,lmic_raw[],49,FALSE)*(1+interactive!$C$7)</f>
        <v>0.19329810846794404</v>
      </c>
      <c r="AX382" s="84">
        <f>VLOOKUP($A382,lmic_raw[],50,FALSE)*(1+interactive!$C$7)</f>
        <v>76.766550000000009</v>
      </c>
    </row>
    <row r="383" spans="1:50" x14ac:dyDescent="0.25">
      <c r="A383" s="110" t="s">
        <v>684</v>
      </c>
      <c r="B383" s="104" t="s">
        <v>505</v>
      </c>
      <c r="C383" s="105">
        <v>678</v>
      </c>
      <c r="D383" s="84" t="s">
        <v>677</v>
      </c>
      <c r="E383" s="84" t="s">
        <v>591</v>
      </c>
      <c r="F383" s="84" t="s">
        <v>667</v>
      </c>
      <c r="G383" s="84" t="s">
        <v>678</v>
      </c>
      <c r="H383" s="33">
        <f>VLOOKUP(lmic_raw_ub[[#This Row],[setting]],lmic_raw[],8,FALSE)</f>
        <v>215048</v>
      </c>
      <c r="I383" s="33">
        <f>VLOOKUP(lmic_raw_ub[[#This Row],[setting]],lmic_raw[],9,FALSE)</f>
        <v>6827.7740000000003</v>
      </c>
      <c r="J383" s="84">
        <f>MIN(VLOOKUP($A383,lmic_raw[],10,FALSE)*(1+interactive!$C$7),0.9999)</f>
        <v>0.95550000000000013</v>
      </c>
      <c r="K383" s="84">
        <f>MIN(VLOOKUP($A383,lmic_raw[],11,FALSE)*(1+interactive!$C$7),0.9999)</f>
        <v>0.99749999999999994</v>
      </c>
      <c r="L383" s="33">
        <f>MIN(VLOOKUP($A383,lmic_raw[],12,FALSE)*(1+interactive!$C$7),0.9999)</f>
        <v>0.99749999999999994</v>
      </c>
      <c r="M383" s="84">
        <f>IFERROR(VLOOKUP(lmic_raw_ub[[#This Row],[iso3]], hbv_prev[[iso3]:[ub]],4,FALSE)/100,0)</f>
        <v>0.24660000000000001</v>
      </c>
      <c r="N383" s="84">
        <f>IFERROR(VLOOKUP(lmic_raw_ub[[#This Row],[setting]],hbe_prev[],5,FALSE),0)</f>
        <v>0</v>
      </c>
      <c r="O383" s="84">
        <f>VLOOKUP(lmic_raw_ub[[#This Row],[gbd_super]],hbe_risk[],4,FALSE)</f>
        <v>0.74399999999999999</v>
      </c>
      <c r="P383" s="84">
        <f>VLOOKUP(lmic_raw_ub[[#This Row],[gbd_super]],hbe_risk[],7,FALSE)</f>
        <v>0.13300000000000001</v>
      </c>
      <c r="Q383" s="98">
        <f>VLOOKUP(lmic_raw_ub[[#This Row],[setting]],lmic_raw[],17,FALSE)*(1+interactive!$C$7)</f>
        <v>3.5887776116480894</v>
      </c>
      <c r="R383" s="98">
        <f>VLOOKUP(lmic_raw_ub[[#This Row],[setting]],lmic_raw[],18,FALSE)*(1+interactive!$C$7)</f>
        <v>31.416525000000004</v>
      </c>
      <c r="S383" s="98">
        <f>VLOOKUP(lmic_raw_ub[[#This Row],[setting]],lmic_raw[],19,FALSE)*(1+interactive!$C$7)</f>
        <v>81.545625000000015</v>
      </c>
      <c r="T383" s="98">
        <f>VLOOKUP(lmic_raw_ub[[#This Row],[setting]],lmic_raw[],20,FALSE)*(1+interactive!$C$7)</f>
        <v>81.545625000000015</v>
      </c>
      <c r="U383" s="98">
        <f>VLOOKUP(lmic_raw_ub[[#This Row],[setting]],lmic_raw[],21,FALSE)*(1+interactive!$C$7)</f>
        <v>81.545625000000015</v>
      </c>
      <c r="V383" s="33">
        <f>IFERROR(VLOOKUP(lmic_raw_ub[[#This Row],[setting]],vcost_ub[],3,FALSE),0)</f>
        <v>18.564702485052258</v>
      </c>
      <c r="W383" s="33">
        <f>IFERROR(VLOOKUP(lmic_raw_ub[[#This Row],[setting]],vcost_ub[],4,FALSE),0)</f>
        <v>23.634837485052259</v>
      </c>
      <c r="X383" s="33">
        <f>IFERROR(VLOOKUP(lmic_raw_ub[[#This Row],[setting]],vcost_ub[],5,FALSE),0)</f>
        <v>18.060679230724908</v>
      </c>
      <c r="Y383" s="33">
        <f>IFERROR(VLOOKUP(lmic_raw_ub[[#This Row],[setting]],vcost_ub[],6,FALSE),0)</f>
        <v>23.130814230724908</v>
      </c>
      <c r="Z383" s="33">
        <f>IFERROR(VLOOKUP(lmic_raw_ub[[#This Row],[setting]],vcost_ub[],7,FALSE),0)</f>
        <v>23.119854582323715</v>
      </c>
      <c r="AA383" s="33">
        <f>IFERROR(VLOOKUP(lmic_raw_ub[[#This Row],[setting]],vcost_ub[],8,FALSE),0)</f>
        <v>18.835187116420578</v>
      </c>
      <c r="AB383" s="33">
        <f>IFERROR(VLOOKUP(lmic_raw_ub[[#This Row],[setting]],vcost_ub[],9,FALSE),0)</f>
        <v>23.905322116420578</v>
      </c>
      <c r="AC383" s="84">
        <f>VLOOKUP($A383,lmic_raw[],29,FALSE)*(1+interactive!$C$7)</f>
        <v>2.7753547500000073E-2</v>
      </c>
      <c r="AD383" s="84">
        <f>VLOOKUP($A383,lmic_raw[],30,FALSE)*(1+interactive!$C$7)</f>
        <v>1.5959154062214396E-3</v>
      </c>
      <c r="AE383" s="84">
        <f>VLOOKUP($A383,lmic_raw[],31,FALSE)*(1+interactive!$C$7)</f>
        <v>6.2153896350049362E-4</v>
      </c>
      <c r="AF383" s="84">
        <f>VLOOKUP($A383,lmic_raw[],32,FALSE)*(1+interactive!$C$7)</f>
        <v>5.1862833994193846E-4</v>
      </c>
      <c r="AG383" s="84">
        <f>VLOOKUP($A383,lmic_raw[],33,FALSE)*(1+interactive!$C$7)</f>
        <v>1.0187658297866763E-3</v>
      </c>
      <c r="AH383" s="84">
        <f>VLOOKUP($A383,lmic_raw[],34,FALSE)*(1+interactive!$C$7)</f>
        <v>1.3361140997932106E-3</v>
      </c>
      <c r="AI383" s="84">
        <f>VLOOKUP($A383,lmic_raw[],35,FALSE)*(1+interactive!$C$7)</f>
        <v>1.4164407461552382E-3</v>
      </c>
      <c r="AJ383" s="84">
        <f>VLOOKUP($A383,lmic_raw[],36,FALSE)*(1+interactive!$C$7)</f>
        <v>1.6872894044648249E-3</v>
      </c>
      <c r="AK383" s="84">
        <f>VLOOKUP($A383,lmic_raw[],37,FALSE)*(1+interactive!$C$7)</f>
        <v>2.2704327512356238E-3</v>
      </c>
      <c r="AL383" s="84">
        <f>VLOOKUP($A383,lmic_raw[],38,FALSE)*(1+interactive!$C$7)</f>
        <v>3.2498656804114132E-3</v>
      </c>
      <c r="AM383" s="84">
        <f>VLOOKUP($A383,lmic_raw[],39,FALSE)*(1+interactive!$C$7)</f>
        <v>4.9735195532696402E-3</v>
      </c>
      <c r="AN383" s="84">
        <f>VLOOKUP($A383,lmic_raw[],40,FALSE)*(1+interactive!$C$7)</f>
        <v>7.6730632608609101E-3</v>
      </c>
      <c r="AO383" s="84">
        <f>VLOOKUP($A383,lmic_raw[],41,FALSE)*(1+interactive!$C$7)</f>
        <v>1.1864360478755396E-2</v>
      </c>
      <c r="AP383" s="84">
        <f>VLOOKUP($A383,lmic_raw[],42,FALSE)*(1+interactive!$C$7)</f>
        <v>1.8617499653816458E-2</v>
      </c>
      <c r="AQ383" s="84">
        <f>VLOOKUP($A383,lmic_raw[],43,FALSE)*(1+interactive!$C$7)</f>
        <v>2.9257652823621198E-2</v>
      </c>
      <c r="AR383" s="84">
        <f>VLOOKUP($A383,lmic_raw[],44,FALSE)*(1+interactive!$C$7)</f>
        <v>4.5778032157570106E-2</v>
      </c>
      <c r="AS383" s="84">
        <f>VLOOKUP($A383,lmic_raw[],45,FALSE)*(1+interactive!$C$7)</f>
        <v>6.97992862410175E-2</v>
      </c>
      <c r="AT383" s="84">
        <f>VLOOKUP($A383,lmic_raw[],46,FALSE)*(1+interactive!$C$7)</f>
        <v>0.10050287135006605</v>
      </c>
      <c r="AU383" s="84">
        <f>VLOOKUP($A383,lmic_raw[],47,FALSE)*(1+interactive!$C$7)</f>
        <v>0.13190497817650745</v>
      </c>
      <c r="AV383" s="84">
        <f>VLOOKUP($A383,lmic_raw[],48,FALSE)*(1+interactive!$C$7)</f>
        <v>0.1613277935081692</v>
      </c>
      <c r="AW383" s="84">
        <f>VLOOKUP($A383,lmic_raw[],49,FALSE)*(1+interactive!$C$7)</f>
        <v>0.18357825611912726</v>
      </c>
      <c r="AX383" s="84">
        <f>VLOOKUP($A383,lmic_raw[],50,FALSE)*(1+interactive!$C$7)</f>
        <v>73.55040000000001</v>
      </c>
    </row>
    <row r="384" spans="1:50" x14ac:dyDescent="0.25">
      <c r="A384" s="109" t="s">
        <v>152</v>
      </c>
      <c r="B384" s="101" t="s">
        <v>507</v>
      </c>
      <c r="C384" s="102">
        <v>686</v>
      </c>
      <c r="D384" s="82" t="s">
        <v>677</v>
      </c>
      <c r="E384" s="82" t="s">
        <v>591</v>
      </c>
      <c r="F384" s="82" t="s">
        <v>667</v>
      </c>
      <c r="G384" s="82" t="s">
        <v>678</v>
      </c>
      <c r="H384" s="33">
        <f>VLOOKUP(lmic_raw_ub[[#This Row],[setting]],lmic_raw[],8,FALSE)</f>
        <v>16296362</v>
      </c>
      <c r="I384" s="33">
        <f>VLOOKUP(lmic_raw_ub[[#This Row],[setting]],lmic_raw[],9,FALSE)</f>
        <v>566086.72679400002</v>
      </c>
      <c r="J384" s="84">
        <f>MIN(VLOOKUP($A384,lmic_raw[],10,FALSE)*(1+interactive!$C$7),0.9999)</f>
        <v>0.85785000000000011</v>
      </c>
      <c r="K384" s="84">
        <f>MIN(VLOOKUP($A384,lmic_raw[],11,FALSE)*(1+interactive!$C$7),0.9999)</f>
        <v>0.85050000000000014</v>
      </c>
      <c r="L384" s="33">
        <f>MIN(VLOOKUP($A384,lmic_raw[],12,FALSE)*(1+interactive!$C$7),0.9999)</f>
        <v>0.97650000000000015</v>
      </c>
      <c r="M384" s="84">
        <f>IFERROR(VLOOKUP(lmic_raw_ub[[#This Row],[iso3]], hbv_prev[[iso3]:[ub]],4,FALSE)/100,0)</f>
        <v>9.9900000000000003E-2</v>
      </c>
      <c r="N384" s="84">
        <f>IFERROR(VLOOKUP(lmic_raw_ub[[#This Row],[setting]],hbe_prev[],5,FALSE),0)</f>
        <v>0.41070000000000001</v>
      </c>
      <c r="O384" s="84">
        <f>VLOOKUP(lmic_raw_ub[[#This Row],[gbd_super]],hbe_risk[],4,FALSE)</f>
        <v>0.74399999999999999</v>
      </c>
      <c r="P384" s="84">
        <f>VLOOKUP(lmic_raw_ub[[#This Row],[gbd_super]],hbe_risk[],7,FALSE)</f>
        <v>0.13300000000000001</v>
      </c>
      <c r="Q384" s="98">
        <f>VLOOKUP(lmic_raw_ub[[#This Row],[setting]],lmic_raw[],17,FALSE)*(1+interactive!$C$7)</f>
        <v>3.7881776542977823</v>
      </c>
      <c r="R384" s="98">
        <f>VLOOKUP(lmic_raw_ub[[#This Row],[setting]],lmic_raw[],18,FALSE)*(1+interactive!$C$7)</f>
        <v>31.416525000000004</v>
      </c>
      <c r="S384" s="98">
        <f>VLOOKUP(lmic_raw_ub[[#This Row],[setting]],lmic_raw[],19,FALSE)*(1+interactive!$C$7)</f>
        <v>81.545625000000015</v>
      </c>
      <c r="T384" s="98">
        <f>VLOOKUP(lmic_raw_ub[[#This Row],[setting]],lmic_raw[],20,FALSE)*(1+interactive!$C$7)</f>
        <v>81.545625000000015</v>
      </c>
      <c r="U384" s="98">
        <f>VLOOKUP(lmic_raw_ub[[#This Row],[setting]],lmic_raw[],21,FALSE)*(1+interactive!$C$7)</f>
        <v>81.545625000000015</v>
      </c>
      <c r="V384" s="33">
        <f>IFERROR(VLOOKUP(lmic_raw_ub[[#This Row],[setting]],vcost_ub[],3,FALSE),0)</f>
        <v>5.0094974807075641</v>
      </c>
      <c r="W384" s="33">
        <f>IFERROR(VLOOKUP(lmic_raw_ub[[#This Row],[setting]],vcost_ub[],4,FALSE),0)</f>
        <v>10.079632480707565</v>
      </c>
      <c r="X384" s="33">
        <f>IFERROR(VLOOKUP(lmic_raw_ub[[#This Row],[setting]],vcost_ub[],5,FALSE),0)</f>
        <v>4.5102811567057932</v>
      </c>
      <c r="Y384" s="33">
        <f>IFERROR(VLOOKUP(lmic_raw_ub[[#This Row],[setting]],vcost_ub[],6,FALSE),0)</f>
        <v>9.5804161567057946</v>
      </c>
      <c r="Z384" s="33">
        <f>IFERROR(VLOOKUP(lmic_raw_ub[[#This Row],[setting]],vcost_ub[],7,FALSE),0)</f>
        <v>9.571652266407364</v>
      </c>
      <c r="AA384" s="33">
        <f>IFERROR(VLOOKUP(lmic_raw_ub[[#This Row],[setting]],vcost_ub[],8,FALSE),0)</f>
        <v>5.2788909683823473</v>
      </c>
      <c r="AB384" s="33">
        <f>IFERROR(VLOOKUP(lmic_raw_ub[[#This Row],[setting]],vcost_ub[],9,FALSE),0)</f>
        <v>10.349025968382348</v>
      </c>
      <c r="AC384" s="84">
        <f>VLOOKUP($A384,lmic_raw[],29,FALSE)*(1+interactive!$C$7)</f>
        <v>3.4392330000000068E-2</v>
      </c>
      <c r="AD384" s="84">
        <f>VLOOKUP($A384,lmic_raw[],30,FALSE)*(1+interactive!$C$7)</f>
        <v>3.2229399850337778E-3</v>
      </c>
      <c r="AE384" s="84">
        <f>VLOOKUP($A384,lmic_raw[],31,FALSE)*(1+interactive!$C$7)</f>
        <v>1.2987881162526778E-3</v>
      </c>
      <c r="AF384" s="84">
        <f>VLOOKUP($A384,lmic_raw[],32,FALSE)*(1+interactive!$C$7)</f>
        <v>9.0851787584198191E-4</v>
      </c>
      <c r="AG384" s="84">
        <f>VLOOKUP($A384,lmic_raw[],33,FALSE)*(1+interactive!$C$7)</f>
        <v>1.4143000155137971E-3</v>
      </c>
      <c r="AH384" s="84">
        <f>VLOOKUP($A384,lmic_raw[],34,FALSE)*(1+interactive!$C$7)</f>
        <v>2.0564883430451066E-3</v>
      </c>
      <c r="AI384" s="84">
        <f>VLOOKUP($A384,lmic_raw[],35,FALSE)*(1+interactive!$C$7)</f>
        <v>2.2328935651304495E-3</v>
      </c>
      <c r="AJ384" s="84">
        <f>VLOOKUP($A384,lmic_raw[],36,FALSE)*(1+interactive!$C$7)</f>
        <v>2.6055243985349027E-3</v>
      </c>
      <c r="AK384" s="84">
        <f>VLOOKUP($A384,lmic_raw[],37,FALSE)*(1+interactive!$C$7)</f>
        <v>3.1215167190386654E-3</v>
      </c>
      <c r="AL384" s="84">
        <f>VLOOKUP($A384,lmic_raw[],38,FALSE)*(1+interactive!$C$7)</f>
        <v>4.12633762500649E-3</v>
      </c>
      <c r="AM384" s="84">
        <f>VLOOKUP($A384,lmic_raw[],39,FALSE)*(1+interactive!$C$7)</f>
        <v>5.5062289209261593E-3</v>
      </c>
      <c r="AN384" s="84">
        <f>VLOOKUP($A384,lmic_raw[],40,FALSE)*(1+interactive!$C$7)</f>
        <v>8.1049984575067915E-3</v>
      </c>
      <c r="AO384" s="84">
        <f>VLOOKUP($A384,lmic_raw[],41,FALSE)*(1+interactive!$C$7)</f>
        <v>1.1854822153972135E-2</v>
      </c>
      <c r="AP384" s="84">
        <f>VLOOKUP($A384,lmic_raw[],42,FALSE)*(1+interactive!$C$7)</f>
        <v>1.859985381845012E-2</v>
      </c>
      <c r="AQ384" s="84">
        <f>VLOOKUP($A384,lmic_raw[],43,FALSE)*(1+interactive!$C$7)</f>
        <v>2.9389379173103674E-2</v>
      </c>
      <c r="AR384" s="84">
        <f>VLOOKUP($A384,lmic_raw[],44,FALSE)*(1+interactive!$C$7)</f>
        <v>4.886433058745672E-2</v>
      </c>
      <c r="AS384" s="84">
        <f>VLOOKUP($A384,lmic_raw[],45,FALSE)*(1+interactive!$C$7)</f>
        <v>7.8486788847091066E-2</v>
      </c>
      <c r="AT384" s="84">
        <f>VLOOKUP($A384,lmic_raw[],46,FALSE)*(1+interactive!$C$7)</f>
        <v>0.11708919332428845</v>
      </c>
      <c r="AU384" s="84">
        <f>VLOOKUP($A384,lmic_raw[],47,FALSE)*(1+interactive!$C$7)</f>
        <v>0.15477375025316387</v>
      </c>
      <c r="AV384" s="84">
        <f>VLOOKUP($A384,lmic_raw[],48,FALSE)*(1+interactive!$C$7)</f>
        <v>0.18220875108332996</v>
      </c>
      <c r="AW384" s="84">
        <f>VLOOKUP($A384,lmic_raw[],49,FALSE)*(1+interactive!$C$7)</f>
        <v>0.19580971762463714</v>
      </c>
      <c r="AX384" s="84">
        <f>VLOOKUP($A384,lmic_raw[],50,FALSE)*(1+interactive!$C$7)</f>
        <v>70.843500000000006</v>
      </c>
    </row>
    <row r="385" spans="1:50" x14ac:dyDescent="0.25">
      <c r="A385" s="110" t="s">
        <v>345</v>
      </c>
      <c r="B385" s="104" t="s">
        <v>508</v>
      </c>
      <c r="C385" s="105">
        <v>688</v>
      </c>
      <c r="D385" s="84" t="s">
        <v>675</v>
      </c>
      <c r="E385" s="84" t="s">
        <v>580</v>
      </c>
      <c r="F385" s="84" t="s">
        <v>663</v>
      </c>
      <c r="G385" s="84" t="s">
        <v>676</v>
      </c>
      <c r="H385" s="33">
        <f>VLOOKUP(lmic_raw_ub[[#This Row],[setting]],lmic_raw[],8,FALSE)</f>
        <v>8772228</v>
      </c>
      <c r="I385" s="33">
        <f>VLOOKUP(lmic_raw_ub[[#This Row],[setting]],lmic_raw[],9,FALSE)</f>
        <v>83792.321855999995</v>
      </c>
      <c r="J385" s="84">
        <f>MIN(VLOOKUP($A385,lmic_raw[],10,FALSE)*(1+interactive!$C$7),0.9999)</f>
        <v>0.99990000000000001</v>
      </c>
      <c r="K385" s="84">
        <f>MIN(VLOOKUP($A385,lmic_raw[],11,FALSE)*(1+interactive!$C$7),0.9999)</f>
        <v>0.99990000000000001</v>
      </c>
      <c r="L385" s="33">
        <f>MIN(VLOOKUP($A385,lmic_raw[],12,FALSE)*(1+interactive!$C$7),0.9999)</f>
        <v>0.98699999999999999</v>
      </c>
      <c r="M385" s="84">
        <f>IFERROR(VLOOKUP(lmic_raw_ub[[#This Row],[iso3]], hbv_prev[[iso3]:[ub]],4,FALSE)/100,0)</f>
        <v>1.3300000000000001E-2</v>
      </c>
      <c r="N385" s="84">
        <f>IFERROR(VLOOKUP(lmic_raw_ub[[#This Row],[setting]],hbe_prev[],5,FALSE),0)</f>
        <v>0.42849999999999999</v>
      </c>
      <c r="O385" s="84">
        <f>VLOOKUP(lmic_raw_ub[[#This Row],[gbd_super]],hbe_risk[],4,FALSE)</f>
        <v>0.9</v>
      </c>
      <c r="P385" s="84">
        <f>VLOOKUP(lmic_raw_ub[[#This Row],[gbd_super]],hbe_risk[],7,FALSE)</f>
        <v>0.3</v>
      </c>
      <c r="Q385" s="98">
        <f>VLOOKUP(lmic_raw_ub[[#This Row],[setting]],lmic_raw[],17,FALSE)*(1+interactive!$C$7)</f>
        <v>10.480541585728083</v>
      </c>
      <c r="R385" s="98">
        <f>VLOOKUP(lmic_raw_ub[[#This Row],[setting]],lmic_raw[],18,FALSE)*(1+interactive!$C$7)</f>
        <v>46.76427000000001</v>
      </c>
      <c r="S385" s="98">
        <f>VLOOKUP(lmic_raw_ub[[#This Row],[setting]],lmic_raw[],19,FALSE)*(1+interactive!$C$7)</f>
        <v>96.893370000000019</v>
      </c>
      <c r="T385" s="98">
        <f>VLOOKUP(lmic_raw_ub[[#This Row],[setting]],lmic_raw[],20,FALSE)*(1+interactive!$C$7)</f>
        <v>96.893370000000019</v>
      </c>
      <c r="U385" s="98">
        <f>VLOOKUP(lmic_raw_ub[[#This Row],[setting]],lmic_raw[],21,FALSE)*(1+interactive!$C$7)</f>
        <v>96.893370000000019</v>
      </c>
      <c r="V385" s="33">
        <f>IFERROR(VLOOKUP(lmic_raw_ub[[#This Row],[setting]],vcost_ub[],3,FALSE),0)</f>
        <v>12.128008515736809</v>
      </c>
      <c r="W385" s="33">
        <f>IFERROR(VLOOKUP(lmic_raw_ub[[#This Row],[setting]],vcost_ub[],4,FALSE),0)</f>
        <v>16.39699351573681</v>
      </c>
      <c r="X385" s="33">
        <f>IFERROR(VLOOKUP(lmic_raw_ub[[#This Row],[setting]],vcost_ub[],5,FALSE),0)</f>
        <v>11.600497980413367</v>
      </c>
      <c r="Y385" s="33">
        <f>IFERROR(VLOOKUP(lmic_raw_ub[[#This Row],[setting]],vcost_ub[],6,FALSE),0)</f>
        <v>15.869482980413368</v>
      </c>
      <c r="Z385" s="33">
        <f>IFERROR(VLOOKUP(lmic_raw_ub[[#This Row],[setting]],vcost_ub[],7,FALSE),0)</f>
        <v>15.845023848614975</v>
      </c>
      <c r="AA385" s="33">
        <f>IFERROR(VLOOKUP(lmic_raw_ub[[#This Row],[setting]],vcost_ub[],8,FALSE),0)</f>
        <v>12.403824615797495</v>
      </c>
      <c r="AB385" s="33">
        <f>IFERROR(VLOOKUP(lmic_raw_ub[[#This Row],[setting]],vcost_ub[],9,FALSE),0)</f>
        <v>16.672809615797497</v>
      </c>
      <c r="AC385" s="84">
        <f>VLOOKUP($A385,lmic_raw[],29,FALSE)*(1+interactive!$C$7)</f>
        <v>5.1445064999999382E-3</v>
      </c>
      <c r="AD385" s="84">
        <f>VLOOKUP($A385,lmic_raw[],30,FALSE)*(1+interactive!$C$7)</f>
        <v>1.7938151009014202E-4</v>
      </c>
      <c r="AE385" s="84">
        <f>VLOOKUP($A385,lmic_raw[],31,FALSE)*(1+interactive!$C$7)</f>
        <v>1.051794529649897E-4</v>
      </c>
      <c r="AF385" s="84">
        <f>VLOOKUP($A385,lmic_raw[],32,FALSE)*(1+interactive!$C$7)</f>
        <v>1.2283846304301146E-4</v>
      </c>
      <c r="AG385" s="84">
        <f>VLOOKUP($A385,lmic_raw[],33,FALSE)*(1+interactive!$C$7)</f>
        <v>3.1685583986913187E-4</v>
      </c>
      <c r="AH385" s="84">
        <f>VLOOKUP($A385,lmic_raw[],34,FALSE)*(1+interactive!$C$7)</f>
        <v>4.3605433533571699E-4</v>
      </c>
      <c r="AI385" s="84">
        <f>VLOOKUP($A385,lmic_raw[],35,FALSE)*(1+interactive!$C$7)</f>
        <v>5.6046665030145149E-4</v>
      </c>
      <c r="AJ385" s="84">
        <f>VLOOKUP($A385,lmic_raw[],36,FALSE)*(1+interactive!$C$7)</f>
        <v>8.1010334601713297E-4</v>
      </c>
      <c r="AK385" s="84">
        <f>VLOOKUP($A385,lmic_raw[],37,FALSE)*(1+interactive!$C$7)</f>
        <v>1.1326869250180495E-3</v>
      </c>
      <c r="AL385" s="84">
        <f>VLOOKUP($A385,lmic_raw[],38,FALSE)*(1+interactive!$C$7)</f>
        <v>1.9082847229071991E-3</v>
      </c>
      <c r="AM385" s="84">
        <f>VLOOKUP($A385,lmic_raw[],39,FALSE)*(1+interactive!$C$7)</f>
        <v>3.3497813565546639E-3</v>
      </c>
      <c r="AN385" s="84">
        <f>VLOOKUP($A385,lmic_raw[],40,FALSE)*(1+interactive!$C$7)</f>
        <v>5.8953489645004187E-3</v>
      </c>
      <c r="AO385" s="84">
        <f>VLOOKUP($A385,lmic_raw[],41,FALSE)*(1+interactive!$C$7)</f>
        <v>9.6207296791513339E-3</v>
      </c>
      <c r="AP385" s="84">
        <f>VLOOKUP($A385,lmic_raw[],42,FALSE)*(1+interactive!$C$7)</f>
        <v>1.4900944359094047E-2</v>
      </c>
      <c r="AQ385" s="84">
        <f>VLOOKUP($A385,lmic_raw[],43,FALSE)*(1+interactive!$C$7)</f>
        <v>2.1925944238728286E-2</v>
      </c>
      <c r="AR385" s="84">
        <f>VLOOKUP($A385,lmic_raw[],44,FALSE)*(1+interactive!$C$7)</f>
        <v>3.3407250295843446E-2</v>
      </c>
      <c r="AS385" s="84">
        <f>VLOOKUP($A385,lmic_raw[],45,FALSE)*(1+interactive!$C$7)</f>
        <v>5.6172443973619035E-2</v>
      </c>
      <c r="AT385" s="84">
        <f>VLOOKUP($A385,lmic_raw[],46,FALSE)*(1+interactive!$C$7)</f>
        <v>9.0087643450804777E-2</v>
      </c>
      <c r="AU385" s="84">
        <f>VLOOKUP($A385,lmic_raw[],47,FALSE)*(1+interactive!$C$7)</f>
        <v>0.1284591426736531</v>
      </c>
      <c r="AV385" s="84">
        <f>VLOOKUP($A385,lmic_raw[],48,FALSE)*(1+interactive!$C$7)</f>
        <v>0.16832574869781952</v>
      </c>
      <c r="AW385" s="84">
        <f>VLOOKUP($A385,lmic_raw[],49,FALSE)*(1+interactive!$C$7)</f>
        <v>0.19165542775910896</v>
      </c>
      <c r="AX385" s="84">
        <f>VLOOKUP($A385,lmic_raw[],50,FALSE)*(1+interactive!$C$7)</f>
        <v>79.560600000000008</v>
      </c>
    </row>
    <row r="386" spans="1:50" x14ac:dyDescent="0.25">
      <c r="A386" s="109" t="s">
        <v>153</v>
      </c>
      <c r="B386" s="101" t="s">
        <v>509</v>
      </c>
      <c r="C386" s="102">
        <v>694</v>
      </c>
      <c r="D386" s="82" t="s">
        <v>677</v>
      </c>
      <c r="E386" s="82" t="s">
        <v>591</v>
      </c>
      <c r="F386" s="82" t="s">
        <v>667</v>
      </c>
      <c r="G386" s="82" t="s">
        <v>674</v>
      </c>
      <c r="H386" s="33">
        <f>VLOOKUP(lmic_raw_ub[[#This Row],[setting]],lmic_raw[],8,FALSE)</f>
        <v>7813207</v>
      </c>
      <c r="I386" s="33">
        <f>VLOOKUP(lmic_raw_ub[[#This Row],[setting]],lmic_raw[],9,FALSE)</f>
        <v>263500.40607500001</v>
      </c>
      <c r="J386" s="84">
        <f>MIN(VLOOKUP($A386,lmic_raw[],10,FALSE)*(1+interactive!$C$7),0.9999)</f>
        <v>0.87570000000000014</v>
      </c>
      <c r="K386" s="84">
        <f>MIN(VLOOKUP($A386,lmic_raw[],11,FALSE)*(1+interactive!$C$7),0.9999)</f>
        <v>0</v>
      </c>
      <c r="L386" s="33">
        <f>MIN(VLOOKUP($A386,lmic_raw[],12,FALSE)*(1+interactive!$C$7),0.9999)</f>
        <v>0.99749999999999994</v>
      </c>
      <c r="M386" s="84">
        <f>IFERROR(VLOOKUP(lmic_raw_ub[[#This Row],[iso3]], hbv_prev[[iso3]:[ub]],4,FALSE)/100,0)</f>
        <v>0.24660000000000001</v>
      </c>
      <c r="N386" s="84">
        <f>IFERROR(VLOOKUP(lmic_raw_ub[[#This Row],[setting]],hbe_prev[],5,FALSE),0)</f>
        <v>0.41070000000000001</v>
      </c>
      <c r="O386" s="84">
        <f>VLOOKUP(lmic_raw_ub[[#This Row],[gbd_super]],hbe_risk[],4,FALSE)</f>
        <v>0.74399999999999999</v>
      </c>
      <c r="P386" s="84">
        <f>VLOOKUP(lmic_raw_ub[[#This Row],[gbd_super]],hbe_risk[],7,FALSE)</f>
        <v>0.13300000000000001</v>
      </c>
      <c r="Q386" s="98">
        <f>VLOOKUP(lmic_raw_ub[[#This Row],[setting]],lmic_raw[],17,FALSE)*(1+interactive!$C$7)</f>
        <v>2.7787149383837142</v>
      </c>
      <c r="R386" s="98">
        <f>VLOOKUP(lmic_raw_ub[[#This Row],[setting]],lmic_raw[],18,FALSE)*(1+interactive!$C$7)</f>
        <v>31.416525000000004</v>
      </c>
      <c r="S386" s="98">
        <f>VLOOKUP(lmic_raw_ub[[#This Row],[setting]],lmic_raw[],19,FALSE)*(1+interactive!$C$7)</f>
        <v>81.545625000000015</v>
      </c>
      <c r="T386" s="98">
        <f>VLOOKUP(lmic_raw_ub[[#This Row],[setting]],lmic_raw[],20,FALSE)*(1+interactive!$C$7)</f>
        <v>81.545625000000015</v>
      </c>
      <c r="U386" s="98">
        <f>VLOOKUP(lmic_raw_ub[[#This Row],[setting]],lmic_raw[],21,FALSE)*(1+interactive!$C$7)</f>
        <v>81.545625000000015</v>
      </c>
      <c r="V386" s="33">
        <f>IFERROR(VLOOKUP(lmic_raw_ub[[#This Row],[setting]],vcost_ub[],3,FALSE),0)</f>
        <v>5.518767623669949</v>
      </c>
      <c r="W386" s="33">
        <f>IFERROR(VLOOKUP(lmic_raw_ub[[#This Row],[setting]],vcost_ub[],4,FALSE),0)</f>
        <v>10.588902623669949</v>
      </c>
      <c r="X386" s="33">
        <f>IFERROR(VLOOKUP(lmic_raw_ub[[#This Row],[setting]],vcost_ub[],5,FALSE),0)</f>
        <v>5.0267492795500823</v>
      </c>
      <c r="Y386" s="33">
        <f>IFERROR(VLOOKUP(lmic_raw_ub[[#This Row],[setting]],vcost_ub[],6,FALSE),0)</f>
        <v>10.096884279550082</v>
      </c>
      <c r="Z386" s="33">
        <f>IFERROR(VLOOKUP(lmic_raw_ub[[#This Row],[setting]],vcost_ub[],7,FALSE),0)</f>
        <v>10.09225930384962</v>
      </c>
      <c r="AA386" s="33">
        <f>IFERROR(VLOOKUP(lmic_raw_ub[[#This Row],[setting]],vcost_ub[],8,FALSE),0)</f>
        <v>5.7865272140709241</v>
      </c>
      <c r="AB386" s="33">
        <f>IFERROR(VLOOKUP(lmic_raw_ub[[#This Row],[setting]],vcost_ub[],9,FALSE),0)</f>
        <v>10.856662214070925</v>
      </c>
      <c r="AC386" s="84">
        <f>VLOOKUP($A386,lmic_raw[],29,FALSE)*(1+interactive!$C$7)</f>
        <v>8.4831589499999943E-2</v>
      </c>
      <c r="AD386" s="84">
        <f>VLOOKUP($A386,lmic_raw[],30,FALSE)*(1+interactive!$C$7)</f>
        <v>8.4516667234003015E-3</v>
      </c>
      <c r="AE386" s="84">
        <f>VLOOKUP($A386,lmic_raw[],31,FALSE)*(1+interactive!$C$7)</f>
        <v>3.7388400699392417E-3</v>
      </c>
      <c r="AF386" s="84">
        <f>VLOOKUP($A386,lmic_raw[],32,FALSE)*(1+interactive!$C$7)</f>
        <v>2.7470184874054835E-3</v>
      </c>
      <c r="AG386" s="84">
        <f>VLOOKUP($A386,lmic_raw[],33,FALSE)*(1+interactive!$C$7)</f>
        <v>4.5205002319840034E-3</v>
      </c>
      <c r="AH386" s="84">
        <f>VLOOKUP($A386,lmic_raw[],34,FALSE)*(1+interactive!$C$7)</f>
        <v>6.2916332594958411E-3</v>
      </c>
      <c r="AI386" s="84">
        <f>VLOOKUP($A386,lmic_raw[],35,FALSE)*(1+interactive!$C$7)</f>
        <v>6.9076282621046235E-3</v>
      </c>
      <c r="AJ386" s="84">
        <f>VLOOKUP($A386,lmic_raw[],36,FALSE)*(1+interactive!$C$7)</f>
        <v>7.5964884663196359E-3</v>
      </c>
      <c r="AK386" s="84">
        <f>VLOOKUP($A386,lmic_raw[],37,FALSE)*(1+interactive!$C$7)</f>
        <v>8.7679876868459322E-3</v>
      </c>
      <c r="AL386" s="84">
        <f>VLOOKUP($A386,lmic_raw[],38,FALSE)*(1+interactive!$C$7)</f>
        <v>1.037911429004715E-2</v>
      </c>
      <c r="AM386" s="84">
        <f>VLOOKUP($A386,lmic_raw[],39,FALSE)*(1+interactive!$C$7)</f>
        <v>1.273048011527878E-2</v>
      </c>
      <c r="AN386" s="84">
        <f>VLOOKUP($A386,lmic_raw[],40,FALSE)*(1+interactive!$C$7)</f>
        <v>1.6663069383855963E-2</v>
      </c>
      <c r="AO386" s="84">
        <f>VLOOKUP($A386,lmic_raw[],41,FALSE)*(1+interactive!$C$7)</f>
        <v>2.2161625678344572E-2</v>
      </c>
      <c r="AP386" s="84">
        <f>VLOOKUP($A386,lmic_raw[],42,FALSE)*(1+interactive!$C$7)</f>
        <v>3.1209962661911509E-2</v>
      </c>
      <c r="AQ386" s="84">
        <f>VLOOKUP($A386,lmic_raw[],43,FALSE)*(1+interactive!$C$7)</f>
        <v>4.4152899442848309E-2</v>
      </c>
      <c r="AR386" s="84">
        <f>VLOOKUP($A386,lmic_raw[],44,FALSE)*(1+interactive!$C$7)</f>
        <v>6.358063905180604E-2</v>
      </c>
      <c r="AS386" s="84">
        <f>VLOOKUP($A386,lmic_raw[],45,FALSE)*(1+interactive!$C$7)</f>
        <v>8.8790774238259151E-2</v>
      </c>
      <c r="AT386" s="84">
        <f>VLOOKUP($A386,lmic_raw[],46,FALSE)*(1+interactive!$C$7)</f>
        <v>0.11839918341948198</v>
      </c>
      <c r="AU386" s="84">
        <f>VLOOKUP($A386,lmic_raw[],47,FALSE)*(1+interactive!$C$7)</f>
        <v>0.1454700730911484</v>
      </c>
      <c r="AV386" s="84">
        <f>VLOOKUP($A386,lmic_raw[],48,FALSE)*(1+interactive!$C$7)</f>
        <v>0.1691242760572092</v>
      </c>
      <c r="AW386" s="84">
        <f>VLOOKUP($A386,lmic_raw[],49,FALSE)*(1+interactive!$C$7)</f>
        <v>0.18744508083651304</v>
      </c>
      <c r="AX386" s="84">
        <f>VLOOKUP($A386,lmic_raw[],50,FALSE)*(1+interactive!$C$7)</f>
        <v>56.769300000000008</v>
      </c>
    </row>
    <row r="387" spans="1:50" x14ac:dyDescent="0.25">
      <c r="A387" s="110" t="s">
        <v>284</v>
      </c>
      <c r="B387" s="104" t="s">
        <v>512</v>
      </c>
      <c r="C387" s="105">
        <v>90</v>
      </c>
      <c r="D387" s="84" t="s">
        <v>681</v>
      </c>
      <c r="E387" s="84" t="s">
        <v>98</v>
      </c>
      <c r="F387" s="84" t="s">
        <v>666</v>
      </c>
      <c r="G387" s="84" t="s">
        <v>678</v>
      </c>
      <c r="H387" s="33">
        <f>VLOOKUP(lmic_raw_ub[[#This Row],[setting]],lmic_raw[],8,FALSE)</f>
        <v>669821</v>
      </c>
      <c r="I387" s="33">
        <f>VLOOKUP(lmic_raw_ub[[#This Row],[setting]],lmic_raw[],9,FALSE)</f>
        <v>21909.84491</v>
      </c>
      <c r="J387" s="84">
        <f>MIN(VLOOKUP($A387,lmic_raw[],10,FALSE)*(1+interactive!$C$7),0.9999)</f>
        <v>0.88724999999999998</v>
      </c>
      <c r="K387" s="84">
        <f>MIN(VLOOKUP($A387,lmic_raw[],11,FALSE)*(1+interactive!$C$7),0.9999)</f>
        <v>0.69300000000000006</v>
      </c>
      <c r="L387" s="33">
        <f>MIN(VLOOKUP($A387,lmic_raw[],12,FALSE)*(1+interactive!$C$7),0.9999)</f>
        <v>0.98699999999999999</v>
      </c>
      <c r="M387" s="84">
        <f>IFERROR(VLOOKUP(lmic_raw_ub[[#This Row],[iso3]], hbv_prev[[iso3]:[ub]],4,FALSE)/100,0)</f>
        <v>0.1318</v>
      </c>
      <c r="N387" s="84">
        <f>IFERROR(VLOOKUP(lmic_raw_ub[[#This Row],[setting]],hbe_prev[],5,FALSE),0)</f>
        <v>0.47889999999999999</v>
      </c>
      <c r="O387" s="84">
        <f>VLOOKUP(lmic_raw_ub[[#This Row],[gbd_super]],hbe_risk[],4,FALSE)</f>
        <v>0.9</v>
      </c>
      <c r="P387" s="84">
        <f>VLOOKUP(lmic_raw_ub[[#This Row],[gbd_super]],hbe_risk[],7,FALSE)</f>
        <v>0.3</v>
      </c>
      <c r="Q387" s="98">
        <f>VLOOKUP(lmic_raw_ub[[#This Row],[setting]],lmic_raw[],17,FALSE)*(1+interactive!$C$7)</f>
        <v>6.1062031501004554</v>
      </c>
      <c r="R387" s="98">
        <f>VLOOKUP(lmic_raw_ub[[#This Row],[setting]],lmic_raw[],18,FALSE)*(1+interactive!$C$7)</f>
        <v>76.738725000000002</v>
      </c>
      <c r="S387" s="98">
        <f>VLOOKUP(lmic_raw_ub[[#This Row],[setting]],lmic_raw[],19,FALSE)*(1+interactive!$C$7)</f>
        <v>126.867825</v>
      </c>
      <c r="T387" s="98">
        <f>VLOOKUP(lmic_raw_ub[[#This Row],[setting]],lmic_raw[],20,FALSE)*(1+interactive!$C$7)</f>
        <v>126.867825</v>
      </c>
      <c r="U387" s="98">
        <f>VLOOKUP(lmic_raw_ub[[#This Row],[setting]],lmic_raw[],21,FALSE)*(1+interactive!$C$7)</f>
        <v>126.867825</v>
      </c>
      <c r="V387" s="33">
        <f>IFERROR(VLOOKUP(lmic_raw_ub[[#This Row],[setting]],vcost_ub[],3,FALSE),0)</f>
        <v>11.190370046159025</v>
      </c>
      <c r="W387" s="33">
        <f>IFERROR(VLOOKUP(lmic_raw_ub[[#This Row],[setting]],vcost_ub[],4,FALSE),0)</f>
        <v>11.854180046159025</v>
      </c>
      <c r="X387" s="33">
        <f>IFERROR(VLOOKUP(lmic_raw_ub[[#This Row],[setting]],vcost_ub[],5,FALSE),0)</f>
        <v>10.681511771279601</v>
      </c>
      <c r="Y387" s="33">
        <f>IFERROR(VLOOKUP(lmic_raw_ub[[#This Row],[setting]],vcost_ub[],6,FALSE),0)</f>
        <v>11.3453217712796</v>
      </c>
      <c r="Z387" s="33">
        <f>IFERROR(VLOOKUP(lmic_raw_ub[[#This Row],[setting]],vcost_ub[],7,FALSE),0)</f>
        <v>11.331592462743894</v>
      </c>
      <c r="AA387" s="33">
        <f>IFERROR(VLOOKUP(lmic_raw_ub[[#This Row],[setting]],vcost_ub[],8,FALSE),0)</f>
        <v>11.461952197529962</v>
      </c>
      <c r="AB387" s="33">
        <f>IFERROR(VLOOKUP(lmic_raw_ub[[#This Row],[setting]],vcost_ub[],9,FALSE),0)</f>
        <v>12.125762197529962</v>
      </c>
      <c r="AC387" s="84">
        <f>VLOOKUP($A387,lmic_raw[],29,FALSE)*(1+interactive!$C$7)</f>
        <v>1.6229230500000035E-2</v>
      </c>
      <c r="AD387" s="84">
        <f>VLOOKUP($A387,lmic_raw[],30,FALSE)*(1+interactive!$C$7)</f>
        <v>1.2443122249163193E-3</v>
      </c>
      <c r="AE387" s="84">
        <f>VLOOKUP($A387,lmic_raw[],31,FALSE)*(1+interactive!$C$7)</f>
        <v>4.5629744691734041E-4</v>
      </c>
      <c r="AF387" s="84">
        <f>VLOOKUP($A387,lmic_raw[],32,FALSE)*(1+interactive!$C$7)</f>
        <v>4.2022874003769446E-4</v>
      </c>
      <c r="AG387" s="84">
        <f>VLOOKUP($A387,lmic_raw[],33,FALSE)*(1+interactive!$C$7)</f>
        <v>9.2228905097233211E-4</v>
      </c>
      <c r="AH387" s="84">
        <f>VLOOKUP($A387,lmic_raw[],34,FALSE)*(1+interactive!$C$7)</f>
        <v>1.2088475142922807E-3</v>
      </c>
      <c r="AI387" s="84">
        <f>VLOOKUP($A387,lmic_raw[],35,FALSE)*(1+interactive!$C$7)</f>
        <v>1.2753409204484928E-3</v>
      </c>
      <c r="AJ387" s="84">
        <f>VLOOKUP($A387,lmic_raw[],36,FALSE)*(1+interactive!$C$7)</f>
        <v>1.5157014503602878E-3</v>
      </c>
      <c r="AK387" s="84">
        <f>VLOOKUP($A387,lmic_raw[],37,FALSE)*(1+interactive!$C$7)</f>
        <v>2.0411594068359081E-3</v>
      </c>
      <c r="AL387" s="84">
        <f>VLOOKUP($A387,lmic_raw[],38,FALSE)*(1+interactive!$C$7)</f>
        <v>2.9399242636781904E-3</v>
      </c>
      <c r="AM387" s="84">
        <f>VLOOKUP($A387,lmic_raw[],39,FALSE)*(1+interactive!$C$7)</f>
        <v>4.5300171336931329E-3</v>
      </c>
      <c r="AN387" s="84">
        <f>VLOOKUP($A387,lmic_raw[],40,FALSE)*(1+interactive!$C$7)</f>
        <v>7.0420555956551834E-3</v>
      </c>
      <c r="AO387" s="84">
        <f>VLOOKUP($A387,lmic_raw[],41,FALSE)*(1+interactive!$C$7)</f>
        <v>1.0991901334473569E-2</v>
      </c>
      <c r="AP387" s="84">
        <f>VLOOKUP($A387,lmic_raw[],42,FALSE)*(1+interactive!$C$7)</f>
        <v>1.6377557805654478E-2</v>
      </c>
      <c r="AQ387" s="84">
        <f>VLOOKUP($A387,lmic_raw[],43,FALSE)*(1+interactive!$C$7)</f>
        <v>2.4149197855496258E-2</v>
      </c>
      <c r="AR387" s="84">
        <f>VLOOKUP($A387,lmic_raw[],44,FALSE)*(1+interactive!$C$7)</f>
        <v>3.6998324226869488E-2</v>
      </c>
      <c r="AS387" s="84">
        <f>VLOOKUP($A387,lmic_raw[],45,FALSE)*(1+interactive!$C$7)</f>
        <v>5.849661623626868E-2</v>
      </c>
      <c r="AT387" s="84">
        <f>VLOOKUP($A387,lmic_raw[],46,FALSE)*(1+interactive!$C$7)</f>
        <v>8.7462737463654031E-2</v>
      </c>
      <c r="AU387" s="84">
        <f>VLOOKUP($A387,lmic_raw[],47,FALSE)*(1+interactive!$C$7)</f>
        <v>0.12229021769035453</v>
      </c>
      <c r="AV387" s="84">
        <f>VLOOKUP($A387,lmic_raw[],48,FALSE)*(1+interactive!$C$7)</f>
        <v>0.15431252735191409</v>
      </c>
      <c r="AW387" s="84">
        <f>VLOOKUP($A387,lmic_raw[],49,FALSE)*(1+interactive!$C$7)</f>
        <v>0.17872070277059268</v>
      </c>
      <c r="AX387" s="84">
        <f>VLOOKUP($A387,lmic_raw[],50,FALSE)*(1+interactive!$C$7)</f>
        <v>76.411649999999995</v>
      </c>
    </row>
    <row r="388" spans="1:50" x14ac:dyDescent="0.25">
      <c r="A388" s="109" t="s">
        <v>115</v>
      </c>
      <c r="B388" s="101" t="s">
        <v>513</v>
      </c>
      <c r="C388" s="102">
        <v>706</v>
      </c>
      <c r="D388" s="82" t="s">
        <v>673</v>
      </c>
      <c r="E388" s="82" t="s">
        <v>597</v>
      </c>
      <c r="F388" s="82" t="s">
        <v>667</v>
      </c>
      <c r="G388" s="82" t="s">
        <v>674</v>
      </c>
      <c r="H388" s="33">
        <f>VLOOKUP(lmic_raw_ub[[#This Row],[setting]],lmic_raw[],8,FALSE)</f>
        <v>15442906</v>
      </c>
      <c r="I388" s="33">
        <f>VLOOKUP(lmic_raw_ub[[#This Row],[setting]],lmic_raw[],9,FALSE)</f>
        <v>646563.58840800007</v>
      </c>
      <c r="J388" s="84">
        <f>MIN(VLOOKUP($A388,lmic_raw[],10,FALSE)*(1+interactive!$C$7),0.9999)</f>
        <v>0.21734999999999999</v>
      </c>
      <c r="K388" s="84">
        <f>MIN(VLOOKUP($A388,lmic_raw[],11,FALSE)*(1+interactive!$C$7),0.9999)</f>
        <v>0</v>
      </c>
      <c r="L388" s="33">
        <f>MIN(VLOOKUP($A388,lmic_raw[],12,FALSE)*(1+interactive!$C$7),0.9999)</f>
        <v>0.441</v>
      </c>
      <c r="M388" s="84">
        <f>IFERROR(VLOOKUP(lmic_raw_ub[[#This Row],[iso3]], hbv_prev[[iso3]:[ub]],4,FALSE)/100,0)</f>
        <v>0.16370000000000001</v>
      </c>
      <c r="N388" s="84">
        <f>IFERROR(VLOOKUP(lmic_raw_ub[[#This Row],[setting]],hbe_prev[],5,FALSE),0)</f>
        <v>0.39960000000000001</v>
      </c>
      <c r="O388" s="84">
        <f>VLOOKUP(lmic_raw_ub[[#This Row],[gbd_super]],hbe_risk[],4,FALSE)</f>
        <v>0.74399999999999999</v>
      </c>
      <c r="P388" s="84">
        <f>VLOOKUP(lmic_raw_ub[[#This Row],[gbd_super]],hbe_risk[],7,FALSE)</f>
        <v>0.13300000000000001</v>
      </c>
      <c r="Q388" s="98">
        <f>VLOOKUP(lmic_raw_ub[[#This Row],[setting]],lmic_raw[],17,FALSE)*(1+interactive!$C$7)</f>
        <v>0</v>
      </c>
      <c r="R388" s="98">
        <f>VLOOKUP(lmic_raw_ub[[#This Row],[setting]],lmic_raw[],18,FALSE)*(1+interactive!$C$7)</f>
        <v>31.416525000000004</v>
      </c>
      <c r="S388" s="98">
        <f>VLOOKUP(lmic_raw_ub[[#This Row],[setting]],lmic_raw[],19,FALSE)*(1+interactive!$C$7)</f>
        <v>81.545625000000015</v>
      </c>
      <c r="T388" s="98">
        <f>VLOOKUP(lmic_raw_ub[[#This Row],[setting]],lmic_raw[],20,FALSE)*(1+interactive!$C$7)</f>
        <v>81.545625000000015</v>
      </c>
      <c r="U388" s="98">
        <f>VLOOKUP(lmic_raw_ub[[#This Row],[setting]],lmic_raw[],21,FALSE)*(1+interactive!$C$7)</f>
        <v>81.545625000000015</v>
      </c>
      <c r="V388" s="33">
        <f>IFERROR(VLOOKUP(lmic_raw_ub[[#This Row],[setting]],vcost_ub[],3,FALSE),0)</f>
        <v>2.2596592648834699</v>
      </c>
      <c r="W388" s="33">
        <f>IFERROR(VLOOKUP(lmic_raw_ub[[#This Row],[setting]],vcost_ub[],4,FALSE),0)</f>
        <v>7.3297942648834704</v>
      </c>
      <c r="X388" s="33">
        <f>IFERROR(VLOOKUP(lmic_raw_ub[[#This Row],[setting]],vcost_ub[],5,FALSE),0)</f>
        <v>1.7742005970230965</v>
      </c>
      <c r="Y388" s="33">
        <f>IFERROR(VLOOKUP(lmic_raw_ub[[#This Row],[setting]],vcost_ub[],6,FALSE),0)</f>
        <v>6.8443355970230968</v>
      </c>
      <c r="Z388" s="33">
        <f>IFERROR(VLOOKUP(lmic_raw_ub[[#This Row],[setting]],vcost_ub[],7,FALSE),0)</f>
        <v>6.8431844512531104</v>
      </c>
      <c r="AA388" s="33">
        <f>IFERROR(VLOOKUP(lmic_raw_ub[[#This Row],[setting]],vcost_ub[],8,FALSE),0)</f>
        <v>2.5259298490169533</v>
      </c>
      <c r="AB388" s="33">
        <f>IFERROR(VLOOKUP(lmic_raw_ub[[#This Row],[setting]],vcost_ub[],9,FALSE),0)</f>
        <v>7.5960648490169538</v>
      </c>
      <c r="AC388" s="84">
        <f>VLOOKUP($A388,lmic_raw[],29,FALSE)*(1+interactive!$C$7)</f>
        <v>7.2789884999999957E-2</v>
      </c>
      <c r="AD388" s="84">
        <f>VLOOKUP($A388,lmic_raw[],30,FALSE)*(1+interactive!$C$7)</f>
        <v>1.2906997040754159E-2</v>
      </c>
      <c r="AE388" s="84">
        <f>VLOOKUP($A388,lmic_raw[],31,FALSE)*(1+interactive!$C$7)</f>
        <v>4.256786580954507E-3</v>
      </c>
      <c r="AF388" s="84">
        <f>VLOOKUP($A388,lmic_raw[],32,FALSE)*(1+interactive!$C$7)</f>
        <v>3.0590347296089852E-3</v>
      </c>
      <c r="AG388" s="84">
        <f>VLOOKUP($A388,lmic_raw[],33,FALSE)*(1+interactive!$C$7)</f>
        <v>3.2525777414439379E-3</v>
      </c>
      <c r="AH388" s="84">
        <f>VLOOKUP($A388,lmic_raw[],34,FALSE)*(1+interactive!$C$7)</f>
        <v>4.2784650913780566E-3</v>
      </c>
      <c r="AI388" s="84">
        <f>VLOOKUP($A388,lmic_raw[],35,FALSE)*(1+interactive!$C$7)</f>
        <v>5.1737639647431357E-3</v>
      </c>
      <c r="AJ388" s="84">
        <f>VLOOKUP($A388,lmic_raw[],36,FALSE)*(1+interactive!$C$7)</f>
        <v>6.0928047942315142E-3</v>
      </c>
      <c r="AK388" s="84">
        <f>VLOOKUP($A388,lmic_raw[],37,FALSE)*(1+interactive!$C$7)</f>
        <v>7.4957744596755903E-3</v>
      </c>
      <c r="AL388" s="84">
        <f>VLOOKUP($A388,lmic_raw[],38,FALSE)*(1+interactive!$C$7)</f>
        <v>8.5061696006223705E-3</v>
      </c>
      <c r="AM388" s="84">
        <f>VLOOKUP($A388,lmic_raw[],39,FALSE)*(1+interactive!$C$7)</f>
        <v>9.7983286323064262E-3</v>
      </c>
      <c r="AN388" s="84">
        <f>VLOOKUP($A388,lmic_raw[],40,FALSE)*(1+interactive!$C$7)</f>
        <v>1.2171325587940618E-2</v>
      </c>
      <c r="AO388" s="84">
        <f>VLOOKUP($A388,lmic_raw[],41,FALSE)*(1+interactive!$C$7)</f>
        <v>1.6305806380872694E-2</v>
      </c>
      <c r="AP388" s="84">
        <f>VLOOKUP($A388,lmic_raw[],42,FALSE)*(1+interactive!$C$7)</f>
        <v>2.3535424293891837E-2</v>
      </c>
      <c r="AQ388" s="84">
        <f>VLOOKUP($A388,lmic_raw[],43,FALSE)*(1+interactive!$C$7)</f>
        <v>3.5233548910453827E-2</v>
      </c>
      <c r="AR388" s="84">
        <f>VLOOKUP($A388,lmic_raw[],44,FALSE)*(1+interactive!$C$7)</f>
        <v>5.2947229416409246E-2</v>
      </c>
      <c r="AS388" s="84">
        <f>VLOOKUP($A388,lmic_raw[],45,FALSE)*(1+interactive!$C$7)</f>
        <v>7.7401138879670525E-2</v>
      </c>
      <c r="AT388" s="84">
        <f>VLOOKUP($A388,lmic_raw[],46,FALSE)*(1+interactive!$C$7)</f>
        <v>0.10743559202287832</v>
      </c>
      <c r="AU388" s="84">
        <f>VLOOKUP($A388,lmic_raw[],47,FALSE)*(1+interactive!$C$7)</f>
        <v>0.13869881855098729</v>
      </c>
      <c r="AV388" s="84">
        <f>VLOOKUP($A388,lmic_raw[],48,FALSE)*(1+interactive!$C$7)</f>
        <v>0.16592720278338602</v>
      </c>
      <c r="AW388" s="84">
        <f>VLOOKUP($A388,lmic_raw[],49,FALSE)*(1+interactive!$C$7)</f>
        <v>0.18436709774762539</v>
      </c>
      <c r="AX388" s="84">
        <f>VLOOKUP($A388,lmic_raw[],50,FALSE)*(1+interactive!$C$7)</f>
        <v>59.788050000000005</v>
      </c>
    </row>
    <row r="389" spans="1:50" x14ac:dyDescent="0.25">
      <c r="A389" s="110" t="s">
        <v>136</v>
      </c>
      <c r="B389" s="104" t="s">
        <v>514</v>
      </c>
      <c r="C389" s="105">
        <v>710</v>
      </c>
      <c r="D389" s="84" t="s">
        <v>677</v>
      </c>
      <c r="E389" s="84" t="s">
        <v>594</v>
      </c>
      <c r="F389" s="84" t="s">
        <v>667</v>
      </c>
      <c r="G389" s="84" t="s">
        <v>676</v>
      </c>
      <c r="H389" s="33">
        <f>VLOOKUP(lmic_raw_ub[[#This Row],[setting]],lmic_raw[],8,FALSE)</f>
        <v>58558267</v>
      </c>
      <c r="I389" s="33">
        <f>VLOOKUP(lmic_raw_ub[[#This Row],[setting]],lmic_raw[],9,FALSE)</f>
        <v>1209989.4710210001</v>
      </c>
      <c r="J389" s="84">
        <f>MIN(VLOOKUP($A389,lmic_raw[],10,FALSE)*(1+interactive!$C$7),0.9999)</f>
        <v>0.99990000000000001</v>
      </c>
      <c r="K389" s="84">
        <f>MIN(VLOOKUP($A389,lmic_raw[],11,FALSE)*(1+interactive!$C$7),0.9999)</f>
        <v>0</v>
      </c>
      <c r="L389" s="33">
        <f>MIN(VLOOKUP($A389,lmic_raw[],12,FALSE)*(1+interactive!$C$7),0.9999)</f>
        <v>0.80850000000000011</v>
      </c>
      <c r="M389" s="84">
        <f>IFERROR(VLOOKUP(lmic_raw_ub[[#This Row],[iso3]], hbv_prev[[iso3]:[ub]],4,FALSE)/100,0)</f>
        <v>4.7699999999999992E-2</v>
      </c>
      <c r="N389" s="84">
        <f>IFERROR(VLOOKUP(lmic_raw_ub[[#This Row],[setting]],hbe_prev[],5,FALSE),0)</f>
        <v>0.3679</v>
      </c>
      <c r="O389" s="84">
        <f>VLOOKUP(lmic_raw_ub[[#This Row],[gbd_super]],hbe_risk[],4,FALSE)</f>
        <v>0.74399999999999999</v>
      </c>
      <c r="P389" s="84">
        <f>VLOOKUP(lmic_raw_ub[[#This Row],[gbd_super]],hbe_risk[],7,FALSE)</f>
        <v>0.13300000000000001</v>
      </c>
      <c r="Q389" s="98">
        <f>VLOOKUP(lmic_raw_ub[[#This Row],[setting]],lmic_raw[],17,FALSE)*(1+interactive!$C$7)</f>
        <v>13.072742140174086</v>
      </c>
      <c r="R389" s="98">
        <f>VLOOKUP(lmic_raw_ub[[#This Row],[setting]],lmic_raw[],18,FALSE)*(1+interactive!$C$7)</f>
        <v>31.416525000000004</v>
      </c>
      <c r="S389" s="98">
        <f>VLOOKUP(lmic_raw_ub[[#This Row],[setting]],lmic_raw[],19,FALSE)*(1+interactive!$C$7)</f>
        <v>81.545625000000015</v>
      </c>
      <c r="T389" s="98">
        <f>VLOOKUP(lmic_raw_ub[[#This Row],[setting]],lmic_raw[],20,FALSE)*(1+interactive!$C$7)</f>
        <v>81.545625000000015</v>
      </c>
      <c r="U389" s="98">
        <f>VLOOKUP(lmic_raw_ub[[#This Row],[setting]],lmic_raw[],21,FALSE)*(1+interactive!$C$7)</f>
        <v>81.545625000000015</v>
      </c>
      <c r="V389" s="33">
        <f>IFERROR(VLOOKUP(lmic_raw_ub[[#This Row],[setting]],vcost_ub[],3,FALSE),0)</f>
        <v>5.6214750777235043</v>
      </c>
      <c r="W389" s="33">
        <f>IFERROR(VLOOKUP(lmic_raw_ub[[#This Row],[setting]],vcost_ub[],4,FALSE),0)</f>
        <v>10.691610077723505</v>
      </c>
      <c r="X389" s="33">
        <f>IFERROR(VLOOKUP(lmic_raw_ub[[#This Row],[setting]],vcost_ub[],5,FALSE),0)</f>
        <v>5.101837683987303</v>
      </c>
      <c r="Y389" s="33">
        <f>IFERROR(VLOOKUP(lmic_raw_ub[[#This Row],[setting]],vcost_ub[],6,FALSE),0)</f>
        <v>10.171972683987303</v>
      </c>
      <c r="Z389" s="33">
        <f>IFERROR(VLOOKUP(lmic_raw_ub[[#This Row],[setting]],vcost_ub[],7,FALSE),0)</f>
        <v>10.15151469462387</v>
      </c>
      <c r="AA389" s="33">
        <f>IFERROR(VLOOKUP(lmic_raw_ub[[#This Row],[setting]],vcost_ub[],8,FALSE),0)</f>
        <v>5.8955040229453646</v>
      </c>
      <c r="AB389" s="33">
        <f>IFERROR(VLOOKUP(lmic_raw_ub[[#This Row],[setting]],vcost_ub[],9,FALSE),0)</f>
        <v>10.965639022945364</v>
      </c>
      <c r="AC389" s="84">
        <f>VLOOKUP($A389,lmic_raw[],29,FALSE)*(1+interactive!$C$7)</f>
        <v>2.8606199999999939E-2</v>
      </c>
      <c r="AD389" s="84">
        <f>VLOOKUP($A389,lmic_raw[],30,FALSE)*(1+interactive!$C$7)</f>
        <v>2.2162985887519871E-3</v>
      </c>
      <c r="AE389" s="84">
        <f>VLOOKUP($A389,lmic_raw[],31,FALSE)*(1+interactive!$C$7)</f>
        <v>9.4688471010382226E-4</v>
      </c>
      <c r="AF389" s="84">
        <f>VLOOKUP($A389,lmic_raw[],32,FALSE)*(1+interactive!$C$7)</f>
        <v>7.912667595840403E-4</v>
      </c>
      <c r="AG389" s="84">
        <f>VLOOKUP($A389,lmic_raw[],33,FALSE)*(1+interactive!$C$7)</f>
        <v>1.3459613185123713E-3</v>
      </c>
      <c r="AH389" s="84">
        <f>VLOOKUP($A389,lmic_raw[],34,FALSE)*(1+interactive!$C$7)</f>
        <v>2.4006147815552798E-3</v>
      </c>
      <c r="AI389" s="84">
        <f>VLOOKUP($A389,lmic_raw[],35,FALSE)*(1+interactive!$C$7)</f>
        <v>4.0183005192001272E-3</v>
      </c>
      <c r="AJ389" s="84">
        <f>VLOOKUP($A389,lmic_raw[],36,FALSE)*(1+interactive!$C$7)</f>
        <v>5.8643878156156119E-3</v>
      </c>
      <c r="AK389" s="84">
        <f>VLOOKUP($A389,lmic_raw[],37,FALSE)*(1+interactive!$C$7)</f>
        <v>8.5270908134880488E-3</v>
      </c>
      <c r="AL389" s="84">
        <f>VLOOKUP($A389,lmic_raw[],38,FALSE)*(1+interactive!$C$7)</f>
        <v>1.0266067652798527E-2</v>
      </c>
      <c r="AM389" s="84">
        <f>VLOOKUP($A389,lmic_raw[],39,FALSE)*(1+interactive!$C$7)</f>
        <v>1.2304175486549256E-2</v>
      </c>
      <c r="AN389" s="84">
        <f>VLOOKUP($A389,lmic_raw[],40,FALSE)*(1+interactive!$C$7)</f>
        <v>1.4934540254836134E-2</v>
      </c>
      <c r="AO389" s="84">
        <f>VLOOKUP($A389,lmic_raw[],41,FALSE)*(1+interactive!$C$7)</f>
        <v>1.8188427398020967E-2</v>
      </c>
      <c r="AP389" s="84">
        <f>VLOOKUP($A389,lmic_raw[],42,FALSE)*(1+interactive!$C$7)</f>
        <v>2.4086398569404636E-2</v>
      </c>
      <c r="AQ389" s="84">
        <f>VLOOKUP($A389,lmic_raw[],43,FALSE)*(1+interactive!$C$7)</f>
        <v>3.3869117629657247E-2</v>
      </c>
      <c r="AR389" s="84">
        <f>VLOOKUP($A389,lmic_raw[],44,FALSE)*(1+interactive!$C$7)</f>
        <v>4.9334354700535717E-2</v>
      </c>
      <c r="AS389" s="84">
        <f>VLOOKUP($A389,lmic_raw[],45,FALSE)*(1+interactive!$C$7)</f>
        <v>7.2290709623683586E-2</v>
      </c>
      <c r="AT389" s="84">
        <f>VLOOKUP($A389,lmic_raw[],46,FALSE)*(1+interactive!$C$7)</f>
        <v>0.10795071348991744</v>
      </c>
      <c r="AU389" s="84">
        <f>VLOOKUP($A389,lmic_raw[],47,FALSE)*(1+interactive!$C$7)</f>
        <v>0.15085278205046967</v>
      </c>
      <c r="AV389" s="84">
        <f>VLOOKUP($A389,lmic_raw[],48,FALSE)*(1+interactive!$C$7)</f>
        <v>0.18455128490027262</v>
      </c>
      <c r="AW389" s="84">
        <f>VLOOKUP($A389,lmic_raw[],49,FALSE)*(1+interactive!$C$7)</f>
        <v>0.19669053317647764</v>
      </c>
      <c r="AX389" s="84">
        <f>VLOOKUP($A389,lmic_raw[],50,FALSE)*(1+interactive!$C$7)</f>
        <v>66.795749999999998</v>
      </c>
    </row>
    <row r="390" spans="1:50" x14ac:dyDescent="0.25">
      <c r="A390" s="109" t="s">
        <v>116</v>
      </c>
      <c r="B390" s="101" t="s">
        <v>515</v>
      </c>
      <c r="C390" s="102">
        <v>728</v>
      </c>
      <c r="D390" s="82" t="s">
        <v>677</v>
      </c>
      <c r="E390" s="82" t="s">
        <v>597</v>
      </c>
      <c r="F390" s="82" t="s">
        <v>667</v>
      </c>
      <c r="G390" s="82" t="s">
        <v>674</v>
      </c>
      <c r="H390" s="33">
        <f>VLOOKUP(lmic_raw_ub[[#This Row],[setting]],lmic_raw[],8,FALSE)</f>
        <v>11062114</v>
      </c>
      <c r="I390" s="33">
        <f>VLOOKUP(lmic_raw_ub[[#This Row],[setting]],lmic_raw[],9,FALSE)</f>
        <v>389286.85377400002</v>
      </c>
      <c r="J390" s="84">
        <f>MIN(VLOOKUP($A390,lmic_raw[],10,FALSE)*(1+interactive!$C$7),0.9999)</f>
        <v>0.12075000000000001</v>
      </c>
      <c r="K390" s="84">
        <f>MIN(VLOOKUP($A390,lmic_raw[],11,FALSE)*(1+interactive!$C$7),0.9999)</f>
        <v>0</v>
      </c>
      <c r="L390" s="33">
        <f>MIN(VLOOKUP($A390,lmic_raw[],12,FALSE)*(1+interactive!$C$7),0.9999)</f>
        <v>0.51449999999999996</v>
      </c>
      <c r="M390" s="84">
        <f>IFERROR(VLOOKUP(lmic_raw_ub[[#This Row],[iso3]], hbv_prev[[iso3]:[ub]],4,FALSE)/100,0)</f>
        <v>0.26629999999999998</v>
      </c>
      <c r="N390" s="84">
        <f>IFERROR(VLOOKUP(lmic_raw_ub[[#This Row],[setting]],hbe_prev[],5,FALSE),0)</f>
        <v>0.39960000000000001</v>
      </c>
      <c r="O390" s="84">
        <f>VLOOKUP(lmic_raw_ub[[#This Row],[gbd_super]],hbe_risk[],4,FALSE)</f>
        <v>0.74399999999999999</v>
      </c>
      <c r="P390" s="84">
        <f>VLOOKUP(lmic_raw_ub[[#This Row],[gbd_super]],hbe_risk[],7,FALSE)</f>
        <v>0.13300000000000001</v>
      </c>
      <c r="Q390" s="98">
        <f>VLOOKUP(lmic_raw_ub[[#This Row],[setting]],lmic_raw[],17,FALSE)*(1+interactive!$C$7)</f>
        <v>0</v>
      </c>
      <c r="R390" s="98">
        <f>VLOOKUP(lmic_raw_ub[[#This Row],[setting]],lmic_raw[],18,FALSE)*(1+interactive!$C$7)</f>
        <v>31.416525000000004</v>
      </c>
      <c r="S390" s="98">
        <f>VLOOKUP(lmic_raw_ub[[#This Row],[setting]],lmic_raw[],19,FALSE)*(1+interactive!$C$7)</f>
        <v>81.545625000000015</v>
      </c>
      <c r="T390" s="98">
        <f>VLOOKUP(lmic_raw_ub[[#This Row],[setting]],lmic_raw[],20,FALSE)*(1+interactive!$C$7)</f>
        <v>81.545625000000015</v>
      </c>
      <c r="U390" s="98">
        <f>VLOOKUP(lmic_raw_ub[[#This Row],[setting]],lmic_raw[],21,FALSE)*(1+interactive!$C$7)</f>
        <v>81.545625000000015</v>
      </c>
      <c r="V390" s="33">
        <f>IFERROR(VLOOKUP(lmic_raw_ub[[#This Row],[setting]],vcost_ub[],3,FALSE),0)</f>
        <v>2.6772391812865495</v>
      </c>
      <c r="W390" s="33">
        <f>IFERROR(VLOOKUP(lmic_raw_ub[[#This Row],[setting]],vcost_ub[],4,FALSE),0)</f>
        <v>7.74737418128655</v>
      </c>
      <c r="X390" s="33">
        <f>IFERROR(VLOOKUP(lmic_raw_ub[[#This Row],[setting]],vcost_ub[],5,FALSE),0)</f>
        <v>2.1938999999999997</v>
      </c>
      <c r="Y390" s="33">
        <f>IFERROR(VLOOKUP(lmic_raw_ub[[#This Row],[setting]],vcost_ub[],6,FALSE),0)</f>
        <v>7.2640349999999998</v>
      </c>
      <c r="Z390" s="33">
        <f>IFERROR(VLOOKUP(lmic_raw_ub[[#This Row],[setting]],vcost_ub[],7,FALSE),0)</f>
        <v>7.2640349999999998</v>
      </c>
      <c r="AA390" s="33">
        <f>IFERROR(VLOOKUP(lmic_raw_ub[[#This Row],[setting]],vcost_ub[],8,FALSE),0)</f>
        <v>2.9430286549707598</v>
      </c>
      <c r="AB390" s="33">
        <f>IFERROR(VLOOKUP(lmic_raw_ub[[#This Row],[setting]],vcost_ub[],9,FALSE),0)</f>
        <v>8.0131636549707608</v>
      </c>
      <c r="AC390" s="84">
        <f>VLOOKUP($A390,lmic_raw[],29,FALSE)*(1+interactive!$C$7)</f>
        <v>6.7610739000000031E-2</v>
      </c>
      <c r="AD390" s="84">
        <f>VLOOKUP($A390,lmic_raw[],30,FALSE)*(1+interactive!$C$7)</f>
        <v>9.5840298673114353E-3</v>
      </c>
      <c r="AE390" s="84">
        <f>VLOOKUP($A390,lmic_raw[],31,FALSE)*(1+interactive!$C$7)</f>
        <v>3.9527582247868955E-3</v>
      </c>
      <c r="AF390" s="84">
        <f>VLOOKUP($A390,lmic_raw[],32,FALSE)*(1+interactive!$C$7)</f>
        <v>2.4015954567371892E-3</v>
      </c>
      <c r="AG390" s="84">
        <f>VLOOKUP($A390,lmic_raw[],33,FALSE)*(1+interactive!$C$7)</f>
        <v>3.0969968380762645E-3</v>
      </c>
      <c r="AH390" s="84">
        <f>VLOOKUP($A390,lmic_raw[],34,FALSE)*(1+interactive!$C$7)</f>
        <v>4.2832464488702735E-3</v>
      </c>
      <c r="AI390" s="84">
        <f>VLOOKUP($A390,lmic_raw[],35,FALSE)*(1+interactive!$C$7)</f>
        <v>5.7682938288829639E-3</v>
      </c>
      <c r="AJ390" s="84">
        <f>VLOOKUP($A390,lmic_raw[],36,FALSE)*(1+interactive!$C$7)</f>
        <v>7.3340173421793031E-3</v>
      </c>
      <c r="AK390" s="84">
        <f>VLOOKUP($A390,lmic_raw[],37,FALSE)*(1+interactive!$C$7)</f>
        <v>9.3831486731590797E-3</v>
      </c>
      <c r="AL390" s="84">
        <f>VLOOKUP($A390,lmic_raw[],38,FALSE)*(1+interactive!$C$7)</f>
        <v>1.026194369894568E-2</v>
      </c>
      <c r="AM390" s="84">
        <f>VLOOKUP($A390,lmic_raw[],39,FALSE)*(1+interactive!$C$7)</f>
        <v>1.138141827364437E-2</v>
      </c>
      <c r="AN390" s="84">
        <f>VLOOKUP($A390,lmic_raw[],40,FALSE)*(1+interactive!$C$7)</f>
        <v>1.3429355540567749E-2</v>
      </c>
      <c r="AO390" s="84">
        <f>VLOOKUP($A390,lmic_raw[],41,FALSE)*(1+interactive!$C$7)</f>
        <v>1.6589504716475852E-2</v>
      </c>
      <c r="AP390" s="84">
        <f>VLOOKUP($A390,lmic_raw[],42,FALSE)*(1+interactive!$C$7)</f>
        <v>2.3611610608705202E-2</v>
      </c>
      <c r="AQ390" s="84">
        <f>VLOOKUP($A390,lmic_raw[],43,FALSE)*(1+interactive!$C$7)</f>
        <v>3.3485066060526009E-2</v>
      </c>
      <c r="AR390" s="84">
        <f>VLOOKUP($A390,lmic_raw[],44,FALSE)*(1+interactive!$C$7)</f>
        <v>5.0657441272133598E-2</v>
      </c>
      <c r="AS390" s="84">
        <f>VLOOKUP($A390,lmic_raw[],45,FALSE)*(1+interactive!$C$7)</f>
        <v>7.4571241111907174E-2</v>
      </c>
      <c r="AT390" s="84">
        <f>VLOOKUP($A390,lmic_raw[],46,FALSE)*(1+interactive!$C$7)</f>
        <v>0.10598698143463851</v>
      </c>
      <c r="AU390" s="84">
        <f>VLOOKUP($A390,lmic_raw[],47,FALSE)*(1+interactive!$C$7)</f>
        <v>0.13803261548744403</v>
      </c>
      <c r="AV390" s="84">
        <f>VLOOKUP($A390,lmic_raw[],48,FALSE)*(1+interactive!$C$7)</f>
        <v>0.16512736638233153</v>
      </c>
      <c r="AW390" s="84">
        <f>VLOOKUP($A390,lmic_raw[],49,FALSE)*(1+interactive!$C$7)</f>
        <v>0.18424284045335393</v>
      </c>
      <c r="AX390" s="84">
        <f>VLOOKUP($A390,lmic_raw[],50,FALSE)*(1+interactive!$C$7)</f>
        <v>60.296250000000001</v>
      </c>
    </row>
    <row r="391" spans="1:50" x14ac:dyDescent="0.25">
      <c r="A391" s="110" t="s">
        <v>199</v>
      </c>
      <c r="B391" s="104" t="s">
        <v>516</v>
      </c>
      <c r="C391" s="105">
        <v>144</v>
      </c>
      <c r="D391" s="84" t="s">
        <v>680</v>
      </c>
      <c r="E391" s="84" t="s">
        <v>598</v>
      </c>
      <c r="F391" s="84" t="s">
        <v>666</v>
      </c>
      <c r="G391" s="84" t="s">
        <v>676</v>
      </c>
      <c r="H391" s="33">
        <f>VLOOKUP(lmic_raw_ub[[#This Row],[setting]],lmic_raw[],8,FALSE)</f>
        <v>21323734</v>
      </c>
      <c r="I391" s="33">
        <f>VLOOKUP(lmic_raw_ub[[#This Row],[setting]],lmic_raw[],9,FALSE)</f>
        <v>341648.866148</v>
      </c>
      <c r="J391" s="84">
        <f>MIN(VLOOKUP($A391,lmic_raw[],10,FALSE)*(1+interactive!$C$7),0.9999)</f>
        <v>0.99990000000000001</v>
      </c>
      <c r="K391" s="84">
        <f>MIN(VLOOKUP($A391,lmic_raw[],11,FALSE)*(1+interactive!$C$7),0.9999)</f>
        <v>0</v>
      </c>
      <c r="L391" s="33">
        <f>MIN(VLOOKUP($A391,lmic_raw[],12,FALSE)*(1+interactive!$C$7),0.9999)</f>
        <v>0.99990000000000001</v>
      </c>
      <c r="M391" s="84">
        <f>IFERROR(VLOOKUP(lmic_raw_ub[[#This Row],[iso3]], hbv_prev[[iso3]:[ub]],4,FALSE)/100,0)</f>
        <v>2.7799999999999998E-2</v>
      </c>
      <c r="N391" s="84">
        <f>IFERROR(VLOOKUP(lmic_raw_ub[[#This Row],[setting]],hbe_prev[],5,FALSE),0)</f>
        <v>0.47729999999999995</v>
      </c>
      <c r="O391" s="84">
        <f>VLOOKUP(lmic_raw_ub[[#This Row],[gbd_super]],hbe_risk[],4,FALSE)</f>
        <v>0.9</v>
      </c>
      <c r="P391" s="84">
        <f>VLOOKUP(lmic_raw_ub[[#This Row],[gbd_super]],hbe_risk[],7,FALSE)</f>
        <v>0.3</v>
      </c>
      <c r="Q391" s="98">
        <f>VLOOKUP(lmic_raw_ub[[#This Row],[setting]],lmic_raw[],17,FALSE)*(1+interactive!$C$7)</f>
        <v>5.0219654181927531</v>
      </c>
      <c r="R391" s="98">
        <f>VLOOKUP(lmic_raw_ub[[#This Row],[setting]],lmic_raw[],18,FALSE)*(1+interactive!$C$7)</f>
        <v>76.738725000000002</v>
      </c>
      <c r="S391" s="98">
        <f>VLOOKUP(lmic_raw_ub[[#This Row],[setting]],lmic_raw[],19,FALSE)*(1+interactive!$C$7)</f>
        <v>126.867825</v>
      </c>
      <c r="T391" s="98">
        <f>VLOOKUP(lmic_raw_ub[[#This Row],[setting]],lmic_raw[],20,FALSE)*(1+interactive!$C$7)</f>
        <v>126.867825</v>
      </c>
      <c r="U391" s="98">
        <f>VLOOKUP(lmic_raw_ub[[#This Row],[setting]],lmic_raw[],21,FALSE)*(1+interactive!$C$7)</f>
        <v>126.867825</v>
      </c>
      <c r="V391" s="33">
        <f>IFERROR(VLOOKUP(lmic_raw_ub[[#This Row],[setting]],vcost_ub[],3,FALSE),0)</f>
        <v>9.6806279388556415</v>
      </c>
      <c r="W391" s="33">
        <f>IFERROR(VLOOKUP(lmic_raw_ub[[#This Row],[setting]],vcost_ub[],4,FALSE),0)</f>
        <v>10.344437938855641</v>
      </c>
      <c r="X391" s="33">
        <f>IFERROR(VLOOKUP(lmic_raw_ub[[#This Row],[setting]],vcost_ub[],5,FALSE),0)</f>
        <v>9.1744378829581787</v>
      </c>
      <c r="Y391" s="33">
        <f>IFERROR(VLOOKUP(lmic_raw_ub[[#This Row],[setting]],vcost_ub[],6,FALSE),0)</f>
        <v>9.8382478829581785</v>
      </c>
      <c r="Z391" s="33">
        <f>IFERROR(VLOOKUP(lmic_raw_ub[[#This Row],[setting]],vcost_ub[],7,FALSE),0)</f>
        <v>9.8256699037060393</v>
      </c>
      <c r="AA391" s="33">
        <f>IFERROR(VLOOKUP(lmic_raw_ub[[#This Row],[setting]],vcost_ub[],8,FALSE),0)</f>
        <v>9.9516044208871151</v>
      </c>
      <c r="AB391" s="33">
        <f>IFERROR(VLOOKUP(lmic_raw_ub[[#This Row],[setting]],vcost_ub[],9,FALSE),0)</f>
        <v>10.615414420887115</v>
      </c>
      <c r="AC391" s="84">
        <f>VLOOKUP($A391,lmic_raw[],29,FALSE)*(1+interactive!$C$7)</f>
        <v>7.9519544999999778E-3</v>
      </c>
      <c r="AD391" s="84">
        <f>VLOOKUP($A391,lmic_raw[],30,FALSE)*(1+interactive!$C$7)</f>
        <v>2.6985670307081198E-4</v>
      </c>
      <c r="AE391" s="84">
        <f>VLOOKUP($A391,lmic_raw[],31,FALSE)*(1+interactive!$C$7)</f>
        <v>3.1190748634110491E-4</v>
      </c>
      <c r="AF391" s="84">
        <f>VLOOKUP($A391,lmic_raw[],32,FALSE)*(1+interactive!$C$7)</f>
        <v>3.0492337084786996E-4</v>
      </c>
      <c r="AG391" s="84">
        <f>VLOOKUP($A391,lmic_raw[],33,FALSE)*(1+interactive!$C$7)</f>
        <v>5.8265483493439077E-4</v>
      </c>
      <c r="AH391" s="84">
        <f>VLOOKUP($A391,lmic_raw[],34,FALSE)*(1+interactive!$C$7)</f>
        <v>8.2836920569008359E-4</v>
      </c>
      <c r="AI391" s="84">
        <f>VLOOKUP($A391,lmic_raw[],35,FALSE)*(1+interactive!$C$7)</f>
        <v>9.0603243615311512E-4</v>
      </c>
      <c r="AJ391" s="84">
        <f>VLOOKUP($A391,lmic_raw[],36,FALSE)*(1+interactive!$C$7)</f>
        <v>1.0370179061018395E-3</v>
      </c>
      <c r="AK391" s="84">
        <f>VLOOKUP($A391,lmic_raw[],37,FALSE)*(1+interactive!$C$7)</f>
        <v>1.4917336690235914E-3</v>
      </c>
      <c r="AL391" s="84">
        <f>VLOOKUP($A391,lmic_raw[],38,FALSE)*(1+interactive!$C$7)</f>
        <v>2.1839892109599729E-3</v>
      </c>
      <c r="AM391" s="84">
        <f>VLOOKUP($A391,lmic_raw[],39,FALSE)*(1+interactive!$C$7)</f>
        <v>3.3678526633927016E-3</v>
      </c>
      <c r="AN391" s="84">
        <f>VLOOKUP($A391,lmic_raw[],40,FALSE)*(1+interactive!$C$7)</f>
        <v>5.1579409835322146E-3</v>
      </c>
      <c r="AO391" s="84">
        <f>VLOOKUP($A391,lmic_raw[],41,FALSE)*(1+interactive!$C$7)</f>
        <v>7.3246016074776368E-3</v>
      </c>
      <c r="AP391" s="84">
        <f>VLOOKUP($A391,lmic_raw[],42,FALSE)*(1+interactive!$C$7)</f>
        <v>1.0494002050422375E-2</v>
      </c>
      <c r="AQ391" s="84">
        <f>VLOOKUP($A391,lmic_raw[],43,FALSE)*(1+interactive!$C$7)</f>
        <v>1.8379359136768188E-2</v>
      </c>
      <c r="AR391" s="84">
        <f>VLOOKUP($A391,lmic_raw[],44,FALSE)*(1+interactive!$C$7)</f>
        <v>3.3030790305563426E-2</v>
      </c>
      <c r="AS391" s="84">
        <f>VLOOKUP($A391,lmic_raw[],45,FALSE)*(1+interactive!$C$7)</f>
        <v>4.5284177478041823E-2</v>
      </c>
      <c r="AT391" s="84">
        <f>VLOOKUP($A391,lmic_raw[],46,FALSE)*(1+interactive!$C$7)</f>
        <v>7.3438631715630406E-2</v>
      </c>
      <c r="AU391" s="84">
        <f>VLOOKUP($A391,lmic_raw[],47,FALSE)*(1+interactive!$C$7)</f>
        <v>0.11199340061476418</v>
      </c>
      <c r="AV391" s="84">
        <f>VLOOKUP($A391,lmic_raw[],48,FALSE)*(1+interactive!$C$7)</f>
        <v>0.15143565190961059</v>
      </c>
      <c r="AW391" s="84">
        <f>VLOOKUP($A391,lmic_raw[],49,FALSE)*(1+interactive!$C$7)</f>
        <v>0.18033015405119185</v>
      </c>
      <c r="AX391" s="84">
        <f>VLOOKUP($A391,lmic_raw[],50,FALSE)*(1+interactive!$C$7)</f>
        <v>80.561250000000001</v>
      </c>
    </row>
    <row r="392" spans="1:50" x14ac:dyDescent="0.25">
      <c r="A392" s="109" t="s">
        <v>647</v>
      </c>
      <c r="B392" s="101" t="s">
        <v>518</v>
      </c>
      <c r="C392" s="102">
        <v>729</v>
      </c>
      <c r="D392" s="82" t="s">
        <v>673</v>
      </c>
      <c r="E392" s="82" t="s">
        <v>597</v>
      </c>
      <c r="F392" s="82" t="s">
        <v>667</v>
      </c>
      <c r="G392" s="82" t="s">
        <v>678</v>
      </c>
      <c r="H392" s="33">
        <f>VLOOKUP(lmic_raw_ub[[#This Row],[setting]],lmic_raw[],8,FALSE)</f>
        <v>42813237</v>
      </c>
      <c r="I392" s="33">
        <f>VLOOKUP(lmic_raw_ub[[#This Row],[setting]],lmic_raw[],9,FALSE)</f>
        <v>1385479.1625569998</v>
      </c>
      <c r="J392" s="84">
        <f>MIN(VLOOKUP($A392,lmic_raw[],10,FALSE)*(1+interactive!$C$7),0.9999)</f>
        <v>0.29085</v>
      </c>
      <c r="K392" s="84">
        <f>MIN(VLOOKUP($A392,lmic_raw[],11,FALSE)*(1+interactive!$C$7),0.9999)</f>
        <v>0</v>
      </c>
      <c r="L392" s="33">
        <f>MIN(VLOOKUP($A392,lmic_raw[],12,FALSE)*(1+interactive!$C$7),0.9999)</f>
        <v>0.97650000000000015</v>
      </c>
      <c r="M392" s="84">
        <f>IFERROR(VLOOKUP(lmic_raw_ub[[#This Row],[iso3]], hbv_prev[[iso3]:[ub]],4,FALSE)/100,0)</f>
        <v>9.2300000000000007E-2</v>
      </c>
      <c r="N392" s="84">
        <f>IFERROR(VLOOKUP(lmic_raw_ub[[#This Row],[setting]],hbe_prev[],5,FALSE),0)</f>
        <v>0.39960000000000001</v>
      </c>
      <c r="O392" s="84">
        <f>VLOOKUP(lmic_raw_ub[[#This Row],[gbd_super]],hbe_risk[],4,FALSE)</f>
        <v>0.74399999999999999</v>
      </c>
      <c r="P392" s="84">
        <f>VLOOKUP(lmic_raw_ub[[#This Row],[gbd_super]],hbe_risk[],7,FALSE)</f>
        <v>0.13300000000000001</v>
      </c>
      <c r="Q392" s="98">
        <f>VLOOKUP(lmic_raw_ub[[#This Row],[setting]],lmic_raw[],17,FALSE)*(1+interactive!$C$7)</f>
        <v>4.2243652475939841</v>
      </c>
      <c r="R392" s="98">
        <f>VLOOKUP(lmic_raw_ub[[#This Row],[setting]],lmic_raw[],18,FALSE)*(1+interactive!$C$7)</f>
        <v>31.416525000000004</v>
      </c>
      <c r="S392" s="98">
        <f>VLOOKUP(lmic_raw_ub[[#This Row],[setting]],lmic_raw[],19,FALSE)*(1+interactive!$C$7)</f>
        <v>81.545625000000015</v>
      </c>
      <c r="T392" s="98">
        <f>VLOOKUP(lmic_raw_ub[[#This Row],[setting]],lmic_raw[],20,FALSE)*(1+interactive!$C$7)</f>
        <v>81.545625000000015</v>
      </c>
      <c r="U392" s="98">
        <f>VLOOKUP(lmic_raw_ub[[#This Row],[setting]],lmic_raw[],21,FALSE)*(1+interactive!$C$7)</f>
        <v>81.545625000000015</v>
      </c>
      <c r="V392" s="33">
        <f>IFERROR(VLOOKUP(lmic_raw_ub[[#This Row],[setting]],vcost_ub[],3,FALSE),0)</f>
        <v>5.0469362231545087</v>
      </c>
      <c r="W392" s="33">
        <f>IFERROR(VLOOKUP(lmic_raw_ub[[#This Row],[setting]],vcost_ub[],4,FALSE),0)</f>
        <v>10.117071223154509</v>
      </c>
      <c r="X392" s="33">
        <f>IFERROR(VLOOKUP(lmic_raw_ub[[#This Row],[setting]],vcost_ub[],5,FALSE),0)</f>
        <v>4.5586589762357903</v>
      </c>
      <c r="Y392" s="33">
        <f>IFERROR(VLOOKUP(lmic_raw_ub[[#This Row],[setting]],vcost_ub[],6,FALSE),0)</f>
        <v>9.6287939762357908</v>
      </c>
      <c r="Z392" s="33">
        <f>IFERROR(VLOOKUP(lmic_raw_ub[[#This Row],[setting]],vcost_ub[],7,FALSE),0)</f>
        <v>9.6260054118768483</v>
      </c>
      <c r="AA392" s="33">
        <f>IFERROR(VLOOKUP(lmic_raw_ub[[#This Row],[setting]],vcost_ub[],8,FALSE),0)</f>
        <v>5.3138466074423416</v>
      </c>
      <c r="AB392" s="33">
        <f>IFERROR(VLOOKUP(lmic_raw_ub[[#This Row],[setting]],vcost_ub[],9,FALSE),0)</f>
        <v>10.383981607442342</v>
      </c>
      <c r="AC392" s="84">
        <f>VLOOKUP($A392,lmic_raw[],29,FALSE)*(1+interactive!$C$7)</f>
        <v>4.501859250000001E-2</v>
      </c>
      <c r="AD392" s="84">
        <f>VLOOKUP($A392,lmic_raw[],30,FALSE)*(1+interactive!$C$7)</f>
        <v>5.7864877962928917E-3</v>
      </c>
      <c r="AE392" s="84">
        <f>VLOOKUP($A392,lmic_raw[],31,FALSE)*(1+interactive!$C$7)</f>
        <v>2.2750208217927515E-3</v>
      </c>
      <c r="AF392" s="84">
        <f>VLOOKUP($A392,lmic_raw[],32,FALSE)*(1+interactive!$C$7)</f>
        <v>1.7078683314977387E-3</v>
      </c>
      <c r="AG392" s="84">
        <f>VLOOKUP($A392,lmic_raw[],33,FALSE)*(1+interactive!$C$7)</f>
        <v>2.014662459337528E-3</v>
      </c>
      <c r="AH392" s="84">
        <f>VLOOKUP($A392,lmic_raw[],34,FALSE)*(1+interactive!$C$7)</f>
        <v>2.7008311181251077E-3</v>
      </c>
      <c r="AI392" s="84">
        <f>VLOOKUP($A392,lmic_raw[],35,FALSE)*(1+interactive!$C$7)</f>
        <v>3.2065527480574577E-3</v>
      </c>
      <c r="AJ392" s="84">
        <f>VLOOKUP($A392,lmic_raw[],36,FALSE)*(1+interactive!$C$7)</f>
        <v>3.7238305856888902E-3</v>
      </c>
      <c r="AK392" s="84">
        <f>VLOOKUP($A392,lmic_raw[],37,FALSE)*(1+interactive!$C$7)</f>
        <v>4.690870921800777E-3</v>
      </c>
      <c r="AL392" s="84">
        <f>VLOOKUP($A392,lmic_raw[],38,FALSE)*(1+interactive!$C$7)</f>
        <v>5.6815244081905511E-3</v>
      </c>
      <c r="AM392" s="84">
        <f>VLOOKUP($A392,lmic_raw[],39,FALSE)*(1+interactive!$C$7)</f>
        <v>6.9546985827998046E-3</v>
      </c>
      <c r="AN392" s="84">
        <f>VLOOKUP($A392,lmic_raw[],40,FALSE)*(1+interactive!$C$7)</f>
        <v>9.2742884245818041E-3</v>
      </c>
      <c r="AO392" s="84">
        <f>VLOOKUP($A392,lmic_raw[],41,FALSE)*(1+interactive!$C$7)</f>
        <v>1.2519252615699639E-2</v>
      </c>
      <c r="AP392" s="84">
        <f>VLOOKUP($A392,lmic_raw[],42,FALSE)*(1+interactive!$C$7)</f>
        <v>1.8413794780652783E-2</v>
      </c>
      <c r="AQ392" s="84">
        <f>VLOOKUP($A392,lmic_raw[],43,FALSE)*(1+interactive!$C$7)</f>
        <v>2.878004443238389E-2</v>
      </c>
      <c r="AR392" s="84">
        <f>VLOOKUP($A392,lmic_raw[],44,FALSE)*(1+interactive!$C$7)</f>
        <v>4.470969949560679E-2</v>
      </c>
      <c r="AS392" s="84">
        <f>VLOOKUP($A392,lmic_raw[],45,FALSE)*(1+interactive!$C$7)</f>
        <v>6.7020845843525523E-2</v>
      </c>
      <c r="AT392" s="84">
        <f>VLOOKUP($A392,lmic_raw[],46,FALSE)*(1+interactive!$C$7)</f>
        <v>9.6661564150910817E-2</v>
      </c>
      <c r="AU392" s="84">
        <f>VLOOKUP($A392,lmic_raw[],47,FALSE)*(1+interactive!$C$7)</f>
        <v>0.12777696452902904</v>
      </c>
      <c r="AV392" s="84">
        <f>VLOOKUP($A392,lmic_raw[],48,FALSE)*(1+interactive!$C$7)</f>
        <v>0.1556047938930811</v>
      </c>
      <c r="AW392" s="84">
        <f>VLOOKUP($A392,lmic_raw[],49,FALSE)*(1+interactive!$C$7)</f>
        <v>0.17624935615569085</v>
      </c>
      <c r="AX392" s="84">
        <f>VLOOKUP($A392,lmic_raw[],50,FALSE)*(1+interactive!$C$7)</f>
        <v>68.195399999999992</v>
      </c>
    </row>
    <row r="393" spans="1:50" x14ac:dyDescent="0.25">
      <c r="A393" s="110" t="s">
        <v>273</v>
      </c>
      <c r="B393" s="104" t="s">
        <v>519</v>
      </c>
      <c r="C393" s="105">
        <v>740</v>
      </c>
      <c r="D393" s="84" t="s">
        <v>679</v>
      </c>
      <c r="E393" s="84" t="s">
        <v>223</v>
      </c>
      <c r="F393" s="84" t="s">
        <v>665</v>
      </c>
      <c r="G393" s="84" t="s">
        <v>676</v>
      </c>
      <c r="H393" s="33">
        <f>VLOOKUP(lmic_raw_ub[[#This Row],[setting]],lmic_raw[],8,FALSE)</f>
        <v>581363</v>
      </c>
      <c r="I393" s="33">
        <f>VLOOKUP(lmic_raw_ub[[#This Row],[setting]],lmic_raw[],9,FALSE)</f>
        <v>10851.721758000002</v>
      </c>
      <c r="J393" s="84">
        <f>MIN(VLOOKUP($A393,lmic_raw[],10,FALSE)*(1+interactive!$C$7),0.9999)</f>
        <v>0.97545000000000004</v>
      </c>
      <c r="K393" s="84">
        <f>MIN(VLOOKUP($A393,lmic_raw[],11,FALSE)*(1+interactive!$C$7),0.9999)</f>
        <v>0.82950000000000013</v>
      </c>
      <c r="L393" s="33">
        <f>MIN(VLOOKUP($A393,lmic_raw[],12,FALSE)*(1+interactive!$C$7),0.9999)</f>
        <v>0.80850000000000011</v>
      </c>
      <c r="M393" s="84">
        <f>IFERROR(VLOOKUP(lmic_raw_ub[[#This Row],[iso3]], hbv_prev[[iso3]:[ub]],4,FALSE)/100,0)</f>
        <v>0.14940000000000001</v>
      </c>
      <c r="N393" s="84">
        <f>IFERROR(VLOOKUP(lmic_raw_ub[[#This Row],[setting]],hbe_prev[],5,FALSE),0)</f>
        <v>0.43</v>
      </c>
      <c r="O393" s="84">
        <f>VLOOKUP(lmic_raw_ub[[#This Row],[gbd_super]],hbe_risk[],4,FALSE)</f>
        <v>0.9</v>
      </c>
      <c r="P393" s="84">
        <f>VLOOKUP(lmic_raw_ub[[#This Row],[gbd_super]],hbe_risk[],7,FALSE)</f>
        <v>0.3</v>
      </c>
      <c r="Q393" s="98">
        <f>VLOOKUP(lmic_raw_ub[[#This Row],[setting]],lmic_raw[],17,FALSE)*(1+interactive!$C$7)</f>
        <v>10.40576656973445</v>
      </c>
      <c r="R393" s="98">
        <f>VLOOKUP(lmic_raw_ub[[#This Row],[setting]],lmic_raw[],18,FALSE)*(1+interactive!$C$7)</f>
        <v>91.228094999999996</v>
      </c>
      <c r="S393" s="98">
        <f>VLOOKUP(lmic_raw_ub[[#This Row],[setting]],lmic_raw[],19,FALSE)*(1+interactive!$C$7)</f>
        <v>141.35719500000002</v>
      </c>
      <c r="T393" s="98">
        <f>VLOOKUP(lmic_raw_ub[[#This Row],[setting]],lmic_raw[],20,FALSE)*(1+interactive!$C$7)</f>
        <v>141.35719500000002</v>
      </c>
      <c r="U393" s="98">
        <f>VLOOKUP(lmic_raw_ub[[#This Row],[setting]],lmic_raw[],21,FALSE)*(1+interactive!$C$7)</f>
        <v>141.35719500000002</v>
      </c>
      <c r="V393" s="33">
        <f>IFERROR(VLOOKUP(lmic_raw_ub[[#This Row],[setting]],vcost_ub[],3,FALSE),0)</f>
        <v>18.756951627696484</v>
      </c>
      <c r="W393" s="33">
        <f>IFERROR(VLOOKUP(lmic_raw_ub[[#This Row],[setting]],vcost_ub[],4,FALSE),0)</f>
        <v>18.779841627696484</v>
      </c>
      <c r="X393" s="33">
        <f>IFERROR(VLOOKUP(lmic_raw_ub[[#This Row],[setting]],vcost_ub[],5,FALSE),0)</f>
        <v>18.235977656424208</v>
      </c>
      <c r="Y393" s="33">
        <f>IFERROR(VLOOKUP(lmic_raw_ub[[#This Row],[setting]],vcost_ub[],6,FALSE),0)</f>
        <v>18.258867656424208</v>
      </c>
      <c r="Z393" s="33">
        <f>IFERROR(VLOOKUP(lmic_raw_ub[[#This Row],[setting]],vcost_ub[],7,FALSE),0)</f>
        <v>18.238207850922088</v>
      </c>
      <c r="AA393" s="33">
        <f>IFERROR(VLOOKUP(lmic_raw_ub[[#This Row],[setting]],vcost_ub[],8,FALSE),0)</f>
        <v>19.031283967819174</v>
      </c>
      <c r="AB393" s="33">
        <f>IFERROR(VLOOKUP(lmic_raw_ub[[#This Row],[setting]],vcost_ub[],9,FALSE),0)</f>
        <v>19.054173967819175</v>
      </c>
      <c r="AC393" s="84">
        <f>VLOOKUP($A393,lmic_raw[],29,FALSE)*(1+interactive!$C$7)</f>
        <v>1.8371366999999948E-2</v>
      </c>
      <c r="AD393" s="84">
        <f>VLOOKUP($A393,lmic_raw[],30,FALSE)*(1+interactive!$C$7)</f>
        <v>5.5348698212218128E-4</v>
      </c>
      <c r="AE393" s="84">
        <f>VLOOKUP($A393,lmic_raw[],31,FALSE)*(1+interactive!$C$7)</f>
        <v>5.7846867333960668E-4</v>
      </c>
      <c r="AF393" s="84">
        <f>VLOOKUP($A393,lmic_raw[],32,FALSE)*(1+interactive!$C$7)</f>
        <v>3.3118890600516054E-4</v>
      </c>
      <c r="AG393" s="84">
        <f>VLOOKUP($A393,lmic_raw[],33,FALSE)*(1+interactive!$C$7)</f>
        <v>6.0395139609980707E-4</v>
      </c>
      <c r="AH393" s="84">
        <f>VLOOKUP($A393,lmic_raw[],34,FALSE)*(1+interactive!$C$7)</f>
        <v>1.2334334382935244E-3</v>
      </c>
      <c r="AI393" s="84">
        <f>VLOOKUP($A393,lmic_raw[],35,FALSE)*(1+interactive!$C$7)</f>
        <v>1.9910084127090048E-3</v>
      </c>
      <c r="AJ393" s="84">
        <f>VLOOKUP($A393,lmic_raw[],36,FALSE)*(1+interactive!$C$7)</f>
        <v>2.6970697975910191E-3</v>
      </c>
      <c r="AK393" s="84">
        <f>VLOOKUP($A393,lmic_raw[],37,FALSE)*(1+interactive!$C$7)</f>
        <v>3.3766058241579988E-3</v>
      </c>
      <c r="AL393" s="84">
        <f>VLOOKUP($A393,lmic_raw[],38,FALSE)*(1+interactive!$C$7)</f>
        <v>4.1309305998209287E-3</v>
      </c>
      <c r="AM393" s="84">
        <f>VLOOKUP($A393,lmic_raw[],39,FALSE)*(1+interactive!$C$7)</f>
        <v>5.3094321041114298E-3</v>
      </c>
      <c r="AN393" s="84">
        <f>VLOOKUP($A393,lmic_raw[],40,FALSE)*(1+interactive!$C$7)</f>
        <v>7.6941617681486607E-3</v>
      </c>
      <c r="AO393" s="84">
        <f>VLOOKUP($A393,lmic_raw[],41,FALSE)*(1+interactive!$C$7)</f>
        <v>1.1925245100141316E-2</v>
      </c>
      <c r="AP393" s="84">
        <f>VLOOKUP($A393,lmic_raw[],42,FALSE)*(1+interactive!$C$7)</f>
        <v>1.8412374234507929E-2</v>
      </c>
      <c r="AQ393" s="84">
        <f>VLOOKUP($A393,lmic_raw[],43,FALSE)*(1+interactive!$C$7)</f>
        <v>2.7795866569855308E-2</v>
      </c>
      <c r="AR393" s="84">
        <f>VLOOKUP($A393,lmic_raw[],44,FALSE)*(1+interactive!$C$7)</f>
        <v>4.1160395805510237E-2</v>
      </c>
      <c r="AS393" s="84">
        <f>VLOOKUP($A393,lmic_raw[],45,FALSE)*(1+interactive!$C$7)</f>
        <v>5.9642984510163831E-2</v>
      </c>
      <c r="AT393" s="84">
        <f>VLOOKUP($A393,lmic_raw[],46,FALSE)*(1+interactive!$C$7)</f>
        <v>8.3804937834456056E-2</v>
      </c>
      <c r="AU393" s="84">
        <f>VLOOKUP($A393,lmic_raw[],47,FALSE)*(1+interactive!$C$7)</f>
        <v>0.11195017439742516</v>
      </c>
      <c r="AV393" s="84">
        <f>VLOOKUP($A393,lmic_raw[],48,FALSE)*(1+interactive!$C$7)</f>
        <v>0.14054328098589122</v>
      </c>
      <c r="AW393" s="84">
        <f>VLOOKUP($A393,lmic_raw[],49,FALSE)*(1+interactive!$C$7)</f>
        <v>0.1654472611384466</v>
      </c>
      <c r="AX393" s="84">
        <f>VLOOKUP($A393,lmic_raw[],50,FALSE)*(1+interactive!$C$7)</f>
        <v>75.062399999999997</v>
      </c>
    </row>
    <row r="394" spans="1:50" x14ac:dyDescent="0.25">
      <c r="A394" s="109" t="s">
        <v>648</v>
      </c>
      <c r="B394" s="101" t="s">
        <v>520</v>
      </c>
      <c r="C394" s="102">
        <v>760</v>
      </c>
      <c r="D394" s="82" t="s">
        <v>673</v>
      </c>
      <c r="E394" s="82" t="s">
        <v>579</v>
      </c>
      <c r="F394" s="82" t="s">
        <v>579</v>
      </c>
      <c r="G394" s="82" t="s">
        <v>674</v>
      </c>
      <c r="H394" s="33">
        <f>VLOOKUP(lmic_raw_ub[[#This Row],[setting]],lmic_raw[],8,FALSE)</f>
        <v>17070132</v>
      </c>
      <c r="I394" s="33">
        <f>VLOOKUP(lmic_raw_ub[[#This Row],[setting]],lmic_raw[],9,FALSE)</f>
        <v>409751.44852800004</v>
      </c>
      <c r="J394" s="84">
        <f>MIN(VLOOKUP($A394,lmic_raw[],10,FALSE)*(1+interactive!$C$7),0.9999)</f>
        <v>0.82110000000000005</v>
      </c>
      <c r="K394" s="84">
        <f>MIN(VLOOKUP($A394,lmic_raw[],11,FALSE)*(1+interactive!$C$7),0.9999)</f>
        <v>0</v>
      </c>
      <c r="L394" s="33">
        <f>MIN(VLOOKUP($A394,lmic_raw[],12,FALSE)*(1+interactive!$C$7),0.9999)</f>
        <v>0.56700000000000006</v>
      </c>
      <c r="M394" s="84">
        <f>IFERROR(VLOOKUP(lmic_raw_ub[[#This Row],[iso3]], hbv_prev[[iso3]:[ub]],4,FALSE)/100,0)</f>
        <v>1.54E-2</v>
      </c>
      <c r="N394" s="84">
        <f>IFERROR(VLOOKUP(lmic_raw_ub[[#This Row],[setting]],hbe_prev[],5,FALSE),0)</f>
        <v>0.37619999999999998</v>
      </c>
      <c r="O394" s="84">
        <f>VLOOKUP(lmic_raw_ub[[#This Row],[gbd_super]],hbe_risk[],4,FALSE)</f>
        <v>0.9</v>
      </c>
      <c r="P394" s="84">
        <f>VLOOKUP(lmic_raw_ub[[#This Row],[gbd_super]],hbe_risk[],7,FALSE)</f>
        <v>0.3</v>
      </c>
      <c r="Q394" s="98">
        <f>VLOOKUP(lmic_raw_ub[[#This Row],[setting]],lmic_raw[],17,FALSE)*(1+interactive!$C$7)</f>
        <v>7.8509535232852645</v>
      </c>
      <c r="R394" s="98">
        <f>VLOOKUP(lmic_raw_ub[[#This Row],[setting]],lmic_raw[],18,FALSE)*(1+interactive!$C$7)</f>
        <v>48.652695000000001</v>
      </c>
      <c r="S394" s="98">
        <f>VLOOKUP(lmic_raw_ub[[#This Row],[setting]],lmic_raw[],19,FALSE)*(1+interactive!$C$7)</f>
        <v>98.781795000000017</v>
      </c>
      <c r="T394" s="98">
        <f>VLOOKUP(lmic_raw_ub[[#This Row],[setting]],lmic_raw[],20,FALSE)*(1+interactive!$C$7)</f>
        <v>98.781795000000017</v>
      </c>
      <c r="U394" s="98">
        <f>VLOOKUP(lmic_raw_ub[[#This Row],[setting]],lmic_raw[],21,FALSE)*(1+interactive!$C$7)</f>
        <v>98.781795000000017</v>
      </c>
      <c r="V394" s="33">
        <f>IFERROR(VLOOKUP(lmic_raw_ub[[#This Row],[setting]],vcost_ub[],3,FALSE),0)</f>
        <v>3.1693671353339186</v>
      </c>
      <c r="W394" s="33">
        <f>IFERROR(VLOOKUP(lmic_raw_ub[[#This Row],[setting]],vcost_ub[],4,FALSE),0)</f>
        <v>3.6729471353339185</v>
      </c>
      <c r="X394" s="33">
        <f>IFERROR(VLOOKUP(lmic_raw_ub[[#This Row],[setting]],vcost_ub[],5,FALSE),0)</f>
        <v>2.6500476330839495</v>
      </c>
      <c r="Y394" s="33">
        <f>IFERROR(VLOOKUP(lmic_raw_ub[[#This Row],[setting]],vcost_ub[],6,FALSE),0)</f>
        <v>3.1536276330839494</v>
      </c>
      <c r="Z394" s="33">
        <f>IFERROR(VLOOKUP(lmic_raw_ub[[#This Row],[setting]],vcost_ub[],7,FALSE),0)</f>
        <v>3.1326920583657709</v>
      </c>
      <c r="AA394" s="33">
        <f>IFERROR(VLOOKUP(lmic_raw_ub[[#This Row],[setting]],vcost_ub[],8,FALSE),0)</f>
        <v>3.4433239211386595</v>
      </c>
      <c r="AB394" s="33">
        <f>IFERROR(VLOOKUP(lmic_raw_ub[[#This Row],[setting]],vcost_ub[],9,FALSE),0)</f>
        <v>3.9469039211386594</v>
      </c>
      <c r="AC394" s="84">
        <f>VLOOKUP($A394,lmic_raw[],29,FALSE)*(1+interactive!$C$7)</f>
        <v>1.6321021500000019E-2</v>
      </c>
      <c r="AD394" s="84">
        <f>VLOOKUP($A394,lmic_raw[],30,FALSE)*(1+interactive!$C$7)</f>
        <v>5.9457230584474008E-4</v>
      </c>
      <c r="AE394" s="84">
        <f>VLOOKUP($A394,lmic_raw[],31,FALSE)*(1+interactive!$C$7)</f>
        <v>3.7231133508392654E-4</v>
      </c>
      <c r="AF394" s="84">
        <f>VLOOKUP($A394,lmic_raw[],32,FALSE)*(1+interactive!$C$7)</f>
        <v>3.3189505185058889E-4</v>
      </c>
      <c r="AG394" s="84">
        <f>VLOOKUP($A394,lmic_raw[],33,FALSE)*(1+interactive!$C$7)</f>
        <v>2.2550427309636308E-3</v>
      </c>
      <c r="AH394" s="84">
        <f>VLOOKUP($A394,lmic_raw[],34,FALSE)*(1+interactive!$C$7)</f>
        <v>3.2909142421129289E-3</v>
      </c>
      <c r="AI394" s="84">
        <f>VLOOKUP($A394,lmic_raw[],35,FALSE)*(1+interactive!$C$7)</f>
        <v>4.8811839491137267E-3</v>
      </c>
      <c r="AJ394" s="84">
        <f>VLOOKUP($A394,lmic_raw[],36,FALSE)*(1+interactive!$C$7)</f>
        <v>4.1932358571168385E-3</v>
      </c>
      <c r="AK394" s="84">
        <f>VLOOKUP($A394,lmic_raw[],37,FALSE)*(1+interactive!$C$7)</f>
        <v>2.8568133535646677E-3</v>
      </c>
      <c r="AL394" s="84">
        <f>VLOOKUP($A394,lmic_raw[],38,FALSE)*(1+interactive!$C$7)</f>
        <v>2.8583233015923681E-3</v>
      </c>
      <c r="AM394" s="84">
        <f>VLOOKUP($A394,lmic_raw[],39,FALSE)*(1+interactive!$C$7)</f>
        <v>4.2693574561719801E-3</v>
      </c>
      <c r="AN394" s="84">
        <f>VLOOKUP($A394,lmic_raw[],40,FALSE)*(1+interactive!$C$7)</f>
        <v>6.9541385979065831E-3</v>
      </c>
      <c r="AO394" s="84">
        <f>VLOOKUP($A394,lmic_raw[],41,FALSE)*(1+interactive!$C$7)</f>
        <v>8.5161682514391396E-3</v>
      </c>
      <c r="AP394" s="84">
        <f>VLOOKUP($A394,lmic_raw[],42,FALSE)*(1+interactive!$C$7)</f>
        <v>1.366296456727493E-2</v>
      </c>
      <c r="AQ394" s="84">
        <f>VLOOKUP($A394,lmic_raw[],43,FALSE)*(1+interactive!$C$7)</f>
        <v>2.2653173044982673E-2</v>
      </c>
      <c r="AR394" s="84">
        <f>VLOOKUP($A394,lmic_raw[],44,FALSE)*(1+interactive!$C$7)</f>
        <v>3.7272474862667791E-2</v>
      </c>
      <c r="AS394" s="84">
        <f>VLOOKUP($A394,lmic_raw[],45,FALSE)*(1+interactive!$C$7)</f>
        <v>5.4760644806118496E-2</v>
      </c>
      <c r="AT394" s="84">
        <f>VLOOKUP($A394,lmic_raw[],46,FALSE)*(1+interactive!$C$7)</f>
        <v>8.6875391871879828E-2</v>
      </c>
      <c r="AU394" s="84">
        <f>VLOOKUP($A394,lmic_raw[],47,FALSE)*(1+interactive!$C$7)</f>
        <v>0.12335531144691679</v>
      </c>
      <c r="AV394" s="84">
        <f>VLOOKUP($A394,lmic_raw[],48,FALSE)*(1+interactive!$C$7)</f>
        <v>0.15828556870058197</v>
      </c>
      <c r="AW394" s="84">
        <f>VLOOKUP($A394,lmic_raw[],49,FALSE)*(1+interactive!$C$7)</f>
        <v>0.18155357760825275</v>
      </c>
      <c r="AX394" s="84">
        <f>VLOOKUP($A394,lmic_raw[],50,FALSE)*(1+interactive!$C$7)</f>
        <v>74.885999999999996</v>
      </c>
    </row>
    <row r="395" spans="1:50" x14ac:dyDescent="0.25">
      <c r="A395" s="110" t="s">
        <v>187</v>
      </c>
      <c r="B395" s="104" t="s">
        <v>521</v>
      </c>
      <c r="C395" s="105">
        <v>762</v>
      </c>
      <c r="D395" s="84" t="s">
        <v>675</v>
      </c>
      <c r="E395" s="84" t="s">
        <v>184</v>
      </c>
      <c r="F395" s="84" t="s">
        <v>663</v>
      </c>
      <c r="G395" s="84" t="s">
        <v>674</v>
      </c>
      <c r="H395" s="33">
        <f>VLOOKUP(lmic_raw_ub[[#This Row],[setting]],lmic_raw[],8,FALSE)</f>
        <v>9321023</v>
      </c>
      <c r="I395" s="33">
        <f>VLOOKUP(lmic_raw_ub[[#This Row],[setting]],lmic_raw[],9,FALSE)</f>
        <v>290927.76987599995</v>
      </c>
      <c r="J395" s="84">
        <f>MIN(VLOOKUP($A395,lmic_raw[],10,FALSE)*(1+interactive!$C$7),0.9999)</f>
        <v>0.92610000000000003</v>
      </c>
      <c r="K395" s="84">
        <f>MIN(VLOOKUP($A395,lmic_raw[],11,FALSE)*(1+interactive!$C$7),0.9999)</f>
        <v>0.99990000000000001</v>
      </c>
      <c r="L395" s="33">
        <f>MIN(VLOOKUP($A395,lmic_raw[],12,FALSE)*(1+interactive!$C$7),0.9999)</f>
        <v>0.99990000000000001</v>
      </c>
      <c r="M395" s="84">
        <f>IFERROR(VLOOKUP(lmic_raw_ub[[#This Row],[iso3]], hbv_prev[[iso3]:[ub]],4,FALSE)/100,0)</f>
        <v>6.8600000000000008E-2</v>
      </c>
      <c r="N395" s="84">
        <f>IFERROR(VLOOKUP(lmic_raw_ub[[#This Row],[setting]],hbe_prev[],5,FALSE),0)</f>
        <v>0.43079999999999996</v>
      </c>
      <c r="O395" s="84">
        <f>VLOOKUP(lmic_raw_ub[[#This Row],[gbd_super]],hbe_risk[],4,FALSE)</f>
        <v>0.9</v>
      </c>
      <c r="P395" s="84">
        <f>VLOOKUP(lmic_raw_ub[[#This Row],[gbd_super]],hbe_risk[],7,FALSE)</f>
        <v>0.3</v>
      </c>
      <c r="Q395" s="98">
        <f>VLOOKUP(lmic_raw_ub[[#This Row],[setting]],lmic_raw[],17,FALSE)*(1+interactive!$C$7)</f>
        <v>3.4018400716640023</v>
      </c>
      <c r="R395" s="98">
        <f>VLOOKUP(lmic_raw_ub[[#This Row],[setting]],lmic_raw[],18,FALSE)*(1+interactive!$C$7)</f>
        <v>46.76427000000001</v>
      </c>
      <c r="S395" s="98">
        <f>VLOOKUP(lmic_raw_ub[[#This Row],[setting]],lmic_raw[],19,FALSE)*(1+interactive!$C$7)</f>
        <v>96.893370000000019</v>
      </c>
      <c r="T395" s="98">
        <f>VLOOKUP(lmic_raw_ub[[#This Row],[setting]],lmic_raw[],20,FALSE)*(1+interactive!$C$7)</f>
        <v>96.893370000000019</v>
      </c>
      <c r="U395" s="98">
        <f>VLOOKUP(lmic_raw_ub[[#This Row],[setting]],lmic_raw[],21,FALSE)*(1+interactive!$C$7)</f>
        <v>96.893370000000019</v>
      </c>
      <c r="V395" s="33">
        <f>IFERROR(VLOOKUP(lmic_raw_ub[[#This Row],[setting]],vcost_ub[],3,FALSE),0)</f>
        <v>6.8614533182452657</v>
      </c>
      <c r="W395" s="33">
        <f>IFERROR(VLOOKUP(lmic_raw_ub[[#This Row],[setting]],vcost_ub[],4,FALSE),0)</f>
        <v>11.130438318245266</v>
      </c>
      <c r="X395" s="33">
        <f>IFERROR(VLOOKUP(lmic_raw_ub[[#This Row],[setting]],vcost_ub[],5,FALSE),0)</f>
        <v>6.3631548963959865</v>
      </c>
      <c r="Y395" s="33">
        <f>IFERROR(VLOOKUP(lmic_raw_ub[[#This Row],[setting]],vcost_ub[],6,FALSE),0)</f>
        <v>10.632139896395987</v>
      </c>
      <c r="Z395" s="33">
        <f>IFERROR(VLOOKUP(lmic_raw_ub[[#This Row],[setting]],vcost_ub[],7,FALSE),0)</f>
        <v>10.623729179260792</v>
      </c>
      <c r="AA395" s="33">
        <f>IFERROR(VLOOKUP(lmic_raw_ub[[#This Row],[setting]],vcost_ub[],8,FALSE),0)</f>
        <v>7.1306384477627329</v>
      </c>
      <c r="AB395" s="33">
        <f>IFERROR(VLOOKUP(lmic_raw_ub[[#This Row],[setting]],vcost_ub[],9,FALSE),0)</f>
        <v>11.399623447762734</v>
      </c>
      <c r="AC395" s="84">
        <f>VLOOKUP($A395,lmic_raw[],29,FALSE)*(1+interactive!$C$7)</f>
        <v>3.0739002000000053E-2</v>
      </c>
      <c r="AD395" s="84">
        <f>VLOOKUP($A395,lmic_raw[],30,FALSE)*(1+interactive!$C$7)</f>
        <v>8.146053933969766E-4</v>
      </c>
      <c r="AE395" s="84">
        <f>VLOOKUP($A395,lmic_raw[],31,FALSE)*(1+interactive!$C$7)</f>
        <v>2.0111306836170293E-4</v>
      </c>
      <c r="AF395" s="84">
        <f>VLOOKUP($A395,lmic_raw[],32,FALSE)*(1+interactive!$C$7)</f>
        <v>2.103485013672831E-4</v>
      </c>
      <c r="AG395" s="84">
        <f>VLOOKUP($A395,lmic_raw[],33,FALSE)*(1+interactive!$C$7)</f>
        <v>3.48576832137598E-4</v>
      </c>
      <c r="AH395" s="84">
        <f>VLOOKUP($A395,lmic_raw[],34,FALSE)*(1+interactive!$C$7)</f>
        <v>5.363655507820013E-4</v>
      </c>
      <c r="AI395" s="84">
        <f>VLOOKUP($A395,lmic_raw[],35,FALSE)*(1+interactive!$C$7)</f>
        <v>8.9840572406592496E-4</v>
      </c>
      <c r="AJ395" s="84">
        <f>VLOOKUP($A395,lmic_raw[],36,FALSE)*(1+interactive!$C$7)</f>
        <v>1.3809468733470809E-3</v>
      </c>
      <c r="AK395" s="84">
        <f>VLOOKUP($A395,lmic_raw[],37,FALSE)*(1+interactive!$C$7)</f>
        <v>2.1127202667968726E-3</v>
      </c>
      <c r="AL395" s="84">
        <f>VLOOKUP($A395,lmic_raw[],38,FALSE)*(1+interactive!$C$7)</f>
        <v>2.6797949890995489E-3</v>
      </c>
      <c r="AM395" s="84">
        <f>VLOOKUP($A395,lmic_raw[],39,FALSE)*(1+interactive!$C$7)</f>
        <v>3.8215524932911668E-3</v>
      </c>
      <c r="AN395" s="84">
        <f>VLOOKUP($A395,lmic_raw[],40,FALSE)*(1+interactive!$C$7)</f>
        <v>6.2848753165892085E-3</v>
      </c>
      <c r="AO395" s="84">
        <f>VLOOKUP($A395,lmic_raw[],41,FALSE)*(1+interactive!$C$7)</f>
        <v>1.1188973903740103E-2</v>
      </c>
      <c r="AP395" s="84">
        <f>VLOOKUP($A395,lmic_raw[],42,FALSE)*(1+interactive!$C$7)</f>
        <v>1.9322771786814449E-2</v>
      </c>
      <c r="AQ395" s="84">
        <f>VLOOKUP($A395,lmic_raw[],43,FALSE)*(1+interactive!$C$7)</f>
        <v>3.027648826426697E-2</v>
      </c>
      <c r="AR395" s="84">
        <f>VLOOKUP($A395,lmic_raw[],44,FALSE)*(1+interactive!$C$7)</f>
        <v>4.9993099388046178E-2</v>
      </c>
      <c r="AS395" s="84">
        <f>VLOOKUP($A395,lmic_raw[],45,FALSE)*(1+interactive!$C$7)</f>
        <v>7.7598678114881289E-2</v>
      </c>
      <c r="AT395" s="84">
        <f>VLOOKUP($A395,lmic_raw[],46,FALSE)*(1+interactive!$C$7)</f>
        <v>0.1109403770688054</v>
      </c>
      <c r="AU395" s="84">
        <f>VLOOKUP($A395,lmic_raw[],47,FALSE)*(1+interactive!$C$7)</f>
        <v>0.14401976232239924</v>
      </c>
      <c r="AV395" s="84">
        <f>VLOOKUP($A395,lmic_raw[],48,FALSE)*(1+interactive!$C$7)</f>
        <v>0.1726566196803698</v>
      </c>
      <c r="AW395" s="84">
        <f>VLOOKUP($A395,lmic_raw[],49,FALSE)*(1+interactive!$C$7)</f>
        <v>0.1913699596897393</v>
      </c>
      <c r="AX395" s="84">
        <f>VLOOKUP($A395,lmic_raw[],50,FALSE)*(1+interactive!$C$7)</f>
        <v>74.308499999999995</v>
      </c>
    </row>
    <row r="396" spans="1:50" x14ac:dyDescent="0.25">
      <c r="A396" s="82" t="s">
        <v>652</v>
      </c>
      <c r="B396" s="101" t="s">
        <v>534</v>
      </c>
      <c r="C396" s="102">
        <v>834</v>
      </c>
      <c r="D396" s="82" t="s">
        <v>677</v>
      </c>
      <c r="E396" s="82" t="s">
        <v>597</v>
      </c>
      <c r="F396" s="82" t="s">
        <v>667</v>
      </c>
      <c r="G396" s="82" t="s">
        <v>674</v>
      </c>
      <c r="H396" s="33">
        <f>VLOOKUP(lmic_raw_ub[[#This Row],[setting]],lmic_raw[],8,FALSE)</f>
        <v>58005461</v>
      </c>
      <c r="I396" s="33">
        <f>VLOOKUP(lmic_raw_ub[[#This Row],[setting]],lmic_raw[],9,FALSE)</f>
        <v>2140459.5163610005</v>
      </c>
      <c r="J396" s="84">
        <f>MIN(VLOOKUP($A396,lmic_raw[],10,FALSE)*(1+interactive!$C$7),0.9999)</f>
        <v>0.6573</v>
      </c>
      <c r="K396" s="84">
        <f>MIN(VLOOKUP($A396,lmic_raw[],11,FALSE)*(1+interactive!$C$7),0.9999)</f>
        <v>0</v>
      </c>
      <c r="L396" s="33">
        <f>MIN(VLOOKUP($A396,lmic_raw[],12,FALSE)*(1+interactive!$C$7),0.9999)</f>
        <v>0.93450000000000011</v>
      </c>
      <c r="M396" s="84">
        <f>IFERROR(VLOOKUP(lmic_raw_ub[[#This Row],[iso3]], hbv_prev[[iso3]:[ub]],4,FALSE)/100,0)</f>
        <v>5.16E-2</v>
      </c>
      <c r="N396" s="84">
        <f>IFERROR(VLOOKUP(lmic_raw_ub[[#This Row],[setting]],hbe_prev[],5,FALSE),0)</f>
        <v>0.39960000000000001</v>
      </c>
      <c r="O396" s="84">
        <f>VLOOKUP(lmic_raw_ub[[#This Row],[gbd_super]],hbe_risk[],4,FALSE)</f>
        <v>0.74399999999999999</v>
      </c>
      <c r="P396" s="84">
        <f>VLOOKUP(lmic_raw_ub[[#This Row],[gbd_super]],hbe_risk[],7,FALSE)</f>
        <v>0.13300000000000001</v>
      </c>
      <c r="Q396" s="98">
        <f>VLOOKUP(lmic_raw_ub[[#This Row],[setting]],lmic_raw[],17,FALSE)*(1+interactive!$C$7)</f>
        <v>2.9905774836990124</v>
      </c>
      <c r="R396" s="98">
        <f>VLOOKUP(lmic_raw_ub[[#This Row],[setting]],lmic_raw[],18,FALSE)*(1+interactive!$C$7)</f>
        <v>31.416525000000004</v>
      </c>
      <c r="S396" s="98">
        <f>VLOOKUP(lmic_raw_ub[[#This Row],[setting]],lmic_raw[],19,FALSE)*(1+interactive!$C$7)</f>
        <v>81.545625000000015</v>
      </c>
      <c r="T396" s="98">
        <f>VLOOKUP(lmic_raw_ub[[#This Row],[setting]],lmic_raw[],20,FALSE)*(1+interactive!$C$7)</f>
        <v>81.545625000000015</v>
      </c>
      <c r="U396" s="98">
        <f>VLOOKUP(lmic_raw_ub[[#This Row],[setting]],lmic_raw[],21,FALSE)*(1+interactive!$C$7)</f>
        <v>81.545625000000015</v>
      </c>
      <c r="V396" s="33">
        <f>IFERROR(VLOOKUP(lmic_raw_ub[[#This Row],[setting]],vcost_ub[],3,FALSE),0)</f>
        <v>5.7458753543204928</v>
      </c>
      <c r="W396" s="33">
        <f>IFERROR(VLOOKUP(lmic_raw_ub[[#This Row],[setting]],vcost_ub[],4,FALSE),0)</f>
        <v>10.816010354320493</v>
      </c>
      <c r="X396" s="33">
        <f>IFERROR(VLOOKUP(lmic_raw_ub[[#This Row],[setting]],vcost_ub[],5,FALSE),0)</f>
        <v>5.2443788832142939</v>
      </c>
      <c r="Y396" s="33">
        <f>IFERROR(VLOOKUP(lmic_raw_ub[[#This Row],[setting]],vcost_ub[],6,FALSE),0)</f>
        <v>10.314513883214294</v>
      </c>
      <c r="Z396" s="33">
        <f>IFERROR(VLOOKUP(lmic_raw_ub[[#This Row],[setting]],vcost_ub[],7,FALSE),0)</f>
        <v>10.305049354008514</v>
      </c>
      <c r="AA396" s="33">
        <f>IFERROR(VLOOKUP(lmic_raw_ub[[#This Row],[setting]],vcost_ub[],8,FALSE),0)</f>
        <v>6.0157864213993477</v>
      </c>
      <c r="AB396" s="33">
        <f>IFERROR(VLOOKUP(lmic_raw_ub[[#This Row],[setting]],vcost_ub[],9,FALSE),0)</f>
        <v>11.085921421399348</v>
      </c>
      <c r="AC396" s="84">
        <f>VLOOKUP($A396,lmic_raw[],29,FALSE)*(1+interactive!$C$7)</f>
        <v>4.3274752499999992E-2</v>
      </c>
      <c r="AD396" s="84">
        <f>VLOOKUP($A396,lmic_raw[],30,FALSE)*(1+interactive!$C$7)</f>
        <v>4.196694006623705E-3</v>
      </c>
      <c r="AE396" s="84">
        <f>VLOOKUP($A396,lmic_raw[],31,FALSE)*(1+interactive!$C$7)</f>
        <v>1.6477407645676043E-3</v>
      </c>
      <c r="AF396" s="84">
        <f>VLOOKUP($A396,lmic_raw[],32,FALSE)*(1+interactive!$C$7)</f>
        <v>1.1668901151419644E-3</v>
      </c>
      <c r="AG396" s="84">
        <f>VLOOKUP($A396,lmic_raw[],33,FALSE)*(1+interactive!$C$7)</f>
        <v>1.8662148762369182E-3</v>
      </c>
      <c r="AH396" s="84">
        <f>VLOOKUP($A396,lmic_raw[],34,FALSE)*(1+interactive!$C$7)</f>
        <v>2.699390450381717E-3</v>
      </c>
      <c r="AI396" s="84">
        <f>VLOOKUP($A396,lmic_raw[],35,FALSE)*(1+interactive!$C$7)</f>
        <v>3.1311192857966237E-3</v>
      </c>
      <c r="AJ396" s="84">
        <f>VLOOKUP($A396,lmic_raw[],36,FALSE)*(1+interactive!$C$7)</f>
        <v>3.6724357051874665E-3</v>
      </c>
      <c r="AK396" s="84">
        <f>VLOOKUP($A396,lmic_raw[],37,FALSE)*(1+interactive!$C$7)</f>
        <v>4.4880135504277918E-3</v>
      </c>
      <c r="AL396" s="84">
        <f>VLOOKUP($A396,lmic_raw[],38,FALSE)*(1+interactive!$C$7)</f>
        <v>5.6805157010169456E-3</v>
      </c>
      <c r="AM396" s="84">
        <f>VLOOKUP($A396,lmic_raw[],39,FALSE)*(1+interactive!$C$7)</f>
        <v>7.1601354095088979E-3</v>
      </c>
      <c r="AN396" s="84">
        <f>VLOOKUP($A396,lmic_raw[],40,FALSE)*(1+interactive!$C$7)</f>
        <v>1.0145028989737064E-2</v>
      </c>
      <c r="AO396" s="84">
        <f>VLOOKUP($A396,lmic_raw[],41,FALSE)*(1+interactive!$C$7)</f>
        <v>1.361971620622853E-2</v>
      </c>
      <c r="AP396" s="84">
        <f>VLOOKUP($A396,lmic_raw[],42,FALSE)*(1+interactive!$C$7)</f>
        <v>2.0511006647375048E-2</v>
      </c>
      <c r="AQ396" s="84">
        <f>VLOOKUP($A396,lmic_raw[],43,FALSE)*(1+interactive!$C$7)</f>
        <v>3.1710837248348514E-2</v>
      </c>
      <c r="AR396" s="84">
        <f>VLOOKUP($A396,lmic_raw[],44,FALSE)*(1+interactive!$C$7)</f>
        <v>4.9302638158889502E-2</v>
      </c>
      <c r="AS396" s="84">
        <f>VLOOKUP($A396,lmic_raw[],45,FALSE)*(1+interactive!$C$7)</f>
        <v>7.5466522919631934E-2</v>
      </c>
      <c r="AT396" s="84">
        <f>VLOOKUP($A396,lmic_raw[],46,FALSE)*(1+interactive!$C$7)</f>
        <v>0.1123328387871995</v>
      </c>
      <c r="AU396" s="84">
        <f>VLOOKUP($A396,lmic_raw[],47,FALSE)*(1+interactive!$C$7)</f>
        <v>0.15424640561807276</v>
      </c>
      <c r="AV396" s="84">
        <f>VLOOKUP($A396,lmic_raw[],48,FALSE)*(1+interactive!$C$7)</f>
        <v>0.18884488568208707</v>
      </c>
      <c r="AW396" s="84">
        <f>VLOOKUP($A396,lmic_raw[],49,FALSE)*(1+interactive!$C$7)</f>
        <v>0.19933884498058171</v>
      </c>
      <c r="AX396" s="84">
        <f>VLOOKUP($A396,lmic_raw[],50,FALSE)*(1+interactive!$C$7)</f>
        <v>68.084100000000007</v>
      </c>
    </row>
    <row r="397" spans="1:50" x14ac:dyDescent="0.25">
      <c r="A397" s="110" t="s">
        <v>219</v>
      </c>
      <c r="B397" s="104" t="s">
        <v>522</v>
      </c>
      <c r="C397" s="105">
        <v>764</v>
      </c>
      <c r="D397" s="84" t="s">
        <v>680</v>
      </c>
      <c r="E397" s="84" t="s">
        <v>598</v>
      </c>
      <c r="F397" s="84" t="s">
        <v>666</v>
      </c>
      <c r="G397" s="84" t="s">
        <v>676</v>
      </c>
      <c r="H397" s="33">
        <f>VLOOKUP(lmic_raw_ub[[#This Row],[setting]],lmic_raw[],8,FALSE)</f>
        <v>69625581</v>
      </c>
      <c r="I397" s="33">
        <f>VLOOKUP(lmic_raw_ub[[#This Row],[setting]],lmic_raw[],9,FALSE)</f>
        <v>728422.82842200005</v>
      </c>
      <c r="J397" s="84">
        <f>MIN(VLOOKUP($A397,lmic_raw[],10,FALSE)*(1+interactive!$C$7),0.9999)</f>
        <v>0.99990000000000001</v>
      </c>
      <c r="K397" s="84">
        <f>MIN(VLOOKUP($A397,lmic_raw[],11,FALSE)*(1+interactive!$C$7),0.9999)</f>
        <v>0.99990000000000001</v>
      </c>
      <c r="L397" s="33">
        <f>MIN(VLOOKUP($A397,lmic_raw[],12,FALSE)*(1+interactive!$C$7),0.9999)</f>
        <v>0.99990000000000001</v>
      </c>
      <c r="M397" s="84">
        <f>IFERROR(VLOOKUP(lmic_raw_ub[[#This Row],[iso3]], hbv_prev[[iso3]:[ub]],4,FALSE)/100,0)</f>
        <v>1.7899999999999999E-2</v>
      </c>
      <c r="N397" s="84">
        <f>IFERROR(VLOOKUP(lmic_raw_ub[[#This Row],[setting]],hbe_prev[],5,FALSE),0)</f>
        <v>0.47729999999999995</v>
      </c>
      <c r="O397" s="84">
        <f>VLOOKUP(lmic_raw_ub[[#This Row],[gbd_super]],hbe_risk[],4,FALSE)</f>
        <v>0.9</v>
      </c>
      <c r="P397" s="84">
        <f>VLOOKUP(lmic_raw_ub[[#This Row],[gbd_super]],hbe_risk[],7,FALSE)</f>
        <v>0.3</v>
      </c>
      <c r="Q397" s="98">
        <f>VLOOKUP(lmic_raw_ub[[#This Row],[setting]],lmic_raw[],17,FALSE)*(1+interactive!$C$7)</f>
        <v>7.8758785286164761</v>
      </c>
      <c r="R397" s="98">
        <f>VLOOKUP(lmic_raw_ub[[#This Row],[setting]],lmic_raw[],18,FALSE)*(1+interactive!$C$7)</f>
        <v>76.738725000000002</v>
      </c>
      <c r="S397" s="98">
        <f>VLOOKUP(lmic_raw_ub[[#This Row],[setting]],lmic_raw[],19,FALSE)*(1+interactive!$C$7)</f>
        <v>126.867825</v>
      </c>
      <c r="T397" s="98">
        <f>VLOOKUP(lmic_raw_ub[[#This Row],[setting]],lmic_raw[],20,FALSE)*(1+interactive!$C$7)</f>
        <v>126.867825</v>
      </c>
      <c r="U397" s="98">
        <f>VLOOKUP(lmic_raw_ub[[#This Row],[setting]],lmic_raw[],21,FALSE)*(1+interactive!$C$7)</f>
        <v>126.867825</v>
      </c>
      <c r="V397" s="33">
        <f>IFERROR(VLOOKUP(lmic_raw_ub[[#This Row],[setting]],vcost_ub[],3,FALSE),0)</f>
        <v>9.9162889439111961</v>
      </c>
      <c r="W397" s="33">
        <f>IFERROR(VLOOKUP(lmic_raw_ub[[#This Row],[setting]],vcost_ub[],4,FALSE),0)</f>
        <v>10.580098943911196</v>
      </c>
      <c r="X397" s="33">
        <f>IFERROR(VLOOKUP(lmic_raw_ub[[#This Row],[setting]],vcost_ub[],5,FALSE),0)</f>
        <v>9.3875298967628904</v>
      </c>
      <c r="Y397" s="33">
        <f>IFERROR(VLOOKUP(lmic_raw_ub[[#This Row],[setting]],vcost_ub[],6,FALSE),0)</f>
        <v>10.05133989676289</v>
      </c>
      <c r="Z397" s="33">
        <f>IFERROR(VLOOKUP(lmic_raw_ub[[#This Row],[setting]],vcost_ub[],7,FALSE),0)</f>
        <v>10.026933348377693</v>
      </c>
      <c r="AA397" s="33">
        <f>IFERROR(VLOOKUP(lmic_raw_ub[[#This Row],[setting]],vcost_ub[],8,FALSE),0)</f>
        <v>10.192388448496542</v>
      </c>
      <c r="AB397" s="33">
        <f>IFERROR(VLOOKUP(lmic_raw_ub[[#This Row],[setting]],vcost_ub[],9,FALSE),0)</f>
        <v>10.856198448496542</v>
      </c>
      <c r="AC397" s="84">
        <f>VLOOKUP($A397,lmic_raw[],29,FALSE)*(1+interactive!$C$7)</f>
        <v>8.1419205000000227E-3</v>
      </c>
      <c r="AD397" s="84">
        <f>VLOOKUP($A397,lmic_raw[],30,FALSE)*(1+interactive!$C$7)</f>
        <v>3.2944848775826708E-4</v>
      </c>
      <c r="AE397" s="84">
        <f>VLOOKUP($A397,lmic_raw[],31,FALSE)*(1+interactive!$C$7)</f>
        <v>2.7837383085827422E-4</v>
      </c>
      <c r="AF397" s="84">
        <f>VLOOKUP($A397,lmic_raw[],32,FALSE)*(1+interactive!$C$7)</f>
        <v>4.3332041140043944E-4</v>
      </c>
      <c r="AG397" s="84">
        <f>VLOOKUP($A397,lmic_raw[],33,FALSE)*(1+interactive!$C$7)</f>
        <v>1.1293644707260986E-3</v>
      </c>
      <c r="AH397" s="84">
        <f>VLOOKUP($A397,lmic_raw[],34,FALSE)*(1+interactive!$C$7)</f>
        <v>1.0821935070727073E-3</v>
      </c>
      <c r="AI397" s="84">
        <f>VLOOKUP($A397,lmic_raw[],35,FALSE)*(1+interactive!$C$7)</f>
        <v>1.1874840071217391E-3</v>
      </c>
      <c r="AJ397" s="84">
        <f>VLOOKUP($A397,lmic_raw[],36,FALSE)*(1+interactive!$C$7)</f>
        <v>1.6897122070438299E-3</v>
      </c>
      <c r="AK397" s="84">
        <f>VLOOKUP($A397,lmic_raw[],37,FALSE)*(1+interactive!$C$7)</f>
        <v>2.5668091053516391E-3</v>
      </c>
      <c r="AL397" s="84">
        <f>VLOOKUP($A397,lmic_raw[],38,FALSE)*(1+interactive!$C$7)</f>
        <v>3.5126631594236987E-3</v>
      </c>
      <c r="AM397" s="84">
        <f>VLOOKUP($A397,lmic_raw[],39,FALSE)*(1+interactive!$C$7)</f>
        <v>4.5801376992109198E-3</v>
      </c>
      <c r="AN397" s="84">
        <f>VLOOKUP($A397,lmic_raw[],40,FALSE)*(1+interactive!$C$7)</f>
        <v>6.0444061730401694E-3</v>
      </c>
      <c r="AO397" s="84">
        <f>VLOOKUP($A397,lmic_raw[],41,FALSE)*(1+interactive!$C$7)</f>
        <v>8.0831955395526123E-3</v>
      </c>
      <c r="AP397" s="84">
        <f>VLOOKUP($A397,lmic_raw[],42,FALSE)*(1+interactive!$C$7)</f>
        <v>1.1711229425023133E-2</v>
      </c>
      <c r="AQ397" s="84">
        <f>VLOOKUP($A397,lmic_raw[],43,FALSE)*(1+interactive!$C$7)</f>
        <v>1.6290316472665076E-2</v>
      </c>
      <c r="AR397" s="84">
        <f>VLOOKUP($A397,lmic_raw[],44,FALSE)*(1+interactive!$C$7)</f>
        <v>2.5349339026536105E-2</v>
      </c>
      <c r="AS397" s="84">
        <f>VLOOKUP($A397,lmic_raw[],45,FALSE)*(1+interactive!$C$7)</f>
        <v>4.0151849402773915E-2</v>
      </c>
      <c r="AT397" s="84">
        <f>VLOOKUP($A397,lmic_raw[],46,FALSE)*(1+interactive!$C$7)</f>
        <v>6.103447828658333E-2</v>
      </c>
      <c r="AU397" s="84">
        <f>VLOOKUP($A397,lmic_raw[],47,FALSE)*(1+interactive!$C$7)</f>
        <v>8.8696338663652535E-2</v>
      </c>
      <c r="AV397" s="84">
        <f>VLOOKUP($A397,lmic_raw[],48,FALSE)*(1+interactive!$C$7)</f>
        <v>0.11915515419200368</v>
      </c>
      <c r="AW397" s="84">
        <f>VLOOKUP($A397,lmic_raw[],49,FALSE)*(1+interactive!$C$7)</f>
        <v>0.14762673947774813</v>
      </c>
      <c r="AX397" s="84">
        <f>VLOOKUP($A397,lmic_raw[],50,FALSE)*(1+interactive!$C$7)</f>
        <v>80.673599999999993</v>
      </c>
    </row>
    <row r="398" spans="1:50" x14ac:dyDescent="0.25">
      <c r="A398" s="109" t="s">
        <v>220</v>
      </c>
      <c r="B398" s="101" t="s">
        <v>523</v>
      </c>
      <c r="C398" s="102">
        <v>626</v>
      </c>
      <c r="D398" s="82" t="s">
        <v>680</v>
      </c>
      <c r="E398" s="82" t="s">
        <v>598</v>
      </c>
      <c r="F398" s="82" t="s">
        <v>666</v>
      </c>
      <c r="G398" s="82" t="s">
        <v>678</v>
      </c>
      <c r="H398" s="33">
        <f>VLOOKUP(lmic_raw_ub[[#This Row],[setting]],lmic_raw[],8,FALSE)</f>
        <v>1293120</v>
      </c>
      <c r="I398" s="33">
        <f>VLOOKUP(lmic_raw_ub[[#This Row],[setting]],lmic_raw[],9,FALSE)</f>
        <v>38458.681919999995</v>
      </c>
      <c r="J398" s="84">
        <f>MIN(VLOOKUP($A398,lmic_raw[],10,FALSE)*(1+interactive!$C$7),0.9999)</f>
        <v>0.50924999999999998</v>
      </c>
      <c r="K398" s="84">
        <f>MIN(VLOOKUP($A398,lmic_raw[],11,FALSE)*(1+interactive!$C$7),0.9999)</f>
        <v>0.73499999999999999</v>
      </c>
      <c r="L398" s="33">
        <f>MIN(VLOOKUP($A398,lmic_raw[],12,FALSE)*(1+interactive!$C$7),0.9999)</f>
        <v>0.87149999999999994</v>
      </c>
      <c r="M398" s="84">
        <f>IFERROR(VLOOKUP(lmic_raw_ub[[#This Row],[iso3]], hbv_prev[[iso3]:[ub]],4,FALSE)/100,0)</f>
        <v>3.3399999999999999E-2</v>
      </c>
      <c r="N398" s="84">
        <f>IFERROR(VLOOKUP(lmic_raw_ub[[#This Row],[setting]],hbe_prev[],5,FALSE),0)</f>
        <v>0.47729999999999995</v>
      </c>
      <c r="O398" s="84">
        <f>VLOOKUP(lmic_raw_ub[[#This Row],[gbd_super]],hbe_risk[],4,FALSE)</f>
        <v>0.9</v>
      </c>
      <c r="P398" s="84">
        <f>VLOOKUP(lmic_raw_ub[[#This Row],[gbd_super]],hbe_risk[],7,FALSE)</f>
        <v>0.3</v>
      </c>
      <c r="Q398" s="98">
        <f>VLOOKUP(lmic_raw_ub[[#This Row],[setting]],lmic_raw[],17,FALSE)*(1+interactive!$C$7)</f>
        <v>0</v>
      </c>
      <c r="R398" s="98">
        <f>VLOOKUP(lmic_raw_ub[[#This Row],[setting]],lmic_raw[],18,FALSE)*(1+interactive!$C$7)</f>
        <v>76.738725000000002</v>
      </c>
      <c r="S398" s="98">
        <f>VLOOKUP(lmic_raw_ub[[#This Row],[setting]],lmic_raw[],19,FALSE)*(1+interactive!$C$7)</f>
        <v>126.867825</v>
      </c>
      <c r="T398" s="98">
        <f>VLOOKUP(lmic_raw_ub[[#This Row],[setting]],lmic_raw[],20,FALSE)*(1+interactive!$C$7)</f>
        <v>126.867825</v>
      </c>
      <c r="U398" s="98">
        <f>VLOOKUP(lmic_raw_ub[[#This Row],[setting]],lmic_raw[],21,FALSE)*(1+interactive!$C$7)</f>
        <v>126.867825</v>
      </c>
      <c r="V398" s="33">
        <f>IFERROR(VLOOKUP(lmic_raw_ub[[#This Row],[setting]],vcost_ub[],3,FALSE),0)</f>
        <v>8.3607312400466096</v>
      </c>
      <c r="W398" s="33">
        <f>IFERROR(VLOOKUP(lmic_raw_ub[[#This Row],[setting]],vcost_ub[],4,FALSE),0)</f>
        <v>9.0245412400466094</v>
      </c>
      <c r="X398" s="33">
        <f>IFERROR(VLOOKUP(lmic_raw_ub[[#This Row],[setting]],vcost_ub[],5,FALSE),0)</f>
        <v>7.8598383243857075</v>
      </c>
      <c r="Y398" s="33">
        <f>IFERROR(VLOOKUP(lmic_raw_ub[[#This Row],[setting]],vcost_ub[],6,FALSE),0)</f>
        <v>8.5236483243857073</v>
      </c>
      <c r="Z398" s="33">
        <f>IFERROR(VLOOKUP(lmic_raw_ub[[#This Row],[setting]],vcost_ub[],7,FALSE),0)</f>
        <v>8.513669332011867</v>
      </c>
      <c r="AA398" s="33">
        <f>IFERROR(VLOOKUP(lmic_raw_ub[[#This Row],[setting]],vcost_ub[],8,FALSE),0)</f>
        <v>8.6305053037421757</v>
      </c>
      <c r="AB398" s="33">
        <f>IFERROR(VLOOKUP(lmic_raw_ub[[#This Row],[setting]],vcost_ub[],9,FALSE),0)</f>
        <v>9.2943153037421755</v>
      </c>
      <c r="AC398" s="84">
        <f>VLOOKUP($A398,lmic_raw[],29,FALSE)*(1+interactive!$C$7)</f>
        <v>3.9220954499999974E-2</v>
      </c>
      <c r="AD398" s="84">
        <f>VLOOKUP($A398,lmic_raw[],30,FALSE)*(1+interactive!$C$7)</f>
        <v>2.5638510206927559E-3</v>
      </c>
      <c r="AE398" s="84">
        <f>VLOOKUP($A398,lmic_raw[],31,FALSE)*(1+interactive!$C$7)</f>
        <v>7.8798535725077285E-4</v>
      </c>
      <c r="AF398" s="84">
        <f>VLOOKUP($A398,lmic_raw[],32,FALSE)*(1+interactive!$C$7)</f>
        <v>6.0888366394973054E-4</v>
      </c>
      <c r="AG398" s="84">
        <f>VLOOKUP($A398,lmic_raw[],33,FALSE)*(1+interactive!$C$7)</f>
        <v>1.0496184284337858E-3</v>
      </c>
      <c r="AH398" s="84">
        <f>VLOOKUP($A398,lmic_raw[],34,FALSE)*(1+interactive!$C$7)</f>
        <v>1.3241496652141257E-3</v>
      </c>
      <c r="AI398" s="84">
        <f>VLOOKUP($A398,lmic_raw[],35,FALSE)*(1+interactive!$C$7)</f>
        <v>1.2644788139660938E-3</v>
      </c>
      <c r="AJ398" s="84">
        <f>VLOOKUP($A398,lmic_raw[],36,FALSE)*(1+interactive!$C$7)</f>
        <v>1.4063501518021204E-3</v>
      </c>
      <c r="AK398" s="84">
        <f>VLOOKUP($A398,lmic_raw[],37,FALSE)*(1+interactive!$C$7)</f>
        <v>1.8370173726497642E-3</v>
      </c>
      <c r="AL398" s="84">
        <f>VLOOKUP($A398,lmic_raw[],38,FALSE)*(1+interactive!$C$7)</f>
        <v>2.6425698031158746E-3</v>
      </c>
      <c r="AM398" s="84">
        <f>VLOOKUP($A398,lmic_raw[],39,FALSE)*(1+interactive!$C$7)</f>
        <v>4.2088551208562903E-3</v>
      </c>
      <c r="AN398" s="84">
        <f>VLOOKUP($A398,lmic_raw[],40,FALSE)*(1+interactive!$C$7)</f>
        <v>6.9056182402854925E-3</v>
      </c>
      <c r="AO398" s="84">
        <f>VLOOKUP($A398,lmic_raw[],41,FALSE)*(1+interactive!$C$7)</f>
        <v>1.1840526556369949E-2</v>
      </c>
      <c r="AP398" s="84">
        <f>VLOOKUP($A398,lmic_raw[],42,FALSE)*(1+interactive!$C$7)</f>
        <v>1.9002846145813657E-2</v>
      </c>
      <c r="AQ398" s="84">
        <f>VLOOKUP($A398,lmic_raw[],43,FALSE)*(1+interactive!$C$7)</f>
        <v>3.0204594275904897E-2</v>
      </c>
      <c r="AR398" s="84">
        <f>VLOOKUP($A398,lmic_raw[],44,FALSE)*(1+interactive!$C$7)</f>
        <v>4.7898170104014398E-2</v>
      </c>
      <c r="AS398" s="84">
        <f>VLOOKUP($A398,lmic_raw[],45,FALSE)*(1+interactive!$C$7)</f>
        <v>7.3564634916089236E-2</v>
      </c>
      <c r="AT398" s="84">
        <f>VLOOKUP($A398,lmic_raw[],46,FALSE)*(1+interactive!$C$7)</f>
        <v>0.10511155068601673</v>
      </c>
      <c r="AU398" s="84">
        <f>VLOOKUP($A398,lmic_raw[],47,FALSE)*(1+interactive!$C$7)</f>
        <v>0.13933486124914579</v>
      </c>
      <c r="AV398" s="84">
        <f>VLOOKUP($A398,lmic_raw[],48,FALSE)*(1+interactive!$C$7)</f>
        <v>0.16727135549032718</v>
      </c>
      <c r="AW398" s="84">
        <f>VLOOKUP($A398,lmic_raw[],49,FALSE)*(1+interactive!$C$7)</f>
        <v>0.18687092370569863</v>
      </c>
      <c r="AX398" s="84">
        <f>VLOOKUP($A398,lmic_raw[],50,FALSE)*(1+interactive!$C$7)</f>
        <v>72.610650000000007</v>
      </c>
    </row>
    <row r="399" spans="1:50" x14ac:dyDescent="0.25">
      <c r="A399" s="110" t="s">
        <v>154</v>
      </c>
      <c r="B399" s="104" t="s">
        <v>524</v>
      </c>
      <c r="C399" s="105">
        <v>768</v>
      </c>
      <c r="D399" s="84" t="s">
        <v>677</v>
      </c>
      <c r="E399" s="84" t="s">
        <v>591</v>
      </c>
      <c r="F399" s="84" t="s">
        <v>667</v>
      </c>
      <c r="G399" s="84" t="s">
        <v>674</v>
      </c>
      <c r="H399" s="33">
        <f>VLOOKUP(lmic_raw_ub[[#This Row],[setting]],lmic_raw[],8,FALSE)</f>
        <v>8082359</v>
      </c>
      <c r="I399" s="33">
        <f>VLOOKUP(lmic_raw_ub[[#This Row],[setting]],lmic_raw[],9,FALSE)</f>
        <v>269255.70772599999</v>
      </c>
      <c r="J399" s="84">
        <f>MIN(VLOOKUP($A399,lmic_raw[],10,FALSE)*(1+interactive!$C$7),0.9999)</f>
        <v>0.84000000000000008</v>
      </c>
      <c r="K399" s="84">
        <f>MIN(VLOOKUP($A399,lmic_raw[],11,FALSE)*(1+interactive!$C$7),0.9999)</f>
        <v>0</v>
      </c>
      <c r="L399" s="33">
        <f>MIN(VLOOKUP($A399,lmic_raw[],12,FALSE)*(1+interactive!$C$7),0.9999)</f>
        <v>0.88200000000000001</v>
      </c>
      <c r="M399" s="84">
        <f>IFERROR(VLOOKUP(lmic_raw_ub[[#This Row],[iso3]], hbv_prev[[iso3]:[ub]],4,FALSE)/100,0)</f>
        <v>0.12429999999999999</v>
      </c>
      <c r="N399" s="84">
        <f>IFERROR(VLOOKUP(lmic_raw_ub[[#This Row],[setting]],hbe_prev[],5,FALSE),0)</f>
        <v>0.41070000000000001</v>
      </c>
      <c r="O399" s="84">
        <f>VLOOKUP(lmic_raw_ub[[#This Row],[gbd_super]],hbe_risk[],4,FALSE)</f>
        <v>0.74399999999999999</v>
      </c>
      <c r="P399" s="84">
        <f>VLOOKUP(lmic_raw_ub[[#This Row],[gbd_super]],hbe_risk[],7,FALSE)</f>
        <v>0.13300000000000001</v>
      </c>
      <c r="Q399" s="98">
        <f>VLOOKUP(lmic_raw_ub[[#This Row],[setting]],lmic_raw[],17,FALSE)*(1+interactive!$C$7)</f>
        <v>2.8285649490461373</v>
      </c>
      <c r="R399" s="98">
        <f>VLOOKUP(lmic_raw_ub[[#This Row],[setting]],lmic_raw[],18,FALSE)*(1+interactive!$C$7)</f>
        <v>31.416525000000004</v>
      </c>
      <c r="S399" s="98">
        <f>VLOOKUP(lmic_raw_ub[[#This Row],[setting]],lmic_raw[],19,FALSE)*(1+interactive!$C$7)</f>
        <v>81.545625000000015</v>
      </c>
      <c r="T399" s="98">
        <f>VLOOKUP(lmic_raw_ub[[#This Row],[setting]],lmic_raw[],20,FALSE)*(1+interactive!$C$7)</f>
        <v>81.545625000000015</v>
      </c>
      <c r="U399" s="98">
        <f>VLOOKUP(lmic_raw_ub[[#This Row],[setting]],lmic_raw[],21,FALSE)*(1+interactive!$C$7)</f>
        <v>81.545625000000015</v>
      </c>
      <c r="V399" s="33">
        <f>IFERROR(VLOOKUP(lmic_raw_ub[[#This Row],[setting]],vcost_ub[],3,FALSE),0)</f>
        <v>5.3186353140536413</v>
      </c>
      <c r="W399" s="33">
        <f>IFERROR(VLOOKUP(lmic_raw_ub[[#This Row],[setting]],vcost_ub[],4,FALSE),0)</f>
        <v>10.388770314053641</v>
      </c>
      <c r="X399" s="33">
        <f>IFERROR(VLOOKUP(lmic_raw_ub[[#This Row],[setting]],vcost_ub[],5,FALSE),0)</f>
        <v>4.823982166813825</v>
      </c>
      <c r="Y399" s="33">
        <f>IFERROR(VLOOKUP(lmic_raw_ub[[#This Row],[setting]],vcost_ub[],6,FALSE),0)</f>
        <v>9.8941171668138246</v>
      </c>
      <c r="Z399" s="33">
        <f>IFERROR(VLOOKUP(lmic_raw_ub[[#This Row],[setting]],vcost_ub[],7,FALSE),0)</f>
        <v>9.8879923269186349</v>
      </c>
      <c r="AA399" s="33">
        <f>IFERROR(VLOOKUP(lmic_raw_ub[[#This Row],[setting]],vcost_ub[],8,FALSE),0)</f>
        <v>5.5869929885984098</v>
      </c>
      <c r="AB399" s="33">
        <f>IFERROR(VLOOKUP(lmic_raw_ub[[#This Row],[setting]],vcost_ub[],9,FALSE),0)</f>
        <v>10.657127988598411</v>
      </c>
      <c r="AC399" s="84">
        <f>VLOOKUP($A399,lmic_raw[],29,FALSE)*(1+interactive!$C$7)</f>
        <v>5.2181041500000074E-2</v>
      </c>
      <c r="AD399" s="84">
        <f>VLOOKUP($A399,lmic_raw[],30,FALSE)*(1+interactive!$C$7)</f>
        <v>7.1062857353496539E-3</v>
      </c>
      <c r="AE399" s="84">
        <f>VLOOKUP($A399,lmic_raw[],31,FALSE)*(1+interactive!$C$7)</f>
        <v>3.2495120257947613E-3</v>
      </c>
      <c r="AF399" s="84">
        <f>VLOOKUP($A399,lmic_raw[],32,FALSE)*(1+interactive!$C$7)</f>
        <v>1.9018587183679549E-3</v>
      </c>
      <c r="AG399" s="84">
        <f>VLOOKUP($A399,lmic_raw[],33,FALSE)*(1+interactive!$C$7)</f>
        <v>2.9044530854527889E-3</v>
      </c>
      <c r="AH399" s="84">
        <f>VLOOKUP($A399,lmic_raw[],34,FALSE)*(1+interactive!$C$7)</f>
        <v>4.0566853686809295E-3</v>
      </c>
      <c r="AI399" s="84">
        <f>VLOOKUP($A399,lmic_raw[],35,FALSE)*(1+interactive!$C$7)</f>
        <v>4.3130451395077124E-3</v>
      </c>
      <c r="AJ399" s="84">
        <f>VLOOKUP($A399,lmic_raw[],36,FALSE)*(1+interactive!$C$7)</f>
        <v>4.7195825330234959E-3</v>
      </c>
      <c r="AK399" s="84">
        <f>VLOOKUP($A399,lmic_raw[],37,FALSE)*(1+interactive!$C$7)</f>
        <v>5.3660789664378107E-3</v>
      </c>
      <c r="AL399" s="84">
        <f>VLOOKUP($A399,lmic_raw[],38,FALSE)*(1+interactive!$C$7)</f>
        <v>6.5204945819310797E-3</v>
      </c>
      <c r="AM399" s="84">
        <f>VLOOKUP($A399,lmic_raw[],39,FALSE)*(1+interactive!$C$7)</f>
        <v>8.0653621666472546E-3</v>
      </c>
      <c r="AN399" s="84">
        <f>VLOOKUP($A399,lmic_raw[],40,FALSE)*(1+interactive!$C$7)</f>
        <v>1.1219568067823987E-2</v>
      </c>
      <c r="AO399" s="84">
        <f>VLOOKUP($A399,lmic_raw[],41,FALSE)*(1+interactive!$C$7)</f>
        <v>1.5866601707778698E-2</v>
      </c>
      <c r="AP399" s="84">
        <f>VLOOKUP($A399,lmic_raw[],42,FALSE)*(1+interactive!$C$7)</f>
        <v>2.456964127452399E-2</v>
      </c>
      <c r="AQ399" s="84">
        <f>VLOOKUP($A399,lmic_raw[],43,FALSE)*(1+interactive!$C$7)</f>
        <v>3.7635594000322257E-2</v>
      </c>
      <c r="AR399" s="84">
        <f>VLOOKUP($A399,lmic_raw[],44,FALSE)*(1+interactive!$C$7)</f>
        <v>5.9815114166494321E-2</v>
      </c>
      <c r="AS399" s="84">
        <f>VLOOKUP($A399,lmic_raw[],45,FALSE)*(1+interactive!$C$7)</f>
        <v>9.1196917910823794E-2</v>
      </c>
      <c r="AT399" s="84">
        <f>VLOOKUP($A399,lmic_raw[],46,FALSE)*(1+interactive!$C$7)</f>
        <v>0.12916269213311854</v>
      </c>
      <c r="AU399" s="84">
        <f>VLOOKUP($A399,lmic_raw[],47,FALSE)*(1+interactive!$C$7)</f>
        <v>0.16339425922731182</v>
      </c>
      <c r="AV399" s="84">
        <f>VLOOKUP($A399,lmic_raw[],48,FALSE)*(1+interactive!$C$7)</f>
        <v>0.18667504558638601</v>
      </c>
      <c r="AW399" s="84">
        <f>VLOOKUP($A399,lmic_raw[],49,FALSE)*(1+interactive!$C$7)</f>
        <v>0.2037613251426007</v>
      </c>
      <c r="AX399" s="84">
        <f>VLOOKUP($A399,lmic_raw[],50,FALSE)*(1+interactive!$C$7)</f>
        <v>63.554400000000001</v>
      </c>
    </row>
    <row r="400" spans="1:50" x14ac:dyDescent="0.25">
      <c r="A400" s="109" t="s">
        <v>301</v>
      </c>
      <c r="B400" s="101" t="s">
        <v>525</v>
      </c>
      <c r="C400" s="102">
        <v>776</v>
      </c>
      <c r="D400" s="82" t="s">
        <v>681</v>
      </c>
      <c r="E400" s="82" t="s">
        <v>98</v>
      </c>
      <c r="F400" s="82" t="s">
        <v>666</v>
      </c>
      <c r="G400" s="82" t="s">
        <v>676</v>
      </c>
      <c r="H400" s="33">
        <f>VLOOKUP(lmic_raw_ub[[#This Row],[setting]],lmic_raw[],8,FALSE)</f>
        <v>104497</v>
      </c>
      <c r="I400" s="33">
        <f>VLOOKUP(lmic_raw_ub[[#This Row],[setting]],lmic_raw[],9,FALSE)</f>
        <v>2555.3696380000001</v>
      </c>
      <c r="J400" s="84">
        <f>MIN(VLOOKUP($A400,lmic_raw[],10,FALSE)*(1+interactive!$C$7),0.9999)</f>
        <v>0.99990000000000001</v>
      </c>
      <c r="K400" s="84">
        <f>MIN(VLOOKUP($A400,lmic_raw[],11,FALSE)*(1+interactive!$C$7),0.9999)</f>
        <v>0.99990000000000001</v>
      </c>
      <c r="L400" s="33">
        <f>MIN(VLOOKUP($A400,lmic_raw[],12,FALSE)*(1+interactive!$C$7),0.9999)</f>
        <v>0.99990000000000001</v>
      </c>
      <c r="M400" s="84">
        <f>IFERROR(VLOOKUP(lmic_raw_ub[[#This Row],[iso3]], hbv_prev[[iso3]:[ub]],4,FALSE)/100,0)</f>
        <v>0.1167</v>
      </c>
      <c r="N400" s="84">
        <f>IFERROR(VLOOKUP(lmic_raw_ub[[#This Row],[setting]],hbe_prev[],5,FALSE),0)</f>
        <v>0.47889999999999999</v>
      </c>
      <c r="O400" s="84">
        <f>VLOOKUP(lmic_raw_ub[[#This Row],[gbd_super]],hbe_risk[],4,FALSE)</f>
        <v>0.9</v>
      </c>
      <c r="P400" s="84">
        <f>VLOOKUP(lmic_raw_ub[[#This Row],[gbd_super]],hbe_risk[],7,FALSE)</f>
        <v>0.3</v>
      </c>
      <c r="Q400" s="98">
        <f>VLOOKUP(lmic_raw_ub[[#This Row],[setting]],lmic_raw[],17,FALSE)*(1+interactive!$C$7)</f>
        <v>8.3993036405719188</v>
      </c>
      <c r="R400" s="98">
        <f>VLOOKUP(lmic_raw_ub[[#This Row],[setting]],lmic_raw[],18,FALSE)*(1+interactive!$C$7)</f>
        <v>76.738725000000002</v>
      </c>
      <c r="S400" s="98">
        <f>VLOOKUP(lmic_raw_ub[[#This Row],[setting]],lmic_raw[],19,FALSE)*(1+interactive!$C$7)</f>
        <v>126.867825</v>
      </c>
      <c r="T400" s="98">
        <f>VLOOKUP(lmic_raw_ub[[#This Row],[setting]],lmic_raw[],20,FALSE)*(1+interactive!$C$7)</f>
        <v>126.867825</v>
      </c>
      <c r="U400" s="98">
        <f>VLOOKUP(lmic_raw_ub[[#This Row],[setting]],lmic_raw[],21,FALSE)*(1+interactive!$C$7)</f>
        <v>126.867825</v>
      </c>
      <c r="V400" s="33">
        <f>IFERROR(VLOOKUP(lmic_raw_ub[[#This Row],[setting]],vcost_ub[],3,FALSE),0)</f>
        <v>19.373744884988202</v>
      </c>
      <c r="W400" s="33">
        <f>IFERROR(VLOOKUP(lmic_raw_ub[[#This Row],[setting]],vcost_ub[],4,FALSE),0)</f>
        <v>20.037554884988204</v>
      </c>
      <c r="X400" s="33">
        <f>IFERROR(VLOOKUP(lmic_raw_ub[[#This Row],[setting]],vcost_ub[],5,FALSE),0)</f>
        <v>18.862562922149671</v>
      </c>
      <c r="Y400" s="33">
        <f>IFERROR(VLOOKUP(lmic_raw_ub[[#This Row],[setting]],vcost_ub[],6,FALSE),0)</f>
        <v>19.526372922149672</v>
      </c>
      <c r="Z400" s="33">
        <f>IFERROR(VLOOKUP(lmic_raw_ub[[#This Row],[setting]],vcost_ub[],7,FALSE),0)</f>
        <v>19.511883144362955</v>
      </c>
      <c r="AA400" s="33">
        <f>IFERROR(VLOOKUP(lmic_raw_ub[[#This Row],[setting]],vcost_ub[],8,FALSE),0)</f>
        <v>19.645854499270104</v>
      </c>
      <c r="AB400" s="33">
        <f>IFERROR(VLOOKUP(lmic_raw_ub[[#This Row],[setting]],vcost_ub[],9,FALSE),0)</f>
        <v>20.309664499270106</v>
      </c>
      <c r="AC400" s="84">
        <f>VLOOKUP($A400,lmic_raw[],29,FALSE)*(1+interactive!$C$7)</f>
        <v>1.3142461500000004E-2</v>
      </c>
      <c r="AD400" s="84">
        <f>VLOOKUP($A400,lmic_raw[],30,FALSE)*(1+interactive!$C$7)</f>
        <v>8.2515440234705837E-4</v>
      </c>
      <c r="AE400" s="84">
        <f>VLOOKUP($A400,lmic_raw[],31,FALSE)*(1+interactive!$C$7)</f>
        <v>4.1801632007142146E-4</v>
      </c>
      <c r="AF400" s="84">
        <f>VLOOKUP($A400,lmic_raw[],32,FALSE)*(1+interactive!$C$7)</f>
        <v>3.9704461985552817E-4</v>
      </c>
      <c r="AG400" s="84">
        <f>VLOOKUP($A400,lmic_raw[],33,FALSE)*(1+interactive!$C$7)</f>
        <v>9.920878464068424E-4</v>
      </c>
      <c r="AH400" s="84">
        <f>VLOOKUP($A400,lmic_raw[],34,FALSE)*(1+interactive!$C$7)</f>
        <v>1.4418868747507157E-3</v>
      </c>
      <c r="AI400" s="84">
        <f>VLOOKUP($A400,lmic_raw[],35,FALSE)*(1+interactive!$C$7)</f>
        <v>1.5780662177807072E-3</v>
      </c>
      <c r="AJ400" s="84">
        <f>VLOOKUP($A400,lmic_raw[],36,FALSE)*(1+interactive!$C$7)</f>
        <v>1.8866966642702339E-3</v>
      </c>
      <c r="AK400" s="84">
        <f>VLOOKUP($A400,lmic_raw[],37,FALSE)*(1+interactive!$C$7)</f>
        <v>2.5429317960542386E-3</v>
      </c>
      <c r="AL400" s="84">
        <f>VLOOKUP($A400,lmic_raw[],38,FALSE)*(1+interactive!$C$7)</f>
        <v>3.6548412816302229E-3</v>
      </c>
      <c r="AM400" s="84">
        <f>VLOOKUP($A400,lmic_raw[],39,FALSE)*(1+interactive!$C$7)</f>
        <v>5.4933801450625505E-3</v>
      </c>
      <c r="AN400" s="84">
        <f>VLOOKUP($A400,lmic_raw[],40,FALSE)*(1+interactive!$C$7)</f>
        <v>8.3032493594690365E-3</v>
      </c>
      <c r="AO400" s="84">
        <f>VLOOKUP($A400,lmic_raw[],41,FALSE)*(1+interactive!$C$7)</f>
        <v>1.2261459063966047E-2</v>
      </c>
      <c r="AP400" s="84">
        <f>VLOOKUP($A400,lmic_raw[],42,FALSE)*(1+interactive!$C$7)</f>
        <v>1.9454465628032457E-2</v>
      </c>
      <c r="AQ400" s="84">
        <f>VLOOKUP($A400,lmic_raw[],43,FALSE)*(1+interactive!$C$7)</f>
        <v>3.0980011718835059E-2</v>
      </c>
      <c r="AR400" s="84">
        <f>VLOOKUP($A400,lmic_raw[],44,FALSE)*(1+interactive!$C$7)</f>
        <v>4.8035691411929475E-2</v>
      </c>
      <c r="AS400" s="84">
        <f>VLOOKUP($A400,lmic_raw[],45,FALSE)*(1+interactive!$C$7)</f>
        <v>7.2241034395332165E-2</v>
      </c>
      <c r="AT400" s="84">
        <f>VLOOKUP($A400,lmic_raw[],46,FALSE)*(1+interactive!$C$7)</f>
        <v>0.10456161160101302</v>
      </c>
      <c r="AU400" s="84">
        <f>VLOOKUP($A400,lmic_raw[],47,FALSE)*(1+interactive!$C$7)</f>
        <v>0.14108433240940566</v>
      </c>
      <c r="AV400" s="84">
        <f>VLOOKUP($A400,lmic_raw[],48,FALSE)*(1+interactive!$C$7)</f>
        <v>0.17208397875185233</v>
      </c>
      <c r="AW400" s="84">
        <f>VLOOKUP($A400,lmic_raw[],49,FALSE)*(1+interactive!$C$7)</f>
        <v>0.19108905187618003</v>
      </c>
      <c r="AX400" s="84">
        <f>VLOOKUP($A400,lmic_raw[],50,FALSE)*(1+interactive!$C$7)</f>
        <v>74.278050000000007</v>
      </c>
    </row>
    <row r="401" spans="1:50" x14ac:dyDescent="0.25">
      <c r="A401" s="110" t="s">
        <v>162</v>
      </c>
      <c r="B401" s="104" t="s">
        <v>527</v>
      </c>
      <c r="C401" s="105">
        <v>788</v>
      </c>
      <c r="D401" s="84" t="s">
        <v>673</v>
      </c>
      <c r="E401" s="84" t="s">
        <v>579</v>
      </c>
      <c r="F401" s="84" t="s">
        <v>579</v>
      </c>
      <c r="G401" s="84" t="s">
        <v>678</v>
      </c>
      <c r="H401" s="33">
        <f>VLOOKUP(lmic_raw_ub[[#This Row],[setting]],lmic_raw[],8,FALSE)</f>
        <v>11694721</v>
      </c>
      <c r="I401" s="33">
        <f>VLOOKUP(lmic_raw_ub[[#This Row],[setting]],lmic_raw[],9,FALSE)</f>
        <v>207160.28779399997</v>
      </c>
      <c r="J401" s="84">
        <f>MIN(VLOOKUP($A401,lmic_raw[],10,FALSE)*(1+interactive!$C$7),0.9999)</f>
        <v>0.99990000000000001</v>
      </c>
      <c r="K401" s="84">
        <f>MIN(VLOOKUP($A401,lmic_raw[],11,FALSE)*(1+interactive!$C$7),0.9999)</f>
        <v>0.77700000000000002</v>
      </c>
      <c r="L401" s="33">
        <f>MIN(VLOOKUP($A401,lmic_raw[],12,FALSE)*(1+interactive!$C$7),0.9999)</f>
        <v>0.96600000000000008</v>
      </c>
      <c r="M401" s="84">
        <f>IFERROR(VLOOKUP(lmic_raw_ub[[#This Row],[iso3]], hbv_prev[[iso3]:[ub]],4,FALSE)/100,0)</f>
        <v>6.1500000000000006E-2</v>
      </c>
      <c r="N401" s="84">
        <f>IFERROR(VLOOKUP(lmic_raw_ub[[#This Row],[setting]],hbe_prev[],5,FALSE),0)</f>
        <v>0.37619999999999998</v>
      </c>
      <c r="O401" s="84">
        <f>VLOOKUP(lmic_raw_ub[[#This Row],[gbd_super]],hbe_risk[],4,FALSE)</f>
        <v>0.9</v>
      </c>
      <c r="P401" s="84">
        <f>VLOOKUP(lmic_raw_ub[[#This Row],[gbd_super]],hbe_risk[],7,FALSE)</f>
        <v>0.3</v>
      </c>
      <c r="Q401" s="98">
        <f>VLOOKUP(lmic_raw_ub[[#This Row],[setting]],lmic_raw[],17,FALSE)*(1+interactive!$C$7)</f>
        <v>8.7108662072120637</v>
      </c>
      <c r="R401" s="98">
        <f>VLOOKUP(lmic_raw_ub[[#This Row],[setting]],lmic_raw[],18,FALSE)*(1+interactive!$C$7)</f>
        <v>48.652695000000001</v>
      </c>
      <c r="S401" s="98">
        <f>VLOOKUP(lmic_raw_ub[[#This Row],[setting]],lmic_raw[],19,FALSE)*(1+interactive!$C$7)</f>
        <v>98.781795000000017</v>
      </c>
      <c r="T401" s="98">
        <f>VLOOKUP(lmic_raw_ub[[#This Row],[setting]],lmic_raw[],20,FALSE)*(1+interactive!$C$7)</f>
        <v>98.781795000000017</v>
      </c>
      <c r="U401" s="98">
        <f>VLOOKUP(lmic_raw_ub[[#This Row],[setting]],lmic_raw[],21,FALSE)*(1+interactive!$C$7)</f>
        <v>98.781795000000017</v>
      </c>
      <c r="V401" s="33">
        <f>IFERROR(VLOOKUP(lmic_raw_ub[[#This Row],[setting]],vcost_ub[],3,FALSE),0)</f>
        <v>9.2088010338045354</v>
      </c>
      <c r="W401" s="33">
        <f>IFERROR(VLOOKUP(lmic_raw_ub[[#This Row],[setting]],vcost_ub[],4,FALSE),0)</f>
        <v>9.7123810338045349</v>
      </c>
      <c r="X401" s="33">
        <f>IFERROR(VLOOKUP(lmic_raw_ub[[#This Row],[setting]],vcost_ub[],5,FALSE),0)</f>
        <v>8.6878497810016455</v>
      </c>
      <c r="Y401" s="33">
        <f>IFERROR(VLOOKUP(lmic_raw_ub[[#This Row],[setting]],vcost_ub[],6,FALSE),0)</f>
        <v>9.191429781001645</v>
      </c>
      <c r="Z401" s="33">
        <f>IFERROR(VLOOKUP(lmic_raw_ub[[#This Row],[setting]],vcost_ub[],7,FALSE),0)</f>
        <v>9.1698537303200904</v>
      </c>
      <c r="AA401" s="33">
        <f>IFERROR(VLOOKUP(lmic_raw_ub[[#This Row],[setting]],vcost_ub[],8,FALSE),0)</f>
        <v>9.4831282169740501</v>
      </c>
      <c r="AB401" s="33">
        <f>IFERROR(VLOOKUP(lmic_raw_ub[[#This Row],[setting]],vcost_ub[],9,FALSE),0)</f>
        <v>9.9867082169740495</v>
      </c>
      <c r="AC401" s="84">
        <f>VLOOKUP($A401,lmic_raw[],29,FALSE)*(1+interactive!$C$7)</f>
        <v>1.3311543000000035E-2</v>
      </c>
      <c r="AD401" s="84">
        <f>VLOOKUP($A401,lmic_raw[],30,FALSE)*(1+interactive!$C$7)</f>
        <v>2.0608960899233625E-4</v>
      </c>
      <c r="AE401" s="84">
        <f>VLOOKUP($A401,lmic_raw[],31,FALSE)*(1+interactive!$C$7)</f>
        <v>1.5255083743129881E-4</v>
      </c>
      <c r="AF401" s="84">
        <f>VLOOKUP($A401,lmic_raw[],32,FALSE)*(1+interactive!$C$7)</f>
        <v>2.5796097022882431E-4</v>
      </c>
      <c r="AG401" s="84">
        <f>VLOOKUP($A401,lmic_raw[],33,FALSE)*(1+interactive!$C$7)</f>
        <v>3.8793349167197698E-4</v>
      </c>
      <c r="AH401" s="84">
        <f>VLOOKUP($A401,lmic_raw[],34,FALSE)*(1+interactive!$C$7)</f>
        <v>5.2729238093918477E-4</v>
      </c>
      <c r="AI401" s="84">
        <f>VLOOKUP($A401,lmic_raw[],35,FALSE)*(1+interactive!$C$7)</f>
        <v>5.9878300731977237E-4</v>
      </c>
      <c r="AJ401" s="84">
        <f>VLOOKUP($A401,lmic_raw[],36,FALSE)*(1+interactive!$C$7)</f>
        <v>7.0216138782826817E-4</v>
      </c>
      <c r="AK401" s="84">
        <f>VLOOKUP($A401,lmic_raw[],37,FALSE)*(1+interactive!$C$7)</f>
        <v>9.8605699447690026E-4</v>
      </c>
      <c r="AL401" s="84">
        <f>VLOOKUP($A401,lmic_raw[],38,FALSE)*(1+interactive!$C$7)</f>
        <v>1.5704915089490585E-3</v>
      </c>
      <c r="AM401" s="84">
        <f>VLOOKUP($A401,lmic_raw[],39,FALSE)*(1+interactive!$C$7)</f>
        <v>2.580904568476268E-3</v>
      </c>
      <c r="AN401" s="84">
        <f>VLOOKUP($A401,lmic_raw[],40,FALSE)*(1+interactive!$C$7)</f>
        <v>4.4250712371072158E-3</v>
      </c>
      <c r="AO401" s="84">
        <f>VLOOKUP($A401,lmic_raw[],41,FALSE)*(1+interactive!$C$7)</f>
        <v>7.4090599119046871E-3</v>
      </c>
      <c r="AP401" s="84">
        <f>VLOOKUP($A401,lmic_raw[],42,FALSE)*(1+interactive!$C$7)</f>
        <v>1.196662218810636E-2</v>
      </c>
      <c r="AQ401" s="84">
        <f>VLOOKUP($A401,lmic_raw[],43,FALSE)*(1+interactive!$C$7)</f>
        <v>1.8937553526277878E-2</v>
      </c>
      <c r="AR401" s="84">
        <f>VLOOKUP($A401,lmic_raw[],44,FALSE)*(1+interactive!$C$7)</f>
        <v>3.2473658281102477E-2</v>
      </c>
      <c r="AS401" s="84">
        <f>VLOOKUP($A401,lmic_raw[],45,FALSE)*(1+interactive!$C$7)</f>
        <v>5.4191825240946193E-2</v>
      </c>
      <c r="AT401" s="84">
        <f>VLOOKUP($A401,lmic_raw[],46,FALSE)*(1+interactive!$C$7)</f>
        <v>8.4356729679455178E-2</v>
      </c>
      <c r="AU401" s="84">
        <f>VLOOKUP($A401,lmic_raw[],47,FALSE)*(1+interactive!$C$7)</f>
        <v>0.11952868713079701</v>
      </c>
      <c r="AV401" s="84">
        <f>VLOOKUP($A401,lmic_raw[],48,FALSE)*(1+interactive!$C$7)</f>
        <v>0.15178338475000064</v>
      </c>
      <c r="AW401" s="84">
        <f>VLOOKUP($A401,lmic_raw[],49,FALSE)*(1+interactive!$C$7)</f>
        <v>0.17603360851768921</v>
      </c>
      <c r="AX401" s="84">
        <f>VLOOKUP($A401,lmic_raw[],50,FALSE)*(1+interactive!$C$7)</f>
        <v>80.232600000000005</v>
      </c>
    </row>
    <row r="402" spans="1:50" x14ac:dyDescent="0.25">
      <c r="A402" s="109" t="s">
        <v>180</v>
      </c>
      <c r="B402" s="101" t="s">
        <v>528</v>
      </c>
      <c r="C402" s="102">
        <v>792</v>
      </c>
      <c r="D402" s="82" t="s">
        <v>675</v>
      </c>
      <c r="E402" s="82" t="s">
        <v>579</v>
      </c>
      <c r="F402" s="82" t="s">
        <v>579</v>
      </c>
      <c r="G402" s="82" t="s">
        <v>676</v>
      </c>
      <c r="H402" s="33">
        <f>VLOOKUP(lmic_raw_ub[[#This Row],[setting]],lmic_raw[],8,FALSE)</f>
        <v>83429607</v>
      </c>
      <c r="I402" s="33">
        <f>VLOOKUP(lmic_raw_ub[[#This Row],[setting]],lmic_raw[],9,FALSE)</f>
        <v>1349807.6116529999</v>
      </c>
      <c r="J402" s="84">
        <f>MIN(VLOOKUP($A402,lmic_raw[],10,FALSE)*(1+interactive!$C$7),0.9999)</f>
        <v>0.99990000000000001</v>
      </c>
      <c r="K402" s="84">
        <f>MIN(VLOOKUP($A402,lmic_raw[],11,FALSE)*(1+interactive!$C$7),0.9999)</f>
        <v>0.99990000000000001</v>
      </c>
      <c r="L402" s="33">
        <f>MIN(VLOOKUP($A402,lmic_raw[],12,FALSE)*(1+interactive!$C$7),0.9999)</f>
        <v>0.99990000000000001</v>
      </c>
      <c r="M402" s="84">
        <f>IFERROR(VLOOKUP(lmic_raw_ub[[#This Row],[iso3]], hbv_prev[[iso3]:[ub]],4,FALSE)/100,0)</f>
        <v>3.2799999999999996E-2</v>
      </c>
      <c r="N402" s="84">
        <f>IFERROR(VLOOKUP(lmic_raw_ub[[#This Row],[setting]],hbe_prev[],5,FALSE),0)</f>
        <v>0.37619999999999998</v>
      </c>
      <c r="O402" s="84">
        <f>VLOOKUP(lmic_raw_ub[[#This Row],[gbd_super]],hbe_risk[],4,FALSE)</f>
        <v>0.9</v>
      </c>
      <c r="P402" s="84">
        <f>VLOOKUP(lmic_raw_ub[[#This Row],[gbd_super]],hbe_risk[],7,FALSE)</f>
        <v>0.3</v>
      </c>
      <c r="Q402" s="98">
        <f>VLOOKUP(lmic_raw_ub[[#This Row],[setting]],lmic_raw[],17,FALSE)*(1+interactive!$C$7)</f>
        <v>18.14498072507563</v>
      </c>
      <c r="R402" s="98">
        <f>VLOOKUP(lmic_raw_ub[[#This Row],[setting]],lmic_raw[],18,FALSE)*(1+interactive!$C$7)</f>
        <v>48.652695000000001</v>
      </c>
      <c r="S402" s="98">
        <f>VLOOKUP(lmic_raw_ub[[#This Row],[setting]],lmic_raw[],19,FALSE)*(1+interactive!$C$7)</f>
        <v>98.781795000000017</v>
      </c>
      <c r="T402" s="98">
        <f>VLOOKUP(lmic_raw_ub[[#This Row],[setting]],lmic_raw[],20,FALSE)*(1+interactive!$C$7)</f>
        <v>98.781795000000017</v>
      </c>
      <c r="U402" s="98">
        <f>VLOOKUP(lmic_raw_ub[[#This Row],[setting]],lmic_raw[],21,FALSE)*(1+interactive!$C$7)</f>
        <v>98.781795000000017</v>
      </c>
      <c r="V402" s="33">
        <f>IFERROR(VLOOKUP(lmic_raw_ub[[#This Row],[setting]],vcost_ub[],3,FALSE),0)</f>
        <v>11.410880875321665</v>
      </c>
      <c r="W402" s="33">
        <f>IFERROR(VLOOKUP(lmic_raw_ub[[#This Row],[setting]],vcost_ub[],4,FALSE),0)</f>
        <v>11.914460875321664</v>
      </c>
      <c r="X402" s="33">
        <f>IFERROR(VLOOKUP(lmic_raw_ub[[#This Row],[setting]],vcost_ub[],5,FALSE),0)</f>
        <v>10.87238137412403</v>
      </c>
      <c r="Y402" s="33">
        <f>IFERROR(VLOOKUP(lmic_raw_ub[[#This Row],[setting]],vcost_ub[],6,FALSE),0)</f>
        <v>11.37596137412403</v>
      </c>
      <c r="Z402" s="33">
        <f>IFERROR(VLOOKUP(lmic_raw_ub[[#This Row],[setting]],vcost_ub[],7,FALSE),0)</f>
        <v>11.344898918980263</v>
      </c>
      <c r="AA402" s="33">
        <f>IFERROR(VLOOKUP(lmic_raw_ub[[#This Row],[setting]],vcost_ub[],8,FALSE),0)</f>
        <v>11.689191403218821</v>
      </c>
      <c r="AB402" s="33">
        <f>IFERROR(VLOOKUP(lmic_raw_ub[[#This Row],[setting]],vcost_ub[],9,FALSE),0)</f>
        <v>12.192771403218821</v>
      </c>
      <c r="AC402" s="84">
        <f>VLOOKUP($A402,lmic_raw[],29,FALSE)*(1+interactive!$C$7)</f>
        <v>9.3465749999999403E-3</v>
      </c>
      <c r="AD402" s="84">
        <f>VLOOKUP($A402,lmic_raw[],30,FALSE)*(1+interactive!$C$7)</f>
        <v>1.1518711308714572E-3</v>
      </c>
      <c r="AE402" s="84">
        <f>VLOOKUP($A402,lmic_raw[],31,FALSE)*(1+interactive!$C$7)</f>
        <v>7.164541905813846E-4</v>
      </c>
      <c r="AF402" s="84">
        <f>VLOOKUP($A402,lmic_raw[],32,FALSE)*(1+interactive!$C$7)</f>
        <v>6.1208562686156673E-4</v>
      </c>
      <c r="AG402" s="84">
        <f>VLOOKUP($A402,lmic_raw[],33,FALSE)*(1+interactive!$C$7)</f>
        <v>7.2619137537621086E-4</v>
      </c>
      <c r="AH402" s="84">
        <f>VLOOKUP($A402,lmic_raw[],34,FALSE)*(1+interactive!$C$7)</f>
        <v>1.0090713372233676E-3</v>
      </c>
      <c r="AI402" s="84">
        <f>VLOOKUP($A402,lmic_raw[],35,FALSE)*(1+interactive!$C$7)</f>
        <v>1.233071611558365E-3</v>
      </c>
      <c r="AJ402" s="84">
        <f>VLOOKUP($A402,lmic_raw[],36,FALSE)*(1+interactive!$C$7)</f>
        <v>1.4462358104610482E-3</v>
      </c>
      <c r="AK402" s="84">
        <f>VLOOKUP($A402,lmic_raw[],37,FALSE)*(1+interactive!$C$7)</f>
        <v>1.7139813057957241E-3</v>
      </c>
      <c r="AL402" s="84">
        <f>VLOOKUP($A402,lmic_raw[],38,FALSE)*(1+interactive!$C$7)</f>
        <v>2.1038362818917721E-3</v>
      </c>
      <c r="AM402" s="84">
        <f>VLOOKUP($A402,lmic_raw[],39,FALSE)*(1+interactive!$C$7)</f>
        <v>2.7200263968622318E-3</v>
      </c>
      <c r="AN402" s="84">
        <f>VLOOKUP($A402,lmic_raw[],40,FALSE)*(1+interactive!$C$7)</f>
        <v>3.7103592700020354E-3</v>
      </c>
      <c r="AO402" s="84">
        <f>VLOOKUP($A402,lmic_raw[],41,FALSE)*(1+interactive!$C$7)</f>
        <v>5.4959173451945382E-3</v>
      </c>
      <c r="AP402" s="84">
        <f>VLOOKUP($A402,lmic_raw[],42,FALSE)*(1+interactive!$C$7)</f>
        <v>8.5482827193287189E-3</v>
      </c>
      <c r="AQ402" s="84">
        <f>VLOOKUP($A402,lmic_raw[],43,FALSE)*(1+interactive!$C$7)</f>
        <v>1.3916391508008741E-2</v>
      </c>
      <c r="AR402" s="84">
        <f>VLOOKUP($A402,lmic_raw[],44,FALSE)*(1+interactive!$C$7)</f>
        <v>2.4870542934322847E-2</v>
      </c>
      <c r="AS402" s="84">
        <f>VLOOKUP($A402,lmic_raw[],45,FALSE)*(1+interactive!$C$7)</f>
        <v>4.4011237056635039E-2</v>
      </c>
      <c r="AT402" s="84">
        <f>VLOOKUP($A402,lmic_raw[],46,FALSE)*(1+interactive!$C$7)</f>
        <v>7.2766737915263072E-2</v>
      </c>
      <c r="AU402" s="84">
        <f>VLOOKUP($A402,lmic_raw[],47,FALSE)*(1+interactive!$C$7)</f>
        <v>0.10914139612526493</v>
      </c>
      <c r="AV402" s="84">
        <f>VLOOKUP($A402,lmic_raw[],48,FALSE)*(1+interactive!$C$7)</f>
        <v>0.14685173116285838</v>
      </c>
      <c r="AW402" s="84">
        <f>VLOOKUP($A402,lmic_raw[],49,FALSE)*(1+interactive!$C$7)</f>
        <v>0.17669010499414736</v>
      </c>
      <c r="AX402" s="84">
        <f>VLOOKUP($A402,lmic_raw[],50,FALSE)*(1+interactive!$C$7)</f>
        <v>81.172350000000009</v>
      </c>
    </row>
    <row r="403" spans="1:50" x14ac:dyDescent="0.25">
      <c r="A403" s="110" t="s">
        <v>188</v>
      </c>
      <c r="B403" s="104" t="s">
        <v>529</v>
      </c>
      <c r="C403" s="105">
        <v>795</v>
      </c>
      <c r="D403" s="84" t="s">
        <v>675</v>
      </c>
      <c r="E403" s="84" t="s">
        <v>184</v>
      </c>
      <c r="F403" s="84" t="s">
        <v>663</v>
      </c>
      <c r="G403" s="84" t="s">
        <v>676</v>
      </c>
      <c r="H403" s="33">
        <f>VLOOKUP(lmic_raw_ub[[#This Row],[setting]],lmic_raw[],8,FALSE)</f>
        <v>5942094</v>
      </c>
      <c r="I403" s="33">
        <f>VLOOKUP(lmic_raw_ub[[#This Row],[setting]],lmic_raw[],9,FALSE)</f>
        <v>142515.18249600002</v>
      </c>
      <c r="J403" s="84">
        <f>MIN(VLOOKUP($A403,lmic_raw[],10,FALSE)*(1+interactive!$C$7),0.9999)</f>
        <v>0.99990000000000001</v>
      </c>
      <c r="K403" s="84">
        <f>MIN(VLOOKUP($A403,lmic_raw[],11,FALSE)*(1+interactive!$C$7),0.9999)</f>
        <v>0.99990000000000001</v>
      </c>
      <c r="L403" s="33">
        <f>MIN(VLOOKUP($A403,lmic_raw[],12,FALSE)*(1+interactive!$C$7),0.9999)</f>
        <v>0.99990000000000001</v>
      </c>
      <c r="M403" s="84">
        <f>IFERROR(VLOOKUP(lmic_raw_ub[[#This Row],[iso3]], hbv_prev[[iso3]:[ub]],4,FALSE)/100,0)</f>
        <v>0.12570000000000001</v>
      </c>
      <c r="N403" s="84">
        <f>IFERROR(VLOOKUP(lmic_raw_ub[[#This Row],[setting]],hbe_prev[],5,FALSE),0)</f>
        <v>0.43079999999999996</v>
      </c>
      <c r="O403" s="84">
        <f>VLOOKUP(lmic_raw_ub[[#This Row],[gbd_super]],hbe_risk[],4,FALSE)</f>
        <v>0.9</v>
      </c>
      <c r="P403" s="84">
        <f>VLOOKUP(lmic_raw_ub[[#This Row],[gbd_super]],hbe_risk[],7,FALSE)</f>
        <v>0.3</v>
      </c>
      <c r="Q403" s="98">
        <f>VLOOKUP(lmic_raw_ub[[#This Row],[setting]],lmic_raw[],17,FALSE)*(1+interactive!$C$7)</f>
        <v>8.3993036405719188</v>
      </c>
      <c r="R403" s="98">
        <f>VLOOKUP(lmic_raw_ub[[#This Row],[setting]],lmic_raw[],18,FALSE)*(1+interactive!$C$7)</f>
        <v>46.76427000000001</v>
      </c>
      <c r="S403" s="98">
        <f>VLOOKUP(lmic_raw_ub[[#This Row],[setting]],lmic_raw[],19,FALSE)*(1+interactive!$C$7)</f>
        <v>96.893370000000019</v>
      </c>
      <c r="T403" s="98">
        <f>VLOOKUP(lmic_raw_ub[[#This Row],[setting]],lmic_raw[],20,FALSE)*(1+interactive!$C$7)</f>
        <v>96.893370000000019</v>
      </c>
      <c r="U403" s="98">
        <f>VLOOKUP(lmic_raw_ub[[#This Row],[setting]],lmic_raw[],21,FALSE)*(1+interactive!$C$7)</f>
        <v>96.893370000000019</v>
      </c>
      <c r="V403" s="33">
        <f>IFERROR(VLOOKUP(lmic_raw_ub[[#This Row],[setting]],vcost_ub[],3,FALSE),0)</f>
        <v>14.068723344841279</v>
      </c>
      <c r="W403" s="33">
        <f>IFERROR(VLOOKUP(lmic_raw_ub[[#This Row],[setting]],vcost_ub[],4,FALSE),0)</f>
        <v>18.337708344841282</v>
      </c>
      <c r="X403" s="33">
        <f>IFERROR(VLOOKUP(lmic_raw_ub[[#This Row],[setting]],vcost_ub[],5,FALSE),0)</f>
        <v>13.543900365594894</v>
      </c>
      <c r="Y403" s="33">
        <f>IFERROR(VLOOKUP(lmic_raw_ub[[#This Row],[setting]],vcost_ub[],6,FALSE),0)</f>
        <v>17.812885365594894</v>
      </c>
      <c r="Z403" s="33">
        <f>IFERROR(VLOOKUP(lmic_raw_ub[[#This Row],[setting]],vcost_ub[],7,FALSE),0)</f>
        <v>17.789937549487099</v>
      </c>
      <c r="AA403" s="33">
        <f>IFERROR(VLOOKUP(lmic_raw_ub[[#This Row],[setting]],vcost_ub[],8,FALSE),0)</f>
        <v>14.343929386160546</v>
      </c>
      <c r="AB403" s="33">
        <f>IFERROR(VLOOKUP(lmic_raw_ub[[#This Row],[setting]],vcost_ub[],9,FALSE),0)</f>
        <v>18.612914386160547</v>
      </c>
      <c r="AC403" s="84">
        <f>VLOOKUP($A403,lmic_raw[],29,FALSE)*(1+interactive!$C$7)</f>
        <v>4.5477862500000063E-2</v>
      </c>
      <c r="AD403" s="84">
        <f>VLOOKUP($A403,lmic_raw[],30,FALSE)*(1+interactive!$C$7)</f>
        <v>2.2362174857992988E-3</v>
      </c>
      <c r="AE403" s="84">
        <f>VLOOKUP($A403,lmic_raw[],31,FALSE)*(1+interactive!$C$7)</f>
        <v>4.054532144106488E-4</v>
      </c>
      <c r="AF403" s="84">
        <f>VLOOKUP($A403,lmic_raw[],32,FALSE)*(1+interactive!$C$7)</f>
        <v>3.9747781157458578E-4</v>
      </c>
      <c r="AG403" s="84">
        <f>VLOOKUP($A403,lmic_raw[],33,FALSE)*(1+interactive!$C$7)</f>
        <v>9.162161806059489E-4</v>
      </c>
      <c r="AH403" s="84">
        <f>VLOOKUP($A403,lmic_raw[],34,FALSE)*(1+interactive!$C$7)</f>
        <v>1.2276712189129881E-3</v>
      </c>
      <c r="AI403" s="84">
        <f>VLOOKUP($A403,lmic_raw[],35,FALSE)*(1+interactive!$C$7)</f>
        <v>1.5835657233174536E-3</v>
      </c>
      <c r="AJ403" s="84">
        <f>VLOOKUP($A403,lmic_raw[],36,FALSE)*(1+interactive!$C$7)</f>
        <v>2.1618159646976218E-3</v>
      </c>
      <c r="AK403" s="84">
        <f>VLOOKUP($A403,lmic_raw[],37,FALSE)*(1+interactive!$C$7)</f>
        <v>3.0547603355392679E-3</v>
      </c>
      <c r="AL403" s="84">
        <f>VLOOKUP($A403,lmic_raw[],38,FALSE)*(1+interactive!$C$7)</f>
        <v>4.3104606277592676E-3</v>
      </c>
      <c r="AM403" s="84">
        <f>VLOOKUP($A403,lmic_raw[],39,FALSE)*(1+interactive!$C$7)</f>
        <v>5.9821025921599066E-3</v>
      </c>
      <c r="AN403" s="84">
        <f>VLOOKUP($A403,lmic_raw[],40,FALSE)*(1+interactive!$C$7)</f>
        <v>9.3930582545521044E-3</v>
      </c>
      <c r="AO403" s="84">
        <f>VLOOKUP($A403,lmic_raw[],41,FALSE)*(1+interactive!$C$7)</f>
        <v>1.380067593122635E-2</v>
      </c>
      <c r="AP403" s="84">
        <f>VLOOKUP($A403,lmic_raw[],42,FALSE)*(1+interactive!$C$7)</f>
        <v>2.271494094915243E-2</v>
      </c>
      <c r="AQ403" s="84">
        <f>VLOOKUP($A403,lmic_raw[],43,FALSE)*(1+interactive!$C$7)</f>
        <v>2.9272147759459424E-2</v>
      </c>
      <c r="AR403" s="84">
        <f>VLOOKUP($A403,lmic_raw[],44,FALSE)*(1+interactive!$C$7)</f>
        <v>5.2736459187753597E-2</v>
      </c>
      <c r="AS403" s="84">
        <f>VLOOKUP($A403,lmic_raw[],45,FALSE)*(1+interactive!$C$7)</f>
        <v>5.7491260481109363E-2</v>
      </c>
      <c r="AT403" s="84">
        <f>VLOOKUP($A403,lmic_raw[],46,FALSE)*(1+interactive!$C$7)</f>
        <v>9.431393579212359E-2</v>
      </c>
      <c r="AU403" s="84">
        <f>VLOOKUP($A403,lmic_raw[],47,FALSE)*(1+interactive!$C$7)</f>
        <v>0.12500522378621645</v>
      </c>
      <c r="AV403" s="84">
        <f>VLOOKUP($A403,lmic_raw[],48,FALSE)*(1+interactive!$C$7)</f>
        <v>0.15457846162901764</v>
      </c>
      <c r="AW403" s="84">
        <f>VLOOKUP($A403,lmic_raw[],49,FALSE)*(1+interactive!$C$7)</f>
        <v>0.17729220102637094</v>
      </c>
      <c r="AX403" s="84">
        <f>VLOOKUP($A403,lmic_raw[],50,FALSE)*(1+interactive!$C$7)</f>
        <v>71.38215000000001</v>
      </c>
    </row>
    <row r="404" spans="1:50" x14ac:dyDescent="0.25">
      <c r="A404" s="109" t="s">
        <v>302</v>
      </c>
      <c r="B404" s="101" t="s">
        <v>530</v>
      </c>
      <c r="C404" s="102">
        <v>798</v>
      </c>
      <c r="D404" s="82" t="s">
        <v>681</v>
      </c>
      <c r="E404" s="82" t="s">
        <v>98</v>
      </c>
      <c r="F404" s="82" t="s">
        <v>666</v>
      </c>
      <c r="G404" s="82" t="s">
        <v>676</v>
      </c>
      <c r="H404" s="33">
        <f>VLOOKUP(lmic_raw_ub[[#This Row],[setting]],lmic_raw[],8,FALSE)</f>
        <v>11655</v>
      </c>
      <c r="I404" s="33">
        <f>VLOOKUP(lmic_raw_ub[[#This Row],[setting]],lmic_raw[],9,FALSE)</f>
        <v>267.71534999999994</v>
      </c>
      <c r="J404" s="84">
        <f>MIN(VLOOKUP($A404,lmic_raw[],10,FALSE)*(1+interactive!$C$7),0.9999)</f>
        <v>0.97650000000000015</v>
      </c>
      <c r="K404" s="84">
        <f>MIN(VLOOKUP($A404,lmic_raw[],11,FALSE)*(1+interactive!$C$7),0.9999)</f>
        <v>0.99990000000000001</v>
      </c>
      <c r="L404" s="33">
        <f>MIN(VLOOKUP($A404,lmic_raw[],12,FALSE)*(1+interactive!$C$7),0.9999)</f>
        <v>0.96600000000000008</v>
      </c>
      <c r="M404" s="84">
        <f>IFERROR(VLOOKUP(lmic_raw_ub[[#This Row],[iso3]], hbv_prev[[iso3]:[ub]],4,FALSE)/100,0)</f>
        <v>0.1105</v>
      </c>
      <c r="N404" s="84">
        <f>IFERROR(VLOOKUP(lmic_raw_ub[[#This Row],[setting]],hbe_prev[],5,FALSE),0)</f>
        <v>0</v>
      </c>
      <c r="O404" s="84">
        <f>VLOOKUP(lmic_raw_ub[[#This Row],[gbd_super]],hbe_risk[],4,FALSE)</f>
        <v>0.9</v>
      </c>
      <c r="P404" s="84">
        <f>VLOOKUP(lmic_raw_ub[[#This Row],[gbd_super]],hbe_risk[],7,FALSE)</f>
        <v>0.3</v>
      </c>
      <c r="Q404" s="98">
        <f>VLOOKUP(lmic_raw_ub[[#This Row],[setting]],lmic_raw[],17,FALSE)*(1+interactive!$C$7)</f>
        <v>7.6266284753043605</v>
      </c>
      <c r="R404" s="98">
        <f>VLOOKUP(lmic_raw_ub[[#This Row],[setting]],lmic_raw[],18,FALSE)*(1+interactive!$C$7)</f>
        <v>76.738725000000002</v>
      </c>
      <c r="S404" s="98">
        <f>VLOOKUP(lmic_raw_ub[[#This Row],[setting]],lmic_raw[],19,FALSE)*(1+interactive!$C$7)</f>
        <v>126.867825</v>
      </c>
      <c r="T404" s="98">
        <f>VLOOKUP(lmic_raw_ub[[#This Row],[setting]],lmic_raw[],20,FALSE)*(1+interactive!$C$7)</f>
        <v>126.867825</v>
      </c>
      <c r="U404" s="98">
        <f>VLOOKUP(lmic_raw_ub[[#This Row],[setting]],lmic_raw[],21,FALSE)*(1+interactive!$C$7)</f>
        <v>126.867825</v>
      </c>
      <c r="V404" s="33">
        <f>IFERROR(VLOOKUP(lmic_raw_ub[[#This Row],[setting]],vcost_ub[],3,FALSE),0)</f>
        <v>45.021066294040175</v>
      </c>
      <c r="W404" s="33">
        <f>IFERROR(VLOOKUP(lmic_raw_ub[[#This Row],[setting]],vcost_ub[],4,FALSE),0)</f>
        <v>45.684876294040173</v>
      </c>
      <c r="X404" s="33">
        <f>IFERROR(VLOOKUP(lmic_raw_ub[[#This Row],[setting]],vcost_ub[],5,FALSE),0)</f>
        <v>44.51436507589731</v>
      </c>
      <c r="Y404" s="33">
        <f>IFERROR(VLOOKUP(lmic_raw_ub[[#This Row],[setting]],vcost_ub[],6,FALSE),0)</f>
        <v>45.178175075897308</v>
      </c>
      <c r="Z404" s="33">
        <f>IFERROR(VLOOKUP(lmic_raw_ub[[#This Row],[setting]],vcost_ub[],7,FALSE),0)</f>
        <v>45.165796231464206</v>
      </c>
      <c r="AA404" s="33">
        <f>IFERROR(VLOOKUP(lmic_raw_ub[[#This Row],[setting]],vcost_ub[],8,FALSE),0)</f>
        <v>45.292158806765386</v>
      </c>
      <c r="AB404" s="33">
        <f>IFERROR(VLOOKUP(lmic_raw_ub[[#This Row],[setting]],vcost_ub[],9,FALSE),0)</f>
        <v>45.955968806765384</v>
      </c>
      <c r="AC404" s="84">
        <f>VLOOKUP($A404,lmic_raw[],29,FALSE)*(1+interactive!$C$7)</f>
        <v>0</v>
      </c>
      <c r="AD404" s="84">
        <f>VLOOKUP($A404,lmic_raw[],30,FALSE)*(1+interactive!$C$7)</f>
        <v>0</v>
      </c>
      <c r="AE404" s="84">
        <f>VLOOKUP($A404,lmic_raw[],31,FALSE)*(1+interactive!$C$7)</f>
        <v>0</v>
      </c>
      <c r="AF404" s="84">
        <f>VLOOKUP($A404,lmic_raw[],32,FALSE)*(1+interactive!$C$7)</f>
        <v>0</v>
      </c>
      <c r="AG404" s="84">
        <f>VLOOKUP($A404,lmic_raw[],33,FALSE)*(1+interactive!$C$7)</f>
        <v>0</v>
      </c>
      <c r="AH404" s="84">
        <f>VLOOKUP($A404,lmic_raw[],34,FALSE)*(1+interactive!$C$7)</f>
        <v>0</v>
      </c>
      <c r="AI404" s="84">
        <f>VLOOKUP($A404,lmic_raw[],35,FALSE)*(1+interactive!$C$7)</f>
        <v>0</v>
      </c>
      <c r="AJ404" s="84">
        <f>VLOOKUP($A404,lmic_raw[],36,FALSE)*(1+interactive!$C$7)</f>
        <v>0</v>
      </c>
      <c r="AK404" s="84">
        <f>VLOOKUP($A404,lmic_raw[],37,FALSE)*(1+interactive!$C$7)</f>
        <v>0</v>
      </c>
      <c r="AL404" s="84">
        <f>VLOOKUP($A404,lmic_raw[],38,FALSE)*(1+interactive!$C$7)</f>
        <v>0</v>
      </c>
      <c r="AM404" s="84">
        <f>VLOOKUP($A404,lmic_raw[],39,FALSE)*(1+interactive!$C$7)</f>
        <v>0</v>
      </c>
      <c r="AN404" s="84">
        <f>VLOOKUP($A404,lmic_raw[],40,FALSE)*(1+interactive!$C$7)</f>
        <v>0</v>
      </c>
      <c r="AO404" s="84">
        <f>VLOOKUP($A404,lmic_raw[],41,FALSE)*(1+interactive!$C$7)</f>
        <v>0</v>
      </c>
      <c r="AP404" s="84">
        <f>VLOOKUP($A404,lmic_raw[],42,FALSE)*(1+interactive!$C$7)</f>
        <v>0</v>
      </c>
      <c r="AQ404" s="84">
        <f>VLOOKUP($A404,lmic_raw[],43,FALSE)*(1+interactive!$C$7)</f>
        <v>0</v>
      </c>
      <c r="AR404" s="84">
        <f>VLOOKUP($A404,lmic_raw[],44,FALSE)*(1+interactive!$C$7)</f>
        <v>0</v>
      </c>
      <c r="AS404" s="84">
        <f>VLOOKUP($A404,lmic_raw[],45,FALSE)*(1+interactive!$C$7)</f>
        <v>0</v>
      </c>
      <c r="AT404" s="84">
        <f>VLOOKUP($A404,lmic_raw[],46,FALSE)*(1+interactive!$C$7)</f>
        <v>0</v>
      </c>
      <c r="AU404" s="84">
        <f>VLOOKUP($A404,lmic_raw[],47,FALSE)*(1+interactive!$C$7)</f>
        <v>0</v>
      </c>
      <c r="AV404" s="84">
        <f>VLOOKUP($A404,lmic_raw[],48,FALSE)*(1+interactive!$C$7)</f>
        <v>0</v>
      </c>
      <c r="AW404" s="84">
        <f>VLOOKUP($A404,lmic_raw[],49,FALSE)*(1+interactive!$C$7)</f>
        <v>0</v>
      </c>
      <c r="AX404" s="84">
        <f>VLOOKUP($A404,lmic_raw[],50,FALSE)*(1+interactive!$C$7)</f>
        <v>0</v>
      </c>
    </row>
    <row r="405" spans="1:50" x14ac:dyDescent="0.25">
      <c r="A405" s="110" t="s">
        <v>117</v>
      </c>
      <c r="B405" s="104" t="s">
        <v>531</v>
      </c>
      <c r="C405" s="105">
        <v>800</v>
      </c>
      <c r="D405" s="84" t="s">
        <v>677</v>
      </c>
      <c r="E405" s="84" t="s">
        <v>597</v>
      </c>
      <c r="F405" s="84" t="s">
        <v>667</v>
      </c>
      <c r="G405" s="84" t="s">
        <v>674</v>
      </c>
      <c r="H405" s="33">
        <f>VLOOKUP(lmic_raw_ub[[#This Row],[setting]],lmic_raw[],8,FALSE)</f>
        <v>44269587</v>
      </c>
      <c r="I405" s="33">
        <f>VLOOKUP(lmic_raw_ub[[#This Row],[setting]],lmic_raw[],9,FALSE)</f>
        <v>1701590.115519</v>
      </c>
      <c r="J405" s="84">
        <f>MIN(VLOOKUP($A405,lmic_raw[],10,FALSE)*(1+interactive!$C$7),0.9999)</f>
        <v>0.77070000000000016</v>
      </c>
      <c r="K405" s="84">
        <f>MIN(VLOOKUP($A405,lmic_raw[],11,FALSE)*(1+interactive!$C$7),0.9999)</f>
        <v>0</v>
      </c>
      <c r="L405" s="33">
        <f>MIN(VLOOKUP($A405,lmic_raw[],12,FALSE)*(1+interactive!$C$7),0.9999)</f>
        <v>0.97650000000000015</v>
      </c>
      <c r="M405" s="84">
        <f>IFERROR(VLOOKUP(lmic_raw_ub[[#This Row],[iso3]], hbv_prev[[iso3]:[ub]],4,FALSE)/100,0)</f>
        <v>7.7499999999999999E-2</v>
      </c>
      <c r="N405" s="84">
        <f>IFERROR(VLOOKUP(lmic_raw_ub[[#This Row],[setting]],hbe_prev[],5,FALSE),0)</f>
        <v>0.39960000000000001</v>
      </c>
      <c r="O405" s="84">
        <f>VLOOKUP(lmic_raw_ub[[#This Row],[gbd_super]],hbe_risk[],4,FALSE)</f>
        <v>0.74399999999999999</v>
      </c>
      <c r="P405" s="84">
        <f>VLOOKUP(lmic_raw_ub[[#This Row],[gbd_super]],hbe_risk[],7,FALSE)</f>
        <v>0.13300000000000001</v>
      </c>
      <c r="Q405" s="98">
        <f>VLOOKUP(lmic_raw_ub[[#This Row],[setting]],lmic_raw[],17,FALSE)*(1+interactive!$C$7)</f>
        <v>2.9656524783678004</v>
      </c>
      <c r="R405" s="98">
        <f>VLOOKUP(lmic_raw_ub[[#This Row],[setting]],lmic_raw[],18,FALSE)*(1+interactive!$C$7)</f>
        <v>31.416525000000004</v>
      </c>
      <c r="S405" s="98">
        <f>VLOOKUP(lmic_raw_ub[[#This Row],[setting]],lmic_raw[],19,FALSE)*(1+interactive!$C$7)</f>
        <v>81.545625000000015</v>
      </c>
      <c r="T405" s="98">
        <f>VLOOKUP(lmic_raw_ub[[#This Row],[setting]],lmic_raw[],20,FALSE)*(1+interactive!$C$7)</f>
        <v>81.545625000000015</v>
      </c>
      <c r="U405" s="98">
        <f>VLOOKUP(lmic_raw_ub[[#This Row],[setting]],lmic_raw[],21,FALSE)*(1+interactive!$C$7)</f>
        <v>81.545625000000015</v>
      </c>
      <c r="V405" s="33">
        <f>IFERROR(VLOOKUP(lmic_raw_ub[[#This Row],[setting]],vcost_ub[],3,FALSE),0)</f>
        <v>4.807662152976123</v>
      </c>
      <c r="W405" s="33">
        <f>IFERROR(VLOOKUP(lmic_raw_ub[[#This Row],[setting]],vcost_ub[],4,FALSE),0)</f>
        <v>9.8777971529761235</v>
      </c>
      <c r="X405" s="33">
        <f>IFERROR(VLOOKUP(lmic_raw_ub[[#This Row],[setting]],vcost_ub[],5,FALSE),0)</f>
        <v>4.3112008108482502</v>
      </c>
      <c r="Y405" s="33">
        <f>IFERROR(VLOOKUP(lmic_raw_ub[[#This Row],[setting]],vcost_ub[],6,FALSE),0)</f>
        <v>9.3813358108482507</v>
      </c>
      <c r="Z405" s="33">
        <f>IFERROR(VLOOKUP(lmic_raw_ub[[#This Row],[setting]],vcost_ub[],7,FALSE),0)</f>
        <v>9.3743061789762141</v>
      </c>
      <c r="AA405" s="33">
        <f>IFERROR(VLOOKUP(lmic_raw_ub[[#This Row],[setting]],vcost_ub[],8,FALSE),0)</f>
        <v>5.0764302766672609</v>
      </c>
      <c r="AB405" s="33">
        <f>IFERROR(VLOOKUP(lmic_raw_ub[[#This Row],[setting]],vcost_ub[],9,FALSE),0)</f>
        <v>10.14656527666726</v>
      </c>
      <c r="AC405" s="84">
        <f>VLOOKUP($A405,lmic_raw[],29,FALSE)*(1+interactive!$C$7)</f>
        <v>4.8457269000000032E-2</v>
      </c>
      <c r="AD405" s="84">
        <f>VLOOKUP($A405,lmic_raw[],30,FALSE)*(1+interactive!$C$7)</f>
        <v>4.5850016945008249E-3</v>
      </c>
      <c r="AE405" s="84">
        <f>VLOOKUP($A405,lmic_raw[],31,FALSE)*(1+interactive!$C$7)</f>
        <v>1.5569906594037133E-3</v>
      </c>
      <c r="AF405" s="84">
        <f>VLOOKUP($A405,lmic_raw[],32,FALSE)*(1+interactive!$C$7)</f>
        <v>1.1681936256781929E-3</v>
      </c>
      <c r="AG405" s="84">
        <f>VLOOKUP($A405,lmic_raw[],33,FALSE)*(1+interactive!$C$7)</f>
        <v>1.9127903382406973E-3</v>
      </c>
      <c r="AH405" s="84">
        <f>VLOOKUP($A405,lmic_raw[],34,FALSE)*(1+interactive!$C$7)</f>
        <v>2.9451147206791205E-3</v>
      </c>
      <c r="AI405" s="84">
        <f>VLOOKUP($A405,lmic_raw[],35,FALSE)*(1+interactive!$C$7)</f>
        <v>3.8232157928085988E-3</v>
      </c>
      <c r="AJ405" s="84">
        <f>VLOOKUP($A405,lmic_raw[],36,FALSE)*(1+interactive!$C$7)</f>
        <v>4.7679959666907055E-3</v>
      </c>
      <c r="AK405" s="84">
        <f>VLOOKUP($A405,lmic_raw[],37,FALSE)*(1+interactive!$C$7)</f>
        <v>6.0948373499709269E-3</v>
      </c>
      <c r="AL405" s="84">
        <f>VLOOKUP($A405,lmic_raw[],38,FALSE)*(1+interactive!$C$7)</f>
        <v>7.5221396335273544E-3</v>
      </c>
      <c r="AM405" s="84">
        <f>VLOOKUP($A405,lmic_raw[],39,FALSE)*(1+interactive!$C$7)</f>
        <v>9.2901428727684681E-3</v>
      </c>
      <c r="AN405" s="84">
        <f>VLOOKUP($A405,lmic_raw[],40,FALSE)*(1+interactive!$C$7)</f>
        <v>1.2449807698979494E-2</v>
      </c>
      <c r="AO405" s="84">
        <f>VLOOKUP($A405,lmic_raw[],41,FALSE)*(1+interactive!$C$7)</f>
        <v>1.6049447412876512E-2</v>
      </c>
      <c r="AP405" s="84">
        <f>VLOOKUP($A405,lmic_raw[],42,FALSE)*(1+interactive!$C$7)</f>
        <v>2.2907489107020011E-2</v>
      </c>
      <c r="AQ405" s="84">
        <f>VLOOKUP($A405,lmic_raw[],43,FALSE)*(1+interactive!$C$7)</f>
        <v>3.3982377514585715E-2</v>
      </c>
      <c r="AR405" s="84">
        <f>VLOOKUP($A405,lmic_raw[],44,FALSE)*(1+interactive!$C$7)</f>
        <v>5.1220891420250783E-2</v>
      </c>
      <c r="AS405" s="84">
        <f>VLOOKUP($A405,lmic_raw[],45,FALSE)*(1+interactive!$C$7)</f>
        <v>7.6507650567858715E-2</v>
      </c>
      <c r="AT405" s="84">
        <f>VLOOKUP($A405,lmic_raw[],46,FALSE)*(1+interactive!$C$7)</f>
        <v>0.11268679073665458</v>
      </c>
      <c r="AU405" s="84">
        <f>VLOOKUP($A405,lmic_raw[],47,FALSE)*(1+interactive!$C$7)</f>
        <v>0.15416918264908602</v>
      </c>
      <c r="AV405" s="84">
        <f>VLOOKUP($A405,lmic_raw[],48,FALSE)*(1+interactive!$C$7)</f>
        <v>0.18755158761442361</v>
      </c>
      <c r="AW405" s="84">
        <f>VLOOKUP($A405,lmic_raw[],49,FALSE)*(1+interactive!$C$7)</f>
        <v>0.19840740152498701</v>
      </c>
      <c r="AX405" s="84">
        <f>VLOOKUP($A405,lmic_raw[],50,FALSE)*(1+interactive!$C$7)</f>
        <v>65.893799999999999</v>
      </c>
    </row>
    <row r="406" spans="1:50" x14ac:dyDescent="0.25">
      <c r="A406" s="109" t="s">
        <v>316</v>
      </c>
      <c r="B406" s="101" t="s">
        <v>532</v>
      </c>
      <c r="C406" s="102">
        <v>804</v>
      </c>
      <c r="D406" s="82" t="s">
        <v>675</v>
      </c>
      <c r="E406" s="82" t="s">
        <v>306</v>
      </c>
      <c r="F406" s="82" t="s">
        <v>663</v>
      </c>
      <c r="G406" s="82" t="s">
        <v>678</v>
      </c>
      <c r="H406" s="33">
        <f>VLOOKUP(lmic_raw_ub[[#This Row],[setting]],lmic_raw[],8,FALSE)</f>
        <v>43993643</v>
      </c>
      <c r="I406" s="33">
        <f>VLOOKUP(lmic_raw_ub[[#This Row],[setting]],lmic_raw[],9,FALSE)</f>
        <v>422602.93465799995</v>
      </c>
      <c r="J406" s="84">
        <f>MIN(VLOOKUP($A406,lmic_raw[],10,FALSE)*(1+interactive!$C$7),0.9999)</f>
        <v>0.99990000000000001</v>
      </c>
      <c r="K406" s="84">
        <f>MIN(VLOOKUP($A406,lmic_raw[],11,FALSE)*(1+interactive!$C$7),0.9999)</f>
        <v>0.63</v>
      </c>
      <c r="L406" s="33">
        <f>MIN(VLOOKUP($A406,lmic_raw[],12,FALSE)*(1+interactive!$C$7),0.9999)</f>
        <v>0.79800000000000004</v>
      </c>
      <c r="M406" s="84">
        <f>IFERROR(VLOOKUP(lmic_raw_ub[[#This Row],[iso3]], hbv_prev[[iso3]:[ub]],4,FALSE)/100,0)</f>
        <v>1.6799999999999999E-2</v>
      </c>
      <c r="N406" s="84">
        <f>IFERROR(VLOOKUP(lmic_raw_ub[[#This Row],[setting]],hbe_prev[],5,FALSE),0)</f>
        <v>0.42969999999999997</v>
      </c>
      <c r="O406" s="84">
        <f>VLOOKUP(lmic_raw_ub[[#This Row],[gbd_super]],hbe_risk[],4,FALSE)</f>
        <v>0.9</v>
      </c>
      <c r="P406" s="84">
        <f>VLOOKUP(lmic_raw_ub[[#This Row],[gbd_super]],hbe_risk[],7,FALSE)</f>
        <v>0.3</v>
      </c>
      <c r="Q406" s="98">
        <f>VLOOKUP(lmic_raw_ub[[#This Row],[setting]],lmic_raw[],17,FALSE)*(1+interactive!$C$7)</f>
        <v>6.6296282620558982</v>
      </c>
      <c r="R406" s="98">
        <f>VLOOKUP(lmic_raw_ub[[#This Row],[setting]],lmic_raw[],18,FALSE)*(1+interactive!$C$7)</f>
        <v>46.76427000000001</v>
      </c>
      <c r="S406" s="98">
        <f>VLOOKUP(lmic_raw_ub[[#This Row],[setting]],lmic_raw[],19,FALSE)*(1+interactive!$C$7)</f>
        <v>96.893370000000019</v>
      </c>
      <c r="T406" s="98">
        <f>VLOOKUP(lmic_raw_ub[[#This Row],[setting]],lmic_raw[],20,FALSE)*(1+interactive!$C$7)</f>
        <v>96.893370000000019</v>
      </c>
      <c r="U406" s="98">
        <f>VLOOKUP(lmic_raw_ub[[#This Row],[setting]],lmic_raw[],21,FALSE)*(1+interactive!$C$7)</f>
        <v>96.893370000000019</v>
      </c>
      <c r="V406" s="33">
        <f>IFERROR(VLOOKUP(lmic_raw_ub[[#This Row],[setting]],vcost_ub[],3,FALSE),0)</f>
        <v>3.3355459961433342</v>
      </c>
      <c r="W406" s="33">
        <f>IFERROR(VLOOKUP(lmic_raw_ub[[#This Row],[setting]],vcost_ub[],4,FALSE),0)</f>
        <v>7.6045309961433354</v>
      </c>
      <c r="X406" s="33">
        <f>IFERROR(VLOOKUP(lmic_raw_ub[[#This Row],[setting]],vcost_ub[],5,FALSE),0)</f>
        <v>2.8109822671387241</v>
      </c>
      <c r="Y406" s="33">
        <f>IFERROR(VLOOKUP(lmic_raw_ub[[#This Row],[setting]],vcost_ub[],6,FALSE),0)</f>
        <v>7.0799672671387253</v>
      </c>
      <c r="Z406" s="33">
        <f>IFERROR(VLOOKUP(lmic_raw_ub[[#This Row],[setting]],vcost_ub[],7,FALSE),0)</f>
        <v>7.0564889356466294</v>
      </c>
      <c r="AA406" s="33">
        <f>IFERROR(VLOOKUP(lmic_raw_ub[[#This Row],[setting]],vcost_ub[],8,FALSE),0)</f>
        <v>3.6106931892482086</v>
      </c>
      <c r="AB406" s="33">
        <f>IFERROR(VLOOKUP(lmic_raw_ub[[#This Row],[setting]],vcost_ub[],9,FALSE),0)</f>
        <v>7.8796781892482093</v>
      </c>
      <c r="AC406" s="84">
        <f>VLOOKUP($A406,lmic_raw[],29,FALSE)*(1+interactive!$C$7)</f>
        <v>7.5587609999999772E-3</v>
      </c>
      <c r="AD406" s="84">
        <f>VLOOKUP($A406,lmic_raw[],30,FALSE)*(1+interactive!$C$7)</f>
        <v>3.6335900608016778E-4</v>
      </c>
      <c r="AE406" s="84">
        <f>VLOOKUP($A406,lmic_raw[],31,FALSE)*(1+interactive!$C$7)</f>
        <v>2.1406751795683416E-4</v>
      </c>
      <c r="AF406" s="84">
        <f>VLOOKUP($A406,lmic_raw[],32,FALSE)*(1+interactive!$C$7)</f>
        <v>2.6244691512495612E-4</v>
      </c>
      <c r="AG406" s="84">
        <f>VLOOKUP($A406,lmic_raw[],33,FALSE)*(1+interactive!$C$7)</f>
        <v>5.1894394148387947E-4</v>
      </c>
      <c r="AH406" s="84">
        <f>VLOOKUP($A406,lmic_raw[],34,FALSE)*(1+interactive!$C$7)</f>
        <v>9.5950317314462158E-4</v>
      </c>
      <c r="AI406" s="84">
        <f>VLOOKUP($A406,lmic_raw[],35,FALSE)*(1+interactive!$C$7)</f>
        <v>1.5578740995004551E-3</v>
      </c>
      <c r="AJ406" s="84">
        <f>VLOOKUP($A406,lmic_raw[],36,FALSE)*(1+interactive!$C$7)</f>
        <v>2.6644268412017525E-3</v>
      </c>
      <c r="AK406" s="84">
        <f>VLOOKUP($A406,lmic_raw[],37,FALSE)*(1+interactive!$C$7)</f>
        <v>3.6989977490243593E-3</v>
      </c>
      <c r="AL406" s="84">
        <f>VLOOKUP($A406,lmic_raw[],38,FALSE)*(1+interactive!$C$7)</f>
        <v>4.765431005740276E-3</v>
      </c>
      <c r="AM406" s="84">
        <f>VLOOKUP($A406,lmic_raw[],39,FALSE)*(1+interactive!$C$7)</f>
        <v>6.4904069111972572E-3</v>
      </c>
      <c r="AN406" s="84">
        <f>VLOOKUP($A406,lmic_raw[],40,FALSE)*(1+interactive!$C$7)</f>
        <v>9.172542854913859E-3</v>
      </c>
      <c r="AO406" s="84">
        <f>VLOOKUP($A406,lmic_raw[],41,FALSE)*(1+interactive!$C$7)</f>
        <v>1.325507340314265E-2</v>
      </c>
      <c r="AP406" s="84">
        <f>VLOOKUP($A406,lmic_raw[],42,FALSE)*(1+interactive!$C$7)</f>
        <v>1.9293725577545148E-2</v>
      </c>
      <c r="AQ406" s="84">
        <f>VLOOKUP($A406,lmic_raw[],43,FALSE)*(1+interactive!$C$7)</f>
        <v>2.6331248262213926E-2</v>
      </c>
      <c r="AR406" s="84">
        <f>VLOOKUP($A406,lmic_raw[],44,FALSE)*(1+interactive!$C$7)</f>
        <v>4.0520347863023984E-2</v>
      </c>
      <c r="AS406" s="84">
        <f>VLOOKUP($A406,lmic_raw[],45,FALSE)*(1+interactive!$C$7)</f>
        <v>6.1354030649551729E-2</v>
      </c>
      <c r="AT406" s="84">
        <f>VLOOKUP($A406,lmic_raw[],46,FALSE)*(1+interactive!$C$7)</f>
        <v>8.9315477966005627E-2</v>
      </c>
      <c r="AU406" s="84">
        <f>VLOOKUP($A406,lmic_raw[],47,FALSE)*(1+interactive!$C$7)</f>
        <v>0.12288145145009466</v>
      </c>
      <c r="AV406" s="84">
        <f>VLOOKUP($A406,lmic_raw[],48,FALSE)*(1+interactive!$C$7)</f>
        <v>0.15710091034937113</v>
      </c>
      <c r="AW406" s="84">
        <f>VLOOKUP($A406,lmic_raw[],49,FALSE)*(1+interactive!$C$7)</f>
        <v>0.18230986599273061</v>
      </c>
      <c r="AX406" s="84">
        <f>VLOOKUP($A406,lmic_raw[],50,FALSE)*(1+interactive!$C$7)</f>
        <v>75.409950000000009</v>
      </c>
    </row>
    <row r="407" spans="1:50" x14ac:dyDescent="0.25">
      <c r="A407" s="110" t="s">
        <v>189</v>
      </c>
      <c r="B407" s="104" t="s">
        <v>536</v>
      </c>
      <c r="C407" s="105">
        <v>860</v>
      </c>
      <c r="D407" s="84" t="s">
        <v>675</v>
      </c>
      <c r="E407" s="84" t="s">
        <v>184</v>
      </c>
      <c r="F407" s="84" t="s">
        <v>663</v>
      </c>
      <c r="G407" s="84" t="s">
        <v>678</v>
      </c>
      <c r="H407" s="33">
        <f>VLOOKUP(lmic_raw_ub[[#This Row],[setting]],lmic_raw[],8,FALSE)</f>
        <v>32981714.999999996</v>
      </c>
      <c r="I407" s="33">
        <f>VLOOKUP(lmic_raw_ub[[#This Row],[setting]],lmic_raw[],9,FALSE)</f>
        <v>719694.00301500002</v>
      </c>
      <c r="J407" s="84">
        <f>MIN(VLOOKUP($A407,lmic_raw[],10,FALSE)*(1+interactive!$C$7),0.9999)</f>
        <v>0.99990000000000001</v>
      </c>
      <c r="K407" s="84">
        <f>MIN(VLOOKUP($A407,lmic_raw[],11,FALSE)*(1+interactive!$C$7),0.9999)</f>
        <v>0.99990000000000001</v>
      </c>
      <c r="L407" s="33">
        <f>MIN(VLOOKUP($A407,lmic_raw[],12,FALSE)*(1+interactive!$C$7),0.9999)</f>
        <v>0.99990000000000001</v>
      </c>
      <c r="M407" s="84">
        <f>IFERROR(VLOOKUP(lmic_raw_ub[[#This Row],[iso3]], hbv_prev[[iso3]:[ub]],4,FALSE)/100,0)</f>
        <v>6.4100000000000004E-2</v>
      </c>
      <c r="N407" s="84">
        <f>IFERROR(VLOOKUP(lmic_raw_ub[[#This Row],[setting]],hbe_prev[],5,FALSE),0)</f>
        <v>0.43079999999999996</v>
      </c>
      <c r="O407" s="84">
        <f>VLOOKUP(lmic_raw_ub[[#This Row],[gbd_super]],hbe_risk[],4,FALSE)</f>
        <v>0.9</v>
      </c>
      <c r="P407" s="84">
        <f>VLOOKUP(lmic_raw_ub[[#This Row],[gbd_super]],hbe_risk[],7,FALSE)</f>
        <v>0.3</v>
      </c>
      <c r="Q407" s="98">
        <f>VLOOKUP(lmic_raw_ub[[#This Row],[setting]],lmic_raw[],17,FALSE)*(1+interactive!$C$7)</f>
        <v>4.037427707609897</v>
      </c>
      <c r="R407" s="98">
        <f>VLOOKUP(lmic_raw_ub[[#This Row],[setting]],lmic_raw[],18,FALSE)*(1+interactive!$C$7)</f>
        <v>46.76427000000001</v>
      </c>
      <c r="S407" s="98">
        <f>VLOOKUP(lmic_raw_ub[[#This Row],[setting]],lmic_raw[],19,FALSE)*(1+interactive!$C$7)</f>
        <v>96.893370000000019</v>
      </c>
      <c r="T407" s="98">
        <f>VLOOKUP(lmic_raw_ub[[#This Row],[setting]],lmic_raw[],20,FALSE)*(1+interactive!$C$7)</f>
        <v>96.893370000000019</v>
      </c>
      <c r="U407" s="98">
        <f>VLOOKUP(lmic_raw_ub[[#This Row],[setting]],lmic_raw[],21,FALSE)*(1+interactive!$C$7)</f>
        <v>96.893370000000019</v>
      </c>
      <c r="V407" s="33">
        <f>IFERROR(VLOOKUP(lmic_raw_ub[[#This Row],[setting]],vcost_ub[],3,FALSE),0)</f>
        <v>6.6436328332326262</v>
      </c>
      <c r="W407" s="33">
        <f>IFERROR(VLOOKUP(lmic_raw_ub[[#This Row],[setting]],vcost_ub[],4,FALSE),0)</f>
        <v>10.912617833232627</v>
      </c>
      <c r="X407" s="33">
        <f>IFERROR(VLOOKUP(lmic_raw_ub[[#This Row],[setting]],vcost_ub[],5,FALSE),0)</f>
        <v>6.1413920947361298</v>
      </c>
      <c r="Y407" s="33">
        <f>IFERROR(VLOOKUP(lmic_raw_ub[[#This Row],[setting]],vcost_ub[],6,FALSE),0)</f>
        <v>10.41037709473613</v>
      </c>
      <c r="Z407" s="33">
        <f>IFERROR(VLOOKUP(lmic_raw_ub[[#This Row],[setting]],vcost_ub[],7,FALSE),0)</f>
        <v>10.39996160099566</v>
      </c>
      <c r="AA407" s="33">
        <f>IFERROR(VLOOKUP(lmic_raw_ub[[#This Row],[setting]],vcost_ub[],8,FALSE),0)</f>
        <v>6.9137128444430198</v>
      </c>
      <c r="AB407" s="33">
        <f>IFERROR(VLOOKUP(lmic_raw_ub[[#This Row],[setting]],vcost_ub[],9,FALSE),0)</f>
        <v>11.18269784444302</v>
      </c>
      <c r="AC407" s="84">
        <f>VLOOKUP($A407,lmic_raw[],29,FALSE)*(1+interactive!$C$7)</f>
        <v>2.1877243500000063E-2</v>
      </c>
      <c r="AD407" s="84">
        <f>VLOOKUP($A407,lmic_raw[],30,FALSE)*(1+interactive!$C$7)</f>
        <v>1.28330207692468E-3</v>
      </c>
      <c r="AE407" s="84">
        <f>VLOOKUP($A407,lmic_raw[],31,FALSE)*(1+interactive!$C$7)</f>
        <v>3.0197891860448415E-4</v>
      </c>
      <c r="AF407" s="84">
        <f>VLOOKUP($A407,lmic_raw[],32,FALSE)*(1+interactive!$C$7)</f>
        <v>3.2178260179301625E-4</v>
      </c>
      <c r="AG407" s="84">
        <f>VLOOKUP($A407,lmic_raw[],33,FALSE)*(1+interactive!$C$7)</f>
        <v>5.2969854683792249E-4</v>
      </c>
      <c r="AH407" s="84">
        <f>VLOOKUP($A407,lmic_raw[],34,FALSE)*(1+interactive!$C$7)</f>
        <v>7.6069254579039138E-4</v>
      </c>
      <c r="AI407" s="84">
        <f>VLOOKUP($A407,lmic_raw[],35,FALSE)*(1+interactive!$C$7)</f>
        <v>1.0221635391192995E-3</v>
      </c>
      <c r="AJ407" s="84">
        <f>VLOOKUP($A407,lmic_raw[],36,FALSE)*(1+interactive!$C$7)</f>
        <v>1.3858585802657547E-3</v>
      </c>
      <c r="AK407" s="84">
        <f>VLOOKUP($A407,lmic_raw[],37,FALSE)*(1+interactive!$C$7)</f>
        <v>1.9324163783443747E-3</v>
      </c>
      <c r="AL407" s="84">
        <f>VLOOKUP($A407,lmic_raw[],38,FALSE)*(1+interactive!$C$7)</f>
        <v>2.6980597765028191E-3</v>
      </c>
      <c r="AM407" s="84">
        <f>VLOOKUP($A407,lmic_raw[],39,FALSE)*(1+interactive!$C$7)</f>
        <v>4.0914534639068662E-3</v>
      </c>
      <c r="AN407" s="84">
        <f>VLOOKUP($A407,lmic_raw[],40,FALSE)*(1+interactive!$C$7)</f>
        <v>6.5741174044034586E-3</v>
      </c>
      <c r="AO407" s="84">
        <f>VLOOKUP($A407,lmic_raw[],41,FALSE)*(1+interactive!$C$7)</f>
        <v>1.1123220787460213E-2</v>
      </c>
      <c r="AP407" s="84">
        <f>VLOOKUP($A407,lmic_raw[],42,FALSE)*(1+interactive!$C$7)</f>
        <v>1.9069401525738834E-2</v>
      </c>
      <c r="AQ407" s="84">
        <f>VLOOKUP($A407,lmic_raw[],43,FALSE)*(1+interactive!$C$7)</f>
        <v>3.0046045635621597E-2</v>
      </c>
      <c r="AR407" s="84">
        <f>VLOOKUP($A407,lmic_raw[],44,FALSE)*(1+interactive!$C$7)</f>
        <v>4.6505185180203502E-2</v>
      </c>
      <c r="AS407" s="84">
        <f>VLOOKUP($A407,lmic_raw[],45,FALSE)*(1+interactive!$C$7)</f>
        <v>7.0284678775031403E-2</v>
      </c>
      <c r="AT407" s="84">
        <f>VLOOKUP($A407,lmic_raw[],46,FALSE)*(1+interactive!$C$7)</f>
        <v>0.10010965571174806</v>
      </c>
      <c r="AU407" s="84">
        <f>VLOOKUP($A407,lmic_raw[],47,FALSE)*(1+interactive!$C$7)</f>
        <v>0.13197893335385955</v>
      </c>
      <c r="AV407" s="84">
        <f>VLOOKUP($A407,lmic_raw[],48,FALSE)*(1+interactive!$C$7)</f>
        <v>0.16132483842943279</v>
      </c>
      <c r="AW407" s="84">
        <f>VLOOKUP($A407,lmic_raw[],49,FALSE)*(1+interactive!$C$7)</f>
        <v>0.18231767526799114</v>
      </c>
      <c r="AX407" s="84">
        <f>VLOOKUP($A407,lmic_raw[],50,FALSE)*(1+interactive!$C$7)</f>
        <v>75.108599999999996</v>
      </c>
    </row>
    <row r="408" spans="1:50" x14ac:dyDescent="0.25">
      <c r="A408" s="109" t="s">
        <v>285</v>
      </c>
      <c r="B408" s="101" t="s">
        <v>537</v>
      </c>
      <c r="C408" s="102">
        <v>548</v>
      </c>
      <c r="D408" s="82" t="s">
        <v>681</v>
      </c>
      <c r="E408" s="82" t="s">
        <v>98</v>
      </c>
      <c r="F408" s="82" t="s">
        <v>666</v>
      </c>
      <c r="G408" s="82" t="s">
        <v>678</v>
      </c>
      <c r="H408" s="33">
        <f>VLOOKUP(lmic_raw_ub[[#This Row],[setting]],lmic_raw[],8,FALSE)</f>
        <v>299882</v>
      </c>
      <c r="I408" s="33">
        <f>VLOOKUP(lmic_raw_ub[[#This Row],[setting]],lmic_raw[],9,FALSE)</f>
        <v>8935.5839539999997</v>
      </c>
      <c r="J408" s="84">
        <f>MIN(VLOOKUP($A408,lmic_raw[],10,FALSE)*(1+interactive!$C$7),0.9999)</f>
        <v>0.92925000000000002</v>
      </c>
      <c r="K408" s="84">
        <f>MIN(VLOOKUP($A408,lmic_raw[],11,FALSE)*(1+interactive!$C$7),0.9999)</f>
        <v>0.86099999999999999</v>
      </c>
      <c r="L408" s="33">
        <f>MIN(VLOOKUP($A408,lmic_raw[],12,FALSE)*(1+interactive!$C$7),0.9999)</f>
        <v>0.94500000000000006</v>
      </c>
      <c r="M408" s="84">
        <f>IFERROR(VLOOKUP(lmic_raw_ub[[#This Row],[iso3]], hbv_prev[[iso3]:[ub]],4,FALSE)/100,0)</f>
        <v>0.16219999999999998</v>
      </c>
      <c r="N408" s="84">
        <f>IFERROR(VLOOKUP(lmic_raw_ub[[#This Row],[setting]],hbe_prev[],5,FALSE),0)</f>
        <v>0.47889999999999999</v>
      </c>
      <c r="O408" s="84">
        <f>VLOOKUP(lmic_raw_ub[[#This Row],[gbd_super]],hbe_risk[],4,FALSE)</f>
        <v>0.9</v>
      </c>
      <c r="P408" s="84">
        <f>VLOOKUP(lmic_raw_ub[[#This Row],[gbd_super]],hbe_risk[],7,FALSE)</f>
        <v>0.3</v>
      </c>
      <c r="Q408" s="98">
        <f>VLOOKUP(lmic_raw_ub[[#This Row],[setting]],lmic_raw[],17,FALSE)*(1+interactive!$C$7)</f>
        <v>10.804566655033835</v>
      </c>
      <c r="R408" s="98">
        <f>VLOOKUP(lmic_raw_ub[[#This Row],[setting]],lmic_raw[],18,FALSE)*(1+interactive!$C$7)</f>
        <v>76.738725000000002</v>
      </c>
      <c r="S408" s="98">
        <f>VLOOKUP(lmic_raw_ub[[#This Row],[setting]],lmic_raw[],19,FALSE)*(1+interactive!$C$7)</f>
        <v>126.867825</v>
      </c>
      <c r="T408" s="98">
        <f>VLOOKUP(lmic_raw_ub[[#This Row],[setting]],lmic_raw[],20,FALSE)*(1+interactive!$C$7)</f>
        <v>126.867825</v>
      </c>
      <c r="U408" s="98">
        <f>VLOOKUP(lmic_raw_ub[[#This Row],[setting]],lmic_raw[],21,FALSE)*(1+interactive!$C$7)</f>
        <v>126.867825</v>
      </c>
      <c r="V408" s="33">
        <f>IFERROR(VLOOKUP(lmic_raw_ub[[#This Row],[setting]],vcost_ub[],3,FALSE),0)</f>
        <v>14.205766576764898</v>
      </c>
      <c r="W408" s="33">
        <f>IFERROR(VLOOKUP(lmic_raw_ub[[#This Row],[setting]],vcost_ub[],4,FALSE),0)</f>
        <v>14.869576576764898</v>
      </c>
      <c r="X408" s="33">
        <f>IFERROR(VLOOKUP(lmic_raw_ub[[#This Row],[setting]],vcost_ub[],5,FALSE),0)</f>
        <v>13.688782311558318</v>
      </c>
      <c r="Y408" s="33">
        <f>IFERROR(VLOOKUP(lmic_raw_ub[[#This Row],[setting]],vcost_ub[],6,FALSE),0)</f>
        <v>14.352592311558318</v>
      </c>
      <c r="Z408" s="33">
        <f>IFERROR(VLOOKUP(lmic_raw_ub[[#This Row],[setting]],vcost_ub[],7,FALSE),0)</f>
        <v>14.334386730521723</v>
      </c>
      <c r="AA408" s="33">
        <f>IFERROR(VLOOKUP(lmic_raw_ub[[#This Row],[setting]],vcost_ub[],8,FALSE),0)</f>
        <v>14.479193278087399</v>
      </c>
      <c r="AB408" s="33">
        <f>IFERROR(VLOOKUP(lmic_raw_ub[[#This Row],[setting]],vcost_ub[],9,FALSE),0)</f>
        <v>15.143003278087399</v>
      </c>
      <c r="AC408" s="84">
        <f>VLOOKUP($A408,lmic_raw[],29,FALSE)*(1+interactive!$C$7)</f>
        <v>2.3483879999999974E-2</v>
      </c>
      <c r="AD408" s="84">
        <f>VLOOKUP($A408,lmic_raw[],30,FALSE)*(1+interactive!$C$7)</f>
        <v>1.1475888890571087E-3</v>
      </c>
      <c r="AE408" s="84">
        <f>VLOOKUP($A408,lmic_raw[],31,FALSE)*(1+interactive!$C$7)</f>
        <v>4.4849142775387147E-4</v>
      </c>
      <c r="AF408" s="84">
        <f>VLOOKUP($A408,lmic_raw[],32,FALSE)*(1+interactive!$C$7)</f>
        <v>3.8132596001019055E-4</v>
      </c>
      <c r="AG408" s="84">
        <f>VLOOKUP($A408,lmic_raw[],33,FALSE)*(1+interactive!$C$7)</f>
        <v>7.6671433227939664E-4</v>
      </c>
      <c r="AH408" s="84">
        <f>VLOOKUP($A408,lmic_raw[],34,FALSE)*(1+interactive!$C$7)</f>
        <v>9.4943228584833551E-4</v>
      </c>
      <c r="AI408" s="84">
        <f>VLOOKUP($A408,lmic_raw[],35,FALSE)*(1+interactive!$C$7)</f>
        <v>9.7632293942751663E-4</v>
      </c>
      <c r="AJ408" s="84">
        <f>VLOOKUP($A408,lmic_raw[],36,FALSE)*(1+interactive!$C$7)</f>
        <v>1.1836406543726545E-3</v>
      </c>
      <c r="AK408" s="84">
        <f>VLOOKUP($A408,lmic_raw[],37,FALSE)*(1+interactive!$C$7)</f>
        <v>1.6503023292688793E-3</v>
      </c>
      <c r="AL408" s="84">
        <f>VLOOKUP($A408,lmic_raw[],38,FALSE)*(1+interactive!$C$7)</f>
        <v>2.4687040006499948E-3</v>
      </c>
      <c r="AM408" s="84">
        <f>VLOOKUP($A408,lmic_raw[],39,FALSE)*(1+interactive!$C$7)</f>
        <v>3.9574648021714317E-3</v>
      </c>
      <c r="AN408" s="84">
        <f>VLOOKUP($A408,lmic_raw[],40,FALSE)*(1+interactive!$C$7)</f>
        <v>6.3713459430822838E-3</v>
      </c>
      <c r="AO408" s="84">
        <f>VLOOKUP($A408,lmic_raw[],41,FALSE)*(1+interactive!$C$7)</f>
        <v>1.0276826410823012E-2</v>
      </c>
      <c r="AP408" s="84">
        <f>VLOOKUP($A408,lmic_raw[],42,FALSE)*(1+interactive!$C$7)</f>
        <v>1.9164326645533449E-2</v>
      </c>
      <c r="AQ408" s="84">
        <f>VLOOKUP($A408,lmic_raw[],43,FALSE)*(1+interactive!$C$7)</f>
        <v>3.4979579308843642E-2</v>
      </c>
      <c r="AR408" s="84">
        <f>VLOOKUP($A408,lmic_raw[],44,FALSE)*(1+interactive!$C$7)</f>
        <v>5.773178336416486E-2</v>
      </c>
      <c r="AS408" s="84">
        <f>VLOOKUP($A408,lmic_raw[],45,FALSE)*(1+interactive!$C$7)</f>
        <v>8.7350338836502478E-2</v>
      </c>
      <c r="AT408" s="84">
        <f>VLOOKUP($A408,lmic_raw[],46,FALSE)*(1+interactive!$C$7)</f>
        <v>0.12286219455095447</v>
      </c>
      <c r="AU408" s="84">
        <f>VLOOKUP($A408,lmic_raw[],47,FALSE)*(1+interactive!$C$7)</f>
        <v>0.1590518823819938</v>
      </c>
      <c r="AV408" s="84">
        <f>VLOOKUP($A408,lmic_raw[],48,FALSE)*(1+interactive!$C$7)</f>
        <v>0.18473558970313991</v>
      </c>
      <c r="AW408" s="84">
        <f>VLOOKUP($A408,lmic_raw[],49,FALSE)*(1+interactive!$C$7)</f>
        <v>0.19741181600978669</v>
      </c>
      <c r="AX408" s="84">
        <f>VLOOKUP($A408,lmic_raw[],50,FALSE)*(1+interactive!$C$7)</f>
        <v>73.759349999999998</v>
      </c>
    </row>
    <row r="409" spans="1:50" x14ac:dyDescent="0.25">
      <c r="A409" s="84" t="s">
        <v>275</v>
      </c>
      <c r="B409" s="104" t="s">
        <v>538</v>
      </c>
      <c r="C409" s="105">
        <v>862</v>
      </c>
      <c r="D409" s="84" t="s">
        <v>679</v>
      </c>
      <c r="E409" s="84" t="s">
        <v>604</v>
      </c>
      <c r="F409" s="84" t="s">
        <v>665</v>
      </c>
      <c r="G409" s="84" t="s">
        <v>676</v>
      </c>
      <c r="H409" s="33">
        <f>VLOOKUP(lmic_raw_ub[[#This Row],[setting]],lmic_raw[],8,FALSE)</f>
        <v>28515829</v>
      </c>
      <c r="I409" s="33">
        <f>VLOOKUP(lmic_raw_ub[[#This Row],[setting]],lmic_raw[],9,FALSE)</f>
        <v>514111.88104100002</v>
      </c>
      <c r="J409" s="84">
        <f>MIN(VLOOKUP($A409,lmic_raw[],10,FALSE)*(1+interactive!$C$7),0.9999)</f>
        <v>0.99990000000000001</v>
      </c>
      <c r="K409" s="84">
        <f>MIN(VLOOKUP($A409,lmic_raw[],11,FALSE)*(1+interactive!$C$7),0.9999)</f>
        <v>0.54600000000000004</v>
      </c>
      <c r="L409" s="33">
        <f>MIN(VLOOKUP($A409,lmic_raw[],12,FALSE)*(1+interactive!$C$7),0.9999)</f>
        <v>0.67200000000000004</v>
      </c>
      <c r="M409" s="84">
        <f>IFERROR(VLOOKUP(lmic_raw_ub[[#This Row],[iso3]], hbv_prev[[iso3]:[ub]],4,FALSE)/100,0)</f>
        <v>3.85E-2</v>
      </c>
      <c r="N409" s="84">
        <f>IFERROR(VLOOKUP(lmic_raw_ub[[#This Row],[setting]],hbe_prev[],5,FALSE),0)</f>
        <v>0.42950000000000005</v>
      </c>
      <c r="O409" s="84">
        <f>VLOOKUP(lmic_raw_ub[[#This Row],[gbd_super]],hbe_risk[],4,FALSE)</f>
        <v>0.9</v>
      </c>
      <c r="P409" s="84">
        <f>VLOOKUP(lmic_raw_ub[[#This Row],[gbd_super]],hbe_risk[],7,FALSE)</f>
        <v>0.3</v>
      </c>
      <c r="Q409" s="98">
        <f>VLOOKUP(lmic_raw_ub[[#This Row],[setting]],lmic_raw[],17,FALSE)*(1+interactive!$C$7)</f>
        <v>19.04228091699925</v>
      </c>
      <c r="R409" s="98">
        <f>VLOOKUP(lmic_raw_ub[[#This Row],[setting]],lmic_raw[],18,FALSE)*(1+interactive!$C$7)</f>
        <v>91.228094999999996</v>
      </c>
      <c r="S409" s="98">
        <f>VLOOKUP(lmic_raw_ub[[#This Row],[setting]],lmic_raw[],19,FALSE)*(1+interactive!$C$7)</f>
        <v>141.35719500000002</v>
      </c>
      <c r="T409" s="98">
        <f>VLOOKUP(lmic_raw_ub[[#This Row],[setting]],lmic_raw[],20,FALSE)*(1+interactive!$C$7)</f>
        <v>141.35719500000002</v>
      </c>
      <c r="U409" s="98">
        <f>VLOOKUP(lmic_raw_ub[[#This Row],[setting]],lmic_raw[],21,FALSE)*(1+interactive!$C$7)</f>
        <v>141.35719500000002</v>
      </c>
      <c r="V409" s="33">
        <f>IFERROR(VLOOKUP(lmic_raw_ub[[#This Row],[setting]],vcost_ub[],3,FALSE),0)</f>
        <v>7.756706143632516</v>
      </c>
      <c r="W409" s="33">
        <f>IFERROR(VLOOKUP(lmic_raw_ub[[#This Row],[setting]],vcost_ub[],4,FALSE),0)</f>
        <v>7.7795961436325163</v>
      </c>
      <c r="X409" s="33">
        <f>IFERROR(VLOOKUP(lmic_raw_ub[[#This Row],[setting]],vcost_ub[],5,FALSE),0)</f>
        <v>7.1709118249840031</v>
      </c>
      <c r="Y409" s="33">
        <f>IFERROR(VLOOKUP(lmic_raw_ub[[#This Row],[setting]],vcost_ub[],6,FALSE),0)</f>
        <v>7.1938018249840034</v>
      </c>
      <c r="Z409" s="33">
        <f>IFERROR(VLOOKUP(lmic_raw_ub[[#This Row],[setting]],vcost_ub[],7,FALSE),0)</f>
        <v>7.1325061656389668</v>
      </c>
      <c r="AA409" s="33">
        <f>IFERROR(VLOOKUP(lmic_raw_ub[[#This Row],[setting]],vcost_ub[],8,FALSE),0)</f>
        <v>8.045752304938766</v>
      </c>
      <c r="AB409" s="33">
        <f>IFERROR(VLOOKUP(lmic_raw_ub[[#This Row],[setting]],vcost_ub[],9,FALSE),0)</f>
        <v>8.0686423049387663</v>
      </c>
      <c r="AC409" s="84">
        <f>VLOOKUP($A409,lmic_raw[],29,FALSE)*(1+interactive!$C$7)</f>
        <v>2.6984989499999959E-2</v>
      </c>
      <c r="AD409" s="84">
        <f>VLOOKUP($A409,lmic_raw[],30,FALSE)*(1+interactive!$C$7)</f>
        <v>1.3883213446749358E-3</v>
      </c>
      <c r="AE409" s="84">
        <f>VLOOKUP($A409,lmic_raw[],31,FALSE)*(1+interactive!$C$7)</f>
        <v>2.5277215659804547E-4</v>
      </c>
      <c r="AF409" s="84">
        <f>VLOOKUP($A409,lmic_raw[],32,FALSE)*(1+interactive!$C$7)</f>
        <v>3.6449616678762257E-4</v>
      </c>
      <c r="AG409" s="84">
        <f>VLOOKUP($A409,lmic_raw[],33,FALSE)*(1+interactive!$C$7)</f>
        <v>1.4893889677768432E-3</v>
      </c>
      <c r="AH409" s="84">
        <f>VLOOKUP($A409,lmic_raw[],34,FALSE)*(1+interactive!$C$7)</f>
        <v>2.3134936536522532E-3</v>
      </c>
      <c r="AI409" s="84">
        <f>VLOOKUP($A409,lmic_raw[],35,FALSE)*(1+interactive!$C$7)</f>
        <v>2.2736846578139511E-3</v>
      </c>
      <c r="AJ409" s="84">
        <f>VLOOKUP($A409,lmic_raw[],36,FALSE)*(1+interactive!$C$7)</f>
        <v>2.2349944572452023E-3</v>
      </c>
      <c r="AK409" s="84">
        <f>VLOOKUP($A409,lmic_raw[],37,FALSE)*(1+interactive!$C$7)</f>
        <v>2.2015242130621181E-3</v>
      </c>
      <c r="AL409" s="84">
        <f>VLOOKUP($A409,lmic_raw[],38,FALSE)*(1+interactive!$C$7)</f>
        <v>2.7814923091249743E-3</v>
      </c>
      <c r="AM409" s="84">
        <f>VLOOKUP($A409,lmic_raw[],39,FALSE)*(1+interactive!$C$7)</f>
        <v>4.139106126120254E-3</v>
      </c>
      <c r="AN409" s="84">
        <f>VLOOKUP($A409,lmic_raw[],40,FALSE)*(1+interactive!$C$7)</f>
        <v>6.6394174321236926E-3</v>
      </c>
      <c r="AO409" s="84">
        <f>VLOOKUP($A409,lmic_raw[],41,FALSE)*(1+interactive!$C$7)</f>
        <v>1.0052942165228285E-2</v>
      </c>
      <c r="AP409" s="84">
        <f>VLOOKUP($A409,lmic_raw[],42,FALSE)*(1+interactive!$C$7)</f>
        <v>1.5652901168800082E-2</v>
      </c>
      <c r="AQ409" s="84">
        <f>VLOOKUP($A409,lmic_raw[],43,FALSE)*(1+interactive!$C$7)</f>
        <v>2.5841211753761834E-2</v>
      </c>
      <c r="AR409" s="84">
        <f>VLOOKUP($A409,lmic_raw[],44,FALSE)*(1+interactive!$C$7)</f>
        <v>3.8230438413946848E-2</v>
      </c>
      <c r="AS409" s="84">
        <f>VLOOKUP($A409,lmic_raw[],45,FALSE)*(1+interactive!$C$7)</f>
        <v>5.482934204375603E-2</v>
      </c>
      <c r="AT409" s="84">
        <f>VLOOKUP($A409,lmic_raw[],46,FALSE)*(1+interactive!$C$7)</f>
        <v>6.9253792457248289E-2</v>
      </c>
      <c r="AU409" s="84">
        <f>VLOOKUP($A409,lmic_raw[],47,FALSE)*(1+interactive!$C$7)</f>
        <v>9.7030815266185511E-2</v>
      </c>
      <c r="AV409" s="84">
        <f>VLOOKUP($A409,lmic_raw[],48,FALSE)*(1+interactive!$C$7)</f>
        <v>0.11907144081338644</v>
      </c>
      <c r="AW409" s="84">
        <f>VLOOKUP($A409,lmic_raw[],49,FALSE)*(1+interactive!$C$7)</f>
        <v>0.15244534008934382</v>
      </c>
      <c r="AX409" s="84">
        <f>VLOOKUP($A409,lmic_raw[],50,FALSE)*(1+interactive!$C$7)</f>
        <v>75.732300000000009</v>
      </c>
    </row>
    <row r="410" spans="1:50" x14ac:dyDescent="0.25">
      <c r="A410" s="109" t="s">
        <v>221</v>
      </c>
      <c r="B410" s="101" t="s">
        <v>539</v>
      </c>
      <c r="C410" s="102">
        <v>704</v>
      </c>
      <c r="D410" s="82" t="s">
        <v>681</v>
      </c>
      <c r="E410" s="82" t="s">
        <v>598</v>
      </c>
      <c r="F410" s="82" t="s">
        <v>666</v>
      </c>
      <c r="G410" s="82" t="s">
        <v>678</v>
      </c>
      <c r="H410" s="33">
        <f>VLOOKUP(lmic_raw_ub[[#This Row],[setting]],lmic_raw[],8,FALSE)</f>
        <v>96462108</v>
      </c>
      <c r="I410" s="33">
        <f>VLOOKUP(lmic_raw_ub[[#This Row],[setting]],lmic_raw[],9,FALSE)</f>
        <v>1634550.4200599999</v>
      </c>
      <c r="J410" s="84">
        <f>MIN(VLOOKUP($A410,lmic_raw[],10,FALSE)*(1+interactive!$C$7),0.9999)</f>
        <v>0.98280000000000001</v>
      </c>
      <c r="K410" s="84">
        <f>MIN(VLOOKUP($A410,lmic_raw[],11,FALSE)*(1+interactive!$C$7),0.9999)</f>
        <v>0.82950000000000013</v>
      </c>
      <c r="L410" s="33">
        <f>MIN(VLOOKUP($A410,lmic_raw[],12,FALSE)*(1+interactive!$C$7),0.9999)</f>
        <v>0.93450000000000011</v>
      </c>
      <c r="M410" s="84">
        <f>IFERROR(VLOOKUP(lmic_raw_ub[[#This Row],[iso3]], hbv_prev[[iso3]:[ub]],4,FALSE)/100,0)</f>
        <v>7.8399999999999997E-2</v>
      </c>
      <c r="N410" s="84">
        <f>IFERROR(VLOOKUP(lmic_raw_ub[[#This Row],[setting]],hbe_prev[],5,FALSE),0)</f>
        <v>0.47729999999999995</v>
      </c>
      <c r="O410" s="84">
        <f>VLOOKUP(lmic_raw_ub[[#This Row],[gbd_super]],hbe_risk[],4,FALSE)</f>
        <v>0.9</v>
      </c>
      <c r="P410" s="84">
        <f>VLOOKUP(lmic_raw_ub[[#This Row],[gbd_super]],hbe_risk[],7,FALSE)</f>
        <v>0.3</v>
      </c>
      <c r="Q410" s="98">
        <f>VLOOKUP(lmic_raw_ub[[#This Row],[setting]],lmic_raw[],17,FALSE)*(1+interactive!$C$7)</f>
        <v>3.8131026596289934</v>
      </c>
      <c r="R410" s="98">
        <f>VLOOKUP(lmic_raw_ub[[#This Row],[setting]],lmic_raw[],18,FALSE)*(1+interactive!$C$7)</f>
        <v>76.738725000000002</v>
      </c>
      <c r="S410" s="98">
        <f>VLOOKUP(lmic_raw_ub[[#This Row],[setting]],lmic_raw[],19,FALSE)*(1+interactive!$C$7)</f>
        <v>126.867825</v>
      </c>
      <c r="T410" s="98">
        <f>VLOOKUP(lmic_raw_ub[[#This Row],[setting]],lmic_raw[],20,FALSE)*(1+interactive!$C$7)</f>
        <v>126.867825</v>
      </c>
      <c r="U410" s="98">
        <f>VLOOKUP(lmic_raw_ub[[#This Row],[setting]],lmic_raw[],21,FALSE)*(1+interactive!$C$7)</f>
        <v>126.867825</v>
      </c>
      <c r="V410" s="33">
        <f>IFERROR(VLOOKUP(lmic_raw_ub[[#This Row],[setting]],vcost_ub[],3,FALSE),0)</f>
        <v>3.7658081658335361</v>
      </c>
      <c r="W410" s="33">
        <f>IFERROR(VLOOKUP(lmic_raw_ub[[#This Row],[setting]],vcost_ub[],4,FALSE),0)</f>
        <v>4.4296181658335358</v>
      </c>
      <c r="X410" s="33">
        <f>IFERROR(VLOOKUP(lmic_raw_ub[[#This Row],[setting]],vcost_ub[],5,FALSE),0)</f>
        <v>3.2515443441030225</v>
      </c>
      <c r="Y410" s="33">
        <f>IFERROR(VLOOKUP(lmic_raw_ub[[#This Row],[setting]],vcost_ub[],6,FALSE),0)</f>
        <v>3.9153543441030223</v>
      </c>
      <c r="Z410" s="33">
        <f>IFERROR(VLOOKUP(lmic_raw_ub[[#This Row],[setting]],vcost_ub[],7,FALSE),0)</f>
        <v>3.8975231558252386</v>
      </c>
      <c r="AA410" s="33">
        <f>IFERROR(VLOOKUP(lmic_raw_ub[[#This Row],[setting]],vcost_ub[],8,FALSE),0)</f>
        <v>4.0386173431768055</v>
      </c>
      <c r="AB410" s="33">
        <f>IFERROR(VLOOKUP(lmic_raw_ub[[#This Row],[setting]],vcost_ub[],9,FALSE),0)</f>
        <v>4.7024273431768053</v>
      </c>
      <c r="AC410" s="84">
        <f>VLOOKUP($A410,lmic_raw[],29,FALSE)*(1+interactive!$C$7)</f>
        <v>1.7555989499999963E-2</v>
      </c>
      <c r="AD410" s="84">
        <f>VLOOKUP($A410,lmic_raw[],30,FALSE)*(1+interactive!$C$7)</f>
        <v>1.1277077625121204E-3</v>
      </c>
      <c r="AE410" s="84">
        <f>VLOOKUP($A410,lmic_raw[],31,FALSE)*(1+interactive!$C$7)</f>
        <v>5.4585304999110241E-4</v>
      </c>
      <c r="AF410" s="84">
        <f>VLOOKUP($A410,lmic_raw[],32,FALSE)*(1+interactive!$C$7)</f>
        <v>4.874698025659766E-4</v>
      </c>
      <c r="AG410" s="84">
        <f>VLOOKUP($A410,lmic_raw[],33,FALSE)*(1+interactive!$C$7)</f>
        <v>7.8444655646340124E-4</v>
      </c>
      <c r="AH410" s="84">
        <f>VLOOKUP($A410,lmic_raw[],34,FALSE)*(1+interactive!$C$7)</f>
        <v>1.1497257576290603E-3</v>
      </c>
      <c r="AI410" s="84">
        <f>VLOOKUP($A410,lmic_raw[],35,FALSE)*(1+interactive!$C$7)</f>
        <v>1.4152865966354953E-3</v>
      </c>
      <c r="AJ410" s="84">
        <f>VLOOKUP($A410,lmic_raw[],36,FALSE)*(1+interactive!$C$7)</f>
        <v>1.6527697619942089E-3</v>
      </c>
      <c r="AK410" s="84">
        <f>VLOOKUP($A410,lmic_raw[],37,FALSE)*(1+interactive!$C$7)</f>
        <v>2.0442492352793079E-3</v>
      </c>
      <c r="AL410" s="84">
        <f>VLOOKUP($A410,lmic_raw[],38,FALSE)*(1+interactive!$C$7)</f>
        <v>2.8838862470943459E-3</v>
      </c>
      <c r="AM410" s="84">
        <f>VLOOKUP($A410,lmic_raw[],39,FALSE)*(1+interactive!$C$7)</f>
        <v>4.039019072107704E-3</v>
      </c>
      <c r="AN410" s="84">
        <f>VLOOKUP($A410,lmic_raw[],40,FALSE)*(1+interactive!$C$7)</f>
        <v>6.401463328232701E-3</v>
      </c>
      <c r="AO410" s="84">
        <f>VLOOKUP($A410,lmic_raw[],41,FALSE)*(1+interactive!$C$7)</f>
        <v>9.5479030414599396E-3</v>
      </c>
      <c r="AP410" s="84">
        <f>VLOOKUP($A410,lmic_raw[],42,FALSE)*(1+interactive!$C$7)</f>
        <v>1.2988579382568506E-2</v>
      </c>
      <c r="AQ410" s="84">
        <f>VLOOKUP($A410,lmic_raw[],43,FALSE)*(1+interactive!$C$7)</f>
        <v>2.0649897284755848E-2</v>
      </c>
      <c r="AR410" s="84">
        <f>VLOOKUP($A410,lmic_raw[],44,FALSE)*(1+interactive!$C$7)</f>
        <v>3.0001753421643147E-2</v>
      </c>
      <c r="AS410" s="84">
        <f>VLOOKUP($A410,lmic_raw[],45,FALSE)*(1+interactive!$C$7)</f>
        <v>4.3426064325704075E-2</v>
      </c>
      <c r="AT410" s="84">
        <f>VLOOKUP($A410,lmic_raw[],46,FALSE)*(1+interactive!$C$7)</f>
        <v>6.1747027140450224E-2</v>
      </c>
      <c r="AU410" s="84">
        <f>VLOOKUP($A410,lmic_raw[],47,FALSE)*(1+interactive!$C$7)</f>
        <v>8.5324750023104093E-2</v>
      </c>
      <c r="AV410" s="84">
        <f>VLOOKUP($A410,lmic_raw[],48,FALSE)*(1+interactive!$C$7)</f>
        <v>0.11290104873381888</v>
      </c>
      <c r="AW410" s="84">
        <f>VLOOKUP($A410,lmic_raw[],49,FALSE)*(1+interactive!$C$7)</f>
        <v>0.14169286492612571</v>
      </c>
      <c r="AX410" s="84">
        <f>VLOOKUP($A410,lmic_raw[],50,FALSE)*(1+interactive!$C$7)</f>
        <v>79.037700000000001</v>
      </c>
    </row>
    <row r="411" spans="1:50" x14ac:dyDescent="0.25">
      <c r="A411" s="110" t="s">
        <v>182</v>
      </c>
      <c r="B411" s="104" t="s">
        <v>540</v>
      </c>
      <c r="C411" s="105">
        <v>887</v>
      </c>
      <c r="D411" s="84" t="s">
        <v>673</v>
      </c>
      <c r="E411" s="84" t="s">
        <v>579</v>
      </c>
      <c r="F411" s="84" t="s">
        <v>579</v>
      </c>
      <c r="G411" s="84" t="s">
        <v>674</v>
      </c>
      <c r="H411" s="33">
        <f>VLOOKUP(lmic_raw_ub[[#This Row],[setting]],lmic_raw[],8,FALSE)</f>
        <v>29161922</v>
      </c>
      <c r="I411" s="33">
        <f>VLOOKUP(lmic_raw_ub[[#This Row],[setting]],lmic_raw[],9,FALSE)</f>
        <v>895475.13885400002</v>
      </c>
      <c r="J411" s="84">
        <f>MIN(VLOOKUP($A411,lmic_raw[],10,FALSE)*(1+interactive!$C$7),0.9999)</f>
        <v>0.31290000000000001</v>
      </c>
      <c r="K411" s="84">
        <f>MIN(VLOOKUP($A411,lmic_raw[],11,FALSE)*(1+interactive!$C$7),0.9999)</f>
        <v>0</v>
      </c>
      <c r="L411" s="33">
        <f>MIN(VLOOKUP($A411,lmic_raw[],12,FALSE)*(1+interactive!$C$7),0.9999)</f>
        <v>0.76649999999999996</v>
      </c>
      <c r="M411" s="84">
        <f>IFERROR(VLOOKUP(lmic_raw_ub[[#This Row],[iso3]], hbv_prev[[iso3]:[ub]],4,FALSE)/100,0)</f>
        <v>6.2300000000000001E-2</v>
      </c>
      <c r="N411" s="84">
        <f>IFERROR(VLOOKUP(lmic_raw_ub[[#This Row],[setting]],hbe_prev[],5,FALSE),0)</f>
        <v>0.37619999999999998</v>
      </c>
      <c r="O411" s="84">
        <f>VLOOKUP(lmic_raw_ub[[#This Row],[gbd_super]],hbe_risk[],4,FALSE)</f>
        <v>0.9</v>
      </c>
      <c r="P411" s="84">
        <f>VLOOKUP(lmic_raw_ub[[#This Row],[gbd_super]],hbe_risk[],7,FALSE)</f>
        <v>0.3</v>
      </c>
      <c r="Q411" s="98">
        <f>VLOOKUP(lmic_raw_ub[[#This Row],[setting]],lmic_raw[],17,FALSE)*(1+interactive!$C$7)</f>
        <v>4.6107028302277628</v>
      </c>
      <c r="R411" s="98">
        <f>VLOOKUP(lmic_raw_ub[[#This Row],[setting]],lmic_raw[],18,FALSE)*(1+interactive!$C$7)</f>
        <v>48.652695000000001</v>
      </c>
      <c r="S411" s="98">
        <f>VLOOKUP(lmic_raw_ub[[#This Row],[setting]],lmic_raw[],19,FALSE)*(1+interactive!$C$7)</f>
        <v>98.781795000000017</v>
      </c>
      <c r="T411" s="98">
        <f>VLOOKUP(lmic_raw_ub[[#This Row],[setting]],lmic_raw[],20,FALSE)*(1+interactive!$C$7)</f>
        <v>98.781795000000017</v>
      </c>
      <c r="U411" s="98">
        <f>VLOOKUP(lmic_raw_ub[[#This Row],[setting]],lmic_raw[],21,FALSE)*(1+interactive!$C$7)</f>
        <v>98.781795000000017</v>
      </c>
      <c r="V411" s="33">
        <f>IFERROR(VLOOKUP(lmic_raw_ub[[#This Row],[setting]],vcost_ub[],3,FALSE),0)</f>
        <v>2.9855342583903552</v>
      </c>
      <c r="W411" s="33">
        <f>IFERROR(VLOOKUP(lmic_raw_ub[[#This Row],[setting]],vcost_ub[],4,FALSE),0)</f>
        <v>3.4891142583903552</v>
      </c>
      <c r="X411" s="33">
        <f>IFERROR(VLOOKUP(lmic_raw_ub[[#This Row],[setting]],vcost_ub[],5,FALSE),0)</f>
        <v>2.488636406117799</v>
      </c>
      <c r="Y411" s="33">
        <f>IFERROR(VLOOKUP(lmic_raw_ub[[#This Row],[setting]],vcost_ub[],6,FALSE),0)</f>
        <v>2.9922164061177989</v>
      </c>
      <c r="Z411" s="33">
        <f>IFERROR(VLOOKUP(lmic_raw_ub[[#This Row],[setting]],vcost_ub[],7,FALSE),0)</f>
        <v>2.9844227086800057</v>
      </c>
      <c r="AA411" s="33">
        <f>IFERROR(VLOOKUP(lmic_raw_ub[[#This Row],[setting]],vcost_ub[],8,FALSE),0)</f>
        <v>3.2544014672063586</v>
      </c>
      <c r="AB411" s="33">
        <f>IFERROR(VLOOKUP(lmic_raw_ub[[#This Row],[setting]],vcost_ub[],9,FALSE),0)</f>
        <v>3.7579814672063585</v>
      </c>
      <c r="AC411" s="84">
        <f>VLOOKUP($A411,lmic_raw[],29,FALSE)*(1+interactive!$C$7)</f>
        <v>4.5406010999999975E-2</v>
      </c>
      <c r="AD411" s="84">
        <f>VLOOKUP($A411,lmic_raw[],30,FALSE)*(1+interactive!$C$7)</f>
        <v>3.347256011453192E-3</v>
      </c>
      <c r="AE411" s="84">
        <f>VLOOKUP($A411,lmic_raw[],31,FALSE)*(1+interactive!$C$7)</f>
        <v>1.1292859614539642E-3</v>
      </c>
      <c r="AF411" s="84">
        <f>VLOOKUP($A411,lmic_raw[],32,FALSE)*(1+interactive!$C$7)</f>
        <v>8.7131256840576208E-4</v>
      </c>
      <c r="AG411" s="84">
        <f>VLOOKUP($A411,lmic_raw[],33,FALSE)*(1+interactive!$C$7)</f>
        <v>1.5187187447479047E-3</v>
      </c>
      <c r="AH411" s="84">
        <f>VLOOKUP($A411,lmic_raw[],34,FALSE)*(1+interactive!$C$7)</f>
        <v>1.9811154382844E-3</v>
      </c>
      <c r="AI411" s="84">
        <f>VLOOKUP($A411,lmic_raw[],35,FALSE)*(1+interactive!$C$7)</f>
        <v>2.119861374978028E-3</v>
      </c>
      <c r="AJ411" s="84">
        <f>VLOOKUP($A411,lmic_raw[],36,FALSE)*(1+interactive!$C$7)</f>
        <v>2.4765908595544956E-3</v>
      </c>
      <c r="AK411" s="84">
        <f>VLOOKUP($A411,lmic_raw[],37,FALSE)*(1+interactive!$C$7)</f>
        <v>3.2068201581841658E-3</v>
      </c>
      <c r="AL411" s="84">
        <f>VLOOKUP($A411,lmic_raw[],38,FALSE)*(1+interactive!$C$7)</f>
        <v>4.3638524337208853E-3</v>
      </c>
      <c r="AM411" s="84">
        <f>VLOOKUP($A411,lmic_raw[],39,FALSE)*(1+interactive!$C$7)</f>
        <v>6.2920317160002235E-3</v>
      </c>
      <c r="AN411" s="84">
        <f>VLOOKUP($A411,lmic_raw[],40,FALSE)*(1+interactive!$C$7)</f>
        <v>9.3096492234302861E-3</v>
      </c>
      <c r="AO411" s="84">
        <f>VLOOKUP($A411,lmic_raw[],41,FALSE)*(1+interactive!$C$7)</f>
        <v>1.4017605949179675E-2</v>
      </c>
      <c r="AP411" s="84">
        <f>VLOOKUP($A411,lmic_raw[],42,FALSE)*(1+interactive!$C$7)</f>
        <v>2.1755200098322686E-2</v>
      </c>
      <c r="AQ411" s="84">
        <f>VLOOKUP($A411,lmic_raw[],43,FALSE)*(1+interactive!$C$7)</f>
        <v>3.3528400661258104E-2</v>
      </c>
      <c r="AR411" s="84">
        <f>VLOOKUP($A411,lmic_raw[],44,FALSE)*(1+interactive!$C$7)</f>
        <v>5.1744389067047425E-2</v>
      </c>
      <c r="AS411" s="84">
        <f>VLOOKUP($A411,lmic_raw[],45,FALSE)*(1+interactive!$C$7)</f>
        <v>7.7597925490319297E-2</v>
      </c>
      <c r="AT411" s="84">
        <f>VLOOKUP($A411,lmic_raw[],46,FALSE)*(1+interactive!$C$7)</f>
        <v>0.10891047860095539</v>
      </c>
      <c r="AU411" s="84">
        <f>VLOOKUP($A411,lmic_raw[],47,FALSE)*(1+interactive!$C$7)</f>
        <v>0.13941799403161187</v>
      </c>
      <c r="AV411" s="84">
        <f>VLOOKUP($A411,lmic_raw[],48,FALSE)*(1+interactive!$C$7)</f>
        <v>0.16625819893907501</v>
      </c>
      <c r="AW411" s="84">
        <f>VLOOKUP($A411,lmic_raw[],49,FALSE)*(1+interactive!$C$7)</f>
        <v>0.18606622088570426</v>
      </c>
      <c r="AX411" s="84">
        <f>VLOOKUP($A411,lmic_raw[],50,FALSE)*(1+interactive!$C$7)</f>
        <v>69.334650000000011</v>
      </c>
    </row>
    <row r="412" spans="1:50" x14ac:dyDescent="0.25">
      <c r="A412" s="109" t="s">
        <v>119</v>
      </c>
      <c r="B412" s="101" t="s">
        <v>541</v>
      </c>
      <c r="C412" s="102">
        <v>894</v>
      </c>
      <c r="D412" s="82" t="s">
        <v>677</v>
      </c>
      <c r="E412" s="82" t="s">
        <v>597</v>
      </c>
      <c r="F412" s="82" t="s">
        <v>667</v>
      </c>
      <c r="G412" s="82" t="s">
        <v>678</v>
      </c>
      <c r="H412" s="33">
        <f>VLOOKUP(lmic_raw_ub[[#This Row],[setting]],lmic_raw[],8,FALSE)</f>
        <v>17861034</v>
      </c>
      <c r="I412" s="33">
        <f>VLOOKUP(lmic_raw_ub[[#This Row],[setting]],lmic_raw[],9,FALSE)</f>
        <v>648051.89662200003</v>
      </c>
      <c r="J412" s="84">
        <f>MIN(VLOOKUP($A412,lmic_raw[],10,FALSE)*(1+interactive!$C$7),0.9999)</f>
        <v>0.87990000000000002</v>
      </c>
      <c r="K412" s="84">
        <f>MIN(VLOOKUP($A412,lmic_raw[],11,FALSE)*(1+interactive!$C$7),0.9999)</f>
        <v>0.98699999999999999</v>
      </c>
      <c r="L412" s="33">
        <f>MIN(VLOOKUP($A412,lmic_raw[],12,FALSE)*(1+interactive!$C$7),0.9999)</f>
        <v>0.92400000000000004</v>
      </c>
      <c r="M412" s="84">
        <f>IFERROR(VLOOKUP(lmic_raw_ub[[#This Row],[iso3]], hbv_prev[[iso3]:[ub]],4,FALSE)/100,0)</f>
        <v>5.5E-2</v>
      </c>
      <c r="N412" s="84">
        <f>IFERROR(VLOOKUP(lmic_raw_ub[[#This Row],[setting]],hbe_prev[],5,FALSE),0)</f>
        <v>0.39960000000000001</v>
      </c>
      <c r="O412" s="84">
        <f>VLOOKUP(lmic_raw_ub[[#This Row],[gbd_super]],hbe_risk[],4,FALSE)</f>
        <v>0.74399999999999999</v>
      </c>
      <c r="P412" s="84">
        <f>VLOOKUP(lmic_raw_ub[[#This Row],[gbd_super]],hbe_risk[],7,FALSE)</f>
        <v>0.13300000000000001</v>
      </c>
      <c r="Q412" s="98">
        <f>VLOOKUP(lmic_raw_ub[[#This Row],[setting]],lmic_raw[],17,FALSE)*(1+interactive!$C$7)</f>
        <v>3.4267650769952147</v>
      </c>
      <c r="R412" s="98">
        <f>VLOOKUP(lmic_raw_ub[[#This Row],[setting]],lmic_raw[],18,FALSE)*(1+interactive!$C$7)</f>
        <v>31.416525000000004</v>
      </c>
      <c r="S412" s="98">
        <f>VLOOKUP(lmic_raw_ub[[#This Row],[setting]],lmic_raw[],19,FALSE)*(1+interactive!$C$7)</f>
        <v>81.545625000000015</v>
      </c>
      <c r="T412" s="98">
        <f>VLOOKUP(lmic_raw_ub[[#This Row],[setting]],lmic_raw[],20,FALSE)*(1+interactive!$C$7)</f>
        <v>81.545625000000015</v>
      </c>
      <c r="U412" s="98">
        <f>VLOOKUP(lmic_raw_ub[[#This Row],[setting]],lmic_raw[],21,FALSE)*(1+interactive!$C$7)</f>
        <v>81.545625000000015</v>
      </c>
      <c r="V412" s="33">
        <f>IFERROR(VLOOKUP(lmic_raw_ub[[#This Row],[setting]],vcost_ub[],3,FALSE),0)</f>
        <v>5.6671375270902633</v>
      </c>
      <c r="W412" s="33">
        <f>IFERROR(VLOOKUP(lmic_raw_ub[[#This Row],[setting]],vcost_ub[],4,FALSE),0)</f>
        <v>10.737272527090264</v>
      </c>
      <c r="X412" s="33">
        <f>IFERROR(VLOOKUP(lmic_raw_ub[[#This Row],[setting]],vcost_ub[],5,FALSE),0)</f>
        <v>5.1686216781287682</v>
      </c>
      <c r="Y412" s="33">
        <f>IFERROR(VLOOKUP(lmic_raw_ub[[#This Row],[setting]],vcost_ub[],6,FALSE),0)</f>
        <v>10.23875667812877</v>
      </c>
      <c r="Z412" s="33">
        <f>IFERROR(VLOOKUP(lmic_raw_ub[[#This Row],[setting]],vcost_ub[],7,FALSE),0)</f>
        <v>10.229802135211152</v>
      </c>
      <c r="AA412" s="33">
        <f>IFERROR(VLOOKUP(lmic_raw_ub[[#This Row],[setting]],vcost_ub[],8,FALSE),0)</f>
        <v>5.9363720112282961</v>
      </c>
      <c r="AB412" s="33">
        <f>IFERROR(VLOOKUP(lmic_raw_ub[[#This Row],[setting]],vcost_ub[],9,FALSE),0)</f>
        <v>11.006507011228297</v>
      </c>
      <c r="AC412" s="84">
        <f>VLOOKUP($A412,lmic_raw[],29,FALSE)*(1+interactive!$C$7)</f>
        <v>4.7902963500000055E-2</v>
      </c>
      <c r="AD412" s="84">
        <f>VLOOKUP($A412,lmic_raw[],30,FALSE)*(1+interactive!$C$7)</f>
        <v>4.1563883332070639E-3</v>
      </c>
      <c r="AE412" s="84">
        <f>VLOOKUP($A412,lmic_raw[],31,FALSE)*(1+interactive!$C$7)</f>
        <v>1.2162725166093582E-3</v>
      </c>
      <c r="AF412" s="84">
        <f>VLOOKUP($A412,lmic_raw[],32,FALSE)*(1+interactive!$C$7)</f>
        <v>9.6044038667478465E-4</v>
      </c>
      <c r="AG412" s="84">
        <f>VLOOKUP($A412,lmic_raw[],33,FALSE)*(1+interactive!$C$7)</f>
        <v>1.6080246032367858E-3</v>
      </c>
      <c r="AH412" s="84">
        <f>VLOOKUP($A412,lmic_raw[],34,FALSE)*(1+interactive!$C$7)</f>
        <v>2.5978783243606912E-3</v>
      </c>
      <c r="AI412" s="84">
        <f>VLOOKUP($A412,lmic_raw[],35,FALSE)*(1+interactive!$C$7)</f>
        <v>3.665656396073204E-3</v>
      </c>
      <c r="AJ412" s="84">
        <f>VLOOKUP($A412,lmic_raw[],36,FALSE)*(1+interactive!$C$7)</f>
        <v>4.831000643798984E-3</v>
      </c>
      <c r="AK412" s="84">
        <f>VLOOKUP($A412,lmic_raw[],37,FALSE)*(1+interactive!$C$7)</f>
        <v>6.4803604670840877E-3</v>
      </c>
      <c r="AL412" s="84">
        <f>VLOOKUP($A412,lmic_raw[],38,FALSE)*(1+interactive!$C$7)</f>
        <v>7.9812097043491272E-3</v>
      </c>
      <c r="AM412" s="84">
        <f>VLOOKUP($A412,lmic_raw[],39,FALSE)*(1+interactive!$C$7)</f>
        <v>9.8134732253991816E-3</v>
      </c>
      <c r="AN412" s="84">
        <f>VLOOKUP($A412,lmic_raw[],40,FALSE)*(1+interactive!$C$7)</f>
        <v>1.2767336760323159E-2</v>
      </c>
      <c r="AO412" s="84">
        <f>VLOOKUP($A412,lmic_raw[],41,FALSE)*(1+interactive!$C$7)</f>
        <v>1.6161431599754885E-2</v>
      </c>
      <c r="AP412" s="84">
        <f>VLOOKUP($A412,lmic_raw[],42,FALSE)*(1+interactive!$C$7)</f>
        <v>2.2462416534988174E-2</v>
      </c>
      <c r="AQ412" s="84">
        <f>VLOOKUP($A412,lmic_raw[],43,FALSE)*(1+interactive!$C$7)</f>
        <v>3.2701010090938114E-2</v>
      </c>
      <c r="AR412" s="84">
        <f>VLOOKUP($A412,lmic_raw[],44,FALSE)*(1+interactive!$C$7)</f>
        <v>4.8633387651919449E-2</v>
      </c>
      <c r="AS412" s="84">
        <f>VLOOKUP($A412,lmic_raw[],45,FALSE)*(1+interactive!$C$7)</f>
        <v>7.212319643116144E-2</v>
      </c>
      <c r="AT412" s="84">
        <f>VLOOKUP($A412,lmic_raw[],46,FALSE)*(1+interactive!$C$7)</f>
        <v>0.10697583772761352</v>
      </c>
      <c r="AU412" s="84">
        <f>VLOOKUP($A412,lmic_raw[],47,FALSE)*(1+interactive!$C$7)</f>
        <v>0.14857624820114851</v>
      </c>
      <c r="AV412" s="84">
        <f>VLOOKUP($A412,lmic_raw[],48,FALSE)*(1+interactive!$C$7)</f>
        <v>0.18356804813222444</v>
      </c>
      <c r="AW412" s="84">
        <f>VLOOKUP($A412,lmic_raw[],49,FALSE)*(1+interactive!$C$7)</f>
        <v>0.19681796912795563</v>
      </c>
      <c r="AX412" s="84">
        <f>VLOOKUP($A412,lmic_raw[],50,FALSE)*(1+interactive!$C$7)</f>
        <v>66.420900000000003</v>
      </c>
    </row>
    <row r="413" spans="1:50" x14ac:dyDescent="0.25">
      <c r="A413" s="111" t="s">
        <v>120</v>
      </c>
      <c r="B413" s="104" t="s">
        <v>542</v>
      </c>
      <c r="C413" s="105">
        <v>716</v>
      </c>
      <c r="D413" s="84" t="s">
        <v>677</v>
      </c>
      <c r="E413" s="84" t="s">
        <v>594</v>
      </c>
      <c r="F413" s="84" t="s">
        <v>667</v>
      </c>
      <c r="G413" s="84" t="s">
        <v>678</v>
      </c>
      <c r="H413" s="33">
        <f>VLOOKUP(lmic_raw_ub[[#This Row],[setting]],lmic_raw[],8,FALSE)</f>
        <v>14645473</v>
      </c>
      <c r="I413" s="33">
        <f>VLOOKUP(lmic_raw_ub[[#This Row],[setting]],lmic_raw[],9,FALSE)</f>
        <v>451739.61468499998</v>
      </c>
      <c r="J413" s="84">
        <f>MIN(VLOOKUP($A413,lmic_raw[],10,FALSE)*(1+interactive!$C$7),0.9999)</f>
        <v>0.89775000000000005</v>
      </c>
      <c r="K413" s="84">
        <f>MIN(VLOOKUP($A413,lmic_raw[],11,FALSE)*(1+interactive!$C$7),0.9999)</f>
        <v>0</v>
      </c>
      <c r="L413" s="33">
        <f>MIN(VLOOKUP($A413,lmic_raw[],12,FALSE)*(1+interactive!$C$7),0.9999)</f>
        <v>0.94500000000000006</v>
      </c>
      <c r="M413" s="84">
        <f>IFERROR(VLOOKUP(lmic_raw_ub[[#This Row],[iso3]], hbv_prev[[iso3]:[ub]],4,FALSE)/100,0)</f>
        <v>0.12300000000000001</v>
      </c>
      <c r="N413" s="84">
        <f>IFERROR(VLOOKUP(lmic_raw_ub[[#This Row],[setting]],hbe_prev[],5,FALSE),0)</f>
        <v>0.3679</v>
      </c>
      <c r="O413" s="84">
        <f>VLOOKUP(lmic_raw_ub[[#This Row],[gbd_super]],hbe_risk[],4,FALSE)</f>
        <v>0.74399999999999999</v>
      </c>
      <c r="P413" s="84">
        <f>VLOOKUP(lmic_raw_ub[[#This Row],[gbd_super]],hbe_risk[],7,FALSE)</f>
        <v>0.13300000000000001</v>
      </c>
      <c r="Q413" s="98">
        <f>VLOOKUP(lmic_raw_ub[[#This Row],[setting]],lmic_raw[],17,FALSE)*(1+interactive!$C$7)</f>
        <v>0</v>
      </c>
      <c r="R413" s="98">
        <f>VLOOKUP(lmic_raw_ub[[#This Row],[setting]],lmic_raw[],18,FALSE)*(1+interactive!$C$7)</f>
        <v>31.416525000000004</v>
      </c>
      <c r="S413" s="98">
        <f>VLOOKUP(lmic_raw_ub[[#This Row],[setting]],lmic_raw[],19,FALSE)*(1+interactive!$C$7)</f>
        <v>81.545625000000015</v>
      </c>
      <c r="T413" s="98">
        <f>VLOOKUP(lmic_raw_ub[[#This Row],[setting]],lmic_raw[],20,FALSE)*(1+interactive!$C$7)</f>
        <v>81.545625000000015</v>
      </c>
      <c r="U413" s="98">
        <f>VLOOKUP(lmic_raw_ub[[#This Row],[setting]],lmic_raw[],21,FALSE)*(1+interactive!$C$7)</f>
        <v>81.545625000000015</v>
      </c>
      <c r="V413" s="33">
        <f>IFERROR(VLOOKUP(lmic_raw_ub[[#This Row],[setting]],vcost_ub[],3,FALSE),0)</f>
        <v>6.2659061248811003</v>
      </c>
      <c r="W413" s="33">
        <f>IFERROR(VLOOKUP(lmic_raw_ub[[#This Row],[setting]],vcost_ub[],4,FALSE),0)</f>
        <v>11.336041124881101</v>
      </c>
      <c r="X413" s="33">
        <f>IFERROR(VLOOKUP(lmic_raw_ub[[#This Row],[setting]],vcost_ub[],5,FALSE),0)</f>
        <v>5.7667757264983752</v>
      </c>
      <c r="Y413" s="33">
        <f>IFERROR(VLOOKUP(lmic_raw_ub[[#This Row],[setting]],vcost_ub[],6,FALSE),0)</f>
        <v>10.836910726498376</v>
      </c>
      <c r="Z413" s="33">
        <f>IFERROR(VLOOKUP(lmic_raw_ub[[#This Row],[setting]],vcost_ub[],7,FALSE),0)</f>
        <v>10.828379340075411</v>
      </c>
      <c r="AA413" s="33">
        <f>IFERROR(VLOOKUP(lmic_raw_ub[[#This Row],[setting]],vcost_ub[],8,FALSE),0)</f>
        <v>6.5352801079675098</v>
      </c>
      <c r="AB413" s="33">
        <f>IFERROR(VLOOKUP(lmic_raw_ub[[#This Row],[setting]],vcost_ub[],9,FALSE),0)</f>
        <v>11.605415107967509</v>
      </c>
      <c r="AC413" s="84">
        <f>VLOOKUP($A413,lmic_raw[],29,FALSE)*(1+interactive!$C$7)</f>
        <v>4.0694335499999984E-2</v>
      </c>
      <c r="AD413" s="84">
        <f>VLOOKUP($A413,lmic_raw[],30,FALSE)*(1+interactive!$C$7)</f>
        <v>3.4153140272502576E-3</v>
      </c>
      <c r="AE413" s="84">
        <f>VLOOKUP($A413,lmic_raw[],31,FALSE)*(1+interactive!$C$7)</f>
        <v>1.117044847686055E-3</v>
      </c>
      <c r="AF413" s="84">
        <f>VLOOKUP($A413,lmic_raw[],32,FALSE)*(1+interactive!$C$7)</f>
        <v>9.5613165266355887E-4</v>
      </c>
      <c r="AG413" s="84">
        <f>VLOOKUP($A413,lmic_raw[],33,FALSE)*(1+interactive!$C$7)</f>
        <v>1.6491993916800314E-3</v>
      </c>
      <c r="AH413" s="84">
        <f>VLOOKUP($A413,lmic_raw[],34,FALSE)*(1+interactive!$C$7)</f>
        <v>2.9770805330429557E-3</v>
      </c>
      <c r="AI413" s="84">
        <f>VLOOKUP($A413,lmic_raw[],35,FALSE)*(1+interactive!$C$7)</f>
        <v>5.0626004267897923E-3</v>
      </c>
      <c r="AJ413" s="84">
        <f>VLOOKUP($A413,lmic_raw[],36,FALSE)*(1+interactive!$C$7)</f>
        <v>7.2376284898557318E-3</v>
      </c>
      <c r="AK413" s="84">
        <f>VLOOKUP($A413,lmic_raw[],37,FALSE)*(1+interactive!$C$7)</f>
        <v>1.0170639135713937E-2</v>
      </c>
      <c r="AL413" s="84">
        <f>VLOOKUP($A413,lmic_raw[],38,FALSE)*(1+interactive!$C$7)</f>
        <v>1.1889598769615768E-2</v>
      </c>
      <c r="AM413" s="84">
        <f>VLOOKUP($A413,lmic_raw[],39,FALSE)*(1+interactive!$C$7)</f>
        <v>1.4071127098060921E-2</v>
      </c>
      <c r="AN413" s="84">
        <f>VLOOKUP($A413,lmic_raw[],40,FALSE)*(1+interactive!$C$7)</f>
        <v>1.6832883461750433E-2</v>
      </c>
      <c r="AO413" s="84">
        <f>VLOOKUP($A413,lmic_raw[],41,FALSE)*(1+interactive!$C$7)</f>
        <v>2.0115487474898493E-2</v>
      </c>
      <c r="AP413" s="84">
        <f>VLOOKUP($A413,lmic_raw[],42,FALSE)*(1+interactive!$C$7)</f>
        <v>2.6085660181725343E-2</v>
      </c>
      <c r="AQ413" s="84">
        <f>VLOOKUP($A413,lmic_raw[],43,FALSE)*(1+interactive!$C$7)</f>
        <v>3.6099539516954861E-2</v>
      </c>
      <c r="AR413" s="84">
        <f>VLOOKUP($A413,lmic_raw[],44,FALSE)*(1+interactive!$C$7)</f>
        <v>5.1740890280052597E-2</v>
      </c>
      <c r="AS413" s="84">
        <f>VLOOKUP($A413,lmic_raw[],45,FALSE)*(1+interactive!$C$7)</f>
        <v>7.4551802772280434E-2</v>
      </c>
      <c r="AT413" s="84">
        <f>VLOOKUP($A413,lmic_raw[],46,FALSE)*(1+interactive!$C$7)</f>
        <v>0.10912206247114017</v>
      </c>
      <c r="AU413" s="84">
        <f>VLOOKUP($A413,lmic_raw[],47,FALSE)*(1+interactive!$C$7)</f>
        <v>0.15018365279891288</v>
      </c>
      <c r="AV413" s="84">
        <f>VLOOKUP($A413,lmic_raw[],48,FALSE)*(1+interactive!$C$7)</f>
        <v>0.18241863022463142</v>
      </c>
      <c r="AW413" s="84">
        <f>VLOOKUP($A413,lmic_raw[],49,FALSE)*(1+interactive!$C$7)</f>
        <v>0.19487425423675447</v>
      </c>
      <c r="AX413" s="84">
        <f>VLOOKUP($A413,lmic_raw[],50,FALSE)*(1+interactive!$C$7)</f>
        <v>63.874650000000003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6"/>
  <sheetViews>
    <sheetView workbookViewId="0">
      <selection activeCell="B9" sqref="B9"/>
    </sheetView>
  </sheetViews>
  <sheetFormatPr defaultRowHeight="15" x14ac:dyDescent="0.25"/>
  <cols>
    <col min="1" max="1" width="32.7109375" customWidth="1"/>
    <col min="2" max="2" width="11.7109375" customWidth="1"/>
    <col min="3" max="3" width="17.140625" customWidth="1"/>
  </cols>
  <sheetData>
    <row r="1" spans="1:3" x14ac:dyDescent="0.25">
      <c r="A1" s="141"/>
      <c r="B1" s="142" t="s">
        <v>769</v>
      </c>
      <c r="C1" s="142" t="s">
        <v>770</v>
      </c>
    </row>
    <row r="2" spans="1:3" x14ac:dyDescent="0.25">
      <c r="A2" s="142" t="s">
        <v>771</v>
      </c>
      <c r="B2" s="141"/>
      <c r="C2" s="141"/>
    </row>
    <row r="3" spans="1:3" x14ac:dyDescent="0.25">
      <c r="A3" s="143" t="s">
        <v>9</v>
      </c>
      <c r="B3" s="144">
        <f>global_pars!B26</f>
        <v>0.95299999999999996</v>
      </c>
      <c r="C3" s="141"/>
    </row>
    <row r="4" spans="1:3" x14ac:dyDescent="0.25">
      <c r="A4" s="143" t="s">
        <v>10</v>
      </c>
      <c r="B4" s="144">
        <f>global_pars!B27</f>
        <v>0.88900000000000001</v>
      </c>
      <c r="C4" s="143" t="str">
        <f>CONCATENATE("(", ROUND(global_pars!C27*100,1), "%",",", " ",  ROUND(global_pars!D27*100,1), "%", ")")</f>
        <v>(83%, 92.8%)</v>
      </c>
    </row>
    <row r="5" spans="1:3" x14ac:dyDescent="0.25">
      <c r="A5" s="143" t="s">
        <v>11</v>
      </c>
      <c r="B5" s="144">
        <f>global_pars!B28</f>
        <v>0.82499999999999996</v>
      </c>
      <c r="C5" s="143" t="str">
        <f>CONCATENATE("(", ROUND(global_pars!C28*100,1), "%",",", " ",  ROUND(global_pars!D28*100,1), "%", ")")</f>
        <v>(70.7%, 90.2%)</v>
      </c>
    </row>
    <row r="6" spans="1:3" x14ac:dyDescent="0.25">
      <c r="A6" s="143" t="s">
        <v>12</v>
      </c>
      <c r="B6" s="144">
        <f>global_pars!B29</f>
        <v>0.52300000000000002</v>
      </c>
      <c r="C6" s="143" t="str">
        <f>CONCATENATE("(", ROUND(global_pars!C29*100,1), "%",",", " ",  ROUND(global_pars!D29*100,1), "%", ")")</f>
        <v>(22.3%, 80.7%)</v>
      </c>
    </row>
    <row r="7" spans="1:3" ht="29.25" x14ac:dyDescent="0.25">
      <c r="A7" s="145" t="s">
        <v>772</v>
      </c>
      <c r="B7" s="141"/>
      <c r="C7" s="143"/>
    </row>
    <row r="8" spans="1:3" x14ac:dyDescent="0.25">
      <c r="A8" s="146" t="s">
        <v>773</v>
      </c>
      <c r="B8" s="144">
        <f>global_pars!B8</f>
        <v>0.88500000000000001</v>
      </c>
      <c r="C8" s="143" t="str">
        <f>CONCATENATE("(", ROUND(global_pars!C8*100,1), "%",",", " ",  ROUND(global_pars!D8*100,1), "%", ")")</f>
        <v>(84%, 93%)</v>
      </c>
    </row>
    <row r="9" spans="1:3" x14ac:dyDescent="0.25">
      <c r="A9" s="146" t="s">
        <v>774</v>
      </c>
      <c r="B9" s="144">
        <f>1-POWER(10,-global_pars!B10)</f>
        <v>1.100000000000001E-2</v>
      </c>
      <c r="C9" s="143" t="str">
        <f>CONCATENATE("(", ROUND((1-POWER(10,-global_pars!C10))*100,1), "%",",", " ",  ROUND((1-POWER(10,-global_pars!D10))*100,1), "%", ")")</f>
        <v>(0.1%, 2.2%)</v>
      </c>
    </row>
    <row r="10" spans="1:3" x14ac:dyDescent="0.25">
      <c r="A10" s="146" t="s">
        <v>775</v>
      </c>
      <c r="B10" s="144">
        <f>1-POWER(10,-global_pars!B11)</f>
        <v>1.8999999999999906E-2</v>
      </c>
      <c r="C10" s="143" t="str">
        <f>CONCATENATE("(", ROUND((1-POWER(10,-global_pars!C11))*100,1), "%",",", " ",  ROUND((1-POWER(10,-global_pars!D11))*100,1), "%", ")")</f>
        <v>(1%, 2.4%)</v>
      </c>
    </row>
    <row r="11" spans="1:3" x14ac:dyDescent="0.25">
      <c r="A11" s="146" t="s">
        <v>776</v>
      </c>
      <c r="B11" s="144">
        <f>1-POWER(10,-global_pars!B12)</f>
        <v>5.9999999999998943E-3</v>
      </c>
      <c r="C11" s="143" t="str">
        <f>CONCATENATE("(", ROUND((1-POWER(10,-global_pars!C12))*100,1), "%",",", " ",  ROUND((1-POWER(10,-global_pars!D12))*100,1), "%", ")")</f>
        <v>(0.3%, 1%)</v>
      </c>
    </row>
    <row r="12" spans="1:3" ht="30" x14ac:dyDescent="0.25">
      <c r="A12" s="146" t="s">
        <v>777</v>
      </c>
      <c r="B12" s="144">
        <f>1-POWER(10,-global_pars!B13)</f>
        <v>3.9000000000000146E-2</v>
      </c>
      <c r="C12" s="143" t="str">
        <f>CONCATENATE("(", ROUND((1-POWER(10,-global_pars!C13))*100,1), "%",",", " ",  ROUND((1-POWER(10,-global_pars!D13))*100,1), "%", ")")</f>
        <v>(3.2%, 4.6%)</v>
      </c>
    </row>
    <row r="13" spans="1:3" ht="30" x14ac:dyDescent="0.25">
      <c r="A13" s="146" t="s">
        <v>778</v>
      </c>
      <c r="B13" s="144">
        <f>1-POWER(10,-global_pars!B14)</f>
        <v>4.8000000000000043E-2</v>
      </c>
      <c r="C13" s="143" t="str">
        <f>CONCATENATE("(", ROUND((1-POWER(10,-global_pars!C14))*100,1), "%",",", " ",  ROUND((1-POWER(10,-global_pars!D14))*100,1), "%", ")")</f>
        <v>(3%, 6.6%)</v>
      </c>
    </row>
    <row r="14" spans="1:3" ht="30" x14ac:dyDescent="0.25">
      <c r="A14" s="146" t="s">
        <v>779</v>
      </c>
      <c r="B14" s="144">
        <f>1-POWER(10,-global_pars!B15)</f>
        <v>7.0999999999999952E-2</v>
      </c>
      <c r="C14" s="143" t="str">
        <f>CONCATENATE("(", ROUND((1-POWER(10,-global_pars!C15))*100,1), "%",",", " ",  ROUND((1-POWER(10,-global_pars!D15))*100,1), "%", ")")</f>
        <v>(4.8%, 10%)</v>
      </c>
    </row>
    <row r="15" spans="1:3" ht="29.25" x14ac:dyDescent="0.25">
      <c r="A15" s="145" t="s">
        <v>780</v>
      </c>
      <c r="B15" s="141"/>
      <c r="C15" s="143"/>
    </row>
    <row r="16" spans="1:3" x14ac:dyDescent="0.25">
      <c r="A16" s="146" t="s">
        <v>781</v>
      </c>
      <c r="B16" s="144">
        <f>1-POWER(10,-global_pars!B16)</f>
        <v>7.0000000000000062E-3</v>
      </c>
      <c r="C16" s="143" t="str">
        <f>CONCATENATE("(", ROUND((1-POWER(10,-global_pars!C16))*100,1), "%",",", " ",  ROUND((1-POWER(10,-global_pars!D16))*100,1), "%", ")")</f>
        <v>(0.4%, 0.9%)</v>
      </c>
    </row>
    <row r="17" spans="1:3" x14ac:dyDescent="0.25">
      <c r="A17" s="146" t="s">
        <v>782</v>
      </c>
      <c r="B17" s="144">
        <f>1-POWER(10,-global_pars!B17)</f>
        <v>9.000000000000008E-3</v>
      </c>
      <c r="C17" s="143" t="str">
        <f>CONCATENATE("(", ROUND((1-POWER(10,-global_pars!C17))*100,1), "%",",", " ",  ROUND((1-POWER(10,-global_pars!D17))*100,1), "%", ")")</f>
        <v>(0.3%, 1.5%)</v>
      </c>
    </row>
    <row r="18" spans="1:3" x14ac:dyDescent="0.25">
      <c r="A18" s="146" t="s">
        <v>783</v>
      </c>
      <c r="B18" s="144">
        <f>1-POWER(10,-global_pars!B18)</f>
        <v>4.6000000000000041E-2</v>
      </c>
      <c r="C18" s="143" t="str">
        <f>CONCATENATE("(", ROUND((1-POWER(10,-global_pars!C18))*100,1), "%",",", " ",  ROUND((1-POWER(10,-global_pars!D18))*100,1), "%", ")")</f>
        <v>(3.1%, 6.6%)</v>
      </c>
    </row>
    <row r="19" spans="1:3" x14ac:dyDescent="0.25">
      <c r="A19" s="146" t="s">
        <v>784</v>
      </c>
      <c r="B19" s="144">
        <f>1-POWER(10,-global_pars!B19)</f>
        <v>0.16200000000000014</v>
      </c>
      <c r="C19" s="143" t="str">
        <f>CONCATENATE("(", ROUND((1-POWER(10,-global_pars!C19))*100,1), "%",",", " ",  ROUND((1-POWER(10,-global_pars!D19))*100,1), "%", ")")</f>
        <v>(9.9%, 20%)</v>
      </c>
    </row>
    <row r="20" spans="1:3" x14ac:dyDescent="0.25">
      <c r="A20" s="146" t="s">
        <v>785</v>
      </c>
      <c r="B20" s="144">
        <f>1-POWER(10,-global_pars!B20)</f>
        <v>0.54500000000000004</v>
      </c>
      <c r="C20" s="143" t="str">
        <f>CONCATENATE("(", ROUND((1-POWER(10,-global_pars!C20))*100,1), "%",",", " ",  ROUND((1-POWER(10,-global_pars!D20))*100,1), "%", ")")</f>
        <v>(8.1%, 60.5%)</v>
      </c>
    </row>
    <row r="21" spans="1:3" ht="29.25" x14ac:dyDescent="0.25">
      <c r="A21" s="145" t="s">
        <v>786</v>
      </c>
      <c r="B21" s="141"/>
      <c r="C21" s="141"/>
    </row>
    <row r="22" spans="1:3" x14ac:dyDescent="0.25">
      <c r="A22" s="146" t="s">
        <v>781</v>
      </c>
      <c r="B22" s="147">
        <f>global_pars!B21</f>
        <v>5.0999999999999997E-2</v>
      </c>
      <c r="C22" s="143" t="str">
        <f>CONCATENATE("(", ROUND(global_pars!C21,3),",", " ",  ROUND(global_pars!D21,3), ")")</f>
        <v>(0.032, 0.074)</v>
      </c>
    </row>
    <row r="23" spans="1:3" x14ac:dyDescent="0.25">
      <c r="A23" s="146" t="s">
        <v>782</v>
      </c>
      <c r="B23" s="147">
        <f>global_pars!B22</f>
        <v>5.0999999999999997E-2</v>
      </c>
      <c r="C23" s="143" t="str">
        <f>CONCATENATE("(", ROUND(global_pars!C22,3),",", " ",  ROUND(global_pars!D22,3), ")")</f>
        <v>(0.032, 0.074)</v>
      </c>
    </row>
    <row r="24" spans="1:3" x14ac:dyDescent="0.25">
      <c r="A24" s="146" t="s">
        <v>783</v>
      </c>
      <c r="B24" s="147">
        <f>global_pars!B23</f>
        <v>5.0999999999999997E-2</v>
      </c>
      <c r="C24" s="143" t="str">
        <f>CONCATENATE("(", ROUND(global_pars!C23,3),",", " ",  ROUND(global_pars!D23,3), ")")</f>
        <v>(0.032, 0.074)</v>
      </c>
    </row>
    <row r="25" spans="1:3" x14ac:dyDescent="0.25">
      <c r="A25" s="146" t="s">
        <v>784</v>
      </c>
      <c r="B25" s="147">
        <f>global_pars!B24</f>
        <v>0.17799999999999999</v>
      </c>
      <c r="C25" s="143" t="str">
        <f>CONCATENATE("(", ROUND(global_pars!C24,3),",", " ",  ROUND(global_pars!D24,3), ")")</f>
        <v>(0.123, 0.25)</v>
      </c>
    </row>
    <row r="26" spans="1:3" x14ac:dyDescent="0.25">
      <c r="A26" s="146" t="s">
        <v>785</v>
      </c>
      <c r="B26" s="147">
        <f>global_pars!B25</f>
        <v>0.28799999999999998</v>
      </c>
      <c r="C26" s="143" t="str">
        <f>CONCATENATE("(", ROUND(global_pars!C25,3),",", " ",  ROUND(global_pars!D25,3), ")")</f>
        <v>(0.193, 0.399)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6"/>
  <sheetViews>
    <sheetView workbookViewId="0">
      <selection activeCell="H4" sqref="H4"/>
    </sheetView>
  </sheetViews>
  <sheetFormatPr defaultRowHeight="15" x14ac:dyDescent="0.25"/>
  <cols>
    <col min="1" max="1" width="33.140625" style="18" customWidth="1"/>
    <col min="2" max="2" width="18.5703125" customWidth="1"/>
    <col min="3" max="3" width="15.7109375" customWidth="1"/>
    <col min="4" max="4" width="13.5703125" customWidth="1"/>
    <col min="5" max="5" width="13.28515625" customWidth="1"/>
    <col min="6" max="6" width="18.28515625" customWidth="1"/>
    <col min="7" max="7" width="14.7109375" customWidth="1"/>
    <col min="8" max="8" width="17.140625" customWidth="1"/>
  </cols>
  <sheetData>
    <row r="1" spans="1:8" x14ac:dyDescent="0.25">
      <c r="A1" s="149"/>
      <c r="B1" s="155" t="s">
        <v>677</v>
      </c>
      <c r="C1" s="155" t="s">
        <v>679</v>
      </c>
      <c r="D1" s="155" t="s">
        <v>673</v>
      </c>
      <c r="E1" s="155" t="s">
        <v>675</v>
      </c>
      <c r="F1" s="155" t="s">
        <v>680</v>
      </c>
      <c r="G1" s="155" t="s">
        <v>681</v>
      </c>
      <c r="H1" s="155" t="s">
        <v>705</v>
      </c>
    </row>
    <row r="2" spans="1:8" x14ac:dyDescent="0.25">
      <c r="A2" s="150" t="s">
        <v>787</v>
      </c>
      <c r="B2" s="141">
        <f>SUMPRODUCT((lmic_raw[[who_region]:[who_region]]=B$1)*(LEN(lmic_raw[[bd_cov]:[bd_cov]])&gt;interactive!$C$6))</f>
        <v>7</v>
      </c>
      <c r="C2" s="141">
        <f>SUMPRODUCT((lmic_raw[[who_region]:[who_region]]=C$1)*(LEN(lmic_raw[[bd_cov]:[bd_cov]])&gt;interactive!$C$6))</f>
        <v>18</v>
      </c>
      <c r="D2" s="141">
        <f>SUMPRODUCT((lmic_raw[[who_region]:[who_region]]=D$1)*(LEN(lmic_raw[[bd_cov]:[bd_cov]])&gt;interactive!$C$6))</f>
        <v>9</v>
      </c>
      <c r="E2" s="141">
        <f>SUMPRODUCT((lmic_raw[[who_region]:[who_region]]=E$1)*(LEN(lmic_raw[[bd_cov]:[bd_cov]])&gt;interactive!$C$6))</f>
        <v>17</v>
      </c>
      <c r="F2" s="141">
        <f>SUMPRODUCT((lmic_raw[[who_region]:[who_region]]=F$1)*(LEN(lmic_raw[[bd_cov]:[bd_cov]])&gt;interactive!$C$6))</f>
        <v>8</v>
      </c>
      <c r="G2" s="141">
        <f>SUMPRODUCT((lmic_raw[[who_region]:[who_region]]=G$1)*(LEN(lmic_raw[[bd_cov]:[bd_cov]])&gt;interactive!$C$6))</f>
        <v>18</v>
      </c>
      <c r="H2" s="141">
        <f>SUM(B2:G2)</f>
        <v>77</v>
      </c>
    </row>
    <row r="3" spans="1:8" x14ac:dyDescent="0.25">
      <c r="A3" s="151" t="s">
        <v>788</v>
      </c>
      <c r="B3" s="141"/>
      <c r="C3" s="141"/>
      <c r="D3" s="141"/>
      <c r="E3" s="141"/>
      <c r="F3" s="141"/>
      <c r="G3" s="141"/>
      <c r="H3" s="141"/>
    </row>
    <row r="4" spans="1:8" x14ac:dyDescent="0.25">
      <c r="A4" s="146" t="s">
        <v>790</v>
      </c>
      <c r="B4" s="153">
        <f>SUMPRODUCT((regions[[setting]:[setting]]=B$1)*regions[[pop]:[pop]])</f>
        <v>106186512</v>
      </c>
      <c r="C4" s="153">
        <f>SUMPRODUCT((regions[[setting]:[setting]]=C$1)*regions[[pop]:[pop]])</f>
        <v>446919640</v>
      </c>
      <c r="D4" s="153">
        <f>SUMPRODUCT((regions[[setting]:[setting]]=D$1)*regions[[pop]:[pop]])</f>
        <v>321630690</v>
      </c>
      <c r="E4" s="153">
        <f>SUMPRODUCT((regions[[setting]:[setting]]=E$1)*regions[[pop]:[pop]])</f>
        <v>271234511</v>
      </c>
      <c r="F4" s="153">
        <f>SUMPRODUCT((regions[[setting]:[setting]]=F$1)*regions[[pop]:[pop]])</f>
        <v>1788967655</v>
      </c>
      <c r="G4" s="153">
        <f>SUMPRODUCT((regions[[setting]:[setting]]=G$1)*regions[[pop]:[pop]])</f>
        <v>1708443371</v>
      </c>
      <c r="H4" s="153">
        <f>SUMPRODUCT((regions[[setting]:[setting]]=H$1)*regions[[pop]:[pop]])</f>
        <v>4643382379</v>
      </c>
    </row>
    <row r="5" spans="1:8" x14ac:dyDescent="0.25">
      <c r="A5" s="146" t="s">
        <v>789</v>
      </c>
      <c r="B5" s="153">
        <f>SUMPRODUCT((regions[[setting]:[setting]]=B$1)*regions[[births]:[births]])</f>
        <v>3289799.2959500002</v>
      </c>
      <c r="C5" s="153">
        <f>SUMPRODUCT((regions[[setting]:[setting]]=C$1)*regions[[births]:[births]])</f>
        <v>7130822.7323150011</v>
      </c>
      <c r="D5" s="153">
        <f>SUMPRODUCT((regions[[setting]:[setting]]=D$1)*regions[[births]:[births]])</f>
        <v>7832741.3908510003</v>
      </c>
      <c r="E5" s="153">
        <f>SUMPRODUCT((regions[[setting]:[setting]]=E$1)*regions[[births]:[births]])</f>
        <v>4294758.7904279996</v>
      </c>
      <c r="F5" s="153">
        <f>SUMPRODUCT((regions[[setting]:[setting]]=F$1)*regions[[births]:[births]])</f>
        <v>31651772.773041993</v>
      </c>
      <c r="G5" s="153">
        <f>SUMPRODUCT((regions[[setting]:[setting]]=G$1)*regions[[births]:[births]])</f>
        <v>22430841.415479999</v>
      </c>
      <c r="H5" s="153">
        <f>SUMPRODUCT((regions[[setting]:[setting]]=H$1)*regions[[births]:[births]])</f>
        <v>76630736.398066014</v>
      </c>
    </row>
    <row r="6" spans="1:8" x14ac:dyDescent="0.25">
      <c r="A6" s="146" t="s">
        <v>791</v>
      </c>
      <c r="B6" s="152">
        <f>SUMPRODUCT((regions[[setting]:[setting]]=B$1)*regions[[av_life]:[av_life]])</f>
        <v>66.64435138869969</v>
      </c>
      <c r="C6" s="152">
        <f>SUMPRODUCT((regions[[setting]:[setting]]=C$1)*regions[[av_life]:[av_life]])</f>
        <v>75.563983493182889</v>
      </c>
      <c r="D6" s="152">
        <f>SUMPRODUCT((regions[[setting]:[setting]]=D$1)*regions[[av_life]:[av_life]])</f>
        <v>71.945826909667062</v>
      </c>
      <c r="E6" s="152">
        <f>SUMPRODUCT((regions[[setting]:[setting]]=E$1)*regions[[av_life]:[av_life]])</f>
        <v>73.932774252717266</v>
      </c>
      <c r="F6" s="152">
        <f>SUMPRODUCT((regions[[setting]:[setting]]=F$1)*regions[[av_life]:[av_life]])</f>
        <v>69.73602344597316</v>
      </c>
      <c r="G6" s="152">
        <f>SUMPRODUCT((regions[[setting]:[setting]]=G$1)*regions[[av_life]:[av_life]])</f>
        <v>75.587990106299117</v>
      </c>
      <c r="H6" s="152">
        <f>SUMPRODUCT((regions[[setting]:[setting]]=H$1)*regions[[av_life]:[av_life]])</f>
        <v>72.319510975703977</v>
      </c>
    </row>
    <row r="7" spans="1:8" x14ac:dyDescent="0.25">
      <c r="A7" s="146" t="s">
        <v>792</v>
      </c>
      <c r="B7" s="144">
        <f>SUMPRODUCT((regions[[setting]:[setting]]=B$1)*regions[[fac_birth]:[fac_birth]])</f>
        <v>0.83777486835848203</v>
      </c>
      <c r="C7" s="144">
        <f>SUMPRODUCT((regions[[setting]:[setting]]=C$1)*regions[[fac_birth]:[fac_birth]])</f>
        <v>0.95521543039667178</v>
      </c>
      <c r="D7" s="144">
        <f>SUMPRODUCT((regions[[setting]:[setting]]=D$1)*regions[[fac_birth]:[fac_birth]])</f>
        <v>0.84302211486287448</v>
      </c>
      <c r="E7" s="144">
        <f>SUMPRODUCT((regions[[setting]:[setting]]=E$1)*regions[[fac_birth]:[fac_birth]])</f>
        <v>0.97590647454456658</v>
      </c>
      <c r="F7" s="144">
        <f>SUMPRODUCT((regions[[setting]:[setting]]=F$1)*regions[[fac_birth]:[fac_birth]])</f>
        <v>0.78220704586803946</v>
      </c>
      <c r="G7" s="144">
        <f>SUMPRODUCT((regions[[setting]:[setting]]=G$1)*regions[[fac_birth]:[fac_birth]])</f>
        <v>0.96150420695097139</v>
      </c>
      <c r="H7" s="144">
        <f>SUMPRODUCT((regions[[setting]:[setting]]=H$1)*regions[[fac_birth]:[fac_birth]])</f>
        <v>0.87024170073761586</v>
      </c>
    </row>
    <row r="8" spans="1:8" x14ac:dyDescent="0.25">
      <c r="A8" s="145" t="s">
        <v>793</v>
      </c>
      <c r="B8" s="141"/>
      <c r="C8" s="141"/>
      <c r="D8" s="141"/>
      <c r="E8" s="141"/>
      <c r="F8" s="141"/>
      <c r="G8" s="141"/>
      <c r="H8" s="141"/>
    </row>
    <row r="9" spans="1:8" x14ac:dyDescent="0.25">
      <c r="A9" s="146" t="s">
        <v>794</v>
      </c>
      <c r="B9" s="144">
        <f>SUMPRODUCT((regions[[setting]:[setting]]=B$1)*regions[[hbv_prev]:[hbv_prev]])</f>
        <v>4.2042782699181228E-2</v>
      </c>
      <c r="C9" s="144">
        <f>SUMPRODUCT((regions[[setting]:[setting]]=C$1)*regions[[hbv_prev]:[hbv_prev]])</f>
        <v>8.8515639015103471E-3</v>
      </c>
      <c r="D9" s="144">
        <f>SUMPRODUCT((regions[[setting]:[setting]]=D$1)*regions[[hbv_prev]:[hbv_prev]])</f>
        <v>1.2067164398750481E-2</v>
      </c>
      <c r="E9" s="144">
        <f>SUMPRODUCT((regions[[setting]:[setting]]=E$1)*regions[[hbv_prev]:[hbv_prev]])</f>
        <v>2.8203200130015905E-2</v>
      </c>
      <c r="F9" s="144">
        <f>SUMPRODUCT((regions[[setting]:[setting]]=F$1)*regions[[hbv_prev]:[hbv_prev]])</f>
        <v>1.8739077517307041E-2</v>
      </c>
      <c r="G9" s="144">
        <f>SUMPRODUCT((regions[[setting]:[setting]]=G$1)*regions[[hbv_prev]:[hbv_prev]])</f>
        <v>6.7360672805993768E-2</v>
      </c>
      <c r="H9" s="144">
        <f>SUMPRODUCT((regions[[setting]:[setting]]=H$1)*regions[[hbv_prev]:[hbv_prev]])</f>
        <v>3.6326431073561045E-2</v>
      </c>
    </row>
    <row r="10" spans="1:8" x14ac:dyDescent="0.25">
      <c r="A10" s="149"/>
      <c r="B10" s="143" t="str">
        <f>CONCATENATE("(", ROUND(SUMPRODUCT((regions_lb[[setting]:[setting]]=B$1)*regions_lb[[hbv_prev]:[hbv_prev]])*100,1), "%", ",", " ", ROUND(SUMPRODUCT((regions_ub[[setting]:[setting]]=B$1)*regions_ub[[hbv_prev]:[hbv_prev]])*100,1), "%", ")")</f>
        <v>(3.2%, 5.5%)</v>
      </c>
      <c r="C10" s="143" t="str">
        <f>CONCATENATE("(", ROUND(SUMPRODUCT((regions_lb[[setting]:[setting]]=C$1)*regions_lb[[hbv_prev]:[hbv_prev]])*100,1), "%", ",", " ", ROUND(SUMPRODUCT((regions_ub[[setting]:[setting]]=C$1)*regions_ub[[hbv_prev]:[hbv_prev]])*100,1), "%", ")")</f>
        <v>(0.6%, 2.5%)</v>
      </c>
      <c r="D10" s="143" t="str">
        <f>CONCATENATE("(", ROUND(SUMPRODUCT((regions_lb[[setting]:[setting]]=D$1)*regions_lb[[hbv_prev]:[hbv_prev]])*100,1), "%", ",", " ", ROUND(SUMPRODUCT((regions_ub[[setting]:[setting]]=D$1)*regions_ub[[hbv_prev]:[hbv_prev]])*100,1), "%", ")")</f>
        <v>(0.9%, 1.6%)</v>
      </c>
      <c r="E10" s="143" t="str">
        <f>CONCATENATE("(", ROUND(SUMPRODUCT((regions_lb[[setting]:[setting]]=E$1)*regions_lb[[hbv_prev]:[hbv_prev]])*100,1), "%", ",", " ", ROUND(SUMPRODUCT((regions_ub[[setting]:[setting]]=E$1)*regions_ub[[hbv_prev]:[hbv_prev]])*100,1), "%", ")")</f>
        <v>(2%, 4.8%)</v>
      </c>
      <c r="F10" s="143" t="str">
        <f>CONCATENATE("(", ROUND(SUMPRODUCT((regions_lb[[setting]:[setting]]=F$1)*regions_lb[[hbv_prev]:[hbv_prev]])*100,1), "%", ",", " ", ROUND(SUMPRODUCT((regions_ub[[setting]:[setting]]=F$1)*regions_ub[[hbv_prev]:[hbv_prev]])*100,1), "%", ")")</f>
        <v>(1.3%, 3.9%)</v>
      </c>
      <c r="G10" s="143" t="str">
        <f>CONCATENATE("(", ROUND(SUMPRODUCT((regions_lb[[setting]:[setting]]=G$1)*regions_lb[[hbv_prev]:[hbv_prev]])*100,1), "%", ",", " ", ROUND(SUMPRODUCT((regions_ub[[setting]:[setting]]=G$1)*regions_ub[[hbv_prev]:[hbv_prev]])*100,1), "%", ")")</f>
        <v>(5.5%, 8.2%)</v>
      </c>
      <c r="H10" s="143" t="str">
        <f>CONCATENATE("(", ROUND(SUMPRODUCT((regions_lb[[setting]:[setting]]=H$1)*regions_lb[[hbv_prev]:[hbv_prev]])*100,1), "%", ",", " ", ROUND(SUMPRODUCT((regions_ub[[setting]:[setting]]=H$1)*regions_ub[[hbv_prev]:[hbv_prev]])*100,1), "%", ")")</f>
        <v>(2.8%, 5.3%)</v>
      </c>
    </row>
    <row r="11" spans="1:8" x14ac:dyDescent="0.25">
      <c r="A11" s="146" t="s">
        <v>795</v>
      </c>
      <c r="B11" s="144">
        <f>SUMPRODUCT((regions[[setting]:[setting]]=B$1)*regions[[hbe_prev]:[hbe_prev]])</f>
        <v>0.27035763621551229</v>
      </c>
      <c r="C11" s="144">
        <f>SUMPRODUCT((regions[[setting]:[setting]]=C$1)*regions[[hbe_prev]:[hbe_prev]])</f>
        <v>0.31079232131491918</v>
      </c>
      <c r="D11" s="144">
        <f>SUMPRODUCT((regions[[setting]:[setting]]=D$1)*regions[[hbe_prev]:[hbe_prev]])</f>
        <v>0.26177494054478984</v>
      </c>
      <c r="E11" s="144">
        <f>SUMPRODUCT((regions[[setting]:[setting]]=E$1)*regions[[hbe_prev]:[hbe_prev]])</f>
        <v>0.28641686673663058</v>
      </c>
      <c r="F11" s="144">
        <f>SUMPRODUCT((regions[[setting]:[setting]]=F$1)*regions[[hbe_prev]:[hbe_prev]])</f>
        <v>0.28249413310975219</v>
      </c>
      <c r="G11" s="144">
        <f>SUMPRODUCT((regions[[setting]:[setting]]=G$1)*regions[[hbe_prev]:[hbe_prev]])</f>
        <v>0.33321530304356067</v>
      </c>
      <c r="H11" s="144">
        <f>SUMPRODUCT((regions[[setting]:[setting]]=H$1)*regions[[hbe_prev]:[hbe_prev]])</f>
        <v>0.30244057483059539</v>
      </c>
    </row>
    <row r="12" spans="1:8" x14ac:dyDescent="0.25">
      <c r="A12" s="149"/>
      <c r="B12" s="143" t="str">
        <f>CONCATENATE("(", ROUND(SUMPRODUCT((regions_lb[[setting]:[setting]]=B$1)*regions_lb[[hbe_prev]:[hbe_prev]])*100,1), "%", ",", " ", ROUND(SUMPRODUCT((regions_ub[[setting]:[setting]]=B$1)*regions_ub[[hbe_prev]:[hbe_prev]])*100,1), "%", ")")</f>
        <v>(15.3%, 39.4%)</v>
      </c>
      <c r="C12" s="143" t="str">
        <f>CONCATENATE("(", ROUND(SUMPRODUCT((regions_lb[[setting]:[setting]]=C$1)*regions_lb[[hbe_prev]:[hbe_prev]])*100,1), "%", ",", " ", ROUND(SUMPRODUCT((regions_ub[[setting]:[setting]]=C$1)*regions_ub[[hbe_prev]:[hbe_prev]])*100,1), "%", ")")</f>
        <v>(16.8%, 43.4%)</v>
      </c>
      <c r="D12" s="143" t="str">
        <f>CONCATENATE("(", ROUND(SUMPRODUCT((regions_lb[[setting]:[setting]]=D$1)*regions_lb[[hbe_prev]:[hbe_prev]])*100,1), "%", ",", " ", ROUND(SUMPRODUCT((regions_ub[[setting]:[setting]]=D$1)*regions_ub[[hbe_prev]:[hbe_prev]])*100,1), "%", ")")</f>
        <v>(15%, 37.6%)</v>
      </c>
      <c r="E12" s="143" t="str">
        <f>CONCATENATE("(", ROUND(SUMPRODUCT((regions_lb[[setting]:[setting]]=E$1)*regions_lb[[hbe_prev]:[hbe_prev]])*100,1), "%", ",", " ", ROUND(SUMPRODUCT((regions_ub[[setting]:[setting]]=E$1)*regions_ub[[hbe_prev]:[hbe_prev]])*100,1), "%", ")")</f>
        <v>(15.9%, 41.3%)</v>
      </c>
      <c r="F12" s="143" t="str">
        <f>CONCATENATE("(", ROUND(SUMPRODUCT((regions_lb[[setting]:[setting]]=F$1)*regions_lb[[hbe_prev]:[hbe_prev]])*100,1), "%", ",", " ", ROUND(SUMPRODUCT((regions_ub[[setting]:[setting]]=F$1)*regions_ub[[hbe_prev]:[hbe_prev]])*100,1), "%", ")")</f>
        <v>(15.6%, 38.7%)</v>
      </c>
      <c r="G12" s="143" t="str">
        <f>CONCATENATE("(", ROUND(SUMPRODUCT((regions_lb[[setting]:[setting]]=G$1)*regions_lb[[hbe_prev]:[hbe_prev]])*100,1), "%", ",", " ", ROUND(SUMPRODUCT((regions_ub[[setting]:[setting]]=G$1)*regions_ub[[hbe_prev]:[hbe_prev]])*100,1), "%", ")")</f>
        <v>(18.3%, 48.9%)</v>
      </c>
      <c r="H12" s="143" t="str">
        <f>CONCATENATE("(", ROUND(SUMPRODUCT((regions_lb[[setting]:[setting]]=H$1)*regions_lb[[hbe_prev]:[hbe_prev]])*100,1), "%", ",", " ", ROUND(SUMPRODUCT((regions_ub[[setting]:[setting]]=H$1)*regions_ub[[hbe_prev]:[hbe_prev]])*100,1), "%", ")")</f>
        <v>(16.7%, 43%)</v>
      </c>
    </row>
    <row r="13" spans="1:8" x14ac:dyDescent="0.25">
      <c r="A13" s="146" t="s">
        <v>796</v>
      </c>
      <c r="B13" s="144">
        <f>SUMPRODUCT((regions[[setting]:[setting]]=B$1)*regions[[epos]:[epos]])</f>
        <v>0.5520716003365852</v>
      </c>
      <c r="C13" s="144">
        <f>SUMPRODUCT((regions[[setting]:[setting]]=C$1)*regions[[epos]:[epos]])</f>
        <v>0.8</v>
      </c>
      <c r="D13" s="144">
        <f>SUMPRODUCT((regions[[setting]:[setting]]=D$1)*regions[[epos]:[epos]])</f>
        <v>0.79873776576171895</v>
      </c>
      <c r="E13" s="144">
        <f>SUMPRODUCT((regions[[setting]:[setting]]=E$1)*regions[[epos]:[epos]])</f>
        <v>0.8</v>
      </c>
      <c r="F13" s="144">
        <f>SUMPRODUCT((regions[[setting]:[setting]]=F$1)*regions[[epos]:[epos]])</f>
        <v>0.79999999999999982</v>
      </c>
      <c r="G13" s="144">
        <f>SUMPRODUCT((regions[[setting]:[setting]]=G$1)*regions[[epos]:[epos]])</f>
        <v>0.79999999999999993</v>
      </c>
      <c r="H13" s="144">
        <f>SUMPRODUCT((regions[[setting]:[setting]]=H$1)*regions[[epos]:[epos]])</f>
        <v>0.79424285508428083</v>
      </c>
    </row>
    <row r="14" spans="1:8" x14ac:dyDescent="0.25">
      <c r="A14" s="146"/>
      <c r="B14" s="143" t="str">
        <f>CONCATENATE("(", ROUND(SUMPRODUCT((regions_lb[[setting]:[setting]]=B$1)*regions_lb[[epos]:[epos]])*100,1), "%", ",", " ", ROUND(SUMPRODUCT((regions_ub[[setting]:[setting]]=B$1)*regions_ub[[epos]:[epos]])*100,1), "%", ")")</f>
        <v>(32.5%, 80.7%)</v>
      </c>
      <c r="C14" s="143" t="str">
        <f>CONCATENATE("(", ROUND(SUMPRODUCT((regions_lb[[setting]:[setting]]=C$1)*regions_lb[[epos]:[epos]])*100,1), "%", ",", " ", ROUND(SUMPRODUCT((regions_ub[[setting]:[setting]]=C$1)*regions_ub[[epos]:[epos]])*100,1), "%", ")")</f>
        <v>(70%, 90%)</v>
      </c>
      <c r="D14" s="143" t="str">
        <f>CONCATENATE("(", ROUND(SUMPRODUCT((regions_lb[[setting]:[setting]]=D$1)*regions_lb[[epos]:[epos]])*100,1), "%", ",", " ", ROUND(SUMPRODUCT((regions_ub[[setting]:[setting]]=D$1)*regions_ub[[epos]:[epos]])*100,1), "%", ")")</f>
        <v>(69.8%, 90%)</v>
      </c>
      <c r="E14" s="143" t="str">
        <f>CONCATENATE("(", ROUND(SUMPRODUCT((regions_lb[[setting]:[setting]]=E$1)*regions_lb[[epos]:[epos]])*100,1), "%", ",", " ", ROUND(SUMPRODUCT((regions_ub[[setting]:[setting]]=E$1)*regions_ub[[epos]:[epos]])*100,1), "%", ")")</f>
        <v>(70%, 90%)</v>
      </c>
      <c r="F14" s="143" t="str">
        <f>CONCATENATE("(", ROUND(SUMPRODUCT((regions_lb[[setting]:[setting]]=F$1)*regions_lb[[epos]:[epos]])*100,1), "%", ",", " ", ROUND(SUMPRODUCT((regions_ub[[setting]:[setting]]=F$1)*regions_ub[[epos]:[epos]])*100,1), "%", ")")</f>
        <v>(70%, 90%)</v>
      </c>
      <c r="G14" s="143" t="str">
        <f>CONCATENATE("(", ROUND(SUMPRODUCT((regions_lb[[setting]:[setting]]=G$1)*regions_lb[[epos]:[epos]])*100,1), "%", ",", " ", ROUND(SUMPRODUCT((regions_ub[[setting]:[setting]]=G$1)*regions_ub[[epos]:[epos]])*100,1), "%", ")")</f>
        <v>(70%, 90%)</v>
      </c>
      <c r="H14" s="143" t="str">
        <f>CONCATENATE("(", ROUND(SUMPRODUCT((regions_lb[[setting]:[setting]]=H$1)*regions_lb[[epos]:[epos]])*100,1), "%", ",", " ", ROUND(SUMPRODUCT((regions_ub[[setting]:[setting]]=H$1)*regions_ub[[epos]:[epos]])*100,1), "%", ")")</f>
        <v>(69.1%, 89.8%)</v>
      </c>
    </row>
    <row r="15" spans="1:8" x14ac:dyDescent="0.25">
      <c r="A15" s="146" t="s">
        <v>797</v>
      </c>
      <c r="B15" s="144">
        <f>SUMPRODUCT((regions[[setting]:[setting]]=B$1)*regions[[eneg]:[eneg]])</f>
        <v>9.9491830318336458E-2</v>
      </c>
      <c r="C15" s="144">
        <f>SUMPRODUCT((regions[[setting]:[setting]]=C$1)*regions[[eneg]:[eneg]])</f>
        <v>0.17499999999999999</v>
      </c>
      <c r="D15" s="144">
        <f>SUMPRODUCT((regions[[setting]:[setting]]=D$1)*regions[[eneg]:[eneg]])</f>
        <v>0.17461557854133883</v>
      </c>
      <c r="E15" s="144">
        <f>SUMPRODUCT((regions[[setting]:[setting]]=E$1)*regions[[eneg]:[eneg]])</f>
        <v>0.17499999999999999</v>
      </c>
      <c r="F15" s="144">
        <f>SUMPRODUCT((regions[[setting]:[setting]]=F$1)*regions[[eneg]:[eneg]])</f>
        <v>0.17499999999999999</v>
      </c>
      <c r="G15" s="144">
        <f>SUMPRODUCT((regions[[setting]:[setting]]=G$1)*regions[[eneg]:[eneg]])</f>
        <v>0.17500000000000002</v>
      </c>
      <c r="H15" s="144">
        <f>SUMPRODUCT((regions[[setting]:[setting]]=H$1)*regions[[eneg]:[eneg]])</f>
        <v>0.17324662492974496</v>
      </c>
    </row>
    <row r="16" spans="1:8" x14ac:dyDescent="0.25">
      <c r="A16" s="149"/>
      <c r="B16" s="143" t="str">
        <f>CONCATENATE("(", ROUND(SUMPRODUCT((regions_lb[[setting]:[setting]]=B$1)*regions_lb[[eneg]:[eneg]])*100,1), "%", ",", " ", ROUND(SUMPRODUCT((regions_ub[[setting]:[setting]]=B$1)*regions_ub[[eneg]:[eneg]])*100,1), "%", ")")</f>
        <v>(2.1%, 20.1%)</v>
      </c>
      <c r="C16" s="143" t="str">
        <f>CONCATENATE("(", ROUND(SUMPRODUCT((regions_lb[[setting]:[setting]]=C$1)*regions_lb[[eneg]:[eneg]])*100,1), "%", ",", " ", ROUND(SUMPRODUCT((regions_ub[[setting]:[setting]]=C$1)*regions_ub[[eneg]:[eneg]])*100,1), "%", ")")</f>
        <v>(5%, 30%)</v>
      </c>
      <c r="D16" s="143" t="str">
        <f>CONCATENATE("(", ROUND(SUMPRODUCT((regions_lb[[setting]:[setting]]=D$1)*regions_lb[[eneg]:[eneg]])*100,1), "%", ",", " ", ROUND(SUMPRODUCT((regions_ub[[setting]:[setting]]=D$1)*regions_ub[[eneg]:[eneg]])*100,1), "%", ")")</f>
        <v>(5%, 29.9%)</v>
      </c>
      <c r="E16" s="143" t="str">
        <f>CONCATENATE("(", ROUND(SUMPRODUCT((regions_lb[[setting]:[setting]]=E$1)*regions_lb[[eneg]:[eneg]])*100,1), "%", ",", " ", ROUND(SUMPRODUCT((regions_ub[[setting]:[setting]]=E$1)*regions_ub[[eneg]:[eneg]])*100,1), "%", ")")</f>
        <v>(5%, 30%)</v>
      </c>
      <c r="F16" s="143" t="str">
        <f>CONCATENATE("(", ROUND(SUMPRODUCT((regions_lb[[setting]:[setting]]=F$1)*regions_lb[[eneg]:[eneg]])*100,1), "%", ",", " ", ROUND(SUMPRODUCT((regions_ub[[setting]:[setting]]=F$1)*regions_ub[[eneg]:[eneg]])*100,1), "%", ")")</f>
        <v>(5%, 30%)</v>
      </c>
      <c r="G16" s="143" t="str">
        <f>CONCATENATE("(", ROUND(SUMPRODUCT((regions_lb[[setting]:[setting]]=G$1)*regions_lb[[eneg]:[eneg]])*100,1), "%", ",", " ", ROUND(SUMPRODUCT((regions_ub[[setting]:[setting]]=G$1)*regions_ub[[eneg]:[eneg]])*100,1), "%", ")")</f>
        <v>(5%, 30%)</v>
      </c>
      <c r="H16" s="143" t="str">
        <f>CONCATENATE("(", ROUND(SUMPRODUCT((regions_lb[[setting]:[setting]]=H$1)*regions_lb[[eneg]:[eneg]])*100,1), "%", ",", " ", ROUND(SUMPRODUCT((regions_ub[[setting]:[setting]]=H$1)*regions_ub[[eneg]:[eneg]])*100,1), "%", ")")</f>
        <v>(4.9%, 29.8%)</v>
      </c>
    </row>
    <row r="17" spans="1:8" x14ac:dyDescent="0.25">
      <c r="A17" s="145" t="s">
        <v>798</v>
      </c>
      <c r="B17" s="141"/>
      <c r="C17" s="141"/>
      <c r="D17" s="141"/>
      <c r="E17" s="141"/>
      <c r="F17" s="141"/>
      <c r="G17" s="141"/>
      <c r="H17" s="141"/>
    </row>
    <row r="18" spans="1:8" x14ac:dyDescent="0.25">
      <c r="A18" s="146" t="s">
        <v>799</v>
      </c>
      <c r="B18" s="144">
        <f>SUMPRODUCT((regions[[setting]:[setting]]=B$1)*regions[[bd_cov]:[bd_cov]])</f>
        <v>0.69252604416320784</v>
      </c>
      <c r="C18" s="144">
        <f>SUMPRODUCT((regions[[setting]:[setting]]=C$1)*regions[[bd_cov]:[bd_cov]])</f>
        <v>0.74567750031159119</v>
      </c>
      <c r="D18" s="144">
        <f>SUMPRODUCT((regions[[setting]:[setting]]=D$1)*regions[[bd_cov]:[bd_cov]])</f>
        <v>0.70987607132960939</v>
      </c>
      <c r="E18" s="144">
        <f>SUMPRODUCT((regions[[setting]:[setting]]=E$1)*regions[[bd_cov]:[bd_cov]])</f>
        <v>0.94232220105184217</v>
      </c>
      <c r="F18" s="144">
        <f>SUMPRODUCT((regions[[setting]:[setting]]=F$1)*regions[[bd_cov]:[bd_cov]])</f>
        <v>0.60684066530483005</v>
      </c>
      <c r="G18" s="144">
        <f>SUMPRODUCT((regions[[setting]:[setting]]=G$1)*regions[[bd_cov]:[bd_cov]])</f>
        <v>0.89034755768400475</v>
      </c>
      <c r="H18" s="144">
        <f>SUMPRODUCT((regions[[setting]:[setting]]=H$1)*regions[[bd_cov]:[bd_cov]])</f>
        <v>0.735758500756581</v>
      </c>
    </row>
    <row r="19" spans="1:8" x14ac:dyDescent="0.25">
      <c r="A19" s="146" t="s">
        <v>800</v>
      </c>
      <c r="B19" s="144">
        <f>SUMPRODUCT((regions[[setting]:[setting]]=B$1)*regions[[hbv3_cov]:[hbv3_cov]])</f>
        <v>0.88729620360421668</v>
      </c>
      <c r="C19" s="144">
        <f>SUMPRODUCT((regions[[setting]:[setting]]=C$1)*regions[[hbv3_cov]:[hbv3_cov]])</f>
        <v>0.82983207434668738</v>
      </c>
      <c r="D19" s="144">
        <f>SUMPRODUCT((regions[[setting]:[setting]]=D$1)*regions[[hbv3_cov]:[hbv3_cov]])</f>
        <v>0.89665554549806814</v>
      </c>
      <c r="E19" s="144">
        <f>SUMPRODUCT((regions[[setting]:[setting]]=E$1)*regions[[hbv3_cov]:[hbv3_cov]])</f>
        <v>0.94598462194477007</v>
      </c>
      <c r="F19" s="144">
        <f>SUMPRODUCT((regions[[setting]:[setting]]=F$1)*regions[[hbv3_cov]:[hbv3_cov]])</f>
        <v>0.90236494869599149</v>
      </c>
      <c r="G19" s="144">
        <f>SUMPRODUCT((regions[[setting]:[setting]]=G$1)*regions[[hbv3_cov]:[hbv3_cov]])</f>
        <v>0.93791797581746394</v>
      </c>
      <c r="H19" s="144">
        <f>SUMPRODUCT((regions[[setting]:[setting]]=H$1)*regions[[hbv3_cov]:[hbv3_cov]])</f>
        <v>0.90723646384618173</v>
      </c>
    </row>
    <row r="20" spans="1:8" x14ac:dyDescent="0.25">
      <c r="A20" s="145" t="s">
        <v>801</v>
      </c>
      <c r="B20" s="141"/>
      <c r="C20" s="141"/>
      <c r="D20" s="141"/>
      <c r="E20" s="141"/>
      <c r="F20" s="141"/>
      <c r="G20" s="141"/>
      <c r="H20" s="141"/>
    </row>
    <row r="21" spans="1:8" x14ac:dyDescent="0.25">
      <c r="A21" s="146" t="s">
        <v>802</v>
      </c>
      <c r="B21" s="154">
        <f>SUMPRODUCT((regions[[setting]:[setting]]=B$1)*regions[[bl1_f]:[bl1_f]])</f>
        <v>2.8764133329942272</v>
      </c>
      <c r="C21" s="154">
        <f>SUMPRODUCT((regions[[setting]:[setting]]=C$1)*regions[[bl1_f]:[bl1_f]])</f>
        <v>3.1450420380584942</v>
      </c>
      <c r="D21" s="154">
        <f>SUMPRODUCT((regions[[setting]:[setting]]=D$1)*regions[[bl1_f]:[bl1_f]])</f>
        <v>2.8658383416138018</v>
      </c>
      <c r="E21" s="154">
        <f>SUMPRODUCT((regions[[setting]:[setting]]=E$1)*regions[[bl1_f]:[bl1_f]])</f>
        <v>4.1998205716638726</v>
      </c>
      <c r="F21" s="154">
        <f>SUMPRODUCT((regions[[setting]:[setting]]=F$1)*regions[[bl1_f]:[bl1_f]])</f>
        <v>1.6780007677683488</v>
      </c>
      <c r="G21" s="154">
        <f>SUMPRODUCT((regions[[setting]:[setting]]=G$1)*regions[[bl1_f]:[bl1_f]])</f>
        <v>2.5797426210164498</v>
      </c>
      <c r="H21" s="154">
        <f>SUMPRODUCT((regions[[setting]:[setting]]=H$1)*regions[[bl1_f]:[bl1_f]])</f>
        <v>2.3926645102269331</v>
      </c>
    </row>
    <row r="22" spans="1:8" x14ac:dyDescent="0.25">
      <c r="A22" s="146"/>
      <c r="B22" s="143" t="str">
        <f>CONCATENATE("(", "$",ROUND(SUMPRODUCT((regions_lb[[setting]:[setting]]=B$1)*regions_lb[[bl1_f]:[bl1_f]]),2), ",", " ", "$", ROUND(SUMPRODUCT((regions_ub[[setting]:[setting]]=B$1)*regions_ub[[bl1_f]:[bl1_f]]),2), ")")</f>
        <v>($1.24, $5.88)</v>
      </c>
      <c r="C22" s="143" t="str">
        <f>CONCATENATE("(", "$",ROUND(SUMPRODUCT((regions_lb[[setting]:[setting]]=C$1)*regions_lb[[bl1_f]:[bl1_f]]),2), ",", " ", "$", ROUND(SUMPRODUCT((regions_ub[[setting]:[setting]]=C$1)*regions_ub[[bl1_f]:[bl1_f]]),2), ")")</f>
        <v>($1.22, $7.36)</v>
      </c>
      <c r="D22" s="143" t="str">
        <f>CONCATENATE("(", "$",ROUND(SUMPRODUCT((regions_lb[[setting]:[setting]]=D$1)*regions_lb[[bl1_f]:[bl1_f]]),2), ",", " ", "$", ROUND(SUMPRODUCT((regions_ub[[setting]:[setting]]=D$1)*regions_ub[[bl1_f]:[bl1_f]]),2), ")")</f>
        <v>($1.25, $5.95)</v>
      </c>
      <c r="E22" s="143" t="str">
        <f>CONCATENATE("(", "$",ROUND(SUMPRODUCT((regions_lb[[setting]:[setting]]=E$1)*regions_lb[[bl1_f]:[bl1_f]]),2), ",", " ", "$", ROUND(SUMPRODUCT((regions_ub[[setting]:[setting]]=E$1)*regions_ub[[bl1_f]:[bl1_f]]),2), ")")</f>
        <v>($1.66, $9.38)</v>
      </c>
      <c r="F22" s="143" t="str">
        <f>CONCATENATE("(", "$",ROUND(SUMPRODUCT((regions_lb[[setting]:[setting]]=F$1)*regions_lb[[bl1_f]:[bl1_f]]),2), ",", " ", "$", ROUND(SUMPRODUCT((regions_ub[[setting]:[setting]]=F$1)*regions_ub[[bl1_f]:[bl1_f]]),2), ")")</f>
        <v>($0.69, $3.95)</v>
      </c>
      <c r="G22" s="143" t="str">
        <f>CONCATENATE("(", "$",ROUND(SUMPRODUCT((regions_lb[[setting]:[setting]]=G$1)*regions_lb[[bl1_f]:[bl1_f]]),2), ",", " ", "$", ROUND(SUMPRODUCT((regions_ub[[setting]:[setting]]=G$1)*regions_ub[[bl1_f]:[bl1_f]]),2), ")")</f>
        <v>($0.96, $6.25)</v>
      </c>
      <c r="H22" s="143" t="str">
        <f>CONCATENATE("(", "$",ROUND(SUMPRODUCT((regions_lb[[setting]:[setting]]=H$1)*regions_lb[[bl1_f]:[bl1_f]]),2), ",", " ", "$", ROUND(SUMPRODUCT((regions_ub[[setting]:[setting]]=H$1)*regions_ub[[bl1_f]:[bl1_f]]),2), ")")</f>
        <v>($0.95, $5.53)</v>
      </c>
    </row>
    <row r="23" spans="1:8" x14ac:dyDescent="0.25">
      <c r="A23" s="146" t="s">
        <v>803</v>
      </c>
      <c r="B23" s="154">
        <f>SUMPRODUCT((regions[[setting]:[setting]]=B$1)*regions[[bl1_c]:[bl1_c]])</f>
        <v>6.300867838205698</v>
      </c>
      <c r="C23" s="154">
        <f>SUMPRODUCT((regions[[setting]:[setting]]=C$1)*regions[[bl1_c]:[bl1_c]])</f>
        <v>3.1650420380584938</v>
      </c>
      <c r="D23" s="154">
        <f>SUMPRODUCT((regions[[setting]:[setting]]=D$1)*regions[[bl1_c]:[bl1_c]])</f>
        <v>3.3575683009684618</v>
      </c>
      <c r="E23" s="154">
        <f>SUMPRODUCT((regions[[setting]:[setting]]=E$1)*regions[[bl1_c]:[bl1_c]])</f>
        <v>7.1415128919323729</v>
      </c>
      <c r="F23" s="154">
        <f>SUMPRODUCT((regions[[setting]:[setting]]=F$1)*regions[[bl1_c]:[bl1_c]])</f>
        <v>3.7245999910610945</v>
      </c>
      <c r="G23" s="154">
        <f>SUMPRODUCT((regions[[setting]:[setting]]=G$1)*regions[[bl1_c]:[bl1_c]])</f>
        <v>3.2218314413048192</v>
      </c>
      <c r="H23" s="154">
        <f>SUMPRODUCT((regions[[setting]:[setting]]=H$1)*regions[[bl1_c]:[bl1_c]])</f>
        <v>3.7899487872740196</v>
      </c>
    </row>
    <row r="24" spans="1:8" x14ac:dyDescent="0.25">
      <c r="A24" s="146"/>
      <c r="B24" s="143" t="str">
        <f>CONCATENATE("(", "$",ROUND(SUMPRODUCT((regions_lb[[setting]:[setting]]=B$1)*regions_lb[[bl1_c]:[bl1_c]]),2), ",", " ", "$", ROUND(SUMPRODUCT((regions_ub[[setting]:[setting]]=B$1)*regions_ub[[bl1_c]:[bl1_c]]),2), ")")</f>
        <v>($4.49, $9.47)</v>
      </c>
      <c r="C24" s="143" t="str">
        <f>CONCATENATE("(", "$",ROUND(SUMPRODUCT((regions_lb[[setting]:[setting]]=C$1)*regions_lb[[bl1_c]:[bl1_c]]),2), ",", " ", "$", ROUND(SUMPRODUCT((regions_ub[[setting]:[setting]]=C$1)*regions_ub[[bl1_c]:[bl1_c]]),2), ")")</f>
        <v>($1.24, $7.38)</v>
      </c>
      <c r="D24" s="143" t="str">
        <f>CONCATENATE("(", "$",ROUND(SUMPRODUCT((regions_lb[[setting]:[setting]]=D$1)*regions_lb[[bl1_c]:[bl1_c]]),2), ",", " ", "$", ROUND(SUMPRODUCT((regions_ub[[setting]:[setting]]=D$1)*regions_ub[[bl1_c]:[bl1_c]]),2), ")")</f>
        <v>($1.72, $6.46)</v>
      </c>
      <c r="E24" s="143" t="str">
        <f>CONCATENATE("(", "$",ROUND(SUMPRODUCT((regions_lb[[setting]:[setting]]=E$1)*regions_lb[[bl1_c]:[bl1_c]]),2), ",", " ", "$", ROUND(SUMPRODUCT((regions_ub[[setting]:[setting]]=E$1)*regions_ub[[bl1_c]:[bl1_c]]),2), ")")</f>
        <v>($4.45, $12.47)</v>
      </c>
      <c r="F24" s="143" t="str">
        <f>CONCATENATE("(", "$",ROUND(SUMPRODUCT((regions_lb[[setting]:[setting]]=F$1)*regions_lb[[bl1_c]:[bl1_c]]),2), ",", " ", "$", ROUND(SUMPRODUCT((regions_ub[[setting]:[setting]]=F$1)*regions_ub[[bl1_c]:[bl1_c]]),2), ")")</f>
        <v>($2.63, $6.1)</v>
      </c>
      <c r="G24" s="143" t="str">
        <f>CONCATENATE("(", "$",ROUND(SUMPRODUCT((regions_lb[[setting]:[setting]]=G$1)*regions_lb[[bl1_c]:[bl1_c]]),2), ",", " ", "$", ROUND(SUMPRODUCT((regions_ub[[setting]:[setting]]=G$1)*regions_ub[[bl1_c]:[bl1_c]]),2), ")")</f>
        <v>($1.57, $6.93)</v>
      </c>
      <c r="H24" s="143" t="str">
        <f>CONCATENATE("(", "$",ROUND(SUMPRODUCT((regions_lb[[setting]:[setting]]=H$1)*regions_lb[[bl1_c]:[bl1_c]]),2), ",", " ", "$", ROUND(SUMPRODUCT((regions_ub[[setting]:[setting]]=H$1)*regions_ub[[bl1_c]:[bl1_c]]),2), ")")</f>
        <v>($2.28, $7)</v>
      </c>
    </row>
    <row r="25" spans="1:8" ht="30" x14ac:dyDescent="0.25">
      <c r="A25" s="146" t="s">
        <v>804</v>
      </c>
      <c r="B25" s="154">
        <f>SUMPRODUCT((regions[[setting]:[setting]]=B$1)*regions[[map_f]:[map_f]])</f>
        <v>2.4470786664302042</v>
      </c>
      <c r="C25" s="154">
        <f>SUMPRODUCT((regions[[setting]:[setting]]=C$1)*regions[[map_f]:[map_f]])</f>
        <v>2.7000077901494879</v>
      </c>
      <c r="D25" s="154">
        <f>SUMPRODUCT((regions[[setting]:[setting]]=D$1)*regions[[map_f]:[map_f]])</f>
        <v>2.4783457640886586</v>
      </c>
      <c r="E25" s="154">
        <f>SUMPRODUCT((regions[[setting]:[setting]]=E$1)*regions[[map_f]:[map_f]])</f>
        <v>3.7598616272218806</v>
      </c>
      <c r="F25" s="154">
        <f>SUMPRODUCT((regions[[setting]:[setting]]=F$1)*regions[[map_f]:[map_f]])</f>
        <v>1.2457848523011696</v>
      </c>
      <c r="G25" s="154">
        <f>SUMPRODUCT((regions[[setting]:[setting]]=G$1)*regions[[map_f]:[map_f]])</f>
        <v>2.1321550200260941</v>
      </c>
      <c r="H25" s="154">
        <f>SUMPRODUCT((regions[[setting]:[setting]]=H$1)*regions[[map_f]:[map_f]])</f>
        <v>1.9580220848420329</v>
      </c>
    </row>
    <row r="26" spans="1:8" x14ac:dyDescent="0.25">
      <c r="A26" s="146"/>
      <c r="B26" s="143" t="str">
        <f>CONCATENATE("(", "$",ROUND(SUMPRODUCT((regions_lb[[setting]:[setting]]=B$1)*regions_lb[[map_f]:[map_f]]),2), ",", " ", "$", ROUND(SUMPRODUCT((regions_ub[[setting]:[setting]]=B$1)*regions_ub[[map_f]:[map_f]]),2), ")")</f>
        <v>($0.87, $5.37)</v>
      </c>
      <c r="C26" s="143" t="str">
        <f>CONCATENATE("(", "$",ROUND(SUMPRODUCT((regions_lb[[setting]:[setting]]=C$1)*regions_lb[[map_f]:[map_f]]),2), ",", " ", "$", ROUND(SUMPRODUCT((regions_ub[[setting]:[setting]]=C$1)*regions_ub[[map_f]:[map_f]]),2), ")")</f>
        <v>($0.85, $6.82)</v>
      </c>
      <c r="D26" s="143" t="str">
        <f>CONCATENATE("(", "$",ROUND(SUMPRODUCT((regions_lb[[setting]:[setting]]=D$1)*regions_lb[[map_f]:[map_f]]),2), ",", " ", "$", ROUND(SUMPRODUCT((regions_ub[[setting]:[setting]]=D$1)*regions_ub[[map_f]:[map_f]]),2), ")")</f>
        <v>($0.9, $5.54)</v>
      </c>
      <c r="E26" s="143" t="str">
        <f>CONCATENATE("(", "$",ROUND(SUMPRODUCT((regions_lb[[setting]:[setting]]=E$1)*regions_lb[[map_f]:[map_f]]),2), ",", " ", "$", ROUND(SUMPRODUCT((regions_ub[[setting]:[setting]]=E$1)*regions_ub[[map_f]:[map_f]]),2), ")")</f>
        <v>($1.29, $8.85)</v>
      </c>
      <c r="F26" s="143" t="str">
        <f>CONCATENATE("(", "$",ROUND(SUMPRODUCT((regions_lb[[setting]:[setting]]=F$1)*regions_lb[[map_f]:[map_f]]),2), ",", " ", "$", ROUND(SUMPRODUCT((regions_ub[[setting]:[setting]]=F$1)*regions_ub[[map_f]:[map_f]]),2), ")")</f>
        <v>($0.32, $3.44)</v>
      </c>
      <c r="G26" s="143" t="str">
        <f>CONCATENATE("(", "$",ROUND(SUMPRODUCT((regions_lb[[setting]:[setting]]=G$1)*regions_lb[[map_f]:[map_f]]),2), ",", " ", "$", ROUND(SUMPRODUCT((regions_ub[[setting]:[setting]]=G$1)*regions_ub[[map_f]:[map_f]]),2), ")")</f>
        <v>($0.58, $5.71)</v>
      </c>
      <c r="H26" s="143" t="str">
        <f>CONCATENATE("(", "$",ROUND(SUMPRODUCT((regions_lb[[setting]:[setting]]=H$1)*regions_lb[[map_f]:[map_f]]),2), ",", " ", "$", ROUND(SUMPRODUCT((regions_ub[[setting]:[setting]]=H$1)*regions_ub[[map_f]:[map_f]]),2), ")")</f>
        <v>($0.58, $5.02)</v>
      </c>
    </row>
    <row r="27" spans="1:8" ht="30" x14ac:dyDescent="0.25">
      <c r="A27" s="146" t="s">
        <v>805</v>
      </c>
      <c r="B27" s="154">
        <f>SUMPRODUCT((regions[[setting]:[setting]]=B$1)*regions[[map_cq]:[map_cq]])</f>
        <v>5.8715331716416745</v>
      </c>
      <c r="C27" s="154">
        <f>SUMPRODUCT((regions[[setting]:[setting]]=C$1)*regions[[map_cq]:[map_cq]])</f>
        <v>2.7200077901494892</v>
      </c>
      <c r="D27" s="154">
        <f>SUMPRODUCT((regions[[setting]:[setting]]=D$1)*regions[[map_cq]:[map_cq]])</f>
        <v>2.9236955174045107</v>
      </c>
      <c r="E27" s="154">
        <f>SUMPRODUCT((regions[[setting]:[setting]]=E$1)*regions[[map_cq]:[map_cq]])</f>
        <v>6.7015539474903827</v>
      </c>
      <c r="F27" s="154">
        <f>SUMPRODUCT((regions[[setting]:[setting]]=F$1)*regions[[map_cq]:[map_cq]])</f>
        <v>3.2923840755939162</v>
      </c>
      <c r="G27" s="154">
        <f>SUMPRODUCT((regions[[setting]:[setting]]=G$1)*regions[[map_cq]:[map_cq]])</f>
        <v>2.7742438403144623</v>
      </c>
      <c r="H27" s="154">
        <f>SUMPRODUCT((regions[[setting]:[setting]]=H$1)*regions[[map_cq]:[map_cq]])</f>
        <v>3.3515609537316893</v>
      </c>
    </row>
    <row r="28" spans="1:8" x14ac:dyDescent="0.25">
      <c r="A28" s="146"/>
      <c r="B28" s="143" t="str">
        <f>CONCATENATE("(", "$",ROUND(SUMPRODUCT((regions_lb[[setting]:[setting]]=B$1)*regions_lb[[map_cq]:[map_cq]]),2), ",", " ", "$", ROUND(SUMPRODUCT((regions_ub[[setting]:[setting]]=B$1)*regions_ub[[map_cq]:[map_cq]]),2), ")")</f>
        <v>($4.12, $8.97)</v>
      </c>
      <c r="C28" s="143" t="str">
        <f>CONCATENATE("(", "$",ROUND(SUMPRODUCT((regions_lb[[setting]:[setting]]=C$1)*regions_lb[[map_cq]:[map_cq]]),2), ",", " ", "$", ROUND(SUMPRODUCT((regions_ub[[setting]:[setting]]=C$1)*regions_ub[[map_cq]:[map_cq]]),2), ")")</f>
        <v>($0.87, $6.85)</v>
      </c>
      <c r="D28" s="143" t="str">
        <f>CONCATENATE("(", "$",ROUND(SUMPRODUCT((regions_lb[[setting]:[setting]]=D$1)*regions_lb[[map_cq]:[map_cq]]),2), ",", " ", "$", ROUND(SUMPRODUCT((regions_ub[[setting]:[setting]]=D$1)*regions_ub[[map_cq]:[map_cq]]),2), ")")</f>
        <v>($1.35, $5.95)</v>
      </c>
      <c r="E28" s="143" t="str">
        <f>CONCATENATE("(", "$",ROUND(SUMPRODUCT((regions_lb[[setting]:[setting]]=E$1)*regions_lb[[map_cq]:[map_cq]]),2), ",", " ", "$", ROUND(SUMPRODUCT((regions_ub[[setting]:[setting]]=E$1)*regions_ub[[map_cq]:[map_cq]]),2), ")")</f>
        <v>($4.08, $11.94)</v>
      </c>
      <c r="F28" s="143" t="str">
        <f>CONCATENATE("(", "$",ROUND(SUMPRODUCT((regions_lb[[setting]:[setting]]=F$1)*regions_lb[[map_cq]:[map_cq]]),2), ",", " ", "$", ROUND(SUMPRODUCT((regions_ub[[setting]:[setting]]=F$1)*regions_ub[[map_cq]:[map_cq]]),2), ")")</f>
        <v>($2.26, $5.59)</v>
      </c>
      <c r="G28" s="143" t="str">
        <f>CONCATENATE("(", "$",ROUND(SUMPRODUCT((regions_lb[[setting]:[setting]]=G$1)*regions_lb[[map_cq]:[map_cq]]),2), ",", " ", "$", ROUND(SUMPRODUCT((regions_ub[[setting]:[setting]]=G$1)*regions_ub[[map_cq]:[map_cq]]),2), ")")</f>
        <v>($1.2, $6.39)</v>
      </c>
      <c r="H28" s="143" t="str">
        <f>CONCATENATE("(", "$",ROUND(SUMPRODUCT((regions_lb[[setting]:[setting]]=H$1)*regions_lb[[map_cq]:[map_cq]]),2), ",", " ", "$", ROUND(SUMPRODUCT((regions_ub[[setting]:[setting]]=H$1)*regions_ub[[map_cq]:[map_cq]]),2), ")")</f>
        <v>($1.91, $6.48)</v>
      </c>
    </row>
    <row r="29" spans="1:8" ht="30" x14ac:dyDescent="0.25">
      <c r="A29" s="146" t="s">
        <v>806</v>
      </c>
      <c r="B29" s="154">
        <f>SUMPRODUCT((regions[[setting]:[setting]]=B$1)*regions[[map_cl]:[map_cl]])</f>
        <v>5.8668395295753806</v>
      </c>
      <c r="C29" s="154">
        <f>SUMPRODUCT((regions[[setting]:[setting]]=C$1)*regions[[map_cl]:[map_cl]])</f>
        <v>2.7090070021077524</v>
      </c>
      <c r="D29" s="154">
        <f>SUMPRODUCT((regions[[setting]:[setting]]=D$1)*regions[[map_cl]:[map_cl]])</f>
        <v>2.917131938174109</v>
      </c>
      <c r="E29" s="154">
        <f>SUMPRODUCT((regions[[setting]:[setting]]=E$1)*regions[[map_cl]:[map_cl]])</f>
        <v>6.6926669822844085</v>
      </c>
      <c r="F29" s="154">
        <f>SUMPRODUCT((regions[[setting]:[setting]]=F$1)*regions[[map_cl]:[map_cl]])</f>
        <v>3.2865704890261047</v>
      </c>
      <c r="G29" s="154">
        <f>SUMPRODUCT((regions[[setting]:[setting]]=G$1)*regions[[map_cl]:[map_cl]])</f>
        <v>2.7621900383622102</v>
      </c>
      <c r="H29" s="154">
        <f>SUMPRODUCT((regions[[setting]:[setting]]=H$1)*regions[[map_cl]:[map_cl]])</f>
        <v>3.3432372539798396</v>
      </c>
    </row>
    <row r="30" spans="1:8" x14ac:dyDescent="0.25">
      <c r="A30" s="146"/>
      <c r="B30" s="143" t="str">
        <f>CONCATENATE("(", "$",ROUND(SUMPRODUCT((regions_lb[[setting]:[setting]]=B$1)*regions_lb[[map_cl]:[map_cl]]),2), ",", " ", "$", ROUND(SUMPRODUCT((regions_ub[[setting]:[setting]]=B$1)*regions_ub[[map_cl]:[map_cl]]),2), ")")</f>
        <v>($4.12, $8.95)</v>
      </c>
      <c r="C30" s="143" t="str">
        <f>CONCATENATE("(", "$",ROUND(SUMPRODUCT((regions_lb[[setting]:[setting]]=C$1)*regions_lb[[map_cl]:[map_cl]]),2), ",", " ", "$", ROUND(SUMPRODUCT((regions_ub[[setting]:[setting]]=C$1)*regions_ub[[map_cl]:[map_cl]]),2), ")")</f>
        <v>($0.86, $6.82)</v>
      </c>
      <c r="D30" s="143" t="str">
        <f>CONCATENATE("(", "$",ROUND(SUMPRODUCT((regions_lb[[setting]:[setting]]=D$1)*regions_lb[[map_cl]:[map_cl]]),2), ",", " ", "$", ROUND(SUMPRODUCT((regions_ub[[setting]:[setting]]=D$1)*regions_ub[[map_cl]:[map_cl]]),2), ")")</f>
        <v>($1.35, $5.93)</v>
      </c>
      <c r="E30" s="143" t="str">
        <f>CONCATENATE("(", "$",ROUND(SUMPRODUCT((regions_lb[[setting]:[setting]]=E$1)*regions_lb[[map_cl]:[map_cl]]),2), ",", " ", "$", ROUND(SUMPRODUCT((regions_ub[[setting]:[setting]]=E$1)*regions_ub[[map_cl]:[map_cl]]),2), ")")</f>
        <v>($4.07, $11.92)</v>
      </c>
      <c r="F30" s="143" t="str">
        <f>CONCATENATE("(", "$",ROUND(SUMPRODUCT((regions_lb[[setting]:[setting]]=F$1)*regions_lb[[map_cl]:[map_cl]]),2), ",", " ", "$", ROUND(SUMPRODUCT((regions_ub[[setting]:[setting]]=F$1)*regions_ub[[map_cl]:[map_cl]]),2), ")")</f>
        <v>($2.26, $5.58)</v>
      </c>
      <c r="G30" s="143" t="str">
        <f>CONCATENATE("(", "$",ROUND(SUMPRODUCT((regions_lb[[setting]:[setting]]=G$1)*regions_lb[[map_cl]:[map_cl]]),2), ",", " ", "$", ROUND(SUMPRODUCT((regions_ub[[setting]:[setting]]=G$1)*regions_ub[[map_cl]:[map_cl]]),2), ")")</f>
        <v>($1.19, $6.36)</v>
      </c>
      <c r="H30" s="143" t="str">
        <f>CONCATENATE("(", "$",ROUND(SUMPRODUCT((regions_lb[[setting]:[setting]]=H$1)*regions_lb[[map_cl]:[map_cl]]),2), ",", " ", "$", ROUND(SUMPRODUCT((regions_ub[[setting]:[setting]]=H$1)*regions_ub[[map_cl]:[map_cl]]),2), ")")</f>
        <v>($1.9, $6.46)</v>
      </c>
    </row>
    <row r="31" spans="1:8" ht="29.25" x14ac:dyDescent="0.25">
      <c r="A31" s="145" t="s">
        <v>831</v>
      </c>
      <c r="B31" s="61"/>
      <c r="C31" s="61"/>
      <c r="D31" s="61"/>
      <c r="E31" s="61"/>
      <c r="F31" s="61"/>
      <c r="G31" s="61"/>
      <c r="H31" s="61"/>
    </row>
    <row r="32" spans="1:8" x14ac:dyDescent="0.25">
      <c r="A32" s="146" t="s">
        <v>832</v>
      </c>
      <c r="B32" s="154">
        <f>SUMPRODUCT((regions[[setting]:[setting]]=B$1)*regions[[c_diag]:[c_diag]])</f>
        <v>4.6578711530420058</v>
      </c>
      <c r="C32" s="154">
        <f>SUMPRODUCT((regions[[setting]:[setting]]=C$1)*regions[[c_diag]:[c_diag]])</f>
        <v>9.6840699904272629</v>
      </c>
      <c r="D32" s="154">
        <f>SUMPRODUCT((regions[[setting]:[setting]]=D$1)*regions[[c_diag]:[c_diag]])</f>
        <v>6.5594837976176033</v>
      </c>
      <c r="E32" s="154">
        <f>SUMPRODUCT((regions[[setting]:[setting]]=E$1)*regions[[c_diag]:[c_diag]])</f>
        <v>10.329323479947563</v>
      </c>
      <c r="F32" s="154">
        <f>SUMPRODUCT((regions[[setting]:[setting]]=F$1)*regions[[c_diag]:[c_diag]])</f>
        <v>4.0664290368569871</v>
      </c>
      <c r="G32" s="154">
        <f>SUMPRODUCT((regions[[setting]:[setting]]=G$1)*regions[[c_diag]:[c_diag]])</f>
        <v>7.3584077095565021</v>
      </c>
      <c r="H32" s="154">
        <f>SUMPRODUCT((regions[[setting]:[setting]]=H$1)*regions[[c_diag]:[c_diag]])</f>
        <v>6.1439261675930394</v>
      </c>
    </row>
    <row r="33" spans="1:8" x14ac:dyDescent="0.25">
      <c r="A33" s="146" t="s">
        <v>782</v>
      </c>
      <c r="B33" s="154">
        <f>SUMPRODUCT((regions[[setting]:[setting]]=B$1)*regions[[c_C]:[c_C]])</f>
        <v>35.224544026471641</v>
      </c>
      <c r="C33" s="154">
        <f>SUMPRODUCT((regions[[setting]:[setting]]=C$1)*regions[[c_C]:[c_C]])</f>
        <v>86.883900000000011</v>
      </c>
      <c r="D33" s="154">
        <f>SUMPRODUCT((regions[[setting]:[setting]]=D$1)*regions[[c_C]:[c_C]])</f>
        <v>46.291635178209084</v>
      </c>
      <c r="E33" s="154">
        <f>SUMPRODUCT((regions[[setting]:[setting]]=E$1)*regions[[c_C]:[c_C]])</f>
        <v>45.102653861280537</v>
      </c>
      <c r="F33" s="154">
        <f>SUMPRODUCT((regions[[setting]:[setting]]=F$1)*regions[[c_C]:[c_C]])</f>
        <v>51.925333381580252</v>
      </c>
      <c r="G33" s="154">
        <f>SUMPRODUCT((regions[[setting]:[setting]]=G$1)*regions[[c_C]:[c_C]])</f>
        <v>72.984180011147103</v>
      </c>
      <c r="H33" s="154">
        <f>SUMPRODUCT((regions[[setting]:[setting]]=H$1)*regions[[c_C]:[c_C]])</f>
        <v>59.667392371894778</v>
      </c>
    </row>
    <row r="34" spans="1:8" x14ac:dyDescent="0.25">
      <c r="A34" s="146" t="s">
        <v>783</v>
      </c>
      <c r="B34" s="154">
        <f>SUMPRODUCT((regions[[setting]:[setting]]=B$1)*regions[[c_CC]:[c_CC]])</f>
        <v>82.966544026471652</v>
      </c>
      <c r="C34" s="154">
        <f>SUMPRODUCT((regions[[setting]:[setting]]=C$1)*regions[[c_CC]:[c_CC]])</f>
        <v>134.62589999999994</v>
      </c>
      <c r="D34" s="154">
        <f>SUMPRODUCT((regions[[setting]:[setting]]=D$1)*regions[[c_CC]:[c_CC]])</f>
        <v>94.03363517820911</v>
      </c>
      <c r="E34" s="154">
        <f>SUMPRODUCT((regions[[setting]:[setting]]=E$1)*regions[[c_CC]:[c_CC]])</f>
        <v>92.844653861280534</v>
      </c>
      <c r="F34" s="154">
        <f>SUMPRODUCT((regions[[setting]:[setting]]=F$1)*regions[[c_CC]:[c_CC]])</f>
        <v>99.667333381580264</v>
      </c>
      <c r="G34" s="154">
        <f>SUMPRODUCT((regions[[setting]:[setting]]=G$1)*regions[[c_CC]:[c_CC]])</f>
        <v>120.72618001114709</v>
      </c>
      <c r="H34" s="154">
        <f>SUMPRODUCT((regions[[setting]:[setting]]=H$1)*regions[[c_CC]:[c_CC]])</f>
        <v>107.40939237189475</v>
      </c>
    </row>
    <row r="35" spans="1:8" x14ac:dyDescent="0.25">
      <c r="A35" s="146" t="s">
        <v>784</v>
      </c>
      <c r="B35" s="154">
        <f>SUMPRODUCT((regions[[setting]:[setting]]=B$1)*regions[[c_DC]:[c_DC]])</f>
        <v>82.966544026471652</v>
      </c>
      <c r="C35" s="154">
        <f>SUMPRODUCT((regions[[setting]:[setting]]=C$1)*regions[[c_DC]:[c_DC]])</f>
        <v>134.62589999999994</v>
      </c>
      <c r="D35" s="154">
        <f>SUMPRODUCT((regions[[setting]:[setting]]=D$1)*regions[[c_DC]:[c_DC]])</f>
        <v>94.03363517820911</v>
      </c>
      <c r="E35" s="154">
        <f>SUMPRODUCT((regions[[setting]:[setting]]=E$1)*regions[[c_DC]:[c_DC]])</f>
        <v>92.844653861280534</v>
      </c>
      <c r="F35" s="154">
        <f>SUMPRODUCT((regions[[setting]:[setting]]=F$1)*regions[[c_DC]:[c_DC]])</f>
        <v>99.667333381580264</v>
      </c>
      <c r="G35" s="154">
        <f>SUMPRODUCT((regions[[setting]:[setting]]=G$1)*regions[[c_DC]:[c_DC]])</f>
        <v>120.72618001114709</v>
      </c>
      <c r="H35" s="154">
        <f>SUMPRODUCT((regions[[setting]:[setting]]=H$1)*regions[[c_DC]:[c_DC]])</f>
        <v>107.40939237189475</v>
      </c>
    </row>
    <row r="36" spans="1:8" x14ac:dyDescent="0.25">
      <c r="A36" s="146" t="s">
        <v>785</v>
      </c>
      <c r="B36" s="154">
        <f>SUMPRODUCT((regions[[setting]:[setting]]=B$1)*regions[[c_HCC]:[c_HCC]])</f>
        <v>82.966544026471652</v>
      </c>
      <c r="C36" s="154">
        <f>SUMPRODUCT((regions[[setting]:[setting]]=C$1)*regions[[c_HCC]:[c_HCC]])</f>
        <v>134.62589999999994</v>
      </c>
      <c r="D36" s="154">
        <f>SUMPRODUCT((regions[[setting]:[setting]]=D$1)*regions[[c_HCC]:[c_HCC]])</f>
        <v>94.03363517820911</v>
      </c>
      <c r="E36" s="154">
        <f>SUMPRODUCT((regions[[setting]:[setting]]=E$1)*regions[[c_HCC]:[c_HCC]])</f>
        <v>92.844653861280534</v>
      </c>
      <c r="F36" s="154">
        <f>SUMPRODUCT((regions[[setting]:[setting]]=F$1)*regions[[c_HCC]:[c_HCC]])</f>
        <v>99.667333381580264</v>
      </c>
      <c r="G36" s="154">
        <f>SUMPRODUCT((regions[[setting]:[setting]]=G$1)*regions[[c_HCC]:[c_HCC]])</f>
        <v>120.72618001114709</v>
      </c>
      <c r="H36" s="154">
        <f>SUMPRODUCT((regions[[setting]:[setting]]=H$1)*regions[[c_HCC]:[c_HCC]])</f>
        <v>107.40939237189475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2"/>
  <sheetViews>
    <sheetView workbookViewId="0">
      <selection activeCell="U42" sqref="U42"/>
    </sheetView>
  </sheetViews>
  <sheetFormatPr defaultRowHeight="15" x14ac:dyDescent="0.25"/>
  <cols>
    <col min="1" max="1" width="8.85546875" style="33"/>
    <col min="2" max="2" width="21.5703125" customWidth="1"/>
    <col min="3" max="3" width="17" customWidth="1"/>
    <col min="4" max="4" width="16.28515625" customWidth="1"/>
    <col min="5" max="5" width="17.42578125" customWidth="1"/>
    <col min="6" max="6" width="19.28515625" customWidth="1"/>
    <col min="7" max="7" width="13.28515625" customWidth="1"/>
  </cols>
  <sheetData>
    <row r="1" spans="1:11" x14ac:dyDescent="0.25">
      <c r="C1" t="s">
        <v>744</v>
      </c>
      <c r="D1" t="s">
        <v>838</v>
      </c>
      <c r="E1" t="s">
        <v>839</v>
      </c>
      <c r="F1" t="s">
        <v>840</v>
      </c>
      <c r="G1" t="s">
        <v>841</v>
      </c>
      <c r="H1" t="s">
        <v>847</v>
      </c>
      <c r="I1" t="s">
        <v>848</v>
      </c>
      <c r="J1" t="s">
        <v>849</v>
      </c>
      <c r="K1" t="s">
        <v>850</v>
      </c>
    </row>
    <row r="2" spans="1:11" x14ac:dyDescent="0.25">
      <c r="A2" s="33" t="s">
        <v>677</v>
      </c>
      <c r="B2" t="s">
        <v>842</v>
      </c>
      <c r="C2" s="126">
        <f>VLOOKUP($A2,Table15[],9,FALSE)</f>
        <v>2.4369949242141238</v>
      </c>
      <c r="D2" s="126">
        <f>VLOOKUP($A2,Table15[],11,FALSE)</f>
        <v>0.41792411616161618</v>
      </c>
      <c r="E2" s="126">
        <f>SUMPRODUCT((Table26[[who_reg]:[who_reg]]=$A2)*Table26[[births]:[births]]*Table26[[cc_pe]:[cc_pe]]*(LEN(Table26[[cc_pe]:[cc_pe]])&gt;1)*(LEN(Table26[[bd_cov]:[bd_cov]])&gt;interactive!$C$6))/SUMPRODUCT((Table26[[who_reg]:[who_reg]]=$A2)*Table26[[births]:[births]]*(LEN(Table26[[cc_pe]:[cc_pe]])&gt;1)*(LEN(Table26[[bd_cov]:[bd_cov]])&gt;interactive!$C$6))</f>
        <v>2.1494292618487093E-2</v>
      </c>
      <c r="F2" s="126">
        <v>0</v>
      </c>
      <c r="G2" s="126">
        <f>SUM(C2:F2)</f>
        <v>2.8764133329942267</v>
      </c>
      <c r="H2" s="126">
        <f>'Regions'!V$11</f>
        <v>1.2381563728713176</v>
      </c>
      <c r="I2" s="126">
        <f>'Regions'!V$20</f>
        <v>5.8763609131509655</v>
      </c>
      <c r="J2" s="126">
        <f>G2-H2</f>
        <v>1.6382569601229091</v>
      </c>
      <c r="K2" s="126">
        <f>I2-G2</f>
        <v>2.9999475801567388</v>
      </c>
    </row>
    <row r="3" spans="1:11" x14ac:dyDescent="0.25">
      <c r="A3" s="33" t="s">
        <v>677</v>
      </c>
      <c r="B3" t="s">
        <v>843</v>
      </c>
      <c r="C3" s="126">
        <f>VLOOKUP($A3,Table15[],9,FALSE)</f>
        <v>2.4369949242141238</v>
      </c>
      <c r="D3" s="126">
        <f>VLOOKUP($A3,Table15[],11,FALSE)</f>
        <v>0.41792411616161618</v>
      </c>
      <c r="E3" s="126">
        <f>SUMPRODUCT((Table26[[who_reg]:[who_reg]]=$A3)*Table26[[births]:[births]]*Table26[[cc_pe]:[cc_pe]]*(LEN(Table26[[cc_pe]:[cc_pe]])&gt;1)*(LEN(Table26[[bd_cov]:[bd_cov]])&gt;interactive!$C$6))/SUMPRODUCT((Table26[[who_reg]:[who_reg]]=$A3)*Table26[[births]:[births]]*(LEN(Table26[[cc_pe]:[cc_pe]])&gt;1)*(LEN(Table26[[bd_cov]:[bd_cov]])&gt;interactive!$C$6))</f>
        <v>2.1494292618487093E-2</v>
      </c>
      <c r="F3" s="126">
        <f>VLOOKUP($A3,Table15[],22,FALSE)</f>
        <v>3.4244545052114708</v>
      </c>
      <c r="G3" s="126">
        <f t="shared" ref="G3:G6" si="0">SUM(C3:F3)</f>
        <v>6.3008678382056971</v>
      </c>
      <c r="H3" s="126">
        <f>'Regions'!W$11</f>
        <v>4.4904294152125699</v>
      </c>
      <c r="I3" s="126">
        <f>'Regions'!W$20</f>
        <v>9.4709784862649808</v>
      </c>
      <c r="J3" s="126">
        <f t="shared" ref="J3:J42" si="1">G3-H3</f>
        <v>1.8104384229931272</v>
      </c>
      <c r="K3" s="126">
        <f t="shared" ref="K3:K42" si="2">I3-G3</f>
        <v>3.1701106480592838</v>
      </c>
    </row>
    <row r="4" spans="1:11" x14ac:dyDescent="0.25">
      <c r="A4" s="33" t="s">
        <v>677</v>
      </c>
      <c r="B4" t="s">
        <v>844</v>
      </c>
      <c r="C4" s="126">
        <f>VLOOKUP($A4,Table15[],9,FALSE)</f>
        <v>2.4369949242141238</v>
      </c>
      <c r="D4">
        <v>0</v>
      </c>
      <c r="E4" s="126">
        <f>SUMPRODUCT((Table26[[who_reg]:[who_reg]]=$A4)*Table26[[births]:[births]]*Table26[[qmap_pe]:[qmap_pe]]*(LEN(Table26[[qmap_pe]:[qmap_pe]])&gt;1)*(LEN(Table26[[bd_cov]:[bd_cov]])&gt;interactive!$C$6))/SUMPRODUCT((Table26[[who_reg]:[who_reg]]=$A4)*Table26[[births]:[births]]*(LEN(Table26[[qmap_pe]:[qmap_pe]])&gt;1)*(LEN(Table26[[bd_cov]:[bd_cov]])&gt;interactive!$C$6))</f>
        <v>1.0083742216080365E-2</v>
      </c>
      <c r="F4" s="126">
        <v>0</v>
      </c>
      <c r="G4" s="126">
        <f t="shared" si="0"/>
        <v>2.4470786664302042</v>
      </c>
      <c r="H4" s="126">
        <f>'Regions'!X$11</f>
        <v>0.87149055109202767</v>
      </c>
      <c r="I4" s="126">
        <f>'Regions'!X$20</f>
        <v>5.3713947584272965</v>
      </c>
      <c r="J4" s="126">
        <f t="shared" si="1"/>
        <v>1.5755881153381766</v>
      </c>
      <c r="K4" s="126">
        <f t="shared" si="2"/>
        <v>2.9243160919970923</v>
      </c>
    </row>
    <row r="5" spans="1:11" x14ac:dyDescent="0.25">
      <c r="A5" s="33" t="s">
        <v>677</v>
      </c>
      <c r="B5" t="s">
        <v>845</v>
      </c>
      <c r="C5" s="126">
        <f>VLOOKUP($A5,Table15[],9,FALSE)</f>
        <v>2.4369949242141238</v>
      </c>
      <c r="D5">
        <v>0</v>
      </c>
      <c r="E5" s="126">
        <f>SUMPRODUCT((Table26[[who_reg]:[who_reg]]=$A5)*Table26[[births]:[births]]*Table26[[qmap_pe]:[qmap_pe]]*(LEN(Table26[[qmap_pe]:[qmap_pe]])&gt;1)*(LEN(Table26[[bd_cov]:[bd_cov]])&gt;interactive!$C$6))/SUMPRODUCT((Table26[[who_reg]:[who_reg]]=$A5)*Table26[[births]:[births]]*(LEN(Table26[[qmap_pe]:[qmap_pe]])&gt;1)*(LEN(Table26[[bd_cov]:[bd_cov]])&gt;interactive!$C$6))</f>
        <v>1.0083742216080365E-2</v>
      </c>
      <c r="F5" s="126">
        <f>VLOOKUP($A5,Table15[],22,FALSE)</f>
        <v>3.4244545052114708</v>
      </c>
      <c r="G5" s="126">
        <f t="shared" si="0"/>
        <v>5.8715331716416745</v>
      </c>
      <c r="H5" s="126">
        <f>'Regions'!Y$11</f>
        <v>4.1237635934332797</v>
      </c>
      <c r="I5" s="126">
        <f>'Regions'!Y$20</f>
        <v>8.9660123315413127</v>
      </c>
      <c r="J5" s="126">
        <f t="shared" si="1"/>
        <v>1.7477695782083948</v>
      </c>
      <c r="K5" s="126">
        <f t="shared" si="2"/>
        <v>3.0944791598996382</v>
      </c>
    </row>
    <row r="6" spans="1:11" x14ac:dyDescent="0.25">
      <c r="A6" s="33" t="s">
        <v>677</v>
      </c>
      <c r="B6" t="s">
        <v>846</v>
      </c>
      <c r="C6" s="126">
        <f>VLOOKUP($A6,Table15[],9,FALSE)</f>
        <v>2.4369949242141238</v>
      </c>
      <c r="D6">
        <v>0</v>
      </c>
      <c r="E6" s="126">
        <f>SUMPRODUCT((Table26[[who_reg]:[who_reg]]=$A6)*Table26[[births]:[births]]*Table26[[lmap_pe]:[lmap_pe]]*(LEN(Table26[[lmap_pe]:[lmap_pe]])&gt;1)*(LEN(Table26[[bd_cov]:[bd_cov]])&gt;interactive!$C$6))/SUMPRODUCT((Table26[[who_reg]:[who_reg]]=$A6)*Table26[[births]:[births]]*(LEN(Table26[[lmap_pe]:[lmap_pe]])&gt;1)*(LEN(Table26[[bd_cov]:[bd_cov]])&gt;interactive!$C$6))</f>
        <v>5.3901001497868237E-3</v>
      </c>
      <c r="F6" s="126">
        <f>VLOOKUP($A6,Table15[],22,FALSE)</f>
        <v>3.4244545052114708</v>
      </c>
      <c r="G6" s="126">
        <f t="shared" si="0"/>
        <v>5.8668395295753815</v>
      </c>
      <c r="H6" s="126">
        <f>'Regions'!Z$11</f>
        <v>4.1206756710212442</v>
      </c>
      <c r="I6" s="126">
        <f>'Regions'!Z$20</f>
        <v>8.9536606418931708</v>
      </c>
      <c r="J6" s="126">
        <f t="shared" si="1"/>
        <v>1.7461638585541372</v>
      </c>
      <c r="K6" s="126">
        <f t="shared" si="2"/>
        <v>3.0868211123177893</v>
      </c>
    </row>
    <row r="7" spans="1:11" x14ac:dyDescent="0.25">
      <c r="J7" s="126"/>
      <c r="K7" s="126"/>
    </row>
    <row r="8" spans="1:11" x14ac:dyDescent="0.25">
      <c r="A8" s="33" t="s">
        <v>679</v>
      </c>
      <c r="B8" s="33" t="s">
        <v>842</v>
      </c>
      <c r="C8" s="126">
        <f>VLOOKUP($A8,Table15[],9,FALSE)</f>
        <v>2.6760499993029576</v>
      </c>
      <c r="D8" s="126">
        <f>VLOOKUP($A8,Table15[],11,FALSE)</f>
        <v>0.41792411616161618</v>
      </c>
      <c r="E8" s="126">
        <f>SUMPRODUCT((Table26[[who_reg]:[who_reg]]=$A8)*Table26[[births]:[births]]*Table26[[cc_pe]:[cc_pe]]*(LEN(Table26[[cc_pe]:[cc_pe]])&gt;1)*(LEN(Table26[[bd_cov]:[bd_cov]])&gt;interactive!$C$6))/SUMPRODUCT((Table26[[who_reg]:[who_reg]]=$A8)*Table26[[births]:[births]]*(LEN(Table26[[cc_pe]:[cc_pe]])&gt;1)*(LEN(Table26[[bd_cov]:[bd_cov]])&gt;interactive!$C$6))</f>
        <v>5.1067922593921032E-2</v>
      </c>
      <c r="F8" s="126">
        <v>0</v>
      </c>
      <c r="G8" s="126">
        <f>SUM(C8:F8)</f>
        <v>3.1450420380584947</v>
      </c>
      <c r="H8" s="126">
        <f>'Regions'!V$12</f>
        <v>1.2226998265511604</v>
      </c>
      <c r="I8" s="126">
        <f>'Regions'!V$21</f>
        <v>7.3584185189049851</v>
      </c>
      <c r="J8" s="126">
        <f t="shared" si="1"/>
        <v>1.9223422115073343</v>
      </c>
      <c r="K8" s="126">
        <f t="shared" si="2"/>
        <v>4.21337648084649</v>
      </c>
    </row>
    <row r="9" spans="1:11" x14ac:dyDescent="0.25">
      <c r="A9" s="33" t="s">
        <v>679</v>
      </c>
      <c r="B9" s="33" t="s">
        <v>843</v>
      </c>
      <c r="C9" s="126">
        <f>VLOOKUP($A9,Table15[],9,FALSE)</f>
        <v>2.6760499993029576</v>
      </c>
      <c r="D9" s="126">
        <f>VLOOKUP($A9,Table15[],11,FALSE)</f>
        <v>0.41792411616161618</v>
      </c>
      <c r="E9" s="126">
        <f>SUMPRODUCT((Table26[[who_reg]:[who_reg]]=$A9)*Table26[[births]:[births]]*Table26[[cc_pe]:[cc_pe]]*(LEN(Table26[[cc_pe]:[cc_pe]])&gt;1)*(LEN(Table26[[bd_cov]:[bd_cov]])&gt;interactive!$C$6))/SUMPRODUCT((Table26[[who_reg]:[who_reg]]=$A9)*Table26[[births]:[births]]*(LEN(Table26[[cc_pe]:[cc_pe]])&gt;1)*(LEN(Table26[[bd_cov]:[bd_cov]])&gt;interactive!$C$6))</f>
        <v>5.1067922593921032E-2</v>
      </c>
      <c r="F9" s="126">
        <f>VLOOKUP($A9,Table15[],22,FALSE)</f>
        <v>1.9999999999999574E-2</v>
      </c>
      <c r="G9" s="126">
        <f t="shared" ref="G9:G12" si="3">SUM(C9:F9)</f>
        <v>3.1650420380584943</v>
      </c>
      <c r="H9" s="126">
        <f>'Regions'!W$12</f>
        <v>1.2434098265511606</v>
      </c>
      <c r="I9" s="126">
        <f>'Regions'!W$21</f>
        <v>7.3813085189049836</v>
      </c>
      <c r="J9" s="126">
        <f t="shared" si="1"/>
        <v>1.9216322115073337</v>
      </c>
      <c r="K9" s="126">
        <f t="shared" si="2"/>
        <v>4.2162664808464889</v>
      </c>
    </row>
    <row r="10" spans="1:11" x14ac:dyDescent="0.25">
      <c r="A10" s="33" t="s">
        <v>679</v>
      </c>
      <c r="B10" s="33" t="s">
        <v>844</v>
      </c>
      <c r="C10" s="126">
        <f>VLOOKUP($A10,Table15[],9,FALSE)</f>
        <v>2.6760499993029576</v>
      </c>
      <c r="D10" s="33">
        <v>0</v>
      </c>
      <c r="E10" s="126">
        <f>SUMPRODUCT((Table26[[who_reg]:[who_reg]]=$A10)*Table26[[births]:[births]]*Table26[[qmap_pe]:[qmap_pe]]*(LEN(Table26[[qmap_pe]:[qmap_pe]])&gt;1)*(LEN(Table26[[bd_cov]:[bd_cov]])&gt;interactive!$C$6))/SUMPRODUCT((Table26[[who_reg]:[who_reg]]=$A10)*Table26[[births]:[births]]*(LEN(Table26[[qmap_pe]:[qmap_pe]])&gt;1)*(LEN(Table26[[bd_cov]:[bd_cov]])&gt;interactive!$C$6))</f>
        <v>2.3957790846530852E-2</v>
      </c>
      <c r="F10" s="126">
        <v>0</v>
      </c>
      <c r="G10" s="126">
        <f t="shared" si="3"/>
        <v>2.7000077901494883</v>
      </c>
      <c r="H10" s="126">
        <f>'Regions'!X$12</f>
        <v>0.84964464027100539</v>
      </c>
      <c r="I10" s="126">
        <f>'Regions'!X$21</f>
        <v>6.8236961809344274</v>
      </c>
      <c r="J10" s="126">
        <f t="shared" si="1"/>
        <v>1.8503631498784829</v>
      </c>
      <c r="K10" s="126">
        <f t="shared" si="2"/>
        <v>4.1236883907849391</v>
      </c>
    </row>
    <row r="11" spans="1:11" x14ac:dyDescent="0.25">
      <c r="A11" s="33" t="s">
        <v>679</v>
      </c>
      <c r="B11" s="33" t="s">
        <v>845</v>
      </c>
      <c r="C11" s="126">
        <f>VLOOKUP($A11,Table15[],9,FALSE)</f>
        <v>2.6760499993029576</v>
      </c>
      <c r="D11" s="33">
        <v>0</v>
      </c>
      <c r="E11" s="126">
        <f>SUMPRODUCT((Table26[[who_reg]:[who_reg]]=$A11)*Table26[[births]:[births]]*Table26[[qmap_pe]:[qmap_pe]]*(LEN(Table26[[qmap_pe]:[qmap_pe]])&gt;1)*(LEN(Table26[[bd_cov]:[bd_cov]])&gt;interactive!$C$6))/SUMPRODUCT((Table26[[who_reg]:[who_reg]]=$A11)*Table26[[births]:[births]]*(LEN(Table26[[qmap_pe]:[qmap_pe]])&gt;1)*(LEN(Table26[[bd_cov]:[bd_cov]])&gt;interactive!$C$6))</f>
        <v>2.3957790846530852E-2</v>
      </c>
      <c r="F11" s="126">
        <f>VLOOKUP($A11,Table15[],22,FALSE)</f>
        <v>1.9999999999999574E-2</v>
      </c>
      <c r="G11" s="126">
        <f t="shared" si="3"/>
        <v>2.7200077901494879</v>
      </c>
      <c r="H11" s="126">
        <f>'Regions'!Y$12</f>
        <v>0.87035464027100529</v>
      </c>
      <c r="I11" s="126">
        <f>'Regions'!Y$21</f>
        <v>6.8465861809344286</v>
      </c>
      <c r="J11" s="126">
        <f t="shared" si="1"/>
        <v>1.8496531498784825</v>
      </c>
      <c r="K11" s="126">
        <f t="shared" si="2"/>
        <v>4.1265783907849407</v>
      </c>
    </row>
    <row r="12" spans="1:11" x14ac:dyDescent="0.25">
      <c r="A12" s="33" t="s">
        <v>679</v>
      </c>
      <c r="B12" s="33" t="s">
        <v>846</v>
      </c>
      <c r="C12" s="126">
        <f>VLOOKUP($A12,Table15[],9,FALSE)</f>
        <v>2.6760499993029576</v>
      </c>
      <c r="D12" s="33">
        <v>0</v>
      </c>
      <c r="E12" s="126">
        <f>SUMPRODUCT((Table26[[who_reg]:[who_reg]]=$A12)*Table26[[births]:[births]]*Table26[[lmap_pe]:[lmap_pe]]*(LEN(Table26[[lmap_pe]:[lmap_pe]])&gt;1)*(LEN(Table26[[bd_cov]:[bd_cov]])&gt;interactive!$C$6))/SUMPRODUCT((Table26[[who_reg]:[who_reg]]=$A12)*Table26[[births]:[births]]*(LEN(Table26[[lmap_pe]:[lmap_pe]])&gt;1)*(LEN(Table26[[bd_cov]:[bd_cov]])&gt;interactive!$C$6))</f>
        <v>1.2957002804795462E-2</v>
      </c>
      <c r="F12" s="126">
        <f>VLOOKUP($A12,Table15[],22,FALSE)</f>
        <v>1.9999999999999574E-2</v>
      </c>
      <c r="G12" s="126">
        <f t="shared" si="3"/>
        <v>2.7090070021077528</v>
      </c>
      <c r="H12" s="126">
        <f>'Regions'!Z$12</f>
        <v>0.86311727971723196</v>
      </c>
      <c r="I12" s="126">
        <f>'Regions'!Z$21</f>
        <v>6.8176367387193357</v>
      </c>
      <c r="J12" s="126">
        <f t="shared" si="1"/>
        <v>1.8458897223905208</v>
      </c>
      <c r="K12" s="126">
        <f t="shared" si="2"/>
        <v>4.1086297366115829</v>
      </c>
    </row>
    <row r="13" spans="1:11" x14ac:dyDescent="0.25">
      <c r="J13" s="126"/>
      <c r="K13" s="126"/>
    </row>
    <row r="14" spans="1:11" x14ac:dyDescent="0.25">
      <c r="A14" s="33" t="s">
        <v>673</v>
      </c>
      <c r="B14" s="33" t="s">
        <v>842</v>
      </c>
      <c r="C14" s="126">
        <f>VLOOKUP($A14,Table15[],9,FALSE)</f>
        <v>2.4639828018508503</v>
      </c>
      <c r="D14" s="126">
        <f>VLOOKUP($A14,Table15[],11,FALSE)</f>
        <v>0.41792411616161618</v>
      </c>
      <c r="E14" s="126">
        <f>SUMPRODUCT((Table26[[who_reg]:[who_reg]]=$A14)*Table26[[births]:[births]]*Table26[[cc_pe]:[cc_pe]]*(LEN(Table26[[cc_pe]:[cc_pe]])&gt;1)*(LEN(Table26[[bd_cov]:[bd_cov]])&gt;interactive!$C$6))/SUMPRODUCT((Table26[[who_reg]:[who_reg]]=$A14)*Table26[[births]:[births]]*(LEN(Table26[[cc_pe]:[cc_pe]])&gt;1)*(LEN(Table26[[bd_cov]:[bd_cov]])&gt;interactive!$C$6))</f>
        <v>3.061578792796028E-2</v>
      </c>
      <c r="F14" s="126">
        <v>0</v>
      </c>
      <c r="G14" s="126">
        <f>SUM(C14:F14)</f>
        <v>2.9125227059404266</v>
      </c>
      <c r="H14" s="126">
        <f>'Regions'!V$13</f>
        <v>1.2548087124188483</v>
      </c>
      <c r="I14" s="126">
        <f>'Regions'!V$22</f>
        <v>5.9457891015276356</v>
      </c>
      <c r="J14" s="126">
        <f t="shared" si="1"/>
        <v>1.6577139935215783</v>
      </c>
      <c r="K14" s="126">
        <f t="shared" si="2"/>
        <v>3.033266395587209</v>
      </c>
    </row>
    <row r="15" spans="1:11" x14ac:dyDescent="0.25">
      <c r="A15" s="33" t="s">
        <v>673</v>
      </c>
      <c r="B15" s="33" t="s">
        <v>843</v>
      </c>
      <c r="C15" s="126">
        <f>VLOOKUP($A15,Table15[],9,FALSE)</f>
        <v>2.4639828018508503</v>
      </c>
      <c r="D15" s="126">
        <f>VLOOKUP($A15,Table15[],11,FALSE)</f>
        <v>0.41792411616161618</v>
      </c>
      <c r="E15" s="126">
        <f>SUMPRODUCT((Table26[[who_reg]:[who_reg]]=$A15)*Table26[[births]:[births]]*Table26[[cc_pe]:[cc_pe]]*(LEN(Table26[[cc_pe]:[cc_pe]])&gt;1)*(LEN(Table26[[bd_cov]:[bd_cov]])&gt;interactive!$C$6))/SUMPRODUCT((Table26[[who_reg]:[who_reg]]=$A15)*Table26[[births]:[births]]*(LEN(Table26[[cc_pe]:[cc_pe]])&gt;1)*(LEN(Table26[[bd_cov]:[bd_cov]])&gt;interactive!$C$6))</f>
        <v>3.061578792796028E-2</v>
      </c>
      <c r="F15" s="126">
        <f>VLOOKUP($A15,Table15[],22,FALSE)</f>
        <v>0.49172995935466002</v>
      </c>
      <c r="G15" s="126">
        <f t="shared" ref="G15:G18" si="4">SUM(C15:F15)</f>
        <v>3.4042526652950866</v>
      </c>
      <c r="H15" s="126">
        <f>'Regions'!W$13</f>
        <v>1.7215698682620406</v>
      </c>
      <c r="I15" s="126">
        <f>'Regions'!W$22</f>
        <v>6.4616830106174801</v>
      </c>
      <c r="J15" s="126">
        <f t="shared" si="1"/>
        <v>1.682682797033046</v>
      </c>
      <c r="K15" s="126">
        <f t="shared" si="2"/>
        <v>3.0574303453223934</v>
      </c>
    </row>
    <row r="16" spans="1:11" x14ac:dyDescent="0.25">
      <c r="A16" s="33" t="s">
        <v>673</v>
      </c>
      <c r="B16" s="33" t="s">
        <v>844</v>
      </c>
      <c r="C16" s="126">
        <f>VLOOKUP($A16,Table15[],9,FALSE)</f>
        <v>2.4639828018508503</v>
      </c>
      <c r="D16" s="33">
        <v>0</v>
      </c>
      <c r="E16" s="126">
        <f>SUMPRODUCT((Table26[[who_reg]:[who_reg]]=$A16)*Table26[[births]:[births]]*Table26[[qmap_pe]:[qmap_pe]]*(LEN(Table26[[qmap_pe]:[qmap_pe]])&gt;1)*(LEN(Table26[[bd_cov]:[bd_cov]])&gt;interactive!$C$6))/SUMPRODUCT((Table26[[who_reg]:[who_reg]]=$A16)*Table26[[births]:[births]]*(LEN(Table26[[qmap_pe]:[qmap_pe]])&gt;1)*(LEN(Table26[[bd_cov]:[bd_cov]])&gt;interactive!$C$6))</f>
        <v>1.4362962237808523E-2</v>
      </c>
      <c r="F16" s="126">
        <v>0</v>
      </c>
      <c r="G16" s="126">
        <f t="shared" si="4"/>
        <v>2.4783457640886586</v>
      </c>
      <c r="H16" s="126">
        <f>'Regions'!X$13</f>
        <v>0.90319860280556907</v>
      </c>
      <c r="I16" s="126">
        <f>'Regions'!X$22</f>
        <v>5.5358199571361091</v>
      </c>
      <c r="J16" s="126">
        <f t="shared" si="1"/>
        <v>1.5751471612830894</v>
      </c>
      <c r="K16" s="126">
        <f t="shared" si="2"/>
        <v>3.0574741930474505</v>
      </c>
    </row>
    <row r="17" spans="1:11" x14ac:dyDescent="0.25">
      <c r="A17" s="33" t="s">
        <v>673</v>
      </c>
      <c r="B17" s="33" t="s">
        <v>845</v>
      </c>
      <c r="C17" s="126">
        <f>VLOOKUP($A17,Table15[],9,FALSE)</f>
        <v>2.4639828018508503</v>
      </c>
      <c r="D17" s="33">
        <v>0</v>
      </c>
      <c r="E17" s="126">
        <f>SUMPRODUCT((Table26[[who_reg]:[who_reg]]=$A17)*Table26[[births]:[births]]*Table26[[qmap_pe]:[qmap_pe]]*(LEN(Table26[[qmap_pe]:[qmap_pe]])&gt;1)*(LEN(Table26[[bd_cov]:[bd_cov]])&gt;interactive!$C$6))/SUMPRODUCT((Table26[[who_reg]:[who_reg]]=$A17)*Table26[[births]:[births]]*(LEN(Table26[[qmap_pe]:[qmap_pe]])&gt;1)*(LEN(Table26[[bd_cov]:[bd_cov]])&gt;interactive!$C$6))</f>
        <v>1.4362962237808523E-2</v>
      </c>
      <c r="F17" s="126">
        <f>VLOOKUP($A17,Table15[],22,FALSE)</f>
        <v>0.49172995935466002</v>
      </c>
      <c r="G17" s="126">
        <f t="shared" si="4"/>
        <v>2.9700757234433186</v>
      </c>
      <c r="H17" s="126">
        <f>'Regions'!Y$13</f>
        <v>1.3530571384013843</v>
      </c>
      <c r="I17" s="126">
        <f>'Regions'!Y$22</f>
        <v>5.9481155411148752</v>
      </c>
      <c r="J17" s="126">
        <f t="shared" si="1"/>
        <v>1.6170185850419343</v>
      </c>
      <c r="K17" s="126">
        <f t="shared" si="2"/>
        <v>2.9780398176715566</v>
      </c>
    </row>
    <row r="18" spans="1:11" x14ac:dyDescent="0.25">
      <c r="A18" s="33" t="s">
        <v>673</v>
      </c>
      <c r="B18" s="33" t="s">
        <v>846</v>
      </c>
      <c r="C18" s="126">
        <f>VLOOKUP($A18,Table15[],9,FALSE)</f>
        <v>2.4639828018508503</v>
      </c>
      <c r="D18" s="33">
        <v>0</v>
      </c>
      <c r="E18" s="126">
        <f>SUMPRODUCT((Table26[[who_reg]:[who_reg]]=$A18)*Table26[[births]:[births]]*Table26[[lmap_pe]:[lmap_pe]]*(LEN(Table26[[lmap_pe]:[lmap_pe]])&gt;1)*(LEN(Table26[[bd_cov]:[bd_cov]])&gt;interactive!$C$6))/SUMPRODUCT((Table26[[who_reg]:[who_reg]]=$A18)*Table26[[births]:[births]]*(LEN(Table26[[lmap_pe]:[lmap_pe]])&gt;1)*(LEN(Table26[[bd_cov]:[bd_cov]])&gt;interactive!$C$6))</f>
        <v>7.6742084727380675E-3</v>
      </c>
      <c r="F18" s="126">
        <f>VLOOKUP($A18,Table15[],22,FALSE)</f>
        <v>0.49172995935466002</v>
      </c>
      <c r="G18" s="126">
        <f t="shared" si="4"/>
        <v>2.9633869696782482</v>
      </c>
      <c r="H18" s="126">
        <f>'Regions'!Z$13</f>
        <v>1.3487389941708565</v>
      </c>
      <c r="I18" s="126">
        <f>'Regions'!Z$22</f>
        <v>5.9308429641927649</v>
      </c>
      <c r="J18" s="126">
        <f t="shared" si="1"/>
        <v>1.6146479755073917</v>
      </c>
      <c r="K18" s="126">
        <f t="shared" si="2"/>
        <v>2.9674559945145167</v>
      </c>
    </row>
    <row r="19" spans="1:11" x14ac:dyDescent="0.25">
      <c r="J19" s="126"/>
      <c r="K19" s="126"/>
    </row>
    <row r="20" spans="1:11" x14ac:dyDescent="0.25">
      <c r="A20" s="33" t="s">
        <v>675</v>
      </c>
      <c r="B20" s="33" t="s">
        <v>842</v>
      </c>
      <c r="C20" s="126">
        <f>VLOOKUP($A20,Table15[],9,FALSE)</f>
        <v>3.740388988276433</v>
      </c>
      <c r="D20" s="126">
        <f>VLOOKUP($A20,Table15[],11,FALSE)</f>
        <v>0.41792411616161618</v>
      </c>
      <c r="E20" s="126">
        <f>SUMPRODUCT((Table26[[who_reg]:[who_reg]]=$A20)*Table26[[births]:[births]]*Table26[[cc_pe]:[cc_pe]]*(LEN(Table26[[cc_pe]:[cc_pe]])&gt;1)*(LEN(Table26[[bd_cov]:[bd_cov]])&gt;interactive!$C$6))/SUMPRODUCT((Table26[[who_reg]:[who_reg]]=$A20)*Table26[[births]:[births]]*(LEN(Table26[[cc_pe]:[cc_pe]])&gt;1)*(LEN(Table26[[bd_cov]:[bd_cov]])&gt;interactive!$C$6))</f>
        <v>4.1507467225822707E-2</v>
      </c>
      <c r="F20" s="126">
        <v>0</v>
      </c>
      <c r="G20" s="126">
        <f>SUM(C20:F20)</f>
        <v>4.1998205716638717</v>
      </c>
      <c r="H20" s="126">
        <f>'Regions'!V$14</f>
        <v>1.6585369194268593</v>
      </c>
      <c r="I20" s="126">
        <f>'Regions'!V$23</f>
        <v>9.3795921897813646</v>
      </c>
      <c r="J20" s="126">
        <f t="shared" si="1"/>
        <v>2.5412836522370124</v>
      </c>
      <c r="K20" s="126">
        <f t="shared" si="2"/>
        <v>5.1797716181174929</v>
      </c>
    </row>
    <row r="21" spans="1:11" x14ac:dyDescent="0.25">
      <c r="A21" s="33" t="s">
        <v>675</v>
      </c>
      <c r="B21" s="33" t="s">
        <v>843</v>
      </c>
      <c r="C21" s="126">
        <f>VLOOKUP($A21,Table15[],9,FALSE)</f>
        <v>3.740388988276433</v>
      </c>
      <c r="D21" s="126">
        <f>VLOOKUP($A21,Table15[],11,FALSE)</f>
        <v>0.41792411616161618</v>
      </c>
      <c r="E21" s="126">
        <f>SUMPRODUCT((Table26[[who_reg]:[who_reg]]=$A21)*Table26[[births]:[births]]*Table26[[cc_pe]:[cc_pe]]*(LEN(Table26[[cc_pe]:[cc_pe]])&gt;1)*(LEN(Table26[[bd_cov]:[bd_cov]])&gt;interactive!$C$6))/SUMPRODUCT((Table26[[who_reg]:[who_reg]]=$A21)*Table26[[births]:[births]]*(LEN(Table26[[cc_pe]:[cc_pe]])&gt;1)*(LEN(Table26[[bd_cov]:[bd_cov]])&gt;interactive!$C$6))</f>
        <v>4.1507467225822707E-2</v>
      </c>
      <c r="F21" s="126">
        <f>VLOOKUP($A21,Table15[],22,FALSE)</f>
        <v>2.9416923202685004</v>
      </c>
      <c r="G21" s="126">
        <f t="shared" ref="G21:G24" si="5">SUM(C21:F21)</f>
        <v>7.141512891932372</v>
      </c>
      <c r="H21" s="126">
        <f>'Regions'!W$14</f>
        <v>4.4502240749224402</v>
      </c>
      <c r="I21" s="126">
        <f>'Regions'!W$23</f>
        <v>12.465141151118585</v>
      </c>
      <c r="J21" s="126">
        <f t="shared" si="1"/>
        <v>2.6912888170099318</v>
      </c>
      <c r="K21" s="126">
        <f t="shared" si="2"/>
        <v>5.3236282591862132</v>
      </c>
    </row>
    <row r="22" spans="1:11" x14ac:dyDescent="0.25">
      <c r="A22" s="33" t="s">
        <v>675</v>
      </c>
      <c r="B22" s="33" t="s">
        <v>844</v>
      </c>
      <c r="C22" s="126">
        <f>VLOOKUP($A22,Table15[],9,FALSE)</f>
        <v>3.740388988276433</v>
      </c>
      <c r="D22" s="33">
        <v>0</v>
      </c>
      <c r="E22" s="126">
        <f>SUMPRODUCT((Table26[[who_reg]:[who_reg]]=$A22)*Table26[[births]:[births]]*Table26[[qmap_pe]:[qmap_pe]]*(LEN(Table26[[qmap_pe]:[qmap_pe]])&gt;1)*(LEN(Table26[[bd_cov]:[bd_cov]])&gt;interactive!$C$6))/SUMPRODUCT((Table26[[who_reg]:[who_reg]]=$A22)*Table26[[births]:[births]]*(LEN(Table26[[qmap_pe]:[qmap_pe]])&gt;1)*(LEN(Table26[[bd_cov]:[bd_cov]])&gt;interactive!$C$6))</f>
        <v>1.9472638945447689E-2</v>
      </c>
      <c r="F22" s="126">
        <v>0</v>
      </c>
      <c r="G22" s="126">
        <f t="shared" si="5"/>
        <v>3.7598616272218806</v>
      </c>
      <c r="H22" s="126">
        <f>'Regions'!X$14</f>
        <v>1.2875472636274654</v>
      </c>
      <c r="I22" s="126">
        <f>'Regions'!X$23</f>
        <v>8.8544893223354997</v>
      </c>
      <c r="J22" s="126">
        <f t="shared" si="1"/>
        <v>2.4723143635944149</v>
      </c>
      <c r="K22" s="126">
        <f t="shared" si="2"/>
        <v>5.0946276951136191</v>
      </c>
    </row>
    <row r="23" spans="1:11" x14ac:dyDescent="0.25">
      <c r="A23" s="33" t="s">
        <v>675</v>
      </c>
      <c r="B23" s="33" t="s">
        <v>845</v>
      </c>
      <c r="C23" s="126">
        <f>VLOOKUP($A23,Table15[],9,FALSE)</f>
        <v>3.740388988276433</v>
      </c>
      <c r="D23" s="33">
        <v>0</v>
      </c>
      <c r="E23" s="126">
        <f>SUMPRODUCT((Table26[[who_reg]:[who_reg]]=$A23)*Table26[[births]:[births]]*Table26[[qmap_pe]:[qmap_pe]]*(LEN(Table26[[qmap_pe]:[qmap_pe]])&gt;1)*(LEN(Table26[[bd_cov]:[bd_cov]])&gt;interactive!$C$6))/SUMPRODUCT((Table26[[who_reg]:[who_reg]]=$A23)*Table26[[births]:[births]]*(LEN(Table26[[qmap_pe]:[qmap_pe]])&gt;1)*(LEN(Table26[[bd_cov]:[bd_cov]])&gt;interactive!$C$6))</f>
        <v>1.9472638945447689E-2</v>
      </c>
      <c r="F23" s="126">
        <f>VLOOKUP($A23,Table15[],22,FALSE)</f>
        <v>2.9416923202685004</v>
      </c>
      <c r="G23" s="126">
        <f t="shared" si="5"/>
        <v>6.7015539474903809</v>
      </c>
      <c r="H23" s="126">
        <f>'Regions'!Y$14</f>
        <v>4.0792344191230461</v>
      </c>
      <c r="I23" s="126">
        <f>'Regions'!Y$23</f>
        <v>11.94003828367272</v>
      </c>
      <c r="J23" s="126">
        <f t="shared" si="1"/>
        <v>2.6223195283673348</v>
      </c>
      <c r="K23" s="126">
        <f t="shared" si="2"/>
        <v>5.2384843361823394</v>
      </c>
    </row>
    <row r="24" spans="1:11" x14ac:dyDescent="0.25">
      <c r="A24" s="33" t="s">
        <v>675</v>
      </c>
      <c r="B24" s="33" t="s">
        <v>846</v>
      </c>
      <c r="C24" s="126">
        <f>VLOOKUP($A24,Table15[],9,FALSE)</f>
        <v>3.740388988276433</v>
      </c>
      <c r="D24" s="33">
        <v>0</v>
      </c>
      <c r="E24" s="126">
        <f>SUMPRODUCT((Table26[[who_reg]:[who_reg]]=$A24)*Table26[[births]:[births]]*Table26[[lmap_pe]:[lmap_pe]]*(LEN(Table26[[lmap_pe]:[lmap_pe]])&gt;1)*(LEN(Table26[[bd_cov]:[bd_cov]])&gt;interactive!$C$6))/SUMPRODUCT((Table26[[who_reg]:[who_reg]]=$A24)*Table26[[births]:[births]]*(LEN(Table26[[lmap_pe]:[lmap_pe]])&gt;1)*(LEN(Table26[[bd_cov]:[bd_cov]])&gt;interactive!$C$6))</f>
        <v>1.0585673739473627E-2</v>
      </c>
      <c r="F24" s="126">
        <f>VLOOKUP($A24,Table15[],22,FALSE)</f>
        <v>2.9416923202685004</v>
      </c>
      <c r="G24" s="126">
        <f t="shared" si="5"/>
        <v>6.6926669822844076</v>
      </c>
      <c r="H24" s="126">
        <f>'Regions'!Z$14</f>
        <v>4.0733877314875366</v>
      </c>
      <c r="I24" s="126">
        <f>'Regions'!Z$23</f>
        <v>11.916651533130684</v>
      </c>
      <c r="J24" s="126">
        <f t="shared" si="1"/>
        <v>2.619279250796871</v>
      </c>
      <c r="K24" s="126">
        <f t="shared" si="2"/>
        <v>5.2239845508462768</v>
      </c>
    </row>
    <row r="25" spans="1:11" x14ac:dyDescent="0.25">
      <c r="J25" s="126"/>
      <c r="K25" s="126"/>
    </row>
    <row r="26" spans="1:11" x14ac:dyDescent="0.25">
      <c r="A26" s="33" t="s">
        <v>680</v>
      </c>
      <c r="B26" s="33" t="s">
        <v>842</v>
      </c>
      <c r="C26" s="126">
        <f>VLOOKUP($A26,Table15[],9,FALSE)</f>
        <v>1.2331548901241609</v>
      </c>
      <c r="D26" s="126">
        <f>VLOOKUP($A26,Table15[],11,FALSE)</f>
        <v>0.41792411616161618</v>
      </c>
      <c r="E26" s="126">
        <f>SUMPRODUCT((Table26[[who_reg]:[who_reg]]=$A26)*Table26[[births]:[births]]*Table26[[cc_pe]:[cc_pe]]*(LEN(Table26[[cc_pe]:[cc_pe]])&gt;1)*(LEN(Table26[[bd_cov]:[bd_cov]])&gt;interactive!$C$6))/SUMPRODUCT((Table26[[who_reg]:[who_reg]]=$A26)*Table26[[births]:[births]]*(LEN(Table26[[cc_pe]:[cc_pe]])&gt;1)*(LEN(Table26[[bd_cov]:[bd_cov]])&gt;interactive!$C$6))</f>
        <v>2.7229537450834965E-2</v>
      </c>
      <c r="F26" s="126">
        <v>0</v>
      </c>
      <c r="G26" s="126">
        <f>SUM(C26:F26)</f>
        <v>1.6783085437366119</v>
      </c>
      <c r="H26" s="126">
        <f>'Regions'!V$15</f>
        <v>0.68549557599131417</v>
      </c>
      <c r="I26" s="126">
        <f>'Regions'!V$24</f>
        <v>3.9520514410298531</v>
      </c>
      <c r="J26" s="126">
        <f t="shared" si="1"/>
        <v>0.9928129677452977</v>
      </c>
      <c r="K26" s="126">
        <f t="shared" si="2"/>
        <v>2.273742897293241</v>
      </c>
    </row>
    <row r="27" spans="1:11" x14ac:dyDescent="0.25">
      <c r="A27" s="33" t="s">
        <v>680</v>
      </c>
      <c r="B27" s="33" t="s">
        <v>843</v>
      </c>
      <c r="C27" s="126">
        <f>VLOOKUP($A27,Table15[],9,FALSE)</f>
        <v>1.2331548901241609</v>
      </c>
      <c r="D27" s="126">
        <f>VLOOKUP($A27,Table15[],11,FALSE)</f>
        <v>0.41792411616161618</v>
      </c>
      <c r="E27" s="126">
        <f>SUMPRODUCT((Table26[[who_reg]:[who_reg]]=$A27)*Table26[[births]:[births]]*Table26[[cc_pe]:[cc_pe]]*(LEN(Table26[[cc_pe]:[cc_pe]])&gt;1)*(LEN(Table26[[bd_cov]:[bd_cov]])&gt;interactive!$C$6))/SUMPRODUCT((Table26[[who_reg]:[who_reg]]=$A27)*Table26[[births]:[births]]*(LEN(Table26[[cc_pe]:[cc_pe]])&gt;1)*(LEN(Table26[[bd_cov]:[bd_cov]])&gt;interactive!$C$6))</f>
        <v>2.7229537450834965E-2</v>
      </c>
      <c r="F27" s="126">
        <f>VLOOKUP($A27,Table15[],22,FALSE)</f>
        <v>2.0465992232927457</v>
      </c>
      <c r="G27" s="126">
        <f t="shared" ref="G27:G30" si="6">SUM(C27:F27)</f>
        <v>3.7249077670293573</v>
      </c>
      <c r="H27" s="126">
        <f>'Regions'!W$15</f>
        <v>2.6302280840663004</v>
      </c>
      <c r="I27" s="126">
        <f>'Regions'!W$24</f>
        <v>6.101492634165365</v>
      </c>
      <c r="J27" s="126">
        <f t="shared" si="1"/>
        <v>1.094679682963057</v>
      </c>
      <c r="K27" s="126">
        <f t="shared" si="2"/>
        <v>2.3765848671360077</v>
      </c>
    </row>
    <row r="28" spans="1:11" x14ac:dyDescent="0.25">
      <c r="A28" s="33" t="s">
        <v>680</v>
      </c>
      <c r="B28" s="33" t="s">
        <v>844</v>
      </c>
      <c r="C28" s="126">
        <f>VLOOKUP($A28,Table15[],9,FALSE)</f>
        <v>1.2331548901241609</v>
      </c>
      <c r="D28" s="33">
        <v>0</v>
      </c>
      <c r="E28" s="126">
        <f>SUMPRODUCT((Table26[[who_reg]:[who_reg]]=$A28)*Table26[[births]:[births]]*Table26[[qmap_pe]:[qmap_pe]]*(LEN(Table26[[qmap_pe]:[qmap_pe]])&gt;1)*(LEN(Table26[[bd_cov]:[bd_cov]])&gt;interactive!$C$6))/SUMPRODUCT((Table26[[who_reg]:[who_reg]]=$A28)*Table26[[births]:[births]]*(LEN(Table26[[qmap_pe]:[qmap_pe]])&gt;1)*(LEN(Table26[[bd_cov]:[bd_cov]])&gt;interactive!$C$6))</f>
        <v>1.2774350902860842E-2</v>
      </c>
      <c r="F28" s="126">
        <v>0</v>
      </c>
      <c r="G28" s="126">
        <f t="shared" si="6"/>
        <v>1.2459292410270217</v>
      </c>
      <c r="H28" s="126">
        <f>'Regions'!X$15</f>
        <v>0.31765715291422802</v>
      </c>
      <c r="I28" s="126">
        <f>'Regions'!X$24</f>
        <v>3.4416243145478767</v>
      </c>
      <c r="J28" s="126">
        <f t="shared" si="1"/>
        <v>0.92827208811279371</v>
      </c>
      <c r="K28" s="126">
        <f t="shared" si="2"/>
        <v>2.1956950735208549</v>
      </c>
    </row>
    <row r="29" spans="1:11" x14ac:dyDescent="0.25">
      <c r="A29" s="33" t="s">
        <v>680</v>
      </c>
      <c r="B29" s="33" t="s">
        <v>845</v>
      </c>
      <c r="C29" s="126">
        <f>VLOOKUP($A29,Table15[],9,FALSE)</f>
        <v>1.2331548901241609</v>
      </c>
      <c r="D29" s="33">
        <v>0</v>
      </c>
      <c r="E29" s="126">
        <f>SUMPRODUCT((Table26[[who_reg]:[who_reg]]=$A29)*Table26[[births]:[births]]*Table26[[qmap_pe]:[qmap_pe]]*(LEN(Table26[[qmap_pe]:[qmap_pe]])&gt;1)*(LEN(Table26[[bd_cov]:[bd_cov]])&gt;interactive!$C$6))/SUMPRODUCT((Table26[[who_reg]:[who_reg]]=$A29)*Table26[[births]:[births]]*(LEN(Table26[[qmap_pe]:[qmap_pe]])&gt;1)*(LEN(Table26[[bd_cov]:[bd_cov]])&gt;interactive!$C$6))</f>
        <v>1.2774350902860842E-2</v>
      </c>
      <c r="F29" s="126">
        <f>VLOOKUP($A29,Table15[],22,FALSE)</f>
        <v>2.0465992232927457</v>
      </c>
      <c r="G29" s="126">
        <f t="shared" si="6"/>
        <v>3.2925284643197674</v>
      </c>
      <c r="H29" s="126">
        <f>'Regions'!Y$15</f>
        <v>2.2623896609892147</v>
      </c>
      <c r="I29" s="126">
        <f>'Regions'!Y$24</f>
        <v>5.5910655076833882</v>
      </c>
      <c r="J29" s="126">
        <f t="shared" si="1"/>
        <v>1.0301388033305527</v>
      </c>
      <c r="K29" s="126">
        <f t="shared" si="2"/>
        <v>2.2985370433636207</v>
      </c>
    </row>
    <row r="30" spans="1:11" x14ac:dyDescent="0.25">
      <c r="A30" s="33" t="s">
        <v>680</v>
      </c>
      <c r="B30" s="33" t="s">
        <v>846</v>
      </c>
      <c r="C30" s="126">
        <f>VLOOKUP($A30,Table15[],9,FALSE)</f>
        <v>1.2331548901241609</v>
      </c>
      <c r="D30" s="33">
        <v>0</v>
      </c>
      <c r="E30" s="126">
        <f>SUMPRODUCT((Table26[[who_reg]:[who_reg]]=$A30)*Table26[[births]:[births]]*Table26[[lmap_pe]:[lmap_pe]]*(LEN(Table26[[lmap_pe]:[lmap_pe]])&gt;1)*(LEN(Table26[[bd_cov]:[bd_cov]])&gt;interactive!$C$6))/SUMPRODUCT((Table26[[who_reg]:[who_reg]]=$A30)*Table26[[births]:[births]]*(LEN(Table26[[lmap_pe]:[lmap_pe]])&gt;1)*(LEN(Table26[[bd_cov]:[bd_cov]])&gt;interactive!$C$6))</f>
        <v>6.894302033311578E-3</v>
      </c>
      <c r="F30" s="126">
        <f>VLOOKUP($A30,Table15[],22,FALSE)</f>
        <v>2.0465992232927457</v>
      </c>
      <c r="G30" s="126">
        <f t="shared" si="6"/>
        <v>3.2866484154502182</v>
      </c>
      <c r="H30" s="126">
        <f>'Regions'!Z$15</f>
        <v>2.258564932984076</v>
      </c>
      <c r="I30" s="126">
        <f>'Regions'!Z$24</f>
        <v>5.5757665956628353</v>
      </c>
      <c r="J30" s="126">
        <f t="shared" si="1"/>
        <v>1.0280834824661422</v>
      </c>
      <c r="K30" s="126">
        <f t="shared" si="2"/>
        <v>2.289118180212617</v>
      </c>
    </row>
    <row r="31" spans="1:11" x14ac:dyDescent="0.25">
      <c r="J31" s="126"/>
      <c r="K31" s="126"/>
    </row>
    <row r="32" spans="1:11" x14ac:dyDescent="0.25">
      <c r="A32" s="33" t="s">
        <v>681</v>
      </c>
      <c r="B32" s="33" t="s">
        <v>842</v>
      </c>
      <c r="C32" s="126">
        <f>VLOOKUP($A32,Table15[],9,FALSE)</f>
        <v>2.1059624953864424</v>
      </c>
      <c r="D32" s="126">
        <f>VLOOKUP($A32,Table15[],11,FALSE)</f>
        <v>0.41792411616161618</v>
      </c>
      <c r="E32" s="126">
        <f>SUMPRODUCT((Table26[[who_reg]:[who_reg]]=$A32)*Table26[[births]:[births]]*Table26[[cc_pe]:[cc_pe]]*(LEN(Table26[[cc_pe]:[cc_pe]])&gt;1)*(LEN(Table26[[bd_cov]:[bd_cov]])&gt;interactive!$C$6))/SUMPRODUCT((Table26[[who_reg]:[who_reg]]=$A32)*Table26[[births]:[births]]*(LEN(Table26[[cc_pe]:[cc_pe]])&gt;1)*(LEN(Table26[[bd_cov]:[bd_cov]])&gt;interactive!$C$6))</f>
        <v>5.5877727235533491E-2</v>
      </c>
      <c r="F32" s="126">
        <v>0</v>
      </c>
      <c r="G32" s="126">
        <f>SUM(C32:F32)</f>
        <v>2.5797643387835918</v>
      </c>
      <c r="H32" s="126">
        <f>'Regions'!V$16</f>
        <v>0.95796149623592863</v>
      </c>
      <c r="I32" s="126">
        <f>'Regions'!V$25</f>
        <v>6.2530773651389921</v>
      </c>
      <c r="J32" s="126">
        <f t="shared" si="1"/>
        <v>1.6218028425476632</v>
      </c>
      <c r="K32" s="126">
        <f t="shared" si="2"/>
        <v>3.6733130263554004</v>
      </c>
    </row>
    <row r="33" spans="1:11" x14ac:dyDescent="0.25">
      <c r="A33" s="33" t="s">
        <v>681</v>
      </c>
      <c r="B33" s="33" t="s">
        <v>843</v>
      </c>
      <c r="C33" s="126">
        <f>VLOOKUP($A33,Table15[],9,FALSE)</f>
        <v>2.1059624953864424</v>
      </c>
      <c r="D33" s="126">
        <f>VLOOKUP($A33,Table15[],11,FALSE)</f>
        <v>0.41792411616161618</v>
      </c>
      <c r="E33" s="126">
        <f>SUMPRODUCT((Table26[[who_reg]:[who_reg]]=$A33)*Table26[[births]:[births]]*Table26[[cc_pe]:[cc_pe]]*(LEN(Table26[[cc_pe]:[cc_pe]])&gt;1)*(LEN(Table26[[bd_cov]:[bd_cov]])&gt;interactive!$C$6))/SUMPRODUCT((Table26[[who_reg]:[who_reg]]=$A33)*Table26[[births]:[births]]*(LEN(Table26[[cc_pe]:[cc_pe]])&gt;1)*(LEN(Table26[[bd_cov]:[bd_cov]])&gt;interactive!$C$6))</f>
        <v>5.5877727235533491E-2</v>
      </c>
      <c r="F33" s="126">
        <f>VLOOKUP($A33,Table15[],22,FALSE)</f>
        <v>0.64208882028836944</v>
      </c>
      <c r="G33" s="126">
        <f t="shared" ref="G33:G36" si="7">SUM(C33:F33)</f>
        <v>3.2218531590719612</v>
      </c>
      <c r="H33" s="126">
        <f>'Regions'!W$16</f>
        <v>1.5700141753746233</v>
      </c>
      <c r="I33" s="126">
        <f>'Regions'!W$25</f>
        <v>6.9295566420817609</v>
      </c>
      <c r="J33" s="126">
        <f t="shared" si="1"/>
        <v>1.6518389836973379</v>
      </c>
      <c r="K33" s="126">
        <f t="shared" si="2"/>
        <v>3.7077034830097997</v>
      </c>
    </row>
    <row r="34" spans="1:11" x14ac:dyDescent="0.25">
      <c r="A34" s="33" t="s">
        <v>681</v>
      </c>
      <c r="B34" s="33" t="s">
        <v>844</v>
      </c>
      <c r="C34" s="126">
        <f>VLOOKUP($A34,Table15[],9,FALSE)</f>
        <v>2.1059624953864424</v>
      </c>
      <c r="D34" s="33">
        <v>0</v>
      </c>
      <c r="E34" s="126">
        <f>SUMPRODUCT((Table26[[who_reg]:[who_reg]]=$A34)*Table26[[births]:[births]]*Table26[[qmap_pe]:[qmap_pe]]*(LEN(Table26[[qmap_pe]:[qmap_pe]])&gt;1)*(LEN(Table26[[bd_cov]:[bd_cov]])&gt;interactive!$C$6))/SUMPRODUCT((Table26[[who_reg]:[who_reg]]=$A34)*Table26[[births]:[births]]*(LEN(Table26[[qmap_pe]:[qmap_pe]])&gt;1)*(LEN(Table26[[bd_cov]:[bd_cov]])&gt;interactive!$C$6))</f>
        <v>2.6214242406793493E-2</v>
      </c>
      <c r="F34" s="126">
        <v>0</v>
      </c>
      <c r="G34" s="126">
        <f t="shared" si="7"/>
        <v>2.1321767377932361</v>
      </c>
      <c r="H34" s="126">
        <f>'Regions'!X$16</f>
        <v>0.58386715463196825</v>
      </c>
      <c r="I34" s="126">
        <f>'Regions'!X$25</f>
        <v>5.7135155323747133</v>
      </c>
      <c r="J34" s="126">
        <f t="shared" si="1"/>
        <v>1.5483095831612679</v>
      </c>
      <c r="K34" s="126">
        <f t="shared" si="2"/>
        <v>3.5813387945814772</v>
      </c>
    </row>
    <row r="35" spans="1:11" x14ac:dyDescent="0.25">
      <c r="A35" s="33" t="s">
        <v>681</v>
      </c>
      <c r="B35" s="33" t="s">
        <v>845</v>
      </c>
      <c r="C35" s="126">
        <f>VLOOKUP($A35,Table15[],9,FALSE)</f>
        <v>2.1059624953864424</v>
      </c>
      <c r="D35" s="33">
        <v>0</v>
      </c>
      <c r="E35" s="126">
        <f>SUMPRODUCT((Table26[[who_reg]:[who_reg]]=$A35)*Table26[[births]:[births]]*Table26[[qmap_pe]:[qmap_pe]]*(LEN(Table26[[qmap_pe]:[qmap_pe]])&gt;1)*(LEN(Table26[[bd_cov]:[bd_cov]])&gt;interactive!$C$6))/SUMPRODUCT((Table26[[who_reg]:[who_reg]]=$A35)*Table26[[births]:[births]]*(LEN(Table26[[qmap_pe]:[qmap_pe]])&gt;1)*(LEN(Table26[[bd_cov]:[bd_cov]])&gt;interactive!$C$6))</f>
        <v>2.6214242406793493E-2</v>
      </c>
      <c r="F35" s="126">
        <f>VLOOKUP($A35,Table15[],22,FALSE)</f>
        <v>0.64208882028836944</v>
      </c>
      <c r="G35" s="126">
        <f t="shared" si="7"/>
        <v>2.7742655580816056</v>
      </c>
      <c r="H35" s="126">
        <f>'Regions'!Y$16</f>
        <v>1.1959198337706629</v>
      </c>
      <c r="I35" s="126">
        <f>'Regions'!Y$25</f>
        <v>6.3899948093174794</v>
      </c>
      <c r="J35" s="126">
        <f t="shared" si="1"/>
        <v>1.5783457243109427</v>
      </c>
      <c r="K35" s="126">
        <f t="shared" si="2"/>
        <v>3.6157292512358739</v>
      </c>
    </row>
    <row r="36" spans="1:11" x14ac:dyDescent="0.25">
      <c r="A36" s="33" t="s">
        <v>681</v>
      </c>
      <c r="B36" s="33" t="s">
        <v>846</v>
      </c>
      <c r="C36" s="126">
        <f>VLOOKUP($A36,Table15[],9,FALSE)</f>
        <v>2.1059624953864424</v>
      </c>
      <c r="D36" s="33">
        <v>0</v>
      </c>
      <c r="E36" s="126">
        <f>SUMPRODUCT((Table26[[who_reg]:[who_reg]]=$A36)*Table26[[births]:[births]]*Table26[[lmap_pe]:[lmap_pe]]*(LEN(Table26[[lmap_pe]:[lmap_pe]])&gt;1)*(LEN(Table26[[bd_cov]:[bd_cov]])&gt;interactive!$C$6))/SUMPRODUCT((Table26[[who_reg]:[who_reg]]=$A36)*Table26[[births]:[births]]*(LEN(Table26[[lmap_pe]:[lmap_pe]])&gt;1)*(LEN(Table26[[bd_cov]:[bd_cov]])&gt;interactive!$C$6))</f>
        <v>1.4160440454540518E-2</v>
      </c>
      <c r="F36" s="126">
        <f>VLOOKUP($A36,Table15[],22,FALSE)</f>
        <v>0.64208882028836944</v>
      </c>
      <c r="G36" s="126">
        <f t="shared" si="7"/>
        <v>2.7622117561293522</v>
      </c>
      <c r="H36" s="126">
        <f>'Regions'!Z$16</f>
        <v>1.1879897009073386</v>
      </c>
      <c r="I36" s="126">
        <f>'Regions'!Z$25</f>
        <v>6.3582742778641848</v>
      </c>
      <c r="J36" s="126">
        <f t="shared" si="1"/>
        <v>1.5742220552220136</v>
      </c>
      <c r="K36" s="126">
        <f t="shared" si="2"/>
        <v>3.5960625217348325</v>
      </c>
    </row>
    <row r="37" spans="1:11" x14ac:dyDescent="0.25">
      <c r="J37" s="126"/>
      <c r="K37" s="126"/>
    </row>
    <row r="38" spans="1:11" x14ac:dyDescent="0.25">
      <c r="A38" s="33" t="s">
        <v>705</v>
      </c>
      <c r="B38" s="33" t="s">
        <v>842</v>
      </c>
      <c r="C38" s="126">
        <f>VLOOKUP($A38,Table15[],9,FALSE)</f>
        <v>1.939909077795162</v>
      </c>
      <c r="D38" s="126">
        <f>VLOOKUP($A38,Table15[],11,FALSE)</f>
        <v>0.41792411616161618</v>
      </c>
      <c r="E38" s="126">
        <f>SUMPRODUCT(Table26[[births]:[births]]*Table26[[cc_pe]:[cc_pe]]*(LEN(Table26[[cc_pe]:[cc_pe]])&gt;1)*(LEN(Table26[[bd_cov]:[bd_cov]])&gt;interactive!$C$6))/SUMPRODUCT(Table26[[births]:[births]]*(LEN(Table26[[cc_pe]:[cc_pe]])&gt;1)*(LEN(Table26[[bd_cov]:[bd_cov]])&gt;interactive!$C$6))</f>
        <v>3.8803316111444268E-2</v>
      </c>
      <c r="F38" s="126">
        <v>0</v>
      </c>
      <c r="G38" s="126">
        <f>SUM(C38:F38)</f>
        <v>2.3966365100682223</v>
      </c>
      <c r="H38" s="126">
        <f>'Regions'!V$17</f>
        <v>0.95169100383701122</v>
      </c>
      <c r="I38" s="126">
        <f>'Regions'!V$26</f>
        <v>5.5331552496151994</v>
      </c>
      <c r="J38" s="126">
        <f t="shared" si="1"/>
        <v>1.4449455062312111</v>
      </c>
      <c r="K38" s="126">
        <f t="shared" si="2"/>
        <v>3.1365187395469771</v>
      </c>
    </row>
    <row r="39" spans="1:11" x14ac:dyDescent="0.25">
      <c r="A39" s="33" t="s">
        <v>705</v>
      </c>
      <c r="B39" s="33" t="s">
        <v>843</v>
      </c>
      <c r="C39" s="126">
        <f>VLOOKUP($A39,Table15[],9,FALSE)</f>
        <v>1.939909077795162</v>
      </c>
      <c r="D39" s="126">
        <f>VLOOKUP($A39,Table15[],11,FALSE)</f>
        <v>0.41792411616161618</v>
      </c>
      <c r="E39" s="126">
        <f>SUMPRODUCT(Table26[[births]:[births]]*Table26[[cc_pe]:[cc_pe]]*(LEN(Table26[[cc_pe]:[cc_pe]])&gt;1)*(LEN(Table26[[bd_cov]:[bd_cov]])&gt;interactive!$C$6))/SUMPRODUCT(Table26[[births]:[births]]*(LEN(Table26[[cc_pe]:[cc_pe]])&gt;1)*(LEN(Table26[[bd_cov]:[bd_cov]])&gt;interactive!$C$6))</f>
        <v>3.8803316111444268E-2</v>
      </c>
      <c r="F39" s="126">
        <f>VLOOKUP($A39,Table15[],22,FALSE)</f>
        <v>1.3972842770470866</v>
      </c>
      <c r="G39" s="126">
        <f t="shared" ref="G39:G42" si="8">SUM(C39:F39)</f>
        <v>3.7939207871153089</v>
      </c>
      <c r="H39" s="126">
        <f>'Regions'!W$17</f>
        <v>2.2798230314982719</v>
      </c>
      <c r="I39" s="126">
        <f>'Regions'!W$26</f>
        <v>7.0010906486092201</v>
      </c>
      <c r="J39" s="126">
        <f t="shared" si="1"/>
        <v>1.514097755617037</v>
      </c>
      <c r="K39" s="126">
        <f t="shared" si="2"/>
        <v>3.2071698614939113</v>
      </c>
    </row>
    <row r="40" spans="1:11" x14ac:dyDescent="0.25">
      <c r="A40" s="33" t="s">
        <v>705</v>
      </c>
      <c r="B40" s="33" t="s">
        <v>844</v>
      </c>
      <c r="C40" s="126">
        <f>VLOOKUP($A40,Table15[],9,FALSE)</f>
        <v>1.939909077795162</v>
      </c>
      <c r="D40" s="33">
        <v>0</v>
      </c>
      <c r="E40" s="126">
        <f>SUMPRODUCT(Table26[[births]:[births]]*Table26[[qmap_pe]:[qmap_pe]]*(LEN(Table26[[qmap_pe]:[qmap_pe]])&gt;1)*(LEN(Table26[[bd_cov]:[bd_cov]])&gt;interactive!$C$6))/SUMPRODUCT(Table26[[births]:[births]]*(LEN(Table26[[qmap_pe]:[qmap_pe]])&gt;1)*(LEN(Table26[[bd_cov]:[bd_cov]])&gt;interactive!$C$6))</f>
        <v>1.8204024842405946E-2</v>
      </c>
      <c r="F40" s="126">
        <v>0</v>
      </c>
      <c r="G40" s="126">
        <f t="shared" si="8"/>
        <v>1.958113102637568</v>
      </c>
      <c r="H40" s="126">
        <f>'Regions'!X$17</f>
        <v>0.5824549041692948</v>
      </c>
      <c r="I40" s="126">
        <f>'Regions'!X$26</f>
        <v>5.0206339193698515</v>
      </c>
      <c r="J40" s="126">
        <f t="shared" si="1"/>
        <v>1.3756581984682732</v>
      </c>
      <c r="K40" s="126">
        <f t="shared" si="2"/>
        <v>3.0625208167322837</v>
      </c>
    </row>
    <row r="41" spans="1:11" x14ac:dyDescent="0.25">
      <c r="A41" s="33" t="s">
        <v>705</v>
      </c>
      <c r="B41" s="33" t="s">
        <v>845</v>
      </c>
      <c r="C41" s="126">
        <f>VLOOKUP($A41,Table15[],9,FALSE)</f>
        <v>1.939909077795162</v>
      </c>
      <c r="D41" s="33">
        <v>0</v>
      </c>
      <c r="E41" s="126">
        <f>SUMPRODUCT(Table26[[births]:[births]]*Table26[[qmap_pe]:[qmap_pe]]*(LEN(Table26[[qmap_pe]:[qmap_pe]])&gt;1)*(LEN(Table26[[bd_cov]:[bd_cov]])&gt;interactive!$C$6))/SUMPRODUCT(Table26[[births]:[births]]*(LEN(Table26[[qmap_pe]:[qmap_pe]])&gt;1)*(LEN(Table26[[bd_cov]:[bd_cov]])&gt;interactive!$C$6))</f>
        <v>1.8204024842405946E-2</v>
      </c>
      <c r="F41" s="126">
        <f>VLOOKUP($A41,Table15[],22,FALSE)</f>
        <v>1.3972842770470866</v>
      </c>
      <c r="G41" s="126">
        <f t="shared" si="8"/>
        <v>3.3553973796846543</v>
      </c>
      <c r="H41" s="126">
        <f>'Regions'!Y$17</f>
        <v>1.909472781297576</v>
      </c>
      <c r="I41" s="126">
        <f>'Regions'!Y$26</f>
        <v>6.4789655843801581</v>
      </c>
      <c r="J41" s="126">
        <f t="shared" si="1"/>
        <v>1.4459245983870783</v>
      </c>
      <c r="K41" s="126">
        <f t="shared" si="2"/>
        <v>3.1235682046955038</v>
      </c>
    </row>
    <row r="42" spans="1:11" x14ac:dyDescent="0.25">
      <c r="A42" s="33" t="s">
        <v>705</v>
      </c>
      <c r="B42" s="33" t="s">
        <v>846</v>
      </c>
      <c r="C42" s="126">
        <f>VLOOKUP($A42,Table15[],9,FALSE)</f>
        <v>1.939909077795162</v>
      </c>
      <c r="D42" s="33">
        <v>0</v>
      </c>
      <c r="E42" s="126">
        <f>SUMPRODUCT(Table26[[births]:[births]]*Table26[[lmap_pe]:[lmap_pe]]*(LEN(Table26[[lmap_pe]:[lmap_pe]])&gt;1)*(LEN(Table26[[bd_cov]:[bd_cov]])&gt;interactive!$C$6))/SUMPRODUCT(Table26[[births]:[births]]*(LEN(Table26[[lmap_pe]:[lmap_pe]])&gt;1)*(LEN(Table26[[bd_cov]:[bd_cov]])&gt;interactive!$C$6))</f>
        <v>9.8251798635391116E-3</v>
      </c>
      <c r="F42" s="126">
        <f>VLOOKUP($A42,Table15[],22,FALSE)</f>
        <v>1.3972842770470866</v>
      </c>
      <c r="G42" s="126">
        <f t="shared" si="8"/>
        <v>3.3470185347057875</v>
      </c>
      <c r="H42" s="126">
        <f>'Regions'!Z$17</f>
        <v>1.9039966630397811</v>
      </c>
      <c r="I42" s="126">
        <f>'Regions'!Z$26</f>
        <v>6.4570611113489758</v>
      </c>
      <c r="J42" s="126">
        <f t="shared" si="1"/>
        <v>1.4430218716660064</v>
      </c>
      <c r="K42" s="126">
        <f t="shared" si="2"/>
        <v>3.1100425766431883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A1" s="27" t="s">
        <v>42</v>
      </c>
      <c r="B1" s="27" t="s">
        <v>43</v>
      </c>
      <c r="C1" s="27" t="s">
        <v>44</v>
      </c>
      <c r="D1" s="27" t="s">
        <v>45</v>
      </c>
    </row>
    <row r="2" spans="1:4" x14ac:dyDescent="0.25">
      <c r="A2" s="27" t="s">
        <v>46</v>
      </c>
      <c r="B2" s="27">
        <v>1000</v>
      </c>
      <c r="C2" s="27">
        <v>1000</v>
      </c>
      <c r="D2" s="27">
        <v>1000</v>
      </c>
    </row>
    <row r="3" spans="1:4" x14ac:dyDescent="0.25">
      <c r="A3" s="27" t="s">
        <v>47</v>
      </c>
      <c r="B3" s="27">
        <v>100</v>
      </c>
      <c r="C3" s="27">
        <v>100</v>
      </c>
      <c r="D3" s="27">
        <v>100</v>
      </c>
    </row>
    <row r="4" spans="1:4" x14ac:dyDescent="0.25">
      <c r="A4" s="27" t="s">
        <v>48</v>
      </c>
      <c r="B4" s="27">
        <v>2</v>
      </c>
      <c r="C4" s="27">
        <v>2</v>
      </c>
      <c r="D4" s="27">
        <v>2</v>
      </c>
    </row>
    <row r="5" spans="1:4" x14ac:dyDescent="0.25">
      <c r="A5" s="27" t="s">
        <v>49</v>
      </c>
      <c r="B5" s="29">
        <v>0.03</v>
      </c>
      <c r="C5" s="29">
        <v>0.03</v>
      </c>
      <c r="D5" s="29">
        <v>0.03</v>
      </c>
    </row>
    <row r="6" spans="1:4" x14ac:dyDescent="0.25">
      <c r="A6" s="27" t="s">
        <v>50</v>
      </c>
      <c r="B6" s="28">
        <v>24</v>
      </c>
      <c r="C6" s="28">
        <v>24</v>
      </c>
      <c r="D6" s="28">
        <v>24</v>
      </c>
    </row>
    <row r="7" spans="1:4" x14ac:dyDescent="0.25">
      <c r="A7" s="27" t="s">
        <v>51</v>
      </c>
      <c r="B7" s="27">
        <v>4</v>
      </c>
      <c r="C7" s="27">
        <v>4</v>
      </c>
      <c r="D7" s="27">
        <v>4</v>
      </c>
    </row>
    <row r="8" spans="1:4" x14ac:dyDescent="0.25">
      <c r="A8" s="27" t="s">
        <v>52</v>
      </c>
      <c r="B8" s="30">
        <v>0.88500000000000001</v>
      </c>
      <c r="C8" s="31">
        <v>0.84</v>
      </c>
      <c r="D8" s="31">
        <v>0.93</v>
      </c>
    </row>
    <row r="9" spans="1:4" x14ac:dyDescent="0.25">
      <c r="A9" s="27" t="s">
        <v>53</v>
      </c>
      <c r="B9" s="27">
        <v>4</v>
      </c>
      <c r="C9" s="27">
        <v>4</v>
      </c>
      <c r="D9" s="27">
        <v>4</v>
      </c>
    </row>
    <row r="10" spans="1:4" x14ac:dyDescent="0.25">
      <c r="A10" s="27" t="s">
        <v>54</v>
      </c>
      <c r="B10" s="32">
        <v>4.8037084028205992E-3</v>
      </c>
      <c r="C10" s="32">
        <v>4.3451177401769168E-4</v>
      </c>
      <c r="D10" s="32">
        <v>9.6611452123985687E-3</v>
      </c>
    </row>
    <row r="11" spans="1:4" x14ac:dyDescent="0.25">
      <c r="A11" s="27" t="s">
        <v>55</v>
      </c>
      <c r="B11" s="32">
        <v>8.3309926200514969E-3</v>
      </c>
      <c r="C11" s="32">
        <v>4.3648054024500883E-3</v>
      </c>
      <c r="D11" s="32">
        <v>1.0550182333308195E-2</v>
      </c>
    </row>
    <row r="12" spans="1:4" x14ac:dyDescent="0.25">
      <c r="A12" s="27" t="s">
        <v>56</v>
      </c>
      <c r="B12" s="32">
        <v>2.6136156026866902E-3</v>
      </c>
      <c r="C12" s="32">
        <v>1.3048416883442813E-3</v>
      </c>
      <c r="D12" s="32">
        <v>4.3648054024500883E-3</v>
      </c>
    </row>
    <row r="13" spans="1:4" x14ac:dyDescent="0.25">
      <c r="A13" s="27" t="s">
        <v>57</v>
      </c>
      <c r="B13" s="32">
        <v>1.7276612331454656E-2</v>
      </c>
      <c r="C13" s="32">
        <v>1.4124642691606345E-2</v>
      </c>
      <c r="D13" s="32">
        <v>2.0451625295904902E-2</v>
      </c>
    </row>
    <row r="14" spans="1:4" x14ac:dyDescent="0.25">
      <c r="A14" s="27" t="s">
        <v>58</v>
      </c>
      <c r="B14" s="32">
        <v>2.1363051615525673E-2</v>
      </c>
      <c r="C14" s="32">
        <v>1.322826573375516E-2</v>
      </c>
      <c r="D14" s="32">
        <v>2.965312376990667E-2</v>
      </c>
    </row>
    <row r="15" spans="1:4" x14ac:dyDescent="0.25">
      <c r="A15" s="27" t="s">
        <v>59</v>
      </c>
      <c r="B15" s="32">
        <v>3.1984286006358213E-2</v>
      </c>
      <c r="C15" s="32">
        <f>-LOG(1-0.048)</f>
        <v>2.1363051615525673E-2</v>
      </c>
      <c r="D15" s="32">
        <f>-LOG(1-0.1)</f>
        <v>4.5757490560675115E-2</v>
      </c>
    </row>
    <row r="16" spans="1:4" x14ac:dyDescent="0.25">
      <c r="A16" s="27" t="s">
        <v>60</v>
      </c>
      <c r="B16" s="32">
        <v>3.0507515046188267E-3</v>
      </c>
      <c r="C16" s="32">
        <v>1.7406615763012701E-3</v>
      </c>
      <c r="D16" s="32">
        <v>3.9263455147246756E-3</v>
      </c>
    </row>
    <row r="17" spans="1:4" x14ac:dyDescent="0.25">
      <c r="A17" s="27" t="s">
        <v>61</v>
      </c>
      <c r="B17" s="32">
        <v>3.9263455147246756E-3</v>
      </c>
      <c r="C17" s="32">
        <v>1.3048416883442813E-3</v>
      </c>
      <c r="D17" s="32">
        <v>6.5637695023882739E-3</v>
      </c>
    </row>
    <row r="18" spans="1:4" x14ac:dyDescent="0.25">
      <c r="A18" s="27" t="s">
        <v>62</v>
      </c>
      <c r="B18" s="32">
        <v>2.0451625295904902E-2</v>
      </c>
      <c r="C18" s="32">
        <v>1.3676222949234686E-2</v>
      </c>
      <c r="D18" s="32">
        <v>2.965312376990667E-2</v>
      </c>
    </row>
    <row r="19" spans="1:4" x14ac:dyDescent="0.25">
      <c r="A19" s="27" t="s">
        <v>63</v>
      </c>
      <c r="B19" s="32">
        <v>7.6755981369723517E-2</v>
      </c>
      <c r="C19" s="32">
        <v>4.5275209020937013E-2</v>
      </c>
      <c r="D19" s="32">
        <v>9.6910013008056392E-2</v>
      </c>
    </row>
    <row r="20" spans="1:4" x14ac:dyDescent="0.25">
      <c r="A20" s="27" t="s">
        <v>64</v>
      </c>
      <c r="B20" s="32">
        <v>0.34198860334288761</v>
      </c>
      <c r="C20" s="32">
        <v>3.6684488613888719E-2</v>
      </c>
      <c r="D20" s="32">
        <v>0.40340290437353976</v>
      </c>
    </row>
    <row r="21" spans="1:4" x14ac:dyDescent="0.25">
      <c r="A21" s="27" t="s">
        <v>65</v>
      </c>
      <c r="B21" s="27">
        <v>5.0999999999999997E-2</v>
      </c>
      <c r="C21" s="27">
        <v>3.2000000000000001E-2</v>
      </c>
      <c r="D21" s="27">
        <v>7.3999999999999996E-2</v>
      </c>
    </row>
    <row r="22" spans="1:4" x14ac:dyDescent="0.25">
      <c r="A22" s="27" t="s">
        <v>66</v>
      </c>
      <c r="B22" s="27">
        <v>5.0999999999999997E-2</v>
      </c>
      <c r="C22" s="27">
        <v>3.2000000000000001E-2</v>
      </c>
      <c r="D22" s="27">
        <v>7.3999999999999996E-2</v>
      </c>
    </row>
    <row r="23" spans="1:4" x14ac:dyDescent="0.25">
      <c r="A23" s="27" t="s">
        <v>67</v>
      </c>
      <c r="B23" s="27">
        <v>5.0999999999999997E-2</v>
      </c>
      <c r="C23" s="27">
        <v>3.2000000000000001E-2</v>
      </c>
      <c r="D23" s="27">
        <v>7.3999999999999996E-2</v>
      </c>
    </row>
    <row r="24" spans="1:4" x14ac:dyDescent="0.25">
      <c r="A24" s="27" t="s">
        <v>68</v>
      </c>
      <c r="B24" s="27">
        <v>0.17799999999999999</v>
      </c>
      <c r="C24" s="27">
        <v>0.123</v>
      </c>
      <c r="D24" s="27">
        <v>0.25</v>
      </c>
    </row>
    <row r="25" spans="1:4" x14ac:dyDescent="0.25">
      <c r="A25" s="27" t="s">
        <v>69</v>
      </c>
      <c r="B25" s="27">
        <v>0.28799999999999998</v>
      </c>
      <c r="C25" s="27">
        <v>0.193</v>
      </c>
      <c r="D25" s="27">
        <v>0.39900000000000002</v>
      </c>
    </row>
    <row r="26" spans="1:4" x14ac:dyDescent="0.25">
      <c r="A26" s="33" t="s">
        <v>70</v>
      </c>
      <c r="B26" s="33">
        <v>0.95299999999999996</v>
      </c>
      <c r="C26" s="33">
        <v>0.93500000000000005</v>
      </c>
      <c r="D26" s="33">
        <v>0.96699999999999997</v>
      </c>
    </row>
    <row r="27" spans="1:4" x14ac:dyDescent="0.25">
      <c r="A27" s="33" t="s">
        <v>71</v>
      </c>
      <c r="B27" s="33">
        <v>0.88900000000000001</v>
      </c>
      <c r="C27" s="169">
        <v>0.83</v>
      </c>
      <c r="D27" s="33">
        <v>0.92800000000000005</v>
      </c>
    </row>
    <row r="28" spans="1:4" x14ac:dyDescent="0.25">
      <c r="A28" s="33" t="s">
        <v>72</v>
      </c>
      <c r="B28" s="33">
        <v>0.82499999999999996</v>
      </c>
      <c r="C28" s="33">
        <v>0.70699999999999996</v>
      </c>
      <c r="D28" s="33">
        <v>0.90200000000000002</v>
      </c>
    </row>
    <row r="29" spans="1:4" x14ac:dyDescent="0.25">
      <c r="A29" s="33" t="s">
        <v>73</v>
      </c>
      <c r="B29" s="33">
        <v>0.52300000000000002</v>
      </c>
      <c r="C29" s="33">
        <v>0.223</v>
      </c>
      <c r="D29" s="33">
        <v>0.80700000000000005</v>
      </c>
    </row>
    <row r="30" spans="1:4" x14ac:dyDescent="0.25">
      <c r="A30" s="33" t="s">
        <v>74</v>
      </c>
      <c r="B30" s="33">
        <v>0</v>
      </c>
      <c r="C30" s="33">
        <v>0</v>
      </c>
      <c r="D30" s="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13"/>
  <sheetViews>
    <sheetView workbookViewId="0"/>
  </sheetViews>
  <sheetFormatPr defaultColWidth="8.85546875" defaultRowHeight="15" x14ac:dyDescent="0.25"/>
  <cols>
    <col min="1" max="1" width="24.7109375" style="33" customWidth="1"/>
    <col min="2" max="2" width="22.28515625" style="33" customWidth="1"/>
    <col min="3" max="3" width="12.85546875" style="33" customWidth="1"/>
    <col min="4" max="4" width="13.28515625" style="33" customWidth="1"/>
    <col min="5" max="5" width="30.28515625" style="33" customWidth="1"/>
    <col min="6" max="6" width="50" style="33" customWidth="1"/>
    <col min="7" max="7" width="34.85546875" style="33" customWidth="1"/>
    <col min="8" max="8" width="13.7109375" style="33" customWidth="1"/>
    <col min="9" max="9" width="8.85546875" style="33"/>
    <col min="10" max="10" width="10.42578125" style="33" customWidth="1"/>
    <col min="11" max="11" width="9.140625" style="33" customWidth="1"/>
    <col min="12" max="12" width="11.140625" style="33" customWidth="1"/>
    <col min="13" max="14" width="10.85546875" style="33" customWidth="1"/>
    <col min="15" max="24" width="8.85546875" style="33"/>
    <col min="25" max="25" width="9.7109375" style="33" customWidth="1"/>
    <col min="26" max="26" width="9" style="33" customWidth="1"/>
    <col min="27" max="31" width="8.85546875" style="33"/>
    <col min="32" max="48" width="9.5703125" style="33" customWidth="1"/>
    <col min="49" max="50" width="8.85546875" style="33"/>
    <col min="51" max="51" width="12.85546875" style="33" customWidth="1"/>
    <col min="52" max="16384" width="8.85546875" style="33"/>
  </cols>
  <sheetData>
    <row r="1" spans="1:51" x14ac:dyDescent="0.25">
      <c r="A1" s="80" t="s">
        <v>668</v>
      </c>
      <c r="B1" s="80" t="s">
        <v>571</v>
      </c>
      <c r="C1" s="80" t="s">
        <v>669</v>
      </c>
      <c r="D1" s="80" t="s">
        <v>670</v>
      </c>
      <c r="E1" s="80" t="s">
        <v>575</v>
      </c>
      <c r="F1" s="80" t="s">
        <v>671</v>
      </c>
      <c r="G1" s="80" t="s">
        <v>672</v>
      </c>
      <c r="H1" s="108" t="s">
        <v>685</v>
      </c>
      <c r="I1" s="108" t="s">
        <v>686</v>
      </c>
      <c r="J1" s="108" t="s">
        <v>687</v>
      </c>
      <c r="K1" s="108" t="s">
        <v>688</v>
      </c>
      <c r="L1" s="108" t="s">
        <v>689</v>
      </c>
      <c r="M1" s="108" t="s">
        <v>690</v>
      </c>
      <c r="N1" s="108" t="s">
        <v>691</v>
      </c>
      <c r="O1" s="108" t="s">
        <v>657</v>
      </c>
      <c r="P1" s="108" t="s">
        <v>660</v>
      </c>
      <c r="Q1" s="108" t="s">
        <v>692</v>
      </c>
      <c r="R1" s="108" t="s">
        <v>693</v>
      </c>
      <c r="S1" s="108" t="s">
        <v>694</v>
      </c>
      <c r="T1" s="108" t="s">
        <v>695</v>
      </c>
      <c r="U1" s="108" t="s">
        <v>696</v>
      </c>
      <c r="V1" s="108" t="s">
        <v>697</v>
      </c>
      <c r="W1" s="108" t="s">
        <v>698</v>
      </c>
      <c r="X1" s="108" t="s">
        <v>699</v>
      </c>
      <c r="Y1" s="108" t="s">
        <v>700</v>
      </c>
      <c r="Z1" s="108" t="s">
        <v>701</v>
      </c>
      <c r="AA1" s="108" t="s">
        <v>702</v>
      </c>
      <c r="AB1" s="108" t="s">
        <v>703</v>
      </c>
      <c r="AC1" s="80" t="s">
        <v>544</v>
      </c>
      <c r="AD1" s="80" t="s">
        <v>545</v>
      </c>
      <c r="AE1" s="80" t="s">
        <v>546</v>
      </c>
      <c r="AF1" s="80" t="s">
        <v>547</v>
      </c>
      <c r="AG1" s="80" t="s">
        <v>548</v>
      </c>
      <c r="AH1" s="80" t="s">
        <v>549</v>
      </c>
      <c r="AI1" s="80" t="s">
        <v>550</v>
      </c>
      <c r="AJ1" s="80" t="s">
        <v>551</v>
      </c>
      <c r="AK1" s="80" t="s">
        <v>552</v>
      </c>
      <c r="AL1" s="80" t="s">
        <v>553</v>
      </c>
      <c r="AM1" s="80" t="s">
        <v>554</v>
      </c>
      <c r="AN1" s="80" t="s">
        <v>555</v>
      </c>
      <c r="AO1" s="80" t="s">
        <v>556</v>
      </c>
      <c r="AP1" s="80" t="s">
        <v>557</v>
      </c>
      <c r="AQ1" s="80" t="s">
        <v>558</v>
      </c>
      <c r="AR1" s="80" t="s">
        <v>559</v>
      </c>
      <c r="AS1" s="80" t="s">
        <v>560</v>
      </c>
      <c r="AT1" s="80" t="s">
        <v>561</v>
      </c>
      <c r="AU1" s="80" t="s">
        <v>562</v>
      </c>
      <c r="AV1" s="80" t="s">
        <v>563</v>
      </c>
      <c r="AW1" s="80" t="s">
        <v>564</v>
      </c>
      <c r="AX1" s="85" t="s">
        <v>704</v>
      </c>
      <c r="AY1" s="108" t="s">
        <v>725</v>
      </c>
    </row>
    <row r="2" spans="1:51" x14ac:dyDescent="0.25">
      <c r="A2" s="109" t="s">
        <v>191</v>
      </c>
      <c r="B2" s="101" t="s">
        <v>369</v>
      </c>
      <c r="C2" s="102">
        <v>4</v>
      </c>
      <c r="D2" s="82" t="s">
        <v>673</v>
      </c>
      <c r="E2" s="82" t="s">
        <v>579</v>
      </c>
      <c r="F2" s="82" t="s">
        <v>579</v>
      </c>
      <c r="G2" s="82" t="s">
        <v>674</v>
      </c>
      <c r="H2" s="33">
        <f>IF(INDEX(lmic_raw[],MATCH($A2,lmic_raw[[setting]:[setting]],0), MATCH(H$1, lmic_raw[#Headers],0))=0, INDEX(regions[], MATCH($D2, regions[[setting]:[setting]],0), MATCH(H$1, regions[#Headers],0)),INDEX(lmic_raw[],MATCH($A2,lmic_raw[[setting]:[setting]],0), MATCH(H$1, lmic_raw[#Headers],0)))</f>
        <v>38041757</v>
      </c>
      <c r="I2" s="33">
        <f>IF(INDEX(lmic_raw[],MATCH($A2,lmic_raw[[setting]:[setting]],0), MATCH(I$1, lmic_raw[#Headers],0))=0, INDEX(regions[], MATCH($D2, regions[[setting]:[setting]],0), MATCH(I$1, regions[#Headers],0)),INDEX(lmic_raw[],MATCH($A2,lmic_raw[[setting]:[setting]],0), MATCH(I$1, lmic_raw[#Headers],0)))</f>
        <v>1249899.967992</v>
      </c>
      <c r="J2" s="33">
        <f>IF(INDEX(lmic_raw[],MATCH($A2,lmic_raw[[setting]:[setting]],0), MATCH(J$1, lmic_raw[#Headers],0))=0, INDEX(regions[], MATCH($D2, regions[[setting]:[setting]],0), MATCH(J$1, regions[#Headers],0)),INDEX(lmic_raw[],MATCH($A2,lmic_raw[[setting]:[setting]],0), MATCH(J$1, lmic_raw[#Headers],0)))</f>
        <v>0.56299999999999994</v>
      </c>
      <c r="K2" s="33">
        <f>IF(INDEX(lmic_raw[],MATCH($A2,lmic_raw[[setting]:[setting]],0), MATCH(K$1, lmic_raw[#Headers],0))=0, INDEX(regions[], MATCH($D2, regions[[setting]:[setting]],0), MATCH(K$1, regions[#Headers],0)),INDEX(lmic_raw[],MATCH($A2,lmic_raw[[setting]:[setting]],0), MATCH(K$1, lmic_raw[#Headers],0)))</f>
        <v>0.37</v>
      </c>
      <c r="L2" s="33">
        <f>IF(INDEX(lmic_raw[],MATCH($A2,lmic_raw[[setting]:[setting]],0), MATCH(L$1, lmic_raw[#Headers],0))=0, INDEX(regions[], MATCH($D2, regions[[setting]:[setting]],0), MATCH(L$1, regions[#Headers],0)),INDEX(lmic_raw[],MATCH($A2,lmic_raw[[setting]:[setting]],0), MATCH(L$1, lmic_raw[#Headers],0)))</f>
        <v>0.66</v>
      </c>
      <c r="M2" s="33">
        <f>IF(INDEX(lmic_raw[],MATCH($A2,lmic_raw[[setting]:[setting]],0), MATCH(M$1, lmic_raw[#Headers],0))=0, INDEX(regions[], MATCH($D2, regions[[setting]:[setting]],0), MATCH(M$1, regions[#Headers],0)),INDEX(lmic_raw[],MATCH($A2,lmic_raw[[setting]:[setting]],0), MATCH(M$1, lmic_raw[#Headers],0)))</f>
        <v>1.11E-2</v>
      </c>
      <c r="N2" s="33">
        <f>IF(INDEX(lmic_raw[],MATCH($A2,lmic_raw[[setting]:[setting]],0), MATCH(N$1, lmic_raw[#Headers],0))=0, INDEX(regions[], MATCH($D2, regions[[setting]:[setting]],0), MATCH(N$1, regions[#Headers],0)),INDEX(lmic_raw[],MATCH($A2,lmic_raw[[setting]:[setting]],0), MATCH(N$1, lmic_raw[#Headers],0)))</f>
        <v>0.26918419033691254</v>
      </c>
      <c r="O2" s="33">
        <f>IF(INDEX(lmic_raw[],MATCH($A2,lmic_raw[[setting]:[setting]],0), MATCH(O$1, lmic_raw[#Headers],0))=0, INDEX(regions[], MATCH($D2, regions[[setting]:[setting]],0), MATCH(O$1, regions[#Headers],0)),INDEX(lmic_raw[],MATCH($A2,lmic_raw[[setting]:[setting]],0), MATCH(O$1, lmic_raw[#Headers],0)))</f>
        <v>0.8</v>
      </c>
      <c r="P2" s="33">
        <f>IF(INDEX(lmic_raw[],MATCH($A2,lmic_raw[[setting]:[setting]],0), MATCH(P$1, lmic_raw[#Headers],0))=0, INDEX(regions[], MATCH($D2, regions[[setting]:[setting]],0), MATCH(P$1, regions[#Headers],0)),INDEX(lmic_raw[],MATCH($A2,lmic_raw[[setting]:[setting]],0), MATCH(P$1, lmic_raw[#Headers],0)))</f>
        <v>0.17499999999999999</v>
      </c>
      <c r="Q2" s="33">
        <f>IF(INDEX(lmic_raw[],MATCH($A2,lmic_raw[[setting]:[setting]],0), MATCH(Q$1, lmic_raw[#Headers],0))=0, INDEX(regions[], MATCH($D2, regions[[setting]:[setting]],0), MATCH(Q$1, regions[#Headers],0)),INDEX(lmic_raw[],MATCH($A2,lmic_raw[[setting]:[setting]],0), MATCH(Q$1, lmic_raw[#Headers],0)))</f>
        <v>2.3021927248391871</v>
      </c>
      <c r="R2" s="33">
        <f>IF(INDEX(lmic_raw[],MATCH($A2,lmic_raw[[setting]:[setting]],0), MATCH(R$1, lmic_raw[#Headers],0))=0, INDEX(regions[], MATCH($D2, regions[[setting]:[setting]],0), MATCH(R$1, regions[#Headers],0)),INDEX(lmic_raw[],MATCH($A2,lmic_raw[[setting]:[setting]],0), MATCH(R$1, lmic_raw[#Headers],0)))</f>
        <v>46.335900000000002</v>
      </c>
      <c r="S2" s="33">
        <f>IF(INDEX(lmic_raw[],MATCH($A2,lmic_raw[[setting]:[setting]],0), MATCH(S$1, lmic_raw[#Headers],0))=0, INDEX(regions[], MATCH($D2, regions[[setting]:[setting]],0), MATCH(S$1, regions[#Headers],0)),INDEX(lmic_raw[],MATCH($A2,lmic_raw[[setting]:[setting]],0), MATCH(S$1, lmic_raw[#Headers],0)))</f>
        <v>94.077900000000014</v>
      </c>
      <c r="T2" s="33">
        <f>IF(INDEX(lmic_raw[],MATCH($A2,lmic_raw[[setting]:[setting]],0), MATCH(T$1, lmic_raw[#Headers],0))=0, INDEX(regions[], MATCH($D2, regions[[setting]:[setting]],0), MATCH(T$1, regions[#Headers],0)),INDEX(lmic_raw[],MATCH($A2,lmic_raw[[setting]:[setting]],0), MATCH(T$1, lmic_raw[#Headers],0)))</f>
        <v>94.077900000000014</v>
      </c>
      <c r="U2" s="33">
        <f>IF(INDEX(lmic_raw[],MATCH($A2,lmic_raw[[setting]:[setting]],0), MATCH(U$1, lmic_raw[#Headers],0))=0, INDEX(regions[], MATCH($D2, regions[[setting]:[setting]],0), MATCH(U$1, regions[#Headers],0)),INDEX(lmic_raw[],MATCH($A2,lmic_raw[[setting]:[setting]],0), MATCH(U$1, lmic_raw[#Headers],0)))</f>
        <v>94.077900000000014</v>
      </c>
      <c r="V2" s="33">
        <f>IF(INDEX(lmic_raw[],MATCH($A2,lmic_raw[[setting]:[setting]],0), MATCH(V$1, lmic_raw[#Headers],0))=0, INDEX(regions[], MATCH($D2, regions[[setting]:[setting]],0), MATCH(V$1, regions[#Headers],0)),INDEX(lmic_raw[],MATCH($A2,lmic_raw[[setting]:[setting]],0), MATCH(V$1, lmic_raw[#Headers],0)))</f>
        <v>1.1996245808495667</v>
      </c>
      <c r="W2" s="33">
        <f>IF(INDEX(lmic_raw[],MATCH($A2,lmic_raw[[setting]:[setting]],0), MATCH(W$1, lmic_raw[#Headers],0))=0, INDEX(regions[], MATCH($D2, regions[[setting]:[setting]],0), MATCH(W$1, regions[#Headers],0)),INDEX(lmic_raw[],MATCH($A2,lmic_raw[[setting]:[setting]],0), MATCH(W$1, lmic_raw[#Headers],0)))</f>
        <v>1.6796245808495667</v>
      </c>
      <c r="X2" s="33">
        <f>IF(INDEX(lmic_raw[],MATCH($A2,lmic_raw[[setting]:[setting]],0), MATCH(X$1, lmic_raw[#Headers],0))=0, INDEX(regions[], MATCH($D2, regions[[setting]:[setting]],0), MATCH(X$1, regions[#Headers],0)),INDEX(lmic_raw[],MATCH($A2,lmic_raw[[setting]:[setting]],0), MATCH(X$1, lmic_raw[#Headers],0)))</f>
        <v>0.77681626738447063</v>
      </c>
      <c r="Y2" s="33">
        <f>IF(INDEX(lmic_raw[],MATCH($A2,lmic_raw[[setting]:[setting]],0), MATCH(Y$1, lmic_raw[#Headers],0))=0, INDEX(regions[], MATCH($D2, regions[[setting]:[setting]],0), MATCH(Y$1, regions[#Headers],0)),INDEX(lmic_raw[],MATCH($A2,lmic_raw[[setting]:[setting]],0), MATCH(Y$1, lmic_raw[#Headers],0)))</f>
        <v>1.2568162673844707</v>
      </c>
      <c r="Z2" s="33">
        <f>IF(INDEX(lmic_raw[],MATCH($A2,lmic_raw[[setting]:[setting]],0), MATCH(Z$1, lmic_raw[#Headers],0))=0, INDEX(regions[], MATCH($D2, regions[[setting]:[setting]],0), MATCH(Z$1, regions[#Headers],0)),INDEX(lmic_raw[],MATCH($A2,lmic_raw[[setting]:[setting]],0), MATCH(Z$1, lmic_raw[#Headers],0)))</f>
        <v>1.2547005784728764</v>
      </c>
      <c r="AA2" s="33">
        <f>IF(INDEX(lmic_raw[],MATCH($A2,lmic_raw[[setting]:[setting]],0), MATCH(AA$1, lmic_raw[#Headers],0))=0, INDEX(regions[], MATCH($D2, regions[[setting]:[setting]],0), MATCH(AA$1, regions[#Headers],0)),INDEX(lmic_raw[],MATCH($A2,lmic_raw[[setting]:[setting]],0), MATCH(AA$1, lmic_raw[#Headers],0)))</f>
        <v>1.4402582696591018</v>
      </c>
      <c r="AB2" s="33">
        <f>IF(INDEX(lmic_raw[],MATCH($A2,lmic_raw[[setting]:[setting]],0), MATCH(AB$1, lmic_raw[#Headers],0))=0, INDEX(regions[], MATCH($D2, regions[[setting]:[setting]],0), MATCH(AB$1, regions[#Headers],0)),INDEX(lmic_raw[],MATCH($A2,lmic_raw[[setting]:[setting]],0), MATCH(AB$1, lmic_raw[#Headers],0)))</f>
        <v>1.9202582696591017</v>
      </c>
      <c r="AC2" s="33">
        <f>IF(INDEX(lmic_raw[],MATCH($A2,lmic_raw[[setting]:[setting]],0), MATCH(AC$1, lmic_raw[#Headers],0))=0, INDEX(regions[], MATCH($D2, regions[[setting]:[setting]],0), MATCH(AC$1, regions[#Headers],0)),INDEX(lmic_raw[],MATCH($A2,lmic_raw[[setting]:[setting]],0), MATCH(AC$1, lmic_raw[#Headers],0)))</f>
        <v>5.1705920000000044E-2</v>
      </c>
      <c r="AD2" s="33">
        <f>IF(INDEX(lmic_raw[],MATCH($A2,lmic_raw[[setting]:[setting]],0), MATCH(AD$1, lmic_raw[#Headers],0))=0, INDEX(regions[], MATCH($D2, regions[[setting]:[setting]],0), MATCH(AD$1, regions[#Headers],0)),INDEX(lmic_raw[],MATCH($A2,lmic_raw[[setting]:[setting]],0), MATCH(AD$1, lmic_raw[#Headers],0)))</f>
        <v>4.2606139648156119E-3</v>
      </c>
      <c r="AE2" s="33">
        <f>IF(INDEX(lmic_raw[],MATCH($A2,lmic_raw[[setting]:[setting]],0), MATCH(AE$1, lmic_raw[#Headers],0))=0, INDEX(regions[], MATCH($D2, regions[[setting]:[setting]],0), MATCH(AE$1, regions[#Headers],0)),INDEX(lmic_raw[],MATCH($A2,lmic_raw[[setting]:[setting]],0), MATCH(AE$1, lmic_raw[#Headers],0)))</f>
        <v>1.3223737793075733E-3</v>
      </c>
      <c r="AF2" s="33">
        <f>IF(INDEX(lmic_raw[],MATCH($A2,lmic_raw[[setting]:[setting]],0), MATCH(AF$1, lmic_raw[#Headers],0))=0, INDEX(regions[], MATCH($D2, regions[[setting]:[setting]],0), MATCH(AF$1, regions[#Headers],0)),INDEX(lmic_raw[],MATCH($A2,lmic_raw[[setting]:[setting]],0), MATCH(AF$1, lmic_raw[#Headers],0)))</f>
        <v>1.0403429192195591E-3</v>
      </c>
      <c r="AG2" s="33">
        <f>IF(INDEX(lmic_raw[],MATCH($A2,lmic_raw[[setting]:[setting]],0), MATCH(AG$1, lmic_raw[#Headers],0))=0, INDEX(regions[], MATCH($D2, regions[[setting]:[setting]],0), MATCH(AG$1, regions[#Headers],0)),INDEX(lmic_raw[],MATCH($A2,lmic_raw[[setting]:[setting]],0), MATCH(AG$1, lmic_raw[#Headers],0)))</f>
        <v>1.6776300094756157E-3</v>
      </c>
      <c r="AH2" s="33">
        <f>IF(INDEX(lmic_raw[],MATCH($A2,lmic_raw[[setting]:[setting]],0), MATCH(AH$1, lmic_raw[#Headers],0))=0, INDEX(regions[], MATCH($D2, regions[[setting]:[setting]],0), MATCH(AH$1, regions[#Headers],0)),INDEX(lmic_raw[],MATCH($A2,lmic_raw[[setting]:[setting]],0), MATCH(AH$1, lmic_raw[#Headers],0)))</f>
        <v>2.3376621044886147E-3</v>
      </c>
      <c r="AI2" s="33">
        <f>IF(INDEX(lmic_raw[],MATCH($A2,lmic_raw[[setting]:[setting]],0), MATCH(AI$1, lmic_raw[#Headers],0))=0, INDEX(regions[], MATCH($D2, regions[[setting]:[setting]],0), MATCH(AI$1, regions[#Headers],0)),INDEX(lmic_raw[],MATCH($A2,lmic_raw[[setting]:[setting]],0), MATCH(AI$1, lmic_raw[#Headers],0)))</f>
        <v>2.5459831968737906E-3</v>
      </c>
      <c r="AJ2" s="33">
        <f>IF(INDEX(lmic_raw[],MATCH($A2,lmic_raw[[setting]:[setting]],0), MATCH(AJ$1, lmic_raw[#Headers],0))=0, INDEX(regions[], MATCH($D2, regions[[setting]:[setting]],0), MATCH(AJ$1, regions[#Headers],0)),INDEX(lmic_raw[],MATCH($A2,lmic_raw[[setting]:[setting]],0), MATCH(AJ$1, lmic_raw[#Headers],0)))</f>
        <v>2.9144424789079464E-3</v>
      </c>
      <c r="AK2" s="33">
        <f>IF(INDEX(lmic_raw[],MATCH($A2,lmic_raw[[setting]:[setting]],0), MATCH(AK$1, lmic_raw[#Headers],0))=0, INDEX(regions[], MATCH($D2, regions[[setting]:[setting]],0), MATCH(AK$1, regions[#Headers],0)),INDEX(lmic_raw[],MATCH($A2,lmic_raw[[setting]:[setting]],0), MATCH(AK$1, lmic_raw[#Headers],0)))</f>
        <v>3.609036825722695E-3</v>
      </c>
      <c r="AL2" s="33">
        <f>IF(INDEX(lmic_raw[],MATCH($A2,lmic_raw[[setting]:[setting]],0), MATCH(AL$1, lmic_raw[#Headers],0))=0, INDEX(regions[], MATCH($D2, regions[[setting]:[setting]],0), MATCH(AL$1, regions[#Headers],0)),INDEX(lmic_raw[],MATCH($A2,lmic_raw[[setting]:[setting]],0), MATCH(AL$1, lmic_raw[#Headers],0)))</f>
        <v>4.7646755307516097E-3</v>
      </c>
      <c r="AM2" s="33">
        <f>IF(INDEX(lmic_raw[],MATCH($A2,lmic_raw[[setting]:[setting]],0), MATCH(AM$1, lmic_raw[#Headers],0))=0, INDEX(regions[], MATCH($D2, regions[[setting]:[setting]],0), MATCH(AM$1, regions[#Headers],0)),INDEX(lmic_raw[],MATCH($A2,lmic_raw[[setting]:[setting]],0), MATCH(AM$1, lmic_raw[#Headers],0)))</f>
        <v>6.6693979477904005E-3</v>
      </c>
      <c r="AN2" s="33">
        <f>IF(INDEX(lmic_raw[],MATCH($A2,lmic_raw[[setting]:[setting]],0), MATCH(AN$1, lmic_raw[#Headers],0))=0, INDEX(regions[], MATCH($D2, regions[[setting]:[setting]],0), MATCH(AN$1, regions[#Headers],0)),INDEX(lmic_raw[],MATCH($A2,lmic_raw[[setting]:[setting]],0), MATCH(AN$1, lmic_raw[#Headers],0)))</f>
        <v>9.7111120253384389E-3</v>
      </c>
      <c r="AO2" s="33">
        <f>IF(INDEX(lmic_raw[],MATCH($A2,lmic_raw[[setting]:[setting]],0), MATCH(AO$1, lmic_raw[#Headers],0))=0, INDEX(regions[], MATCH($D2, regions[[setting]:[setting]],0), MATCH(AO$1, regions[#Headers],0)),INDEX(lmic_raw[],MATCH($A2,lmic_raw[[setting]:[setting]],0), MATCH(AO$1, lmic_raw[#Headers],0)))</f>
        <v>1.4319291152050998E-2</v>
      </c>
      <c r="AP2" s="33">
        <f>IF(INDEX(lmic_raw[],MATCH($A2,lmic_raw[[setting]:[setting]],0), MATCH(AP$1, lmic_raw[#Headers],0))=0, INDEX(regions[], MATCH($D2, regions[[setting]:[setting]],0), MATCH(AP$1, regions[#Headers],0)),INDEX(lmic_raw[],MATCH($A2,lmic_raw[[setting]:[setting]],0), MATCH(AP$1, lmic_raw[#Headers],0)))</f>
        <v>2.1576406530464876E-2</v>
      </c>
      <c r="AQ2" s="33">
        <f>IF(INDEX(lmic_raw[],MATCH($A2,lmic_raw[[setting]:[setting]],0), MATCH(AQ$1, lmic_raw[#Headers],0))=0, INDEX(regions[], MATCH($D2, regions[[setting]:[setting]],0), MATCH(AQ$1, regions[#Headers],0)),INDEX(lmic_raw[],MATCH($A2,lmic_raw[[setting]:[setting]],0), MATCH(AQ$1, lmic_raw[#Headers],0)))</f>
        <v>3.2497417745205051E-2</v>
      </c>
      <c r="AR2" s="33">
        <f>IF(INDEX(lmic_raw[],MATCH($A2,lmic_raw[[setting]:[setting]],0), MATCH(AR$1, lmic_raw[#Headers],0))=0, INDEX(regions[], MATCH($D2, regions[[setting]:[setting]],0), MATCH(AR$1, regions[#Headers],0)),INDEX(lmic_raw[],MATCH($A2,lmic_raw[[setting]:[setting]],0), MATCH(AR$1, lmic_raw[#Headers],0)))</f>
        <v>4.9541629377470205E-2</v>
      </c>
      <c r="AS2" s="33">
        <f>IF(INDEX(lmic_raw[],MATCH($A2,lmic_raw[[setting]:[setting]],0), MATCH(AS$1, lmic_raw[#Headers],0))=0, INDEX(regions[], MATCH($D2, regions[[setting]:[setting]],0), MATCH(AS$1, regions[#Headers],0)),INDEX(lmic_raw[],MATCH($A2,lmic_raw[[setting]:[setting]],0), MATCH(AS$1, lmic_raw[#Headers],0)))</f>
        <v>7.3784124546607335E-2</v>
      </c>
      <c r="AT2" s="33">
        <f>IF(INDEX(lmic_raw[],MATCH($A2,lmic_raw[[setting]:[setting]],0), MATCH(AT$1, lmic_raw[#Headers],0))=0, INDEX(regions[], MATCH($D2, regions[[setting]:[setting]],0), MATCH(AT$1, regions[#Headers],0)),INDEX(lmic_raw[],MATCH($A2,lmic_raw[[setting]:[setting]],0), MATCH(AT$1, lmic_raw[#Headers],0)))</f>
        <v>0.10484693966590136</v>
      </c>
      <c r="AU2" s="33">
        <f>IF(INDEX(lmic_raw[],MATCH($A2,lmic_raw[[setting]:[setting]],0), MATCH(AU$1, lmic_raw[#Headers],0))=0, INDEX(regions[], MATCH($D2, regions[[setting]:[setting]],0), MATCH(AU$1, regions[#Headers],0)),INDEX(lmic_raw[],MATCH($A2,lmic_raw[[setting]:[setting]],0), MATCH(AU$1, lmic_raw[#Headers],0)))</f>
        <v>0.13730355211350781</v>
      </c>
      <c r="AV2" s="33">
        <f>IF(INDEX(lmic_raw[],MATCH($A2,lmic_raw[[setting]:[setting]],0), MATCH(AV$1, lmic_raw[#Headers],0))=0, INDEX(regions[], MATCH($D2, regions[[setting]:[setting]],0), MATCH(AV$1, regions[#Headers],0)),INDEX(lmic_raw[],MATCH($A2,lmic_raw[[setting]:[setting]],0), MATCH(AV$1, lmic_raw[#Headers],0)))</f>
        <v>0.16337379458024129</v>
      </c>
      <c r="AW2" s="33">
        <f>IF(INDEX(lmic_raw[],MATCH($A2,lmic_raw[[setting]:[setting]],0), MATCH(AW$1, lmic_raw[#Headers],0))=0, INDEX(regions[], MATCH($D2, regions[[setting]:[setting]],0), MATCH(AW$1, regions[#Headers],0)),INDEX(lmic_raw[],MATCH($A2,lmic_raw[[setting]:[setting]],0), MATCH(AW$1, lmic_raw[#Headers],0)))</f>
        <v>0.18004602647935439</v>
      </c>
      <c r="AX2" s="33">
        <f>IF(INDEX(lmic_raw[],MATCH($A2,lmic_raw[[setting]:[setting]],0), MATCH(AX$1, lmic_raw[#Headers],0))=0, INDEX(regions[], MATCH($D2, regions[[setting]:[setting]],0), MATCH(AX$1, regions[#Headers],0)),INDEX(lmic_raw[],MATCH($A2,lmic_raw[[setting]:[setting]],0), MATCH(AX$1, lmic_raw[#Headers],0)))</f>
        <v>64.278999999999996</v>
      </c>
      <c r="AY2" s="33" t="str">
        <f>IF(VLOOKUP($A2,lmic_raw[],11,FALSE)=0, "Yes", "No")</f>
        <v>No</v>
      </c>
    </row>
    <row r="3" spans="1:51" x14ac:dyDescent="0.25">
      <c r="A3" s="110" t="s">
        <v>332</v>
      </c>
      <c r="B3" s="104" t="s">
        <v>370</v>
      </c>
      <c r="C3" s="105">
        <v>8</v>
      </c>
      <c r="D3" s="84" t="s">
        <v>675</v>
      </c>
      <c r="E3" s="84" t="s">
        <v>580</v>
      </c>
      <c r="F3" s="84" t="s">
        <v>663</v>
      </c>
      <c r="G3" s="84" t="s">
        <v>676</v>
      </c>
      <c r="H3" s="33">
        <f>IF(INDEX(lmic_raw[],MATCH($A3,lmic_raw[[setting]:[setting]],0), MATCH(H$1, lmic_raw[#Headers],0))=0, INDEX(regions[], MATCH($D3, regions[[setting]:[setting]],0), MATCH(H$1, regions[#Headers],0)),INDEX(lmic_raw[],MATCH($A3,lmic_raw[[setting]:[setting]],0), MATCH(H$1, lmic_raw[#Headers],0)))</f>
        <v>2880913</v>
      </c>
      <c r="I3" s="33">
        <f>IF(INDEX(lmic_raw[],MATCH($A3,lmic_raw[[setting]:[setting]],0), MATCH(I$1, lmic_raw[#Headers],0))=0, INDEX(regions[], MATCH($D3, regions[[setting]:[setting]],0), MATCH(I$1, regions[#Headers],0)),INDEX(lmic_raw[],MATCH($A3,lmic_raw[[setting]:[setting]],0), MATCH(I$1, lmic_raw[#Headers],0)))</f>
        <v>33977.487922</v>
      </c>
      <c r="J3" s="33">
        <f>IF(INDEX(lmic_raw[],MATCH($A3,lmic_raw[[setting]:[setting]],0), MATCH(J$1, lmic_raw[#Headers],0))=0, INDEX(regions[], MATCH($D3, regions[[setting]:[setting]],0), MATCH(J$1, regions[#Headers],0)),INDEX(lmic_raw[],MATCH($A3,lmic_raw[[setting]:[setting]],0), MATCH(J$1, lmic_raw[#Headers],0)))</f>
        <v>0.98599999999999999</v>
      </c>
      <c r="K3" s="33">
        <f>IF(INDEX(lmic_raw[],MATCH($A3,lmic_raw[[setting]:[setting]],0), MATCH(K$1, lmic_raw[#Headers],0))=0, INDEX(regions[], MATCH($D3, regions[[setting]:[setting]],0), MATCH(K$1, regions[#Headers],0)),INDEX(lmic_raw[],MATCH($A3,lmic_raw[[setting]:[setting]],0), MATCH(K$1, lmic_raw[#Headers],0)))</f>
        <v>0.99</v>
      </c>
      <c r="L3" s="33">
        <f>IF(INDEX(lmic_raw[],MATCH($A3,lmic_raw[[setting]:[setting]],0), MATCH(L$1, lmic_raw[#Headers],0))=0, INDEX(regions[], MATCH($D3, regions[[setting]:[setting]],0), MATCH(L$1, regions[#Headers],0)),INDEX(lmic_raw[],MATCH($A3,lmic_raw[[setting]:[setting]],0), MATCH(L$1, lmic_raw[#Headers],0)))</f>
        <v>0.99</v>
      </c>
      <c r="M3" s="33">
        <f>IF(INDEX(lmic_raw[],MATCH($A3,lmic_raw[[setting]:[setting]],0), MATCH(M$1, lmic_raw[#Headers],0))=0, INDEX(regions[], MATCH($D3, regions[[setting]:[setting]],0), MATCH(M$1, regions[#Headers],0)),INDEX(lmic_raw[],MATCH($A3,lmic_raw[[setting]:[setting]],0), MATCH(M$1, lmic_raw[#Headers],0)))</f>
        <v>9.4200000000000006E-2</v>
      </c>
      <c r="N3" s="33">
        <f>IF(INDEX(lmic_raw[],MATCH($A3,lmic_raw[[setting]:[setting]],0), MATCH(N$1, lmic_raw[#Headers],0))=0, INDEX(regions[], MATCH($D3, regions[[setting]:[setting]],0), MATCH(N$1, regions[#Headers],0)),INDEX(lmic_raw[],MATCH($A3,lmic_raw[[setting]:[setting]],0), MATCH(N$1, lmic_raw[#Headers],0)))</f>
        <v>0.30532311464421369</v>
      </c>
      <c r="O3" s="33">
        <f>IF(INDEX(lmic_raw[],MATCH($A3,lmic_raw[[setting]:[setting]],0), MATCH(O$1, lmic_raw[#Headers],0))=0, INDEX(regions[], MATCH($D3, regions[[setting]:[setting]],0), MATCH(O$1, regions[#Headers],0)),INDEX(lmic_raw[],MATCH($A3,lmic_raw[[setting]:[setting]],0), MATCH(O$1, lmic_raw[#Headers],0)))</f>
        <v>0.8</v>
      </c>
      <c r="P3" s="33">
        <f>IF(INDEX(lmic_raw[],MATCH($A3,lmic_raw[[setting]:[setting]],0), MATCH(P$1, lmic_raw[#Headers],0))=0, INDEX(regions[], MATCH($D3, regions[[setting]:[setting]],0), MATCH(P$1, regions[#Headers],0)),INDEX(lmic_raw[],MATCH($A3,lmic_raw[[setting]:[setting]],0), MATCH(P$1, lmic_raw[#Headers],0)))</f>
        <v>0.17499999999999999</v>
      </c>
      <c r="Q3" s="33">
        <f>IF(INDEX(lmic_raw[],MATCH($A3,lmic_raw[[setting]:[setting]],0), MATCH(Q$1, lmic_raw[#Headers],0))=0, INDEX(regions[], MATCH($D3, regions[[setting]:[setting]],0), MATCH(Q$1, regions[#Headers],0)),INDEX(lmic_raw[],MATCH($A3,lmic_raw[[setting]:[setting]],0), MATCH(Q$1, lmic_raw[#Headers],0)))</f>
        <v>8.2248487535413606</v>
      </c>
      <c r="R3" s="33">
        <f>IF(INDEX(lmic_raw[],MATCH($A3,lmic_raw[[setting]:[setting]],0), MATCH(R$1, lmic_raw[#Headers],0))=0, INDEX(regions[], MATCH($D3, regions[[setting]:[setting]],0), MATCH(R$1, regions[#Headers],0)),INDEX(lmic_raw[],MATCH($A3,lmic_raw[[setting]:[setting]],0), MATCH(R$1, lmic_raw[#Headers],0)))</f>
        <v>44.537400000000005</v>
      </c>
      <c r="S3" s="33">
        <f>IF(INDEX(lmic_raw[],MATCH($A3,lmic_raw[[setting]:[setting]],0), MATCH(S$1, lmic_raw[#Headers],0))=0, INDEX(regions[], MATCH($D3, regions[[setting]:[setting]],0), MATCH(S$1, regions[#Headers],0)),INDEX(lmic_raw[],MATCH($A3,lmic_raw[[setting]:[setting]],0), MATCH(S$1, lmic_raw[#Headers],0)))</f>
        <v>92.27940000000001</v>
      </c>
      <c r="T3" s="33">
        <f>IF(INDEX(lmic_raw[],MATCH($A3,lmic_raw[[setting]:[setting]],0), MATCH(T$1, lmic_raw[#Headers],0))=0, INDEX(regions[], MATCH($D3, regions[[setting]:[setting]],0), MATCH(T$1, regions[#Headers],0)),INDEX(lmic_raw[],MATCH($A3,lmic_raw[[setting]:[setting]],0), MATCH(T$1, lmic_raw[#Headers],0)))</f>
        <v>92.27940000000001</v>
      </c>
      <c r="U3" s="33">
        <f>IF(INDEX(lmic_raw[],MATCH($A3,lmic_raw[[setting]:[setting]],0), MATCH(U$1, lmic_raw[#Headers],0))=0, INDEX(regions[], MATCH($D3, regions[[setting]:[setting]],0), MATCH(U$1, regions[#Headers],0)),INDEX(lmic_raw[],MATCH($A3,lmic_raw[[setting]:[setting]],0), MATCH(U$1, lmic_raw[#Headers],0)))</f>
        <v>92.27940000000001</v>
      </c>
      <c r="V3" s="33">
        <f>IF(INDEX(lmic_raw[],MATCH($A3,lmic_raw[[setting]:[setting]],0), MATCH(V$1, lmic_raw[#Headers],0))=0, INDEX(regions[], MATCH($D3, regions[[setting]:[setting]],0), MATCH(V$1, regions[#Headers],0)),INDEX(lmic_raw[],MATCH($A3,lmic_raw[[setting]:[setting]],0), MATCH(V$1, lmic_raw[#Headers],0)))</f>
        <v>7.1131391643066229</v>
      </c>
      <c r="W3" s="33">
        <f>IF(INDEX(lmic_raw[],MATCH($A3,lmic_raw[[setting]:[setting]],0), MATCH(W$1, lmic_raw[#Headers],0))=0, INDEX(regions[], MATCH($D3, regions[[setting]:[setting]],0), MATCH(W$1, regions[#Headers],0)),INDEX(lmic_raw[],MATCH($A3,lmic_raw[[setting]:[setting]],0), MATCH(W$1, lmic_raw[#Headers],0)))</f>
        <v>11.183139164306624</v>
      </c>
      <c r="X3" s="33">
        <f>IF(INDEX(lmic_raw[],MATCH($A3,lmic_raw[[setting]:[setting]],0), MATCH(X$1, lmic_raw[#Headers],0))=0, INDEX(regions[], MATCH($D3, regions[[setting]:[setting]],0), MATCH(X$1, regions[#Headers],0)),INDEX(lmic_raw[],MATCH($A3,lmic_raw[[setting]:[setting]],0), MATCH(X$1, lmic_raw[#Headers],0)))</f>
        <v>6.6786971830803736</v>
      </c>
      <c r="Y3" s="33">
        <f>IF(INDEX(lmic_raw[],MATCH($A3,lmic_raw[[setting]:[setting]],0), MATCH(Y$1, lmic_raw[#Headers],0))=0, INDEX(regions[], MATCH($D3, regions[[setting]:[setting]],0), MATCH(Y$1, regions[#Headers],0)),INDEX(lmic_raw[],MATCH($A3,lmic_raw[[setting]:[setting]],0), MATCH(Y$1, lmic_raw[#Headers],0)))</f>
        <v>10.748697183080374</v>
      </c>
      <c r="Z3" s="33">
        <f>IF(INDEX(lmic_raw[],MATCH($A3,lmic_raw[[setting]:[setting]],0), MATCH(Z$1, lmic_raw[#Headers],0))=0, INDEX(regions[], MATCH($D3, regions[[setting]:[setting]],0), MATCH(Z$1, regions[#Headers],0)),INDEX(lmic_raw[],MATCH($A3,lmic_raw[[setting]:[setting]],0), MATCH(Z$1, lmic_raw[#Headers],0)))</f>
        <v>10.742262046169946</v>
      </c>
      <c r="AA3" s="33">
        <f>IF(INDEX(lmic_raw[],MATCH($A3,lmic_raw[[setting]:[setting]],0), MATCH(AA$1, lmic_raw[#Headers],0))=0, INDEX(regions[], MATCH($D3, regions[[setting]:[setting]],0), MATCH(AA$1, regions[#Headers],0)),INDEX(lmic_raw[],MATCH($A3,lmic_raw[[setting]:[setting]],0), MATCH(AA$1, lmic_raw[#Headers],0)))</f>
        <v>7.3579663845184333</v>
      </c>
      <c r="AB3" s="33">
        <f>IF(INDEX(lmic_raw[],MATCH($A3,lmic_raw[[setting]:[setting]],0), MATCH(AB$1, lmic_raw[#Headers],0))=0, INDEX(regions[], MATCH($D3, regions[[setting]:[setting]],0), MATCH(AB$1, regions[#Headers],0)),INDEX(lmic_raw[],MATCH($A3,lmic_raw[[setting]:[setting]],0), MATCH(AB$1, lmic_raw[#Headers],0)))</f>
        <v>11.427966384518434</v>
      </c>
      <c r="AC3" s="33">
        <f>IF(INDEX(lmic_raw[],MATCH($A3,lmic_raw[[setting]:[setting]],0), MATCH(AC$1, lmic_raw[#Headers],0))=0, INDEX(regions[], MATCH($D3, regions[[setting]:[setting]],0), MATCH(AC$1, regions[#Headers],0)),INDEX(lmic_raw[],MATCH($A3,lmic_raw[[setting]:[setting]],0), MATCH(AC$1, lmic_raw[#Headers],0)))</f>
        <v>8.0318399999999377E-3</v>
      </c>
      <c r="AD3" s="33">
        <f>IF(INDEX(lmic_raw[],MATCH($A3,lmic_raw[[setting]:[setting]],0), MATCH(AD$1, lmic_raw[#Headers],0))=0, INDEX(regions[], MATCH($D3, regions[[setting]:[setting]],0), MATCH(AD$1, regions[#Headers],0)),INDEX(lmic_raw[],MATCH($A3,lmic_raw[[setting]:[setting]],0), MATCH(AD$1, lmic_raw[#Headers],0)))</f>
        <v>8.4250436022062644E-4</v>
      </c>
      <c r="AE3" s="33">
        <f>IF(INDEX(lmic_raw[],MATCH($A3,lmic_raw[[setting]:[setting]],0), MATCH(AE$1, lmic_raw[#Headers],0))=0, INDEX(regions[], MATCH($D3, regions[[setting]:[setting]],0), MATCH(AE$1, regions[#Headers],0)),INDEX(lmic_raw[],MATCH($A3,lmic_raw[[setting]:[setting]],0), MATCH(AE$1, lmic_raw[#Headers],0)))</f>
        <v>2.2317860981916986E-4</v>
      </c>
      <c r="AF3" s="33">
        <f>IF(INDEX(lmic_raw[],MATCH($A3,lmic_raw[[setting]:[setting]],0), MATCH(AF$1, lmic_raw[#Headers],0))=0, INDEX(regions[], MATCH($D3, regions[[setting]:[setting]],0), MATCH(AF$1, regions[#Headers],0)),INDEX(lmic_raw[],MATCH($A3,lmic_raw[[setting]:[setting]],0), MATCH(AF$1, lmic_raw[#Headers],0)))</f>
        <v>2.6798997624367677E-4</v>
      </c>
      <c r="AG3" s="33">
        <f>IF(INDEX(lmic_raw[],MATCH($A3,lmic_raw[[setting]:[setting]],0), MATCH(AG$1, lmic_raw[#Headers],0))=0, INDEX(regions[], MATCH($D3, regions[[setting]:[setting]],0), MATCH(AG$1, regions[#Headers],0)),INDEX(lmic_raw[],MATCH($A3,lmic_raw[[setting]:[setting]],0), MATCH(AG$1, lmic_raw[#Headers],0)))</f>
        <v>3.7176075192468263E-4</v>
      </c>
      <c r="AH3" s="33">
        <f>IF(INDEX(lmic_raw[],MATCH($A3,lmic_raw[[setting]:[setting]],0), MATCH(AH$1, lmic_raw[#Headers],0))=0, INDEX(regions[], MATCH($D3, regions[[setting]:[setting]],0), MATCH(AH$1, regions[#Headers],0)),INDEX(lmic_raw[],MATCH($A3,lmic_raw[[setting]:[setting]],0), MATCH(AH$1, lmic_raw[#Headers],0)))</f>
        <v>4.2405787776233654E-4</v>
      </c>
      <c r="AI3" s="33">
        <f>IF(INDEX(lmic_raw[],MATCH($A3,lmic_raw[[setting]:[setting]],0), MATCH(AI$1, lmic_raw[#Headers],0))=0, INDEX(regions[], MATCH($D3, regions[[setting]:[setting]],0), MATCH(AI$1, regions[#Headers],0)),INDEX(lmic_raw[],MATCH($A3,lmic_raw[[setting]:[setting]],0), MATCH(AI$1, lmic_raw[#Headers],0)))</f>
        <v>4.8909551098896039E-4</v>
      </c>
      <c r="AJ3" s="33">
        <f>IF(INDEX(lmic_raw[],MATCH($A3,lmic_raw[[setting]:[setting]],0), MATCH(AJ$1, lmic_raw[#Headers],0))=0, INDEX(regions[], MATCH($D3, regions[[setting]:[setting]],0), MATCH(AJ$1, regions[#Headers],0)),INDEX(lmic_raw[],MATCH($A3,lmic_raw[[setting]:[setting]],0), MATCH(AJ$1, lmic_raw[#Headers],0)))</f>
        <v>6.2990804911251211E-4</v>
      </c>
      <c r="AK3" s="33">
        <f>IF(INDEX(lmic_raw[],MATCH($A3,lmic_raw[[setting]:[setting]],0), MATCH(AK$1, lmic_raw[#Headers],0))=0, INDEX(regions[], MATCH($D3, regions[[setting]:[setting]],0), MATCH(AK$1, regions[#Headers],0)),INDEX(lmic_raw[],MATCH($A3,lmic_raw[[setting]:[setting]],0), MATCH(AK$1, lmic_raw[#Headers],0)))</f>
        <v>1.0313924221536234E-3</v>
      </c>
      <c r="AL3" s="33">
        <f>IF(INDEX(lmic_raw[],MATCH($A3,lmic_raw[[setting]:[setting]],0), MATCH(AL$1, lmic_raw[#Headers],0))=0, INDEX(regions[], MATCH($D3, regions[[setting]:[setting]],0), MATCH(AL$1, regions[#Headers],0)),INDEX(lmic_raw[],MATCH($A3,lmic_raw[[setting]:[setting]],0), MATCH(AL$1, lmic_raw[#Headers],0)))</f>
        <v>1.3959762528935795E-3</v>
      </c>
      <c r="AM3" s="33">
        <f>IF(INDEX(lmic_raw[],MATCH($A3,lmic_raw[[setting]:[setting]],0), MATCH(AM$1, lmic_raw[#Headers],0))=0, INDEX(regions[], MATCH($D3, regions[[setting]:[setting]],0), MATCH(AM$1, regions[#Headers],0)),INDEX(lmic_raw[],MATCH($A3,lmic_raw[[setting]:[setting]],0), MATCH(AM$1, lmic_raw[#Headers],0)))</f>
        <v>2.1704545902039244E-3</v>
      </c>
      <c r="AN3" s="33">
        <f>IF(INDEX(lmic_raw[],MATCH($A3,lmic_raw[[setting]:[setting]],0), MATCH(AN$1, lmic_raw[#Headers],0))=0, INDEX(regions[], MATCH($D3, regions[[setting]:[setting]],0), MATCH(AN$1, regions[#Headers],0)),INDEX(lmic_raw[],MATCH($A3,lmic_raw[[setting]:[setting]],0), MATCH(AN$1, lmic_raw[#Headers],0)))</f>
        <v>3.3020118804220071E-3</v>
      </c>
      <c r="AO3" s="33">
        <f>IF(INDEX(lmic_raw[],MATCH($A3,lmic_raw[[setting]:[setting]],0), MATCH(AO$1, lmic_raw[#Headers],0))=0, INDEX(regions[], MATCH($D3, regions[[setting]:[setting]],0), MATCH(AO$1, regions[#Headers],0)),INDEX(lmic_raw[],MATCH($A3,lmic_raw[[setting]:[setting]],0), MATCH(AO$1, lmic_raw[#Headers],0)))</f>
        <v>5.0602741383161285E-3</v>
      </c>
      <c r="AP3" s="33">
        <f>IF(INDEX(lmic_raw[],MATCH($A3,lmic_raw[[setting]:[setting]],0), MATCH(AP$1, lmic_raw[#Headers],0))=0, INDEX(regions[], MATCH($D3, regions[[setting]:[setting]],0), MATCH(AP$1, regions[#Headers],0)),INDEX(lmic_raw[],MATCH($A3,lmic_raw[[setting]:[setting]],0), MATCH(AP$1, lmic_raw[#Headers],0)))</f>
        <v>7.866762211831288E-3</v>
      </c>
      <c r="AQ3" s="33">
        <f>IF(INDEX(lmic_raw[],MATCH($A3,lmic_raw[[setting]:[setting]],0), MATCH(AQ$1, lmic_raw[#Headers],0))=0, INDEX(regions[], MATCH($D3, regions[[setting]:[setting]],0), MATCH(AQ$1, regions[#Headers],0)),INDEX(lmic_raw[],MATCH($A3,lmic_raw[[setting]:[setting]],0), MATCH(AQ$1, lmic_raw[#Headers],0)))</f>
        <v>1.3123521533742875E-2</v>
      </c>
      <c r="AR3" s="33">
        <f>IF(INDEX(lmic_raw[],MATCH($A3,lmic_raw[[setting]:[setting]],0), MATCH(AR$1, lmic_raw[#Headers],0))=0, INDEX(regions[], MATCH($D3, regions[[setting]:[setting]],0), MATCH(AR$1, regions[#Headers],0)),INDEX(lmic_raw[],MATCH($A3,lmic_raw[[setting]:[setting]],0), MATCH(AR$1, lmic_raw[#Headers],0)))</f>
        <v>2.3054826475283081E-2</v>
      </c>
      <c r="AS3" s="33">
        <f>IF(INDEX(lmic_raw[],MATCH($A3,lmic_raw[[setting]:[setting]],0), MATCH(AS$1, lmic_raw[#Headers],0))=0, INDEX(regions[], MATCH($D3, regions[[setting]:[setting]],0), MATCH(AS$1, regions[#Headers],0)),INDEX(lmic_raw[],MATCH($A3,lmic_raw[[setting]:[setting]],0), MATCH(AS$1, lmic_raw[#Headers],0)))</f>
        <v>4.1927826476598151E-2</v>
      </c>
      <c r="AT3" s="33">
        <f>IF(INDEX(lmic_raw[],MATCH($A3,lmic_raw[[setting]:[setting]],0), MATCH(AT$1, lmic_raw[#Headers],0))=0, INDEX(regions[], MATCH($D3, regions[[setting]:[setting]],0), MATCH(AT$1, regions[#Headers],0)),INDEX(lmic_raw[],MATCH($A3,lmic_raw[[setting]:[setting]],0), MATCH(AT$1, lmic_raw[#Headers],0)))</f>
        <v>7.6053886195852127E-2</v>
      </c>
      <c r="AU3" s="33">
        <f>IF(INDEX(lmic_raw[],MATCH($A3,lmic_raw[[setting]:[setting]],0), MATCH(AU$1, lmic_raw[#Headers],0))=0, INDEX(regions[], MATCH($D3, regions[[setting]:[setting]],0), MATCH(AU$1, regions[#Headers],0)),INDEX(lmic_raw[],MATCH($A3,lmic_raw[[setting]:[setting]],0), MATCH(AU$1, lmic_raw[#Headers],0)))</f>
        <v>0.11294501020573071</v>
      </c>
      <c r="AV3" s="33">
        <f>IF(INDEX(lmic_raw[],MATCH($A3,lmic_raw[[setting]:[setting]],0), MATCH(AV$1, lmic_raw[#Headers],0))=0, INDEX(regions[], MATCH($D3, regions[[setting]:[setting]],0), MATCH(AV$1, regions[#Headers],0)),INDEX(lmic_raw[],MATCH($A3,lmic_raw[[setting]:[setting]],0), MATCH(AV$1, lmic_raw[#Headers],0)))</f>
        <v>0.15012019915822183</v>
      </c>
      <c r="AW3" s="33">
        <f>IF(INDEX(lmic_raw[],MATCH($A3,lmic_raw[[setting]:[setting]],0), MATCH(AW$1, lmic_raw[#Headers],0))=0, INDEX(regions[], MATCH($D3, regions[[setting]:[setting]],0), MATCH(AW$1, regions[#Headers],0)),INDEX(lmic_raw[],MATCH($A3,lmic_raw[[setting]:[setting]],0), MATCH(AW$1, lmic_raw[#Headers],0)))</f>
        <v>0.177809734375277</v>
      </c>
      <c r="AX3" s="33">
        <f>IF(INDEX(lmic_raw[],MATCH($A3,lmic_raw[[setting]:[setting]],0), MATCH(AX$1, lmic_raw[#Headers],0))=0, INDEX(regions[], MATCH($D3, regions[[setting]:[setting]],0), MATCH(AX$1, regions[#Headers],0)),INDEX(lmic_raw[],MATCH($A3,lmic_raw[[setting]:[setting]],0), MATCH(AX$1, lmic_raw[#Headers],0)))</f>
        <v>78.376999999999995</v>
      </c>
      <c r="AY3" s="33" t="str">
        <f>IF(VLOOKUP($A3,lmic_raw[],11,FALSE)=0, "Yes", "No")</f>
        <v>No</v>
      </c>
    </row>
    <row r="4" spans="1:51" x14ac:dyDescent="0.25">
      <c r="A4" s="109" t="s">
        <v>157</v>
      </c>
      <c r="B4" s="101" t="s">
        <v>371</v>
      </c>
      <c r="C4" s="102">
        <v>12</v>
      </c>
      <c r="D4" s="82" t="s">
        <v>677</v>
      </c>
      <c r="E4" s="82" t="s">
        <v>579</v>
      </c>
      <c r="F4" s="82" t="s">
        <v>579</v>
      </c>
      <c r="G4" s="82" t="s">
        <v>676</v>
      </c>
      <c r="H4" s="33">
        <f>IF(INDEX(lmic_raw[],MATCH($A4,lmic_raw[[setting]:[setting]],0), MATCH(H$1, lmic_raw[#Headers],0))=0, INDEX(regions[], MATCH($D4, regions[[setting]:[setting]],0), MATCH(H$1, regions[#Headers],0)),INDEX(lmic_raw[],MATCH($A4,lmic_raw[[setting]:[setting]],0), MATCH(H$1, lmic_raw[#Headers],0)))</f>
        <v>43053054</v>
      </c>
      <c r="I4" s="33">
        <f>IF(INDEX(lmic_raw[],MATCH($A4,lmic_raw[[setting]:[setting]],0), MATCH(I$1, lmic_raw[#Headers],0))=0, INDEX(regions[], MATCH($D4, regions[[setting]:[setting]],0), MATCH(I$1, regions[#Headers],0)),INDEX(lmic_raw[],MATCH($A4,lmic_raw[[setting]:[setting]],0), MATCH(I$1, lmic_raw[#Headers],0)))</f>
        <v>1062979.9032600001</v>
      </c>
      <c r="J4" s="33">
        <f>IF(INDEX(lmic_raw[],MATCH($A4,lmic_raw[[setting]:[setting]],0), MATCH(J$1, lmic_raw[#Headers],0))=0, INDEX(regions[], MATCH($D4, regions[[setting]:[setting]],0), MATCH(J$1, regions[#Headers],0)),INDEX(lmic_raw[],MATCH($A4,lmic_raw[[setting]:[setting]],0), MATCH(J$1, lmic_raw[#Headers],0)))</f>
        <v>0.96799999999999997</v>
      </c>
      <c r="K4" s="33">
        <f>IF(INDEX(lmic_raw[],MATCH($A4,lmic_raw[[setting]:[setting]],0), MATCH(K$1, lmic_raw[#Headers],0))=0, INDEX(regions[], MATCH($D4, regions[[setting]:[setting]],0), MATCH(K$1, regions[#Headers],0)),INDEX(lmic_raw[],MATCH($A4,lmic_raw[[setting]:[setting]],0), MATCH(K$1, lmic_raw[#Headers],0)))</f>
        <v>0.99</v>
      </c>
      <c r="L4" s="33">
        <f>IF(INDEX(lmic_raw[],MATCH($A4,lmic_raw[[setting]:[setting]],0), MATCH(L$1, lmic_raw[#Headers],0))=0, INDEX(regions[], MATCH($D4, regions[[setting]:[setting]],0), MATCH(L$1, regions[#Headers],0)),INDEX(lmic_raw[],MATCH($A4,lmic_raw[[setting]:[setting]],0), MATCH(L$1, lmic_raw[#Headers],0)))</f>
        <v>0.91</v>
      </c>
      <c r="M4" s="33">
        <f>IF(INDEX(lmic_raw[],MATCH($A4,lmic_raw[[setting]:[setting]],0), MATCH(M$1, lmic_raw[#Headers],0))=0, INDEX(regions[], MATCH($D4, regions[[setting]:[setting]],0), MATCH(M$1, regions[#Headers],0)),INDEX(lmic_raw[],MATCH($A4,lmic_raw[[setting]:[setting]],0), MATCH(M$1, lmic_raw[#Headers],0)))</f>
        <v>1.7500000000000002E-2</v>
      </c>
      <c r="N4" s="33">
        <f>IF(INDEX(lmic_raw[],MATCH($A4,lmic_raw[[setting]:[setting]],0), MATCH(N$1, lmic_raw[#Headers],0))=0, INDEX(regions[], MATCH($D4, regions[[setting]:[setting]],0), MATCH(N$1, regions[#Headers],0)),INDEX(lmic_raw[],MATCH($A4,lmic_raw[[setting]:[setting]],0), MATCH(N$1, lmic_raw[#Headers],0)))</f>
        <v>0.23968205779100432</v>
      </c>
      <c r="O4" s="33">
        <f>IF(INDEX(lmic_raw[],MATCH($A4,lmic_raw[[setting]:[setting]],0), MATCH(O$1, lmic_raw[#Headers],0))=0, INDEX(regions[], MATCH($D4, regions[[setting]:[setting]],0), MATCH(O$1, regions[#Headers],0)),INDEX(lmic_raw[],MATCH($A4,lmic_raw[[setting]:[setting]],0), MATCH(O$1, lmic_raw[#Headers],0)))</f>
        <v>0.8</v>
      </c>
      <c r="P4" s="33">
        <f>IF(INDEX(lmic_raw[],MATCH($A4,lmic_raw[[setting]:[setting]],0), MATCH(P$1, lmic_raw[#Headers],0))=0, INDEX(regions[], MATCH($D4, regions[[setting]:[setting]],0), MATCH(P$1, regions[#Headers],0)),INDEX(lmic_raw[],MATCH($A4,lmic_raw[[setting]:[setting]],0), MATCH(P$1, lmic_raw[#Headers],0)))</f>
        <v>0.17499999999999999</v>
      </c>
      <c r="Q4" s="33">
        <f>IF(INDEX(lmic_raw[],MATCH($A4,lmic_raw[[setting]:[setting]],0), MATCH(Q$1, lmic_raw[#Headers],0))=0, INDEX(regions[], MATCH($D4, regions[[setting]:[setting]],0), MATCH(Q$1, regions[#Headers],0)),INDEX(lmic_raw[],MATCH($A4,lmic_raw[[setting]:[setting]],0), MATCH(Q$1, lmic_raw[#Headers],0)))</f>
        <v>6.6700031828800679</v>
      </c>
      <c r="R4" s="33">
        <f>IF(INDEX(lmic_raw[],MATCH($A4,lmic_raw[[setting]:[setting]],0), MATCH(R$1, lmic_raw[#Headers],0))=0, INDEX(regions[], MATCH($D4, regions[[setting]:[setting]],0), MATCH(R$1, regions[#Headers],0)),INDEX(lmic_raw[],MATCH($A4,lmic_raw[[setting]:[setting]],0), MATCH(R$1, lmic_raw[#Headers],0)))</f>
        <v>46.335900000000002</v>
      </c>
      <c r="S4" s="33">
        <f>IF(INDEX(lmic_raw[],MATCH($A4,lmic_raw[[setting]:[setting]],0), MATCH(S$1, lmic_raw[#Headers],0))=0, INDEX(regions[], MATCH($D4, regions[[setting]:[setting]],0), MATCH(S$1, regions[#Headers],0)),INDEX(lmic_raw[],MATCH($A4,lmic_raw[[setting]:[setting]],0), MATCH(S$1, lmic_raw[#Headers],0)))</f>
        <v>94.077900000000014</v>
      </c>
      <c r="T4" s="33">
        <f>IF(INDEX(lmic_raw[],MATCH($A4,lmic_raw[[setting]:[setting]],0), MATCH(T$1, lmic_raw[#Headers],0))=0, INDEX(regions[], MATCH($D4, regions[[setting]:[setting]],0), MATCH(T$1, regions[#Headers],0)),INDEX(lmic_raw[],MATCH($A4,lmic_raw[[setting]:[setting]],0), MATCH(T$1, lmic_raw[#Headers],0)))</f>
        <v>94.077900000000014</v>
      </c>
      <c r="U4" s="33">
        <f>IF(INDEX(lmic_raw[],MATCH($A4,lmic_raw[[setting]:[setting]],0), MATCH(U$1, lmic_raw[#Headers],0))=0, INDEX(regions[], MATCH($D4, regions[[setting]:[setting]],0), MATCH(U$1, regions[#Headers],0)),INDEX(lmic_raw[],MATCH($A4,lmic_raw[[setting]:[setting]],0), MATCH(U$1, lmic_raw[#Headers],0)))</f>
        <v>94.077900000000014</v>
      </c>
      <c r="V4" s="33">
        <f>IF(INDEX(lmic_raw[],MATCH($A4,lmic_raw[[setting]:[setting]],0), MATCH(V$1, lmic_raw[#Headers],0))=0, INDEX(regions[], MATCH($D4, regions[[setting]:[setting]],0), MATCH(V$1, regions[#Headers],0)),INDEX(lmic_raw[],MATCH($A4,lmic_raw[[setting]:[setting]],0), MATCH(V$1, lmic_raw[#Headers],0)))</f>
        <v>3.3469946483702921</v>
      </c>
      <c r="W4" s="33">
        <f>IF(INDEX(lmic_raw[],MATCH($A4,lmic_raw[[setting]:[setting]],0), MATCH(W$1, lmic_raw[#Headers],0))=0, INDEX(regions[], MATCH($D4, regions[[setting]:[setting]],0), MATCH(W$1, regions[#Headers],0)),INDEX(lmic_raw[],MATCH($A4,lmic_raw[[setting]:[setting]],0), MATCH(W$1, lmic_raw[#Headers],0)))</f>
        <v>3.8269946483702921</v>
      </c>
      <c r="X4" s="33">
        <f>IF(INDEX(lmic_raw[],MATCH($A4,lmic_raw[[setting]:[setting]],0), MATCH(X$1, lmic_raw[#Headers],0))=0, INDEX(regions[], MATCH($D4, regions[[setting]:[setting]],0), MATCH(X$1, regions[#Headers],0)),INDEX(lmic_raw[],MATCH($A4,lmic_raw[[setting]:[setting]],0), MATCH(X$1, lmic_raw[#Headers],0)))</f>
        <v>2.9160800027645641</v>
      </c>
      <c r="Y4" s="33">
        <f>IF(INDEX(lmic_raw[],MATCH($A4,lmic_raw[[setting]:[setting]],0), MATCH(Y$1, lmic_raw[#Headers],0))=0, INDEX(regions[], MATCH($D4, regions[[setting]:[setting]],0), MATCH(Y$1, regions[#Headers],0)),INDEX(lmic_raw[],MATCH($A4,lmic_raw[[setting]:[setting]],0), MATCH(Y$1, lmic_raw[#Headers],0)))</f>
        <v>3.3960800027645641</v>
      </c>
      <c r="Z4" s="33">
        <f>IF(INDEX(lmic_raw[],MATCH($A4,lmic_raw[[setting]:[setting]],0), MATCH(Z$1, lmic_raw[#Headers],0))=0, INDEX(regions[], MATCH($D4, regions[[setting]:[setting]],0), MATCH(Z$1, regions[#Headers],0)),INDEX(lmic_raw[],MATCH($A4,lmic_raw[[setting]:[setting]],0), MATCH(Z$1, lmic_raw[#Headers],0)))</f>
        <v>3.3906590686775502</v>
      </c>
      <c r="AA4" s="33">
        <f>IF(INDEX(lmic_raw[],MATCH($A4,lmic_raw[[setting]:[setting]],0), MATCH(AA$1, lmic_raw[#Headers],0))=0, INDEX(regions[], MATCH($D4, regions[[setting]:[setting]],0), MATCH(AA$1, regions[#Headers],0)),INDEX(lmic_raw[],MATCH($A4,lmic_raw[[setting]:[setting]],0), MATCH(AA$1, lmic_raw[#Headers],0)))</f>
        <v>3.5905503871374971</v>
      </c>
      <c r="AB4" s="33">
        <f>IF(INDEX(lmic_raw[],MATCH($A4,lmic_raw[[setting]:[setting]],0), MATCH(AB$1, lmic_raw[#Headers],0))=0, INDEX(regions[], MATCH($D4, regions[[setting]:[setting]],0), MATCH(AB$1, regions[#Headers],0)),INDEX(lmic_raw[],MATCH($A4,lmic_raw[[setting]:[setting]],0), MATCH(AB$1, lmic_raw[#Headers],0)))</f>
        <v>4.0705503871374971</v>
      </c>
      <c r="AC4" s="33">
        <f>IF(INDEX(lmic_raw[],MATCH($A4,lmic_raw[[setting]:[setting]],0), MATCH(AC$1, lmic_raw[#Headers],0))=0, INDEX(regions[], MATCH($D4, regions[[setting]:[setting]],0), MATCH(AC$1, regions[#Headers],0)),INDEX(lmic_raw[],MATCH($A4,lmic_raw[[setting]:[setting]],0), MATCH(AC$1, lmic_raw[#Headers],0)))</f>
        <v>2.1249119999999965E-2</v>
      </c>
      <c r="AD4" s="33">
        <f>IF(INDEX(lmic_raw[],MATCH($A4,lmic_raw[[setting]:[setting]],0), MATCH(AD$1, lmic_raw[#Headers],0))=0, INDEX(regions[], MATCH($D4, regions[[setting]:[setting]],0), MATCH(AD$1, regions[#Headers],0)),INDEX(lmic_raw[],MATCH($A4,lmic_raw[[setting]:[setting]],0), MATCH(AD$1, lmic_raw[#Headers],0)))</f>
        <v>8.7360585565963197E-4</v>
      </c>
      <c r="AE4" s="33">
        <f>IF(INDEX(lmic_raw[],MATCH($A4,lmic_raw[[setting]:[setting]],0), MATCH(AE$1, lmic_raw[#Headers],0))=0, INDEX(regions[], MATCH($D4, regions[[setting]:[setting]],0), MATCH(AE$1, regions[#Headers],0)),INDEX(lmic_raw[],MATCH($A4,lmic_raw[[setting]:[setting]],0), MATCH(AE$1, lmic_raw[#Headers],0)))</f>
        <v>4.4564371401777575E-4</v>
      </c>
      <c r="AF4" s="33">
        <f>IF(INDEX(lmic_raw[],MATCH($A4,lmic_raw[[setting]:[setting]],0), MATCH(AF$1, lmic_raw[#Headers],0))=0, INDEX(regions[], MATCH($D4, regions[[setting]:[setting]],0), MATCH(AF$1, regions[#Headers],0)),INDEX(lmic_raw[],MATCH($A4,lmic_raw[[setting]:[setting]],0), MATCH(AF$1, lmic_raw[#Headers],0)))</f>
        <v>3.9593798109506111E-4</v>
      </c>
      <c r="AG4" s="33">
        <f>IF(INDEX(lmic_raw[],MATCH($A4,lmic_raw[[setting]:[setting]],0), MATCH(AG$1, lmic_raw[#Headers],0))=0, INDEX(regions[], MATCH($D4, regions[[setting]:[setting]],0), MATCH(AG$1, regions[#Headers],0)),INDEX(lmic_raw[],MATCH($A4,lmic_raw[[setting]:[setting]],0), MATCH(AG$1, lmic_raw[#Headers],0)))</f>
        <v>5.6704949804367783E-4</v>
      </c>
      <c r="AH4" s="33">
        <f>IF(INDEX(lmic_raw[],MATCH($A4,lmic_raw[[setting]:[setting]],0), MATCH(AH$1, lmic_raw[#Headers],0))=0, INDEX(regions[], MATCH($D4, regions[[setting]:[setting]],0), MATCH(AH$1, regions[#Headers],0)),INDEX(lmic_raw[],MATCH($A4,lmic_raw[[setting]:[setting]],0), MATCH(AH$1, lmic_raw[#Headers],0)))</f>
        <v>7.3783872027635298E-4</v>
      </c>
      <c r="AI4" s="33">
        <f>IF(INDEX(lmic_raw[],MATCH($A4,lmic_raw[[setting]:[setting]],0), MATCH(AI$1, lmic_raw[#Headers],0))=0, INDEX(regions[], MATCH($D4, regions[[setting]:[setting]],0), MATCH(AI$1, regions[#Headers],0)),INDEX(lmic_raw[],MATCH($A4,lmic_raw[[setting]:[setting]],0), MATCH(AI$1, lmic_raw[#Headers],0)))</f>
        <v>8.7070601082287142E-4</v>
      </c>
      <c r="AJ4" s="33">
        <f>IF(INDEX(lmic_raw[],MATCH($A4,lmic_raw[[setting]:[setting]],0), MATCH(AJ$1, lmic_raw[#Headers],0))=0, INDEX(regions[], MATCH($D4, regions[[setting]:[setting]],0), MATCH(AJ$1, regions[#Headers],0)),INDEX(lmic_raw[],MATCH($A4,lmic_raw[[setting]:[setting]],0), MATCH(AJ$1, lmic_raw[#Headers],0)))</f>
        <v>1.028566990157689E-3</v>
      </c>
      <c r="AK4" s="33">
        <f>IF(INDEX(lmic_raw[],MATCH($A4,lmic_raw[[setting]:[setting]],0), MATCH(AK$1, lmic_raw[#Headers],0))=0, INDEX(regions[], MATCH($D4, regions[[setting]:[setting]],0), MATCH(AK$1, regions[#Headers],0)),INDEX(lmic_raw[],MATCH($A4,lmic_raw[[setting]:[setting]],0), MATCH(AK$1, lmic_raw[#Headers],0)))</f>
        <v>1.3809450743979008E-3</v>
      </c>
      <c r="AL4" s="33">
        <f>IF(INDEX(lmic_raw[],MATCH($A4,lmic_raw[[setting]:[setting]],0), MATCH(AL$1, lmic_raw[#Headers],0))=0, INDEX(regions[], MATCH($D4, regions[[setting]:[setting]],0), MATCH(AL$1, regions[#Headers],0)),INDEX(lmic_raw[],MATCH($A4,lmic_raw[[setting]:[setting]],0), MATCH(AL$1, lmic_raw[#Headers],0)))</f>
        <v>1.8717658959456205E-3</v>
      </c>
      <c r="AM4" s="33">
        <f>IF(INDEX(lmic_raw[],MATCH($A4,lmic_raw[[setting]:[setting]],0), MATCH(AM$1, lmic_raw[#Headers],0))=0, INDEX(regions[], MATCH($D4, regions[[setting]:[setting]],0), MATCH(AM$1, regions[#Headers],0)),INDEX(lmic_raw[],MATCH($A4,lmic_raw[[setting]:[setting]],0), MATCH(AM$1, lmic_raw[#Headers],0)))</f>
        <v>2.736853494921429E-3</v>
      </c>
      <c r="AN4" s="33">
        <f>IF(INDEX(lmic_raw[],MATCH($A4,lmic_raw[[setting]:[setting]],0), MATCH(AN$1, lmic_raw[#Headers],0))=0, INDEX(regions[], MATCH($D4, regions[[setting]:[setting]],0), MATCH(AN$1, regions[#Headers],0)),INDEX(lmic_raw[],MATCH($A4,lmic_raw[[setting]:[setting]],0), MATCH(AN$1, lmic_raw[#Headers],0)))</f>
        <v>4.0457467589482864E-3</v>
      </c>
      <c r="AO4" s="33">
        <f>IF(INDEX(lmic_raw[],MATCH($A4,lmic_raw[[setting]:[setting]],0), MATCH(AO$1, lmic_raw[#Headers],0))=0, INDEX(regions[], MATCH($D4, regions[[setting]:[setting]],0), MATCH(AO$1, regions[#Headers],0)),INDEX(lmic_raw[],MATCH($A4,lmic_raw[[setting]:[setting]],0), MATCH(AO$1, lmic_raw[#Headers],0)))</f>
        <v>6.1231225039840784E-3</v>
      </c>
      <c r="AP4" s="33">
        <f>IF(INDEX(lmic_raw[],MATCH($A4,lmic_raw[[setting]:[setting]],0), MATCH(AP$1, lmic_raw[#Headers],0))=0, INDEX(regions[], MATCH($D4, regions[[setting]:[setting]],0), MATCH(AP$1, regions[#Headers],0)),INDEX(lmic_raw[],MATCH($A4,lmic_raw[[setting]:[setting]],0), MATCH(AP$1, lmic_raw[#Headers],0)))</f>
        <v>9.7041589296345092E-3</v>
      </c>
      <c r="AQ4" s="33">
        <f>IF(INDEX(lmic_raw[],MATCH($A4,lmic_raw[[setting]:[setting]],0), MATCH(AQ$1, lmic_raw[#Headers],0))=0, INDEX(regions[], MATCH($D4, regions[[setting]:[setting]],0), MATCH(AQ$1, regions[#Headers],0)),INDEX(lmic_raw[],MATCH($A4,lmic_raw[[setting]:[setting]],0), MATCH(AQ$1, lmic_raw[#Headers],0)))</f>
        <v>1.4742220491101176E-2</v>
      </c>
      <c r="AR4" s="33">
        <f>IF(INDEX(lmic_raw[],MATCH($A4,lmic_raw[[setting]:[setting]],0), MATCH(AR$1, lmic_raw[#Headers],0))=0, INDEX(regions[], MATCH($D4, regions[[setting]:[setting]],0), MATCH(AR$1, regions[#Headers],0)),INDEX(lmic_raw[],MATCH($A4,lmic_raw[[setting]:[setting]],0), MATCH(AR$1, lmic_raw[#Headers],0)))</f>
        <v>2.4022125767238396E-2</v>
      </c>
      <c r="AS4" s="33">
        <f>IF(INDEX(lmic_raw[],MATCH($A4,lmic_raw[[setting]:[setting]],0), MATCH(AS$1, lmic_raw[#Headers],0))=0, INDEX(regions[], MATCH($D4, regions[[setting]:[setting]],0), MATCH(AS$1, regions[#Headers],0)),INDEX(lmic_raw[],MATCH($A4,lmic_raw[[setting]:[setting]],0), MATCH(AS$1, lmic_raw[#Headers],0)))</f>
        <v>4.0621677612523242E-2</v>
      </c>
      <c r="AT4" s="33">
        <f>IF(INDEX(lmic_raw[],MATCH($A4,lmic_raw[[setting]:[setting]],0), MATCH(AT$1, lmic_raw[#Headers],0))=0, INDEX(regions[], MATCH($D4, regions[[setting]:[setting]],0), MATCH(AT$1, regions[#Headers],0)),INDEX(lmic_raw[],MATCH($A4,lmic_raw[[setting]:[setting]],0), MATCH(AT$1, lmic_raw[#Headers],0)))</f>
        <v>6.7112669233193367E-2</v>
      </c>
      <c r="AU4" s="33">
        <f>IF(INDEX(lmic_raw[],MATCH($A4,lmic_raw[[setting]:[setting]],0), MATCH(AU$1, lmic_raw[#Headers],0))=0, INDEX(regions[], MATCH($D4, regions[[setting]:[setting]],0), MATCH(AU$1, regions[#Headers],0)),INDEX(lmic_raw[],MATCH($A4,lmic_raw[[setting]:[setting]],0), MATCH(AU$1, lmic_raw[#Headers],0)))</f>
        <v>0.1009025873396231</v>
      </c>
      <c r="AV4" s="33">
        <f>IF(INDEX(lmic_raw[],MATCH($A4,lmic_raw[[setting]:[setting]],0), MATCH(AV$1, lmic_raw[#Headers],0))=0, INDEX(regions[], MATCH($D4, regions[[setting]:[setting]],0), MATCH(AV$1, regions[#Headers],0)),INDEX(lmic_raw[],MATCH($A4,lmic_raw[[setting]:[setting]],0), MATCH(AV$1, lmic_raw[#Headers],0)))</f>
        <v>0.13501033306710375</v>
      </c>
      <c r="AW4" s="33">
        <f>IF(INDEX(lmic_raw[],MATCH($A4,lmic_raw[[setting]:[setting]],0), MATCH(AW$1, lmic_raw[#Headers],0))=0, INDEX(regions[], MATCH($D4, regions[[setting]:[setting]],0), MATCH(AW$1, regions[#Headers],0)),INDEX(lmic_raw[],MATCH($A4,lmic_raw[[setting]:[setting]],0), MATCH(AW$1, lmic_raw[#Headers],0)))</f>
        <v>0.16275439500847341</v>
      </c>
      <c r="AX4" s="33">
        <f>IF(INDEX(lmic_raw[],MATCH($A4,lmic_raw[[setting]:[setting]],0), MATCH(AX$1, lmic_raw[#Headers],0))=0, INDEX(regions[], MATCH($D4, regions[[setting]:[setting]],0), MATCH(AX$1, regions[#Headers],0)),INDEX(lmic_raw[],MATCH($A4,lmic_raw[[setting]:[setting]],0), MATCH(AX$1, lmic_raw[#Headers],0)))</f>
        <v>76.593000000000004</v>
      </c>
      <c r="AY4" s="33" t="str">
        <f>IF(VLOOKUP($A4,lmic_raw[],11,FALSE)=0, "Yes", "No")</f>
        <v>No</v>
      </c>
    </row>
    <row r="5" spans="1:51" x14ac:dyDescent="0.25">
      <c r="A5" s="110" t="s">
        <v>122</v>
      </c>
      <c r="B5" s="104" t="s">
        <v>372</v>
      </c>
      <c r="C5" s="105">
        <v>24</v>
      </c>
      <c r="D5" s="84" t="s">
        <v>677</v>
      </c>
      <c r="E5" s="84" t="s">
        <v>582</v>
      </c>
      <c r="F5" s="84" t="s">
        <v>667</v>
      </c>
      <c r="G5" s="84" t="s">
        <v>678</v>
      </c>
      <c r="H5" s="33">
        <f>IF(INDEX(lmic_raw[],MATCH($A5,lmic_raw[[setting]:[setting]],0), MATCH(H$1, lmic_raw[#Headers],0))=0, INDEX(regions[], MATCH($D5, regions[[setting]:[setting]],0), MATCH(H$1, regions[#Headers],0)),INDEX(lmic_raw[],MATCH($A5,lmic_raw[[setting]:[setting]],0), MATCH(H$1, lmic_raw[#Headers],0)))</f>
        <v>31825299</v>
      </c>
      <c r="I5" s="33">
        <f>IF(INDEX(lmic_raw[],MATCH($A5,lmic_raw[[setting]:[setting]],0), MATCH(I$1, lmic_raw[#Headers],0))=0, INDEX(regions[], MATCH($D5, regions[[setting]:[setting]],0), MATCH(I$1, regions[#Headers],0)),INDEX(lmic_raw[],MATCH($A5,lmic_raw[[setting]:[setting]],0), MATCH(I$1, lmic_raw[#Headers],0)))</f>
        <v>1302386.710977</v>
      </c>
      <c r="J5" s="33">
        <f>IF(INDEX(lmic_raw[],MATCH($A5,lmic_raw[[setting]:[setting]],0), MATCH(J$1, lmic_raw[#Headers],0))=0, INDEX(regions[], MATCH($D5, regions[[setting]:[setting]],0), MATCH(J$1, regions[#Headers],0)),INDEX(lmic_raw[],MATCH($A5,lmic_raw[[setting]:[setting]],0), MATCH(J$1, lmic_raw[#Headers],0)))</f>
        <v>0.45600000000000002</v>
      </c>
      <c r="K5" s="33">
        <f>IF(INDEX(lmic_raw[],MATCH($A5,lmic_raw[[setting]:[setting]],0), MATCH(K$1, lmic_raw[#Headers],0))=0, INDEX(regions[], MATCH($D5, regions[[setting]:[setting]],0), MATCH(K$1, regions[#Headers],0)),INDEX(lmic_raw[],MATCH($A5,lmic_raw[[setting]:[setting]],0), MATCH(K$1, lmic_raw[#Headers],0)))</f>
        <v>0.69252604416320784</v>
      </c>
      <c r="L5" s="33">
        <f>IF(INDEX(lmic_raw[],MATCH($A5,lmic_raw[[setting]:[setting]],0), MATCH(L$1, lmic_raw[#Headers],0))=0, INDEX(regions[], MATCH($D5, regions[[setting]:[setting]],0), MATCH(L$1, regions[#Headers],0)),INDEX(lmic_raw[],MATCH($A5,lmic_raw[[setting]:[setting]],0), MATCH(L$1, lmic_raw[#Headers],0)))</f>
        <v>0.53</v>
      </c>
      <c r="M5" s="33">
        <f>IF(INDEX(lmic_raw[],MATCH($A5,lmic_raw[[setting]:[setting]],0), MATCH(M$1, lmic_raw[#Headers],0))=0, INDEX(regions[], MATCH($D5, regions[[setting]:[setting]],0), MATCH(M$1, regions[#Headers],0)),INDEX(lmic_raw[],MATCH($A5,lmic_raw[[setting]:[setting]],0), MATCH(M$1, lmic_raw[#Headers],0)))</f>
        <v>9.3900000000000011E-2</v>
      </c>
      <c r="N5" s="33">
        <f>IF(INDEX(lmic_raw[],MATCH($A5,lmic_raw[[setting]:[setting]],0), MATCH(N$1, lmic_raw[#Headers],0))=0, INDEX(regions[], MATCH($D5, regions[[setting]:[setting]],0), MATCH(N$1, regions[#Headers],0)),INDEX(lmic_raw[],MATCH($A5,lmic_raw[[setting]:[setting]],0), MATCH(N$1, lmic_raw[#Headers],0)))</f>
        <v>0.29386253285476716</v>
      </c>
      <c r="O5" s="33">
        <f>IF(INDEX(lmic_raw[],MATCH($A5,lmic_raw[[setting]:[setting]],0), MATCH(O$1, lmic_raw[#Headers],0))=0, INDEX(regions[], MATCH($D5, regions[[setting]:[setting]],0), MATCH(O$1, regions[#Headers],0)),INDEX(lmic_raw[],MATCH($A5,lmic_raw[[setting]:[setting]],0), MATCH(O$1, lmic_raw[#Headers],0)))</f>
        <v>0.38300000000000001</v>
      </c>
      <c r="P5" s="33">
        <f>IF(INDEX(lmic_raw[],MATCH($A5,lmic_raw[[setting]:[setting]],0), MATCH(P$1, lmic_raw[#Headers],0))=0, INDEX(regions[], MATCH($D5, regions[[setting]:[setting]],0), MATCH(P$1, regions[#Headers],0)),INDEX(lmic_raw[],MATCH($A5,lmic_raw[[setting]:[setting]],0), MATCH(P$1, lmic_raw[#Headers],0)))</f>
        <v>4.8000000000000001E-2</v>
      </c>
      <c r="Q5" s="33">
        <f>IF(INDEX(lmic_raw[],MATCH($A5,lmic_raw[[setting]:[setting]],0), MATCH(Q$1, lmic_raw[#Headers],0))=0, INDEX(regions[], MATCH($D5, regions[[setting]:[setting]],0), MATCH(Q$1, regions[#Headers],0)),INDEX(lmic_raw[],MATCH($A5,lmic_raw[[setting]:[setting]],0), MATCH(Q$1, lmic_raw[#Headers],0)))</f>
        <v>7.9281224995983655</v>
      </c>
      <c r="R5" s="33">
        <f>IF(INDEX(lmic_raw[],MATCH($A5,lmic_raw[[setting]:[setting]],0), MATCH(R$1, lmic_raw[#Headers],0))=0, INDEX(regions[], MATCH($D5, regions[[setting]:[setting]],0), MATCH(R$1, regions[#Headers],0)),INDEX(lmic_raw[],MATCH($A5,lmic_raw[[setting]:[setting]],0), MATCH(R$1, lmic_raw[#Headers],0)))</f>
        <v>29.920500000000001</v>
      </c>
      <c r="S5" s="33">
        <f>IF(INDEX(lmic_raw[],MATCH($A5,lmic_raw[[setting]:[setting]],0), MATCH(S$1, lmic_raw[#Headers],0))=0, INDEX(regions[], MATCH($D5, regions[[setting]:[setting]],0), MATCH(S$1, regions[#Headers],0)),INDEX(lmic_raw[],MATCH($A5,lmic_raw[[setting]:[setting]],0), MATCH(S$1, lmic_raw[#Headers],0)))</f>
        <v>77.662500000000009</v>
      </c>
      <c r="T5" s="33">
        <f>IF(INDEX(lmic_raw[],MATCH($A5,lmic_raw[[setting]:[setting]],0), MATCH(T$1, lmic_raw[#Headers],0))=0, INDEX(regions[], MATCH($D5, regions[[setting]:[setting]],0), MATCH(T$1, regions[#Headers],0)),INDEX(lmic_raw[],MATCH($A5,lmic_raw[[setting]:[setting]],0), MATCH(T$1, lmic_raw[#Headers],0)))</f>
        <v>77.662500000000009</v>
      </c>
      <c r="U5" s="33">
        <f>IF(INDEX(lmic_raw[],MATCH($A5,lmic_raw[[setting]:[setting]],0), MATCH(U$1, lmic_raw[#Headers],0))=0, INDEX(regions[], MATCH($D5, regions[[setting]:[setting]],0), MATCH(U$1, regions[#Headers],0)),INDEX(lmic_raw[],MATCH($A5,lmic_raw[[setting]:[setting]],0), MATCH(U$1, lmic_raw[#Headers],0)))</f>
        <v>77.662500000000009</v>
      </c>
      <c r="V5" s="33">
        <f>IF(INDEX(lmic_raw[],MATCH($A5,lmic_raw[[setting]:[setting]],0), MATCH(V$1, lmic_raw[#Headers],0))=0, INDEX(regions[], MATCH($D5, regions[[setting]:[setting]],0), MATCH(V$1, regions[#Headers],0)),INDEX(lmic_raw[],MATCH($A5,lmic_raw[[setting]:[setting]],0), MATCH(V$1, lmic_raw[#Headers],0)))</f>
        <v>1.5308937022827727</v>
      </c>
      <c r="W5" s="33">
        <f>IF(INDEX(lmic_raw[],MATCH($A5,lmic_raw[[setting]:[setting]],0), MATCH(W$1, lmic_raw[#Headers],0))=0, INDEX(regions[], MATCH($D5, regions[[setting]:[setting]],0), MATCH(W$1, regions[#Headers],0)),INDEX(lmic_raw[],MATCH($A5,lmic_raw[[setting]:[setting]],0), MATCH(W$1, lmic_raw[#Headers],0)))</f>
        <v>6.3608937022827732</v>
      </c>
      <c r="X5" s="33">
        <f>IF(INDEX(lmic_raw[],MATCH($A5,lmic_raw[[setting]:[setting]],0), MATCH(X$1, lmic_raw[#Headers],0))=0, INDEX(regions[], MATCH($D5, regions[[setting]:[setting]],0), MATCH(X$1, regions[#Headers],0)),INDEX(lmic_raw[],MATCH($A5,lmic_raw[[setting]:[setting]],0), MATCH(X$1, lmic_raw[#Headers],0)))</f>
        <v>1.0962635095383204</v>
      </c>
      <c r="Y5" s="33">
        <f>IF(INDEX(lmic_raw[],MATCH($A5,lmic_raw[[setting]:[setting]],0), MATCH(Y$1, lmic_raw[#Headers],0))=0, INDEX(regions[], MATCH($D5, regions[[setting]:[setting]],0), MATCH(Y$1, regions[#Headers],0)),INDEX(lmic_raw[],MATCH($A5,lmic_raw[[setting]:[setting]],0), MATCH(Y$1, lmic_raw[#Headers],0)))</f>
        <v>5.9262635095383205</v>
      </c>
      <c r="Z5" s="33">
        <f>IF(INDEX(lmic_raw[],MATCH($A5,lmic_raw[[setting]:[setting]],0), MATCH(Z$1, lmic_raw[#Headers],0))=0, INDEX(regions[], MATCH($D5, regions[[setting]:[setting]],0), MATCH(Z$1, regions[#Headers],0)),INDEX(lmic_raw[],MATCH($A5,lmic_raw[[setting]:[setting]],0), MATCH(Z$1, lmic_raw[#Headers],0)))</f>
        <v>5.9193553786205815</v>
      </c>
      <c r="AA5" s="33">
        <f>IF(INDEX(lmic_raw[],MATCH($A5,lmic_raw[[setting]:[setting]],0), MATCH(AA$1, lmic_raw[#Headers],0))=0, INDEX(regions[], MATCH($D5, regions[[setting]:[setting]],0), MATCH(AA$1, regions[#Headers],0)),INDEX(lmic_raw[],MATCH($A5,lmic_raw[[setting]:[setting]],0), MATCH(AA$1, lmic_raw[#Headers],0)))</f>
        <v>1.7757887661813783</v>
      </c>
      <c r="AB5" s="33">
        <f>IF(INDEX(lmic_raw[],MATCH($A5,lmic_raw[[setting]:[setting]],0), MATCH(AB$1, lmic_raw[#Headers],0))=0, INDEX(regions[], MATCH($D5, regions[[setting]:[setting]],0), MATCH(AB$1, regions[#Headers],0)),INDEX(lmic_raw[],MATCH($A5,lmic_raw[[setting]:[setting]],0), MATCH(AB$1, lmic_raw[#Headers],0)))</f>
        <v>6.6057887661813783</v>
      </c>
      <c r="AC5" s="33">
        <f>IF(INDEX(lmic_raw[],MATCH($A5,lmic_raw[[setting]:[setting]],0), MATCH(AC$1, lmic_raw[#Headers],0))=0, INDEX(regions[], MATCH($D5, regions[[setting]:[setting]],0), MATCH(AC$1, regions[#Headers],0)),INDEX(lmic_raw[],MATCH($A5,lmic_raw[[setting]:[setting]],0), MATCH(AC$1, lmic_raw[#Headers],0)))</f>
        <v>6.1459419999999952E-2</v>
      </c>
      <c r="AD5" s="33">
        <f>IF(INDEX(lmic_raw[],MATCH($A5,lmic_raw[[setting]:[setting]],0), MATCH(AD$1, lmic_raw[#Headers],0))=0, INDEX(regions[], MATCH($D5, regions[[setting]:[setting]],0), MATCH(AD$1, regions[#Headers],0)),INDEX(lmic_raw[],MATCH($A5,lmic_raw[[setting]:[setting]],0), MATCH(AD$1, lmic_raw[#Headers],0)))</f>
        <v>5.175743173513085E-3</v>
      </c>
      <c r="AE5" s="33">
        <f>IF(INDEX(lmic_raw[],MATCH($A5,lmic_raw[[setting]:[setting]],0), MATCH(AE$1, lmic_raw[#Headers],0))=0, INDEX(regions[], MATCH($D5, regions[[setting]:[setting]],0), MATCH(AE$1, regions[#Headers],0)),INDEX(lmic_raw[],MATCH($A5,lmic_raw[[setting]:[setting]],0), MATCH(AE$1, lmic_raw[#Headers],0)))</f>
        <v>1.908115459520635E-3</v>
      </c>
      <c r="AF5" s="33">
        <f>IF(INDEX(lmic_raw[],MATCH($A5,lmic_raw[[setting]:[setting]],0), MATCH(AF$1, lmic_raw[#Headers],0))=0, INDEX(regions[], MATCH($D5, regions[[setting]:[setting]],0), MATCH(AF$1, regions[#Headers],0)),INDEX(lmic_raw[],MATCH($A5,lmic_raw[[setting]:[setting]],0), MATCH(AF$1, lmic_raw[#Headers],0)))</f>
        <v>1.391416817844411E-3</v>
      </c>
      <c r="AG5" s="33">
        <f>IF(INDEX(lmic_raw[],MATCH($A5,lmic_raw[[setting]:[setting]],0), MATCH(AG$1, lmic_raw[#Headers],0))=0, INDEX(regions[], MATCH($D5, regions[[setting]:[setting]],0), MATCH(AG$1, regions[#Headers],0)),INDEX(lmic_raw[],MATCH($A5,lmic_raw[[setting]:[setting]],0), MATCH(AG$1, lmic_raw[#Headers],0)))</f>
        <v>2.337373534282608E-3</v>
      </c>
      <c r="AH5" s="33">
        <f>IF(INDEX(lmic_raw[],MATCH($A5,lmic_raw[[setting]:[setting]],0), MATCH(AH$1, lmic_raw[#Headers],0))=0, INDEX(regions[], MATCH($D5, regions[[setting]:[setting]],0), MATCH(AH$1, regions[#Headers],0)),INDEX(lmic_raw[],MATCH($A5,lmic_raw[[setting]:[setting]],0), MATCH(AH$1, lmic_raw[#Headers],0)))</f>
        <v>3.2551495573046388E-3</v>
      </c>
      <c r="AI5" s="33">
        <f>IF(INDEX(lmic_raw[],MATCH($A5,lmic_raw[[setting]:[setting]],0), MATCH(AI$1, lmic_raw[#Headers],0))=0, INDEX(regions[], MATCH($D5, regions[[setting]:[setting]],0), MATCH(AI$1, regions[#Headers],0)),INDEX(lmic_raw[],MATCH($A5,lmic_raw[[setting]:[setting]],0), MATCH(AI$1, lmic_raw[#Headers],0)))</f>
        <v>3.588621098633621E-3</v>
      </c>
      <c r="AJ5" s="33">
        <f>IF(INDEX(lmic_raw[],MATCH($A5,lmic_raw[[setting]:[setting]],0), MATCH(AJ$1, lmic_raw[#Headers],0))=0, INDEX(regions[], MATCH($D5, regions[[setting]:[setting]],0), MATCH(AJ$1, regions[#Headers],0)),INDEX(lmic_raw[],MATCH($A5,lmic_raw[[setting]:[setting]],0), MATCH(AJ$1, lmic_raw[#Headers],0)))</f>
        <v>4.1407403730012613E-3</v>
      </c>
      <c r="AK5" s="33">
        <f>IF(INDEX(lmic_raw[],MATCH($A5,lmic_raw[[setting]:[setting]],0), MATCH(AK$1, lmic_raw[#Headers],0))=0, INDEX(regions[], MATCH($D5, regions[[setting]:[setting]],0), MATCH(AK$1, regions[#Headers],0)),INDEX(lmic_raw[],MATCH($A5,lmic_raw[[setting]:[setting]],0), MATCH(AK$1, lmic_raw[#Headers],0)))</f>
        <v>5.1387338118963032E-3</v>
      </c>
      <c r="AL5" s="33">
        <f>IF(INDEX(lmic_raw[],MATCH($A5,lmic_raw[[setting]:[setting]],0), MATCH(AL$1, lmic_raw[#Headers],0))=0, INDEX(regions[], MATCH($D5, regions[[setting]:[setting]],0), MATCH(AL$1, regions[#Headers],0)),INDEX(lmic_raw[],MATCH($A5,lmic_raw[[setting]:[setting]],0), MATCH(AL$1, lmic_raw[#Headers],0)))</f>
        <v>6.5956752145436654E-3</v>
      </c>
      <c r="AM5" s="33">
        <f>IF(INDEX(lmic_raw[],MATCH($A5,lmic_raw[[setting]:[setting]],0), MATCH(AM$1, lmic_raw[#Headers],0))=0, INDEX(regions[], MATCH($D5, regions[[setting]:[setting]],0), MATCH(AM$1, regions[#Headers],0)),INDEX(lmic_raw[],MATCH($A5,lmic_raw[[setting]:[setting]],0), MATCH(AM$1, lmic_raw[#Headers],0)))</f>
        <v>8.8134475201013356E-3</v>
      </c>
      <c r="AN5" s="33">
        <f>IF(INDEX(lmic_raw[],MATCH($A5,lmic_raw[[setting]:[setting]],0), MATCH(AN$1, lmic_raw[#Headers],0))=0, INDEX(regions[], MATCH($D5, regions[[setting]:[setting]],0), MATCH(AN$1, regions[#Headers],0)),INDEX(lmic_raw[],MATCH($A5,lmic_raw[[setting]:[setting]],0), MATCH(AN$1, lmic_raw[#Headers],0)))</f>
        <v>1.2337852300670162E-2</v>
      </c>
      <c r="AO5" s="33">
        <f>IF(INDEX(lmic_raw[],MATCH($A5,lmic_raw[[setting]:[setting]],0), MATCH(AO$1, lmic_raw[#Headers],0))=0, INDEX(regions[], MATCH($D5, regions[[setting]:[setting]],0), MATCH(AO$1, regions[#Headers],0)),INDEX(lmic_raw[],MATCH($A5,lmic_raw[[setting]:[setting]],0), MATCH(AO$1, lmic_raw[#Headers],0)))</f>
        <v>1.7387588593789836E-2</v>
      </c>
      <c r="AP5" s="33">
        <f>IF(INDEX(lmic_raw[],MATCH($A5,lmic_raw[[setting]:[setting]],0), MATCH(AP$1, lmic_raw[#Headers],0))=0, INDEX(regions[], MATCH($D5, regions[[setting]:[setting]],0), MATCH(AP$1, regions[#Headers],0)),INDEX(lmic_raw[],MATCH($A5,lmic_raw[[setting]:[setting]],0), MATCH(AP$1, lmic_raw[#Headers],0)))</f>
        <v>2.5639022161472846E-2</v>
      </c>
      <c r="AQ5" s="33">
        <f>IF(INDEX(lmic_raw[],MATCH($A5,lmic_raw[[setting]:[setting]],0), MATCH(AQ$1, lmic_raw[#Headers],0))=0, INDEX(regions[], MATCH($D5, regions[[setting]:[setting]],0), MATCH(AQ$1, regions[#Headers],0)),INDEX(lmic_raw[],MATCH($A5,lmic_raw[[setting]:[setting]],0), MATCH(AQ$1, lmic_raw[#Headers],0)))</f>
        <v>3.7598293909545992E-2</v>
      </c>
      <c r="AR5" s="33">
        <f>IF(INDEX(lmic_raw[],MATCH($A5,lmic_raw[[setting]:[setting]],0), MATCH(AR$1, lmic_raw[#Headers],0))=0, INDEX(regions[], MATCH($D5, regions[[setting]:[setting]],0), MATCH(AR$1, regions[#Headers],0)),INDEX(lmic_raw[],MATCH($A5,lmic_raw[[setting]:[setting]],0), MATCH(AR$1, lmic_raw[#Headers],0)))</f>
        <v>5.5559489413917834E-2</v>
      </c>
      <c r="AS5" s="33">
        <f>IF(INDEX(lmic_raw[],MATCH($A5,lmic_raw[[setting]:[setting]],0), MATCH(AS$1, lmic_raw[#Headers],0))=0, INDEX(regions[], MATCH($D5, regions[[setting]:[setting]],0), MATCH(AS$1, regions[#Headers],0)),INDEX(lmic_raw[],MATCH($A5,lmic_raw[[setting]:[setting]],0), MATCH(AS$1, lmic_raw[#Headers],0)))</f>
        <v>7.9818388110813751E-2</v>
      </c>
      <c r="AT5" s="33">
        <f>IF(INDEX(lmic_raw[],MATCH($A5,lmic_raw[[setting]:[setting]],0), MATCH(AT$1, lmic_raw[#Headers],0))=0, INDEX(regions[], MATCH($D5, regions[[setting]:[setting]],0), MATCH(AT$1, regions[#Headers],0)),INDEX(lmic_raw[],MATCH($A5,lmic_raw[[setting]:[setting]],0), MATCH(AT$1, lmic_raw[#Headers],0)))</f>
        <v>0.10882136488375105</v>
      </c>
      <c r="AU5" s="33">
        <f>IF(INDEX(lmic_raw[],MATCH($A5,lmic_raw[[setting]:[setting]],0), MATCH(AU$1, lmic_raw[#Headers],0))=0, INDEX(regions[], MATCH($D5, regions[[setting]:[setting]],0), MATCH(AU$1, regions[#Headers],0)),INDEX(lmic_raw[],MATCH($A5,lmic_raw[[setting]:[setting]],0), MATCH(AU$1, lmic_raw[#Headers],0)))</f>
        <v>0.13596093200907966</v>
      </c>
      <c r="AV5" s="33">
        <f>IF(INDEX(lmic_raw[],MATCH($A5,lmic_raw[[setting]:[setting]],0), MATCH(AV$1, lmic_raw[#Headers],0))=0, INDEX(regions[], MATCH($D5, regions[[setting]:[setting]],0), MATCH(AV$1, regions[#Headers],0)),INDEX(lmic_raw[],MATCH($A5,lmic_raw[[setting]:[setting]],0), MATCH(AV$1, lmic_raw[#Headers],0)))</f>
        <v>0.15990749660732004</v>
      </c>
      <c r="AW5" s="33">
        <f>IF(INDEX(lmic_raw[],MATCH($A5,lmic_raw[[setting]:[setting]],0), MATCH(AW$1, lmic_raw[#Headers],0))=0, INDEX(regions[], MATCH($D5, regions[[setting]:[setting]],0), MATCH(AW$1, regions[#Headers],0)),INDEX(lmic_raw[],MATCH($A5,lmic_raw[[setting]:[setting]],0), MATCH(AW$1, lmic_raw[#Headers],0)))</f>
        <v>0.17798561198194363</v>
      </c>
      <c r="AX5" s="33">
        <f>IF(INDEX(lmic_raw[],MATCH($A5,lmic_raw[[setting]:[setting]],0), MATCH(AX$1, lmic_raw[#Headers],0))=0, INDEX(regions[], MATCH($D5, regions[[setting]:[setting]],0), MATCH(AX$1, regions[#Headers],0)),INDEX(lmic_raw[],MATCH($A5,lmic_raw[[setting]:[setting]],0), MATCH(AX$1, lmic_raw[#Headers],0)))</f>
        <v>60.54</v>
      </c>
      <c r="AY5" s="33" t="str">
        <f>IF(VLOOKUP($A5,lmic_raw[],11,FALSE)=0, "Yes", "No")</f>
        <v>Yes</v>
      </c>
    </row>
    <row r="6" spans="1:51" x14ac:dyDescent="0.25">
      <c r="A6" s="109" t="s">
        <v>262</v>
      </c>
      <c r="B6" s="101" t="s">
        <v>373</v>
      </c>
      <c r="C6" s="102">
        <v>32</v>
      </c>
      <c r="D6" s="82" t="s">
        <v>679</v>
      </c>
      <c r="E6" s="82" t="s">
        <v>583</v>
      </c>
      <c r="F6" s="82" t="s">
        <v>665</v>
      </c>
      <c r="G6" s="82" t="s">
        <v>676</v>
      </c>
      <c r="H6" s="33">
        <f>IF(INDEX(lmic_raw[],MATCH($A6,lmic_raw[[setting]:[setting]],0), MATCH(H$1, lmic_raw[#Headers],0))=0, INDEX(regions[], MATCH($D6, regions[[setting]:[setting]],0), MATCH(H$1, regions[#Headers],0)),INDEX(lmic_raw[],MATCH($A6,lmic_raw[[setting]:[setting]],0), MATCH(H$1, lmic_raw[#Headers],0)))</f>
        <v>44780675</v>
      </c>
      <c r="I6" s="33">
        <f>IF(INDEX(lmic_raw[],MATCH($A6,lmic_raw[[setting]:[setting]],0), MATCH(I$1, lmic_raw[#Headers],0))=0, INDEX(regions[], MATCH($D6, regions[[setting]:[setting]],0), MATCH(I$1, regions[#Headers],0)),INDEX(lmic_raw[],MATCH($A6,lmic_raw[[setting]:[setting]],0), MATCH(I$1, lmic_raw[#Headers],0)))</f>
        <v>766286.91059999994</v>
      </c>
      <c r="J6" s="33">
        <f>IF(INDEX(lmic_raw[],MATCH($A6,lmic_raw[[setting]:[setting]],0), MATCH(J$1, lmic_raw[#Headers],0))=0, INDEX(regions[], MATCH($D6, regions[[setting]:[setting]],0), MATCH(J$1, regions[#Headers],0)),INDEX(lmic_raw[],MATCH($A6,lmic_raw[[setting]:[setting]],0), MATCH(J$1, lmic_raw[#Headers],0)))</f>
        <v>0.99299999999999999</v>
      </c>
      <c r="K6" s="33">
        <f>IF(INDEX(lmic_raw[],MATCH($A6,lmic_raw[[setting]:[setting]],0), MATCH(K$1, lmic_raw[#Headers],0))=0, INDEX(regions[], MATCH($D6, regions[[setting]:[setting]],0), MATCH(K$1, regions[#Headers],0)),INDEX(lmic_raw[],MATCH($A6,lmic_raw[[setting]:[setting]],0), MATCH(K$1, lmic_raw[#Headers],0)))</f>
        <v>0.82</v>
      </c>
      <c r="L6" s="33">
        <f>IF(INDEX(lmic_raw[],MATCH($A6,lmic_raw[[setting]:[setting]],0), MATCH(L$1, lmic_raw[#Headers],0))=0, INDEX(regions[], MATCH($D6, regions[[setting]:[setting]],0), MATCH(L$1, regions[#Headers],0)),INDEX(lmic_raw[],MATCH($A6,lmic_raw[[setting]:[setting]],0), MATCH(L$1, lmic_raw[#Headers],0)))</f>
        <v>0.86</v>
      </c>
      <c r="M6" s="33">
        <f>IF(INDEX(lmic_raw[],MATCH($A6,lmic_raw[[setting]:[setting]],0), MATCH(M$1, lmic_raw[#Headers],0))=0, INDEX(regions[], MATCH($D6, regions[[setting]:[setting]],0), MATCH(M$1, regions[#Headers],0)),INDEX(lmic_raw[],MATCH($A6,lmic_raw[[setting]:[setting]],0), MATCH(M$1, lmic_raw[#Headers],0)))</f>
        <v>5.9999999999999995E-4</v>
      </c>
      <c r="N6" s="33">
        <f>IF(INDEX(lmic_raw[],MATCH($A6,lmic_raw[[setting]:[setting]],0), MATCH(N$1, lmic_raw[#Headers],0))=0, INDEX(regions[], MATCH($D6, regions[[setting]:[setting]],0), MATCH(N$1, regions[#Headers],0)),INDEX(lmic_raw[],MATCH($A6,lmic_raw[[setting]:[setting]],0), MATCH(N$1, lmic_raw[#Headers],0)))</f>
        <v>0.32111653802265411</v>
      </c>
      <c r="O6" s="33">
        <f>IF(INDEX(lmic_raw[],MATCH($A6,lmic_raw[[setting]:[setting]],0), MATCH(O$1, lmic_raw[#Headers],0))=0, INDEX(regions[], MATCH($D6, regions[[setting]:[setting]],0), MATCH(O$1, regions[#Headers],0)),INDEX(lmic_raw[],MATCH($A6,lmic_raw[[setting]:[setting]],0), MATCH(O$1, lmic_raw[#Headers],0)))</f>
        <v>0.8</v>
      </c>
      <c r="P6" s="33">
        <f>IF(INDEX(lmic_raw[],MATCH($A6,lmic_raw[[setting]:[setting]],0), MATCH(P$1, lmic_raw[#Headers],0))=0, INDEX(regions[], MATCH($D6, regions[[setting]:[setting]],0), MATCH(P$1, regions[#Headers],0)),INDEX(lmic_raw[],MATCH($A6,lmic_raw[[setting]:[setting]],0), MATCH(P$1, lmic_raw[#Headers],0)))</f>
        <v>0.17499999999999999</v>
      </c>
      <c r="Q6" s="33">
        <f>IF(INDEX(lmic_raw[],MATCH($A6,lmic_raw[[setting]:[setting]],0), MATCH(Q$1, lmic_raw[#Headers],0))=0, INDEX(regions[], MATCH($D6, regions[[setting]:[setting]],0), MATCH(Q$1, regions[#Headers],0)),INDEX(lmic_raw[],MATCH($A6,lmic_raw[[setting]:[setting]],0), MATCH(Q$1, lmic_raw[#Headers],0)))</f>
        <v>16.070290907794135</v>
      </c>
      <c r="R6" s="33">
        <f>IF(INDEX(lmic_raw[],MATCH($A6,lmic_raw[[setting]:[setting]],0), MATCH(R$1, lmic_raw[#Headers],0))=0, INDEX(regions[], MATCH($D6, regions[[setting]:[setting]],0), MATCH(R$1, regions[#Headers],0)),INDEX(lmic_raw[],MATCH($A6,lmic_raw[[setting]:[setting]],0), MATCH(R$1, lmic_raw[#Headers],0)))</f>
        <v>86.883899999999997</v>
      </c>
      <c r="S6" s="33">
        <f>IF(INDEX(lmic_raw[],MATCH($A6,lmic_raw[[setting]:[setting]],0), MATCH(S$1, lmic_raw[#Headers],0))=0, INDEX(regions[], MATCH($D6, regions[[setting]:[setting]],0), MATCH(S$1, regions[#Headers],0)),INDEX(lmic_raw[],MATCH($A6,lmic_raw[[setting]:[setting]],0), MATCH(S$1, lmic_raw[#Headers],0)))</f>
        <v>134.6259</v>
      </c>
      <c r="T6" s="33">
        <f>IF(INDEX(lmic_raw[],MATCH($A6,lmic_raw[[setting]:[setting]],0), MATCH(T$1, lmic_raw[#Headers],0))=0, INDEX(regions[], MATCH($D6, regions[[setting]:[setting]],0), MATCH(T$1, regions[#Headers],0)),INDEX(lmic_raw[],MATCH($A6,lmic_raw[[setting]:[setting]],0), MATCH(T$1, lmic_raw[#Headers],0)))</f>
        <v>134.6259</v>
      </c>
      <c r="U6" s="33">
        <f>IF(INDEX(lmic_raw[],MATCH($A6,lmic_raw[[setting]:[setting]],0), MATCH(U$1, lmic_raw[#Headers],0))=0, INDEX(regions[], MATCH($D6, regions[[setting]:[setting]],0), MATCH(U$1, regions[#Headers],0)),INDEX(lmic_raw[],MATCH($A6,lmic_raw[[setting]:[setting]],0), MATCH(U$1, lmic_raw[#Headers],0)))</f>
        <v>134.6259</v>
      </c>
      <c r="V6" s="33">
        <f>IF(INDEX(lmic_raw[],MATCH($A6,lmic_raw[[setting]:[setting]],0), MATCH(V$1, lmic_raw[#Headers],0))=0, INDEX(regions[], MATCH($D6, regions[[setting]:[setting]],0), MATCH(V$1, regions[#Headers],0)),INDEX(lmic_raw[],MATCH($A6,lmic_raw[[setting]:[setting]],0), MATCH(V$1, lmic_raw[#Headers],0)))</f>
        <v>3.7553435637599502</v>
      </c>
      <c r="W6" s="33">
        <f>IF(INDEX(lmic_raw[],MATCH($A6,lmic_raw[[setting]:[setting]],0), MATCH(W$1, lmic_raw[#Headers],0))=0, INDEX(regions[], MATCH($D6, regions[[setting]:[setting]],0), MATCH(W$1, regions[#Headers],0)),INDEX(lmic_raw[],MATCH($A6,lmic_raw[[setting]:[setting]],0), MATCH(W$1, lmic_raw[#Headers],0)))</f>
        <v>3.7753435637599502</v>
      </c>
      <c r="X6" s="33">
        <f>IF(INDEX(lmic_raw[],MATCH($A6,lmic_raw[[setting]:[setting]],0), MATCH(X$1, lmic_raw[#Headers],0))=0, INDEX(regions[], MATCH($D6, regions[[setting]:[setting]],0), MATCH(X$1, regions[#Headers],0)),INDEX(lmic_raw[],MATCH($A6,lmic_raw[[setting]:[setting]],0), MATCH(X$1, lmic_raw[#Headers],0)))</f>
        <v>3.3044955433177372</v>
      </c>
      <c r="Y6" s="33">
        <f>IF(INDEX(lmic_raw[],MATCH($A6,lmic_raw[[setting]:[setting]],0), MATCH(Y$1, lmic_raw[#Headers],0))=0, INDEX(regions[], MATCH($D6, regions[[setting]:[setting]],0), MATCH(Y$1, regions[#Headers],0)),INDEX(lmic_raw[],MATCH($A6,lmic_raw[[setting]:[setting]],0), MATCH(Y$1, lmic_raw[#Headers],0)))</f>
        <v>3.3244955433177372</v>
      </c>
      <c r="Z6" s="33">
        <f>IF(INDEX(lmic_raw[],MATCH($A6,lmic_raw[[setting]:[setting]],0), MATCH(Z$1, lmic_raw[#Headers],0))=0, INDEX(regions[], MATCH($D6, regions[[setting]:[setting]],0), MATCH(Z$1, regions[#Headers],0)),INDEX(lmic_raw[],MATCH($A6,lmic_raw[[setting]:[setting]],0), MATCH(Z$1, lmic_raw[#Headers],0)))</f>
        <v>3.3105131704118751</v>
      </c>
      <c r="AA6" s="33">
        <f>IF(INDEX(lmic_raw[],MATCH($A6,lmic_raw[[setting]:[setting]],0), MATCH(AA$1, lmic_raw[#Headers],0))=0, INDEX(regions[], MATCH($D6, regions[[setting]:[setting]],0), MATCH(AA$1, regions[#Headers],0)),INDEX(lmic_raw[],MATCH($A6,lmic_raw[[setting]:[setting]],0), MATCH(AA$1, lmic_raw[#Headers],0)))</f>
        <v>4.0060845888054226</v>
      </c>
      <c r="AB6" s="33">
        <f>IF(INDEX(lmic_raw[],MATCH($A6,lmic_raw[[setting]:[setting]],0), MATCH(AB$1, lmic_raw[#Headers],0))=0, INDEX(regions[], MATCH($D6, regions[[setting]:[setting]],0), MATCH(AB$1, regions[#Headers],0)),INDEX(lmic_raw[],MATCH($A6,lmic_raw[[setting]:[setting]],0), MATCH(AB$1, lmic_raw[#Headers],0)))</f>
        <v>4.0260845888054222</v>
      </c>
      <c r="AC6" s="33">
        <f>IF(INDEX(lmic_raw[],MATCH($A6,lmic_raw[[setting]:[setting]],0), MATCH(AC$1, lmic_raw[#Headers],0))=0, INDEX(regions[], MATCH($D6, regions[[setting]:[setting]],0), MATCH(AC$1, regions[#Headers],0)),INDEX(lmic_raw[],MATCH($A6,lmic_raw[[setting]:[setting]],0), MATCH(AC$1, lmic_raw[#Headers],0)))</f>
        <v>1.0225190000000002E-2</v>
      </c>
      <c r="AD6" s="33">
        <f>IF(INDEX(lmic_raw[],MATCH($A6,lmic_raw[[setting]:[setting]],0), MATCH(AD$1, lmic_raw[#Headers],0))=0, INDEX(regions[], MATCH($D6, regions[[setting]:[setting]],0), MATCH(AD$1, regions[#Headers],0)),INDEX(lmic_raw[],MATCH($A6,lmic_raw[[setting]:[setting]],0), MATCH(AD$1, lmic_raw[#Headers],0)))</f>
        <v>4.1349304494828876E-4</v>
      </c>
      <c r="AE6" s="33">
        <f>IF(INDEX(lmic_raw[],MATCH($A6,lmic_raw[[setting]:[setting]],0), MATCH(AE$1, lmic_raw[#Headers],0))=0, INDEX(regions[], MATCH($D6, regions[[setting]:[setting]],0), MATCH(AE$1, regions[#Headers],0)),INDEX(lmic_raw[],MATCH($A6,lmic_raw[[setting]:[setting]],0), MATCH(AE$1, lmic_raw[#Headers],0)))</f>
        <v>1.8230049403534799E-4</v>
      </c>
      <c r="AF6" s="33">
        <f>IF(INDEX(lmic_raw[],MATCH($A6,lmic_raw[[setting]:[setting]],0), MATCH(AF$1, lmic_raw[#Headers],0))=0, INDEX(regions[], MATCH($D6, regions[[setting]:[setting]],0), MATCH(AF$1, regions[#Headers],0)),INDEX(lmic_raw[],MATCH($A6,lmic_raw[[setting]:[setting]],0), MATCH(AF$1, lmic_raw[#Headers],0)))</f>
        <v>2.3865392573492675E-4</v>
      </c>
      <c r="AG6" s="33">
        <f>IF(INDEX(lmic_raw[],MATCH($A6,lmic_raw[[setting]:[setting]],0), MATCH(AG$1, lmic_raw[#Headers],0))=0, INDEX(regions[], MATCH($D6, regions[[setting]:[setting]],0), MATCH(AG$1, regions[#Headers],0)),INDEX(lmic_raw[],MATCH($A6,lmic_raw[[setting]:[setting]],0), MATCH(AG$1, lmic_raw[#Headers],0)))</f>
        <v>7.4298392402514536E-4</v>
      </c>
      <c r="AH6" s="33">
        <f>IF(INDEX(lmic_raw[],MATCH($A6,lmic_raw[[setting]:[setting]],0), MATCH(AH$1, lmic_raw[#Headers],0))=0, INDEX(regions[], MATCH($D6, regions[[setting]:[setting]],0), MATCH(AH$1, regions[#Headers],0)),INDEX(lmic_raw[],MATCH($A6,lmic_raw[[setting]:[setting]],0), MATCH(AH$1, lmic_raw[#Headers],0)))</f>
        <v>1.0220930382760516E-3</v>
      </c>
      <c r="AI6" s="33">
        <f>IF(INDEX(lmic_raw[],MATCH($A6,lmic_raw[[setting]:[setting]],0), MATCH(AI$1, lmic_raw[#Headers],0))=0, INDEX(regions[], MATCH($D6, regions[[setting]:[setting]],0), MATCH(AI$1, regions[#Headers],0)),INDEX(lmic_raw[],MATCH($A6,lmic_raw[[setting]:[setting]],0), MATCH(AI$1, lmic_raw[#Headers],0)))</f>
        <v>1.0279796384069062E-3</v>
      </c>
      <c r="AJ6" s="33">
        <f>IF(INDEX(lmic_raw[],MATCH($A6,lmic_raw[[setting]:[setting]],0), MATCH(AJ$1, lmic_raw[#Headers],0))=0, INDEX(regions[], MATCH($D6, regions[[setting]:[setting]],0), MATCH(AJ$1, regions[#Headers],0)),INDEX(lmic_raw[],MATCH($A6,lmic_raw[[setting]:[setting]],0), MATCH(AJ$1, lmic_raw[#Headers],0)))</f>
        <v>1.1651318209136255E-3</v>
      </c>
      <c r="AK6" s="33">
        <f>IF(INDEX(lmic_raw[],MATCH($A6,lmic_raw[[setting]:[setting]],0), MATCH(AK$1, lmic_raw[#Headers],0))=0, INDEX(regions[], MATCH($D6, regions[[setting]:[setting]],0), MATCH(AK$1, regions[#Headers],0)),INDEX(lmic_raw[],MATCH($A6,lmic_raw[[setting]:[setting]],0), MATCH(AK$1, lmic_raw[#Headers],0)))</f>
        <v>1.4105183290987842E-3</v>
      </c>
      <c r="AL6" s="33">
        <f>IF(INDEX(lmic_raw[],MATCH($A6,lmic_raw[[setting]:[setting]],0), MATCH(AL$1, lmic_raw[#Headers],0))=0, INDEX(regions[], MATCH($D6, regions[[setting]:[setting]],0), MATCH(AL$1, regions[#Headers],0)),INDEX(lmic_raw[],MATCH($A6,lmic_raw[[setting]:[setting]],0), MATCH(AL$1, lmic_raw[#Headers],0)))</f>
        <v>1.9883118699651511E-3</v>
      </c>
      <c r="AM6" s="33">
        <f>IF(INDEX(lmic_raw[],MATCH($A6,lmic_raw[[setting]:[setting]],0), MATCH(AM$1, lmic_raw[#Headers],0))=0, INDEX(regions[], MATCH($D6, regions[[setting]:[setting]],0), MATCH(AM$1, regions[#Headers],0)),INDEX(lmic_raw[],MATCH($A6,lmic_raw[[setting]:[setting]],0), MATCH(AM$1, lmic_raw[#Headers],0)))</f>
        <v>3.1481691974343147E-3</v>
      </c>
      <c r="AN6" s="33">
        <f>IF(INDEX(lmic_raw[],MATCH($A6,lmic_raw[[setting]:[setting]],0), MATCH(AN$1, lmic_raw[#Headers],0))=0, INDEX(regions[], MATCH($D6, regions[[setting]:[setting]],0), MATCH(AN$1, regions[#Headers],0)),INDEX(lmic_raw[],MATCH($A6,lmic_raw[[setting]:[setting]],0), MATCH(AN$1, lmic_raw[#Headers],0)))</f>
        <v>5.078685662527325E-3</v>
      </c>
      <c r="AO6" s="33">
        <f>IF(INDEX(lmic_raw[],MATCH($A6,lmic_raw[[setting]:[setting]],0), MATCH(AO$1, lmic_raw[#Headers],0))=0, INDEX(regions[], MATCH($D6, regions[[setting]:[setting]],0), MATCH(AO$1, regions[#Headers],0)),INDEX(lmic_raw[],MATCH($A6,lmic_raw[[setting]:[setting]],0), MATCH(AO$1, lmic_raw[#Headers],0)))</f>
        <v>8.3544362477530054E-3</v>
      </c>
      <c r="AP6" s="33">
        <f>IF(INDEX(lmic_raw[],MATCH($A6,lmic_raw[[setting]:[setting]],0), MATCH(AP$1, lmic_raw[#Headers],0))=0, INDEX(regions[], MATCH($D6, regions[[setting]:[setting]],0), MATCH(AP$1, regions[#Headers],0)),INDEX(lmic_raw[],MATCH($A6,lmic_raw[[setting]:[setting]],0), MATCH(AP$1, lmic_raw[#Headers],0)))</f>
        <v>1.2550556467869704E-2</v>
      </c>
      <c r="AQ6" s="33">
        <f>IF(INDEX(lmic_raw[],MATCH($A6,lmic_raw[[setting]:[setting]],0), MATCH(AQ$1, lmic_raw[#Headers],0))=0, INDEX(regions[], MATCH($D6, regions[[setting]:[setting]],0), MATCH(AQ$1, regions[#Headers],0)),INDEX(lmic_raw[],MATCH($A6,lmic_raw[[setting]:[setting]],0), MATCH(AQ$1, lmic_raw[#Headers],0)))</f>
        <v>1.8900764978139851E-2</v>
      </c>
      <c r="AR6" s="33">
        <f>IF(INDEX(lmic_raw[],MATCH($A6,lmic_raw[[setting]:[setting]],0), MATCH(AR$1, lmic_raw[#Headers],0))=0, INDEX(regions[], MATCH($D6, regions[[setting]:[setting]],0), MATCH(AR$1, regions[#Headers],0)),INDEX(lmic_raw[],MATCH($A6,lmic_raw[[setting]:[setting]],0), MATCH(AR$1, lmic_raw[#Headers],0)))</f>
        <v>2.7591517362266494E-2</v>
      </c>
      <c r="AS6" s="33">
        <f>IF(INDEX(lmic_raw[],MATCH($A6,lmic_raw[[setting]:[setting]],0), MATCH(AS$1, lmic_raw[#Headers],0))=0, INDEX(regions[], MATCH($D6, regions[[setting]:[setting]],0), MATCH(AS$1, regions[#Headers],0)),INDEX(lmic_raw[],MATCH($A6,lmic_raw[[setting]:[setting]],0), MATCH(AS$1, lmic_raw[#Headers],0)))</f>
        <v>4.1750753259783509E-2</v>
      </c>
      <c r="AT6" s="33">
        <f>IF(INDEX(lmic_raw[],MATCH($A6,lmic_raw[[setting]:[setting]],0), MATCH(AT$1, lmic_raw[#Headers],0))=0, INDEX(regions[], MATCH($D6, regions[[setting]:[setting]],0), MATCH(AT$1, regions[#Headers],0)),INDEX(lmic_raw[],MATCH($A6,lmic_raw[[setting]:[setting]],0), MATCH(AT$1, lmic_raw[#Headers],0)))</f>
        <v>6.4603599400937683E-2</v>
      </c>
      <c r="AU6" s="33">
        <f>IF(INDEX(lmic_raw[],MATCH($A6,lmic_raw[[setting]:[setting]],0), MATCH(AU$1, lmic_raw[#Headers],0))=0, INDEX(regions[], MATCH($D6, regions[[setting]:[setting]],0), MATCH(AU$1, regions[#Headers],0)),INDEX(lmic_raw[],MATCH($A6,lmic_raw[[setting]:[setting]],0), MATCH(AU$1, lmic_raw[#Headers],0)))</f>
        <v>9.5142112696072714E-2</v>
      </c>
      <c r="AV6" s="33">
        <f>IF(INDEX(lmic_raw[],MATCH($A6,lmic_raw[[setting]:[setting]],0), MATCH(AV$1, lmic_raw[#Headers],0))=0, INDEX(regions[], MATCH($D6, regions[[setting]:[setting]],0), MATCH(AV$1, regions[#Headers],0)),INDEX(lmic_raw[],MATCH($A6,lmic_raw[[setting]:[setting]],0), MATCH(AV$1, lmic_raw[#Headers],0)))</f>
        <v>0.12948673666319993</v>
      </c>
      <c r="AW6" s="33">
        <f>IF(INDEX(lmic_raw[],MATCH($A6,lmic_raw[[setting]:[setting]],0), MATCH(AW$1, lmic_raw[#Headers],0))=0, INDEX(regions[], MATCH($D6, regions[[setting]:[setting]],0), MATCH(AW$1, regions[#Headers],0)),INDEX(lmic_raw[],MATCH($A6,lmic_raw[[setting]:[setting]],0), MATCH(AW$1, lmic_raw[#Headers],0)))</f>
        <v>0.16126569820237008</v>
      </c>
      <c r="AX6" s="33">
        <f>IF(INDEX(lmic_raw[],MATCH($A6,lmic_raw[[setting]:[setting]],0), MATCH(AX$1, lmic_raw[#Headers],0))=0, INDEX(regions[], MATCH($D6, regions[[setting]:[setting]],0), MATCH(AX$1, regions[#Headers],0)),INDEX(lmic_raw[],MATCH($A6,lmic_raw[[setting]:[setting]],0), MATCH(AX$1, lmic_raw[#Headers],0)))</f>
        <v>76.447999999999993</v>
      </c>
      <c r="AY6" s="33" t="str">
        <f>IF(VLOOKUP($A6,lmic_raw[],11,FALSE)=0, "Yes", "No")</f>
        <v>No</v>
      </c>
    </row>
    <row r="7" spans="1:51" x14ac:dyDescent="0.25">
      <c r="A7" s="110" t="s">
        <v>165</v>
      </c>
      <c r="B7" s="104" t="s">
        <v>374</v>
      </c>
      <c r="C7" s="105">
        <v>51</v>
      </c>
      <c r="D7" s="84" t="s">
        <v>675</v>
      </c>
      <c r="E7" s="84" t="s">
        <v>184</v>
      </c>
      <c r="F7" s="84" t="s">
        <v>663</v>
      </c>
      <c r="G7" s="84" t="s">
        <v>676</v>
      </c>
      <c r="H7" s="33">
        <f>IF(INDEX(lmic_raw[],MATCH($A7,lmic_raw[[setting]:[setting]],0), MATCH(H$1, lmic_raw[#Headers],0))=0, INDEX(regions[], MATCH($D7, regions[[setting]:[setting]],0), MATCH(H$1, regions[#Headers],0)),INDEX(lmic_raw[],MATCH($A7,lmic_raw[[setting]:[setting]],0), MATCH(H$1, lmic_raw[#Headers],0)))</f>
        <v>2957728</v>
      </c>
      <c r="I7" s="33">
        <f>IF(INDEX(lmic_raw[],MATCH($A7,lmic_raw[[setting]:[setting]],0), MATCH(I$1, lmic_raw[#Headers],0))=0, INDEX(regions[], MATCH($D7, regions[[setting]:[setting]],0), MATCH(I$1, regions[#Headers],0)),INDEX(lmic_raw[],MATCH($A7,lmic_raw[[setting]:[setting]],0), MATCH(I$1, lmic_raw[#Headers],0)))</f>
        <v>41890.301663999999</v>
      </c>
      <c r="J7" s="33">
        <f>IF(INDEX(lmic_raw[],MATCH($A7,lmic_raw[[setting]:[setting]],0), MATCH(J$1, lmic_raw[#Headers],0))=0, INDEX(regions[], MATCH($D7, regions[[setting]:[setting]],0), MATCH(J$1, regions[#Headers],0)),INDEX(lmic_raw[],MATCH($A7,lmic_raw[[setting]:[setting]],0), MATCH(J$1, lmic_raw[#Headers],0)))</f>
        <v>0.99299999999999999</v>
      </c>
      <c r="K7" s="33">
        <f>IF(INDEX(lmic_raw[],MATCH($A7,lmic_raw[[setting]:[setting]],0), MATCH(K$1, lmic_raw[#Headers],0))=0, INDEX(regions[], MATCH($D7, regions[[setting]:[setting]],0), MATCH(K$1, regions[#Headers],0)),INDEX(lmic_raw[],MATCH($A7,lmic_raw[[setting]:[setting]],0), MATCH(K$1, lmic_raw[#Headers],0)))</f>
        <v>0.96</v>
      </c>
      <c r="L7" s="33">
        <f>IF(INDEX(lmic_raw[],MATCH($A7,lmic_raw[[setting]:[setting]],0), MATCH(L$1, lmic_raw[#Headers],0))=0, INDEX(regions[], MATCH($D7, regions[[setting]:[setting]],0), MATCH(L$1, regions[#Headers],0)),INDEX(lmic_raw[],MATCH($A7,lmic_raw[[setting]:[setting]],0), MATCH(L$1, lmic_raw[#Headers],0)))</f>
        <v>0.92</v>
      </c>
      <c r="M7" s="33">
        <f>IF(INDEX(lmic_raw[],MATCH($A7,lmic_raw[[setting]:[setting]],0), MATCH(M$1, lmic_raw[#Headers],0))=0, INDEX(regions[], MATCH($D7, regions[[setting]:[setting]],0), MATCH(M$1, regions[#Headers],0)),INDEX(lmic_raw[],MATCH($A7,lmic_raw[[setting]:[setting]],0), MATCH(M$1, lmic_raw[#Headers],0)))</f>
        <v>2.12E-2</v>
      </c>
      <c r="N7" s="33">
        <f>IF(INDEX(lmic_raw[],MATCH($A7,lmic_raw[[setting]:[setting]],0), MATCH(N$1, lmic_raw[#Headers],0))=0, INDEX(regions[], MATCH($D7, regions[[setting]:[setting]],0), MATCH(N$1, regions[#Headers],0)),INDEX(lmic_raw[],MATCH($A7,lmic_raw[[setting]:[setting]],0), MATCH(N$1, lmic_raw[#Headers],0)))</f>
        <v>0.29983118977846629</v>
      </c>
      <c r="O7" s="33">
        <f>IF(INDEX(lmic_raw[],MATCH($A7,lmic_raw[[setting]:[setting]],0), MATCH(O$1, lmic_raw[#Headers],0))=0, INDEX(regions[], MATCH($D7, regions[[setting]:[setting]],0), MATCH(O$1, regions[#Headers],0)),INDEX(lmic_raw[],MATCH($A7,lmic_raw[[setting]:[setting]],0), MATCH(O$1, lmic_raw[#Headers],0)))</f>
        <v>0.8</v>
      </c>
      <c r="P7" s="33">
        <f>IF(INDEX(lmic_raw[],MATCH($A7,lmic_raw[[setting]:[setting]],0), MATCH(P$1, lmic_raw[#Headers],0))=0, INDEX(regions[], MATCH($D7, regions[[setting]:[setting]],0), MATCH(P$1, regions[#Headers],0)),INDEX(lmic_raw[],MATCH($A7,lmic_raw[[setting]:[setting]],0), MATCH(P$1, lmic_raw[#Headers],0)))</f>
        <v>0.17499999999999999</v>
      </c>
      <c r="Q7" s="33">
        <f>IF(INDEX(lmic_raw[],MATCH($A7,lmic_raw[[setting]:[setting]],0), MATCH(Q$1, lmic_raw[#Headers],0))=0, INDEX(regions[], MATCH($D7, regions[[setting]:[setting]],0), MATCH(Q$1, regions[#Headers],0)),INDEX(lmic_raw[],MATCH($A7,lmic_raw[[setting]:[setting]],0), MATCH(Q$1, lmic_raw[#Headers],0)))</f>
        <v>6.7886936844572663</v>
      </c>
      <c r="R7" s="33">
        <f>IF(INDEX(lmic_raw[],MATCH($A7,lmic_raw[[setting]:[setting]],0), MATCH(R$1, lmic_raw[#Headers],0))=0, INDEX(regions[], MATCH($D7, regions[[setting]:[setting]],0), MATCH(R$1, regions[#Headers],0)),INDEX(lmic_raw[],MATCH($A7,lmic_raw[[setting]:[setting]],0), MATCH(R$1, lmic_raw[#Headers],0)))</f>
        <v>44.537400000000005</v>
      </c>
      <c r="S7" s="33">
        <f>IF(INDEX(lmic_raw[],MATCH($A7,lmic_raw[[setting]:[setting]],0), MATCH(S$1, lmic_raw[#Headers],0))=0, INDEX(regions[], MATCH($D7, regions[[setting]:[setting]],0), MATCH(S$1, regions[#Headers],0)),INDEX(lmic_raw[],MATCH($A7,lmic_raw[[setting]:[setting]],0), MATCH(S$1, lmic_raw[#Headers],0)))</f>
        <v>92.27940000000001</v>
      </c>
      <c r="T7" s="33">
        <f>IF(INDEX(lmic_raw[],MATCH($A7,lmic_raw[[setting]:[setting]],0), MATCH(T$1, lmic_raw[#Headers],0))=0, INDEX(regions[], MATCH($D7, regions[[setting]:[setting]],0), MATCH(T$1, regions[#Headers],0)),INDEX(lmic_raw[],MATCH($A7,lmic_raw[[setting]:[setting]],0), MATCH(T$1, lmic_raw[#Headers],0)))</f>
        <v>92.27940000000001</v>
      </c>
      <c r="U7" s="33">
        <f>IF(INDEX(lmic_raw[],MATCH($A7,lmic_raw[[setting]:[setting]],0), MATCH(U$1, lmic_raw[#Headers],0))=0, INDEX(regions[], MATCH($D7, regions[[setting]:[setting]],0), MATCH(U$1, regions[#Headers],0)),INDEX(lmic_raw[],MATCH($A7,lmic_raw[[setting]:[setting]],0), MATCH(U$1, lmic_raw[#Headers],0)))</f>
        <v>92.27940000000001</v>
      </c>
      <c r="V7" s="33">
        <f>IF(INDEX(lmic_raw[],MATCH($A7,lmic_raw[[setting]:[setting]],0), MATCH(V$1, lmic_raw[#Headers],0))=0, INDEX(regions[], MATCH($D7, regions[[setting]:[setting]],0), MATCH(V$1, regions[#Headers],0)),INDEX(lmic_raw[],MATCH($A7,lmic_raw[[setting]:[setting]],0), MATCH(V$1, lmic_raw[#Headers],0)))</f>
        <v>5.451569608177226</v>
      </c>
      <c r="W7" s="33">
        <f>IF(INDEX(lmic_raw[],MATCH($A7,lmic_raw[[setting]:[setting]],0), MATCH(W$1, lmic_raw[#Headers],0))=0, INDEX(regions[], MATCH($D7, regions[[setting]:[setting]],0), MATCH(W$1, regions[#Headers],0)),INDEX(lmic_raw[],MATCH($A7,lmic_raw[[setting]:[setting]],0), MATCH(W$1, lmic_raw[#Headers],0)))</f>
        <v>9.5215696081772272</v>
      </c>
      <c r="X7" s="33">
        <f>IF(INDEX(lmic_raw[],MATCH($A7,lmic_raw[[setting]:[setting]],0), MATCH(X$1, lmic_raw[#Headers],0))=0, INDEX(regions[], MATCH($D7, regions[[setting]:[setting]],0), MATCH(X$1, regions[#Headers],0)),INDEX(lmic_raw[],MATCH($A7,lmic_raw[[setting]:[setting]],0), MATCH(X$1, lmic_raw[#Headers],0)))</f>
        <v>5.0188633172418911</v>
      </c>
      <c r="Y7" s="33">
        <f>IF(INDEX(lmic_raw[],MATCH($A7,lmic_raw[[setting]:[setting]],0), MATCH(Y$1, lmic_raw[#Headers],0))=0, INDEX(regions[], MATCH($D7, regions[[setting]:[setting]],0), MATCH(Y$1, regions[#Headers],0)),INDEX(lmic_raw[],MATCH($A7,lmic_raw[[setting]:[setting]],0), MATCH(Y$1, lmic_raw[#Headers],0)))</f>
        <v>9.0888633172418913</v>
      </c>
      <c r="Z7" s="33">
        <f>IF(INDEX(lmic_raw[],MATCH($A7,lmic_raw[[setting]:[setting]],0), MATCH(Z$1, lmic_raw[#Headers],0))=0, INDEX(regions[], MATCH($D7, regions[[setting]:[setting]],0), MATCH(Z$1, regions[#Headers],0)),INDEX(lmic_raw[],MATCH($A7,lmic_raw[[setting]:[setting]],0), MATCH(Z$1, lmic_raw[#Headers],0)))</f>
        <v>9.0828482418076675</v>
      </c>
      <c r="AA7" s="33">
        <f>IF(INDEX(lmic_raw[],MATCH($A7,lmic_raw[[setting]:[setting]],0), MATCH(AA$1, lmic_raw[#Headers],0))=0, INDEX(regions[], MATCH($D7, regions[[setting]:[setting]],0), MATCH(AA$1, regions[#Headers],0)),INDEX(lmic_raw[],MATCH($A7,lmic_raw[[setting]:[setting]],0), MATCH(AA$1, lmic_raw[#Headers],0)))</f>
        <v>5.6957711725864977</v>
      </c>
      <c r="AB7" s="33">
        <f>IF(INDEX(lmic_raw[],MATCH($A7,lmic_raw[[setting]:[setting]],0), MATCH(AB$1, lmic_raw[#Headers],0))=0, INDEX(regions[], MATCH($D7, regions[[setting]:[setting]],0), MATCH(AB$1, regions[#Headers],0)),INDEX(lmic_raw[],MATCH($A7,lmic_raw[[setting]:[setting]],0), MATCH(AB$1, lmic_raw[#Headers],0)))</f>
        <v>9.7657711725864971</v>
      </c>
      <c r="AC7" s="33">
        <f>IF(INDEX(lmic_raw[],MATCH($A7,lmic_raw[[setting]:[setting]],0), MATCH(AC$1, lmic_raw[#Headers],0))=0, INDEX(regions[], MATCH($D7, regions[[setting]:[setting]],0), MATCH(AC$1, regions[#Headers],0)),INDEX(lmic_raw[],MATCH($A7,lmic_raw[[setting]:[setting]],0), MATCH(AC$1, lmic_raw[#Headers],0)))</f>
        <v>1.076725999999995E-2</v>
      </c>
      <c r="AD7" s="33">
        <f>IF(INDEX(lmic_raw[],MATCH($A7,lmic_raw[[setting]:[setting]],0), MATCH(AD$1, lmic_raw[#Headers],0))=0, INDEX(regions[], MATCH($D7, regions[[setting]:[setting]],0), MATCH(AD$1, regions[#Headers],0)),INDEX(lmic_raw[],MATCH($A7,lmic_raw[[setting]:[setting]],0), MATCH(AD$1, lmic_raw[#Headers],0)))</f>
        <v>6.0513059848790187E-4</v>
      </c>
      <c r="AE7" s="33">
        <f>IF(INDEX(lmic_raw[],MATCH($A7,lmic_raw[[setting]:[setting]],0), MATCH(AE$1, lmic_raw[#Headers],0))=0, INDEX(regions[], MATCH($D7, regions[[setting]:[setting]],0), MATCH(AE$1, regions[#Headers],0)),INDEX(lmic_raw[],MATCH($A7,lmic_raw[[setting]:[setting]],0), MATCH(AE$1, lmic_raw[#Headers],0)))</f>
        <v>1.93924378369244E-4</v>
      </c>
      <c r="AF7" s="33">
        <f>IF(INDEX(lmic_raw[],MATCH($A7,lmic_raw[[setting]:[setting]],0), MATCH(AF$1, lmic_raw[#Headers],0))=0, INDEX(regions[], MATCH($D7, regions[[setting]:[setting]],0), MATCH(AF$1, regions[#Headers],0)),INDEX(lmic_raw[],MATCH($A7,lmic_raw[[setting]:[setting]],0), MATCH(AF$1, lmic_raw[#Headers],0)))</f>
        <v>2.4832398200589723E-4</v>
      </c>
      <c r="AG7" s="33">
        <f>IF(INDEX(lmic_raw[],MATCH($A7,lmic_raw[[setting]:[setting]],0), MATCH(AG$1, lmic_raw[#Headers],0))=0, INDEX(regions[], MATCH($D7, regions[[setting]:[setting]],0), MATCH(AG$1, regions[#Headers],0)),INDEX(lmic_raw[],MATCH($A7,lmic_raw[[setting]:[setting]],0), MATCH(AG$1, lmic_raw[#Headers],0)))</f>
        <v>6.2989832208936759E-4</v>
      </c>
      <c r="AH7" s="33">
        <f>IF(INDEX(lmic_raw[],MATCH($A7,lmic_raw[[setting]:[setting]],0), MATCH(AH$1, lmic_raw[#Headers],0))=0, INDEX(regions[], MATCH($D7, regions[[setting]:[setting]],0), MATCH(AH$1, regions[#Headers],0)),INDEX(lmic_raw[],MATCH($A7,lmic_raw[[setting]:[setting]],0), MATCH(AH$1, lmic_raw[#Headers],0)))</f>
        <v>6.1722805549911967E-4</v>
      </c>
      <c r="AI7" s="33">
        <f>IF(INDEX(lmic_raw[],MATCH($A7,lmic_raw[[setting]:[setting]],0), MATCH(AI$1, lmic_raw[#Headers],0))=0, INDEX(regions[], MATCH($D7, regions[[setting]:[setting]],0), MATCH(AI$1, regions[#Headers],0)),INDEX(lmic_raw[],MATCH($A7,lmic_raw[[setting]:[setting]],0), MATCH(AI$1, lmic_raw[#Headers],0)))</f>
        <v>5.8384698125939964E-4</v>
      </c>
      <c r="AJ7" s="33">
        <f>IF(INDEX(lmic_raw[],MATCH($A7,lmic_raw[[setting]:[setting]],0), MATCH(AJ$1, lmic_raw[#Headers],0))=0, INDEX(regions[], MATCH($D7, regions[[setting]:[setting]],0), MATCH(AJ$1, regions[#Headers],0)),INDEX(lmic_raw[],MATCH($A7,lmic_raw[[setting]:[setting]],0), MATCH(AJ$1, lmic_raw[#Headers],0)))</f>
        <v>7.6881496834193684E-4</v>
      </c>
      <c r="AK7" s="33">
        <f>IF(INDEX(lmic_raw[],MATCH($A7,lmic_raw[[setting]:[setting]],0), MATCH(AK$1, lmic_raw[#Headers],0))=0, INDEX(regions[], MATCH($D7, regions[[setting]:[setting]],0), MATCH(AK$1, regions[#Headers],0)),INDEX(lmic_raw[],MATCH($A7,lmic_raw[[setting]:[setting]],0), MATCH(AK$1, lmic_raw[#Headers],0)))</f>
        <v>1.1561838268472774E-3</v>
      </c>
      <c r="AL7" s="33">
        <f>IF(INDEX(lmic_raw[],MATCH($A7,lmic_raw[[setting]:[setting]],0), MATCH(AL$1, lmic_raw[#Headers],0))=0, INDEX(regions[], MATCH($D7, regions[[setting]:[setting]],0), MATCH(AL$1, regions[#Headers],0)),INDEX(lmic_raw[],MATCH($A7,lmic_raw[[setting]:[setting]],0), MATCH(AL$1, lmic_raw[#Headers],0)))</f>
        <v>2.1751643185807753E-3</v>
      </c>
      <c r="AM7" s="33">
        <f>IF(INDEX(lmic_raw[],MATCH($A7,lmic_raw[[setting]:[setting]],0), MATCH(AM$1, lmic_raw[#Headers],0))=0, INDEX(regions[], MATCH($D7, regions[[setting]:[setting]],0), MATCH(AM$1, regions[#Headers],0)),INDEX(lmic_raw[],MATCH($A7,lmic_raw[[setting]:[setting]],0), MATCH(AM$1, lmic_raw[#Headers],0)))</f>
        <v>3.6112755210226531E-3</v>
      </c>
      <c r="AN7" s="33">
        <f>IF(INDEX(lmic_raw[],MATCH($A7,lmic_raw[[setting]:[setting]],0), MATCH(AN$1, lmic_raw[#Headers],0))=0, INDEX(regions[], MATCH($D7, regions[[setting]:[setting]],0), MATCH(AN$1, regions[#Headers],0)),INDEX(lmic_raw[],MATCH($A7,lmic_raw[[setting]:[setting]],0), MATCH(AN$1, lmic_raw[#Headers],0)))</f>
        <v>5.9387526153959792E-3</v>
      </c>
      <c r="AO7" s="33">
        <f>IF(INDEX(lmic_raw[],MATCH($A7,lmic_raw[[setting]:[setting]],0), MATCH(AO$1, lmic_raw[#Headers],0))=0, INDEX(regions[], MATCH($D7, regions[[setting]:[setting]],0), MATCH(AO$1, regions[#Headers],0)),INDEX(lmic_raw[],MATCH($A7,lmic_raw[[setting]:[setting]],0), MATCH(AO$1, lmic_raw[#Headers],0)))</f>
        <v>8.9263102282409693E-3</v>
      </c>
      <c r="AP7" s="33">
        <f>IF(INDEX(lmic_raw[],MATCH($A7,lmic_raw[[setting]:[setting]],0), MATCH(AP$1, lmic_raw[#Headers],0))=0, INDEX(regions[], MATCH($D7, regions[[setting]:[setting]],0), MATCH(AP$1, regions[#Headers],0)),INDEX(lmic_raw[],MATCH($A7,lmic_raw[[setting]:[setting]],0), MATCH(AP$1, lmic_raw[#Headers],0)))</f>
        <v>1.3903104545352291E-2</v>
      </c>
      <c r="AQ7" s="33">
        <f>IF(INDEX(lmic_raw[],MATCH($A7,lmic_raw[[setting]:[setting]],0), MATCH(AQ$1, lmic_raw[#Headers],0))=0, INDEX(regions[], MATCH($D7, regions[[setting]:[setting]],0), MATCH(AQ$1, regions[#Headers],0)),INDEX(lmic_raw[],MATCH($A7,lmic_raw[[setting]:[setting]],0), MATCH(AQ$1, lmic_raw[#Headers],0)))</f>
        <v>2.0983052565945907E-2</v>
      </c>
      <c r="AR7" s="33">
        <f>IF(INDEX(lmic_raw[],MATCH($A7,lmic_raw[[setting]:[setting]],0), MATCH(AR$1, lmic_raw[#Headers],0))=0, INDEX(regions[], MATCH($D7, regions[[setting]:[setting]],0), MATCH(AR$1, regions[#Headers],0)),INDEX(lmic_raw[],MATCH($A7,lmic_raw[[setting]:[setting]],0), MATCH(AR$1, lmic_raw[#Headers],0)))</f>
        <v>3.3401499418340398E-2</v>
      </c>
      <c r="AS7" s="33">
        <f>IF(INDEX(lmic_raw[],MATCH($A7,lmic_raw[[setting]:[setting]],0), MATCH(AS$1, lmic_raw[#Headers],0))=0, INDEX(regions[], MATCH($D7, regions[[setting]:[setting]],0), MATCH(AS$1, regions[#Headers],0)),INDEX(lmic_raw[],MATCH($A7,lmic_raw[[setting]:[setting]],0), MATCH(AS$1, lmic_raw[#Headers],0)))</f>
        <v>5.465880189347537E-2</v>
      </c>
      <c r="AT7" s="33">
        <f>IF(INDEX(lmic_raw[],MATCH($A7,lmic_raw[[setting]:[setting]],0), MATCH(AT$1, lmic_raw[#Headers],0))=0, INDEX(regions[], MATCH($D7, regions[[setting]:[setting]],0), MATCH(AT$1, regions[#Headers],0)),INDEX(lmic_raw[],MATCH($A7,lmic_raw[[setting]:[setting]],0), MATCH(AT$1, lmic_raw[#Headers],0)))</f>
        <v>8.2918013327087897E-2</v>
      </c>
      <c r="AU7" s="33">
        <f>IF(INDEX(lmic_raw[],MATCH($A7,lmic_raw[[setting]:[setting]],0), MATCH(AU$1, lmic_raw[#Headers],0))=0, INDEX(regions[], MATCH($D7, regions[[setting]:[setting]],0), MATCH(AU$1, regions[#Headers],0)),INDEX(lmic_raw[],MATCH($A7,lmic_raw[[setting]:[setting]],0), MATCH(AU$1, lmic_raw[#Headers],0)))</f>
        <v>0.11608841574202325</v>
      </c>
      <c r="AV7" s="33">
        <f>IF(INDEX(lmic_raw[],MATCH($A7,lmic_raw[[setting]:[setting]],0), MATCH(AV$1, lmic_raw[#Headers],0))=0, INDEX(regions[], MATCH($D7, regions[[setting]:[setting]],0), MATCH(AV$1, regions[#Headers],0)),INDEX(lmic_raw[],MATCH($A7,lmic_raw[[setting]:[setting]],0), MATCH(AV$1, lmic_raw[#Headers],0)))</f>
        <v>0.14919485486959652</v>
      </c>
      <c r="AW7" s="33">
        <f>IF(INDEX(lmic_raw[],MATCH($A7,lmic_raw[[setting]:[setting]],0), MATCH(AW$1, lmic_raw[#Headers],0))=0, INDEX(regions[], MATCH($D7, regions[[setting]:[setting]],0), MATCH(AW$1, regions[#Headers],0)),INDEX(lmic_raw[],MATCH($A7,lmic_raw[[setting]:[setting]],0), MATCH(AW$1, lmic_raw[#Headers],0)))</f>
        <v>0.17055508516504275</v>
      </c>
      <c r="AX7" s="33">
        <f>IF(INDEX(lmic_raw[],MATCH($A7,lmic_raw[[setting]:[setting]],0), MATCH(AX$1, lmic_raw[#Headers],0))=0, INDEX(regions[], MATCH($D7, regions[[setting]:[setting]],0), MATCH(AX$1, regions[#Headers],0)),INDEX(lmic_raw[],MATCH($A7,lmic_raw[[setting]:[setting]],0), MATCH(AX$1, lmic_raw[#Headers],0)))</f>
        <v>74.866</v>
      </c>
      <c r="AY7" s="33" t="str">
        <f>IF(VLOOKUP($A7,lmic_raw[],11,FALSE)=0, "Yes", "No")</f>
        <v>No</v>
      </c>
    </row>
    <row r="8" spans="1:51" x14ac:dyDescent="0.25">
      <c r="A8" s="109" t="s">
        <v>166</v>
      </c>
      <c r="B8" s="101" t="s">
        <v>377</v>
      </c>
      <c r="C8" s="102">
        <v>31</v>
      </c>
      <c r="D8" s="82" t="s">
        <v>675</v>
      </c>
      <c r="E8" s="82" t="s">
        <v>184</v>
      </c>
      <c r="F8" s="82" t="s">
        <v>663</v>
      </c>
      <c r="G8" s="82" t="s">
        <v>676</v>
      </c>
      <c r="H8" s="33">
        <f>IF(INDEX(lmic_raw[],MATCH($A8,lmic_raw[[setting]:[setting]],0), MATCH(H$1, lmic_raw[#Headers],0))=0, INDEX(regions[], MATCH($D8, regions[[setting]:[setting]],0), MATCH(H$1, regions[#Headers],0)),INDEX(lmic_raw[],MATCH($A8,lmic_raw[[setting]:[setting]],0), MATCH(H$1, lmic_raw[#Headers],0)))</f>
        <v>10047719</v>
      </c>
      <c r="I8" s="33">
        <f>IF(INDEX(lmic_raw[],MATCH($A8,lmic_raw[[setting]:[setting]],0), MATCH(I$1, lmic_raw[#Headers],0))=0, INDEX(regions[], MATCH($D8, regions[[setting]:[setting]],0), MATCH(I$1, regions[#Headers],0)),INDEX(lmic_raw[],MATCH($A8,lmic_raw[[setting]:[setting]],0), MATCH(I$1, lmic_raw[#Headers],0)))</f>
        <v>171655.23139599999</v>
      </c>
      <c r="J8" s="33">
        <f>IF(INDEX(lmic_raw[],MATCH($A8,lmic_raw[[setting]:[setting]],0), MATCH(J$1, lmic_raw[#Headers],0))=0, INDEX(regions[], MATCH($D8, regions[[setting]:[setting]],0), MATCH(J$1, regions[#Headers],0)),INDEX(lmic_raw[],MATCH($A8,lmic_raw[[setting]:[setting]],0), MATCH(J$1, lmic_raw[#Headers],0)))</f>
        <v>0.95700000000000007</v>
      </c>
      <c r="K8" s="33">
        <f>IF(INDEX(lmic_raw[],MATCH($A8,lmic_raw[[setting]:[setting]],0), MATCH(K$1, lmic_raw[#Headers],0))=0, INDEX(regions[], MATCH($D8, regions[[setting]:[setting]],0), MATCH(K$1, regions[#Headers],0)),INDEX(lmic_raw[],MATCH($A8,lmic_raw[[setting]:[setting]],0), MATCH(K$1, lmic_raw[#Headers],0)))</f>
        <v>0.98</v>
      </c>
      <c r="L8" s="33">
        <f>IF(INDEX(lmic_raw[],MATCH($A8,lmic_raw[[setting]:[setting]],0), MATCH(L$1, lmic_raw[#Headers],0))=0, INDEX(regions[], MATCH($D8, regions[[setting]:[setting]],0), MATCH(L$1, regions[#Headers],0)),INDEX(lmic_raw[],MATCH($A8,lmic_raw[[setting]:[setting]],0), MATCH(L$1, lmic_raw[#Headers],0)))</f>
        <v>0.94</v>
      </c>
      <c r="M8" s="33">
        <f>IF(INDEX(lmic_raw[],MATCH($A8,lmic_raw[[setting]:[setting]],0), MATCH(M$1, lmic_raw[#Headers],0))=0, INDEX(regions[], MATCH($D8, regions[[setting]:[setting]],0), MATCH(M$1, regions[#Headers],0)),INDEX(lmic_raw[],MATCH($A8,lmic_raw[[setting]:[setting]],0), MATCH(M$1, lmic_raw[#Headers],0)))</f>
        <v>2.2099999999999998E-2</v>
      </c>
      <c r="N8" s="33">
        <f>IF(INDEX(lmic_raw[],MATCH($A8,lmic_raw[[setting]:[setting]],0), MATCH(N$1, lmic_raw[#Headers],0))=0, INDEX(regions[], MATCH($D8, regions[[setting]:[setting]],0), MATCH(N$1, regions[#Headers],0)),INDEX(lmic_raw[],MATCH($A8,lmic_raw[[setting]:[setting]],0), MATCH(N$1, lmic_raw[#Headers],0)))</f>
        <v>0.31329991410247759</v>
      </c>
      <c r="O8" s="33">
        <f>IF(INDEX(lmic_raw[],MATCH($A8,lmic_raw[[setting]:[setting]],0), MATCH(O$1, lmic_raw[#Headers],0))=0, INDEX(regions[], MATCH($D8, regions[[setting]:[setting]],0), MATCH(O$1, regions[#Headers],0)),INDEX(lmic_raw[],MATCH($A8,lmic_raw[[setting]:[setting]],0), MATCH(O$1, lmic_raw[#Headers],0)))</f>
        <v>0.8</v>
      </c>
      <c r="P8" s="33">
        <f>IF(INDEX(lmic_raw[],MATCH($A8,lmic_raw[[setting]:[setting]],0), MATCH(P$1, lmic_raw[#Headers],0))=0, INDEX(regions[], MATCH($D8, regions[[setting]:[setting]],0), MATCH(P$1, regions[#Headers],0)),INDEX(lmic_raw[],MATCH($A8,lmic_raw[[setting]:[setting]],0), MATCH(P$1, lmic_raw[#Headers],0)))</f>
        <v>0.17499999999999999</v>
      </c>
      <c r="Q8" s="33">
        <f>IF(INDEX(lmic_raw[],MATCH($A8,lmic_raw[[setting]:[setting]],0), MATCH(Q$1, lmic_raw[#Headers],0))=0, INDEX(regions[], MATCH($D8, regions[[setting]:[setting]],0), MATCH(Q$1, regions[#Headers],0)),INDEX(lmic_raw[],MATCH($A8,lmic_raw[[setting]:[setting]],0), MATCH(Q$1, lmic_raw[#Headers],0)))</f>
        <v>10.329323479947563</v>
      </c>
      <c r="R8" s="33">
        <f>IF(INDEX(lmic_raw[],MATCH($A8,lmic_raw[[setting]:[setting]],0), MATCH(R$1, lmic_raw[#Headers],0))=0, INDEX(regions[], MATCH($D8, regions[[setting]:[setting]],0), MATCH(R$1, regions[#Headers],0)),INDEX(lmic_raw[],MATCH($A8,lmic_raw[[setting]:[setting]],0), MATCH(R$1, lmic_raw[#Headers],0)))</f>
        <v>44.537400000000005</v>
      </c>
      <c r="S8" s="33">
        <f>IF(INDEX(lmic_raw[],MATCH($A8,lmic_raw[[setting]:[setting]],0), MATCH(S$1, lmic_raw[#Headers],0))=0, INDEX(regions[], MATCH($D8, regions[[setting]:[setting]],0), MATCH(S$1, regions[#Headers],0)),INDEX(lmic_raw[],MATCH($A8,lmic_raw[[setting]:[setting]],0), MATCH(S$1, lmic_raw[#Headers],0)))</f>
        <v>92.27940000000001</v>
      </c>
      <c r="T8" s="33">
        <f>IF(INDEX(lmic_raw[],MATCH($A8,lmic_raw[[setting]:[setting]],0), MATCH(T$1, lmic_raw[#Headers],0))=0, INDEX(regions[], MATCH($D8, regions[[setting]:[setting]],0), MATCH(T$1, regions[#Headers],0)),INDEX(lmic_raw[],MATCH($A8,lmic_raw[[setting]:[setting]],0), MATCH(T$1, lmic_raw[#Headers],0)))</f>
        <v>92.27940000000001</v>
      </c>
      <c r="U8" s="33">
        <f>IF(INDEX(lmic_raw[],MATCH($A8,lmic_raw[[setting]:[setting]],0), MATCH(U$1, lmic_raw[#Headers],0))=0, INDEX(regions[], MATCH($D8, regions[[setting]:[setting]],0), MATCH(U$1, regions[#Headers],0)),INDEX(lmic_raw[],MATCH($A8,lmic_raw[[setting]:[setting]],0), MATCH(U$1, lmic_raw[#Headers],0)))</f>
        <v>92.27940000000001</v>
      </c>
      <c r="V8" s="33">
        <f>IF(INDEX(lmic_raw[],MATCH($A8,lmic_raw[[setting]:[setting]],0), MATCH(V$1, lmic_raw[#Headers],0))=0, INDEX(regions[], MATCH($D8, regions[[setting]:[setting]],0), MATCH(V$1, regions[#Headers],0)),INDEX(lmic_raw[],MATCH($A8,lmic_raw[[setting]:[setting]],0), MATCH(V$1, lmic_raw[#Headers],0)))</f>
        <v>4.8444787613778191</v>
      </c>
      <c r="W8" s="33">
        <f>IF(INDEX(lmic_raw[],MATCH($A8,lmic_raw[[setting]:[setting]],0), MATCH(W$1, lmic_raw[#Headers],0))=0, INDEX(regions[], MATCH($D8, regions[[setting]:[setting]],0), MATCH(W$1, regions[#Headers],0)),INDEX(lmic_raw[],MATCH($A8,lmic_raw[[setting]:[setting]],0), MATCH(W$1, lmic_raw[#Headers],0)))</f>
        <v>8.9144787613778185</v>
      </c>
      <c r="X8" s="33">
        <f>IF(INDEX(lmic_raw[],MATCH($A8,lmic_raw[[setting]:[setting]],0), MATCH(X$1, lmic_raw[#Headers],0))=0, INDEX(regions[], MATCH($D8, regions[[setting]:[setting]],0), MATCH(X$1, regions[#Headers],0)),INDEX(lmic_raw[],MATCH($A8,lmic_raw[[setting]:[setting]],0), MATCH(X$1, lmic_raw[#Headers],0)))</f>
        <v>4.4114490928174774</v>
      </c>
      <c r="Y8" s="33">
        <f>IF(INDEX(lmic_raw[],MATCH($A8,lmic_raw[[setting]:[setting]],0), MATCH(Y$1, lmic_raw[#Headers],0))=0, INDEX(regions[], MATCH($D8, regions[[setting]:[setting]],0), MATCH(Y$1, regions[#Headers],0)),INDEX(lmic_raw[],MATCH($A8,lmic_raw[[setting]:[setting]],0), MATCH(Y$1, lmic_raw[#Headers],0)))</f>
        <v>8.4814490928174777</v>
      </c>
      <c r="Z8" s="33">
        <f>IF(INDEX(lmic_raw[],MATCH($A8,lmic_raw[[setting]:[setting]],0), MATCH(Z$1, lmic_raw[#Headers],0))=0, INDEX(regions[], MATCH($D8, regions[[setting]:[setting]],0), MATCH(Z$1, regions[#Headers],0)),INDEX(lmic_raw[],MATCH($A8,lmic_raw[[setting]:[setting]],0), MATCH(Z$1, lmic_raw[#Headers],0)))</f>
        <v>8.4754087407028287</v>
      </c>
      <c r="AA8" s="33">
        <f>IF(INDEX(lmic_raw[],MATCH($A8,lmic_raw[[setting]:[setting]],0), MATCH(AA$1, lmic_raw[#Headers],0))=0, INDEX(regions[], MATCH($D8, regions[[setting]:[setting]],0), MATCH(AA$1, regions[#Headers],0)),INDEX(lmic_raw[],MATCH($A8,lmic_raw[[setting]:[setting]],0), MATCH(AA$1, lmic_raw[#Headers],0)))</f>
        <v>5.0887968921402909</v>
      </c>
      <c r="AB8" s="33">
        <f>IF(INDEX(lmic_raw[],MATCH($A8,lmic_raw[[setting]:[setting]],0), MATCH(AB$1, lmic_raw[#Headers],0))=0, INDEX(regions[], MATCH($D8, regions[[setting]:[setting]],0), MATCH(AB$1, regions[#Headers],0)),INDEX(lmic_raw[],MATCH($A8,lmic_raw[[setting]:[setting]],0), MATCH(AB$1, lmic_raw[#Headers],0)))</f>
        <v>9.1587968921402911</v>
      </c>
      <c r="AC8" s="33">
        <f>IF(INDEX(lmic_raw[],MATCH($A8,lmic_raw[[setting]:[setting]],0), MATCH(AC$1, lmic_raw[#Headers],0))=0, INDEX(regions[], MATCH($D8, regions[[setting]:[setting]],0), MATCH(AC$1, regions[#Headers],0)),INDEX(lmic_raw[],MATCH($A8,lmic_raw[[setting]:[setting]],0), MATCH(AC$1, lmic_raw[#Headers],0)))</f>
        <v>2.0805819999999947E-2</v>
      </c>
      <c r="AD8" s="33">
        <f>IF(INDEX(lmic_raw[],MATCH($A8,lmic_raw[[setting]:[setting]],0), MATCH(AD$1, lmic_raw[#Headers],0))=0, INDEX(regions[], MATCH($D8, regions[[setting]:[setting]],0), MATCH(AD$1, regions[#Headers],0)),INDEX(lmic_raw[],MATCH($A8,lmic_raw[[setting]:[setting]],0), MATCH(AD$1, lmic_raw[#Headers],0)))</f>
        <v>1.123227162154904E-3</v>
      </c>
      <c r="AE8" s="33">
        <f>IF(INDEX(lmic_raw[],MATCH($A8,lmic_raw[[setting]:[setting]],0), MATCH(AE$1, lmic_raw[#Headers],0))=0, INDEX(regions[], MATCH($D8, regions[[setting]:[setting]],0), MATCH(AE$1, regions[#Headers],0)),INDEX(lmic_raw[],MATCH($A8,lmic_raw[[setting]:[setting]],0), MATCH(AE$1, lmic_raw[#Headers],0)))</f>
        <v>3.8315142751846586E-4</v>
      </c>
      <c r="AF8" s="33">
        <f>IF(INDEX(lmic_raw[],MATCH($A8,lmic_raw[[setting]:[setting]],0), MATCH(AF$1, lmic_raw[#Headers],0))=0, INDEX(regions[], MATCH($D8, regions[[setting]:[setting]],0), MATCH(AF$1, regions[#Headers],0)),INDEX(lmic_raw[],MATCH($A8,lmic_raw[[setting]:[setting]],0), MATCH(AF$1, lmic_raw[#Headers],0)))</f>
        <v>3.2753527067306111E-4</v>
      </c>
      <c r="AG8" s="33">
        <f>IF(INDEX(lmic_raw[],MATCH($A8,lmic_raw[[setting]:[setting]],0), MATCH(AG$1, lmic_raw[#Headers],0))=0, INDEX(regions[], MATCH($D8, regions[[setting]:[setting]],0), MATCH(AG$1, regions[#Headers],0)),INDEX(lmic_raw[],MATCH($A8,lmic_raw[[setting]:[setting]],0), MATCH(AG$1, lmic_raw[#Headers],0)))</f>
        <v>6.7106272431909563E-4</v>
      </c>
      <c r="AH8" s="33">
        <f>IF(INDEX(lmic_raw[],MATCH($A8,lmic_raw[[setting]:[setting]],0), MATCH(AH$1, lmic_raw[#Headers],0))=0, INDEX(regions[], MATCH($D8, regions[[setting]:[setting]],0), MATCH(AH$1, regions[#Headers],0)),INDEX(lmic_raw[],MATCH($A8,lmic_raw[[setting]:[setting]],0), MATCH(AH$1, lmic_raw[#Headers],0)))</f>
        <v>8.3423098262416112E-4</v>
      </c>
      <c r="AI8" s="33">
        <f>IF(INDEX(lmic_raw[],MATCH($A8,lmic_raw[[setting]:[setting]],0), MATCH(AI$1, lmic_raw[#Headers],0))=0, INDEX(regions[], MATCH($D8, regions[[setting]:[setting]],0), MATCH(AI$1, regions[#Headers],0)),INDEX(lmic_raw[],MATCH($A8,lmic_raw[[setting]:[setting]],0), MATCH(AI$1, lmic_raw[#Headers],0)))</f>
        <v>8.4033512329954505E-4</v>
      </c>
      <c r="AJ8" s="33">
        <f>IF(INDEX(lmic_raw[],MATCH($A8,lmic_raw[[setting]:[setting]],0), MATCH(AJ$1, lmic_raw[#Headers],0))=0, INDEX(regions[], MATCH($D8, regions[[setting]:[setting]],0), MATCH(AJ$1, regions[#Headers],0)),INDEX(lmic_raw[],MATCH($A8,lmic_raw[[setting]:[setting]],0), MATCH(AJ$1, lmic_raw[#Headers],0)))</f>
        <v>1.0078144348421782E-3</v>
      </c>
      <c r="AK8" s="33">
        <f>IF(INDEX(lmic_raw[],MATCH($A8,lmic_raw[[setting]:[setting]],0), MATCH(AK$1, lmic_raw[#Headers],0))=0, INDEX(regions[], MATCH($D8, regions[[setting]:[setting]],0), MATCH(AK$1, regions[#Headers],0)),INDEX(lmic_raw[],MATCH($A8,lmic_raw[[setting]:[setting]],0), MATCH(AK$1, lmic_raw[#Headers],0)))</f>
        <v>1.4113549489738408E-3</v>
      </c>
      <c r="AL8" s="33">
        <f>IF(INDEX(lmic_raw[],MATCH($A8,lmic_raw[[setting]:[setting]],0), MATCH(AL$1, lmic_raw[#Headers],0))=0, INDEX(regions[], MATCH($D8, regions[[setting]:[setting]],0), MATCH(AL$1, regions[#Headers],0)),INDEX(lmic_raw[],MATCH($A8,lmic_raw[[setting]:[setting]],0), MATCH(AL$1, lmic_raw[#Headers],0)))</f>
        <v>2.1341372569251794E-3</v>
      </c>
      <c r="AM8" s="33">
        <f>IF(INDEX(lmic_raw[],MATCH($A8,lmic_raw[[setting]:[setting]],0), MATCH(AM$1, lmic_raw[#Headers],0))=0, INDEX(regions[], MATCH($D8, regions[[setting]:[setting]],0), MATCH(AM$1, regions[#Headers],0)),INDEX(lmic_raw[],MATCH($A8,lmic_raw[[setting]:[setting]],0), MATCH(AM$1, lmic_raw[#Headers],0)))</f>
        <v>3.4640864194021774E-3</v>
      </c>
      <c r="AN8" s="33">
        <f>IF(INDEX(lmic_raw[],MATCH($A8,lmic_raw[[setting]:[setting]],0), MATCH(AN$1, lmic_raw[#Headers],0))=0, INDEX(regions[], MATCH($D8, regions[[setting]:[setting]],0), MATCH(AN$1, regions[#Headers],0)),INDEX(lmic_raw[],MATCH($A8,lmic_raw[[setting]:[setting]],0), MATCH(AN$1, lmic_raw[#Headers],0)))</f>
        <v>5.6339572820308399E-3</v>
      </c>
      <c r="AO8" s="33">
        <f>IF(INDEX(lmic_raw[],MATCH($A8,lmic_raw[[setting]:[setting]],0), MATCH(AO$1, lmic_raw[#Headers],0))=0, INDEX(regions[], MATCH($D8, regions[[setting]:[setting]],0), MATCH(AO$1, regions[#Headers],0)),INDEX(lmic_raw[],MATCH($A8,lmic_raw[[setting]:[setting]],0), MATCH(AO$1, lmic_raw[#Headers],0)))</f>
        <v>9.132810862019192E-3</v>
      </c>
      <c r="AP8" s="33">
        <f>IF(INDEX(lmic_raw[],MATCH($A8,lmic_raw[[setting]:[setting]],0), MATCH(AP$1, lmic_raw[#Headers],0))=0, INDEX(regions[], MATCH($D8, regions[[setting]:[setting]],0), MATCH(AP$1, regions[#Headers],0)),INDEX(lmic_raw[],MATCH($A8,lmic_raw[[setting]:[setting]],0), MATCH(AP$1, lmic_raw[#Headers],0)))</f>
        <v>1.4898419315500004E-2</v>
      </c>
      <c r="AQ8" s="33">
        <f>IF(INDEX(lmic_raw[],MATCH($A8,lmic_raw[[setting]:[setting]],0), MATCH(AQ$1, lmic_raw[#Headers],0))=0, INDEX(regions[], MATCH($D8, regions[[setting]:[setting]],0), MATCH(AQ$1, regions[#Headers],0)),INDEX(lmic_raw[],MATCH($A8,lmic_raw[[setting]:[setting]],0), MATCH(AQ$1, lmic_raw[#Headers],0)))</f>
        <v>2.4088434935959687E-2</v>
      </c>
      <c r="AR8" s="33">
        <f>IF(INDEX(lmic_raw[],MATCH($A8,lmic_raw[[setting]:[setting]],0), MATCH(AR$1, lmic_raw[#Headers],0))=0, INDEX(regions[], MATCH($D8, regions[[setting]:[setting]],0), MATCH(AR$1, regions[#Headers],0)),INDEX(lmic_raw[],MATCH($A8,lmic_raw[[setting]:[setting]],0), MATCH(AR$1, lmic_raw[#Headers],0)))</f>
        <v>3.8898255800715674E-2</v>
      </c>
      <c r="AS8" s="33">
        <f>IF(INDEX(lmic_raw[],MATCH($A8,lmic_raw[[setting]:[setting]],0), MATCH(AS$1, lmic_raw[#Headers],0))=0, INDEX(regions[], MATCH($D8, regions[[setting]:[setting]],0), MATCH(AS$1, regions[#Headers],0)),INDEX(lmic_raw[],MATCH($A8,lmic_raw[[setting]:[setting]],0), MATCH(AS$1, lmic_raw[#Headers],0)))</f>
        <v>6.1621997520772846E-2</v>
      </c>
      <c r="AT8" s="33">
        <f>IF(INDEX(lmic_raw[],MATCH($A8,lmic_raw[[setting]:[setting]],0), MATCH(AT$1, lmic_raw[#Headers],0))=0, INDEX(regions[], MATCH($D8, regions[[setting]:[setting]],0), MATCH(AT$1, regions[#Headers],0)),INDEX(lmic_raw[],MATCH($A8,lmic_raw[[setting]:[setting]],0), MATCH(AT$1, lmic_raw[#Headers],0)))</f>
        <v>9.1464552499687407E-2</v>
      </c>
      <c r="AU8" s="33">
        <f>IF(INDEX(lmic_raw[],MATCH($A8,lmic_raw[[setting]:[setting]],0), MATCH(AU$1, lmic_raw[#Headers],0))=0, INDEX(regions[], MATCH($D8, regions[[setting]:[setting]],0), MATCH(AU$1, regions[#Headers],0)),INDEX(lmic_raw[],MATCH($A8,lmic_raw[[setting]:[setting]],0), MATCH(AU$1, lmic_raw[#Headers],0)))</f>
        <v>0.12545163613081445</v>
      </c>
      <c r="AV8" s="33">
        <f>IF(INDEX(lmic_raw[],MATCH($A8,lmic_raw[[setting]:[setting]],0), MATCH(AV$1, lmic_raw[#Headers],0))=0, INDEX(regions[], MATCH($D8, regions[[setting]:[setting]],0), MATCH(AV$1, regions[#Headers],0)),INDEX(lmic_raw[],MATCH($A8,lmic_raw[[setting]:[setting]],0), MATCH(AV$1, lmic_raw[#Headers],0)))</f>
        <v>0.15474880684223277</v>
      </c>
      <c r="AW8" s="33">
        <f>IF(INDEX(lmic_raw[],MATCH($A8,lmic_raw[[setting]:[setting]],0), MATCH(AW$1, lmic_raw[#Headers],0))=0, INDEX(regions[], MATCH($D8, regions[[setting]:[setting]],0), MATCH(AW$1, regions[#Headers],0)),INDEX(lmic_raw[],MATCH($A8,lmic_raw[[setting]:[setting]],0), MATCH(AW$1, lmic_raw[#Headers],0)))</f>
        <v>0.17412085468380484</v>
      </c>
      <c r="AX8" s="33">
        <f>IF(INDEX(lmic_raw[],MATCH($A8,lmic_raw[[setting]:[setting]],0), MATCH(AX$1, lmic_raw[#Headers],0))=0, INDEX(regions[], MATCH($D8, regions[[setting]:[setting]],0), MATCH(AX$1, regions[#Headers],0)),INDEX(lmic_raw[],MATCH($A8,lmic_raw[[setting]:[setting]],0), MATCH(AX$1, lmic_raw[#Headers],0)))</f>
        <v>72.81</v>
      </c>
      <c r="AY8" s="33" t="str">
        <f>IF(VLOOKUP($A8,lmic_raw[],11,FALSE)=0, "Yes", "No")</f>
        <v>No</v>
      </c>
    </row>
    <row r="9" spans="1:51" x14ac:dyDescent="0.25">
      <c r="A9" s="110" t="s">
        <v>192</v>
      </c>
      <c r="B9" s="104" t="s">
        <v>379</v>
      </c>
      <c r="C9" s="105">
        <v>50</v>
      </c>
      <c r="D9" s="84" t="s">
        <v>680</v>
      </c>
      <c r="E9" s="84" t="s">
        <v>589</v>
      </c>
      <c r="F9" s="84" t="s">
        <v>589</v>
      </c>
      <c r="G9" s="84" t="s">
        <v>678</v>
      </c>
      <c r="H9" s="33">
        <f>IF(INDEX(lmic_raw[],MATCH($A9,lmic_raw[[setting]:[setting]],0), MATCH(H$1, lmic_raw[#Headers],0))=0, INDEX(regions[], MATCH($D9, regions[[setting]:[setting]],0), MATCH(H$1, regions[#Headers],0)),INDEX(lmic_raw[],MATCH($A9,lmic_raw[[setting]:[setting]],0), MATCH(H$1, lmic_raw[#Headers],0)))</f>
        <v>163046173</v>
      </c>
      <c r="I9" s="33">
        <f>IF(INDEX(lmic_raw[],MATCH($A9,lmic_raw[[setting]:[setting]],0), MATCH(I$1, lmic_raw[#Headers],0))=0, INDEX(regions[], MATCH($D9, regions[[setting]:[setting]],0), MATCH(I$1, regions[#Headers],0)),INDEX(lmic_raw[],MATCH($A9,lmic_raw[[setting]:[setting]],0), MATCH(I$1, lmic_raw[#Headers],0)))</f>
        <v>2993690.7824530001</v>
      </c>
      <c r="J9" s="33">
        <f>IF(INDEX(lmic_raw[],MATCH($A9,lmic_raw[[setting]:[setting]],0), MATCH(J$1, lmic_raw[#Headers],0))=0, INDEX(regions[], MATCH($D9, regions[[setting]:[setting]],0), MATCH(J$1, regions[#Headers],0)),INDEX(lmic_raw[],MATCH($A9,lmic_raw[[setting]:[setting]],0), MATCH(J$1, lmic_raw[#Headers],0)))</f>
        <v>0.53400000000000003</v>
      </c>
      <c r="K9" s="33">
        <f>IF(INDEX(lmic_raw[],MATCH($A9,lmic_raw[[setting]:[setting]],0), MATCH(K$1, lmic_raw[#Headers],0))=0, INDEX(regions[], MATCH($D9, regions[[setting]:[setting]],0), MATCH(K$1, regions[#Headers],0)),INDEX(lmic_raw[],MATCH($A9,lmic_raw[[setting]:[setting]],0), MATCH(K$1, lmic_raw[#Headers],0)))</f>
        <v>0.60684066530483005</v>
      </c>
      <c r="L9" s="33">
        <f>IF(INDEX(lmic_raw[],MATCH($A9,lmic_raw[[setting]:[setting]],0), MATCH(L$1, lmic_raw[#Headers],0))=0, INDEX(regions[], MATCH($D9, regions[[setting]:[setting]],0), MATCH(L$1, regions[#Headers],0)),INDEX(lmic_raw[],MATCH($A9,lmic_raw[[setting]:[setting]],0), MATCH(L$1, lmic_raw[#Headers],0)))</f>
        <v>0.98</v>
      </c>
      <c r="M9" s="33">
        <f>IF(INDEX(lmic_raw[],MATCH($A9,lmic_raw[[setting]:[setting]],0), MATCH(M$1, lmic_raw[#Headers],0))=0, INDEX(regions[], MATCH($D9, regions[[setting]:[setting]],0), MATCH(M$1, regions[#Headers],0)),INDEX(lmic_raw[],MATCH($A9,lmic_raw[[setting]:[setting]],0), MATCH(M$1, lmic_raw[#Headers],0)))</f>
        <v>0.04</v>
      </c>
      <c r="N9" s="33">
        <f>IF(INDEX(lmic_raw[],MATCH($A9,lmic_raw[[setting]:[setting]],0), MATCH(N$1, lmic_raw[#Headers],0))=0, INDEX(regions[], MATCH($D9, regions[[setting]:[setting]],0), MATCH(N$1, regions[#Headers],0)),INDEX(lmic_raw[],MATCH($A9,lmic_raw[[setting]:[setting]],0), MATCH(N$1, lmic_raw[#Headers],0)))</f>
        <v>0.28521070936823062</v>
      </c>
      <c r="O9" s="33">
        <f>IF(INDEX(lmic_raw[],MATCH($A9,lmic_raw[[setting]:[setting]],0), MATCH(O$1, lmic_raw[#Headers],0))=0, INDEX(regions[], MATCH($D9, regions[[setting]:[setting]],0), MATCH(O$1, regions[#Headers],0)),INDEX(lmic_raw[],MATCH($A9,lmic_raw[[setting]:[setting]],0), MATCH(O$1, lmic_raw[#Headers],0)))</f>
        <v>0.8</v>
      </c>
      <c r="P9" s="33">
        <f>IF(INDEX(lmic_raw[],MATCH($A9,lmic_raw[[setting]:[setting]],0), MATCH(P$1, lmic_raw[#Headers],0))=0, INDEX(regions[], MATCH($D9, regions[[setting]:[setting]],0), MATCH(P$1, regions[#Headers],0)),INDEX(lmic_raw[],MATCH($A9,lmic_raw[[setting]:[setting]],0), MATCH(P$1, lmic_raw[#Headers],0)))</f>
        <v>0.17499999999999999</v>
      </c>
      <c r="Q9" s="33">
        <f>IF(INDEX(lmic_raw[],MATCH($A9,lmic_raw[[setting]:[setting]],0), MATCH(Q$1, lmic_raw[#Headers],0))=0, INDEX(regions[], MATCH($D9, regions[[setting]:[setting]],0), MATCH(Q$1, regions[#Headers],0)),INDEX(lmic_raw[],MATCH($A9,lmic_raw[[setting]:[setting]],0), MATCH(Q$1, lmic_raw[#Headers],0)))</f>
        <v>4.0664290368569871</v>
      </c>
      <c r="R9" s="33">
        <f>IF(INDEX(lmic_raw[],MATCH($A9,lmic_raw[[setting]:[setting]],0), MATCH(R$1, lmic_raw[#Headers],0))=0, INDEX(regions[], MATCH($D9, regions[[setting]:[setting]],0), MATCH(R$1, regions[#Headers],0)),INDEX(lmic_raw[],MATCH($A9,lmic_raw[[setting]:[setting]],0), MATCH(R$1, lmic_raw[#Headers],0)))</f>
        <v>45.899900000000002</v>
      </c>
      <c r="S9" s="33">
        <f>IF(INDEX(lmic_raw[],MATCH($A9,lmic_raw[[setting]:[setting]],0), MATCH(S$1, lmic_raw[#Headers],0))=0, INDEX(regions[], MATCH($D9, regions[[setting]:[setting]],0), MATCH(S$1, regions[#Headers],0)),INDEX(lmic_raw[],MATCH($A9,lmic_raw[[setting]:[setting]],0), MATCH(S$1, lmic_raw[#Headers],0)))</f>
        <v>93.641900000000007</v>
      </c>
      <c r="T9" s="33">
        <f>IF(INDEX(lmic_raw[],MATCH($A9,lmic_raw[[setting]:[setting]],0), MATCH(T$1, lmic_raw[#Headers],0))=0, INDEX(regions[], MATCH($D9, regions[[setting]:[setting]],0), MATCH(T$1, regions[#Headers],0)),INDEX(lmic_raw[],MATCH($A9,lmic_raw[[setting]:[setting]],0), MATCH(T$1, lmic_raw[#Headers],0)))</f>
        <v>93.641900000000007</v>
      </c>
      <c r="U9" s="33">
        <f>IF(INDEX(lmic_raw[],MATCH($A9,lmic_raw[[setting]:[setting]],0), MATCH(U$1, lmic_raw[#Headers],0))=0, INDEX(regions[], MATCH($D9, regions[[setting]:[setting]],0), MATCH(U$1, regions[#Headers],0)),INDEX(lmic_raw[],MATCH($A9,lmic_raw[[setting]:[setting]],0), MATCH(U$1, lmic_raw[#Headers],0)))</f>
        <v>93.641900000000007</v>
      </c>
      <c r="V9" s="33">
        <f>IF(INDEX(lmic_raw[],MATCH($A9,lmic_raw[[setting]:[setting]],0), MATCH(V$1, lmic_raw[#Headers],0))=0, INDEX(regions[], MATCH($D9, regions[[setting]:[setting]],0), MATCH(V$1, regions[#Headers],0)),INDEX(lmic_raw[],MATCH($A9,lmic_raw[[setting]:[setting]],0), MATCH(V$1, lmic_raw[#Headers],0)))</f>
        <v>2.5513524013185185</v>
      </c>
      <c r="W9" s="33">
        <f>IF(INDEX(lmic_raw[],MATCH($A9,lmic_raw[[setting]:[setting]],0), MATCH(W$1, lmic_raw[#Headers],0))=0, INDEX(regions[], MATCH($D9, regions[[setting]:[setting]],0), MATCH(W$1, regions[#Headers],0)),INDEX(lmic_raw[],MATCH($A9,lmic_raw[[setting]:[setting]],0), MATCH(W$1, lmic_raw[#Headers],0)))</f>
        <v>5.0013524013185187</v>
      </c>
      <c r="X9" s="33">
        <f>IF(INDEX(lmic_raw[],MATCH($A9,lmic_raw[[setting]:[setting]],0), MATCH(X$1, lmic_raw[#Headers],0))=0, INDEX(regions[], MATCH($D9, regions[[setting]:[setting]],0), MATCH(X$1, regions[#Headers],0)),INDEX(lmic_raw[],MATCH($A9,lmic_raw[[setting]:[setting]],0), MATCH(X$1, lmic_raw[#Headers],0)))</f>
        <v>2.1217873436538555</v>
      </c>
      <c r="Y9" s="33">
        <f>IF(INDEX(lmic_raw[],MATCH($A9,lmic_raw[[setting]:[setting]],0), MATCH(Y$1, lmic_raw[#Headers],0))=0, INDEX(regions[], MATCH($D9, regions[[setting]:[setting]],0), MATCH(Y$1, regions[#Headers],0)),INDEX(lmic_raw[],MATCH($A9,lmic_raw[[setting]:[setting]],0), MATCH(Y$1, lmic_raw[#Headers],0)))</f>
        <v>4.5717873436538561</v>
      </c>
      <c r="Z9" s="33">
        <f>IF(INDEX(lmic_raw[],MATCH($A9,lmic_raw[[setting]:[setting]],0), MATCH(Z$1, lmic_raw[#Headers],0))=0, INDEX(regions[], MATCH($D9, regions[[setting]:[setting]],0), MATCH(Z$1, regions[#Headers],0)),INDEX(lmic_raw[],MATCH($A9,lmic_raw[[setting]:[setting]],0), MATCH(Z$1, lmic_raw[#Headers],0)))</f>
        <v>4.5667235639492638</v>
      </c>
      <c r="AA9" s="33">
        <f>IF(INDEX(lmic_raw[],MATCH($A9,lmic_raw[[setting]:[setting]],0), MATCH(AA$1, lmic_raw[#Headers],0))=0, INDEX(regions[], MATCH($D9, regions[[setting]:[setting]],0), MATCH(AA$1, regions[#Headers],0)),INDEX(lmic_raw[],MATCH($A9,lmic_raw[[setting]:[setting]],0), MATCH(AA$1, lmic_raw[#Headers],0)))</f>
        <v>2.7944216607116186</v>
      </c>
      <c r="AB9" s="33">
        <f>IF(INDEX(lmic_raw[],MATCH($A9,lmic_raw[[setting]:[setting]],0), MATCH(AB$1, lmic_raw[#Headers],0))=0, INDEX(regions[], MATCH($D9, regions[[setting]:[setting]],0), MATCH(AB$1, regions[#Headers],0)),INDEX(lmic_raw[],MATCH($A9,lmic_raw[[setting]:[setting]],0), MATCH(AB$1, lmic_raw[#Headers],0)))</f>
        <v>5.2444216607116187</v>
      </c>
      <c r="AC9" s="33">
        <f>IF(INDEX(lmic_raw[],MATCH($A9,lmic_raw[[setting]:[setting]],0), MATCH(AC$1, lmic_raw[#Headers],0))=0, INDEX(regions[], MATCH($D9, regions[[setting]:[setting]],0), MATCH(AC$1, regions[#Headers],0)),INDEX(lmic_raw[],MATCH($A9,lmic_raw[[setting]:[setting]],0), MATCH(AC$1, lmic_raw[#Headers],0)))</f>
        <v>2.6850380000000004E-2</v>
      </c>
      <c r="AD9" s="33">
        <f>IF(INDEX(lmic_raw[],MATCH($A9,lmic_raw[[setting]:[setting]],0), MATCH(AD$1, lmic_raw[#Headers],0))=0, INDEX(regions[], MATCH($D9, regions[[setting]:[setting]],0), MATCH(AD$1, regions[#Headers],0)),INDEX(lmic_raw[],MATCH($A9,lmic_raw[[setting]:[setting]],0), MATCH(AD$1, lmic_raw[#Headers],0)))</f>
        <v>1.4273267660526731E-3</v>
      </c>
      <c r="AE9" s="33">
        <f>IF(INDEX(lmic_raw[],MATCH($A9,lmic_raw[[setting]:[setting]],0), MATCH(AE$1, lmic_raw[#Headers],0))=0, INDEX(regions[], MATCH($D9, regions[[setting]:[setting]],0), MATCH(AE$1, regions[#Headers],0)),INDEX(lmic_raw[],MATCH($A9,lmic_raw[[setting]:[setting]],0), MATCH(AE$1, lmic_raw[#Headers],0)))</f>
        <v>7.482190792888853E-4</v>
      </c>
      <c r="AF9" s="33">
        <f>IF(INDEX(lmic_raw[],MATCH($A9,lmic_raw[[setting]:[setting]],0), MATCH(AF$1, lmic_raw[#Headers],0))=0, INDEX(regions[], MATCH($D9, regions[[setting]:[setting]],0), MATCH(AF$1, regions[#Headers],0)),INDEX(lmic_raw[],MATCH($A9,lmic_raw[[setting]:[setting]],0), MATCH(AF$1, lmic_raw[#Headers],0)))</f>
        <v>6.3599449673810602E-4</v>
      </c>
      <c r="AG9" s="33">
        <f>IF(INDEX(lmic_raw[],MATCH($A9,lmic_raw[[setting]:[setting]],0), MATCH(AG$1, lmic_raw[#Headers],0))=0, INDEX(regions[], MATCH($D9, regions[[setting]:[setting]],0), MATCH(AG$1, regions[#Headers],0)),INDEX(lmic_raw[],MATCH($A9,lmic_raw[[setting]:[setting]],0), MATCH(AG$1, lmic_raw[#Headers],0)))</f>
        <v>1.0125835727474277E-3</v>
      </c>
      <c r="AH9" s="33">
        <f>IF(INDEX(lmic_raw[],MATCH($A9,lmic_raw[[setting]:[setting]],0), MATCH(AH$1, lmic_raw[#Headers],0))=0, INDEX(regions[], MATCH($D9, regions[[setting]:[setting]],0), MATCH(AH$1, regions[#Headers],0)),INDEX(lmic_raw[],MATCH($A9,lmic_raw[[setting]:[setting]],0), MATCH(AH$1, lmic_raw[#Headers],0)))</f>
        <v>1.0393796582485581E-3</v>
      </c>
      <c r="AI9" s="33">
        <f>IF(INDEX(lmic_raw[],MATCH($A9,lmic_raw[[setting]:[setting]],0), MATCH(AI$1, lmic_raw[#Headers],0))=0, INDEX(regions[], MATCH($D9, regions[[setting]:[setting]],0), MATCH(AI$1, regions[#Headers],0)),INDEX(lmic_raw[],MATCH($A9,lmic_raw[[setting]:[setting]],0), MATCH(AI$1, lmic_raw[#Headers],0)))</f>
        <v>9.9616762036654053E-4</v>
      </c>
      <c r="AJ9" s="33">
        <f>IF(INDEX(lmic_raw[],MATCH($A9,lmic_raw[[setting]:[setting]],0), MATCH(AJ$1, lmic_raw[#Headers],0))=0, INDEX(regions[], MATCH($D9, regions[[setting]:[setting]],0), MATCH(AJ$1, regions[#Headers],0)),INDEX(lmic_raw[],MATCH($A9,lmic_raw[[setting]:[setting]],0), MATCH(AJ$1, lmic_raw[#Headers],0)))</f>
        <v>1.2461830091039462E-3</v>
      </c>
      <c r="AK9" s="33">
        <f>IF(INDEX(lmic_raw[],MATCH($A9,lmic_raw[[setting]:[setting]],0), MATCH(AK$1, lmic_raw[#Headers],0))=0, INDEX(regions[], MATCH($D9, regions[[setting]:[setting]],0), MATCH(AK$1, regions[#Headers],0)),INDEX(lmic_raw[],MATCH($A9,lmic_raw[[setting]:[setting]],0), MATCH(AK$1, lmic_raw[#Headers],0)))</f>
        <v>1.6949130194405298E-3</v>
      </c>
      <c r="AL9" s="33">
        <f>IF(INDEX(lmic_raw[],MATCH($A9,lmic_raw[[setting]:[setting]],0), MATCH(AL$1, lmic_raw[#Headers],0))=0, INDEX(regions[], MATCH($D9, regions[[setting]:[setting]],0), MATCH(AL$1, regions[#Headers],0)),INDEX(lmic_raw[],MATCH($A9,lmic_raw[[setting]:[setting]],0), MATCH(AL$1, lmic_raw[#Headers],0)))</f>
        <v>2.489878107246931E-3</v>
      </c>
      <c r="AM9" s="33">
        <f>IF(INDEX(lmic_raw[],MATCH($A9,lmic_raw[[setting]:[setting]],0), MATCH(AM$1, lmic_raw[#Headers],0))=0, INDEX(regions[], MATCH($D9, regions[[setting]:[setting]],0), MATCH(AM$1, regions[#Headers],0)),INDEX(lmic_raw[],MATCH($A9,lmic_raw[[setting]:[setting]],0), MATCH(AM$1, lmic_raw[#Headers],0)))</f>
        <v>3.8789128867372309E-3</v>
      </c>
      <c r="AN9" s="33">
        <f>IF(INDEX(lmic_raw[],MATCH($A9,lmic_raw[[setting]:[setting]],0), MATCH(AN$1, lmic_raw[#Headers],0))=0, INDEX(regions[], MATCH($D9, regions[[setting]:[setting]],0), MATCH(AN$1, regions[#Headers],0)),INDEX(lmic_raw[],MATCH($A9,lmic_raw[[setting]:[setting]],0), MATCH(AN$1, lmic_raw[#Headers],0)))</f>
        <v>6.3676250349223636E-3</v>
      </c>
      <c r="AO9" s="33">
        <f>IF(INDEX(lmic_raw[],MATCH($A9,lmic_raw[[setting]:[setting]],0), MATCH(AO$1, lmic_raw[#Headers],0))=0, INDEX(regions[], MATCH($D9, regions[[setting]:[setting]],0), MATCH(AO$1, regions[#Headers],0)),INDEX(lmic_raw[],MATCH($A9,lmic_raw[[setting]:[setting]],0), MATCH(AO$1, lmic_raw[#Headers],0)))</f>
        <v>1.0023350220130806E-2</v>
      </c>
      <c r="AP9" s="33">
        <f>IF(INDEX(lmic_raw[],MATCH($A9,lmic_raw[[setting]:[setting]],0), MATCH(AP$1, lmic_raw[#Headers],0))=0, INDEX(regions[], MATCH($D9, regions[[setting]:[setting]],0), MATCH(AP$1, regions[#Headers],0)),INDEX(lmic_raw[],MATCH($A9,lmic_raw[[setting]:[setting]],0), MATCH(AP$1, lmic_raw[#Headers],0)))</f>
        <v>1.6649733439551947E-2</v>
      </c>
      <c r="AQ9" s="33">
        <f>IF(INDEX(lmic_raw[],MATCH($A9,lmic_raw[[setting]:[setting]],0), MATCH(AQ$1, lmic_raw[#Headers],0))=0, INDEX(regions[], MATCH($D9, regions[[setting]:[setting]],0), MATCH(AQ$1, regions[#Headers],0)),INDEX(lmic_raw[],MATCH($A9,lmic_raw[[setting]:[setting]],0), MATCH(AQ$1, lmic_raw[#Headers],0)))</f>
        <v>2.4135128950878319E-2</v>
      </c>
      <c r="AR9" s="33">
        <f>IF(INDEX(lmic_raw[],MATCH($A9,lmic_raw[[setting]:[setting]],0), MATCH(AR$1, lmic_raw[#Headers],0))=0, INDEX(regions[], MATCH($D9, regions[[setting]:[setting]],0), MATCH(AR$1, regions[#Headers],0)),INDEX(lmic_raw[],MATCH($A9,lmic_raw[[setting]:[setting]],0), MATCH(AR$1, lmic_raw[#Headers],0)))</f>
        <v>3.9140132002183678E-2</v>
      </c>
      <c r="AS9" s="33">
        <f>IF(INDEX(lmic_raw[],MATCH($A9,lmic_raw[[setting]:[setting]],0), MATCH(AS$1, lmic_raw[#Headers],0))=0, INDEX(regions[], MATCH($D9, regions[[setting]:[setting]],0), MATCH(AS$1, regions[#Headers],0)),INDEX(lmic_raw[],MATCH($A9,lmic_raw[[setting]:[setting]],0), MATCH(AS$1, lmic_raw[#Headers],0)))</f>
        <v>5.2963838292764784E-2</v>
      </c>
      <c r="AT9" s="33">
        <f>IF(INDEX(lmic_raw[],MATCH($A9,lmic_raw[[setting]:[setting]],0), MATCH(AT$1, lmic_raw[#Headers],0))=0, INDEX(regions[], MATCH($D9, regions[[setting]:[setting]],0), MATCH(AT$1, regions[#Headers],0)),INDEX(lmic_raw[],MATCH($A9,lmic_raw[[setting]:[setting]],0), MATCH(AT$1, lmic_raw[#Headers],0)))</f>
        <v>7.6193501220783055E-2</v>
      </c>
      <c r="AU9" s="33">
        <f>IF(INDEX(lmic_raw[],MATCH($A9,lmic_raw[[setting]:[setting]],0), MATCH(AU$1, lmic_raw[#Headers],0))=0, INDEX(regions[], MATCH($D9, regions[[setting]:[setting]],0), MATCH(AU$1, regions[#Headers],0)),INDEX(lmic_raw[],MATCH($A9,lmic_raw[[setting]:[setting]],0), MATCH(AU$1, lmic_raw[#Headers],0)))</f>
        <v>0.1006864161525354</v>
      </c>
      <c r="AV9" s="33">
        <f>IF(INDEX(lmic_raw[],MATCH($A9,lmic_raw[[setting]:[setting]],0), MATCH(AV$1, lmic_raw[#Headers],0))=0, INDEX(regions[], MATCH($D9, regions[[setting]:[setting]],0), MATCH(AV$1, regions[#Headers],0)),INDEX(lmic_raw[],MATCH($A9,lmic_raw[[setting]:[setting]],0), MATCH(AV$1, lmic_raw[#Headers],0)))</f>
        <v>0.12459803655517622</v>
      </c>
      <c r="AW9" s="33">
        <f>IF(INDEX(lmic_raw[],MATCH($A9,lmic_raw[[setting]:[setting]],0), MATCH(AW$1, lmic_raw[#Headers],0))=0, INDEX(regions[], MATCH($D9, regions[[setting]:[setting]],0), MATCH(AW$1, regions[#Headers],0)),INDEX(lmic_raw[],MATCH($A9,lmic_raw[[setting]:[setting]],0), MATCH(AW$1, lmic_raw[#Headers],0)))</f>
        <v>0.14122794249867238</v>
      </c>
      <c r="AX9" s="33">
        <f>IF(INDEX(lmic_raw[],MATCH($A9,lmic_raw[[setting]:[setting]],0), MATCH(AX$1, lmic_raw[#Headers],0))=0, INDEX(regions[], MATCH($D9, regions[[setting]:[setting]],0), MATCH(AX$1, regions[#Headers],0)),INDEX(lmic_raw[],MATCH($A9,lmic_raw[[setting]:[setting]],0), MATCH(AX$1, lmic_raw[#Headers],0)))</f>
        <v>72.150000000000006</v>
      </c>
      <c r="AY9" s="33" t="str">
        <f>IF(VLOOKUP($A9,lmic_raw[],11,FALSE)=0, "Yes", "No")</f>
        <v>Yes</v>
      </c>
    </row>
    <row r="10" spans="1:51" x14ac:dyDescent="0.25">
      <c r="A10" s="109" t="s">
        <v>307</v>
      </c>
      <c r="B10" s="101" t="s">
        <v>381</v>
      </c>
      <c r="C10" s="102">
        <v>112</v>
      </c>
      <c r="D10" s="82" t="s">
        <v>675</v>
      </c>
      <c r="E10" s="82" t="s">
        <v>306</v>
      </c>
      <c r="F10" s="82" t="s">
        <v>663</v>
      </c>
      <c r="G10" s="82" t="s">
        <v>676</v>
      </c>
      <c r="H10" s="33">
        <f>IF(INDEX(lmic_raw[],MATCH($A10,lmic_raw[[setting]:[setting]],0), MATCH(H$1, lmic_raw[#Headers],0))=0, INDEX(regions[], MATCH($D10, regions[[setting]:[setting]],0), MATCH(H$1, regions[#Headers],0)),INDEX(lmic_raw[],MATCH($A10,lmic_raw[[setting]:[setting]],0), MATCH(H$1, lmic_raw[#Headers],0)))</f>
        <v>9452409</v>
      </c>
      <c r="I10" s="33">
        <f>IF(INDEX(lmic_raw[],MATCH($A10,lmic_raw[[setting]:[setting]],0), MATCH(I$1, lmic_raw[#Headers],0))=0, INDEX(regions[], MATCH($D10, regions[[setting]:[setting]],0), MATCH(I$1, regions[#Headers],0)),INDEX(lmic_raw[],MATCH($A10,lmic_raw[[setting]:[setting]],0), MATCH(I$1, lmic_raw[#Headers],0)))</f>
        <v>111916.52256</v>
      </c>
      <c r="J10" s="33">
        <f>IF(INDEX(lmic_raw[],MATCH($A10,lmic_raw[[setting]:[setting]],0), MATCH(J$1, lmic_raw[#Headers],0))=0, INDEX(regions[], MATCH($D10, regions[[setting]:[setting]],0), MATCH(J$1, regions[#Headers],0)),INDEX(lmic_raw[],MATCH($A10,lmic_raw[[setting]:[setting]],0), MATCH(J$1, lmic_raw[#Headers],0)))</f>
        <v>0.99900000000000011</v>
      </c>
      <c r="K10" s="33">
        <f>IF(INDEX(lmic_raw[],MATCH($A10,lmic_raw[[setting]:[setting]],0), MATCH(K$1, lmic_raw[#Headers],0))=0, INDEX(regions[], MATCH($D10, regions[[setting]:[setting]],0), MATCH(K$1, regions[#Headers],0)),INDEX(lmic_raw[],MATCH($A10,lmic_raw[[setting]:[setting]],0), MATCH(K$1, lmic_raw[#Headers],0)))</f>
        <v>0.98</v>
      </c>
      <c r="L10" s="33">
        <f>IF(INDEX(lmic_raw[],MATCH($A10,lmic_raw[[setting]:[setting]],0), MATCH(L$1, lmic_raw[#Headers],0))=0, INDEX(regions[], MATCH($D10, regions[[setting]:[setting]],0), MATCH(L$1, regions[#Headers],0)),INDEX(lmic_raw[],MATCH($A10,lmic_raw[[setting]:[setting]],0), MATCH(L$1, lmic_raw[#Headers],0)))</f>
        <v>0.97</v>
      </c>
      <c r="M10" s="33">
        <f>IF(INDEX(lmic_raw[],MATCH($A10,lmic_raw[[setting]:[setting]],0), MATCH(M$1, lmic_raw[#Headers],0))=0, INDEX(regions[], MATCH($D10, regions[[setting]:[setting]],0), MATCH(M$1, regions[#Headers],0)),INDEX(lmic_raw[],MATCH($A10,lmic_raw[[setting]:[setting]],0), MATCH(M$1, lmic_raw[#Headers],0)))</f>
        <v>1.9400000000000001E-2</v>
      </c>
      <c r="N10" s="33">
        <f>IF(INDEX(lmic_raw[],MATCH($A10,lmic_raw[[setting]:[setting]],0), MATCH(N$1, lmic_raw[#Headers],0))=0, INDEX(regions[], MATCH($D10, regions[[setting]:[setting]],0), MATCH(N$1, regions[#Headers],0)),INDEX(lmic_raw[],MATCH($A10,lmic_raw[[setting]:[setting]],0), MATCH(N$1, lmic_raw[#Headers],0)))</f>
        <v>0.28713486462847726</v>
      </c>
      <c r="O10" s="33">
        <f>IF(INDEX(lmic_raw[],MATCH($A10,lmic_raw[[setting]:[setting]],0), MATCH(O$1, lmic_raw[#Headers],0))=0, INDEX(regions[], MATCH($D10, regions[[setting]:[setting]],0), MATCH(O$1, regions[#Headers],0)),INDEX(lmic_raw[],MATCH($A10,lmic_raw[[setting]:[setting]],0), MATCH(O$1, lmic_raw[#Headers],0)))</f>
        <v>0.8</v>
      </c>
      <c r="P10" s="33">
        <f>IF(INDEX(lmic_raw[],MATCH($A10,lmic_raw[[setting]:[setting]],0), MATCH(P$1, lmic_raw[#Headers],0))=0, INDEX(regions[], MATCH($D10, regions[[setting]:[setting]],0), MATCH(P$1, regions[#Headers],0)),INDEX(lmic_raw[],MATCH($A10,lmic_raw[[setting]:[setting]],0), MATCH(P$1, lmic_raw[#Headers],0)))</f>
        <v>0.17499999999999999</v>
      </c>
      <c r="Q10" s="33">
        <f>IF(INDEX(lmic_raw[],MATCH($A10,lmic_raw[[setting]:[setting]],0), MATCH(Q$1, lmic_raw[#Headers],0))=0, INDEX(regions[], MATCH($D10, regions[[setting]:[setting]],0), MATCH(Q$1, regions[#Headers],0)),INDEX(lmic_raw[],MATCH($A10,lmic_raw[[setting]:[setting]],0), MATCH(Q$1, lmic_raw[#Headers],0)))</f>
        <v>10.100158678461087</v>
      </c>
      <c r="R10" s="33">
        <f>IF(INDEX(lmic_raw[],MATCH($A10,lmic_raw[[setting]:[setting]],0), MATCH(R$1, lmic_raw[#Headers],0))=0, INDEX(regions[], MATCH($D10, regions[[setting]:[setting]],0), MATCH(R$1, regions[#Headers],0)),INDEX(lmic_raw[],MATCH($A10,lmic_raw[[setting]:[setting]],0), MATCH(R$1, lmic_raw[#Headers],0)))</f>
        <v>44.537400000000005</v>
      </c>
      <c r="S10" s="33">
        <f>IF(INDEX(lmic_raw[],MATCH($A10,lmic_raw[[setting]:[setting]],0), MATCH(S$1, lmic_raw[#Headers],0))=0, INDEX(regions[], MATCH($D10, regions[[setting]:[setting]],0), MATCH(S$1, regions[#Headers],0)),INDEX(lmic_raw[],MATCH($A10,lmic_raw[[setting]:[setting]],0), MATCH(S$1, lmic_raw[#Headers],0)))</f>
        <v>92.27940000000001</v>
      </c>
      <c r="T10" s="33">
        <f>IF(INDEX(lmic_raw[],MATCH($A10,lmic_raw[[setting]:[setting]],0), MATCH(T$1, lmic_raw[#Headers],0))=0, INDEX(regions[], MATCH($D10, regions[[setting]:[setting]],0), MATCH(T$1, regions[#Headers],0)),INDEX(lmic_raw[],MATCH($A10,lmic_raw[[setting]:[setting]],0), MATCH(T$1, lmic_raw[#Headers],0)))</f>
        <v>92.27940000000001</v>
      </c>
      <c r="U10" s="33">
        <f>IF(INDEX(lmic_raw[],MATCH($A10,lmic_raw[[setting]:[setting]],0), MATCH(U$1, lmic_raw[#Headers],0))=0, INDEX(regions[], MATCH($D10, regions[[setting]:[setting]],0), MATCH(U$1, regions[#Headers],0)),INDEX(lmic_raw[],MATCH($A10,lmic_raw[[setting]:[setting]],0), MATCH(U$1, lmic_raw[#Headers],0)))</f>
        <v>92.27940000000001</v>
      </c>
      <c r="V10" s="33">
        <f>IF(INDEX(lmic_raw[],MATCH($A10,lmic_raw[[setting]:[setting]],0), MATCH(V$1, lmic_raw[#Headers],0))=0, INDEX(regions[], MATCH($D10, regions[[setting]:[setting]],0), MATCH(V$1, regions[#Headers],0)),INDEX(lmic_raw[],MATCH($A10,lmic_raw[[setting]:[setting]],0), MATCH(V$1, lmic_raw[#Headers],0)))</f>
        <v>5.5145426409473073</v>
      </c>
      <c r="W10" s="33">
        <f>IF(INDEX(lmic_raw[],MATCH($A10,lmic_raw[[setting]:[setting]],0), MATCH(W$1, lmic_raw[#Headers],0))=0, INDEX(regions[], MATCH($D10, regions[[setting]:[setting]],0), MATCH(W$1, regions[#Headers],0)),INDEX(lmic_raw[],MATCH($A10,lmic_raw[[setting]:[setting]],0), MATCH(W$1, lmic_raw[#Headers],0)))</f>
        <v>9.5845426409473085</v>
      </c>
      <c r="X10" s="33">
        <f>IF(INDEX(lmic_raw[],MATCH($A10,lmic_raw[[setting]:[setting]],0), MATCH(X$1, lmic_raw[#Headers],0))=0, INDEX(regions[], MATCH($D10, regions[[setting]:[setting]],0), MATCH(X$1, regions[#Headers],0)),INDEX(lmic_raw[],MATCH($A10,lmic_raw[[setting]:[setting]],0), MATCH(X$1, lmic_raw[#Headers],0)))</f>
        <v>5.075745727677238</v>
      </c>
      <c r="Y10" s="33">
        <f>IF(INDEX(lmic_raw[],MATCH($A10,lmic_raw[[setting]:[setting]],0), MATCH(Y$1, lmic_raw[#Headers],0))=0, INDEX(regions[], MATCH($D10, regions[[setting]:[setting]],0), MATCH(Y$1, regions[#Headers],0)),INDEX(lmic_raw[],MATCH($A10,lmic_raw[[setting]:[setting]],0), MATCH(Y$1, lmic_raw[#Headers],0)))</f>
        <v>9.1457457276772374</v>
      </c>
      <c r="Z10" s="33">
        <f>IF(INDEX(lmic_raw[],MATCH($A10,lmic_raw[[setting]:[setting]],0), MATCH(Z$1, lmic_raw[#Headers],0))=0, INDEX(regions[], MATCH($D10, regions[[setting]:[setting]],0), MATCH(Z$1, regions[#Headers],0)),INDEX(lmic_raw[],MATCH($A10,lmic_raw[[setting]:[setting]],0), MATCH(Z$1, lmic_raw[#Headers],0)))</f>
        <v>9.1374594687489399</v>
      </c>
      <c r="AA10" s="33">
        <f>IF(INDEX(lmic_raw[],MATCH($A10,lmic_raw[[setting]:[setting]],0), MATCH(AA$1, lmic_raw[#Headers],0))=0, INDEX(regions[], MATCH($D10, regions[[setting]:[setting]],0), MATCH(AA$1, regions[#Headers],0)),INDEX(lmic_raw[],MATCH($A10,lmic_raw[[setting]:[setting]],0), MATCH(AA$1, lmic_raw[#Headers],0)))</f>
        <v>5.7609396622446809</v>
      </c>
      <c r="AB10" s="33">
        <f>IF(INDEX(lmic_raw[],MATCH($A10,lmic_raw[[setting]:[setting]],0), MATCH(AB$1, lmic_raw[#Headers],0))=0, INDEX(regions[], MATCH($D10, regions[[setting]:[setting]],0), MATCH(AB$1, regions[#Headers],0)),INDEX(lmic_raw[],MATCH($A10,lmic_raw[[setting]:[setting]],0), MATCH(AB$1, lmic_raw[#Headers],0)))</f>
        <v>9.8309396622446812</v>
      </c>
      <c r="AC10" s="33">
        <f>IF(INDEX(lmic_raw[],MATCH($A10,lmic_raw[[setting]:[setting]],0), MATCH(AC$1, lmic_raw[#Headers],0))=0, INDEX(regions[], MATCH($D10, regions[[setting]:[setting]],0), MATCH(AC$1, regions[#Headers],0)),INDEX(lmic_raw[],MATCH($A10,lmic_raw[[setting]:[setting]],0), MATCH(AC$1, lmic_raw[#Headers],0)))</f>
        <v>2.965920000000042E-3</v>
      </c>
      <c r="AD10" s="33">
        <f>IF(INDEX(lmic_raw[],MATCH($A10,lmic_raw[[setting]:[setting]],0), MATCH(AD$1, lmic_raw[#Headers],0))=0, INDEX(regions[], MATCH($D10, regions[[setting]:[setting]],0), MATCH(AD$1, regions[#Headers],0)),INDEX(lmic_raw[],MATCH($A10,lmic_raw[[setting]:[setting]],0), MATCH(AD$1, lmic_raw[#Headers],0)))</f>
        <v>2.1812945451173097E-4</v>
      </c>
      <c r="AE10" s="33">
        <f>IF(INDEX(lmic_raw[],MATCH($A10,lmic_raw[[setting]:[setting]],0), MATCH(AE$1, lmic_raw[#Headers],0))=0, INDEX(regions[], MATCH($D10, regions[[setting]:[setting]],0), MATCH(AE$1, regions[#Headers],0)),INDEX(lmic_raw[],MATCH($A10,lmic_raw[[setting]:[setting]],0), MATCH(AE$1, lmic_raw[#Headers],0)))</f>
        <v>1.386980248184975E-4</v>
      </c>
      <c r="AF10" s="33">
        <f>IF(INDEX(lmic_raw[],MATCH($A10,lmic_raw[[setting]:[setting]],0), MATCH(AF$1, lmic_raw[#Headers],0))=0, INDEX(regions[], MATCH($D10, regions[[setting]:[setting]],0), MATCH(AF$1, regions[#Headers],0)),INDEX(lmic_raw[],MATCH($A10,lmic_raw[[setting]:[setting]],0), MATCH(AF$1, lmic_raw[#Headers],0)))</f>
        <v>1.3168610083894215E-4</v>
      </c>
      <c r="AG10" s="33">
        <f>IF(INDEX(lmic_raw[],MATCH($A10,lmic_raw[[setting]:[setting]],0), MATCH(AG$1, lmic_raw[#Headers],0))=0, INDEX(regions[], MATCH($D10, regions[[setting]:[setting]],0), MATCH(AG$1, regions[#Headers],0)),INDEX(lmic_raw[],MATCH($A10,lmic_raw[[setting]:[setting]],0), MATCH(AG$1, lmic_raw[#Headers],0)))</f>
        <v>3.5169653717617841E-4</v>
      </c>
      <c r="AH10" s="33">
        <f>IF(INDEX(lmic_raw[],MATCH($A10,lmic_raw[[setting]:[setting]],0), MATCH(AH$1, lmic_raw[#Headers],0))=0, INDEX(regions[], MATCH($D10, regions[[setting]:[setting]],0), MATCH(AH$1, regions[#Headers],0)),INDEX(lmic_raw[],MATCH($A10,lmic_raw[[setting]:[setting]],0), MATCH(AH$1, lmic_raw[#Headers],0)))</f>
        <v>5.987260697524903E-4</v>
      </c>
      <c r="AI10" s="33">
        <f>IF(INDEX(lmic_raw[],MATCH($A10,lmic_raw[[setting]:[setting]],0), MATCH(AI$1, lmic_raw[#Headers],0))=0, INDEX(regions[], MATCH($D10, regions[[setting]:[setting]],0), MATCH(AI$1, regions[#Headers],0)),INDEX(lmic_raw[],MATCH($A10,lmic_raw[[setting]:[setting]],0), MATCH(AI$1, lmic_raw[#Headers],0)))</f>
        <v>8.7460441447060428E-4</v>
      </c>
      <c r="AJ10" s="33">
        <f>IF(INDEX(lmic_raw[],MATCH($A10,lmic_raw[[setting]:[setting]],0), MATCH(AJ$1, lmic_raw[#Headers],0))=0, INDEX(regions[], MATCH($D10, regions[[setting]:[setting]],0), MATCH(AJ$1, regions[#Headers],0)),INDEX(lmic_raw[],MATCH($A10,lmic_raw[[setting]:[setting]],0), MATCH(AJ$1, lmic_raw[#Headers],0)))</f>
        <v>1.4330866848499505E-3</v>
      </c>
      <c r="AK10" s="33">
        <f>IF(INDEX(lmic_raw[],MATCH($A10,lmic_raw[[setting]:[setting]],0), MATCH(AK$1, lmic_raw[#Headers],0))=0, INDEX(regions[], MATCH($D10, regions[[setting]:[setting]],0), MATCH(AK$1, regions[#Headers],0)),INDEX(lmic_raw[],MATCH($A10,lmic_raw[[setting]:[setting]],0), MATCH(AK$1, lmic_raw[#Headers],0)))</f>
        <v>2.2944909907093732E-3</v>
      </c>
      <c r="AL10" s="33">
        <f>IF(INDEX(lmic_raw[],MATCH($A10,lmic_raw[[setting]:[setting]],0), MATCH(AL$1, lmic_raw[#Headers],0))=0, INDEX(regions[], MATCH($D10, regions[[setting]:[setting]],0), MATCH(AL$1, regions[#Headers],0)),INDEX(lmic_raw[],MATCH($A10,lmic_raw[[setting]:[setting]],0), MATCH(AL$1, lmic_raw[#Headers],0)))</f>
        <v>3.3156186518019663E-3</v>
      </c>
      <c r="AM10" s="33">
        <f>IF(INDEX(lmic_raw[],MATCH($A10,lmic_raw[[setting]:[setting]],0), MATCH(AM$1, lmic_raw[#Headers],0))=0, INDEX(regions[], MATCH($D10, regions[[setting]:[setting]],0), MATCH(AM$1, regions[#Headers],0)),INDEX(lmic_raw[],MATCH($A10,lmic_raw[[setting]:[setting]],0), MATCH(AM$1, lmic_raw[#Headers],0)))</f>
        <v>4.9758308884574175E-3</v>
      </c>
      <c r="AN10" s="33">
        <f>IF(INDEX(lmic_raw[],MATCH($A10,lmic_raw[[setting]:[setting]],0), MATCH(AN$1, lmic_raw[#Headers],0))=0, INDEX(regions[], MATCH($D10, regions[[setting]:[setting]],0), MATCH(AN$1, regions[#Headers],0)),INDEX(lmic_raw[],MATCH($A10,lmic_raw[[setting]:[setting]],0), MATCH(AN$1, lmic_raw[#Headers],0)))</f>
        <v>7.303794833465097E-3</v>
      </c>
      <c r="AO10" s="33">
        <f>IF(INDEX(lmic_raw[],MATCH($A10,lmic_raw[[setting]:[setting]],0), MATCH(AO$1, lmic_raw[#Headers],0))=0, INDEX(regions[], MATCH($D10, regions[[setting]:[setting]],0), MATCH(AO$1, regions[#Headers],0)),INDEX(lmic_raw[],MATCH($A10,lmic_raw[[setting]:[setting]],0), MATCH(AO$1, lmic_raw[#Headers],0)))</f>
        <v>1.0865495846746462E-2</v>
      </c>
      <c r="AP10" s="33">
        <f>IF(INDEX(lmic_raw[],MATCH($A10,lmic_raw[[setting]:[setting]],0), MATCH(AP$1, lmic_raw[#Headers],0))=0, INDEX(regions[], MATCH($D10, regions[[setting]:[setting]],0), MATCH(AP$1, regions[#Headers],0)),INDEX(lmic_raw[],MATCH($A10,lmic_raw[[setting]:[setting]],0), MATCH(AP$1, lmic_raw[#Headers],0)))</f>
        <v>1.6436042866597753E-2</v>
      </c>
      <c r="AQ10" s="33">
        <f>IF(INDEX(lmic_raw[],MATCH($A10,lmic_raw[[setting]:[setting]],0), MATCH(AQ$1, lmic_raw[#Headers],0))=0, INDEX(regions[], MATCH($D10, regions[[setting]:[setting]],0), MATCH(AQ$1, regions[#Headers],0)),INDEX(lmic_raw[],MATCH($A10,lmic_raw[[setting]:[setting]],0), MATCH(AQ$1, lmic_raw[#Headers],0)))</f>
        <v>2.3166982628810194E-2</v>
      </c>
      <c r="AR10" s="33">
        <f>IF(INDEX(lmic_raw[],MATCH($A10,lmic_raw[[setting]:[setting]],0), MATCH(AR$1, lmic_raw[#Headers],0))=0, INDEX(regions[], MATCH($D10, regions[[setting]:[setting]],0), MATCH(AR$1, regions[#Headers],0)),INDEX(lmic_raw[],MATCH($A10,lmic_raw[[setting]:[setting]],0), MATCH(AR$1, lmic_raw[#Headers],0)))</f>
        <v>3.328192282230763E-2</v>
      </c>
      <c r="AS10" s="33">
        <f>IF(INDEX(lmic_raw[],MATCH($A10,lmic_raw[[setting]:[setting]],0), MATCH(AS$1, lmic_raw[#Headers],0))=0, INDEX(regions[], MATCH($D10, regions[[setting]:[setting]],0), MATCH(AS$1, regions[#Headers],0)),INDEX(lmic_raw[],MATCH($A10,lmic_raw[[setting]:[setting]],0), MATCH(AS$1, lmic_raw[#Headers],0)))</f>
        <v>5.0327355600297066E-2</v>
      </c>
      <c r="AT10" s="33">
        <f>IF(INDEX(lmic_raw[],MATCH($A10,lmic_raw[[setting]:[setting]],0), MATCH(AT$1, lmic_raw[#Headers],0))=0, INDEX(regions[], MATCH($D10, regions[[setting]:[setting]],0), MATCH(AT$1, regions[#Headers],0)),INDEX(lmic_raw[],MATCH($A10,lmic_raw[[setting]:[setting]],0), MATCH(AT$1, lmic_raw[#Headers],0)))</f>
        <v>7.7358215440379449E-2</v>
      </c>
      <c r="AU10" s="33">
        <f>IF(INDEX(lmic_raw[],MATCH($A10,lmic_raw[[setting]:[setting]],0), MATCH(AU$1, lmic_raw[#Headers],0))=0, INDEX(regions[], MATCH($D10, regions[[setting]:[setting]],0), MATCH(AU$1, regions[#Headers],0)),INDEX(lmic_raw[],MATCH($A10,lmic_raw[[setting]:[setting]],0), MATCH(AU$1, lmic_raw[#Headers],0)))</f>
        <v>0.10976028096120835</v>
      </c>
      <c r="AV10" s="33">
        <f>IF(INDEX(lmic_raw[],MATCH($A10,lmic_raw[[setting]:[setting]],0), MATCH(AV$1, lmic_raw[#Headers],0))=0, INDEX(regions[], MATCH($D10, regions[[setting]:[setting]],0), MATCH(AV$1, regions[#Headers],0)),INDEX(lmic_raw[],MATCH($A10,lmic_raw[[setting]:[setting]],0), MATCH(AV$1, lmic_raw[#Headers],0)))</f>
        <v>0.14532450263334859</v>
      </c>
      <c r="AW10" s="33">
        <f>IF(INDEX(lmic_raw[],MATCH($A10,lmic_raw[[setting]:[setting]],0), MATCH(AW$1, lmic_raw[#Headers],0))=0, INDEX(regions[], MATCH($D10, regions[[setting]:[setting]],0), MATCH(AW$1, regions[#Headers],0)),INDEX(lmic_raw[],MATCH($A10,lmic_raw[[setting]:[setting]],0), MATCH(AW$1, lmic_raw[#Headers],0)))</f>
        <v>0.17200342448771944</v>
      </c>
      <c r="AX10" s="33">
        <f>IF(INDEX(lmic_raw[],MATCH($A10,lmic_raw[[setting]:[setting]],0), MATCH(AX$1, lmic_raw[#Headers],0))=0, INDEX(regions[], MATCH($D10, regions[[setting]:[setting]],0), MATCH(AX$1, regions[#Headers],0)),INDEX(lmic_raw[],MATCH($A10,lmic_raw[[setting]:[setting]],0), MATCH(AX$1, lmic_raw[#Headers],0)))</f>
        <v>74.489999999999995</v>
      </c>
      <c r="AY10" s="33" t="str">
        <f>IF(VLOOKUP($A10,lmic_raw[],11,FALSE)=0, "Yes", "No")</f>
        <v>No</v>
      </c>
    </row>
    <row r="11" spans="1:51" x14ac:dyDescent="0.25">
      <c r="A11" s="110" t="s">
        <v>253</v>
      </c>
      <c r="B11" s="104" t="s">
        <v>382</v>
      </c>
      <c r="C11" s="105">
        <v>84</v>
      </c>
      <c r="D11" s="84" t="s">
        <v>679</v>
      </c>
      <c r="E11" s="84" t="s">
        <v>223</v>
      </c>
      <c r="F11" s="84" t="s">
        <v>665</v>
      </c>
      <c r="G11" s="84" t="s">
        <v>676</v>
      </c>
      <c r="H11" s="33">
        <f>IF(INDEX(lmic_raw[],MATCH($A11,lmic_raw[[setting]:[setting]],0), MATCH(H$1, lmic_raw[#Headers],0))=0, INDEX(regions[], MATCH($D11, regions[[setting]:[setting]],0), MATCH(H$1, regions[#Headers],0)),INDEX(lmic_raw[],MATCH($A11,lmic_raw[[setting]:[setting]],0), MATCH(H$1, lmic_raw[#Headers],0)))</f>
        <v>390351</v>
      </c>
      <c r="I11" s="33">
        <f>IF(INDEX(lmic_raw[],MATCH($A11,lmic_raw[[setting]:[setting]],0), MATCH(I$1, lmic_raw[#Headers],0))=0, INDEX(regions[], MATCH($D11, regions[[setting]:[setting]],0), MATCH(I$1, regions[#Headers],0)),INDEX(lmic_raw[],MATCH($A11,lmic_raw[[setting]:[setting]],0), MATCH(I$1, lmic_raw[#Headers],0)))</f>
        <v>8153.6516880000008</v>
      </c>
      <c r="J11" s="33">
        <f>IF(INDEX(lmic_raw[],MATCH($A11,lmic_raw[[setting]:[setting]],0), MATCH(J$1, lmic_raw[#Headers],0))=0, INDEX(regions[], MATCH($D11, regions[[setting]:[setting]],0), MATCH(J$1, regions[#Headers],0)),INDEX(lmic_raw[],MATCH($A11,lmic_raw[[setting]:[setting]],0), MATCH(J$1, lmic_raw[#Headers],0)))</f>
        <v>0.96400000000000008</v>
      </c>
      <c r="K11" s="33">
        <f>IF(INDEX(lmic_raw[],MATCH($A11,lmic_raw[[setting]:[setting]],0), MATCH(K$1, lmic_raw[#Headers],0))=0, INDEX(regions[], MATCH($D11, regions[[setting]:[setting]],0), MATCH(K$1, regions[#Headers],0)),INDEX(lmic_raw[],MATCH($A11,lmic_raw[[setting]:[setting]],0), MATCH(K$1, lmic_raw[#Headers],0)))</f>
        <v>0.7</v>
      </c>
      <c r="L11" s="33">
        <f>IF(INDEX(lmic_raw[],MATCH($A11,lmic_raw[[setting]:[setting]],0), MATCH(L$1, lmic_raw[#Headers],0))=0, INDEX(regions[], MATCH($D11, regions[[setting]:[setting]],0), MATCH(L$1, regions[#Headers],0)),INDEX(lmic_raw[],MATCH($A11,lmic_raw[[setting]:[setting]],0), MATCH(L$1, lmic_raw[#Headers],0)))</f>
        <v>0.98</v>
      </c>
      <c r="M11" s="33">
        <f>IF(INDEX(lmic_raw[],MATCH($A11,lmic_raw[[setting]:[setting]],0), MATCH(M$1, lmic_raw[#Headers],0))=0, INDEX(regions[], MATCH($D11, regions[[setting]:[setting]],0), MATCH(M$1, regions[#Headers],0)),INDEX(lmic_raw[],MATCH($A11,lmic_raw[[setting]:[setting]],0), MATCH(M$1, lmic_raw[#Headers],0)))</f>
        <v>4.0099999999999997E-2</v>
      </c>
      <c r="N11" s="33">
        <f>IF(INDEX(lmic_raw[],MATCH($A11,lmic_raw[[setting]:[setting]],0), MATCH(N$1, lmic_raw[#Headers],0))=0, INDEX(regions[], MATCH($D11, regions[[setting]:[setting]],0), MATCH(N$1, regions[#Headers],0)),INDEX(lmic_raw[],MATCH($A11,lmic_raw[[setting]:[setting]],0), MATCH(N$1, lmic_raw[#Headers],0)))</f>
        <v>0.3153977532060992</v>
      </c>
      <c r="O11" s="33">
        <f>IF(INDEX(lmic_raw[],MATCH($A11,lmic_raw[[setting]:[setting]],0), MATCH(O$1, lmic_raw[#Headers],0))=0, INDEX(regions[], MATCH($D11, regions[[setting]:[setting]],0), MATCH(O$1, regions[#Headers],0)),INDEX(lmic_raw[],MATCH($A11,lmic_raw[[setting]:[setting]],0), MATCH(O$1, lmic_raw[#Headers],0)))</f>
        <v>0.8</v>
      </c>
      <c r="P11" s="33">
        <f>IF(INDEX(lmic_raw[],MATCH($A11,lmic_raw[[setting]:[setting]],0), MATCH(P$1, lmic_raw[#Headers],0))=0, INDEX(regions[], MATCH($D11, regions[[setting]:[setting]],0), MATCH(P$1, regions[#Headers],0)),INDEX(lmic_raw[],MATCH($A11,lmic_raw[[setting]:[setting]],0), MATCH(P$1, lmic_raw[#Headers],0)))</f>
        <v>0.17499999999999999</v>
      </c>
      <c r="Q11" s="33">
        <f>IF(INDEX(lmic_raw[],MATCH($A11,lmic_raw[[setting]:[setting]],0), MATCH(Q$1, lmic_raw[#Headers],0))=0, INDEX(regions[], MATCH($D11, regions[[setting]:[setting]],0), MATCH(Q$1, regions[#Headers],0)),INDEX(lmic_raw[],MATCH($A11,lmic_raw[[setting]:[setting]],0), MATCH(Q$1, lmic_raw[#Headers],0)))</f>
        <v>8.9369917630045457</v>
      </c>
      <c r="R11" s="33">
        <f>IF(INDEX(lmic_raw[],MATCH($A11,lmic_raw[[setting]:[setting]],0), MATCH(R$1, lmic_raw[#Headers],0))=0, INDEX(regions[], MATCH($D11, regions[[setting]:[setting]],0), MATCH(R$1, regions[#Headers],0)),INDEX(lmic_raw[],MATCH($A11,lmic_raw[[setting]:[setting]],0), MATCH(R$1, lmic_raw[#Headers],0)))</f>
        <v>86.883899999999997</v>
      </c>
      <c r="S11" s="33">
        <f>IF(INDEX(lmic_raw[],MATCH($A11,lmic_raw[[setting]:[setting]],0), MATCH(S$1, lmic_raw[#Headers],0))=0, INDEX(regions[], MATCH($D11, regions[[setting]:[setting]],0), MATCH(S$1, regions[#Headers],0)),INDEX(lmic_raw[],MATCH($A11,lmic_raw[[setting]:[setting]],0), MATCH(S$1, lmic_raw[#Headers],0)))</f>
        <v>134.6259</v>
      </c>
      <c r="T11" s="33">
        <f>IF(INDEX(lmic_raw[],MATCH($A11,lmic_raw[[setting]:[setting]],0), MATCH(T$1, lmic_raw[#Headers],0))=0, INDEX(regions[], MATCH($D11, regions[[setting]:[setting]],0), MATCH(T$1, regions[#Headers],0)),INDEX(lmic_raw[],MATCH($A11,lmic_raw[[setting]:[setting]],0), MATCH(T$1, lmic_raw[#Headers],0)))</f>
        <v>134.6259</v>
      </c>
      <c r="U11" s="33">
        <f>IF(INDEX(lmic_raw[],MATCH($A11,lmic_raw[[setting]:[setting]],0), MATCH(U$1, lmic_raw[#Headers],0))=0, INDEX(regions[], MATCH($D11, regions[[setting]:[setting]],0), MATCH(U$1, regions[#Headers],0)),INDEX(lmic_raw[],MATCH($A11,lmic_raw[[setting]:[setting]],0), MATCH(U$1, lmic_raw[#Headers],0)))</f>
        <v>134.6259</v>
      </c>
      <c r="V11" s="33">
        <f>IF(INDEX(lmic_raw[],MATCH($A11,lmic_raw[[setting]:[setting]],0), MATCH(V$1, lmic_raw[#Headers],0))=0, INDEX(regions[], MATCH($D11, regions[[setting]:[setting]],0), MATCH(V$1, regions[#Headers],0)),INDEX(lmic_raw[],MATCH($A11,lmic_raw[[setting]:[setting]],0), MATCH(V$1, lmic_raw[#Headers],0)))</f>
        <v>10.00475881162267</v>
      </c>
      <c r="W11" s="33">
        <f>IF(INDEX(lmic_raw[],MATCH($A11,lmic_raw[[setting]:[setting]],0), MATCH(W$1, lmic_raw[#Headers],0))=0, INDEX(regions[], MATCH($D11, regions[[setting]:[setting]],0), MATCH(W$1, regions[#Headers],0)),INDEX(lmic_raw[],MATCH($A11,lmic_raw[[setting]:[setting]],0), MATCH(W$1, lmic_raw[#Headers],0)))</f>
        <v>10.02475881162267</v>
      </c>
      <c r="X11" s="33">
        <f>IF(INDEX(lmic_raw[],MATCH($A11,lmic_raw[[setting]:[setting]],0), MATCH(X$1, lmic_raw[#Headers],0))=0, INDEX(regions[], MATCH($D11, regions[[setting]:[setting]],0), MATCH(X$1, regions[#Headers],0)),INDEX(lmic_raw[],MATCH($A11,lmic_raw[[setting]:[setting]],0), MATCH(X$1, lmic_raw[#Headers],0)))</f>
        <v>9.5717397336730876</v>
      </c>
      <c r="Y11" s="33">
        <f>IF(INDEX(lmic_raw[],MATCH($A11,lmic_raw[[setting]:[setting]],0), MATCH(Y$1, lmic_raw[#Headers],0))=0, INDEX(regions[], MATCH($D11, regions[[setting]:[setting]],0), MATCH(Y$1, regions[#Headers],0)),INDEX(lmic_raw[],MATCH($A11,lmic_raw[[setting]:[setting]],0), MATCH(Y$1, lmic_raw[#Headers],0)))</f>
        <v>9.5917397336730872</v>
      </c>
      <c r="Z11" s="33">
        <f>IF(INDEX(lmic_raw[],MATCH($A11,lmic_raw[[setting]:[setting]],0), MATCH(Z$1, lmic_raw[#Headers],0))=0, INDEX(regions[], MATCH($D11, regions[[setting]:[setting]],0), MATCH(Z$1, regions[#Headers],0)),INDEX(lmic_raw[],MATCH($A11,lmic_raw[[setting]:[setting]],0), MATCH(Z$1, lmic_raw[#Headers],0)))</f>
        <v>9.5857416384973213</v>
      </c>
      <c r="AA11" s="33">
        <f>IF(INDEX(lmic_raw[],MATCH($A11,lmic_raw[[setting]:[setting]],0), MATCH(AA$1, lmic_raw[#Headers],0))=0, INDEX(regions[], MATCH($D11, regions[[setting]:[setting]],0), MATCH(AA$1, regions[#Headers],0)),INDEX(lmic_raw[],MATCH($A11,lmic_raw[[setting]:[setting]],0), MATCH(AA$1, lmic_raw[#Headers],0)))</f>
        <v>10.249073124839404</v>
      </c>
      <c r="AB11" s="33">
        <f>IF(INDEX(lmic_raw[],MATCH($A11,lmic_raw[[setting]:[setting]],0), MATCH(AB$1, lmic_raw[#Headers],0))=0, INDEX(regions[], MATCH($D11, regions[[setting]:[setting]],0), MATCH(AB$1, regions[#Headers],0)),INDEX(lmic_raw[],MATCH($A11,lmic_raw[[setting]:[setting]],0), MATCH(AB$1, lmic_raw[#Headers],0)))</f>
        <v>10.269073124839403</v>
      </c>
      <c r="AC11" s="33">
        <f>IF(INDEX(lmic_raw[],MATCH($A11,lmic_raw[[setting]:[setting]],0), MATCH(AC$1, lmic_raw[#Headers],0))=0, INDEX(regions[], MATCH($D11, regions[[setting]:[setting]],0), MATCH(AC$1, regions[#Headers],0)),INDEX(lmic_raw[],MATCH($A11,lmic_raw[[setting]:[setting]],0), MATCH(AC$1, lmic_raw[#Headers],0)))</f>
        <v>1.2816070000000035E-2</v>
      </c>
      <c r="AD11" s="33">
        <f>IF(INDEX(lmic_raw[],MATCH($A11,lmic_raw[[setting]:[setting]],0), MATCH(AD$1, lmic_raw[#Headers],0))=0, INDEX(regions[], MATCH($D11, regions[[setting]:[setting]],0), MATCH(AD$1, regions[#Headers],0)),INDEX(lmic_raw[],MATCH($A11,lmic_raw[[setting]:[setting]],0), MATCH(AD$1, lmic_raw[#Headers],0)))</f>
        <v>5.2839444013232247E-4</v>
      </c>
      <c r="AE11" s="33">
        <f>IF(INDEX(lmic_raw[],MATCH($A11,lmic_raw[[setting]:[setting]],0), MATCH(AE$1, lmic_raw[#Headers],0))=0, INDEX(regions[], MATCH($D11, regions[[setting]:[setting]],0), MATCH(AE$1, regions[#Headers],0)),INDEX(lmic_raw[],MATCH($A11,lmic_raw[[setting]:[setting]],0), MATCH(AE$1, lmic_raw[#Headers],0)))</f>
        <v>3.0433131569198077E-4</v>
      </c>
      <c r="AF11" s="33">
        <f>IF(INDEX(lmic_raw[],MATCH($A11,lmic_raw[[setting]:[setting]],0), MATCH(AF$1, lmic_raw[#Headers],0))=0, INDEX(regions[], MATCH($D11, regions[[setting]:[setting]],0), MATCH(AF$1, regions[#Headers],0)),INDEX(lmic_raw[],MATCH($A11,lmic_raw[[setting]:[setting]],0), MATCH(AF$1, lmic_raw[#Headers],0)))</f>
        <v>3.30102184177905E-4</v>
      </c>
      <c r="AG11" s="33">
        <f>IF(INDEX(lmic_raw[],MATCH($A11,lmic_raw[[setting]:[setting]],0), MATCH(AG$1, lmic_raw[#Headers],0))=0, INDEX(regions[], MATCH($D11, regions[[setting]:[setting]],0), MATCH(AG$1, regions[#Headers],0)),INDEX(lmic_raw[],MATCH($A11,lmic_raw[[setting]:[setting]],0), MATCH(AG$1, lmic_raw[#Headers],0)))</f>
        <v>9.9336946473442696E-4</v>
      </c>
      <c r="AH11" s="33">
        <f>IF(INDEX(lmic_raw[],MATCH($A11,lmic_raw[[setting]:[setting]],0), MATCH(AH$1, lmic_raw[#Headers],0))=0, INDEX(regions[], MATCH($D11, regions[[setting]:[setting]],0), MATCH(AH$1, regions[#Headers],0)),INDEX(lmic_raw[],MATCH($A11,lmic_raw[[setting]:[setting]],0), MATCH(AH$1, lmic_raw[#Headers],0)))</f>
        <v>1.5584234821144477E-3</v>
      </c>
      <c r="AI11" s="33">
        <f>IF(INDEX(lmic_raw[],MATCH($A11,lmic_raw[[setting]:[setting]],0), MATCH(AI$1, lmic_raw[#Headers],0))=0, INDEX(regions[], MATCH($D11, regions[[setting]:[setting]],0), MATCH(AI$1, regions[#Headers],0)),INDEX(lmic_raw[],MATCH($A11,lmic_raw[[setting]:[setting]],0), MATCH(AI$1, lmic_raw[#Headers],0)))</f>
        <v>2.3286180141758603E-3</v>
      </c>
      <c r="AJ11" s="33">
        <f>IF(INDEX(lmic_raw[],MATCH($A11,lmic_raw[[setting]:[setting]],0), MATCH(AJ$1, lmic_raw[#Headers],0))=0, INDEX(regions[], MATCH($D11, regions[[setting]:[setting]],0), MATCH(AJ$1, regions[#Headers],0)),INDEX(lmic_raw[],MATCH($A11,lmic_raw[[setting]:[setting]],0), MATCH(AJ$1, lmic_raw[#Headers],0)))</f>
        <v>2.7513090350750114E-3</v>
      </c>
      <c r="AK11" s="33">
        <f>IF(INDEX(lmic_raw[],MATCH($A11,lmic_raw[[setting]:[setting]],0), MATCH(AK$1, lmic_raw[#Headers],0))=0, INDEX(regions[], MATCH($D11, regions[[setting]:[setting]],0), MATCH(AK$1, regions[#Headers],0)),INDEX(lmic_raw[],MATCH($A11,lmic_raw[[setting]:[setting]],0), MATCH(AK$1, lmic_raw[#Headers],0)))</f>
        <v>2.8670260585765784E-3</v>
      </c>
      <c r="AL11" s="33">
        <f>IF(INDEX(lmic_raw[],MATCH($A11,lmic_raw[[setting]:[setting]],0), MATCH(AL$1, lmic_raw[#Headers],0))=0, INDEX(regions[], MATCH($D11, regions[[setting]:[setting]],0), MATCH(AL$1, regions[#Headers],0)),INDEX(lmic_raw[],MATCH($A11,lmic_raw[[setting]:[setting]],0), MATCH(AL$1, lmic_raw[#Headers],0)))</f>
        <v>3.5152753041282894E-3</v>
      </c>
      <c r="AM11" s="33">
        <f>IF(INDEX(lmic_raw[],MATCH($A11,lmic_raw[[setting]:[setting]],0), MATCH(AM$1, lmic_raw[#Headers],0))=0, INDEX(regions[], MATCH($D11, regions[[setting]:[setting]],0), MATCH(AM$1, regions[#Headers],0)),INDEX(lmic_raw[],MATCH($A11,lmic_raw[[setting]:[setting]],0), MATCH(AM$1, lmic_raw[#Headers],0)))</f>
        <v>4.8447417606571758E-3</v>
      </c>
      <c r="AN11" s="33">
        <f>IF(INDEX(lmic_raw[],MATCH($A11,lmic_raw[[setting]:[setting]],0), MATCH(AN$1, lmic_raw[#Headers],0))=0, INDEX(regions[], MATCH($D11, regions[[setting]:[setting]],0), MATCH(AN$1, regions[#Headers],0)),INDEX(lmic_raw[],MATCH($A11,lmic_raw[[setting]:[setting]],0), MATCH(AN$1, lmic_raw[#Headers],0)))</f>
        <v>6.7217168056650269E-3</v>
      </c>
      <c r="AO11" s="33">
        <f>IF(INDEX(lmic_raw[],MATCH($A11,lmic_raw[[setting]:[setting]],0), MATCH(AO$1, lmic_raw[#Headers],0))=0, INDEX(regions[], MATCH($D11, regions[[setting]:[setting]],0), MATCH(AO$1, regions[#Headers],0)),INDEX(lmic_raw[],MATCH($A11,lmic_raw[[setting]:[setting]],0), MATCH(AO$1, lmic_raw[#Headers],0)))</f>
        <v>1.0577857985131261E-2</v>
      </c>
      <c r="AP11" s="33">
        <f>IF(INDEX(lmic_raw[],MATCH($A11,lmic_raw[[setting]:[setting]],0), MATCH(AP$1, lmic_raw[#Headers],0))=0, INDEX(regions[], MATCH($D11, regions[[setting]:[setting]],0), MATCH(AP$1, regions[#Headers],0)),INDEX(lmic_raw[],MATCH($A11,lmic_raw[[setting]:[setting]],0), MATCH(AP$1, lmic_raw[#Headers],0)))</f>
        <v>1.4086050361921973E-2</v>
      </c>
      <c r="AQ11" s="33">
        <f>IF(INDEX(lmic_raw[],MATCH($A11,lmic_raw[[setting]:[setting]],0), MATCH(AQ$1, lmic_raw[#Headers],0))=0, INDEX(regions[], MATCH($D11, regions[[setting]:[setting]],0), MATCH(AQ$1, regions[#Headers],0)),INDEX(lmic_raw[],MATCH($A11,lmic_raw[[setting]:[setting]],0), MATCH(AQ$1, lmic_raw[#Headers],0)))</f>
        <v>1.9026925168537715E-2</v>
      </c>
      <c r="AR11" s="33">
        <f>IF(INDEX(lmic_raw[],MATCH($A11,lmic_raw[[setting]:[setting]],0), MATCH(AR$1, lmic_raw[#Headers],0))=0, INDEX(regions[], MATCH($D11, regions[[setting]:[setting]],0), MATCH(AR$1, regions[#Headers],0)),INDEX(lmic_raw[],MATCH($A11,lmic_raw[[setting]:[setting]],0), MATCH(AR$1, lmic_raw[#Headers],0)))</f>
        <v>2.6552083204686317E-2</v>
      </c>
      <c r="AS11" s="33">
        <f>IF(INDEX(lmic_raw[],MATCH($A11,lmic_raw[[setting]:[setting]],0), MATCH(AS$1, lmic_raw[#Headers],0))=0, INDEX(regions[], MATCH($D11, regions[[setting]:[setting]],0), MATCH(AS$1, regions[#Headers],0)),INDEX(lmic_raw[],MATCH($A11,lmic_raw[[setting]:[setting]],0), MATCH(AS$1, lmic_raw[#Headers],0)))</f>
        <v>3.867017588830339E-2</v>
      </c>
      <c r="AT11" s="33">
        <f>IF(INDEX(lmic_raw[],MATCH($A11,lmic_raw[[setting]:[setting]],0), MATCH(AT$1, lmic_raw[#Headers],0))=0, INDEX(regions[], MATCH($D11, regions[[setting]:[setting]],0), MATCH(AT$1, regions[#Headers],0)),INDEX(lmic_raw[],MATCH($A11,lmic_raw[[setting]:[setting]],0), MATCH(AT$1, lmic_raw[#Headers],0)))</f>
        <v>6.118915184078795E-2</v>
      </c>
      <c r="AU11" s="33">
        <f>IF(INDEX(lmic_raw[],MATCH($A11,lmic_raw[[setting]:[setting]],0), MATCH(AU$1, lmic_raw[#Headers],0))=0, INDEX(regions[], MATCH($D11, regions[[setting]:[setting]],0), MATCH(AU$1, regions[#Headers],0)),INDEX(lmic_raw[],MATCH($A11,lmic_raw[[setting]:[setting]],0), MATCH(AU$1, lmic_raw[#Headers],0)))</f>
        <v>8.5259662158690394E-2</v>
      </c>
      <c r="AV11" s="33">
        <f>IF(INDEX(lmic_raw[],MATCH($A11,lmic_raw[[setting]:[setting]],0), MATCH(AV$1, lmic_raw[#Headers],0))=0, INDEX(regions[], MATCH($D11, regions[[setting]:[setting]],0), MATCH(AV$1, regions[#Headers],0)),INDEX(lmic_raw[],MATCH($A11,lmic_raw[[setting]:[setting]],0), MATCH(AV$1, lmic_raw[#Headers],0)))</f>
        <v>0.10937780472241215</v>
      </c>
      <c r="AW11" s="33">
        <f>IF(INDEX(lmic_raw[],MATCH($A11,lmic_raw[[setting]:[setting]],0), MATCH(AW$1, lmic_raw[#Headers],0))=0, INDEX(regions[], MATCH($D11, regions[[setting]:[setting]],0), MATCH(AW$1, regions[#Headers],0)),INDEX(lmic_raw[],MATCH($A11,lmic_raw[[setting]:[setting]],0), MATCH(AW$1, lmic_raw[#Headers],0)))</f>
        <v>0.15112605195352843</v>
      </c>
      <c r="AX11" s="33">
        <f>IF(INDEX(lmic_raw[],MATCH($A11,lmic_raw[[setting]:[setting]],0), MATCH(AX$1, lmic_raw[#Headers],0))=0, INDEX(regions[], MATCH($D11, regions[[setting]:[setting]],0), MATCH(AX$1, regions[#Headers],0)),INDEX(lmic_raw[],MATCH($A11,lmic_raw[[setting]:[setting]],0), MATCH(AX$1, lmic_raw[#Headers],0)))</f>
        <v>74.37</v>
      </c>
      <c r="AY11" s="33" t="str">
        <f>IF(VLOOKUP($A11,lmic_raw[],11,FALSE)=0, "Yes", "No")</f>
        <v>No</v>
      </c>
    </row>
    <row r="12" spans="1:51" x14ac:dyDescent="0.25">
      <c r="A12" s="109" t="s">
        <v>138</v>
      </c>
      <c r="B12" s="101" t="s">
        <v>383</v>
      </c>
      <c r="C12" s="102">
        <v>204</v>
      </c>
      <c r="D12" s="82" t="s">
        <v>677</v>
      </c>
      <c r="E12" s="82" t="s">
        <v>591</v>
      </c>
      <c r="F12" s="82" t="s">
        <v>667</v>
      </c>
      <c r="G12" s="82" t="s">
        <v>674</v>
      </c>
      <c r="H12" s="33">
        <f>IF(INDEX(lmic_raw[],MATCH($A12,lmic_raw[[setting]:[setting]],0), MATCH(H$1, lmic_raw[#Headers],0))=0, INDEX(regions[], MATCH($D12, regions[[setting]:[setting]],0), MATCH(H$1, regions[#Headers],0)),INDEX(lmic_raw[],MATCH($A12,lmic_raw[[setting]:[setting]],0), MATCH(H$1, lmic_raw[#Headers],0)))</f>
        <v>11801151</v>
      </c>
      <c r="I12" s="33">
        <f>IF(INDEX(lmic_raw[],MATCH($A12,lmic_raw[[setting]:[setting]],0), MATCH(I$1, lmic_raw[#Headers],0))=0, INDEX(regions[], MATCH($D12, regions[[setting]:[setting]],0), MATCH(I$1, regions[#Headers],0)),INDEX(lmic_raw[],MATCH($A12,lmic_raw[[setting]:[setting]],0), MATCH(I$1, lmic_raw[#Headers],0)))</f>
        <v>429573.69755100005</v>
      </c>
      <c r="J12" s="33">
        <f>IF(INDEX(lmic_raw[],MATCH($A12,lmic_raw[[setting]:[setting]],0), MATCH(J$1, lmic_raw[#Headers],0))=0, INDEX(regions[], MATCH($D12, regions[[setting]:[setting]],0), MATCH(J$1, regions[#Headers],0)),INDEX(lmic_raw[],MATCH($A12,lmic_raw[[setting]:[setting]],0), MATCH(J$1, lmic_raw[#Headers],0)))</f>
        <v>0.83900000000000008</v>
      </c>
      <c r="K12" s="33">
        <f>IF(INDEX(lmic_raw[],MATCH($A12,lmic_raw[[setting]:[setting]],0), MATCH(K$1, lmic_raw[#Headers],0))=0, INDEX(regions[], MATCH($D12, regions[[setting]:[setting]],0), MATCH(K$1, regions[#Headers],0)),INDEX(lmic_raw[],MATCH($A12,lmic_raw[[setting]:[setting]],0), MATCH(K$1, lmic_raw[#Headers],0)))</f>
        <v>0.69252604416320784</v>
      </c>
      <c r="L12" s="33">
        <f>IF(INDEX(lmic_raw[],MATCH($A12,lmic_raw[[setting]:[setting]],0), MATCH(L$1, lmic_raw[#Headers],0))=0, INDEX(regions[], MATCH($D12, regions[[setting]:[setting]],0), MATCH(L$1, regions[#Headers],0)),INDEX(lmic_raw[],MATCH($A12,lmic_raw[[setting]:[setting]],0), MATCH(L$1, lmic_raw[#Headers],0)))</f>
        <v>0.76</v>
      </c>
      <c r="M12" s="33">
        <f>IF(INDEX(lmic_raw[],MATCH($A12,lmic_raw[[setting]:[setting]],0), MATCH(M$1, lmic_raw[#Headers],0))=0, INDEX(regions[], MATCH($D12, regions[[setting]:[setting]],0), MATCH(M$1, regions[#Headers],0)),INDEX(lmic_raw[],MATCH($A12,lmic_raw[[setting]:[setting]],0), MATCH(M$1, lmic_raw[#Headers],0)))</f>
        <v>0.10949999999999999</v>
      </c>
      <c r="N12" s="33">
        <f>IF(INDEX(lmic_raw[],MATCH($A12,lmic_raw[[setting]:[setting]],0), MATCH(N$1, lmic_raw[#Headers],0))=0, INDEX(regions[], MATCH($D12, regions[[setting]:[setting]],0), MATCH(N$1, regions[#Headers],0)),INDEX(lmic_raw[],MATCH($A12,lmic_raw[[setting]:[setting]],0), MATCH(N$1, lmic_raw[#Headers],0)))</f>
        <v>0.29308008391498708</v>
      </c>
      <c r="O12" s="33">
        <f>IF(INDEX(lmic_raw[],MATCH($A12,lmic_raw[[setting]:[setting]],0), MATCH(O$1, lmic_raw[#Headers],0))=0, INDEX(regions[], MATCH($D12, regions[[setting]:[setting]],0), MATCH(O$1, regions[#Headers],0)),INDEX(lmic_raw[],MATCH($A12,lmic_raw[[setting]:[setting]],0), MATCH(O$1, lmic_raw[#Headers],0)))</f>
        <v>0.38300000000000001</v>
      </c>
      <c r="P12" s="33">
        <f>IF(INDEX(lmic_raw[],MATCH($A12,lmic_raw[[setting]:[setting]],0), MATCH(P$1, lmic_raw[#Headers],0))=0, INDEX(regions[], MATCH($D12, regions[[setting]:[setting]],0), MATCH(P$1, regions[#Headers],0)),INDEX(lmic_raw[],MATCH($A12,lmic_raw[[setting]:[setting]],0), MATCH(P$1, lmic_raw[#Headers],0)))</f>
        <v>4.8000000000000001E-2</v>
      </c>
      <c r="Q12" s="33">
        <f>IF(INDEX(lmic_raw[],MATCH($A12,lmic_raw[[setting]:[setting]],0), MATCH(Q$1, lmic_raw[#Headers],0))=0, INDEX(regions[], MATCH($D12, regions[[setting]:[setting]],0), MATCH(Q$1, regions[#Headers],0)),INDEX(lmic_raw[],MATCH($A12,lmic_raw[[setting]:[setting]],0), MATCH(Q$1, lmic_raw[#Headers],0)))</f>
        <v>3.1805024365104511</v>
      </c>
      <c r="R12" s="33">
        <f>IF(INDEX(lmic_raw[],MATCH($A12,lmic_raw[[setting]:[setting]],0), MATCH(R$1, lmic_raw[#Headers],0))=0, INDEX(regions[], MATCH($D12, regions[[setting]:[setting]],0), MATCH(R$1, regions[#Headers],0)),INDEX(lmic_raw[],MATCH($A12,lmic_raw[[setting]:[setting]],0), MATCH(R$1, lmic_raw[#Headers],0)))</f>
        <v>29.920500000000001</v>
      </c>
      <c r="S12" s="33">
        <f>IF(INDEX(lmic_raw[],MATCH($A12,lmic_raw[[setting]:[setting]],0), MATCH(S$1, lmic_raw[#Headers],0))=0, INDEX(regions[], MATCH($D12, regions[[setting]:[setting]],0), MATCH(S$1, regions[#Headers],0)),INDEX(lmic_raw[],MATCH($A12,lmic_raw[[setting]:[setting]],0), MATCH(S$1, lmic_raw[#Headers],0)))</f>
        <v>77.662500000000009</v>
      </c>
      <c r="T12" s="33">
        <f>IF(INDEX(lmic_raw[],MATCH($A12,lmic_raw[[setting]:[setting]],0), MATCH(T$1, lmic_raw[#Headers],0))=0, INDEX(regions[], MATCH($D12, regions[[setting]:[setting]],0), MATCH(T$1, regions[#Headers],0)),INDEX(lmic_raw[],MATCH($A12,lmic_raw[[setting]:[setting]],0), MATCH(T$1, lmic_raw[#Headers],0)))</f>
        <v>77.662500000000009</v>
      </c>
      <c r="U12" s="33">
        <f>IF(INDEX(lmic_raw[],MATCH($A12,lmic_raw[[setting]:[setting]],0), MATCH(U$1, lmic_raw[#Headers],0))=0, INDEX(regions[], MATCH($D12, regions[[setting]:[setting]],0), MATCH(U$1, regions[#Headers],0)),INDEX(lmic_raw[],MATCH($A12,lmic_raw[[setting]:[setting]],0), MATCH(U$1, lmic_raw[#Headers],0)))</f>
        <v>77.662500000000009</v>
      </c>
      <c r="V12" s="33">
        <f>IF(INDEX(lmic_raw[],MATCH($A12,lmic_raw[[setting]:[setting]],0), MATCH(V$1, lmic_raw[#Headers],0))=0, INDEX(regions[], MATCH($D12, regions[[setting]:[setting]],0), MATCH(V$1, regions[#Headers],0)),INDEX(lmic_raw[],MATCH($A12,lmic_raw[[setting]:[setting]],0), MATCH(V$1, lmic_raw[#Headers],0)))</f>
        <v>1.9522554943253922</v>
      </c>
      <c r="W12" s="33">
        <f>IF(INDEX(lmic_raw[],MATCH($A12,lmic_raw[[setting]:[setting]],0), MATCH(W$1, lmic_raw[#Headers],0))=0, INDEX(regions[], MATCH($D12, regions[[setting]:[setting]],0), MATCH(W$1, regions[#Headers],0)),INDEX(lmic_raw[],MATCH($A12,lmic_raw[[setting]:[setting]],0), MATCH(W$1, lmic_raw[#Headers],0)))</f>
        <v>6.7822554943253923</v>
      </c>
      <c r="X12" s="33">
        <f>IF(INDEX(lmic_raw[],MATCH($A12,lmic_raw[[setting]:[setting]],0), MATCH(X$1, lmic_raw[#Headers],0))=0, INDEX(regions[], MATCH($D12, regions[[setting]:[setting]],0), MATCH(X$1, regions[#Headers],0)),INDEX(lmic_raw[],MATCH($A12,lmic_raw[[setting]:[setting]],0), MATCH(X$1, lmic_raw[#Headers],0)))</f>
        <v>1.5235912638299196</v>
      </c>
      <c r="Y12" s="33">
        <f>IF(INDEX(lmic_raw[],MATCH($A12,lmic_raw[[setting]:[setting]],0), MATCH(Y$1, lmic_raw[#Headers],0))=0, INDEX(regions[], MATCH($D12, regions[[setting]:[setting]],0), MATCH(Y$1, regions[#Headers],0)),INDEX(lmic_raw[],MATCH($A12,lmic_raw[[setting]:[setting]],0), MATCH(Y$1, lmic_raw[#Headers],0)))</f>
        <v>6.3535912638299195</v>
      </c>
      <c r="Z12" s="33">
        <f>IF(INDEX(lmic_raw[],MATCH($A12,lmic_raw[[setting]:[setting]],0), MATCH(Z$1, lmic_raw[#Headers],0))=0, INDEX(regions[], MATCH($D12, regions[[setting]:[setting]],0), MATCH(Z$1, regions[#Headers],0)),INDEX(lmic_raw[],MATCH($A12,lmic_raw[[setting]:[setting]],0), MATCH(Z$1, lmic_raw[#Headers],0)))</f>
        <v>6.3493917356068934</v>
      </c>
      <c r="AA12" s="33">
        <f>IF(INDEX(lmic_raw[],MATCH($A12,lmic_raw[[setting]:[setting]],0), MATCH(AA$1, lmic_raw[#Headers],0))=0, INDEX(regions[], MATCH($D12, regions[[setting]:[setting]],0), MATCH(AA$1, regions[#Headers],0)),INDEX(lmic_raw[],MATCH($A12,lmic_raw[[setting]:[setting]],0), MATCH(AA$1, lmic_raw[#Headers],0)))</f>
        <v>2.1950000369482026</v>
      </c>
      <c r="AB12" s="33">
        <f>IF(INDEX(lmic_raw[],MATCH($A12,lmic_raw[[setting]:[setting]],0), MATCH(AB$1, lmic_raw[#Headers],0))=0, INDEX(regions[], MATCH($D12, regions[[setting]:[setting]],0), MATCH(AB$1, regions[#Headers],0)),INDEX(lmic_raw[],MATCH($A12,lmic_raw[[setting]:[setting]],0), MATCH(AB$1, lmic_raw[#Headers],0)))</f>
        <v>7.0250000369482031</v>
      </c>
      <c r="AC12" s="33">
        <f>IF(INDEX(lmic_raw[],MATCH($A12,lmic_raw[[setting]:[setting]],0), MATCH(AC$1, lmic_raw[#Headers],0))=0, INDEX(regions[], MATCH($D12, regions[[setting]:[setting]],0), MATCH(AC$1, regions[#Headers],0)),INDEX(lmic_raw[],MATCH($A12,lmic_raw[[setting]:[setting]],0), MATCH(AC$1, lmic_raw[#Headers],0)))</f>
        <v>6.1164949999999954E-2</v>
      </c>
      <c r="AD12" s="33">
        <f>IF(INDEX(lmic_raw[],MATCH($A12,lmic_raw[[setting]:[setting]],0), MATCH(AD$1, lmic_raw[#Headers],0))=0, INDEX(regions[], MATCH($D12, regions[[setting]:[setting]],0), MATCH(AD$1, regions[#Headers],0)),INDEX(lmic_raw[],MATCH($A12,lmic_raw[[setting]:[setting]],0), MATCH(AD$1, lmic_raw[#Headers],0)))</f>
        <v>9.1920966308192444E-3</v>
      </c>
      <c r="AE12" s="33">
        <f>IF(INDEX(lmic_raw[],MATCH($A12,lmic_raw[[setting]:[setting]],0), MATCH(AE$1, lmic_raw[#Headers],0))=0, INDEX(regions[], MATCH($D12, regions[[setting]:[setting]],0), MATCH(AE$1, regions[#Headers],0)),INDEX(lmic_raw[],MATCH($A12,lmic_raw[[setting]:[setting]],0), MATCH(AE$1, lmic_raw[#Headers],0)))</f>
        <v>3.0964875536814694E-3</v>
      </c>
      <c r="AF12" s="33">
        <f>IF(INDEX(lmic_raw[],MATCH($A12,lmic_raw[[setting]:[setting]],0), MATCH(AF$1, lmic_raw[#Headers],0))=0, INDEX(regions[], MATCH($D12, regions[[setting]:[setting]],0), MATCH(AF$1, regions[#Headers],0)),INDEX(lmic_raw[],MATCH($A12,lmic_raw[[setting]:[setting]],0), MATCH(AF$1, lmic_raw[#Headers],0)))</f>
        <v>1.83242869242432E-3</v>
      </c>
      <c r="AG12" s="33">
        <f>IF(INDEX(lmic_raw[],MATCH($A12,lmic_raw[[setting]:[setting]],0), MATCH(AG$1, lmic_raw[#Headers],0))=0, INDEX(regions[], MATCH($D12, regions[[setting]:[setting]],0), MATCH(AG$1, regions[#Headers],0)),INDEX(lmic_raw[],MATCH($A12,lmic_raw[[setting]:[setting]],0), MATCH(AG$1, lmic_raw[#Headers],0)))</f>
        <v>2.463276961685093E-3</v>
      </c>
      <c r="AH12" s="33">
        <f>IF(INDEX(lmic_raw[],MATCH($A12,lmic_raw[[setting]:[setting]],0), MATCH(AH$1, lmic_raw[#Headers],0))=0, INDEX(regions[], MATCH($D12, regions[[setting]:[setting]],0), MATCH(AH$1, regions[#Headers],0)),INDEX(lmic_raw[],MATCH($A12,lmic_raw[[setting]:[setting]],0), MATCH(AH$1, lmic_raw[#Headers],0)))</f>
        <v>3.3343019710225666E-3</v>
      </c>
      <c r="AI12" s="33">
        <f>IF(INDEX(lmic_raw[],MATCH($A12,lmic_raw[[setting]:[setting]],0), MATCH(AI$1, lmic_raw[#Headers],0))=0, INDEX(regions[], MATCH($D12, regions[[setting]:[setting]],0), MATCH(AI$1, regions[#Headers],0)),INDEX(lmic_raw[],MATCH($A12,lmic_raw[[setting]:[setting]],0), MATCH(AI$1, lmic_raw[#Headers],0)))</f>
        <v>3.6652593795521776E-3</v>
      </c>
      <c r="AJ12" s="33">
        <f>IF(INDEX(lmic_raw[],MATCH($A12,lmic_raw[[setting]:[setting]],0), MATCH(AJ$1, lmic_raw[#Headers],0))=0, INDEX(regions[], MATCH($D12, regions[[setting]:[setting]],0), MATCH(AJ$1, regions[#Headers],0)),INDEX(lmic_raw[],MATCH($A12,lmic_raw[[setting]:[setting]],0), MATCH(AJ$1, lmic_raw[#Headers],0)))</f>
        <v>4.0444612807645271E-3</v>
      </c>
      <c r="AK12" s="33">
        <f>IF(INDEX(lmic_raw[],MATCH($A12,lmic_raw[[setting]:[setting]],0), MATCH(AK$1, lmic_raw[#Headers],0))=0, INDEX(regions[], MATCH($D12, regions[[setting]:[setting]],0), MATCH(AK$1, regions[#Headers],0)),INDEX(lmic_raw[],MATCH($A12,lmic_raw[[setting]:[setting]],0), MATCH(AK$1, lmic_raw[#Headers],0)))</f>
        <v>4.6082345686252989E-3</v>
      </c>
      <c r="AL12" s="33">
        <f>IF(INDEX(lmic_raw[],MATCH($A12,lmic_raw[[setting]:[setting]],0), MATCH(AL$1, lmic_raw[#Headers],0))=0, INDEX(regions[], MATCH($D12, regions[[setting]:[setting]],0), MATCH(AL$1, regions[#Headers],0)),INDEX(lmic_raw[],MATCH($A12,lmic_raw[[setting]:[setting]],0), MATCH(AL$1, lmic_raw[#Headers],0)))</f>
        <v>5.694718856478747E-3</v>
      </c>
      <c r="AM12" s="33">
        <f>IF(INDEX(lmic_raw[],MATCH($A12,lmic_raw[[setting]:[setting]],0), MATCH(AM$1, lmic_raw[#Headers],0))=0, INDEX(regions[], MATCH($D12, regions[[setting]:[setting]],0), MATCH(AM$1, regions[#Headers],0)),INDEX(lmic_raw[],MATCH($A12,lmic_raw[[setting]:[setting]],0), MATCH(AM$1, lmic_raw[#Headers],0)))</f>
        <v>6.9182841363716755E-3</v>
      </c>
      <c r="AN12" s="33">
        <f>IF(INDEX(lmic_raw[],MATCH($A12,lmic_raw[[setting]:[setting]],0), MATCH(AN$1, lmic_raw[#Headers],0))=0, INDEX(regions[], MATCH($D12, regions[[setting]:[setting]],0), MATCH(AN$1, regions[#Headers],0)),INDEX(lmic_raw[],MATCH($A12,lmic_raw[[setting]:[setting]],0), MATCH(AN$1, lmic_raw[#Headers],0)))</f>
        <v>9.6187640858853684E-3</v>
      </c>
      <c r="AO12" s="33">
        <f>IF(INDEX(lmic_raw[],MATCH($A12,lmic_raw[[setting]:[setting]],0), MATCH(AO$1, lmic_raw[#Headers],0))=0, INDEX(regions[], MATCH($D12, regions[[setting]:[setting]],0), MATCH(AO$1, regions[#Headers],0)),INDEX(lmic_raw[],MATCH($A12,lmic_raw[[setting]:[setting]],0), MATCH(AO$1, lmic_raw[#Headers],0)))</f>
        <v>1.2864543277523127E-2</v>
      </c>
      <c r="AP12" s="33">
        <f>IF(INDEX(lmic_raw[],MATCH($A12,lmic_raw[[setting]:[setting]],0), MATCH(AP$1, lmic_raw[#Headers],0))=0, INDEX(regions[], MATCH($D12, regions[[setting]:[setting]],0), MATCH(AP$1, regions[#Headers],0)),INDEX(lmic_raw[],MATCH($A12,lmic_raw[[setting]:[setting]],0), MATCH(AP$1, lmic_raw[#Headers],0)))</f>
        <v>1.9340131777017523E-2</v>
      </c>
      <c r="AQ12" s="33">
        <f>IF(INDEX(lmic_raw[],MATCH($A12,lmic_raw[[setting]:[setting]],0), MATCH(AQ$1, lmic_raw[#Headers],0))=0, INDEX(regions[], MATCH($D12, regions[[setting]:[setting]],0), MATCH(AQ$1, regions[#Headers],0)),INDEX(lmic_raw[],MATCH($A12,lmic_raw[[setting]:[setting]],0), MATCH(AQ$1, lmic_raw[#Headers],0)))</f>
        <v>2.948365902483838E-2</v>
      </c>
      <c r="AR12" s="33">
        <f>IF(INDEX(lmic_raw[],MATCH($A12,lmic_raw[[setting]:[setting]],0), MATCH(AR$1, lmic_raw[#Headers],0))=0, INDEX(regions[], MATCH($D12, regions[[setting]:[setting]],0), MATCH(AR$1, regions[#Headers],0)),INDEX(lmic_raw[],MATCH($A12,lmic_raw[[setting]:[setting]],0), MATCH(AR$1, lmic_raw[#Headers],0)))</f>
        <v>4.5251196999489859E-2</v>
      </c>
      <c r="AS12" s="33">
        <f>IF(INDEX(lmic_raw[],MATCH($A12,lmic_raw[[setting]:[setting]],0), MATCH(AS$1, lmic_raw[#Headers],0))=0, INDEX(regions[], MATCH($D12, regions[[setting]:[setting]],0), MATCH(AS$1, regions[#Headers],0)),INDEX(lmic_raw[],MATCH($A12,lmic_raw[[setting]:[setting]],0), MATCH(AS$1, lmic_raw[#Headers],0)))</f>
        <v>6.7740549247238033E-2</v>
      </c>
      <c r="AT12" s="33">
        <f>IF(INDEX(lmic_raw[],MATCH($A12,lmic_raw[[setting]:[setting]],0), MATCH(AT$1, lmic_raw[#Headers],0))=0, INDEX(regions[], MATCH($D12, regions[[setting]:[setting]],0), MATCH(AT$1, regions[#Headers],0)),INDEX(lmic_raw[],MATCH($A12,lmic_raw[[setting]:[setting]],0), MATCH(AT$1, lmic_raw[#Headers],0)))</f>
        <v>9.7565677481811094E-2</v>
      </c>
      <c r="AU12" s="33">
        <f>IF(INDEX(lmic_raw[],MATCH($A12,lmic_raw[[setting]:[setting]],0), MATCH(AU$1, lmic_raw[#Headers],0))=0, INDEX(regions[], MATCH($D12, regions[[setting]:[setting]],0), MATCH(AU$1, regions[#Headers],0)),INDEX(lmic_raw[],MATCH($A12,lmic_raw[[setting]:[setting]],0), MATCH(AU$1, lmic_raw[#Headers],0)))</f>
        <v>0.12954423249216701</v>
      </c>
      <c r="AV12" s="33">
        <f>IF(INDEX(lmic_raw[],MATCH($A12,lmic_raw[[setting]:[setting]],0), MATCH(AV$1, lmic_raw[#Headers],0))=0, INDEX(regions[], MATCH($D12, regions[[setting]:[setting]],0), MATCH(AV$1, regions[#Headers],0)),INDEX(lmic_raw[],MATCH($A12,lmic_raw[[setting]:[setting]],0), MATCH(AV$1, lmic_raw[#Headers],0)))</f>
        <v>0.15740319463492428</v>
      </c>
      <c r="AW12" s="33">
        <f>IF(INDEX(lmic_raw[],MATCH($A12,lmic_raw[[setting]:[setting]],0), MATCH(AW$1, lmic_raw[#Headers],0))=0, INDEX(regions[], MATCH($D12, regions[[setting]:[setting]],0), MATCH(AW$1, regions[#Headers],0)),INDEX(lmic_raw[],MATCH($A12,lmic_raw[[setting]:[setting]],0), MATCH(AW$1, lmic_raw[#Headers],0)))</f>
        <v>0.17611156213301282</v>
      </c>
      <c r="AX12" s="33">
        <f>IF(INDEX(lmic_raw[],MATCH($A12,lmic_raw[[setting]:[setting]],0), MATCH(AX$1, lmic_raw[#Headers],0))=0, INDEX(regions[], MATCH($D12, regions[[setting]:[setting]],0), MATCH(AX$1, regions[#Headers],0)),INDEX(lmic_raw[],MATCH($A12,lmic_raw[[setting]:[setting]],0), MATCH(AX$1, lmic_raw[#Headers],0)))</f>
        <v>61.302999999999997</v>
      </c>
      <c r="AY12" s="33" t="str">
        <f>IF(VLOOKUP($A12,lmic_raw[],11,FALSE)=0, "Yes", "No")</f>
        <v>Yes</v>
      </c>
    </row>
    <row r="13" spans="1:51" x14ac:dyDescent="0.25">
      <c r="A13" s="110" t="s">
        <v>193</v>
      </c>
      <c r="B13" s="104" t="s">
        <v>384</v>
      </c>
      <c r="C13" s="105">
        <v>64</v>
      </c>
      <c r="D13" s="84" t="s">
        <v>680</v>
      </c>
      <c r="E13" s="84" t="s">
        <v>589</v>
      </c>
      <c r="F13" s="84" t="s">
        <v>589</v>
      </c>
      <c r="G13" s="84" t="s">
        <v>678</v>
      </c>
      <c r="H13" s="33">
        <f>IF(INDEX(lmic_raw[],MATCH($A13,lmic_raw[[setting]:[setting]],0), MATCH(H$1, lmic_raw[#Headers],0))=0, INDEX(regions[], MATCH($D13, regions[[setting]:[setting]],0), MATCH(H$1, regions[#Headers],0)),INDEX(lmic_raw[],MATCH($A13,lmic_raw[[setting]:[setting]],0), MATCH(H$1, lmic_raw[#Headers],0)))</f>
        <v>763094</v>
      </c>
      <c r="I13" s="33">
        <f>IF(INDEX(lmic_raw[],MATCH($A13,lmic_raw[[setting]:[setting]],0), MATCH(I$1, lmic_raw[#Headers],0))=0, INDEX(regions[], MATCH($D13, regions[[setting]:[setting]],0), MATCH(I$1, regions[#Headers],0)),INDEX(lmic_raw[],MATCH($A13,lmic_raw[[setting]:[setting]],0), MATCH(I$1, lmic_raw[#Headers],0)))</f>
        <v>13348.040248000001</v>
      </c>
      <c r="J13" s="33">
        <f>IF(INDEX(lmic_raw[],MATCH($A13,lmic_raw[[setting]:[setting]],0), MATCH(J$1, lmic_raw[#Headers],0))=0, INDEX(regions[], MATCH($D13, regions[[setting]:[setting]],0), MATCH(J$1, regions[#Headers],0)),INDEX(lmic_raw[],MATCH($A13,lmic_raw[[setting]:[setting]],0), MATCH(J$1, lmic_raw[#Headers],0)))</f>
        <v>0.73799999999999999</v>
      </c>
      <c r="K13" s="33">
        <f>IF(INDEX(lmic_raw[],MATCH($A13,lmic_raw[[setting]:[setting]],0), MATCH(K$1, lmic_raw[#Headers],0))=0, INDEX(regions[], MATCH($D13, regions[[setting]:[setting]],0), MATCH(K$1, regions[#Headers],0)),INDEX(lmic_raw[],MATCH($A13,lmic_raw[[setting]:[setting]],0), MATCH(K$1, lmic_raw[#Headers],0)))</f>
        <v>0.86</v>
      </c>
      <c r="L13" s="33">
        <f>IF(INDEX(lmic_raw[],MATCH($A13,lmic_raw[[setting]:[setting]],0), MATCH(L$1, lmic_raw[#Headers],0))=0, INDEX(regions[], MATCH($D13, regions[[setting]:[setting]],0), MATCH(L$1, regions[#Headers],0)),INDEX(lmic_raw[],MATCH($A13,lmic_raw[[setting]:[setting]],0), MATCH(L$1, lmic_raw[#Headers],0)))</f>
        <v>0.97</v>
      </c>
      <c r="M13" s="33">
        <f>IF(INDEX(lmic_raw[],MATCH($A13,lmic_raw[[setting]:[setting]],0), MATCH(M$1, lmic_raw[#Headers],0))=0, INDEX(regions[], MATCH($D13, regions[[setting]:[setting]],0), MATCH(M$1, regions[#Headers],0)),INDEX(lmic_raw[],MATCH($A13,lmic_raw[[setting]:[setting]],0), MATCH(M$1, lmic_raw[#Headers],0)))</f>
        <v>4.2900000000000001E-2</v>
      </c>
      <c r="N13" s="33">
        <f>IF(INDEX(lmic_raw[],MATCH($A13,lmic_raw[[setting]:[setting]],0), MATCH(N$1, lmic_raw[#Headers],0))=0, INDEX(regions[], MATCH($D13, regions[[setting]:[setting]],0), MATCH(N$1, regions[#Headers],0)),INDEX(lmic_raw[],MATCH($A13,lmic_raw[[setting]:[setting]],0), MATCH(N$1, lmic_raw[#Headers],0)))</f>
        <v>0.26254910100193679</v>
      </c>
      <c r="O13" s="33">
        <f>IF(INDEX(lmic_raw[],MATCH($A13,lmic_raw[[setting]:[setting]],0), MATCH(O$1, lmic_raw[#Headers],0))=0, INDEX(regions[], MATCH($D13, regions[[setting]:[setting]],0), MATCH(O$1, regions[#Headers],0)),INDEX(lmic_raw[],MATCH($A13,lmic_raw[[setting]:[setting]],0), MATCH(O$1, lmic_raw[#Headers],0)))</f>
        <v>0.8</v>
      </c>
      <c r="P13" s="33">
        <f>IF(INDEX(lmic_raw[],MATCH($A13,lmic_raw[[setting]:[setting]],0), MATCH(P$1, lmic_raw[#Headers],0))=0, INDEX(regions[], MATCH($D13, regions[[setting]:[setting]],0), MATCH(P$1, regions[#Headers],0)),INDEX(lmic_raw[],MATCH($A13,lmic_raw[[setting]:[setting]],0), MATCH(P$1, lmic_raw[#Headers],0)))</f>
        <v>0.17499999999999999</v>
      </c>
      <c r="Q13" s="33">
        <f>IF(INDEX(lmic_raw[],MATCH($A13,lmic_raw[[setting]:[setting]],0), MATCH(Q$1, lmic_raw[#Headers],0))=0, INDEX(regions[], MATCH($D13, regions[[setting]:[setting]],0), MATCH(Q$1, regions[#Headers],0)),INDEX(lmic_raw[],MATCH($A13,lmic_raw[[setting]:[setting]],0), MATCH(Q$1, lmic_raw[#Headers],0)))</f>
        <v>5.2457171639536941</v>
      </c>
      <c r="R13" s="33">
        <f>IF(INDEX(lmic_raw[],MATCH($A13,lmic_raw[[setting]:[setting]],0), MATCH(R$1, lmic_raw[#Headers],0))=0, INDEX(regions[], MATCH($D13, regions[[setting]:[setting]],0), MATCH(R$1, regions[#Headers],0)),INDEX(lmic_raw[],MATCH($A13,lmic_raw[[setting]:[setting]],0), MATCH(R$1, lmic_raw[#Headers],0)))</f>
        <v>45.899900000000002</v>
      </c>
      <c r="S13" s="33">
        <f>IF(INDEX(lmic_raw[],MATCH($A13,lmic_raw[[setting]:[setting]],0), MATCH(S$1, lmic_raw[#Headers],0))=0, INDEX(regions[], MATCH($D13, regions[[setting]:[setting]],0), MATCH(S$1, regions[#Headers],0)),INDEX(lmic_raw[],MATCH($A13,lmic_raw[[setting]:[setting]],0), MATCH(S$1, lmic_raw[#Headers],0)))</f>
        <v>93.641900000000007</v>
      </c>
      <c r="T13" s="33">
        <f>IF(INDEX(lmic_raw[],MATCH($A13,lmic_raw[[setting]:[setting]],0), MATCH(T$1, lmic_raw[#Headers],0))=0, INDEX(regions[], MATCH($D13, regions[[setting]:[setting]],0), MATCH(T$1, regions[#Headers],0)),INDEX(lmic_raw[],MATCH($A13,lmic_raw[[setting]:[setting]],0), MATCH(T$1, lmic_raw[#Headers],0)))</f>
        <v>93.641900000000007</v>
      </c>
      <c r="U13" s="33">
        <f>IF(INDEX(lmic_raw[],MATCH($A13,lmic_raw[[setting]:[setting]],0), MATCH(U$1, lmic_raw[#Headers],0))=0, INDEX(regions[], MATCH($D13, regions[[setting]:[setting]],0), MATCH(U$1, regions[#Headers],0)),INDEX(lmic_raw[],MATCH($A13,lmic_raw[[setting]:[setting]],0), MATCH(U$1, lmic_raw[#Headers],0)))</f>
        <v>93.641900000000007</v>
      </c>
      <c r="V13" s="33">
        <f>IF(INDEX(lmic_raw[],MATCH($A13,lmic_raw[[setting]:[setting]],0), MATCH(V$1, lmic_raw[#Headers],0))=0, INDEX(regions[], MATCH($D13, regions[[setting]:[setting]],0), MATCH(V$1, regions[#Headers],0)),INDEX(lmic_raw[],MATCH($A13,lmic_raw[[setting]:[setting]],0), MATCH(V$1, lmic_raw[#Headers],0)))</f>
        <v>8.0040339574761692</v>
      </c>
      <c r="W13" s="33">
        <f>IF(INDEX(lmic_raw[],MATCH($A13,lmic_raw[[setting]:[setting]],0), MATCH(W$1, lmic_raw[#Headers],0))=0, INDEX(regions[], MATCH($D13, regions[[setting]:[setting]],0), MATCH(W$1, regions[#Headers],0)),INDEX(lmic_raw[],MATCH($A13,lmic_raw[[setting]:[setting]],0), MATCH(W$1, lmic_raw[#Headers],0)))</f>
        <v>10.45403395747617</v>
      </c>
      <c r="X13" s="33">
        <f>IF(INDEX(lmic_raw[],MATCH($A13,lmic_raw[[setting]:[setting]],0), MATCH(X$1, lmic_raw[#Headers],0))=0, INDEX(regions[], MATCH($D13, regions[[setting]:[setting]],0), MATCH(X$1, regions[#Headers],0)),INDEX(lmic_raw[],MATCH($A13,lmic_raw[[setting]:[setting]],0), MATCH(X$1, lmic_raw[#Headers],0)))</f>
        <v>7.5668873329623834</v>
      </c>
      <c r="Y13" s="33">
        <f>IF(INDEX(lmic_raw[],MATCH($A13,lmic_raw[[setting]:[setting]],0), MATCH(Y$1, lmic_raw[#Headers],0))=0, INDEX(regions[], MATCH($D13, regions[[setting]:[setting]],0), MATCH(Y$1, regions[#Headers],0)),INDEX(lmic_raw[],MATCH($A13,lmic_raw[[setting]:[setting]],0), MATCH(Y$1, lmic_raw[#Headers],0)))</f>
        <v>10.016887332962384</v>
      </c>
      <c r="Z13" s="33">
        <f>IF(INDEX(lmic_raw[],MATCH($A13,lmic_raw[[setting]:[setting]],0), MATCH(Z$1, lmic_raw[#Headers],0))=0, INDEX(regions[], MATCH($D13, regions[[setting]:[setting]],0), MATCH(Z$1, regions[#Headers],0)),INDEX(lmic_raw[],MATCH($A13,lmic_raw[[setting]:[setting]],0), MATCH(Z$1, lmic_raw[#Headers],0)))</f>
        <v>10.009234420526891</v>
      </c>
      <c r="AA13" s="33">
        <f>IF(INDEX(lmic_raw[],MATCH($A13,lmic_raw[[setting]:[setting]],0), MATCH(AA$1, lmic_raw[#Headers],0))=0, INDEX(regions[], MATCH($D13, regions[[setting]:[setting]],0), MATCH(AA$1, regions[#Headers],0)),INDEX(lmic_raw[],MATCH($A13,lmic_raw[[setting]:[setting]],0), MATCH(AA$1, lmic_raw[#Headers],0)))</f>
        <v>8.2498361072451161</v>
      </c>
      <c r="AB13" s="33">
        <f>IF(INDEX(lmic_raw[],MATCH($A13,lmic_raw[[setting]:[setting]],0), MATCH(AB$1, lmic_raw[#Headers],0))=0, INDEX(regions[], MATCH($D13, regions[[setting]:[setting]],0), MATCH(AB$1, regions[#Headers],0)),INDEX(lmic_raw[],MATCH($A13,lmic_raw[[setting]:[setting]],0), MATCH(AB$1, lmic_raw[#Headers],0)))</f>
        <v>10.699836107245115</v>
      </c>
      <c r="AC13" s="33">
        <f>IF(INDEX(lmic_raw[],MATCH($A13,lmic_raw[[setting]:[setting]],0), MATCH(AC$1, lmic_raw[#Headers],0))=0, INDEX(regions[], MATCH($D13, regions[[setting]:[setting]],0), MATCH(AC$1, regions[#Headers],0)),INDEX(lmic_raw[],MATCH($A13,lmic_raw[[setting]:[setting]],0), MATCH(AC$1, lmic_raw[#Headers],0)))</f>
        <v>2.4070130000000065E-2</v>
      </c>
      <c r="AD13" s="33">
        <f>IF(INDEX(lmic_raw[],MATCH($A13,lmic_raw[[setting]:[setting]],0), MATCH(AD$1, lmic_raw[#Headers],0))=0, INDEX(regions[], MATCH($D13, regions[[setting]:[setting]],0), MATCH(AD$1, regions[#Headers],0)),INDEX(lmic_raw[],MATCH($A13,lmic_raw[[setting]:[setting]],0), MATCH(AD$1, lmic_raw[#Headers],0)))</f>
        <v>1.4172022422061688E-3</v>
      </c>
      <c r="AE13" s="33">
        <f>IF(INDEX(lmic_raw[],MATCH($A13,lmic_raw[[setting]:[setting]],0), MATCH(AE$1, lmic_raw[#Headers],0))=0, INDEX(regions[], MATCH($D13, regions[[setting]:[setting]],0), MATCH(AE$1, regions[#Headers],0)),INDEX(lmic_raw[],MATCH($A13,lmic_raw[[setting]:[setting]],0), MATCH(AE$1, lmic_raw[#Headers],0)))</f>
        <v>7.7363966030787946E-4</v>
      </c>
      <c r="AF13" s="33">
        <f>IF(INDEX(lmic_raw[],MATCH($A13,lmic_raw[[setting]:[setting]],0), MATCH(AF$1, lmic_raw[#Headers],0))=0, INDEX(regions[], MATCH($D13, regions[[setting]:[setting]],0), MATCH(AF$1, regions[#Headers],0)),INDEX(lmic_raw[],MATCH($A13,lmic_raw[[setting]:[setting]],0), MATCH(AF$1, lmic_raw[#Headers],0)))</f>
        <v>6.2697757691140463E-4</v>
      </c>
      <c r="AG13" s="33">
        <f>IF(INDEX(lmic_raw[],MATCH($A13,lmic_raw[[setting]:[setting]],0), MATCH(AG$1, lmic_raw[#Headers],0))=0, INDEX(regions[], MATCH($D13, regions[[setting]:[setting]],0), MATCH(AG$1, regions[#Headers],0)),INDEX(lmic_raw[],MATCH($A13,lmic_raw[[setting]:[setting]],0), MATCH(AG$1, lmic_raw[#Headers],0)))</f>
        <v>8.483255994234341E-4</v>
      </c>
      <c r="AH13" s="33">
        <f>IF(INDEX(lmic_raw[],MATCH($A13,lmic_raw[[setting]:[setting]],0), MATCH(AH$1, lmic_raw[#Headers],0))=0, INDEX(regions[], MATCH($D13, regions[[setting]:[setting]],0), MATCH(AH$1, regions[#Headers],0)),INDEX(lmic_raw[],MATCH($A13,lmic_raw[[setting]:[setting]],0), MATCH(AH$1, lmic_raw[#Headers],0)))</f>
        <v>1.3815089011482156E-3</v>
      </c>
      <c r="AI13" s="33">
        <f>IF(INDEX(lmic_raw[],MATCH($A13,lmic_raw[[setting]:[setting]],0), MATCH(AI$1, lmic_raw[#Headers],0))=0, INDEX(regions[], MATCH($D13, regions[[setting]:[setting]],0), MATCH(AI$1, regions[#Headers],0)),INDEX(lmic_raw[],MATCH($A13,lmic_raw[[setting]:[setting]],0), MATCH(AI$1, lmic_raw[#Headers],0)))</f>
        <v>1.9994181120536001E-3</v>
      </c>
      <c r="AJ13" s="33">
        <f>IF(INDEX(lmic_raw[],MATCH($A13,lmic_raw[[setting]:[setting]],0), MATCH(AJ$1, lmic_raw[#Headers],0))=0, INDEX(regions[], MATCH($D13, regions[[setting]:[setting]],0), MATCH(AJ$1, regions[#Headers],0)),INDEX(lmic_raw[],MATCH($A13,lmic_raw[[setting]:[setting]],0), MATCH(AJ$1, lmic_raw[#Headers],0)))</f>
        <v>2.8979871281534348E-3</v>
      </c>
      <c r="AK13" s="33">
        <f>IF(INDEX(lmic_raw[],MATCH($A13,lmic_raw[[setting]:[setting]],0), MATCH(AK$1, lmic_raw[#Headers],0))=0, INDEX(regions[], MATCH($D13, regions[[setting]:[setting]],0), MATCH(AK$1, regions[#Headers],0)),INDEX(lmic_raw[],MATCH($A13,lmic_raw[[setting]:[setting]],0), MATCH(AK$1, lmic_raw[#Headers],0)))</f>
        <v>3.9402642111488967E-3</v>
      </c>
      <c r="AL13" s="33">
        <f>IF(INDEX(lmic_raw[],MATCH($A13,lmic_raw[[setting]:[setting]],0), MATCH(AL$1, lmic_raw[#Headers],0))=0, INDEX(regions[], MATCH($D13, regions[[setting]:[setting]],0), MATCH(AL$1, regions[#Headers],0)),INDEX(lmic_raw[],MATCH($A13,lmic_raw[[setting]:[setting]],0), MATCH(AL$1, lmic_raw[#Headers],0)))</f>
        <v>5.1523072116535949E-3</v>
      </c>
      <c r="AM13" s="33">
        <f>IF(INDEX(lmic_raw[],MATCH($A13,lmic_raw[[setting]:[setting]],0), MATCH(AM$1, lmic_raw[#Headers],0))=0, INDEX(regions[], MATCH($D13, regions[[setting]:[setting]],0), MATCH(AM$1, regions[#Headers],0)),INDEX(lmic_raw[],MATCH($A13,lmic_raw[[setting]:[setting]],0), MATCH(AM$1, lmic_raw[#Headers],0)))</f>
        <v>6.6891671323214023E-3</v>
      </c>
      <c r="AN13" s="33">
        <f>IF(INDEX(lmic_raw[],MATCH($A13,lmic_raw[[setting]:[setting]],0), MATCH(AN$1, lmic_raw[#Headers],0))=0, INDEX(regions[], MATCH($D13, regions[[setting]:[setting]],0), MATCH(AN$1, regions[#Headers],0)),INDEX(lmic_raw[],MATCH($A13,lmic_raw[[setting]:[setting]],0), MATCH(AN$1, lmic_raw[#Headers],0)))</f>
        <v>8.7964781237764387E-3</v>
      </c>
      <c r="AO13" s="33">
        <f>IF(INDEX(lmic_raw[],MATCH($A13,lmic_raw[[setting]:[setting]],0), MATCH(AO$1, lmic_raw[#Headers],0))=0, INDEX(regions[], MATCH($D13, regions[[setting]:[setting]],0), MATCH(AO$1, regions[#Headers],0)),INDEX(lmic_raw[],MATCH($A13,lmic_raw[[setting]:[setting]],0), MATCH(AO$1, lmic_raw[#Headers],0)))</f>
        <v>1.1914330293210212E-2</v>
      </c>
      <c r="AP13" s="33">
        <f>IF(INDEX(lmic_raw[],MATCH($A13,lmic_raw[[setting]:[setting]],0), MATCH(AP$1, lmic_raw[#Headers],0))=0, INDEX(regions[], MATCH($D13, regions[[setting]:[setting]],0), MATCH(AP$1, regions[#Headers],0)),INDEX(lmic_raw[],MATCH($A13,lmic_raw[[setting]:[setting]],0), MATCH(AP$1, lmic_raw[#Headers],0)))</f>
        <v>1.5987378758992074E-2</v>
      </c>
      <c r="AQ13" s="33">
        <f>IF(INDEX(lmic_raw[],MATCH($A13,lmic_raw[[setting]:[setting]],0), MATCH(AQ$1, lmic_raw[#Headers],0))=0, INDEX(regions[], MATCH($D13, regions[[setting]:[setting]],0), MATCH(AQ$1, regions[#Headers],0)),INDEX(lmic_raw[],MATCH($A13,lmic_raw[[setting]:[setting]],0), MATCH(AQ$1, lmic_raw[#Headers],0)))</f>
        <v>2.2371298753324709E-2</v>
      </c>
      <c r="AR13" s="33">
        <f>IF(INDEX(lmic_raw[],MATCH($A13,lmic_raw[[setting]:[setting]],0), MATCH(AR$1, lmic_raw[#Headers],0))=0, INDEX(regions[], MATCH($D13, regions[[setting]:[setting]],0), MATCH(AR$1, regions[#Headers],0)),INDEX(lmic_raw[],MATCH($A13,lmic_raw[[setting]:[setting]],0), MATCH(AR$1, lmic_raw[#Headers],0)))</f>
        <v>3.1664751710371884E-2</v>
      </c>
      <c r="AS13" s="33">
        <f>IF(INDEX(lmic_raw[],MATCH($A13,lmic_raw[[setting]:[setting]],0), MATCH(AS$1, lmic_raw[#Headers],0))=0, INDEX(regions[], MATCH($D13, regions[[setting]:[setting]],0), MATCH(AS$1, regions[#Headers],0)),INDEX(lmic_raw[],MATCH($A13,lmic_raw[[setting]:[setting]],0), MATCH(AS$1, lmic_raw[#Headers],0)))</f>
        <v>4.5224866527438595E-2</v>
      </c>
      <c r="AT13" s="33">
        <f>IF(INDEX(lmic_raw[],MATCH($A13,lmic_raw[[setting]:[setting]],0), MATCH(AT$1, lmic_raw[#Headers],0))=0, INDEX(regions[], MATCH($D13, regions[[setting]:[setting]],0), MATCH(AT$1, regions[#Headers],0)),INDEX(lmic_raw[],MATCH($A13,lmic_raw[[setting]:[setting]],0), MATCH(AT$1, lmic_raw[#Headers],0)))</f>
        <v>6.3852175373826578E-2</v>
      </c>
      <c r="AU13" s="33">
        <f>IF(INDEX(lmic_raw[],MATCH($A13,lmic_raw[[setting]:[setting]],0), MATCH(AU$1, lmic_raw[#Headers],0))=0, INDEX(regions[], MATCH($D13, regions[[setting]:[setting]],0), MATCH(AU$1, regions[#Headers],0)),INDEX(lmic_raw[],MATCH($A13,lmic_raw[[setting]:[setting]],0), MATCH(AU$1, lmic_raw[#Headers],0)))</f>
        <v>8.4138014119133742E-2</v>
      </c>
      <c r="AV13" s="33">
        <f>IF(INDEX(lmic_raw[],MATCH($A13,lmic_raw[[setting]:[setting]],0), MATCH(AV$1, lmic_raw[#Headers],0))=0, INDEX(regions[], MATCH($D13, regions[[setting]:[setting]],0), MATCH(AV$1, regions[#Headers],0)),INDEX(lmic_raw[],MATCH($A13,lmic_raw[[setting]:[setting]],0), MATCH(AV$1, lmic_raw[#Headers],0)))</f>
        <v>0.10757180391387827</v>
      </c>
      <c r="AW13" s="33">
        <f>IF(INDEX(lmic_raw[],MATCH($A13,lmic_raw[[setting]:[setting]],0), MATCH(AW$1, lmic_raw[#Headers],0))=0, INDEX(regions[], MATCH($D13, regions[[setting]:[setting]],0), MATCH(AW$1, regions[#Headers],0)),INDEX(lmic_raw[],MATCH($A13,lmic_raw[[setting]:[setting]],0), MATCH(AW$1, lmic_raw[#Headers],0)))</f>
        <v>0.13047884280399449</v>
      </c>
      <c r="AX13" s="33">
        <f>IF(INDEX(lmic_raw[],MATCH($A13,lmic_raw[[setting]:[setting]],0), MATCH(AX$1, lmic_raw[#Headers],0))=0, INDEX(regions[], MATCH($D13, regions[[setting]:[setting]],0), MATCH(AX$1, regions[#Headers],0)),INDEX(lmic_raw[],MATCH($A13,lmic_raw[[setting]:[setting]],0), MATCH(AX$1, lmic_raw[#Headers],0)))</f>
        <v>71.283000000000001</v>
      </c>
      <c r="AY13" s="33" t="str">
        <f>IF(VLOOKUP($A13,lmic_raw[],11,FALSE)=0, "Yes", "No")</f>
        <v>No</v>
      </c>
    </row>
    <row r="14" spans="1:51" x14ac:dyDescent="0.25">
      <c r="A14" s="82" t="s">
        <v>263</v>
      </c>
      <c r="B14" s="101" t="s">
        <v>385</v>
      </c>
      <c r="C14" s="102">
        <v>68</v>
      </c>
      <c r="D14" s="82" t="s">
        <v>679</v>
      </c>
      <c r="E14" s="82" t="s">
        <v>593</v>
      </c>
      <c r="F14" s="82" t="s">
        <v>665</v>
      </c>
      <c r="G14" s="82" t="s">
        <v>678</v>
      </c>
      <c r="H14" s="33">
        <f>IF(INDEX(lmic_raw[],MATCH($A14,lmic_raw[[setting]:[setting]],0), MATCH(H$1, lmic_raw[#Headers],0))=0, INDEX(regions[], MATCH($D14, regions[[setting]:[setting]],0), MATCH(H$1, regions[#Headers],0)),INDEX(lmic_raw[],MATCH($A14,lmic_raw[[setting]:[setting]],0), MATCH(H$1, lmic_raw[#Headers],0)))</f>
        <v>11513102</v>
      </c>
      <c r="I14" s="33">
        <f>IF(INDEX(lmic_raw[],MATCH($A14,lmic_raw[[setting]:[setting]],0), MATCH(I$1, lmic_raw[#Headers],0))=0, INDEX(regions[], MATCH($D14, regions[[setting]:[setting]],0), MATCH(I$1, regions[#Headers],0)),INDEX(lmic_raw[],MATCH($A14,lmic_raw[[setting]:[setting]],0), MATCH(I$1, lmic_raw[#Headers],0)))</f>
        <v>251929.69796400002</v>
      </c>
      <c r="J14" s="33">
        <f>IF(INDEX(lmic_raw[],MATCH($A14,lmic_raw[[setting]:[setting]],0), MATCH(J$1, lmic_raw[#Headers],0))=0, INDEX(regions[], MATCH($D14, regions[[setting]:[setting]],0), MATCH(J$1, regions[#Headers],0)),INDEX(lmic_raw[],MATCH($A14,lmic_raw[[setting]:[setting]],0), MATCH(J$1, lmic_raw[#Headers],0)))</f>
        <v>0.877</v>
      </c>
      <c r="K14" s="33">
        <f>IF(INDEX(lmic_raw[],MATCH($A14,lmic_raw[[setting]:[setting]],0), MATCH(K$1, lmic_raw[#Headers],0))=0, INDEX(regions[], MATCH($D14, regions[[setting]:[setting]],0), MATCH(K$1, regions[#Headers],0)),INDEX(lmic_raw[],MATCH($A14,lmic_raw[[setting]:[setting]],0), MATCH(K$1, lmic_raw[#Headers],0)))</f>
        <v>0.74567750031159119</v>
      </c>
      <c r="L14" s="33">
        <f>IF(INDEX(lmic_raw[],MATCH($A14,lmic_raw[[setting]:[setting]],0), MATCH(L$1, lmic_raw[#Headers],0))=0, INDEX(regions[], MATCH($D14, regions[[setting]:[setting]],0), MATCH(L$1, regions[#Headers],0)),INDEX(lmic_raw[],MATCH($A14,lmic_raw[[setting]:[setting]],0), MATCH(L$1, lmic_raw[#Headers],0)))</f>
        <v>0.75</v>
      </c>
      <c r="M14" s="33">
        <f>IF(INDEX(lmic_raw[],MATCH($A14,lmic_raw[[setting]:[setting]],0), MATCH(M$1, lmic_raw[#Headers],0))=0, INDEX(regions[], MATCH($D14, regions[[setting]:[setting]],0), MATCH(M$1, regions[#Headers],0)),INDEX(lmic_raw[],MATCH($A14,lmic_raw[[setting]:[setting]],0), MATCH(M$1, lmic_raw[#Headers],0)))</f>
        <v>5.6999999999999993E-3</v>
      </c>
      <c r="N14" s="33">
        <f>IF(INDEX(lmic_raw[],MATCH($A14,lmic_raw[[setting]:[setting]],0), MATCH(N$1, lmic_raw[#Headers],0))=0, INDEX(regions[], MATCH($D14, regions[[setting]:[setting]],0), MATCH(N$1, regions[#Headers],0)),INDEX(lmic_raw[],MATCH($A14,lmic_raw[[setting]:[setting]],0), MATCH(N$1, lmic_raw[#Headers],0)))</f>
        <v>0.30395745525404161</v>
      </c>
      <c r="O14" s="33">
        <f>IF(INDEX(lmic_raw[],MATCH($A14,lmic_raw[[setting]:[setting]],0), MATCH(O$1, lmic_raw[#Headers],0))=0, INDEX(regions[], MATCH($D14, regions[[setting]:[setting]],0), MATCH(O$1, regions[#Headers],0)),INDEX(lmic_raw[],MATCH($A14,lmic_raw[[setting]:[setting]],0), MATCH(O$1, lmic_raw[#Headers],0)))</f>
        <v>0.8</v>
      </c>
      <c r="P14" s="33">
        <f>IF(INDEX(lmic_raw[],MATCH($A14,lmic_raw[[setting]:[setting]],0), MATCH(P$1, lmic_raw[#Headers],0))=0, INDEX(regions[], MATCH($D14, regions[[setting]:[setting]],0), MATCH(P$1, regions[#Headers],0)),INDEX(lmic_raw[],MATCH($A14,lmic_raw[[setting]:[setting]],0), MATCH(P$1, lmic_raw[#Headers],0)))</f>
        <v>0.17499999999999999</v>
      </c>
      <c r="Q14" s="33">
        <f>IF(INDEX(lmic_raw[],MATCH($A14,lmic_raw[[setting]:[setting]],0), MATCH(Q$1, lmic_raw[#Headers],0))=0, INDEX(regions[], MATCH($D14, regions[[setting]:[setting]],0), MATCH(Q$1, regions[#Headers],0)),INDEX(lmic_raw[],MATCH($A14,lmic_raw[[setting]:[setting]],0), MATCH(Q$1, lmic_raw[#Headers],0)))</f>
        <v>5.0320742611147375</v>
      </c>
      <c r="R14" s="33">
        <f>IF(INDEX(lmic_raw[],MATCH($A14,lmic_raw[[setting]:[setting]],0), MATCH(R$1, lmic_raw[#Headers],0))=0, INDEX(regions[], MATCH($D14, regions[[setting]:[setting]],0), MATCH(R$1, regions[#Headers],0)),INDEX(lmic_raw[],MATCH($A14,lmic_raw[[setting]:[setting]],0), MATCH(R$1, lmic_raw[#Headers],0)))</f>
        <v>86.883899999999997</v>
      </c>
      <c r="S14" s="33">
        <f>IF(INDEX(lmic_raw[],MATCH($A14,lmic_raw[[setting]:[setting]],0), MATCH(S$1, lmic_raw[#Headers],0))=0, INDEX(regions[], MATCH($D14, regions[[setting]:[setting]],0), MATCH(S$1, regions[#Headers],0)),INDEX(lmic_raw[],MATCH($A14,lmic_raw[[setting]:[setting]],0), MATCH(S$1, lmic_raw[#Headers],0)))</f>
        <v>134.6259</v>
      </c>
      <c r="T14" s="33">
        <f>IF(INDEX(lmic_raw[],MATCH($A14,lmic_raw[[setting]:[setting]],0), MATCH(T$1, lmic_raw[#Headers],0))=0, INDEX(regions[], MATCH($D14, regions[[setting]:[setting]],0), MATCH(T$1, regions[#Headers],0)),INDEX(lmic_raw[],MATCH($A14,lmic_raw[[setting]:[setting]],0), MATCH(T$1, lmic_raw[#Headers],0)))</f>
        <v>134.6259</v>
      </c>
      <c r="U14" s="33">
        <f>IF(INDEX(lmic_raw[],MATCH($A14,lmic_raw[[setting]:[setting]],0), MATCH(U$1, lmic_raw[#Headers],0))=0, INDEX(regions[], MATCH($D14, regions[[setting]:[setting]],0), MATCH(U$1, regions[#Headers],0)),INDEX(lmic_raw[],MATCH($A14,lmic_raw[[setting]:[setting]],0), MATCH(U$1, lmic_raw[#Headers],0)))</f>
        <v>134.6259</v>
      </c>
      <c r="V14" s="33">
        <f>IF(INDEX(lmic_raw[],MATCH($A14,lmic_raw[[setting]:[setting]],0), MATCH(V$1, lmic_raw[#Headers],0))=0, INDEX(regions[], MATCH($D14, regions[[setting]:[setting]],0), MATCH(V$1, regions[#Headers],0)),INDEX(lmic_raw[],MATCH($A14,lmic_raw[[setting]:[setting]],0), MATCH(V$1, lmic_raw[#Headers],0)))</f>
        <v>3.1784562544637951</v>
      </c>
      <c r="W14" s="33">
        <f>IF(INDEX(lmic_raw[],MATCH($A14,lmic_raw[[setting]:[setting]],0), MATCH(W$1, lmic_raw[#Headers],0))=0, INDEX(regions[], MATCH($D14, regions[[setting]:[setting]],0), MATCH(W$1, regions[#Headers],0)),INDEX(lmic_raw[],MATCH($A14,lmic_raw[[setting]:[setting]],0), MATCH(W$1, lmic_raw[#Headers],0)))</f>
        <v>3.1984562544637951</v>
      </c>
      <c r="X14" s="33">
        <f>IF(INDEX(lmic_raw[],MATCH($A14,lmic_raw[[setting]:[setting]],0), MATCH(X$1, lmic_raw[#Headers],0))=0, INDEX(regions[], MATCH($D14, regions[[setting]:[setting]],0), MATCH(X$1, regions[#Headers],0)),INDEX(lmic_raw[],MATCH($A14,lmic_raw[[setting]:[setting]],0), MATCH(X$1, lmic_raw[#Headers],0)))</f>
        <v>2.7385903858701584</v>
      </c>
      <c r="Y14" s="33">
        <f>IF(INDEX(lmic_raw[],MATCH($A14,lmic_raw[[setting]:[setting]],0), MATCH(Y$1, lmic_raw[#Headers],0))=0, INDEX(regions[], MATCH($D14, regions[[setting]:[setting]],0), MATCH(Y$1, regions[#Headers],0)),INDEX(lmic_raw[],MATCH($A14,lmic_raw[[setting]:[setting]],0), MATCH(Y$1, lmic_raw[#Headers],0)))</f>
        <v>2.7585903858701584</v>
      </c>
      <c r="Z14" s="33">
        <f>IF(INDEX(lmic_raw[],MATCH($A14,lmic_raw[[setting]:[setting]],0), MATCH(Z$1, lmic_raw[#Headers],0))=0, INDEX(regions[], MATCH($D14, regions[[setting]:[setting]],0), MATCH(Z$1, regions[#Headers],0)),INDEX(lmic_raw[],MATCH($A14,lmic_raw[[setting]:[setting]],0), MATCH(Z$1, lmic_raw[#Headers],0)))</f>
        <v>2.7491984157696296</v>
      </c>
      <c r="AA14" s="33">
        <f>IF(INDEX(lmic_raw[],MATCH($A14,lmic_raw[[setting]:[setting]],0), MATCH(AA$1, lmic_raw[#Headers],0))=0, INDEX(regions[], MATCH($D14, regions[[setting]:[setting]],0), MATCH(AA$1, regions[#Headers],0)),INDEX(lmic_raw[],MATCH($A14,lmic_raw[[setting]:[setting]],0), MATCH(AA$1, lmic_raw[#Headers],0)))</f>
        <v>3.4252385968661763</v>
      </c>
      <c r="AB14" s="33">
        <f>IF(INDEX(lmic_raw[],MATCH($A14,lmic_raw[[setting]:[setting]],0), MATCH(AB$1, lmic_raw[#Headers],0))=0, INDEX(regions[], MATCH($D14, regions[[setting]:[setting]],0), MATCH(AB$1, regions[#Headers],0)),INDEX(lmic_raw[],MATCH($A14,lmic_raw[[setting]:[setting]],0), MATCH(AB$1, lmic_raw[#Headers],0)))</f>
        <v>3.4452385968661763</v>
      </c>
      <c r="AC14" s="33">
        <f>IF(INDEX(lmic_raw[],MATCH($A14,lmic_raw[[setting]:[setting]],0), MATCH(AC$1, lmic_raw[#Headers],0))=0, INDEX(regions[], MATCH($D14, regions[[setting]:[setting]],0), MATCH(AC$1, regions[#Headers],0)),INDEX(lmic_raw[],MATCH($A14,lmic_raw[[setting]:[setting]],0), MATCH(AC$1, lmic_raw[#Headers],0)))</f>
        <v>2.9709100000000033E-2</v>
      </c>
      <c r="AD14" s="33">
        <f>IF(INDEX(lmic_raw[],MATCH($A14,lmic_raw[[setting]:[setting]],0), MATCH(AD$1, lmic_raw[#Headers],0))=0, INDEX(regions[], MATCH($D14, regions[[setting]:[setting]],0), MATCH(AD$1, regions[#Headers],0)),INDEX(lmic_raw[],MATCH($A14,lmic_raw[[setting]:[setting]],0), MATCH(AD$1, lmic_raw[#Headers],0)))</f>
        <v>4.897193717883979E-3</v>
      </c>
      <c r="AE14" s="33">
        <f>IF(INDEX(lmic_raw[],MATCH($A14,lmic_raw[[setting]:[setting]],0), MATCH(AE$1, lmic_raw[#Headers],0))=0, INDEX(regions[], MATCH($D14, regions[[setting]:[setting]],0), MATCH(AE$1, regions[#Headers],0)),INDEX(lmic_raw[],MATCH($A14,lmic_raw[[setting]:[setting]],0), MATCH(AE$1, lmic_raw[#Headers],0)))</f>
        <v>1.3668198739663531E-3</v>
      </c>
      <c r="AF14" s="33">
        <f>IF(INDEX(lmic_raw[],MATCH($A14,lmic_raw[[setting]:[setting]],0), MATCH(AF$1, lmic_raw[#Headers],0))=0, INDEX(regions[], MATCH($D14, regions[[setting]:[setting]],0), MATCH(AF$1, regions[#Headers],0)),INDEX(lmic_raw[],MATCH($A14,lmic_raw[[setting]:[setting]],0), MATCH(AF$1, lmic_raw[#Headers],0)))</f>
        <v>8.0145182980234653E-4</v>
      </c>
      <c r="AG14" s="33">
        <f>IF(INDEX(lmic_raw[],MATCH($A14,lmic_raw[[setting]:[setting]],0), MATCH(AG$1, lmic_raw[#Headers],0))=0, INDEX(regions[], MATCH($D14, regions[[setting]:[setting]],0), MATCH(AG$1, regions[#Headers],0)),INDEX(lmic_raw[],MATCH($A14,lmic_raw[[setting]:[setting]],0), MATCH(AG$1, lmic_raw[#Headers],0)))</f>
        <v>1.5902899917005938E-3</v>
      </c>
      <c r="AH14" s="33">
        <f>IF(INDEX(lmic_raw[],MATCH($A14,lmic_raw[[setting]:[setting]],0), MATCH(AH$1, lmic_raw[#Headers],0))=0, INDEX(regions[], MATCH($D14, regions[[setting]:[setting]],0), MATCH(AH$1, regions[#Headers],0)),INDEX(lmic_raw[],MATCH($A14,lmic_raw[[setting]:[setting]],0), MATCH(AH$1, lmic_raw[#Headers],0)))</f>
        <v>2.2167108166616686E-3</v>
      </c>
      <c r="AI14" s="33">
        <f>IF(INDEX(lmic_raw[],MATCH($A14,lmic_raw[[setting]:[setting]],0), MATCH(AI$1, lmic_raw[#Headers],0))=0, INDEX(regions[], MATCH($D14, regions[[setting]:[setting]],0), MATCH(AI$1, regions[#Headers],0)),INDEX(lmic_raw[],MATCH($A14,lmic_raw[[setting]:[setting]],0), MATCH(AI$1, lmic_raw[#Headers],0)))</f>
        <v>2.3808256434544035E-3</v>
      </c>
      <c r="AJ14" s="33">
        <f>IF(INDEX(lmic_raw[],MATCH($A14,lmic_raw[[setting]:[setting]],0), MATCH(AJ$1, lmic_raw[#Headers],0))=0, INDEX(regions[], MATCH($D14, regions[[setting]:[setting]],0), MATCH(AJ$1, regions[#Headers],0)),INDEX(lmic_raw[],MATCH($A14,lmic_raw[[setting]:[setting]],0), MATCH(AJ$1, lmic_raw[#Headers],0)))</f>
        <v>2.7017673416474927E-3</v>
      </c>
      <c r="AK14" s="33">
        <f>IF(INDEX(lmic_raw[],MATCH($A14,lmic_raw[[setting]:[setting]],0), MATCH(AK$1, lmic_raw[#Headers],0))=0, INDEX(regions[], MATCH($D14, regions[[setting]:[setting]],0), MATCH(AK$1, regions[#Headers],0)),INDEX(lmic_raw[],MATCH($A14,lmic_raw[[setting]:[setting]],0), MATCH(AK$1, lmic_raw[#Headers],0)))</f>
        <v>3.4050648103696583E-3</v>
      </c>
      <c r="AL14" s="33">
        <f>IF(INDEX(lmic_raw[],MATCH($A14,lmic_raw[[setting]:[setting]],0), MATCH(AL$1, lmic_raw[#Headers],0))=0, INDEX(regions[], MATCH($D14, regions[[setting]:[setting]],0), MATCH(AL$1, regions[#Headers],0)),INDEX(lmic_raw[],MATCH($A14,lmic_raw[[setting]:[setting]],0), MATCH(AL$1, lmic_raw[#Headers],0)))</f>
        <v>4.0223318978457098E-3</v>
      </c>
      <c r="AM14" s="33">
        <f>IF(INDEX(lmic_raw[],MATCH($A14,lmic_raw[[setting]:[setting]],0), MATCH(AM$1, lmic_raw[#Headers],0))=0, INDEX(regions[], MATCH($D14, regions[[setting]:[setting]],0), MATCH(AM$1, regions[#Headers],0)),INDEX(lmic_raw[],MATCH($A14,lmic_raw[[setting]:[setting]],0), MATCH(AM$1, lmic_raw[#Headers],0)))</f>
        <v>5.4458134444849886E-3</v>
      </c>
      <c r="AN14" s="33">
        <f>IF(INDEX(lmic_raw[],MATCH($A14,lmic_raw[[setting]:[setting]],0), MATCH(AN$1, lmic_raw[#Headers],0))=0, INDEX(regions[], MATCH($D14, regions[[setting]:[setting]],0), MATCH(AN$1, regions[#Headers],0)),INDEX(lmic_raw[],MATCH($A14,lmic_raw[[setting]:[setting]],0), MATCH(AN$1, lmic_raw[#Headers],0)))</f>
        <v>7.3660074965235349E-3</v>
      </c>
      <c r="AO14" s="33">
        <f>IF(INDEX(lmic_raw[],MATCH($A14,lmic_raw[[setting]:[setting]],0), MATCH(AO$1, lmic_raw[#Headers],0))=0, INDEX(regions[], MATCH($D14, regions[[setting]:[setting]],0), MATCH(AO$1, regions[#Headers],0)),INDEX(lmic_raw[],MATCH($A14,lmic_raw[[setting]:[setting]],0), MATCH(AO$1, lmic_raw[#Headers],0)))</f>
        <v>1.0344997560068297E-2</v>
      </c>
      <c r="AP14" s="33">
        <f>IF(INDEX(lmic_raw[],MATCH($A14,lmic_raw[[setting]:[setting]],0), MATCH(AP$1, lmic_raw[#Headers],0))=0, INDEX(regions[], MATCH($D14, regions[[setting]:[setting]],0), MATCH(AP$1, regions[#Headers],0)),INDEX(lmic_raw[],MATCH($A14,lmic_raw[[setting]:[setting]],0), MATCH(AP$1, lmic_raw[#Headers],0)))</f>
        <v>1.5273457306002375E-2</v>
      </c>
      <c r="AQ14" s="33">
        <f>IF(INDEX(lmic_raw[],MATCH($A14,lmic_raw[[setting]:[setting]],0), MATCH(AQ$1, lmic_raw[#Headers],0))=0, INDEX(regions[], MATCH($D14, regions[[setting]:[setting]],0), MATCH(AQ$1, regions[#Headers],0)),INDEX(lmic_raw[],MATCH($A14,lmic_raw[[setting]:[setting]],0), MATCH(AQ$1, lmic_raw[#Headers],0)))</f>
        <v>2.021988914621773E-2</v>
      </c>
      <c r="AR14" s="33">
        <f>IF(INDEX(lmic_raw[],MATCH($A14,lmic_raw[[setting]:[setting]],0), MATCH(AR$1, lmic_raw[#Headers],0))=0, INDEX(regions[], MATCH($D14, regions[[setting]:[setting]],0), MATCH(AR$1, regions[#Headers],0)),INDEX(lmic_raw[],MATCH($A14,lmic_raw[[setting]:[setting]],0), MATCH(AR$1, lmic_raw[#Headers],0)))</f>
        <v>2.6226459693234751E-2</v>
      </c>
      <c r="AS14" s="33">
        <f>IF(INDEX(lmic_raw[],MATCH($A14,lmic_raw[[setting]:[setting]],0), MATCH(AS$1, lmic_raw[#Headers],0))=0, INDEX(regions[], MATCH($D14, regions[[setting]:[setting]],0), MATCH(AS$1, regions[#Headers],0)),INDEX(lmic_raw[],MATCH($A14,lmic_raw[[setting]:[setting]],0), MATCH(AS$1, lmic_raw[#Headers],0)))</f>
        <v>3.7707929298066836E-2</v>
      </c>
      <c r="AT14" s="33">
        <f>IF(INDEX(lmic_raw[],MATCH($A14,lmic_raw[[setting]:[setting]],0), MATCH(AT$1, lmic_raw[#Headers],0))=0, INDEX(regions[], MATCH($D14, regions[[setting]:[setting]],0), MATCH(AT$1, regions[#Headers],0)),INDEX(lmic_raw[],MATCH($A14,lmic_raw[[setting]:[setting]],0), MATCH(AT$1, lmic_raw[#Headers],0)))</f>
        <v>5.3415839354835411E-2</v>
      </c>
      <c r="AU14" s="33">
        <f>IF(INDEX(lmic_raw[],MATCH($A14,lmic_raw[[setting]:[setting]],0), MATCH(AU$1, lmic_raw[#Headers],0))=0, INDEX(regions[], MATCH($D14, regions[[setting]:[setting]],0), MATCH(AU$1, regions[#Headers],0)),INDEX(lmic_raw[],MATCH($A14,lmic_raw[[setting]:[setting]],0), MATCH(AU$1, lmic_raw[#Headers],0)))</f>
        <v>7.5058941457281939E-2</v>
      </c>
      <c r="AV14" s="33">
        <f>IF(INDEX(lmic_raw[],MATCH($A14,lmic_raw[[setting]:[setting]],0), MATCH(AV$1, lmic_raw[#Headers],0))=0, INDEX(regions[], MATCH($D14, regions[[setting]:[setting]],0), MATCH(AV$1, regions[#Headers],0)),INDEX(lmic_raw[],MATCH($A14,lmic_raw[[setting]:[setting]],0), MATCH(AV$1, lmic_raw[#Headers],0)))</f>
        <v>0.10012328168132084</v>
      </c>
      <c r="AW14" s="33">
        <f>IF(INDEX(lmic_raw[],MATCH($A14,lmic_raw[[setting]:[setting]],0), MATCH(AW$1, lmic_raw[#Headers],0))=0, INDEX(regions[], MATCH($D14, regions[[setting]:[setting]],0), MATCH(AW$1, regions[#Headers],0)),INDEX(lmic_raw[],MATCH($A14,lmic_raw[[setting]:[setting]],0), MATCH(AW$1, lmic_raw[#Headers],0)))</f>
        <v>0.12450695537268339</v>
      </c>
      <c r="AX14" s="33">
        <f>IF(INDEX(lmic_raw[],MATCH($A14,lmic_raw[[setting]:[setting]],0), MATCH(AX$1, lmic_raw[#Headers],0))=0, INDEX(regions[], MATCH($D14, regions[[setting]:[setting]],0), MATCH(AX$1, regions[#Headers],0)),INDEX(lmic_raw[],MATCH($A14,lmic_raw[[setting]:[setting]],0), MATCH(AX$1, lmic_raw[#Headers],0)))</f>
        <v>71.081999999999994</v>
      </c>
      <c r="AY14" s="33" t="str">
        <f>IF(VLOOKUP($A14,lmic_raw[],11,FALSE)=0, "Yes", "No")</f>
        <v>Yes</v>
      </c>
    </row>
    <row r="15" spans="1:51" x14ac:dyDescent="0.25">
      <c r="A15" s="110" t="s">
        <v>334</v>
      </c>
      <c r="B15" s="104" t="s">
        <v>386</v>
      </c>
      <c r="C15" s="105">
        <v>70</v>
      </c>
      <c r="D15" s="84" t="s">
        <v>675</v>
      </c>
      <c r="E15" s="84" t="s">
        <v>580</v>
      </c>
      <c r="F15" s="84" t="s">
        <v>663</v>
      </c>
      <c r="G15" s="84" t="s">
        <v>676</v>
      </c>
      <c r="H15" s="33">
        <f>IF(INDEX(lmic_raw[],MATCH($A15,lmic_raw[[setting]:[setting]],0), MATCH(H$1, lmic_raw[#Headers],0))=0, INDEX(regions[], MATCH($D15, regions[[setting]:[setting]],0), MATCH(H$1, regions[#Headers],0)),INDEX(lmic_raw[],MATCH($A15,lmic_raw[[setting]:[setting]],0), MATCH(H$1, lmic_raw[#Headers],0)))</f>
        <v>3300998</v>
      </c>
      <c r="I15" s="33">
        <f>IF(INDEX(lmic_raw[],MATCH($A15,lmic_raw[[setting]:[setting]],0), MATCH(I$1, lmic_raw[#Headers],0))=0, INDEX(regions[], MATCH($D15, regions[[setting]:[setting]],0), MATCH(I$1, regions[#Headers],0)),INDEX(lmic_raw[],MATCH($A15,lmic_raw[[setting]:[setting]],0), MATCH(I$1, lmic_raw[#Headers],0)))</f>
        <v>27048.377612000004</v>
      </c>
      <c r="J15" s="33">
        <f>IF(INDEX(lmic_raw[],MATCH($A15,lmic_raw[[setting]:[setting]],0), MATCH(J$1, lmic_raw[#Headers],0))=0, INDEX(regions[], MATCH($D15, regions[[setting]:[setting]],0), MATCH(J$1, regions[#Headers],0)),INDEX(lmic_raw[],MATCH($A15,lmic_raw[[setting]:[setting]],0), MATCH(J$1, lmic_raw[#Headers],0)))</f>
        <v>0.997</v>
      </c>
      <c r="K15" s="33">
        <f>IF(INDEX(lmic_raw[],MATCH($A15,lmic_raw[[setting]:[setting]],0), MATCH(K$1, lmic_raw[#Headers],0))=0, INDEX(regions[], MATCH($D15, regions[[setting]:[setting]],0), MATCH(K$1, regions[#Headers],0)),INDEX(lmic_raw[],MATCH($A15,lmic_raw[[setting]:[setting]],0), MATCH(K$1, lmic_raw[#Headers],0)))</f>
        <v>0.94232220105184217</v>
      </c>
      <c r="L15" s="33">
        <f>IF(INDEX(lmic_raw[],MATCH($A15,lmic_raw[[setting]:[setting]],0), MATCH(L$1, lmic_raw[#Headers],0))=0, INDEX(regions[], MATCH($D15, regions[[setting]:[setting]],0), MATCH(L$1, regions[#Headers],0)),INDEX(lmic_raw[],MATCH($A15,lmic_raw[[setting]:[setting]],0), MATCH(L$1, lmic_raw[#Headers],0)))</f>
        <v>0.8</v>
      </c>
      <c r="M15" s="33">
        <f>IF(INDEX(lmic_raw[],MATCH($A15,lmic_raw[[setting]:[setting]],0), MATCH(M$1, lmic_raw[#Headers],0))=0, INDEX(regions[], MATCH($D15, regions[[setting]:[setting]],0), MATCH(M$1, regions[#Headers],0)),INDEX(lmic_raw[],MATCH($A15,lmic_raw[[setting]:[setting]],0), MATCH(M$1, lmic_raw[#Headers],0)))</f>
        <v>2.2000000000000002E-2</v>
      </c>
      <c r="N15" s="33">
        <f>IF(INDEX(lmic_raw[],MATCH($A15,lmic_raw[[setting]:[setting]],0), MATCH(N$1, lmic_raw[#Headers],0))=0, INDEX(regions[], MATCH($D15, regions[[setting]:[setting]],0), MATCH(N$1, regions[#Headers],0)),INDEX(lmic_raw[],MATCH($A15,lmic_raw[[setting]:[setting]],0), MATCH(N$1, lmic_raw[#Headers],0)))</f>
        <v>0.28477767915605673</v>
      </c>
      <c r="O15" s="33">
        <f>IF(INDEX(lmic_raw[],MATCH($A15,lmic_raw[[setting]:[setting]],0), MATCH(O$1, lmic_raw[#Headers],0))=0, INDEX(regions[], MATCH($D15, regions[[setting]:[setting]],0), MATCH(O$1, regions[#Headers],0)),INDEX(lmic_raw[],MATCH($A15,lmic_raw[[setting]:[setting]],0), MATCH(O$1, lmic_raw[#Headers],0)))</f>
        <v>0.8</v>
      </c>
      <c r="P15" s="33">
        <f>IF(INDEX(lmic_raw[],MATCH($A15,lmic_raw[[setting]:[setting]],0), MATCH(P$1, lmic_raw[#Headers],0))=0, INDEX(regions[], MATCH($D15, regions[[setting]:[setting]],0), MATCH(P$1, regions[#Headers],0)),INDEX(lmic_raw[],MATCH($A15,lmic_raw[[setting]:[setting]],0), MATCH(P$1, lmic_raw[#Headers],0)))</f>
        <v>0.17499999999999999</v>
      </c>
      <c r="Q15" s="33">
        <f>IF(INDEX(lmic_raw[],MATCH($A15,lmic_raw[[setting]:[setting]],0), MATCH(Q$1, lmic_raw[#Headers],0))=0, INDEX(regions[], MATCH($D15, regions[[setting]:[setting]],0), MATCH(Q$1, regions[#Headers],0)),INDEX(lmic_raw[],MATCH($A15,lmic_raw[[setting]:[setting]],0), MATCH(Q$1, lmic_raw[#Headers],0)))</f>
        <v>9.020075114108586</v>
      </c>
      <c r="R15" s="33">
        <f>IF(INDEX(lmic_raw[],MATCH($A15,lmic_raw[[setting]:[setting]],0), MATCH(R$1, lmic_raw[#Headers],0))=0, INDEX(regions[], MATCH($D15, regions[[setting]:[setting]],0), MATCH(R$1, regions[#Headers],0)),INDEX(lmic_raw[],MATCH($A15,lmic_raw[[setting]:[setting]],0), MATCH(R$1, lmic_raw[#Headers],0)))</f>
        <v>44.537400000000005</v>
      </c>
      <c r="S15" s="33">
        <f>IF(INDEX(lmic_raw[],MATCH($A15,lmic_raw[[setting]:[setting]],0), MATCH(S$1, lmic_raw[#Headers],0))=0, INDEX(regions[], MATCH($D15, regions[[setting]:[setting]],0), MATCH(S$1, regions[#Headers],0)),INDEX(lmic_raw[],MATCH($A15,lmic_raw[[setting]:[setting]],0), MATCH(S$1, lmic_raw[#Headers],0)))</f>
        <v>92.27940000000001</v>
      </c>
      <c r="T15" s="33">
        <f>IF(INDEX(lmic_raw[],MATCH($A15,lmic_raw[[setting]:[setting]],0), MATCH(T$1, lmic_raw[#Headers],0))=0, INDEX(regions[], MATCH($D15, regions[[setting]:[setting]],0), MATCH(T$1, regions[#Headers],0)),INDEX(lmic_raw[],MATCH($A15,lmic_raw[[setting]:[setting]],0), MATCH(T$1, lmic_raw[#Headers],0)))</f>
        <v>92.27940000000001</v>
      </c>
      <c r="U15" s="33">
        <f>IF(INDEX(lmic_raw[],MATCH($A15,lmic_raw[[setting]:[setting]],0), MATCH(U$1, lmic_raw[#Headers],0))=0, INDEX(regions[], MATCH($D15, regions[[setting]:[setting]],0), MATCH(U$1, regions[#Headers],0)),INDEX(lmic_raw[],MATCH($A15,lmic_raw[[setting]:[setting]],0), MATCH(U$1, lmic_raw[#Headers],0)))</f>
        <v>92.27940000000001</v>
      </c>
      <c r="V15" s="33">
        <f>IF(INDEX(lmic_raw[],MATCH($A15,lmic_raw[[setting]:[setting]],0), MATCH(V$1, lmic_raw[#Headers],0))=0, INDEX(regions[], MATCH($D15, regions[[setting]:[setting]],0), MATCH(V$1, regions[#Headers],0)),INDEX(lmic_raw[],MATCH($A15,lmic_raw[[setting]:[setting]],0), MATCH(V$1, lmic_raw[#Headers],0)))</f>
        <v>3.4715119003091011</v>
      </c>
      <c r="W15" s="33">
        <f>IF(INDEX(lmic_raw[],MATCH($A15,lmic_raw[[setting]:[setting]],0), MATCH(W$1, lmic_raw[#Headers],0))=0, INDEX(regions[], MATCH($D15, regions[[setting]:[setting]],0), MATCH(W$1, regions[#Headers],0)),INDEX(lmic_raw[],MATCH($A15,lmic_raw[[setting]:[setting]],0), MATCH(W$1, lmic_raw[#Headers],0)))</f>
        <v>7.5415119003091018</v>
      </c>
      <c r="X15" s="33">
        <f>IF(INDEX(lmic_raw[],MATCH($A15,lmic_raw[[setting]:[setting]],0), MATCH(X$1, lmic_raw[#Headers],0))=0, INDEX(regions[], MATCH($D15, regions[[setting]:[setting]],0), MATCH(X$1, regions[#Headers],0)),INDEX(lmic_raw[],MATCH($A15,lmic_raw[[setting]:[setting]],0), MATCH(X$1, lmic_raw[#Headers],0)))</f>
        <v>3.0346424172543758</v>
      </c>
      <c r="Y15" s="33">
        <f>IF(INDEX(lmic_raw[],MATCH($A15,lmic_raw[[setting]:[setting]],0), MATCH(Y$1, lmic_raw[#Headers],0))=0, INDEX(regions[], MATCH($D15, regions[[setting]:[setting]],0), MATCH(Y$1, regions[#Headers],0)),INDEX(lmic_raw[],MATCH($A15,lmic_raw[[setting]:[setting]],0), MATCH(Y$1, lmic_raw[#Headers],0)))</f>
        <v>7.1046424172543761</v>
      </c>
      <c r="Z15" s="33">
        <f>IF(INDEX(lmic_raw[],MATCH($A15,lmic_raw[[setting]:[setting]],0), MATCH(Z$1, lmic_raw[#Headers],0))=0, INDEX(regions[], MATCH($D15, regions[[setting]:[setting]],0), MATCH(Z$1, regions[#Headers],0)),INDEX(lmic_raw[],MATCH($A15,lmic_raw[[setting]:[setting]],0), MATCH(Z$1, lmic_raw[#Headers],0)))</f>
        <v>7.0972135934683083</v>
      </c>
      <c r="AA15" s="33">
        <f>IF(INDEX(lmic_raw[],MATCH($A15,lmic_raw[[setting]:[setting]],0), MATCH(AA$1, lmic_raw[#Headers],0))=0, INDEX(regions[], MATCH($D15, regions[[setting]:[setting]],0), MATCH(AA$1, regions[#Headers],0)),INDEX(lmic_raw[],MATCH($A15,lmic_raw[[setting]:[setting]],0), MATCH(AA$1, lmic_raw[#Headers],0)))</f>
        <v>3.7172141502497817</v>
      </c>
      <c r="AB15" s="33">
        <f>IF(INDEX(lmic_raw[],MATCH($A15,lmic_raw[[setting]:[setting]],0), MATCH(AB$1, lmic_raw[#Headers],0))=0, INDEX(regions[], MATCH($D15, regions[[setting]:[setting]],0), MATCH(AB$1, regions[#Headers],0)),INDEX(lmic_raw[],MATCH($A15,lmic_raw[[setting]:[setting]],0), MATCH(AB$1, lmic_raw[#Headers],0)))</f>
        <v>7.787214150249782</v>
      </c>
      <c r="AC15" s="33">
        <f>IF(INDEX(lmic_raw[],MATCH($A15,lmic_raw[[setting]:[setting]],0), MATCH(AC$1, lmic_raw[#Headers],0))=0, INDEX(regions[], MATCH($D15, regions[[setting]:[setting]],0), MATCH(AC$1, regions[#Headers],0)),INDEX(lmic_raw[],MATCH($A15,lmic_raw[[setting]:[setting]],0), MATCH(AC$1, lmic_raw[#Headers],0)))</f>
        <v>6.0063199999999782E-3</v>
      </c>
      <c r="AD15" s="33">
        <f>IF(INDEX(lmic_raw[],MATCH($A15,lmic_raw[[setting]:[setting]],0), MATCH(AD$1, lmic_raw[#Headers],0))=0, INDEX(regions[], MATCH($D15, regions[[setting]:[setting]],0), MATCH(AD$1, regions[#Headers],0)),INDEX(lmic_raw[],MATCH($A15,lmic_raw[[setting]:[setting]],0), MATCH(AD$1, lmic_raw[#Headers],0)))</f>
        <v>1.9382668509522699E-4</v>
      </c>
      <c r="AE15" s="33">
        <f>IF(INDEX(lmic_raw[],MATCH($A15,lmic_raw[[setting]:[setting]],0), MATCH(AE$1, lmic_raw[#Headers],0))=0, INDEX(regions[], MATCH($D15, regions[[setting]:[setting]],0), MATCH(AE$1, regions[#Headers],0)),INDEX(lmic_raw[],MATCH($A15,lmic_raw[[setting]:[setting]],0), MATCH(AE$1, lmic_raw[#Headers],0)))</f>
        <v>7.8816134579568219E-5</v>
      </c>
      <c r="AF15" s="33">
        <f>IF(INDEX(lmic_raw[],MATCH($A15,lmic_raw[[setting]:[setting]],0), MATCH(AF$1, lmic_raw[#Headers],0))=0, INDEX(regions[], MATCH($D15, regions[[setting]:[setting]],0), MATCH(AF$1, regions[#Headers],0)),INDEX(lmic_raw[],MATCH($A15,lmic_raw[[setting]:[setting]],0), MATCH(AF$1, lmic_raw[#Headers],0)))</f>
        <v>1.4236250855910915E-4</v>
      </c>
      <c r="AG15" s="33">
        <f>IF(INDEX(lmic_raw[],MATCH($A15,lmic_raw[[setting]:[setting]],0), MATCH(AG$1, lmic_raw[#Headers],0))=0, INDEX(regions[], MATCH($D15, regions[[setting]:[setting]],0), MATCH(AG$1, regions[#Headers],0)),INDEX(lmic_raw[],MATCH($A15,lmic_raw[[setting]:[setting]],0), MATCH(AG$1, lmic_raw[#Headers],0)))</f>
        <v>2.3216834662481817E-4</v>
      </c>
      <c r="AH15" s="33">
        <f>IF(INDEX(lmic_raw[],MATCH($A15,lmic_raw[[setting]:[setting]],0), MATCH(AH$1, lmic_raw[#Headers],0))=0, INDEX(regions[], MATCH($D15, regions[[setting]:[setting]],0), MATCH(AH$1, regions[#Headers],0)),INDEX(lmic_raw[],MATCH($A15,lmic_raw[[setting]:[setting]],0), MATCH(AH$1, lmic_raw[#Headers],0)))</f>
        <v>3.5394296885179403E-4</v>
      </c>
      <c r="AI15" s="33">
        <f>IF(INDEX(lmic_raw[],MATCH($A15,lmic_raw[[setting]:[setting]],0), MATCH(AI$1, lmic_raw[#Headers],0))=0, INDEX(regions[], MATCH($D15, regions[[setting]:[setting]],0), MATCH(AI$1, regions[#Headers],0)),INDEX(lmic_raw[],MATCH($A15,lmic_raw[[setting]:[setting]],0), MATCH(AI$1, lmic_raw[#Headers],0)))</f>
        <v>4.1900509701857375E-4</v>
      </c>
      <c r="AJ15" s="33">
        <f>IF(INDEX(lmic_raw[],MATCH($A15,lmic_raw[[setting]:[setting]],0), MATCH(AJ$1, lmic_raw[#Headers],0))=0, INDEX(regions[], MATCH($D15, regions[[setting]:[setting]],0), MATCH(AJ$1, regions[#Headers],0)),INDEX(lmic_raw[],MATCH($A15,lmic_raw[[setting]:[setting]],0), MATCH(AJ$1, lmic_raw[#Headers],0)))</f>
        <v>6.3276490838450202E-4</v>
      </c>
      <c r="AK15" s="33">
        <f>IF(INDEX(lmic_raw[],MATCH($A15,lmic_raw[[setting]:[setting]],0), MATCH(AK$1, lmic_raw[#Headers],0))=0, INDEX(regions[], MATCH($D15, regions[[setting]:[setting]],0), MATCH(AK$1, regions[#Headers],0)),INDEX(lmic_raw[],MATCH($A15,lmic_raw[[setting]:[setting]],0), MATCH(AK$1, lmic_raw[#Headers],0)))</f>
        <v>8.7107643029025658E-4</v>
      </c>
      <c r="AL15" s="33">
        <f>IF(INDEX(lmic_raw[],MATCH($A15,lmic_raw[[setting]:[setting]],0), MATCH(AL$1, lmic_raw[#Headers],0))=0, INDEX(regions[], MATCH($D15, regions[[setting]:[setting]],0), MATCH(AL$1, regions[#Headers],0)),INDEX(lmic_raw[],MATCH($A15,lmic_raw[[setting]:[setting]],0), MATCH(AL$1, lmic_raw[#Headers],0)))</f>
        <v>1.4272141124412998E-3</v>
      </c>
      <c r="AM15" s="33">
        <f>IF(INDEX(lmic_raw[],MATCH($A15,lmic_raw[[setting]:[setting]],0), MATCH(AM$1, lmic_raw[#Headers],0))=0, INDEX(regions[], MATCH($D15, regions[[setting]:[setting]],0), MATCH(AM$1, regions[#Headers],0)),INDEX(lmic_raw[],MATCH($A15,lmic_raw[[setting]:[setting]],0), MATCH(AM$1, lmic_raw[#Headers],0)))</f>
        <v>2.5831558042264573E-3</v>
      </c>
      <c r="AN15" s="33">
        <f>IF(INDEX(lmic_raw[],MATCH($A15,lmic_raw[[setting]:[setting]],0), MATCH(AN$1, lmic_raw[#Headers],0))=0, INDEX(regions[], MATCH($D15, regions[[setting]:[setting]],0), MATCH(AN$1, regions[#Headers],0)),INDEX(lmic_raw[],MATCH($A15,lmic_raw[[setting]:[setting]],0), MATCH(AN$1, lmic_raw[#Headers],0)))</f>
        <v>4.5597254547808585E-3</v>
      </c>
      <c r="AO15" s="33">
        <f>IF(INDEX(lmic_raw[],MATCH($A15,lmic_raw[[setting]:[setting]],0), MATCH(AO$1, lmic_raw[#Headers],0))=0, INDEX(regions[], MATCH($D15, regions[[setting]:[setting]],0), MATCH(AO$1, regions[#Headers],0)),INDEX(lmic_raw[],MATCH($A15,lmic_raw[[setting]:[setting]],0), MATCH(AO$1, lmic_raw[#Headers],0)))</f>
        <v>7.2805632907693195E-3</v>
      </c>
      <c r="AP15" s="33">
        <f>IF(INDEX(lmic_raw[],MATCH($A15,lmic_raw[[setting]:[setting]],0), MATCH(AP$1, lmic_raw[#Headers],0))=0, INDEX(regions[], MATCH($D15, regions[[setting]:[setting]],0), MATCH(AP$1, regions[#Headers],0)),INDEX(lmic_raw[],MATCH($A15,lmic_raw[[setting]:[setting]],0), MATCH(AP$1, lmic_raw[#Headers],0)))</f>
        <v>1.1803545063804526E-2</v>
      </c>
      <c r="AQ15" s="33">
        <f>IF(INDEX(lmic_raw[],MATCH($A15,lmic_raw[[setting]:[setting]],0), MATCH(AQ$1, lmic_raw[#Headers],0))=0, INDEX(regions[], MATCH($D15, regions[[setting]:[setting]],0), MATCH(AQ$1, regions[#Headers],0)),INDEX(lmic_raw[],MATCH($A15,lmic_raw[[setting]:[setting]],0), MATCH(AQ$1, lmic_raw[#Headers],0)))</f>
        <v>1.8687882479733471E-2</v>
      </c>
      <c r="AR15" s="33">
        <f>IF(INDEX(lmic_raw[],MATCH($A15,lmic_raw[[setting]:[setting]],0), MATCH(AR$1, lmic_raw[#Headers],0))=0, INDEX(regions[], MATCH($D15, regions[[setting]:[setting]],0), MATCH(AR$1, regions[#Headers],0)),INDEX(lmic_raw[],MATCH($A15,lmic_raw[[setting]:[setting]],0), MATCH(AR$1, lmic_raw[#Headers],0)))</f>
        <v>3.0730713953492684E-2</v>
      </c>
      <c r="AS15" s="33">
        <f>IF(INDEX(lmic_raw[],MATCH($A15,lmic_raw[[setting]:[setting]],0), MATCH(AS$1, lmic_raw[#Headers],0))=0, INDEX(regions[], MATCH($D15, regions[[setting]:[setting]],0), MATCH(AS$1, regions[#Headers],0)),INDEX(lmic_raw[],MATCH($A15,lmic_raw[[setting]:[setting]],0), MATCH(AS$1, lmic_raw[#Headers],0)))</f>
        <v>5.0403647743064516E-2</v>
      </c>
      <c r="AT15" s="33">
        <f>IF(INDEX(lmic_raw[],MATCH($A15,lmic_raw[[setting]:[setting]],0), MATCH(AT$1, lmic_raw[#Headers],0))=0, INDEX(regions[], MATCH($D15, regions[[setting]:[setting]],0), MATCH(AT$1, regions[#Headers],0)),INDEX(lmic_raw[],MATCH($A15,lmic_raw[[setting]:[setting]],0), MATCH(AT$1, lmic_raw[#Headers],0)))</f>
        <v>7.5853994123620261E-2</v>
      </c>
      <c r="AU15" s="33">
        <f>IF(INDEX(lmic_raw[],MATCH($A15,lmic_raw[[setting]:[setting]],0), MATCH(AU$1, lmic_raw[#Headers],0))=0, INDEX(regions[], MATCH($D15, regions[[setting]:[setting]],0), MATCH(AU$1, regions[#Headers],0)),INDEX(lmic_raw[],MATCH($A15,lmic_raw[[setting]:[setting]],0), MATCH(AU$1, lmic_raw[#Headers],0)))</f>
        <v>0.1080398902564598</v>
      </c>
      <c r="AV15" s="33">
        <f>IF(INDEX(lmic_raw[],MATCH($A15,lmic_raw[[setting]:[setting]],0), MATCH(AV$1, lmic_raw[#Headers],0))=0, INDEX(regions[], MATCH($D15, regions[[setting]:[setting]],0), MATCH(AV$1, regions[#Headers],0)),INDEX(lmic_raw[],MATCH($A15,lmic_raw[[setting]:[setting]],0), MATCH(AV$1, lmic_raw[#Headers],0)))</f>
        <v>0.14120156540971807</v>
      </c>
      <c r="AW15" s="33">
        <f>IF(INDEX(lmic_raw[],MATCH($A15,lmic_raw[[setting]:[setting]],0), MATCH(AW$1, lmic_raw[#Headers],0))=0, INDEX(regions[], MATCH($D15, regions[[setting]:[setting]],0), MATCH(AW$1, regions[#Headers],0)),INDEX(lmic_raw[],MATCH($A15,lmic_raw[[setting]:[setting]],0), MATCH(AW$1, lmic_raw[#Headers],0)))</f>
        <v>0.1682036960272317</v>
      </c>
      <c r="AX15" s="33">
        <f>IF(INDEX(lmic_raw[],MATCH($A15,lmic_raw[[setting]:[setting]],0), MATCH(AX$1, lmic_raw[#Headers],0))=0, INDEX(regions[], MATCH($D15, regions[[setting]:[setting]],0), MATCH(AX$1, regions[#Headers],0)),INDEX(lmic_raw[],MATCH($A15,lmic_raw[[setting]:[setting]],0), MATCH(AX$1, lmic_raw[#Headers],0)))</f>
        <v>77.176000000000002</v>
      </c>
      <c r="AY15" s="33" t="str">
        <f>IF(VLOOKUP($A15,lmic_raw[],11,FALSE)=0, "Yes", "No")</f>
        <v>Yes</v>
      </c>
    </row>
    <row r="16" spans="1:51" x14ac:dyDescent="0.25">
      <c r="A16" s="109" t="s">
        <v>132</v>
      </c>
      <c r="B16" s="101" t="s">
        <v>387</v>
      </c>
      <c r="C16" s="102">
        <v>72</v>
      </c>
      <c r="D16" s="82" t="s">
        <v>677</v>
      </c>
      <c r="E16" s="82" t="s">
        <v>594</v>
      </c>
      <c r="F16" s="82" t="s">
        <v>667</v>
      </c>
      <c r="G16" s="82" t="s">
        <v>676</v>
      </c>
      <c r="H16" s="33">
        <f>IF(INDEX(lmic_raw[],MATCH($A16,lmic_raw[[setting]:[setting]],0), MATCH(H$1, lmic_raw[#Headers],0))=0, INDEX(regions[], MATCH($D16, regions[[setting]:[setting]],0), MATCH(H$1, regions[#Headers],0)),INDEX(lmic_raw[],MATCH($A16,lmic_raw[[setting]:[setting]],0), MATCH(H$1, lmic_raw[#Headers],0)))</f>
        <v>2303703</v>
      </c>
      <c r="I16" s="33">
        <f>IF(INDEX(lmic_raw[],MATCH($A16,lmic_raw[[setting]:[setting]],0), MATCH(I$1, lmic_raw[#Headers],0))=0, INDEX(regions[], MATCH($D16, regions[[setting]:[setting]],0), MATCH(I$1, regions[#Headers],0)),INDEX(lmic_raw[],MATCH($A16,lmic_raw[[setting]:[setting]],0), MATCH(I$1, lmic_raw[#Headers],0)))</f>
        <v>57852.893438999999</v>
      </c>
      <c r="J16" s="33">
        <f>IF(INDEX(lmic_raw[],MATCH($A16,lmic_raw[[setting]:[setting]],0), MATCH(J$1, lmic_raw[#Headers],0))=0, INDEX(regions[], MATCH($D16, regions[[setting]:[setting]],0), MATCH(J$1, regions[#Headers],0)),INDEX(lmic_raw[],MATCH($A16,lmic_raw[[setting]:[setting]],0), MATCH(J$1, lmic_raw[#Headers],0)))</f>
        <v>0.997</v>
      </c>
      <c r="K16" s="33">
        <f>IF(INDEX(lmic_raw[],MATCH($A16,lmic_raw[[setting]:[setting]],0), MATCH(K$1, lmic_raw[#Headers],0))=0, INDEX(regions[], MATCH($D16, regions[[setting]:[setting]],0), MATCH(K$1, regions[#Headers],0)),INDEX(lmic_raw[],MATCH($A16,lmic_raw[[setting]:[setting]],0), MATCH(K$1, lmic_raw[#Headers],0)))</f>
        <v>0.69252604416320784</v>
      </c>
      <c r="L16" s="33">
        <f>IF(INDEX(lmic_raw[],MATCH($A16,lmic_raw[[setting]:[setting]],0), MATCH(L$1, lmic_raw[#Headers],0))=0, INDEX(regions[], MATCH($D16, regions[[setting]:[setting]],0), MATCH(L$1, regions[#Headers],0)),INDEX(lmic_raw[],MATCH($A16,lmic_raw[[setting]:[setting]],0), MATCH(L$1, lmic_raw[#Headers],0)))</f>
        <v>0.95</v>
      </c>
      <c r="M16" s="33">
        <f>IF(INDEX(lmic_raw[],MATCH($A16,lmic_raw[[setting]:[setting]],0), MATCH(M$1, lmic_raw[#Headers],0))=0, INDEX(regions[], MATCH($D16, regions[[setting]:[setting]],0), MATCH(M$1, regions[#Headers],0)),INDEX(lmic_raw[],MATCH($A16,lmic_raw[[setting]:[setting]],0), MATCH(M$1, lmic_raw[#Headers],0)))</f>
        <v>1.34E-2</v>
      </c>
      <c r="N16" s="33">
        <f>IF(INDEX(lmic_raw[],MATCH($A16,lmic_raw[[setting]:[setting]],0), MATCH(N$1, lmic_raw[#Headers],0))=0, INDEX(regions[], MATCH($D16, regions[[setting]:[setting]],0), MATCH(N$1, regions[#Headers],0)),INDEX(lmic_raw[],MATCH($A16,lmic_raw[[setting]:[setting]],0), MATCH(N$1, lmic_raw[#Headers],0)))</f>
        <v>0.25755155919454675</v>
      </c>
      <c r="O16" s="33">
        <f>IF(INDEX(lmic_raw[],MATCH($A16,lmic_raw[[setting]:[setting]],0), MATCH(O$1, lmic_raw[#Headers],0))=0, INDEX(regions[], MATCH($D16, regions[[setting]:[setting]],0), MATCH(O$1, regions[#Headers],0)),INDEX(lmic_raw[],MATCH($A16,lmic_raw[[setting]:[setting]],0), MATCH(O$1, lmic_raw[#Headers],0)))</f>
        <v>0.38300000000000001</v>
      </c>
      <c r="P16" s="33">
        <f>IF(INDEX(lmic_raw[],MATCH($A16,lmic_raw[[setting]:[setting]],0), MATCH(P$1, lmic_raw[#Headers],0))=0, INDEX(regions[], MATCH($D16, regions[[setting]:[setting]],0), MATCH(P$1, regions[#Headers],0)),INDEX(lmic_raw[],MATCH($A16,lmic_raw[[setting]:[setting]],0), MATCH(P$1, lmic_raw[#Headers],0)))</f>
        <v>4.8000000000000001E-2</v>
      </c>
      <c r="Q16" s="33">
        <f>IF(INDEX(lmic_raw[],MATCH($A16,lmic_raw[[setting]:[setting]],0), MATCH(Q$1, lmic_raw[#Headers],0))=0, INDEX(regions[], MATCH($D16, regions[[setting]:[setting]],0), MATCH(Q$1, regions[#Headers],0)),INDEX(lmic_raw[],MATCH($A16,lmic_raw[[setting]:[setting]],0), MATCH(Q$1, lmic_raw[#Headers],0)))</f>
        <v>14.016945230508615</v>
      </c>
      <c r="R16" s="33">
        <f>IF(INDEX(lmic_raw[],MATCH($A16,lmic_raw[[setting]:[setting]],0), MATCH(R$1, lmic_raw[#Headers],0))=0, INDEX(regions[], MATCH($D16, regions[[setting]:[setting]],0), MATCH(R$1, regions[#Headers],0)),INDEX(lmic_raw[],MATCH($A16,lmic_raw[[setting]:[setting]],0), MATCH(R$1, lmic_raw[#Headers],0)))</f>
        <v>29.920500000000001</v>
      </c>
      <c r="S16" s="33">
        <f>IF(INDEX(lmic_raw[],MATCH($A16,lmic_raw[[setting]:[setting]],0), MATCH(S$1, lmic_raw[#Headers],0))=0, INDEX(regions[], MATCH($D16, regions[[setting]:[setting]],0), MATCH(S$1, regions[#Headers],0)),INDEX(lmic_raw[],MATCH($A16,lmic_raw[[setting]:[setting]],0), MATCH(S$1, lmic_raw[#Headers],0)))</f>
        <v>77.662500000000009</v>
      </c>
      <c r="T16" s="33">
        <f>IF(INDEX(lmic_raw[],MATCH($A16,lmic_raw[[setting]:[setting]],0), MATCH(T$1, lmic_raw[#Headers],0))=0, INDEX(regions[], MATCH($D16, regions[[setting]:[setting]],0), MATCH(T$1, regions[#Headers],0)),INDEX(lmic_raw[],MATCH($A16,lmic_raw[[setting]:[setting]],0), MATCH(T$1, lmic_raw[#Headers],0)))</f>
        <v>77.662500000000009</v>
      </c>
      <c r="U16" s="33">
        <f>IF(INDEX(lmic_raw[],MATCH($A16,lmic_raw[[setting]:[setting]],0), MATCH(U$1, lmic_raw[#Headers],0))=0, INDEX(regions[], MATCH($D16, regions[[setting]:[setting]],0), MATCH(U$1, regions[#Headers],0)),INDEX(lmic_raw[],MATCH($A16,lmic_raw[[setting]:[setting]],0), MATCH(U$1, lmic_raw[#Headers],0)))</f>
        <v>77.662500000000009</v>
      </c>
      <c r="V16" s="33">
        <f>IF(INDEX(lmic_raw[],MATCH($A16,lmic_raw[[setting]:[setting]],0), MATCH(V$1, lmic_raw[#Headers],0))=0, INDEX(regions[], MATCH($D16, regions[[setting]:[setting]],0), MATCH(V$1, regions[#Headers],0)),INDEX(lmic_raw[],MATCH($A16,lmic_raw[[setting]:[setting]],0), MATCH(V$1, lmic_raw[#Headers],0)))</f>
        <v>7.4871958098798705</v>
      </c>
      <c r="W16" s="33">
        <f>IF(INDEX(lmic_raw[],MATCH($A16,lmic_raw[[setting]:[setting]],0), MATCH(W$1, lmic_raw[#Headers],0))=0, INDEX(regions[], MATCH($D16, regions[[setting]:[setting]],0), MATCH(W$1, regions[#Headers],0)),INDEX(lmic_raw[],MATCH($A16,lmic_raw[[setting]:[setting]],0), MATCH(W$1, lmic_raw[#Headers],0)))</f>
        <v>12.31719580987987</v>
      </c>
      <c r="X16" s="33">
        <f>IF(INDEX(lmic_raw[],MATCH($A16,lmic_raw[[setting]:[setting]],0), MATCH(X$1, lmic_raw[#Headers],0))=0, INDEX(regions[], MATCH($D16, regions[[setting]:[setting]],0), MATCH(X$1, regions[#Headers],0)),INDEX(lmic_raw[],MATCH($A16,lmic_raw[[setting]:[setting]],0), MATCH(X$1, lmic_raw[#Headers],0)))</f>
        <v>7.0455570908801688</v>
      </c>
      <c r="Y16" s="33">
        <f>IF(INDEX(lmic_raw[],MATCH($A16,lmic_raw[[setting]:[setting]],0), MATCH(Y$1, lmic_raw[#Headers],0))=0, INDEX(regions[], MATCH($D16, regions[[setting]:[setting]],0), MATCH(Y$1, regions[#Headers],0)),INDEX(lmic_raw[],MATCH($A16,lmic_raw[[setting]:[setting]],0), MATCH(Y$1, lmic_raw[#Headers],0)))</f>
        <v>11.875557090880168</v>
      </c>
      <c r="Z16" s="33">
        <f>IF(INDEX(lmic_raw[],MATCH($A16,lmic_raw[[setting]:[setting]],0), MATCH(Z$1, lmic_raw[#Headers],0))=0, INDEX(regions[], MATCH($D16, regions[[setting]:[setting]],0), MATCH(Z$1, regions[#Headers],0)),INDEX(lmic_raw[],MATCH($A16,lmic_raw[[setting]:[setting]],0), MATCH(Z$1, lmic_raw[#Headers],0)))</f>
        <v>11.86673856370226</v>
      </c>
      <c r="AA16" s="33">
        <f>IF(INDEX(lmic_raw[],MATCH($A16,lmic_raw[[setting]:[setting]],0), MATCH(AA$1, lmic_raw[#Headers],0))=0, INDEX(regions[], MATCH($D16, regions[[setting]:[setting]],0), MATCH(AA$1, regions[#Headers],0)),INDEX(lmic_raw[],MATCH($A16,lmic_raw[[setting]:[setting]],0), MATCH(AA$1, lmic_raw[#Headers],0)))</f>
        <v>7.7346172030100186</v>
      </c>
      <c r="AB16" s="33">
        <f>IF(INDEX(lmic_raw[],MATCH($A16,lmic_raw[[setting]:[setting]],0), MATCH(AB$1, lmic_raw[#Headers],0))=0, INDEX(regions[], MATCH($D16, regions[[setting]:[setting]],0), MATCH(AB$1, regions[#Headers],0)),INDEX(lmic_raw[],MATCH($A16,lmic_raw[[setting]:[setting]],0), MATCH(AB$1, lmic_raw[#Headers],0)))</f>
        <v>12.56461720301002</v>
      </c>
      <c r="AC16" s="33">
        <f>IF(INDEX(lmic_raw[],MATCH($A16,lmic_raw[[setting]:[setting]],0), MATCH(AC$1, lmic_raw[#Headers],0))=0, INDEX(regions[], MATCH($D16, regions[[setting]:[setting]],0), MATCH(AC$1, regions[#Headers],0)),INDEX(lmic_raw[],MATCH($A16,lmic_raw[[setting]:[setting]],0), MATCH(AC$1, lmic_raw[#Headers],0)))</f>
        <v>3.0160739999999932E-2</v>
      </c>
      <c r="AD16" s="33">
        <f>IF(INDEX(lmic_raw[],MATCH($A16,lmic_raw[[setting]:[setting]],0), MATCH(AD$1, lmic_raw[#Headers],0))=0, INDEX(regions[], MATCH($D16, regions[[setting]:[setting]],0), MATCH(AD$1, regions[#Headers],0)),INDEX(lmic_raw[],MATCH($A16,lmic_raw[[setting]:[setting]],0), MATCH(AD$1, lmic_raw[#Headers],0)))</f>
        <v>2.0156072048475504E-3</v>
      </c>
      <c r="AE16" s="33">
        <f>IF(INDEX(lmic_raw[],MATCH($A16,lmic_raw[[setting]:[setting]],0), MATCH(AE$1, lmic_raw[#Headers],0))=0, INDEX(regions[], MATCH($D16, regions[[setting]:[setting]],0), MATCH(AE$1, regions[#Headers],0)),INDEX(lmic_raw[],MATCH($A16,lmic_raw[[setting]:[setting]],0), MATCH(AE$1, lmic_raw[#Headers],0)))</f>
        <v>5.2198706887591855E-4</v>
      </c>
      <c r="AF16" s="33">
        <f>IF(INDEX(lmic_raw[],MATCH($A16,lmic_raw[[setting]:[setting]],0), MATCH(AF$1, lmic_raw[#Headers],0))=0, INDEX(regions[], MATCH($D16, regions[[setting]:[setting]],0), MATCH(AF$1, regions[#Headers],0)),INDEX(lmic_raw[],MATCH($A16,lmic_raw[[setting]:[setting]],0), MATCH(AF$1, lmic_raw[#Headers],0)))</f>
        <v>4.3840538932199332E-4</v>
      </c>
      <c r="AG16" s="33">
        <f>IF(INDEX(lmic_raw[],MATCH($A16,lmic_raw[[setting]:[setting]],0), MATCH(AG$1, lmic_raw[#Headers],0))=0, INDEX(regions[], MATCH($D16, regions[[setting]:[setting]],0), MATCH(AG$1, regions[#Headers],0)),INDEX(lmic_raw[],MATCH($A16,lmic_raw[[setting]:[setting]],0), MATCH(AG$1, lmic_raw[#Headers],0)))</f>
        <v>7.8506094886064942E-4</v>
      </c>
      <c r="AH16" s="33">
        <f>IF(INDEX(lmic_raw[],MATCH($A16,lmic_raw[[setting]:[setting]],0), MATCH(AH$1, lmic_raw[#Headers],0))=0, INDEX(regions[], MATCH($D16, regions[[setting]:[setting]],0), MATCH(AH$1, regions[#Headers],0)),INDEX(lmic_raw[],MATCH($A16,lmic_raw[[setting]:[setting]],0), MATCH(AH$1, lmic_raw[#Headers],0)))</f>
        <v>1.3829633814185711E-3</v>
      </c>
      <c r="AI16" s="33">
        <f>IF(INDEX(lmic_raw[],MATCH($A16,lmic_raw[[setting]:[setting]],0), MATCH(AI$1, lmic_raw[#Headers],0))=0, INDEX(regions[], MATCH($D16, regions[[setting]:[setting]],0), MATCH(AI$1, regions[#Headers],0)),INDEX(lmic_raw[],MATCH($A16,lmic_raw[[setting]:[setting]],0), MATCH(AI$1, lmic_raw[#Headers],0)))</f>
        <v>2.2022662689883169E-3</v>
      </c>
      <c r="AJ16" s="33">
        <f>IF(INDEX(lmic_raw[],MATCH($A16,lmic_raw[[setting]:[setting]],0), MATCH(AJ$1, lmic_raw[#Headers],0))=0, INDEX(regions[], MATCH($D16, regions[[setting]:[setting]],0), MATCH(AJ$1, regions[#Headers],0)),INDEX(lmic_raw[],MATCH($A16,lmic_raw[[setting]:[setting]],0), MATCH(AJ$1, lmic_raw[#Headers],0)))</f>
        <v>3.1381645842773185E-3</v>
      </c>
      <c r="AK16" s="33">
        <f>IF(INDEX(lmic_raw[],MATCH($A16,lmic_raw[[setting]:[setting]],0), MATCH(AK$1, lmic_raw[#Headers],0))=0, INDEX(regions[], MATCH($D16, regions[[setting]:[setting]],0), MATCH(AK$1, regions[#Headers],0)),INDEX(lmic_raw[],MATCH($A16,lmic_raw[[setting]:[setting]],0), MATCH(AK$1, lmic_raw[#Headers],0)))</f>
        <v>4.5169997243930081E-3</v>
      </c>
      <c r="AL16" s="33">
        <f>IF(INDEX(lmic_raw[],MATCH($A16,lmic_raw[[setting]:[setting]],0), MATCH(AL$1, lmic_raw[#Headers],0))=0, INDEX(regions[], MATCH($D16, regions[[setting]:[setting]],0), MATCH(AL$1, regions[#Headers],0)),INDEX(lmic_raw[],MATCH($A16,lmic_raw[[setting]:[setting]],0), MATCH(AL$1, lmic_raw[#Headers],0)))</f>
        <v>5.6268078527099679E-3</v>
      </c>
      <c r="AM16" s="33">
        <f>IF(INDEX(lmic_raw[],MATCH($A16,lmic_raw[[setting]:[setting]],0), MATCH(AM$1, lmic_raw[#Headers],0))=0, INDEX(regions[], MATCH($D16, regions[[setting]:[setting]],0), MATCH(AM$1, regions[#Headers],0)),INDEX(lmic_raw[],MATCH($A16,lmic_raw[[setting]:[setting]],0), MATCH(AM$1, lmic_raw[#Headers],0)))</f>
        <v>7.0094243114026374E-3</v>
      </c>
      <c r="AN16" s="33">
        <f>IF(INDEX(lmic_raw[],MATCH($A16,lmic_raw[[setting]:[setting]],0), MATCH(AN$1, lmic_raw[#Headers],0))=0, INDEX(regions[], MATCH($D16, regions[[setting]:[setting]],0), MATCH(AN$1, regions[#Headers],0)),INDEX(lmic_raw[],MATCH($A16,lmic_raw[[setting]:[setting]],0), MATCH(AN$1, lmic_raw[#Headers],0)))</f>
        <v>8.962636173207186E-3</v>
      </c>
      <c r="AO16" s="33">
        <f>IF(INDEX(lmic_raw[],MATCH($A16,lmic_raw[[setting]:[setting]],0), MATCH(AO$1, lmic_raw[#Headers],0))=0, INDEX(regions[], MATCH($D16, regions[[setting]:[setting]],0), MATCH(AO$1, regions[#Headers],0)),INDEX(lmic_raw[],MATCH($A16,lmic_raw[[setting]:[setting]],0), MATCH(AO$1, lmic_raw[#Headers],0)))</f>
        <v>1.1197285644061732E-2</v>
      </c>
      <c r="AP16" s="33">
        <f>IF(INDEX(lmic_raw[],MATCH($A16,lmic_raw[[setting]:[setting]],0), MATCH(AP$1, lmic_raw[#Headers],0))=0, INDEX(regions[], MATCH($D16, regions[[setting]:[setting]],0), MATCH(AP$1, regions[#Headers],0)),INDEX(lmic_raw[],MATCH($A16,lmic_raw[[setting]:[setting]],0), MATCH(AP$1, lmic_raw[#Headers],0)))</f>
        <v>1.5649063132168003E-2</v>
      </c>
      <c r="AQ16" s="33">
        <f>IF(INDEX(lmic_raw[],MATCH($A16,lmic_raw[[setting]:[setting]],0), MATCH(AQ$1, lmic_raw[#Headers],0))=0, INDEX(regions[], MATCH($D16, regions[[setting]:[setting]],0), MATCH(AQ$1, regions[#Headers],0)),INDEX(lmic_raw[],MATCH($A16,lmic_raw[[setting]:[setting]],0), MATCH(AQ$1, lmic_raw[#Headers],0)))</f>
        <v>2.3495641099233546E-2</v>
      </c>
      <c r="AR16" s="33">
        <f>IF(INDEX(lmic_raw[],MATCH($A16,lmic_raw[[setting]:[setting]],0), MATCH(AR$1, lmic_raw[#Headers],0))=0, INDEX(regions[], MATCH($D16, regions[[setting]:[setting]],0), MATCH(AR$1, regions[#Headers],0)),INDEX(lmic_raw[],MATCH($A16,lmic_raw[[setting]:[setting]],0), MATCH(AR$1, lmic_raw[#Headers],0)))</f>
        <v>3.5985853599522818E-2</v>
      </c>
      <c r="AS16" s="33">
        <f>IF(INDEX(lmic_raw[],MATCH($A16,lmic_raw[[setting]:[setting]],0), MATCH(AS$1, lmic_raw[#Headers],0))=0, INDEX(regions[], MATCH($D16, regions[[setting]:[setting]],0), MATCH(AS$1, regions[#Headers],0)),INDEX(lmic_raw[],MATCH($A16,lmic_raw[[setting]:[setting]],0), MATCH(AS$1, lmic_raw[#Headers],0)))</f>
        <v>5.4975598922963879E-2</v>
      </c>
      <c r="AT16" s="33">
        <f>IF(INDEX(lmic_raw[],MATCH($A16,lmic_raw[[setting]:[setting]],0), MATCH(AT$1, lmic_raw[#Headers],0))=0, INDEX(regions[], MATCH($D16, regions[[setting]:[setting]],0), MATCH(AT$1, regions[#Headers],0)),INDEX(lmic_raw[],MATCH($A16,lmic_raw[[setting]:[setting]],0), MATCH(AT$1, lmic_raw[#Headers],0)))</f>
        <v>8.5568510513363741E-2</v>
      </c>
      <c r="AU16" s="33">
        <f>IF(INDEX(lmic_raw[],MATCH($A16,lmic_raw[[setting]:[setting]],0), MATCH(AU$1, lmic_raw[#Headers],0))=0, INDEX(regions[], MATCH($D16, regions[[setting]:[setting]],0), MATCH(AU$1, regions[#Headers],0)),INDEX(lmic_raw[],MATCH($A16,lmic_raw[[setting]:[setting]],0), MATCH(AU$1, lmic_raw[#Headers],0)))</f>
        <v>0.12580420791353883</v>
      </c>
      <c r="AV16" s="33">
        <f>IF(INDEX(lmic_raw[],MATCH($A16,lmic_raw[[setting]:[setting]],0), MATCH(AV$1, lmic_raw[#Headers],0))=0, INDEX(regions[], MATCH($D16, regions[[setting]:[setting]],0), MATCH(AV$1, regions[#Headers],0)),INDEX(lmic_raw[],MATCH($A16,lmic_raw[[setting]:[setting]],0), MATCH(AV$1, lmic_raw[#Headers],0)))</f>
        <v>0.16400218688819299</v>
      </c>
      <c r="AW16" s="33">
        <f>IF(INDEX(lmic_raw[],MATCH($A16,lmic_raw[[setting]:[setting]],0), MATCH(AW$1, lmic_raw[#Headers],0))=0, INDEX(regions[], MATCH($D16, regions[[setting]:[setting]],0), MATCH(AW$1, regions[#Headers],0)),INDEX(lmic_raw[],MATCH($A16,lmic_raw[[setting]:[setting]],0), MATCH(AW$1, lmic_raw[#Headers],0)))</f>
        <v>0.18242030187253114</v>
      </c>
      <c r="AX16" s="33">
        <f>IF(INDEX(lmic_raw[],MATCH($A16,lmic_raw[[setting]:[setting]],0), MATCH(AX$1, lmic_raw[#Headers],0))=0, INDEX(regions[], MATCH($D16, regions[[setting]:[setting]],0), MATCH(AX$1, regions[#Headers],0)),INDEX(lmic_raw[],MATCH($A16,lmic_raw[[setting]:[setting]],0), MATCH(AX$1, lmic_raw[#Headers],0)))</f>
        <v>69.094999999999999</v>
      </c>
      <c r="AY16" s="33" t="str">
        <f>IF(VLOOKUP($A16,lmic_raw[],11,FALSE)=0, "Yes", "No")</f>
        <v>Yes</v>
      </c>
    </row>
    <row r="17" spans="1:51" x14ac:dyDescent="0.25">
      <c r="A17" s="110" t="s">
        <v>264</v>
      </c>
      <c r="B17" s="104" t="s">
        <v>388</v>
      </c>
      <c r="C17" s="105">
        <v>76</v>
      </c>
      <c r="D17" s="84" t="s">
        <v>679</v>
      </c>
      <c r="E17" s="84" t="s">
        <v>595</v>
      </c>
      <c r="F17" s="84" t="s">
        <v>665</v>
      </c>
      <c r="G17" s="84" t="s">
        <v>676</v>
      </c>
      <c r="H17" s="33">
        <f>IF(INDEX(lmic_raw[],MATCH($A17,lmic_raw[[setting]:[setting]],0), MATCH(H$1, lmic_raw[#Headers],0))=0, INDEX(regions[], MATCH($D17, regions[[setting]:[setting]],0), MATCH(H$1, regions[#Headers],0)),INDEX(lmic_raw[],MATCH($A17,lmic_raw[[setting]:[setting]],0), MATCH(H$1, lmic_raw[#Headers],0)))</f>
        <v>211049519</v>
      </c>
      <c r="I17" s="33">
        <f>IF(INDEX(lmic_raw[],MATCH($A17,lmic_raw[[setting]:[setting]],0), MATCH(I$1, lmic_raw[#Headers],0))=0, INDEX(regions[], MATCH($D17, regions[[setting]:[setting]],0), MATCH(I$1, regions[#Headers],0)),INDEX(lmic_raw[],MATCH($A17,lmic_raw[[setting]:[setting]],0), MATCH(I$1, lmic_raw[#Headers],0)))</f>
        <v>2970099.8808869999</v>
      </c>
      <c r="J17" s="33">
        <f>IF(INDEX(lmic_raw[],MATCH($A17,lmic_raw[[setting]:[setting]],0), MATCH(J$1, lmic_raw[#Headers],0))=0, INDEX(regions[], MATCH($D17, regions[[setting]:[setting]],0), MATCH(J$1, regions[#Headers],0)),INDEX(lmic_raw[],MATCH($A17,lmic_raw[[setting]:[setting]],0), MATCH(J$1, lmic_raw[#Headers],0)))</f>
        <v>0.99099999999999999</v>
      </c>
      <c r="K17" s="33">
        <f>IF(INDEX(lmic_raw[],MATCH($A17,lmic_raw[[setting]:[setting]],0), MATCH(K$1, lmic_raw[#Headers],0))=0, INDEX(regions[], MATCH($D17, regions[[setting]:[setting]],0), MATCH(K$1, regions[#Headers],0)),INDEX(lmic_raw[],MATCH($A17,lmic_raw[[setting]:[setting]],0), MATCH(K$1, lmic_raw[#Headers],0)))</f>
        <v>0.78</v>
      </c>
      <c r="L17" s="33">
        <f>IF(INDEX(lmic_raw[],MATCH($A17,lmic_raw[[setting]:[setting]],0), MATCH(L$1, lmic_raw[#Headers],0))=0, INDEX(regions[], MATCH($D17, regions[[setting]:[setting]],0), MATCH(L$1, regions[#Headers],0)),INDEX(lmic_raw[],MATCH($A17,lmic_raw[[setting]:[setting]],0), MATCH(L$1, lmic_raw[#Headers],0)))</f>
        <v>0.8</v>
      </c>
      <c r="M17" s="33">
        <f>IF(INDEX(lmic_raw[],MATCH($A17,lmic_raw[[setting]:[setting]],0), MATCH(M$1, lmic_raw[#Headers],0))=0, INDEX(regions[], MATCH($D17, regions[[setting]:[setting]],0), MATCH(M$1, regions[#Headers],0)),INDEX(lmic_raw[],MATCH($A17,lmic_raw[[setting]:[setting]],0), MATCH(M$1, lmic_raw[#Headers],0)))</f>
        <v>5.4000000000000003E-3</v>
      </c>
      <c r="N17" s="33">
        <f>IF(INDEX(lmic_raw[],MATCH($A17,lmic_raw[[setting]:[setting]],0), MATCH(N$1, lmic_raw[#Headers],0))=0, INDEX(regions[], MATCH($D17, regions[[setting]:[setting]],0), MATCH(N$1, regions[#Headers],0)),INDEX(lmic_raw[],MATCH($A17,lmic_raw[[setting]:[setting]],0), MATCH(N$1, lmic_raw[#Headers],0)))</f>
        <v>0.30724885463432083</v>
      </c>
      <c r="O17" s="33">
        <f>IF(INDEX(lmic_raw[],MATCH($A17,lmic_raw[[setting]:[setting]],0), MATCH(O$1, lmic_raw[#Headers],0))=0, INDEX(regions[], MATCH($D17, regions[[setting]:[setting]],0), MATCH(O$1, regions[#Headers],0)),INDEX(lmic_raw[],MATCH($A17,lmic_raw[[setting]:[setting]],0), MATCH(O$1, lmic_raw[#Headers],0)))</f>
        <v>0.8</v>
      </c>
      <c r="P17" s="33">
        <f>IF(INDEX(lmic_raw[],MATCH($A17,lmic_raw[[setting]:[setting]],0), MATCH(P$1, lmic_raw[#Headers],0))=0, INDEX(regions[], MATCH($D17, regions[[setting]:[setting]],0), MATCH(P$1, regions[#Headers],0)),INDEX(lmic_raw[],MATCH($A17,lmic_raw[[setting]:[setting]],0), MATCH(P$1, lmic_raw[#Headers],0)))</f>
        <v>0.17499999999999999</v>
      </c>
      <c r="Q17" s="33">
        <f>IF(INDEX(lmic_raw[],MATCH($A17,lmic_raw[[setting]:[setting]],0), MATCH(Q$1, lmic_raw[#Headers],0))=0, INDEX(regions[], MATCH($D17, regions[[setting]:[setting]],0), MATCH(Q$1, regions[#Headers],0)),INDEX(lmic_raw[],MATCH($A17,lmic_raw[[setting]:[setting]],0), MATCH(Q$1, lmic_raw[#Headers],0)))</f>
        <v>4.8540385087489408</v>
      </c>
      <c r="R17" s="33">
        <f>IF(INDEX(lmic_raw[],MATCH($A17,lmic_raw[[setting]:[setting]],0), MATCH(R$1, lmic_raw[#Headers],0))=0, INDEX(regions[], MATCH($D17, regions[[setting]:[setting]],0), MATCH(R$1, regions[#Headers],0)),INDEX(lmic_raw[],MATCH($A17,lmic_raw[[setting]:[setting]],0), MATCH(R$1, lmic_raw[#Headers],0)))</f>
        <v>86.883899999999997</v>
      </c>
      <c r="S17" s="33">
        <f>IF(INDEX(lmic_raw[],MATCH($A17,lmic_raw[[setting]:[setting]],0), MATCH(S$1, lmic_raw[#Headers],0))=0, INDEX(regions[], MATCH($D17, regions[[setting]:[setting]],0), MATCH(S$1, regions[#Headers],0)),INDEX(lmic_raw[],MATCH($A17,lmic_raw[[setting]:[setting]],0), MATCH(S$1, lmic_raw[#Headers],0)))</f>
        <v>134.6259</v>
      </c>
      <c r="T17" s="33">
        <f>IF(INDEX(lmic_raw[],MATCH($A17,lmic_raw[[setting]:[setting]],0), MATCH(T$1, lmic_raw[#Headers],0))=0, INDEX(regions[], MATCH($D17, regions[[setting]:[setting]],0), MATCH(T$1, regions[#Headers],0)),INDEX(lmic_raw[],MATCH($A17,lmic_raw[[setting]:[setting]],0), MATCH(T$1, lmic_raw[#Headers],0)))</f>
        <v>134.6259</v>
      </c>
      <c r="U17" s="33">
        <f>IF(INDEX(lmic_raw[],MATCH($A17,lmic_raw[[setting]:[setting]],0), MATCH(U$1, lmic_raw[#Headers],0))=0, INDEX(regions[], MATCH($D17, regions[[setting]:[setting]],0), MATCH(U$1, regions[#Headers],0)),INDEX(lmic_raw[],MATCH($A17,lmic_raw[[setting]:[setting]],0), MATCH(U$1, lmic_raw[#Headers],0)))</f>
        <v>134.6259</v>
      </c>
      <c r="V17" s="33">
        <f>IF(INDEX(lmic_raw[],MATCH($A17,lmic_raw[[setting]:[setting]],0), MATCH(V$1, lmic_raw[#Headers],0))=0, INDEX(regions[], MATCH($D17, regions[[setting]:[setting]],0), MATCH(V$1, regions[#Headers],0)),INDEX(lmic_raw[],MATCH($A17,lmic_raw[[setting]:[setting]],0), MATCH(V$1, lmic_raw[#Headers],0)))</f>
        <v>2.445388209958737</v>
      </c>
      <c r="W17" s="33">
        <f>IF(INDEX(lmic_raw[],MATCH($A17,lmic_raw[[setting]:[setting]],0), MATCH(W$1, lmic_raw[#Headers],0))=0, INDEX(regions[], MATCH($D17, regions[[setting]:[setting]],0), MATCH(W$1, regions[#Headers],0)),INDEX(lmic_raw[],MATCH($A17,lmic_raw[[setting]:[setting]],0), MATCH(W$1, lmic_raw[#Headers],0)))</f>
        <v>2.465388209958737</v>
      </c>
      <c r="X17" s="33">
        <f>IF(INDEX(lmic_raw[],MATCH($A17,lmic_raw[[setting]:[setting]],0), MATCH(X$1, lmic_raw[#Headers],0))=0, INDEX(regions[], MATCH($D17, regions[[setting]:[setting]],0), MATCH(X$1, regions[#Headers],0)),INDEX(lmic_raw[],MATCH($A17,lmic_raw[[setting]:[setting]],0), MATCH(X$1, lmic_raw[#Headers],0)))</f>
        <v>2.0009930316579085</v>
      </c>
      <c r="Y17" s="33">
        <f>IF(INDEX(lmic_raw[],MATCH($A17,lmic_raw[[setting]:[setting]],0), MATCH(Y$1, lmic_raw[#Headers],0))=0, INDEX(regions[], MATCH($D17, regions[[setting]:[setting]],0), MATCH(Y$1, regions[#Headers],0)),INDEX(lmic_raw[],MATCH($A17,lmic_raw[[setting]:[setting]],0), MATCH(Y$1, lmic_raw[#Headers],0)))</f>
        <v>2.0209930316579086</v>
      </c>
      <c r="Z17" s="33">
        <f>IF(INDEX(lmic_raw[],MATCH($A17,lmic_raw[[setting]:[setting]],0), MATCH(Z$1, lmic_raw[#Headers],0))=0, INDEX(regions[], MATCH($D17, regions[[setting]:[setting]],0), MATCH(Z$1, regions[#Headers],0)),INDEX(lmic_raw[],MATCH($A17,lmic_raw[[setting]:[setting]],0), MATCH(Z$1, lmic_raw[#Headers],0)))</f>
        <v>2.0108910185845228</v>
      </c>
      <c r="AA17" s="33">
        <f>IF(INDEX(lmic_raw[],MATCH($A17,lmic_raw[[setting]:[setting]],0), MATCH(AA$1, lmic_raw[#Headers],0))=0, INDEX(regions[], MATCH($D17, regions[[setting]:[setting]],0), MATCH(AA$1, regions[#Headers],0)),INDEX(lmic_raw[],MATCH($A17,lmic_raw[[setting]:[setting]],0), MATCH(AA$1, lmic_raw[#Headers],0)))</f>
        <v>2.6938032105113843</v>
      </c>
      <c r="AB17" s="33">
        <f>IF(INDEX(lmic_raw[],MATCH($A17,lmic_raw[[setting]:[setting]],0), MATCH(AB$1, lmic_raw[#Headers],0))=0, INDEX(regions[], MATCH($D17, regions[[setting]:[setting]],0), MATCH(AB$1, regions[#Headers],0)),INDEX(lmic_raw[],MATCH($A17,lmic_raw[[setting]:[setting]],0), MATCH(AB$1, lmic_raw[#Headers],0)))</f>
        <v>2.7138032105113843</v>
      </c>
      <c r="AC17" s="33">
        <f>IF(INDEX(lmic_raw[],MATCH($A17,lmic_raw[[setting]:[setting]],0), MATCH(AC$1, lmic_raw[#Headers],0))=0, INDEX(regions[], MATCH($D17, regions[[setting]:[setting]],0), MATCH(AC$1, regions[#Headers],0)),INDEX(lmic_raw[],MATCH($A17,lmic_raw[[setting]:[setting]],0), MATCH(AC$1, lmic_raw[#Headers],0)))</f>
        <v>1.3017090000000026E-2</v>
      </c>
      <c r="AD17" s="33">
        <f>IF(INDEX(lmic_raw[],MATCH($A17,lmic_raw[[setting]:[setting]],0), MATCH(AD$1, lmic_raw[#Headers],0))=0, INDEX(regions[], MATCH($D17, regions[[setting]:[setting]],0), MATCH(AD$1, regions[#Headers],0)),INDEX(lmic_raw[],MATCH($A17,lmic_raw[[setting]:[setting]],0), MATCH(AD$1, lmic_raw[#Headers],0)))</f>
        <v>5.6547331706076689E-4</v>
      </c>
      <c r="AE17" s="33">
        <f>IF(INDEX(lmic_raw[],MATCH($A17,lmic_raw[[setting]:[setting]],0), MATCH(AE$1, lmic_raw[#Headers],0))=0, INDEX(regions[], MATCH($D17, regions[[setting]:[setting]],0), MATCH(AE$1, regions[#Headers],0)),INDEX(lmic_raw[],MATCH($A17,lmic_raw[[setting]:[setting]],0), MATCH(AE$1, lmic_raw[#Headers],0)))</f>
        <v>2.2605523840020086E-4</v>
      </c>
      <c r="AF17" s="33">
        <f>IF(INDEX(lmic_raw[],MATCH($A17,lmic_raw[[setting]:[setting]],0), MATCH(AF$1, lmic_raw[#Headers],0))=0, INDEX(regions[], MATCH($D17, regions[[setting]:[setting]],0), MATCH(AF$1, regions[#Headers],0)),INDEX(lmic_raw[],MATCH($A17,lmic_raw[[setting]:[setting]],0), MATCH(AF$1, lmic_raw[#Headers],0)))</f>
        <v>3.1057988826817137E-4</v>
      </c>
      <c r="AG17" s="33">
        <f>IF(INDEX(lmic_raw[],MATCH($A17,lmic_raw[[setting]:[setting]],0), MATCH(AG$1, lmic_raw[#Headers],0))=0, INDEX(regions[], MATCH($D17, regions[[setting]:[setting]],0), MATCH(AG$1, regions[#Headers],0)),INDEX(lmic_raw[],MATCH($A17,lmic_raw[[setting]:[setting]],0), MATCH(AG$1, lmic_raw[#Headers],0)))</f>
        <v>1.0834225044440882E-3</v>
      </c>
      <c r="AH17" s="33">
        <f>IF(INDEX(lmic_raw[],MATCH($A17,lmic_raw[[setting]:[setting]],0), MATCH(AH$1, lmic_raw[#Headers],0))=0, INDEX(regions[], MATCH($D17, regions[[setting]:[setting]],0), MATCH(AH$1, regions[#Headers],0)),INDEX(lmic_raw[],MATCH($A17,lmic_raw[[setting]:[setting]],0), MATCH(AH$1, lmic_raw[#Headers],0)))</f>
        <v>1.646481274941336E-3</v>
      </c>
      <c r="AI17" s="33">
        <f>IF(INDEX(lmic_raw[],MATCH($A17,lmic_raw[[setting]:[setting]],0), MATCH(AI$1, lmic_raw[#Headers],0))=0, INDEX(regions[], MATCH($D17, regions[[setting]:[setting]],0), MATCH(AI$1, regions[#Headers],0)),INDEX(lmic_raw[],MATCH($A17,lmic_raw[[setting]:[setting]],0), MATCH(AI$1, lmic_raw[#Headers],0)))</f>
        <v>1.5739236317706482E-3</v>
      </c>
      <c r="AJ17" s="33">
        <f>IF(INDEX(lmic_raw[],MATCH($A17,lmic_raw[[setting]:[setting]],0), MATCH(AJ$1, lmic_raw[#Headers],0))=0, INDEX(regions[], MATCH($D17, regions[[setting]:[setting]],0), MATCH(AJ$1, regions[#Headers],0)),INDEX(lmic_raw[],MATCH($A17,lmic_raw[[setting]:[setting]],0), MATCH(AJ$1, lmic_raw[#Headers],0)))</f>
        <v>1.8152815796892621E-3</v>
      </c>
      <c r="AK17" s="33">
        <f>IF(INDEX(lmic_raw[],MATCH($A17,lmic_raw[[setting]:[setting]],0), MATCH(AK$1, lmic_raw[#Headers],0))=0, INDEX(regions[], MATCH($D17, regions[[setting]:[setting]],0), MATCH(AK$1, regions[#Headers],0)),INDEX(lmic_raw[],MATCH($A17,lmic_raw[[setting]:[setting]],0), MATCH(AK$1, lmic_raw[#Headers],0)))</f>
        <v>2.2928846495734894E-3</v>
      </c>
      <c r="AL17" s="33">
        <f>IF(INDEX(lmic_raw[],MATCH($A17,lmic_raw[[setting]:[setting]],0), MATCH(AL$1, lmic_raw[#Headers],0))=0, INDEX(regions[], MATCH($D17, regions[[setting]:[setting]],0), MATCH(AL$1, regions[#Headers],0)),INDEX(lmic_raw[],MATCH($A17,lmic_raw[[setting]:[setting]],0), MATCH(AL$1, lmic_raw[#Headers],0)))</f>
        <v>2.9492000185282218E-3</v>
      </c>
      <c r="AM17" s="33">
        <f>IF(INDEX(lmic_raw[],MATCH($A17,lmic_raw[[setting]:[setting]],0), MATCH(AM$1, lmic_raw[#Headers],0))=0, INDEX(regions[], MATCH($D17, regions[[setting]:[setting]],0), MATCH(AM$1, regions[#Headers],0)),INDEX(lmic_raw[],MATCH($A17,lmic_raw[[setting]:[setting]],0), MATCH(AM$1, lmic_raw[#Headers],0)))</f>
        <v>4.254119071000209E-3</v>
      </c>
      <c r="AN17" s="33">
        <f>IF(INDEX(lmic_raw[],MATCH($A17,lmic_raw[[setting]:[setting]],0), MATCH(AN$1, lmic_raw[#Headers],0))=0, INDEX(regions[], MATCH($D17, regions[[setting]:[setting]],0), MATCH(AN$1, regions[#Headers],0)),INDEX(lmic_raw[],MATCH($A17,lmic_raw[[setting]:[setting]],0), MATCH(AN$1, lmic_raw[#Headers],0)))</f>
        <v>6.0649824775330236E-3</v>
      </c>
      <c r="AO17" s="33">
        <f>IF(INDEX(lmic_raw[],MATCH($A17,lmic_raw[[setting]:[setting]],0), MATCH(AO$1, lmic_raw[#Headers],0))=0, INDEX(regions[], MATCH($D17, regions[[setting]:[setting]],0), MATCH(AO$1, regions[#Headers],0)),INDEX(lmic_raw[],MATCH($A17,lmic_raw[[setting]:[setting]],0), MATCH(AO$1, lmic_raw[#Headers],0)))</f>
        <v>8.5723717159903456E-3</v>
      </c>
      <c r="AP17" s="33">
        <f>IF(INDEX(lmic_raw[],MATCH($A17,lmic_raw[[setting]:[setting]],0), MATCH(AP$1, lmic_raw[#Headers],0))=0, INDEX(regions[], MATCH($D17, regions[[setting]:[setting]],0), MATCH(AP$1, regions[#Headers],0)),INDEX(lmic_raw[],MATCH($A17,lmic_raw[[setting]:[setting]],0), MATCH(AP$1, lmic_raw[#Headers],0)))</f>
        <v>1.2759457491334723E-2</v>
      </c>
      <c r="AQ17" s="33">
        <f>IF(INDEX(lmic_raw[],MATCH($A17,lmic_raw[[setting]:[setting]],0), MATCH(AQ$1, lmic_raw[#Headers],0))=0, INDEX(regions[], MATCH($D17, regions[[setting]:[setting]],0), MATCH(AQ$1, regions[#Headers],0)),INDEX(lmic_raw[],MATCH($A17,lmic_raw[[setting]:[setting]],0), MATCH(AQ$1, lmic_raw[#Headers],0)))</f>
        <v>1.8896658395500792E-2</v>
      </c>
      <c r="AR17" s="33">
        <f>IF(INDEX(lmic_raw[],MATCH($A17,lmic_raw[[setting]:[setting]],0), MATCH(AR$1, lmic_raw[#Headers],0))=0, INDEX(regions[], MATCH($D17, regions[[setting]:[setting]],0), MATCH(AR$1, regions[#Headers],0)),INDEX(lmic_raw[],MATCH($A17,lmic_raw[[setting]:[setting]],0), MATCH(AR$1, lmic_raw[#Headers],0)))</f>
        <v>2.6861635507597945E-2</v>
      </c>
      <c r="AS17" s="33">
        <f>IF(INDEX(lmic_raw[],MATCH($A17,lmic_raw[[setting]:[setting]],0), MATCH(AS$1, lmic_raw[#Headers],0))=0, INDEX(regions[], MATCH($D17, regions[[setting]:[setting]],0), MATCH(AS$1, regions[#Headers],0)),INDEX(lmic_raw[],MATCH($A17,lmic_raw[[setting]:[setting]],0), MATCH(AS$1, lmic_raw[#Headers],0)))</f>
        <v>4.0189189323367715E-2</v>
      </c>
      <c r="AT17" s="33">
        <f>IF(INDEX(lmic_raw[],MATCH($A17,lmic_raw[[setting]:[setting]],0), MATCH(AT$1, lmic_raw[#Headers],0))=0, INDEX(regions[], MATCH($D17, regions[[setting]:[setting]],0), MATCH(AT$1, regions[#Headers],0)),INDEX(lmic_raw[],MATCH($A17,lmic_raw[[setting]:[setting]],0), MATCH(AT$1, lmic_raw[#Headers],0)))</f>
        <v>5.8274971982341994E-2</v>
      </c>
      <c r="AU17" s="33">
        <f>IF(INDEX(lmic_raw[],MATCH($A17,lmic_raw[[setting]:[setting]],0), MATCH(AU$1, lmic_raw[#Headers],0))=0, INDEX(regions[], MATCH($D17, regions[[setting]:[setting]],0), MATCH(AU$1, regions[#Headers],0)),INDEX(lmic_raw[],MATCH($A17,lmic_raw[[setting]:[setting]],0), MATCH(AU$1, lmic_raw[#Headers],0)))</f>
        <v>8.0933496732912821E-2</v>
      </c>
      <c r="AV17" s="33">
        <f>IF(INDEX(lmic_raw[],MATCH($A17,lmic_raw[[setting]:[setting]],0), MATCH(AV$1, lmic_raw[#Headers],0))=0, INDEX(regions[], MATCH($D17, regions[[setting]:[setting]],0), MATCH(AV$1, regions[#Headers],0)),INDEX(lmic_raw[],MATCH($A17,lmic_raw[[setting]:[setting]],0), MATCH(AV$1, lmic_raw[#Headers],0)))</f>
        <v>0.10629084029109252</v>
      </c>
      <c r="AW17" s="33">
        <f>IF(INDEX(lmic_raw[],MATCH($A17,lmic_raw[[setting]:[setting]],0), MATCH(AW$1, lmic_raw[#Headers],0))=0, INDEX(regions[], MATCH($D17, regions[[setting]:[setting]],0), MATCH(AW$1, regions[#Headers],0)),INDEX(lmic_raw[],MATCH($A17,lmic_raw[[setting]:[setting]],0), MATCH(AW$1, lmic_raw[#Headers],0)))</f>
        <v>0.1376155916216682</v>
      </c>
      <c r="AX17" s="33">
        <f>IF(INDEX(lmic_raw[],MATCH($A17,lmic_raw[[setting]:[setting]],0), MATCH(AX$1, lmic_raw[#Headers],0))=0, INDEX(regions[], MATCH($D17, regions[[setting]:[setting]],0), MATCH(AX$1, regions[#Headers],0)),INDEX(lmic_raw[],MATCH($A17,lmic_raw[[setting]:[setting]],0), MATCH(AX$1, lmic_raw[#Headers],0)))</f>
        <v>75.561000000000007</v>
      </c>
      <c r="AY17" s="33" t="str">
        <f>IF(VLOOKUP($A17,lmic_raw[],11,FALSE)=0, "Yes", "No")</f>
        <v>No</v>
      </c>
    </row>
    <row r="18" spans="1:51" x14ac:dyDescent="0.25">
      <c r="A18" s="109" t="s">
        <v>308</v>
      </c>
      <c r="B18" s="101" t="s">
        <v>390</v>
      </c>
      <c r="C18" s="102">
        <v>100</v>
      </c>
      <c r="D18" s="82" t="s">
        <v>675</v>
      </c>
      <c r="E18" s="82" t="s">
        <v>580</v>
      </c>
      <c r="F18" s="82" t="s">
        <v>663</v>
      </c>
      <c r="G18" s="82" t="s">
        <v>676</v>
      </c>
      <c r="H18" s="33">
        <f>IF(INDEX(lmic_raw[],MATCH($A18,lmic_raw[[setting]:[setting]],0), MATCH(H$1, lmic_raw[#Headers],0))=0, INDEX(regions[], MATCH($D18, regions[[setting]:[setting]],0), MATCH(H$1, regions[#Headers],0)),INDEX(lmic_raw[],MATCH($A18,lmic_raw[[setting]:[setting]],0), MATCH(H$1, lmic_raw[#Headers],0)))</f>
        <v>7000117</v>
      </c>
      <c r="I18" s="33">
        <f>IF(INDEX(lmic_raw[],MATCH($A18,lmic_raw[[setting]:[setting]],0), MATCH(I$1, lmic_raw[#Headers],0))=0, INDEX(regions[], MATCH($D18, regions[[setting]:[setting]],0), MATCH(I$1, regions[#Headers],0)),INDEX(lmic_raw[],MATCH($A18,lmic_raw[[setting]:[setting]],0), MATCH(I$1, lmic_raw[#Headers],0)))</f>
        <v>62693.047851999996</v>
      </c>
      <c r="J18" s="33">
        <f>IF(INDEX(lmic_raw[],MATCH($A18,lmic_raw[[setting]:[setting]],0), MATCH(J$1, lmic_raw[#Headers],0))=0, INDEX(regions[], MATCH($D18, regions[[setting]:[setting]],0), MATCH(J$1, regions[#Headers],0)),INDEX(lmic_raw[],MATCH($A18,lmic_raw[[setting]:[setting]],0), MATCH(J$1, lmic_raw[#Headers],0)))</f>
        <v>0.997</v>
      </c>
      <c r="K18" s="33">
        <f>IF(INDEX(lmic_raw[],MATCH($A18,lmic_raw[[setting]:[setting]],0), MATCH(K$1, lmic_raw[#Headers],0))=0, INDEX(regions[], MATCH($D18, regions[[setting]:[setting]],0), MATCH(K$1, regions[#Headers],0)),INDEX(lmic_raw[],MATCH($A18,lmic_raw[[setting]:[setting]],0), MATCH(K$1, lmic_raw[#Headers],0)))</f>
        <v>0.96</v>
      </c>
      <c r="L18" s="33">
        <f>IF(INDEX(lmic_raw[],MATCH($A18,lmic_raw[[setting]:[setting]],0), MATCH(L$1, lmic_raw[#Headers],0))=0, INDEX(regions[], MATCH($D18, regions[[setting]:[setting]],0), MATCH(L$1, regions[#Headers],0)),INDEX(lmic_raw[],MATCH($A18,lmic_raw[[setting]:[setting]],0), MATCH(L$1, lmic_raw[#Headers],0)))</f>
        <v>0.85</v>
      </c>
      <c r="M18" s="33">
        <f>IF(INDEX(lmic_raw[],MATCH($A18,lmic_raw[[setting]:[setting]],0), MATCH(M$1, lmic_raw[#Headers],0))=0, INDEX(regions[], MATCH($D18, regions[[setting]:[setting]],0), MATCH(M$1, regions[#Headers],0)),INDEX(lmic_raw[],MATCH($A18,lmic_raw[[setting]:[setting]],0), MATCH(M$1, lmic_raw[#Headers],0)))</f>
        <v>2.41E-2</v>
      </c>
      <c r="N18" s="33">
        <f>IF(INDEX(lmic_raw[],MATCH($A18,lmic_raw[[setting]:[setting]],0), MATCH(N$1, lmic_raw[#Headers],0))=0, INDEX(regions[], MATCH($D18, regions[[setting]:[setting]],0), MATCH(N$1, regions[#Headers],0)),INDEX(lmic_raw[],MATCH($A18,lmic_raw[[setting]:[setting]],0), MATCH(N$1, lmic_raw[#Headers],0)))</f>
        <v>0.29457918010947859</v>
      </c>
      <c r="O18" s="33">
        <f>IF(INDEX(lmic_raw[],MATCH($A18,lmic_raw[[setting]:[setting]],0), MATCH(O$1, lmic_raw[#Headers],0))=0, INDEX(regions[], MATCH($D18, regions[[setting]:[setting]],0), MATCH(O$1, regions[#Headers],0)),INDEX(lmic_raw[],MATCH($A18,lmic_raw[[setting]:[setting]],0), MATCH(O$1, lmic_raw[#Headers],0)))</f>
        <v>0.8</v>
      </c>
      <c r="P18" s="33">
        <f>IF(INDEX(lmic_raw[],MATCH($A18,lmic_raw[[setting]:[setting]],0), MATCH(P$1, lmic_raw[#Headers],0))=0, INDEX(regions[], MATCH($D18, regions[[setting]:[setting]],0), MATCH(P$1, regions[#Headers],0)),INDEX(lmic_raw[],MATCH($A18,lmic_raw[[setting]:[setting]],0), MATCH(P$1, lmic_raw[#Headers],0)))</f>
        <v>0.17499999999999999</v>
      </c>
      <c r="Q18" s="33">
        <f>IF(INDEX(lmic_raw[],MATCH($A18,lmic_raw[[setting]:[setting]],0), MATCH(Q$1, lmic_raw[#Headers],0))=0, INDEX(regions[], MATCH($D18, regions[[setting]:[setting]],0), MATCH(Q$1, regions[#Headers],0)),INDEX(lmic_raw[],MATCH($A18,lmic_raw[[setting]:[setting]],0), MATCH(Q$1, lmic_raw[#Headers],0)))</f>
        <v>11.666873299280098</v>
      </c>
      <c r="R18" s="33">
        <f>IF(INDEX(lmic_raw[],MATCH($A18,lmic_raw[[setting]:[setting]],0), MATCH(R$1, lmic_raw[#Headers],0))=0, INDEX(regions[], MATCH($D18, regions[[setting]:[setting]],0), MATCH(R$1, regions[#Headers],0)),INDEX(lmic_raw[],MATCH($A18,lmic_raw[[setting]:[setting]],0), MATCH(R$1, lmic_raw[#Headers],0)))</f>
        <v>44.537400000000005</v>
      </c>
      <c r="S18" s="33">
        <f>IF(INDEX(lmic_raw[],MATCH($A18,lmic_raw[[setting]:[setting]],0), MATCH(S$1, lmic_raw[#Headers],0))=0, INDEX(regions[], MATCH($D18, regions[[setting]:[setting]],0), MATCH(S$1, regions[#Headers],0)),INDEX(lmic_raw[],MATCH($A18,lmic_raw[[setting]:[setting]],0), MATCH(S$1, lmic_raw[#Headers],0)))</f>
        <v>92.27940000000001</v>
      </c>
      <c r="T18" s="33">
        <f>IF(INDEX(lmic_raw[],MATCH($A18,lmic_raw[[setting]:[setting]],0), MATCH(T$1, lmic_raw[#Headers],0))=0, INDEX(regions[], MATCH($D18, regions[[setting]:[setting]],0), MATCH(T$1, regions[#Headers],0)),INDEX(lmic_raw[],MATCH($A18,lmic_raw[[setting]:[setting]],0), MATCH(T$1, lmic_raw[#Headers],0)))</f>
        <v>92.27940000000001</v>
      </c>
      <c r="U18" s="33">
        <f>IF(INDEX(lmic_raw[],MATCH($A18,lmic_raw[[setting]:[setting]],0), MATCH(U$1, lmic_raw[#Headers],0))=0, INDEX(regions[], MATCH($D18, regions[[setting]:[setting]],0), MATCH(U$1, regions[#Headers],0)),INDEX(lmic_raw[],MATCH($A18,lmic_raw[[setting]:[setting]],0), MATCH(U$1, lmic_raw[#Headers],0)))</f>
        <v>92.27940000000001</v>
      </c>
      <c r="V18" s="33">
        <f>IF(INDEX(lmic_raw[],MATCH($A18,lmic_raw[[setting]:[setting]],0), MATCH(V$1, lmic_raw[#Headers],0))=0, INDEX(regions[], MATCH($D18, regions[[setting]:[setting]],0), MATCH(V$1, regions[#Headers],0)),INDEX(lmic_raw[],MATCH($A18,lmic_raw[[setting]:[setting]],0), MATCH(V$1, lmic_raw[#Headers],0)))</f>
        <v>5.5966780011023207</v>
      </c>
      <c r="W18" s="33">
        <f>IF(INDEX(lmic_raw[],MATCH($A18,lmic_raw[[setting]:[setting]],0), MATCH(W$1, lmic_raw[#Headers],0))=0, INDEX(regions[], MATCH($D18, regions[[setting]:[setting]],0), MATCH(W$1, regions[#Headers],0)),INDEX(lmic_raw[],MATCH($A18,lmic_raw[[setting]:[setting]],0), MATCH(W$1, lmic_raw[#Headers],0)))</f>
        <v>9.666678001102321</v>
      </c>
      <c r="X18" s="33">
        <f>IF(INDEX(lmic_raw[],MATCH($A18,lmic_raw[[setting]:[setting]],0), MATCH(X$1, lmic_raw[#Headers],0))=0, INDEX(regions[], MATCH($D18, regions[[setting]:[setting]],0), MATCH(X$1, regions[#Headers],0)),INDEX(lmic_raw[],MATCH($A18,lmic_raw[[setting]:[setting]],0), MATCH(X$1, lmic_raw[#Headers],0)))</f>
        <v>5.1470857731820585</v>
      </c>
      <c r="Y18" s="33">
        <f>IF(INDEX(lmic_raw[],MATCH($A18,lmic_raw[[setting]:[setting]],0), MATCH(Y$1, lmic_raw[#Headers],0))=0, INDEX(regions[], MATCH($D18, regions[[setting]:[setting]],0), MATCH(Y$1, regions[#Headers],0)),INDEX(lmic_raw[],MATCH($A18,lmic_raw[[setting]:[setting]],0), MATCH(Y$1, lmic_raw[#Headers],0)))</f>
        <v>9.2170857731820597</v>
      </c>
      <c r="Z18" s="33">
        <f>IF(INDEX(lmic_raw[],MATCH($A18,lmic_raw[[setting]:[setting]],0), MATCH(Z$1, lmic_raw[#Headers],0))=0, INDEX(regions[], MATCH($D18, regions[[setting]:[setting]],0), MATCH(Z$1, regions[#Headers],0)),INDEX(lmic_raw[],MATCH($A18,lmic_raw[[setting]:[setting]],0), MATCH(Z$1, lmic_raw[#Headers],0)))</f>
        <v>9.2040848931058701</v>
      </c>
      <c r="AA18" s="33">
        <f>IF(INDEX(lmic_raw[],MATCH($A18,lmic_raw[[setting]:[setting]],0), MATCH(AA$1, lmic_raw[#Headers],0))=0, INDEX(regions[], MATCH($D18, regions[[setting]:[setting]],0), MATCH(AA$1, regions[#Headers],0)),INDEX(lmic_raw[],MATCH($A18,lmic_raw[[setting]:[setting]],0), MATCH(AA$1, lmic_raw[#Headers],0)))</f>
        <v>5.8469663567503449</v>
      </c>
      <c r="AB18" s="33">
        <f>IF(INDEX(lmic_raw[],MATCH($A18,lmic_raw[[setting]:[setting]],0), MATCH(AB$1, lmic_raw[#Headers],0))=0, INDEX(regions[], MATCH($D18, regions[[setting]:[setting]],0), MATCH(AB$1, regions[#Headers],0)),INDEX(lmic_raw[],MATCH($A18,lmic_raw[[setting]:[setting]],0), MATCH(AB$1, lmic_raw[#Headers],0)))</f>
        <v>9.9169663567503452</v>
      </c>
      <c r="AC18" s="33">
        <f>IF(INDEX(lmic_raw[],MATCH($A18,lmic_raw[[setting]:[setting]],0), MATCH(AC$1, lmic_raw[#Headers],0))=0, INDEX(regions[], MATCH($D18, regions[[setting]:[setting]],0), MATCH(AC$1, regions[#Headers],0)),INDEX(lmic_raw[],MATCH($A18,lmic_raw[[setting]:[setting]],0), MATCH(AC$1, lmic_raw[#Headers],0)))</f>
        <v>6.2872199999999432E-3</v>
      </c>
      <c r="AD18" s="33">
        <f>IF(INDEX(lmic_raw[],MATCH($A18,lmic_raw[[setting]:[setting]],0), MATCH(AD$1, lmic_raw[#Headers],0))=0, INDEX(regions[], MATCH($D18, regions[[setting]:[setting]],0), MATCH(AD$1, regions[#Headers],0)),INDEX(lmic_raw[],MATCH($A18,lmic_raw[[setting]:[setting]],0), MATCH(AD$1, lmic_raw[#Headers],0)))</f>
        <v>2.9419466659171174E-4</v>
      </c>
      <c r="AE18" s="33">
        <f>IF(INDEX(lmic_raw[],MATCH($A18,lmic_raw[[setting]:[setting]],0), MATCH(AE$1, lmic_raw[#Headers],0))=0, INDEX(regions[], MATCH($D18, regions[[setting]:[setting]],0), MATCH(AE$1, regions[#Headers],0)),INDEX(lmic_raw[],MATCH($A18,lmic_raw[[setting]:[setting]],0), MATCH(AE$1, lmic_raw[#Headers],0)))</f>
        <v>1.4199479841383962E-4</v>
      </c>
      <c r="AF18" s="33">
        <f>IF(INDEX(lmic_raw[],MATCH($A18,lmic_raw[[setting]:[setting]],0), MATCH(AF$1, lmic_raw[#Headers],0))=0, INDEX(regions[], MATCH($D18, regions[[setting]:[setting]],0), MATCH(AF$1, regions[#Headers],0)),INDEX(lmic_raw[],MATCH($A18,lmic_raw[[setting]:[setting]],0), MATCH(AF$1, lmic_raw[#Headers],0)))</f>
        <v>1.6836809920065034E-4</v>
      </c>
      <c r="AG18" s="33">
        <f>IF(INDEX(lmic_raw[],MATCH($A18,lmic_raw[[setting]:[setting]],0), MATCH(AG$1, lmic_raw[#Headers],0))=0, INDEX(regions[], MATCH($D18, regions[[setting]:[setting]],0), MATCH(AG$1, regions[#Headers],0)),INDEX(lmic_raw[],MATCH($A18,lmic_raw[[setting]:[setting]],0), MATCH(AG$1, lmic_raw[#Headers],0)))</f>
        <v>4.41219319301264E-4</v>
      </c>
      <c r="AH18" s="33">
        <f>IF(INDEX(lmic_raw[],MATCH($A18,lmic_raw[[setting]:[setting]],0), MATCH(AH$1, lmic_raw[#Headers],0))=0, INDEX(regions[], MATCH($D18, regions[[setting]:[setting]],0), MATCH(AH$1, regions[#Headers],0)),INDEX(lmic_raw[],MATCH($A18,lmic_raw[[setting]:[setting]],0), MATCH(AH$1, lmic_raw[#Headers],0)))</f>
        <v>5.8236631127583406E-4</v>
      </c>
      <c r="AI18" s="33">
        <f>IF(INDEX(lmic_raw[],MATCH($A18,lmic_raw[[setting]:[setting]],0), MATCH(AI$1, lmic_raw[#Headers],0))=0, INDEX(regions[], MATCH($D18, regions[[setting]:[setting]],0), MATCH(AI$1, regions[#Headers],0)),INDEX(lmic_raw[],MATCH($A18,lmic_raw[[setting]:[setting]],0), MATCH(AI$1, lmic_raw[#Headers],0)))</f>
        <v>6.8015417152451484E-4</v>
      </c>
      <c r="AJ18" s="33">
        <f>IF(INDEX(lmic_raw[],MATCH($A18,lmic_raw[[setting]:[setting]],0), MATCH(AJ$1, lmic_raw[#Headers],0))=0, INDEX(regions[], MATCH($D18, regions[[setting]:[setting]],0), MATCH(AJ$1, regions[#Headers],0)),INDEX(lmic_raw[],MATCH($A18,lmic_raw[[setting]:[setting]],0), MATCH(AJ$1, lmic_raw[#Headers],0)))</f>
        <v>9.7709788609903043E-4</v>
      </c>
      <c r="AK18" s="33">
        <f>IF(INDEX(lmic_raw[],MATCH($A18,lmic_raw[[setting]:[setting]],0), MATCH(AK$1, lmic_raw[#Headers],0))=0, INDEX(regions[], MATCH($D18, regions[[setting]:[setting]],0), MATCH(AK$1, regions[#Headers],0)),INDEX(lmic_raw[],MATCH($A18,lmic_raw[[setting]:[setting]],0), MATCH(AK$1, lmic_raw[#Headers],0)))</f>
        <v>1.451836741961423E-3</v>
      </c>
      <c r="AL18" s="33">
        <f>IF(INDEX(lmic_raw[],MATCH($A18,lmic_raw[[setting]:[setting]],0), MATCH(AL$1, lmic_raw[#Headers],0))=0, INDEX(regions[], MATCH($D18, regions[[setting]:[setting]],0), MATCH(AL$1, regions[#Headers],0)),INDEX(lmic_raw[],MATCH($A18,lmic_raw[[setting]:[setting]],0), MATCH(AL$1, lmic_raw[#Headers],0)))</f>
        <v>2.4327225167702225E-3</v>
      </c>
      <c r="AM18" s="33">
        <f>IF(INDEX(lmic_raw[],MATCH($A18,lmic_raw[[setting]:[setting]],0), MATCH(AM$1, lmic_raw[#Headers],0))=0, INDEX(regions[], MATCH($D18, regions[[setting]:[setting]],0), MATCH(AM$1, regions[#Headers],0)),INDEX(lmic_raw[],MATCH($A18,lmic_raw[[setting]:[setting]],0), MATCH(AM$1, lmic_raw[#Headers],0)))</f>
        <v>4.3091716106383278E-3</v>
      </c>
      <c r="AN18" s="33">
        <f>IF(INDEX(lmic_raw[],MATCH($A18,lmic_raw[[setting]:[setting]],0), MATCH(AN$1, lmic_raw[#Headers],0))=0, INDEX(regions[], MATCH($D18, regions[[setting]:[setting]],0), MATCH(AN$1, regions[#Headers],0)),INDEX(lmic_raw[],MATCH($A18,lmic_raw[[setting]:[setting]],0), MATCH(AN$1, lmic_raw[#Headers],0)))</f>
        <v>7.0797041205687443E-3</v>
      </c>
      <c r="AO18" s="33">
        <f>IF(INDEX(lmic_raw[],MATCH($A18,lmic_raw[[setting]:[setting]],0), MATCH(AO$1, lmic_raw[#Headers],0))=0, INDEX(regions[], MATCH($D18, regions[[setting]:[setting]],0), MATCH(AO$1, regions[#Headers],0)),INDEX(lmic_raw[],MATCH($A18,lmic_raw[[setting]:[setting]],0), MATCH(AO$1, lmic_raw[#Headers],0)))</f>
        <v>1.0891843655815784E-2</v>
      </c>
      <c r="AP18" s="33">
        <f>IF(INDEX(lmic_raw[],MATCH($A18,lmic_raw[[setting]:[setting]],0), MATCH(AP$1, lmic_raw[#Headers],0))=0, INDEX(regions[], MATCH($D18, regions[[setting]:[setting]],0), MATCH(AP$1, regions[#Headers],0)),INDEX(lmic_raw[],MATCH($A18,lmic_raw[[setting]:[setting]],0), MATCH(AP$1, lmic_raw[#Headers],0)))</f>
        <v>1.5697542549870307E-2</v>
      </c>
      <c r="AQ18" s="33">
        <f>IF(INDEX(lmic_raw[],MATCH($A18,lmic_raw[[setting]:[setting]],0), MATCH(AQ$1, lmic_raw[#Headers],0))=0, INDEX(regions[], MATCH($D18, regions[[setting]:[setting]],0), MATCH(AQ$1, regions[#Headers],0)),INDEX(lmic_raw[],MATCH($A18,lmic_raw[[setting]:[setting]],0), MATCH(AQ$1, lmic_raw[#Headers],0)))</f>
        <v>2.1988035741056983E-2</v>
      </c>
      <c r="AR18" s="33">
        <f>IF(INDEX(lmic_raw[],MATCH($A18,lmic_raw[[setting]:[setting]],0), MATCH(AR$1, lmic_raw[#Headers],0))=0, INDEX(regions[], MATCH($D18, regions[[setting]:[setting]],0), MATCH(AR$1, regions[#Headers],0)),INDEX(lmic_raw[],MATCH($A18,lmic_raw[[setting]:[setting]],0), MATCH(AR$1, lmic_raw[#Headers],0)))</f>
        <v>3.1315833409297673E-2</v>
      </c>
      <c r="AS18" s="33">
        <f>IF(INDEX(lmic_raw[],MATCH($A18,lmic_raw[[setting]:[setting]],0), MATCH(AS$1, lmic_raw[#Headers],0))=0, INDEX(regions[], MATCH($D18, regions[[setting]:[setting]],0), MATCH(AS$1, regions[#Headers],0)),INDEX(lmic_raw[],MATCH($A18,lmic_raw[[setting]:[setting]],0), MATCH(AS$1, lmic_raw[#Headers],0)))</f>
        <v>4.7939476495177831E-2</v>
      </c>
      <c r="AT18" s="33">
        <f>IF(INDEX(lmic_raw[],MATCH($A18,lmic_raw[[setting]:[setting]],0), MATCH(AT$1, lmic_raw[#Headers],0))=0, INDEX(regions[], MATCH($D18, regions[[setting]:[setting]],0), MATCH(AT$1, regions[#Headers],0)),INDEX(lmic_raw[],MATCH($A18,lmic_raw[[setting]:[setting]],0), MATCH(AT$1, lmic_raw[#Headers],0)))</f>
        <v>7.7214375970854052E-2</v>
      </c>
      <c r="AU18" s="33">
        <f>IF(INDEX(lmic_raw[],MATCH($A18,lmic_raw[[setting]:[setting]],0), MATCH(AU$1, lmic_raw[#Headers],0))=0, INDEX(regions[], MATCH($D18, regions[[setting]:[setting]],0), MATCH(AU$1, regions[#Headers],0)),INDEX(lmic_raw[],MATCH($A18,lmic_raw[[setting]:[setting]],0), MATCH(AU$1, lmic_raw[#Headers],0)))</f>
        <v>0.12904744450444883</v>
      </c>
      <c r="AV18" s="33">
        <f>IF(INDEX(lmic_raw[],MATCH($A18,lmic_raw[[setting]:[setting]],0), MATCH(AV$1, lmic_raw[#Headers],0))=0, INDEX(regions[], MATCH($D18, regions[[setting]:[setting]],0), MATCH(AV$1, regions[#Headers],0)),INDEX(lmic_raw[],MATCH($A18,lmic_raw[[setting]:[setting]],0), MATCH(AV$1, lmic_raw[#Headers],0)))</f>
        <v>0.15072573325399216</v>
      </c>
      <c r="AW18" s="33">
        <f>IF(INDEX(lmic_raw[],MATCH($A18,lmic_raw[[setting]:[setting]],0), MATCH(AW$1, lmic_raw[#Headers],0))=0, INDEX(regions[], MATCH($D18, regions[[setting]:[setting]],0), MATCH(AW$1, regions[#Headers],0)),INDEX(lmic_raw[],MATCH($A18,lmic_raw[[setting]:[setting]],0), MATCH(AW$1, lmic_raw[#Headers],0)))</f>
        <v>0.17740366801760049</v>
      </c>
      <c r="AX18" s="33">
        <f>IF(INDEX(lmic_raw[],MATCH($A18,lmic_raw[[setting]:[setting]],0), MATCH(AX$1, lmic_raw[#Headers],0))=0, INDEX(regions[], MATCH($D18, regions[[setting]:[setting]],0), MATCH(AX$1, regions[#Headers],0)),INDEX(lmic_raw[],MATCH($A18,lmic_raw[[setting]:[setting]],0), MATCH(AX$1, lmic_raw[#Headers],0)))</f>
        <v>74.846999999999994</v>
      </c>
      <c r="AY18" s="33" t="str">
        <f>IF(VLOOKUP($A18,lmic_raw[],11,FALSE)=0, "Yes", "No")</f>
        <v>No</v>
      </c>
    </row>
    <row r="19" spans="1:51" x14ac:dyDescent="0.25">
      <c r="A19" s="110" t="s">
        <v>139</v>
      </c>
      <c r="B19" s="104" t="s">
        <v>391</v>
      </c>
      <c r="C19" s="105">
        <v>854</v>
      </c>
      <c r="D19" s="84" t="s">
        <v>677</v>
      </c>
      <c r="E19" s="84" t="s">
        <v>591</v>
      </c>
      <c r="F19" s="84" t="s">
        <v>667</v>
      </c>
      <c r="G19" s="84" t="s">
        <v>674</v>
      </c>
      <c r="H19" s="33">
        <f>IF(INDEX(lmic_raw[],MATCH($A19,lmic_raw[[setting]:[setting]],0), MATCH(H$1, lmic_raw[#Headers],0))=0, INDEX(regions[], MATCH($D19, regions[[setting]:[setting]],0), MATCH(H$1, regions[#Headers],0)),INDEX(lmic_raw[],MATCH($A19,lmic_raw[[setting]:[setting]],0), MATCH(H$1, lmic_raw[#Headers],0)))</f>
        <v>20321383</v>
      </c>
      <c r="I19" s="33">
        <f>IF(INDEX(lmic_raw[],MATCH($A19,lmic_raw[[setting]:[setting]],0), MATCH(I$1, lmic_raw[#Headers],0))=0, INDEX(regions[], MATCH($D19, regions[[setting]:[setting]],0), MATCH(I$1, regions[#Headers],0)),INDEX(lmic_raw[],MATCH($A19,lmic_raw[[setting]:[setting]],0), MATCH(I$1, lmic_raw[#Headers],0)))</f>
        <v>776032.97400400008</v>
      </c>
      <c r="J19" s="33">
        <f>IF(INDEX(lmic_raw[],MATCH($A19,lmic_raw[[setting]:[setting]],0), MATCH(J$1, lmic_raw[#Headers],0))=0, INDEX(regions[], MATCH($D19, regions[[setting]:[setting]],0), MATCH(J$1, regions[#Headers],0)),INDEX(lmic_raw[],MATCH($A19,lmic_raw[[setting]:[setting]],0), MATCH(J$1, lmic_raw[#Headers],0)))</f>
        <v>0.82200000000000006</v>
      </c>
      <c r="K19" s="33">
        <f>IF(INDEX(lmic_raw[],MATCH($A19,lmic_raw[[setting]:[setting]],0), MATCH(K$1, lmic_raw[#Headers],0))=0, INDEX(regions[], MATCH($D19, regions[[setting]:[setting]],0), MATCH(K$1, regions[#Headers],0)),INDEX(lmic_raw[],MATCH($A19,lmic_raw[[setting]:[setting]],0), MATCH(K$1, lmic_raw[#Headers],0)))</f>
        <v>0.69252604416320784</v>
      </c>
      <c r="L19" s="33">
        <f>IF(INDEX(lmic_raw[],MATCH($A19,lmic_raw[[setting]:[setting]],0), MATCH(L$1, lmic_raw[#Headers],0))=0, INDEX(regions[], MATCH($D19, regions[[setting]:[setting]],0), MATCH(L$1, regions[#Headers],0)),INDEX(lmic_raw[],MATCH($A19,lmic_raw[[setting]:[setting]],0), MATCH(L$1, lmic_raw[#Headers],0)))</f>
        <v>0.91</v>
      </c>
      <c r="M19" s="33">
        <f>IF(INDEX(lmic_raw[],MATCH($A19,lmic_raw[[setting]:[setting]],0), MATCH(M$1, lmic_raw[#Headers],0))=0, INDEX(regions[], MATCH($D19, regions[[setting]:[setting]],0), MATCH(M$1, regions[#Headers],0)),INDEX(lmic_raw[],MATCH($A19,lmic_raw[[setting]:[setting]],0), MATCH(M$1, lmic_raw[#Headers],0)))</f>
        <v>0.10050000000000001</v>
      </c>
      <c r="N19" s="33">
        <f>IF(INDEX(lmic_raw[],MATCH($A19,lmic_raw[[setting]:[setting]],0), MATCH(N$1, lmic_raw[#Headers],0))=0, INDEX(regions[], MATCH($D19, regions[[setting]:[setting]],0), MATCH(N$1, regions[#Headers],0)),INDEX(lmic_raw[],MATCH($A19,lmic_raw[[setting]:[setting]],0), MATCH(N$1, lmic_raw[#Headers],0)))</f>
        <v>0.29335469441802142</v>
      </c>
      <c r="O19" s="33">
        <f>IF(INDEX(lmic_raw[],MATCH($A19,lmic_raw[[setting]:[setting]],0), MATCH(O$1, lmic_raw[#Headers],0))=0, INDEX(regions[], MATCH($D19, regions[[setting]:[setting]],0), MATCH(O$1, regions[#Headers],0)),INDEX(lmic_raw[],MATCH($A19,lmic_raw[[setting]:[setting]],0), MATCH(O$1, lmic_raw[#Headers],0)))</f>
        <v>0.38300000000000001</v>
      </c>
      <c r="P19" s="33">
        <f>IF(INDEX(lmic_raw[],MATCH($A19,lmic_raw[[setting]:[setting]],0), MATCH(P$1, lmic_raw[#Headers],0))=0, INDEX(regions[], MATCH($D19, regions[[setting]:[setting]],0), MATCH(P$1, regions[#Headers],0)),INDEX(lmic_raw[],MATCH($A19,lmic_raw[[setting]:[setting]],0), MATCH(P$1, lmic_raw[#Headers],0)))</f>
        <v>4.8000000000000001E-2</v>
      </c>
      <c r="Q19" s="33">
        <f>IF(INDEX(lmic_raw[],MATCH($A19,lmic_raw[[setting]:[setting]],0), MATCH(Q$1, lmic_raw[#Headers],0))=0, INDEX(regions[], MATCH($D19, regions[[setting]:[setting]],0), MATCH(Q$1, regions[#Headers],0)),INDEX(lmic_raw[],MATCH($A19,lmic_raw[[setting]:[setting]],0), MATCH(Q$1, lmic_raw[#Headers],0)))</f>
        <v>4.6578711530420058</v>
      </c>
      <c r="R19" s="33">
        <f>IF(INDEX(lmic_raw[],MATCH($A19,lmic_raw[[setting]:[setting]],0), MATCH(R$1, lmic_raw[#Headers],0))=0, INDEX(regions[], MATCH($D19, regions[[setting]:[setting]],0), MATCH(R$1, regions[#Headers],0)),INDEX(lmic_raw[],MATCH($A19,lmic_raw[[setting]:[setting]],0), MATCH(R$1, lmic_raw[#Headers],0)))</f>
        <v>29.920500000000001</v>
      </c>
      <c r="S19" s="33">
        <f>IF(INDEX(lmic_raw[],MATCH($A19,lmic_raw[[setting]:[setting]],0), MATCH(S$1, lmic_raw[#Headers],0))=0, INDEX(regions[], MATCH($D19, regions[[setting]:[setting]],0), MATCH(S$1, regions[#Headers],0)),INDEX(lmic_raw[],MATCH($A19,lmic_raw[[setting]:[setting]],0), MATCH(S$1, lmic_raw[#Headers],0)))</f>
        <v>77.662500000000009</v>
      </c>
      <c r="T19" s="33">
        <f>IF(INDEX(lmic_raw[],MATCH($A19,lmic_raw[[setting]:[setting]],0), MATCH(T$1, lmic_raw[#Headers],0))=0, INDEX(regions[], MATCH($D19, regions[[setting]:[setting]],0), MATCH(T$1, regions[#Headers],0)),INDEX(lmic_raw[],MATCH($A19,lmic_raw[[setting]:[setting]],0), MATCH(T$1, lmic_raw[#Headers],0)))</f>
        <v>77.662500000000009</v>
      </c>
      <c r="U19" s="33">
        <f>IF(INDEX(lmic_raw[],MATCH($A19,lmic_raw[[setting]:[setting]],0), MATCH(U$1, lmic_raw[#Headers],0))=0, INDEX(regions[], MATCH($D19, regions[[setting]:[setting]],0), MATCH(U$1, regions[#Headers],0)),INDEX(lmic_raw[],MATCH($A19,lmic_raw[[setting]:[setting]],0), MATCH(U$1, lmic_raw[#Headers],0)))</f>
        <v>77.662500000000009</v>
      </c>
      <c r="V19" s="33">
        <f>IF(INDEX(lmic_raw[],MATCH($A19,lmic_raw[[setting]:[setting]],0), MATCH(V$1, lmic_raw[#Headers],0))=0, INDEX(regions[], MATCH($D19, regions[[setting]:[setting]],0), MATCH(V$1, regions[#Headers],0)),INDEX(lmic_raw[],MATCH($A19,lmic_raw[[setting]:[setting]],0), MATCH(V$1, lmic_raw[#Headers],0)))</f>
        <v>2.4804562866034869</v>
      </c>
      <c r="W19" s="33">
        <f>IF(INDEX(lmic_raw[],MATCH($A19,lmic_raw[[setting]:[setting]],0), MATCH(W$1, lmic_raw[#Headers],0))=0, INDEX(regions[], MATCH($D19, regions[[setting]:[setting]],0), MATCH(W$1, regions[#Headers],0)),INDEX(lmic_raw[],MATCH($A19,lmic_raw[[setting]:[setting]],0), MATCH(W$1, lmic_raw[#Headers],0)))</f>
        <v>7.310456286603487</v>
      </c>
      <c r="X19" s="33">
        <f>IF(INDEX(lmic_raw[],MATCH($A19,lmic_raw[[setting]:[setting]],0), MATCH(X$1, lmic_raw[#Headers],0))=0, INDEX(regions[], MATCH($D19, regions[[setting]:[setting]],0), MATCH(X$1, regions[#Headers],0)),INDEX(lmic_raw[],MATCH($A19,lmic_raw[[setting]:[setting]],0), MATCH(X$1, lmic_raw[#Headers],0)))</f>
        <v>2.0557200305776679</v>
      </c>
      <c r="Y19" s="33">
        <f>IF(INDEX(lmic_raw[],MATCH($A19,lmic_raw[[setting]:[setting]],0), MATCH(Y$1, lmic_raw[#Headers],0))=0, INDEX(regions[], MATCH($D19, regions[[setting]:[setting]],0), MATCH(Y$1, regions[#Headers],0)),INDEX(lmic_raw[],MATCH($A19,lmic_raw[[setting]:[setting]],0), MATCH(Y$1, lmic_raw[#Headers],0)))</f>
        <v>6.8857200305776676</v>
      </c>
      <c r="Z19" s="33">
        <f>IF(INDEX(lmic_raw[],MATCH($A19,lmic_raw[[setting]:[setting]],0), MATCH(Z$1, lmic_raw[#Headers],0))=0, INDEX(regions[], MATCH($D19, regions[[setting]:[setting]],0), MATCH(Z$1, regions[#Headers],0)),INDEX(lmic_raw[],MATCH($A19,lmic_raw[[setting]:[setting]],0), MATCH(Z$1, lmic_raw[#Headers],0)))</f>
        <v>6.8831147384493647</v>
      </c>
      <c r="AA19" s="33">
        <f>IF(INDEX(lmic_raw[],MATCH($A19,lmic_raw[[setting]:[setting]],0), MATCH(AA$1, lmic_raw[#Headers],0))=0, INDEX(regions[], MATCH($D19, regions[[setting]:[setting]],0), MATCH(AA$1, regions[#Headers],0)),INDEX(lmic_raw[],MATCH($A19,lmic_raw[[setting]:[setting]],0), MATCH(AA$1, lmic_raw[#Headers],0)))</f>
        <v>2.7217849314523526</v>
      </c>
      <c r="AB19" s="33">
        <f>IF(INDEX(lmic_raw[],MATCH($A19,lmic_raw[[setting]:[setting]],0), MATCH(AB$1, lmic_raw[#Headers],0))=0, INDEX(regions[], MATCH($D19, regions[[setting]:[setting]],0), MATCH(AB$1, regions[#Headers],0)),INDEX(lmic_raw[],MATCH($A19,lmic_raw[[setting]:[setting]],0), MATCH(AB$1, lmic_raw[#Headers],0)))</f>
        <v>7.5517849314523531</v>
      </c>
      <c r="AC19" s="33">
        <f>IF(INDEX(lmic_raw[],MATCH($A19,lmic_raw[[setting]:[setting]],0), MATCH(AC$1, lmic_raw[#Headers],0))=0, INDEX(regions[], MATCH($D19, regions[[setting]:[setting]],0), MATCH(AC$1, regions[#Headers],0)),INDEX(lmic_raw[],MATCH($A19,lmic_raw[[setting]:[setting]],0), MATCH(AC$1, lmic_raw[#Headers],0)))</f>
        <v>5.4227859999999926E-2</v>
      </c>
      <c r="AD19" s="33">
        <f>IF(INDEX(lmic_raw[],MATCH($A19,lmic_raw[[setting]:[setting]],0), MATCH(AD$1, lmic_raw[#Headers],0))=0, INDEX(regions[], MATCH($D19, regions[[setting]:[setting]],0), MATCH(AD$1, regions[#Headers],0)),INDEX(lmic_raw[],MATCH($A19,lmic_raw[[setting]:[setting]],0), MATCH(AD$1, lmic_raw[#Headers],0)))</f>
        <v>7.7985433150949057E-3</v>
      </c>
      <c r="AE19" s="33">
        <f>IF(INDEX(lmic_raw[],MATCH($A19,lmic_raw[[setting]:[setting]],0), MATCH(AE$1, lmic_raw[#Headers],0))=0, INDEX(regions[], MATCH($D19, regions[[setting]:[setting]],0), MATCH(AE$1, regions[#Headers],0)),INDEX(lmic_raw[],MATCH($A19,lmic_raw[[setting]:[setting]],0), MATCH(AE$1, lmic_raw[#Headers],0)))</f>
        <v>2.7098510180781272E-3</v>
      </c>
      <c r="AF19" s="33">
        <f>IF(INDEX(lmic_raw[],MATCH($A19,lmic_raw[[setting]:[setting]],0), MATCH(AF$1, lmic_raw[#Headers],0))=0, INDEX(regions[], MATCH($D19, regions[[setting]:[setting]],0), MATCH(AF$1, regions[#Headers],0)),INDEX(lmic_raw[],MATCH($A19,lmic_raw[[setting]:[setting]],0), MATCH(AF$1, lmic_raw[#Headers],0)))</f>
        <v>1.6109777987679034E-3</v>
      </c>
      <c r="AG19" s="33">
        <f>IF(INDEX(lmic_raw[],MATCH($A19,lmic_raw[[setting]:[setting]],0), MATCH(AG$1, lmic_raw[#Headers],0))=0, INDEX(regions[], MATCH($D19, regions[[setting]:[setting]],0), MATCH(AG$1, regions[#Headers],0)),INDEX(lmic_raw[],MATCH($A19,lmic_raw[[setting]:[setting]],0), MATCH(AG$1, lmic_raw[#Headers],0)))</f>
        <v>2.4565525709780954E-3</v>
      </c>
      <c r="AH19" s="33">
        <f>IF(INDEX(lmic_raw[],MATCH($A19,lmic_raw[[setting]:[setting]],0), MATCH(AH$1, lmic_raw[#Headers],0))=0, INDEX(regions[], MATCH($D19, regions[[setting]:[setting]],0), MATCH(AH$1, regions[#Headers],0)),INDEX(lmic_raw[],MATCH($A19,lmic_raw[[setting]:[setting]],0), MATCH(AH$1, lmic_raw[#Headers],0)))</f>
        <v>3.4406424856136286E-3</v>
      </c>
      <c r="AI19" s="33">
        <f>IF(INDEX(lmic_raw[],MATCH($A19,lmic_raw[[setting]:[setting]],0), MATCH(AI$1, lmic_raw[#Headers],0))=0, INDEX(regions[], MATCH($D19, regions[[setting]:[setting]],0), MATCH(AI$1, regions[#Headers],0)),INDEX(lmic_raw[],MATCH($A19,lmic_raw[[setting]:[setting]],0), MATCH(AI$1, lmic_raw[#Headers],0)))</f>
        <v>3.6839859647303831E-3</v>
      </c>
      <c r="AJ19" s="33">
        <f>IF(INDEX(lmic_raw[],MATCH($A19,lmic_raw[[setting]:[setting]],0), MATCH(AJ$1, lmic_raw[#Headers],0))=0, INDEX(regions[], MATCH($D19, regions[[setting]:[setting]],0), MATCH(AJ$1, regions[#Headers],0)),INDEX(lmic_raw[],MATCH($A19,lmic_raw[[setting]:[setting]],0), MATCH(AJ$1, lmic_raw[#Headers],0)))</f>
        <v>4.0687159913709147E-3</v>
      </c>
      <c r="AK19" s="33">
        <f>IF(INDEX(lmic_raw[],MATCH($A19,lmic_raw[[setting]:[setting]],0), MATCH(AK$1, lmic_raw[#Headers],0))=0, INDEX(regions[], MATCH($D19, regions[[setting]:[setting]],0), MATCH(AK$1, regions[#Headers],0)),INDEX(lmic_raw[],MATCH($A19,lmic_raw[[setting]:[setting]],0), MATCH(AK$1, lmic_raw[#Headers],0)))</f>
        <v>4.6667301775740718E-3</v>
      </c>
      <c r="AL19" s="33">
        <f>IF(INDEX(lmic_raw[],MATCH($A19,lmic_raw[[setting]:[setting]],0), MATCH(AL$1, lmic_raw[#Headers],0))=0, INDEX(regions[], MATCH($D19, regions[[setting]:[setting]],0), MATCH(AL$1, regions[#Headers],0)),INDEX(lmic_raw[],MATCH($A19,lmic_raw[[setting]:[setting]],0), MATCH(AL$1, lmic_raw[#Headers],0)))</f>
        <v>5.7359348761896311E-3</v>
      </c>
      <c r="AM19" s="33">
        <f>IF(INDEX(lmic_raw[],MATCH($A19,lmic_raw[[setting]:[setting]],0), MATCH(AM$1, lmic_raw[#Headers],0))=0, INDEX(regions[], MATCH($D19, regions[[setting]:[setting]],0), MATCH(AM$1, regions[#Headers],0)),INDEX(lmic_raw[],MATCH($A19,lmic_raw[[setting]:[setting]],0), MATCH(AM$1, lmic_raw[#Headers],0)))</f>
        <v>7.1848904155756791E-3</v>
      </c>
      <c r="AN19" s="33">
        <f>IF(INDEX(lmic_raw[],MATCH($A19,lmic_raw[[setting]:[setting]],0), MATCH(AN$1, lmic_raw[#Headers],0))=0, INDEX(regions[], MATCH($D19, regions[[setting]:[setting]],0), MATCH(AN$1, regions[#Headers],0)),INDEX(lmic_raw[],MATCH($A19,lmic_raw[[setting]:[setting]],0), MATCH(AN$1, lmic_raw[#Headers],0)))</f>
        <v>1.0079208538840959E-2</v>
      </c>
      <c r="AO19" s="33">
        <f>IF(INDEX(lmic_raw[],MATCH($A19,lmic_raw[[setting]:[setting]],0), MATCH(AO$1, lmic_raw[#Headers],0))=0, INDEX(regions[], MATCH($D19, regions[[setting]:[setting]],0), MATCH(AO$1, regions[#Headers],0)),INDEX(lmic_raw[],MATCH($A19,lmic_raw[[setting]:[setting]],0), MATCH(AO$1, lmic_raw[#Headers],0)))</f>
        <v>1.4324556284323308E-2</v>
      </c>
      <c r="AP19" s="33">
        <f>IF(INDEX(lmic_raw[],MATCH($A19,lmic_raw[[setting]:[setting]],0), MATCH(AP$1, lmic_raw[#Headers],0))=0, INDEX(regions[], MATCH($D19, regions[[setting]:[setting]],0), MATCH(AP$1, regions[#Headers],0)),INDEX(lmic_raw[],MATCH($A19,lmic_raw[[setting]:[setting]],0), MATCH(AP$1, lmic_raw[#Headers],0)))</f>
        <v>2.2267003529747472E-2</v>
      </c>
      <c r="AQ19" s="33">
        <f>IF(INDEX(lmic_raw[],MATCH($A19,lmic_raw[[setting]:[setting]],0), MATCH(AQ$1, lmic_raw[#Headers],0))=0, INDEX(regions[], MATCH($D19, regions[[setting]:[setting]],0), MATCH(AQ$1, regions[#Headers],0)),INDEX(lmic_raw[],MATCH($A19,lmic_raw[[setting]:[setting]],0), MATCH(AQ$1, lmic_raw[#Headers],0)))</f>
        <v>3.4331618474766817E-2</v>
      </c>
      <c r="AR19" s="33">
        <f>IF(INDEX(lmic_raw[],MATCH($A19,lmic_raw[[setting]:[setting]],0), MATCH(AR$1, lmic_raw[#Headers],0))=0, INDEX(regions[], MATCH($D19, regions[[setting]:[setting]],0), MATCH(AR$1, regions[#Headers],0)),INDEX(lmic_raw[],MATCH($A19,lmic_raw[[setting]:[setting]],0), MATCH(AR$1, lmic_raw[#Headers],0)))</f>
        <v>5.5031678246900514E-2</v>
      </c>
      <c r="AS19" s="33">
        <f>IF(INDEX(lmic_raw[],MATCH($A19,lmic_raw[[setting]:[setting]],0), MATCH(AS$1, lmic_raw[#Headers],0))=0, INDEX(regions[], MATCH($D19, regions[[setting]:[setting]],0), MATCH(AS$1, regions[#Headers],0)),INDEX(lmic_raw[],MATCH($A19,lmic_raw[[setting]:[setting]],0), MATCH(AS$1, lmic_raw[#Headers],0)))</f>
        <v>8.4597333790458251E-2</v>
      </c>
      <c r="AT19" s="33">
        <f>IF(INDEX(lmic_raw[],MATCH($A19,lmic_raw[[setting]:[setting]],0), MATCH(AT$1, lmic_raw[#Headers],0))=0, INDEX(regions[], MATCH($D19, regions[[setting]:[setting]],0), MATCH(AT$1, regions[#Headers],0)),INDEX(lmic_raw[],MATCH($A19,lmic_raw[[setting]:[setting]],0), MATCH(AT$1, lmic_raw[#Headers],0)))</f>
        <v>0.12093596991685143</v>
      </c>
      <c r="AU19" s="33">
        <f>IF(INDEX(lmic_raw[],MATCH($A19,lmic_raw[[setting]:[setting]],0), MATCH(AU$1, lmic_raw[#Headers],0))=0, INDEX(regions[], MATCH($D19, regions[[setting]:[setting]],0), MATCH(AU$1, regions[#Headers],0)),INDEX(lmic_raw[],MATCH($A19,lmic_raw[[setting]:[setting]],0), MATCH(AU$1, lmic_raw[#Headers],0)))</f>
        <v>0.153968715439502</v>
      </c>
      <c r="AV19" s="33">
        <f>IF(INDEX(lmic_raw[],MATCH($A19,lmic_raw[[setting]:[setting]],0), MATCH(AV$1, lmic_raw[#Headers],0))=0, INDEX(regions[], MATCH($D19, regions[[setting]:[setting]],0), MATCH(AV$1, regions[#Headers],0)),INDEX(lmic_raw[],MATCH($A19,lmic_raw[[setting]:[setting]],0), MATCH(AV$1, lmic_raw[#Headers],0)))</f>
        <v>0.17687638060945704</v>
      </c>
      <c r="AW19" s="33">
        <f>IF(INDEX(lmic_raw[],MATCH($A19,lmic_raw[[setting]:[setting]],0), MATCH(AW$1, lmic_raw[#Headers],0))=0, INDEX(regions[], MATCH($D19, regions[[setting]:[setting]],0), MATCH(AW$1, regions[#Headers],0)),INDEX(lmic_raw[],MATCH($A19,lmic_raw[[setting]:[setting]],0), MATCH(AW$1, lmic_raw[#Headers],0)))</f>
        <v>0.19401800579474437</v>
      </c>
      <c r="AX19" s="33">
        <f>IF(INDEX(lmic_raw[],MATCH($A19,lmic_raw[[setting]:[setting]],0), MATCH(AX$1, lmic_raw[#Headers],0))=0, INDEX(regions[], MATCH($D19, regions[[setting]:[setting]],0), MATCH(AX$1, regions[#Headers],0)),INDEX(lmic_raw[],MATCH($A19,lmic_raw[[setting]:[setting]],0), MATCH(AX$1, lmic_raw[#Headers],0)))</f>
        <v>60.917000000000002</v>
      </c>
      <c r="AY19" s="33" t="str">
        <f>IF(VLOOKUP($A19,lmic_raw[],11,FALSE)=0, "Yes", "No")</f>
        <v>Yes</v>
      </c>
    </row>
    <row r="20" spans="1:51" x14ac:dyDescent="0.25">
      <c r="A20" s="109" t="s">
        <v>101</v>
      </c>
      <c r="B20" s="101" t="s">
        <v>392</v>
      </c>
      <c r="C20" s="102">
        <v>108</v>
      </c>
      <c r="D20" s="82" t="s">
        <v>677</v>
      </c>
      <c r="E20" s="82" t="s">
        <v>597</v>
      </c>
      <c r="F20" s="82" t="s">
        <v>667</v>
      </c>
      <c r="G20" s="82" t="s">
        <v>674</v>
      </c>
      <c r="H20" s="33">
        <f>IF(INDEX(lmic_raw[],MATCH($A20,lmic_raw[[setting]:[setting]],0), MATCH(H$1, lmic_raw[#Headers],0))=0, INDEX(regions[], MATCH($D20, regions[[setting]:[setting]],0), MATCH(H$1, regions[#Headers],0)),INDEX(lmic_raw[],MATCH($A20,lmic_raw[[setting]:[setting]],0), MATCH(H$1, lmic_raw[#Headers],0)))</f>
        <v>11530577</v>
      </c>
      <c r="I20" s="33">
        <f>IF(INDEX(lmic_raw[],MATCH($A20,lmic_raw[[setting]:[setting]],0), MATCH(I$1, lmic_raw[#Headers],0))=0, INDEX(regions[], MATCH($D20, regions[[setting]:[setting]],0), MATCH(I$1, regions[#Headers],0)),INDEX(lmic_raw[],MATCH($A20,lmic_raw[[setting]:[setting]],0), MATCH(I$1, lmic_raw[#Headers],0)))</f>
        <v>452655.86128899996</v>
      </c>
      <c r="J20" s="33">
        <f>IF(INDEX(lmic_raw[],MATCH($A20,lmic_raw[[setting]:[setting]],0), MATCH(J$1, lmic_raw[#Headers],0))=0, INDEX(regions[], MATCH($D20, regions[[setting]:[setting]],0), MATCH(J$1, regions[#Headers],0)),INDEX(lmic_raw[],MATCH($A20,lmic_raw[[setting]:[setting]],0), MATCH(J$1, lmic_raw[#Headers],0)))</f>
        <v>0.83900000000000008</v>
      </c>
      <c r="K20" s="33">
        <f>IF(INDEX(lmic_raw[],MATCH($A20,lmic_raw[[setting]:[setting]],0), MATCH(K$1, lmic_raw[#Headers],0))=0, INDEX(regions[], MATCH($D20, regions[[setting]:[setting]],0), MATCH(K$1, regions[#Headers],0)),INDEX(lmic_raw[],MATCH($A20,lmic_raw[[setting]:[setting]],0), MATCH(K$1, lmic_raw[#Headers],0)))</f>
        <v>0.69252604416320784</v>
      </c>
      <c r="L20" s="33">
        <f>IF(INDEX(lmic_raw[],MATCH($A20,lmic_raw[[setting]:[setting]],0), MATCH(L$1, lmic_raw[#Headers],0))=0, INDEX(regions[], MATCH($D20, regions[[setting]:[setting]],0), MATCH(L$1, regions[#Headers],0)),INDEX(lmic_raw[],MATCH($A20,lmic_raw[[setting]:[setting]],0), MATCH(L$1, lmic_raw[#Headers],0)))</f>
        <v>0.93</v>
      </c>
      <c r="M20" s="33">
        <f>IF(INDEX(lmic_raw[],MATCH($A20,lmic_raw[[setting]:[setting]],0), MATCH(M$1, lmic_raw[#Headers],0))=0, INDEX(regions[], MATCH($D20, regions[[setting]:[setting]],0), MATCH(M$1, regions[#Headers],0)),INDEX(lmic_raw[],MATCH($A20,lmic_raw[[setting]:[setting]],0), MATCH(M$1, lmic_raw[#Headers],0)))</f>
        <v>6.3700000000000007E-2</v>
      </c>
      <c r="N20" s="33">
        <f>IF(INDEX(lmic_raw[],MATCH($A20,lmic_raw[[setting]:[setting]],0), MATCH(N$1, lmic_raw[#Headers],0))=0, INDEX(regions[], MATCH($D20, regions[[setting]:[setting]],0), MATCH(N$1, regions[#Headers],0)),INDEX(lmic_raw[],MATCH($A20,lmic_raw[[setting]:[setting]],0), MATCH(N$1, lmic_raw[#Headers],0)))</f>
        <v>0.27469611022005852</v>
      </c>
      <c r="O20" s="33">
        <f>IF(INDEX(lmic_raw[],MATCH($A20,lmic_raw[[setting]:[setting]],0), MATCH(O$1, lmic_raw[#Headers],0))=0, INDEX(regions[], MATCH($D20, regions[[setting]:[setting]],0), MATCH(O$1, regions[#Headers],0)),INDEX(lmic_raw[],MATCH($A20,lmic_raw[[setting]:[setting]],0), MATCH(O$1, lmic_raw[#Headers],0)))</f>
        <v>0.38300000000000001</v>
      </c>
      <c r="P20" s="33">
        <f>IF(INDEX(lmic_raw[],MATCH($A20,lmic_raw[[setting]:[setting]],0), MATCH(P$1, lmic_raw[#Headers],0))=0, INDEX(regions[], MATCH($D20, regions[[setting]:[setting]],0), MATCH(P$1, regions[#Headers],0)),INDEX(lmic_raw[],MATCH($A20,lmic_raw[[setting]:[setting]],0), MATCH(P$1, lmic_raw[#Headers],0)))</f>
        <v>4.8000000000000001E-2</v>
      </c>
      <c r="Q20" s="33">
        <f>IF(INDEX(lmic_raw[],MATCH($A20,lmic_raw[[setting]:[setting]],0), MATCH(Q$1, lmic_raw[#Headers],0))=0, INDEX(regions[], MATCH($D20, regions[[setting]:[setting]],0), MATCH(Q$1, regions[#Headers],0)),INDEX(lmic_raw[],MATCH($A20,lmic_raw[[setting]:[setting]],0), MATCH(Q$1, lmic_raw[#Headers],0)))</f>
        <v>2.2072403235774289</v>
      </c>
      <c r="R20" s="33">
        <f>IF(INDEX(lmic_raw[],MATCH($A20,lmic_raw[[setting]:[setting]],0), MATCH(R$1, lmic_raw[#Headers],0))=0, INDEX(regions[], MATCH($D20, regions[[setting]:[setting]],0), MATCH(R$1, regions[#Headers],0)),INDEX(lmic_raw[],MATCH($A20,lmic_raw[[setting]:[setting]],0), MATCH(R$1, lmic_raw[#Headers],0)))</f>
        <v>29.920500000000001</v>
      </c>
      <c r="S20" s="33">
        <f>IF(INDEX(lmic_raw[],MATCH($A20,lmic_raw[[setting]:[setting]],0), MATCH(S$1, lmic_raw[#Headers],0))=0, INDEX(regions[], MATCH($D20, regions[[setting]:[setting]],0), MATCH(S$1, regions[#Headers],0)),INDEX(lmic_raw[],MATCH($A20,lmic_raw[[setting]:[setting]],0), MATCH(S$1, lmic_raw[#Headers],0)))</f>
        <v>77.662500000000009</v>
      </c>
      <c r="T20" s="33">
        <f>IF(INDEX(lmic_raw[],MATCH($A20,lmic_raw[[setting]:[setting]],0), MATCH(T$1, lmic_raw[#Headers],0))=0, INDEX(regions[], MATCH($D20, regions[[setting]:[setting]],0), MATCH(T$1, regions[#Headers],0)),INDEX(lmic_raw[],MATCH($A20,lmic_raw[[setting]:[setting]],0), MATCH(T$1, lmic_raw[#Headers],0)))</f>
        <v>77.662500000000009</v>
      </c>
      <c r="U20" s="33">
        <f>IF(INDEX(lmic_raw[],MATCH($A20,lmic_raw[[setting]:[setting]],0), MATCH(U$1, lmic_raw[#Headers],0))=0, INDEX(regions[], MATCH($D20, regions[[setting]:[setting]],0), MATCH(U$1, regions[#Headers],0)),INDEX(lmic_raw[],MATCH($A20,lmic_raw[[setting]:[setting]],0), MATCH(U$1, lmic_raw[#Headers],0)))</f>
        <v>77.662500000000009</v>
      </c>
      <c r="V20" s="33">
        <f>IF(INDEX(lmic_raw[],MATCH($A20,lmic_raw[[setting]:[setting]],0), MATCH(V$1, lmic_raw[#Headers],0))=0, INDEX(regions[], MATCH($D20, regions[[setting]:[setting]],0), MATCH(V$1, regions[#Headers],0)),INDEX(lmic_raw[],MATCH($A20,lmic_raw[[setting]:[setting]],0), MATCH(V$1, lmic_raw[#Headers],0)))</f>
        <v>2.245300021803065</v>
      </c>
      <c r="W20" s="33">
        <f>IF(INDEX(lmic_raw[],MATCH($A20,lmic_raw[[setting]:[setting]],0), MATCH(W$1, lmic_raw[#Headers],0))=0, INDEX(regions[], MATCH($D20, regions[[setting]:[setting]],0), MATCH(W$1, regions[#Headers],0)),INDEX(lmic_raw[],MATCH($A20,lmic_raw[[setting]:[setting]],0), MATCH(W$1, lmic_raw[#Headers],0)))</f>
        <v>7.0753000218030646</v>
      </c>
      <c r="X20" s="33">
        <f>IF(INDEX(lmic_raw[],MATCH($A20,lmic_raw[[setting]:[setting]],0), MATCH(X$1, lmic_raw[#Headers],0))=0, INDEX(regions[], MATCH($D20, regions[[setting]:[setting]],0), MATCH(X$1, regions[#Headers],0)),INDEX(lmic_raw[],MATCH($A20,lmic_raw[[setting]:[setting]],0), MATCH(X$1, lmic_raw[#Headers],0)))</f>
        <v>1.8251059804243834</v>
      </c>
      <c r="Y20" s="33">
        <f>IF(INDEX(lmic_raw[],MATCH($A20,lmic_raw[[setting]:[setting]],0), MATCH(Y$1, lmic_raw[#Headers],0))=0, INDEX(regions[], MATCH($D20, regions[[setting]:[setting]],0), MATCH(Y$1, regions[#Headers],0)),INDEX(lmic_raw[],MATCH($A20,lmic_raw[[setting]:[setting]],0), MATCH(Y$1, lmic_raw[#Headers],0)))</f>
        <v>6.6551059804243833</v>
      </c>
      <c r="Z20" s="33">
        <f>IF(INDEX(lmic_raw[],MATCH($A20,lmic_raw[[setting]:[setting]],0), MATCH(Z$1, lmic_raw[#Headers],0))=0, INDEX(regions[], MATCH($D20, regions[[setting]:[setting]],0), MATCH(Z$1, regions[#Headers],0)),INDEX(lmic_raw[],MATCH($A20,lmic_raw[[setting]:[setting]],0), MATCH(Z$1, lmic_raw[#Headers],0)))</f>
        <v>6.6542336850196211</v>
      </c>
      <c r="AA20" s="33">
        <f>IF(INDEX(lmic_raw[],MATCH($A20,lmic_raw[[setting]:[setting]],0), MATCH(AA$1, lmic_raw[#Headers],0))=0, INDEX(regions[], MATCH($D20, regions[[setting]:[setting]],0), MATCH(AA$1, regions[#Headers],0)),INDEX(lmic_raw[],MATCH($A20,lmic_raw[[setting]:[setting]],0), MATCH(AA$1, lmic_raw[#Headers],0)))</f>
        <v>2.4849913567209856</v>
      </c>
      <c r="AB20" s="33">
        <f>IF(INDEX(lmic_raw[],MATCH($A20,lmic_raw[[setting]:[setting]],0), MATCH(AB$1, lmic_raw[#Headers],0))=0, INDEX(regions[], MATCH($D20, regions[[setting]:[setting]],0), MATCH(AB$1, regions[#Headers],0)),INDEX(lmic_raw[],MATCH($A20,lmic_raw[[setting]:[setting]],0), MATCH(AB$1, lmic_raw[#Headers],0)))</f>
        <v>7.3149913567209861</v>
      </c>
      <c r="AC20" s="33">
        <f>IF(INDEX(lmic_raw[],MATCH($A20,lmic_raw[[setting]:[setting]],0), MATCH(AC$1, lmic_raw[#Headers],0))=0, INDEX(regions[], MATCH($D20, regions[[setting]:[setting]],0), MATCH(AC$1, regions[#Headers],0)),INDEX(lmic_raw[],MATCH($A20,lmic_raw[[setting]:[setting]],0), MATCH(AC$1, lmic_raw[#Headers],0)))</f>
        <v>4.245322E-2</v>
      </c>
      <c r="AD20" s="33">
        <f>IF(INDEX(lmic_raw[],MATCH($A20,lmic_raw[[setting]:[setting]],0), MATCH(AD$1, lmic_raw[#Headers],0))=0, INDEX(regions[], MATCH($D20, regions[[setting]:[setting]],0), MATCH(AD$1, regions[#Headers],0)),INDEX(lmic_raw[],MATCH($A20,lmic_raw[[setting]:[setting]],0), MATCH(AD$1, lmic_raw[#Headers],0)))</f>
        <v>5.2388458765429743E-3</v>
      </c>
      <c r="AE20" s="33">
        <f>IF(INDEX(lmic_raw[],MATCH($A20,lmic_raw[[setting]:[setting]],0), MATCH(AE$1, lmic_raw[#Headers],0))=0, INDEX(regions[], MATCH($D20, regions[[setting]:[setting]],0), MATCH(AE$1, regions[#Headers],0)),INDEX(lmic_raw[],MATCH($A20,lmic_raw[[setting]:[setting]],0), MATCH(AE$1, lmic_raw[#Headers],0)))</f>
        <v>4.006474712416051E-3</v>
      </c>
      <c r="AF20" s="33">
        <f>IF(INDEX(lmic_raw[],MATCH($A20,lmic_raw[[setting]:[setting]],0), MATCH(AF$1, lmic_raw[#Headers],0))=0, INDEX(regions[], MATCH($D20, regions[[setting]:[setting]],0), MATCH(AF$1, regions[#Headers],0)),INDEX(lmic_raw[],MATCH($A20,lmic_raw[[setting]:[setting]],0), MATCH(AF$1, lmic_raw[#Headers],0)))</f>
        <v>2.4991916576126484E-3</v>
      </c>
      <c r="AG20" s="33">
        <f>IF(INDEX(lmic_raw[],MATCH($A20,lmic_raw[[setting]:[setting]],0), MATCH(AG$1, lmic_raw[#Headers],0))=0, INDEX(regions[], MATCH($D20, regions[[setting]:[setting]],0), MATCH(AG$1, regions[#Headers],0)),INDEX(lmic_raw[],MATCH($A20,lmic_raw[[setting]:[setting]],0), MATCH(AG$1, lmic_raw[#Headers],0)))</f>
        <v>2.9437964950105862E-3</v>
      </c>
      <c r="AH20" s="33">
        <f>IF(INDEX(lmic_raw[],MATCH($A20,lmic_raw[[setting]:[setting]],0), MATCH(AH$1, lmic_raw[#Headers],0))=0, INDEX(regions[], MATCH($D20, regions[[setting]:[setting]],0), MATCH(AH$1, regions[#Headers],0)),INDEX(lmic_raw[],MATCH($A20,lmic_raw[[setting]:[setting]],0), MATCH(AH$1, lmic_raw[#Headers],0)))</f>
        <v>3.8451912617084071E-3</v>
      </c>
      <c r="AI20" s="33">
        <f>IF(INDEX(lmic_raw[],MATCH($A20,lmic_raw[[setting]:[setting]],0), MATCH(AI$1, lmic_raw[#Headers],0))=0, INDEX(regions[], MATCH($D20, regions[[setting]:[setting]],0), MATCH(AI$1, regions[#Headers],0)),INDEX(lmic_raw[],MATCH($A20,lmic_raw[[setting]:[setting]],0), MATCH(AI$1, lmic_raw[#Headers],0)))</f>
        <v>4.6036661153950687E-3</v>
      </c>
      <c r="AJ20" s="33">
        <f>IF(INDEX(lmic_raw[],MATCH($A20,lmic_raw[[setting]:[setting]],0), MATCH(AJ$1, lmic_raw[#Headers],0))=0, INDEX(regions[], MATCH($D20, regions[[setting]:[setting]],0), MATCH(AJ$1, regions[#Headers],0)),INDEX(lmic_raw[],MATCH($A20,lmic_raw[[setting]:[setting]],0), MATCH(AJ$1, lmic_raw[#Headers],0)))</f>
        <v>5.6684137059228833E-3</v>
      </c>
      <c r="AK20" s="33">
        <f>IF(INDEX(lmic_raw[],MATCH($A20,lmic_raw[[setting]:[setting]],0), MATCH(AK$1, lmic_raw[#Headers],0))=0, INDEX(regions[], MATCH($D20, regions[[setting]:[setting]],0), MATCH(AK$1, regions[#Headers],0)),INDEX(lmic_raw[],MATCH($A20,lmic_raw[[setting]:[setting]],0), MATCH(AK$1, lmic_raw[#Headers],0)))</f>
        <v>7.1054044654335858E-3</v>
      </c>
      <c r="AL20" s="33">
        <f>IF(INDEX(lmic_raw[],MATCH($A20,lmic_raw[[setting]:[setting]],0), MATCH(AL$1, lmic_raw[#Headers],0))=0, INDEX(regions[], MATCH($D20, regions[[setting]:[setting]],0), MATCH(AL$1, regions[#Headers],0)),INDEX(lmic_raw[],MATCH($A20,lmic_raw[[setting]:[setting]],0), MATCH(AL$1, lmic_raw[#Headers],0)))</f>
        <v>7.8941964027643974E-3</v>
      </c>
      <c r="AM20" s="33">
        <f>IF(INDEX(lmic_raw[],MATCH($A20,lmic_raw[[setting]:[setting]],0), MATCH(AM$1, lmic_raw[#Headers],0))=0, INDEX(regions[], MATCH($D20, regions[[setting]:[setting]],0), MATCH(AM$1, regions[#Headers],0)),INDEX(lmic_raw[],MATCH($A20,lmic_raw[[setting]:[setting]],0), MATCH(AM$1, lmic_raw[#Headers],0)))</f>
        <v>8.5934741230756576E-3</v>
      </c>
      <c r="AN20" s="33">
        <f>IF(INDEX(lmic_raw[],MATCH($A20,lmic_raw[[setting]:[setting]],0), MATCH(AN$1, lmic_raw[#Headers],0))=0, INDEX(regions[], MATCH($D20, regions[[setting]:[setting]],0), MATCH(AN$1, regions[#Headers],0)),INDEX(lmic_raw[],MATCH($A20,lmic_raw[[setting]:[setting]],0), MATCH(AN$1, lmic_raw[#Headers],0)))</f>
        <v>1.0836939465032305E-2</v>
      </c>
      <c r="AO20" s="33">
        <f>IF(INDEX(lmic_raw[],MATCH($A20,lmic_raw[[setting]:[setting]],0), MATCH(AO$1, lmic_raw[#Headers],0))=0, INDEX(regions[], MATCH($D20, regions[[setting]:[setting]],0), MATCH(AO$1, regions[#Headers],0)),INDEX(lmic_raw[],MATCH($A20,lmic_raw[[setting]:[setting]],0), MATCH(AO$1, lmic_raw[#Headers],0)))</f>
        <v>1.4199740651491634E-2</v>
      </c>
      <c r="AP20" s="33">
        <f>IF(INDEX(lmic_raw[],MATCH($A20,lmic_raw[[setting]:[setting]],0), MATCH(AP$1, lmic_raw[#Headers],0))=0, INDEX(regions[], MATCH($D20, regions[[setting]:[setting]],0), MATCH(AP$1, regions[#Headers],0)),INDEX(lmic_raw[],MATCH($A20,lmic_raw[[setting]:[setting]],0), MATCH(AP$1, lmic_raw[#Headers],0)))</f>
        <v>2.0994713798631822E-2</v>
      </c>
      <c r="AQ20" s="33">
        <f>IF(INDEX(lmic_raw[],MATCH($A20,lmic_raw[[setting]:[setting]],0), MATCH(AQ$1, lmic_raw[#Headers],0))=0, INDEX(regions[], MATCH($D20, regions[[setting]:[setting]],0), MATCH(AQ$1, regions[#Headers],0)),INDEX(lmic_raw[],MATCH($A20,lmic_raw[[setting]:[setting]],0), MATCH(AQ$1, lmic_raw[#Headers],0)))</f>
        <v>3.1694349071188635E-2</v>
      </c>
      <c r="AR20" s="33">
        <f>IF(INDEX(lmic_raw[],MATCH($A20,lmic_raw[[setting]:[setting]],0), MATCH(AR$1, lmic_raw[#Headers],0))=0, INDEX(regions[], MATCH($D20, regions[[setting]:[setting]],0), MATCH(AR$1, regions[#Headers],0)),INDEX(lmic_raw[],MATCH($A20,lmic_raw[[setting]:[setting]],0), MATCH(AR$1, lmic_raw[#Headers],0)))</f>
        <v>4.8176649717086024E-2</v>
      </c>
      <c r="AS20" s="33">
        <f>IF(INDEX(lmic_raw[],MATCH($A20,lmic_raw[[setting]:[setting]],0), MATCH(AS$1, lmic_raw[#Headers],0))=0, INDEX(regions[], MATCH($D20, regions[[setting]:[setting]],0), MATCH(AS$1, regions[#Headers],0)),INDEX(lmic_raw[],MATCH($A20,lmic_raw[[setting]:[setting]],0), MATCH(AS$1, lmic_raw[#Headers],0)))</f>
        <v>7.1068723406333134E-2</v>
      </c>
      <c r="AT20" s="33">
        <f>IF(INDEX(lmic_raw[],MATCH($A20,lmic_raw[[setting]:[setting]],0), MATCH(AT$1, lmic_raw[#Headers],0))=0, INDEX(regions[], MATCH($D20, regions[[setting]:[setting]],0), MATCH(AT$1, regions[#Headers],0)),INDEX(lmic_raw[],MATCH($A20,lmic_raw[[setting]:[setting]],0), MATCH(AT$1, lmic_raw[#Headers],0)))</f>
        <v>0.10104282858093268</v>
      </c>
      <c r="AU20" s="33">
        <f>IF(INDEX(lmic_raw[],MATCH($A20,lmic_raw[[setting]:[setting]],0), MATCH(AU$1, lmic_raw[#Headers],0))=0, INDEX(regions[], MATCH($D20, regions[[setting]:[setting]],0), MATCH(AU$1, regions[#Headers],0)),INDEX(lmic_raw[],MATCH($A20,lmic_raw[[setting]:[setting]],0), MATCH(AU$1, lmic_raw[#Headers],0)))</f>
        <v>0.13271945448202221</v>
      </c>
      <c r="AV20" s="33">
        <f>IF(INDEX(lmic_raw[],MATCH($A20,lmic_raw[[setting]:[setting]],0), MATCH(AV$1, lmic_raw[#Headers],0))=0, INDEX(regions[], MATCH($D20, regions[[setting]:[setting]],0), MATCH(AV$1, regions[#Headers],0)),INDEX(lmic_raw[],MATCH($A20,lmic_raw[[setting]:[setting]],0), MATCH(AV$1, lmic_raw[#Headers],0)))</f>
        <v>0.15908807736679403</v>
      </c>
      <c r="AW20" s="33">
        <f>IF(INDEX(lmic_raw[],MATCH($A20,lmic_raw[[setting]:[setting]],0), MATCH(AW$1, lmic_raw[#Headers],0))=0, INDEX(regions[], MATCH($D20, regions[[setting]:[setting]],0), MATCH(AW$1, regions[#Headers],0)),INDEX(lmic_raw[],MATCH($A20,lmic_raw[[setting]:[setting]],0), MATCH(AW$1, lmic_raw[#Headers],0)))</f>
        <v>0.17707971183175569</v>
      </c>
      <c r="AX20" s="33">
        <f>IF(INDEX(lmic_raw[],MATCH($A20,lmic_raw[[setting]:[setting]],0), MATCH(AX$1, lmic_raw[#Headers],0))=0, INDEX(regions[], MATCH($D20, regions[[setting]:[setting]],0), MATCH(AX$1, regions[#Headers],0)),INDEX(lmic_raw[],MATCH($A20,lmic_raw[[setting]:[setting]],0), MATCH(AX$1, lmic_raw[#Headers],0)))</f>
        <v>61.024999999999999</v>
      </c>
      <c r="AY20" s="33" t="str">
        <f>IF(VLOOKUP($A20,lmic_raw[],11,FALSE)=0, "Yes", "No")</f>
        <v>Yes</v>
      </c>
    </row>
    <row r="21" spans="1:51" x14ac:dyDescent="0.25">
      <c r="A21" s="110" t="s">
        <v>140</v>
      </c>
      <c r="B21" s="104" t="s">
        <v>393</v>
      </c>
      <c r="C21" s="105">
        <v>132</v>
      </c>
      <c r="D21" s="84" t="s">
        <v>677</v>
      </c>
      <c r="E21" s="84" t="s">
        <v>591</v>
      </c>
      <c r="F21" s="84" t="s">
        <v>667</v>
      </c>
      <c r="G21" s="84" t="s">
        <v>678</v>
      </c>
      <c r="H21" s="33">
        <f>IF(INDEX(lmic_raw[],MATCH($A21,lmic_raw[[setting]:[setting]],0), MATCH(H$1, lmic_raw[#Headers],0))=0, INDEX(regions[], MATCH($D21, regions[[setting]:[setting]],0), MATCH(H$1, regions[#Headers],0)),INDEX(lmic_raw[],MATCH($A21,lmic_raw[[setting]:[setting]],0), MATCH(H$1, lmic_raw[#Headers],0)))</f>
        <v>549936</v>
      </c>
      <c r="I21" s="33">
        <f>IF(INDEX(lmic_raw[],MATCH($A21,lmic_raw[[setting]:[setting]],0), MATCH(I$1, lmic_raw[#Headers],0))=0, INDEX(regions[], MATCH($D21, regions[[setting]:[setting]],0), MATCH(I$1, regions[#Headers],0)),INDEX(lmic_raw[],MATCH($A21,lmic_raw[[setting]:[setting]],0), MATCH(I$1, lmic_raw[#Headers],0)))</f>
        <v>10827.689904000001</v>
      </c>
      <c r="J21" s="33">
        <f>IF(INDEX(lmic_raw[],MATCH($A21,lmic_raw[[setting]:[setting]],0), MATCH(J$1, lmic_raw[#Headers],0))=0, INDEX(regions[], MATCH($D21, regions[[setting]:[setting]],0), MATCH(J$1, regions[#Headers],0)),INDEX(lmic_raw[],MATCH($A21,lmic_raw[[setting]:[setting]],0), MATCH(J$1, lmic_raw[#Headers],0)))</f>
        <v>0.75599999999999989</v>
      </c>
      <c r="K21" s="33">
        <f>IF(INDEX(lmic_raw[],MATCH($A21,lmic_raw[[setting]:[setting]],0), MATCH(K$1, lmic_raw[#Headers],0))=0, INDEX(regions[], MATCH($D21, regions[[setting]:[setting]],0), MATCH(K$1, regions[#Headers],0)),INDEX(lmic_raw[],MATCH($A21,lmic_raw[[setting]:[setting]],0), MATCH(K$1, lmic_raw[#Headers],0)))</f>
        <v>0.96</v>
      </c>
      <c r="L21" s="33">
        <f>IF(INDEX(lmic_raw[],MATCH($A21,lmic_raw[[setting]:[setting]],0), MATCH(L$1, lmic_raw[#Headers],0))=0, INDEX(regions[], MATCH($D21, regions[[setting]:[setting]],0), MATCH(L$1, regions[#Headers],0)),INDEX(lmic_raw[],MATCH($A21,lmic_raw[[setting]:[setting]],0), MATCH(L$1, lmic_raw[#Headers],0)))</f>
        <v>0.97</v>
      </c>
      <c r="M21" s="33">
        <f>IF(INDEX(lmic_raw[],MATCH($A21,lmic_raw[[setting]:[setting]],0), MATCH(M$1, lmic_raw[#Headers],0))=0, INDEX(regions[], MATCH($D21, regions[[setting]:[setting]],0), MATCH(M$1, regions[#Headers],0)),INDEX(lmic_raw[],MATCH($A21,lmic_raw[[setting]:[setting]],0), MATCH(M$1, lmic_raw[#Headers],0)))</f>
        <v>5.2300000000000006E-2</v>
      </c>
      <c r="N21" s="33">
        <f>IF(INDEX(lmic_raw[],MATCH($A21,lmic_raw[[setting]:[setting]],0), MATCH(N$1, lmic_raw[#Headers],0))=0, INDEX(regions[], MATCH($D21, regions[[setting]:[setting]],0), MATCH(N$1, regions[#Headers],0)),INDEX(lmic_raw[],MATCH($A21,lmic_raw[[setting]:[setting]],0), MATCH(N$1, lmic_raw[#Headers],0)))</f>
        <v>0.3000704220321459</v>
      </c>
      <c r="O21" s="33">
        <f>IF(INDEX(lmic_raw[],MATCH($A21,lmic_raw[[setting]:[setting]],0), MATCH(O$1, lmic_raw[#Headers],0))=0, INDEX(regions[], MATCH($D21, regions[[setting]:[setting]],0), MATCH(O$1, regions[#Headers],0)),INDEX(lmic_raw[],MATCH($A21,lmic_raw[[setting]:[setting]],0), MATCH(O$1, lmic_raw[#Headers],0)))</f>
        <v>0.38300000000000001</v>
      </c>
      <c r="P21" s="33">
        <f>IF(INDEX(lmic_raw[],MATCH($A21,lmic_raw[[setting]:[setting]],0), MATCH(P$1, lmic_raw[#Headers],0))=0, INDEX(regions[], MATCH($D21, regions[[setting]:[setting]],0), MATCH(P$1, regions[#Headers],0)),INDEX(lmic_raw[],MATCH($A21,lmic_raw[[setting]:[setting]],0), MATCH(P$1, lmic_raw[#Headers],0)))</f>
        <v>4.8000000000000001E-2</v>
      </c>
      <c r="Q21" s="33">
        <f>IF(INDEX(lmic_raw[],MATCH($A21,lmic_raw[[setting]:[setting]],0), MATCH(Q$1, lmic_raw[#Headers],0))=0, INDEX(regions[], MATCH($D21, regions[[setting]:[setting]],0), MATCH(Q$1, regions[#Headers],0)),INDEX(lmic_raw[],MATCH($A21,lmic_raw[[setting]:[setting]],0), MATCH(Q$1, lmic_raw[#Headers],0)))</f>
        <v>6.0884197251517982</v>
      </c>
      <c r="R21" s="33">
        <f>IF(INDEX(lmic_raw[],MATCH($A21,lmic_raw[[setting]:[setting]],0), MATCH(R$1, lmic_raw[#Headers],0))=0, INDEX(regions[], MATCH($D21, regions[[setting]:[setting]],0), MATCH(R$1, regions[#Headers],0)),INDEX(lmic_raw[],MATCH($A21,lmic_raw[[setting]:[setting]],0), MATCH(R$1, lmic_raw[#Headers],0)))</f>
        <v>29.920500000000001</v>
      </c>
      <c r="S21" s="33">
        <f>IF(INDEX(lmic_raw[],MATCH($A21,lmic_raw[[setting]:[setting]],0), MATCH(S$1, lmic_raw[#Headers],0))=0, INDEX(regions[], MATCH($D21, regions[[setting]:[setting]],0), MATCH(S$1, regions[#Headers],0)),INDEX(lmic_raw[],MATCH($A21,lmic_raw[[setting]:[setting]],0), MATCH(S$1, lmic_raw[#Headers],0)))</f>
        <v>77.662500000000009</v>
      </c>
      <c r="T21" s="33">
        <f>IF(INDEX(lmic_raw[],MATCH($A21,lmic_raw[[setting]:[setting]],0), MATCH(T$1, lmic_raw[#Headers],0))=0, INDEX(regions[], MATCH($D21, regions[[setting]:[setting]],0), MATCH(T$1, regions[#Headers],0)),INDEX(lmic_raw[],MATCH($A21,lmic_raw[[setting]:[setting]],0), MATCH(T$1, lmic_raw[#Headers],0)))</f>
        <v>77.662500000000009</v>
      </c>
      <c r="U21" s="33">
        <f>IF(INDEX(lmic_raw[],MATCH($A21,lmic_raw[[setting]:[setting]],0), MATCH(U$1, lmic_raw[#Headers],0))=0, INDEX(regions[], MATCH($D21, regions[[setting]:[setting]],0), MATCH(U$1, regions[#Headers],0)),INDEX(lmic_raw[],MATCH($A21,lmic_raw[[setting]:[setting]],0), MATCH(U$1, lmic_raw[#Headers],0)))</f>
        <v>77.662500000000009</v>
      </c>
      <c r="V21" s="33">
        <f>IF(INDEX(lmic_raw[],MATCH($A21,lmic_raw[[setting]:[setting]],0), MATCH(V$1, lmic_raw[#Headers],0))=0, INDEX(regions[], MATCH($D21, regions[[setting]:[setting]],0), MATCH(V$1, regions[#Headers],0)),INDEX(lmic_raw[],MATCH($A21,lmic_raw[[setting]:[setting]],0), MATCH(V$1, lmic_raw[#Headers],0)))</f>
        <v>9.0593098786469977</v>
      </c>
      <c r="W21" s="33">
        <f>IF(INDEX(lmic_raw[],MATCH($A21,lmic_raw[[setting]:[setting]],0), MATCH(W$1, lmic_raw[#Headers],0))=0, INDEX(regions[], MATCH($D21, regions[[setting]:[setting]],0), MATCH(W$1, regions[#Headers],0)),INDEX(lmic_raw[],MATCH($A21,lmic_raw[[setting]:[setting]],0), MATCH(W$1, lmic_raw[#Headers],0)))</f>
        <v>13.889309878646998</v>
      </c>
      <c r="X21" s="33">
        <f>IF(INDEX(lmic_raw[],MATCH($A21,lmic_raw[[setting]:[setting]],0), MATCH(X$1, lmic_raw[#Headers],0))=0, INDEX(regions[], MATCH($D21, regions[[setting]:[setting]],0), MATCH(X$1, regions[#Headers],0)),INDEX(lmic_raw[],MATCH($A21,lmic_raw[[setting]:[setting]],0), MATCH(X$1, lmic_raw[#Headers],0)))</f>
        <v>8.6196809749931429</v>
      </c>
      <c r="Y21" s="33">
        <f>IF(INDEX(lmic_raw[],MATCH($A21,lmic_raw[[setting]:[setting]],0), MATCH(Y$1, lmic_raw[#Headers],0))=0, INDEX(regions[], MATCH($D21, regions[[setting]:[setting]],0), MATCH(Y$1, regions[#Headers],0)),INDEX(lmic_raw[],MATCH($A21,lmic_raw[[setting]:[setting]],0), MATCH(Y$1, lmic_raw[#Headers],0)))</f>
        <v>13.449680974993143</v>
      </c>
      <c r="Z21" s="33">
        <f>IF(INDEX(lmic_raw[],MATCH($A21,lmic_raw[[setting]:[setting]],0), MATCH(Z$1, lmic_raw[#Headers],0))=0, INDEX(regions[], MATCH($D21, regions[[setting]:[setting]],0), MATCH(Z$1, regions[#Headers],0)),INDEX(lmic_raw[],MATCH($A21,lmic_raw[[setting]:[setting]],0), MATCH(Z$1, lmic_raw[#Headers],0)))</f>
        <v>13.440643978380423</v>
      </c>
      <c r="AA21" s="33">
        <f>IF(INDEX(lmic_raw[],MATCH($A21,lmic_raw[[setting]:[setting]],0), MATCH(AA$1, lmic_raw[#Headers],0))=0, INDEX(regions[], MATCH($D21, regions[[setting]:[setting]],0), MATCH(AA$1, regions[#Headers],0)),INDEX(lmic_raw[],MATCH($A21,lmic_raw[[setting]:[setting]],0), MATCH(AA$1, lmic_raw[#Headers],0)))</f>
        <v>9.3060068034548067</v>
      </c>
      <c r="AB21" s="33">
        <f>IF(INDEX(lmic_raw[],MATCH($A21,lmic_raw[[setting]:[setting]],0), MATCH(AB$1, lmic_raw[#Headers],0))=0, INDEX(regions[], MATCH($D21, regions[[setting]:[setting]],0), MATCH(AB$1, regions[#Headers],0)),INDEX(lmic_raw[],MATCH($A21,lmic_raw[[setting]:[setting]],0), MATCH(AB$1, lmic_raw[#Headers],0)))</f>
        <v>14.136006803454807</v>
      </c>
      <c r="AC21" s="33">
        <f>IF(INDEX(lmic_raw[],MATCH($A21,lmic_raw[[setting]:[setting]],0), MATCH(AC$1, lmic_raw[#Headers],0))=0, INDEX(regions[], MATCH($D21, regions[[setting]:[setting]],0), MATCH(AC$1, regions[#Headers],0)),INDEX(lmic_raw[],MATCH($A21,lmic_raw[[setting]:[setting]],0), MATCH(AC$1, lmic_raw[#Headers],0)))</f>
        <v>1.6891330000000017E-2</v>
      </c>
      <c r="AD21" s="33">
        <f>IF(INDEX(lmic_raw[],MATCH($A21,lmic_raw[[setting]:[setting]],0), MATCH(AD$1, lmic_raw[#Headers],0))=0, INDEX(regions[], MATCH($D21, regions[[setting]:[setting]],0), MATCH(AD$1, regions[#Headers],0)),INDEX(lmic_raw[],MATCH($A21,lmic_raw[[setting]:[setting]],0), MATCH(AD$1, lmic_raw[#Headers],0)))</f>
        <v>8.835060929734364E-4</v>
      </c>
      <c r="AE21" s="33">
        <f>IF(INDEX(lmic_raw[],MATCH($A21,lmic_raw[[setting]:[setting]],0), MATCH(AE$1, lmic_raw[#Headers],0))=0, INDEX(regions[], MATCH($D21, regions[[setting]:[setting]],0), MATCH(AE$1, regions[#Headers],0)),INDEX(lmic_raw[],MATCH($A21,lmic_raw[[setting]:[setting]],0), MATCH(AE$1, lmic_raw[#Headers],0)))</f>
        <v>3.6018949682796144E-4</v>
      </c>
      <c r="AF21" s="33">
        <f>IF(INDEX(lmic_raw[],MATCH($A21,lmic_raw[[setting]:[setting]],0), MATCH(AF$1, lmic_raw[#Headers],0))=0, INDEX(regions[], MATCH($D21, regions[[setting]:[setting]],0), MATCH(AF$1, regions[#Headers],0)),INDEX(lmic_raw[],MATCH($A21,lmic_raw[[setting]:[setting]],0), MATCH(AF$1, lmic_raw[#Headers],0)))</f>
        <v>3.1745117221964545E-4</v>
      </c>
      <c r="AG21" s="33">
        <f>IF(INDEX(lmic_raw[],MATCH($A21,lmic_raw[[setting]:[setting]],0), MATCH(AG$1, lmic_raw[#Headers],0))=0, INDEX(regions[], MATCH($D21, regions[[setting]:[setting]],0), MATCH(AG$1, regions[#Headers],0)),INDEX(lmic_raw[],MATCH($A21,lmic_raw[[setting]:[setting]],0), MATCH(AG$1, lmic_raw[#Headers],0)))</f>
        <v>7.1874741951376536E-4</v>
      </c>
      <c r="AH21" s="33">
        <f>IF(INDEX(lmic_raw[],MATCH($A21,lmic_raw[[setting]:[setting]],0), MATCH(AH$1, lmic_raw[#Headers],0))=0, INDEX(regions[], MATCH($D21, regions[[setting]:[setting]],0), MATCH(AH$1, regions[#Headers],0)),INDEX(lmic_raw[],MATCH($A21,lmic_raw[[setting]:[setting]],0), MATCH(AH$1, lmic_raw[#Headers],0)))</f>
        <v>9.8729318287466223E-4</v>
      </c>
      <c r="AI21" s="33">
        <f>IF(INDEX(lmic_raw[],MATCH($A21,lmic_raw[[setting]:[setting]],0), MATCH(AI$1, lmic_raw[#Headers],0))=0, INDEX(regions[], MATCH($D21, regions[[setting]:[setting]],0), MATCH(AI$1, regions[#Headers],0)),INDEX(lmic_raw[],MATCH($A21,lmic_raw[[setting]:[setting]],0), MATCH(AI$1, lmic_raw[#Headers],0)))</f>
        <v>1.0549137828094477E-3</v>
      </c>
      <c r="AJ21" s="33">
        <f>IF(INDEX(lmic_raw[],MATCH($A21,lmic_raw[[setting]:[setting]],0), MATCH(AJ$1, lmic_raw[#Headers],0))=0, INDEX(regions[], MATCH($D21, regions[[setting]:[setting]],0), MATCH(AJ$1, regions[#Headers],0)),INDEX(lmic_raw[],MATCH($A21,lmic_raw[[setting]:[setting]],0), MATCH(AJ$1, lmic_raw[#Headers],0)))</f>
        <v>1.2816495980247336E-3</v>
      </c>
      <c r="AK21" s="33">
        <f>IF(INDEX(lmic_raw[],MATCH($A21,lmic_raw[[setting]:[setting]],0), MATCH(AK$1, lmic_raw[#Headers],0))=0, INDEX(regions[], MATCH($D21, regions[[setting]:[setting]],0), MATCH(AK$1, regions[#Headers],0)),INDEX(lmic_raw[],MATCH($A21,lmic_raw[[setting]:[setting]],0), MATCH(AK$1, lmic_raw[#Headers],0)))</f>
        <v>1.766754144431473E-3</v>
      </c>
      <c r="AL21" s="33">
        <f>IF(INDEX(lmic_raw[],MATCH($A21,lmic_raw[[setting]:[setting]],0), MATCH(AL$1, lmic_raw[#Headers],0))=0, INDEX(regions[], MATCH($D21, regions[[setting]:[setting]],0), MATCH(AL$1, regions[#Headers],0)),INDEX(lmic_raw[],MATCH($A21,lmic_raw[[setting]:[setting]],0), MATCH(AL$1, lmic_raw[#Headers],0)))</f>
        <v>2.6319969899160373E-3</v>
      </c>
      <c r="AM21" s="33">
        <f>IF(INDEX(lmic_raw[],MATCH($A21,lmic_raw[[setting]:[setting]],0), MATCH(AM$1, lmic_raw[#Headers],0))=0, INDEX(regions[], MATCH($D21, regions[[setting]:[setting]],0), MATCH(AM$1, regions[#Headers],0)),INDEX(lmic_raw[],MATCH($A21,lmic_raw[[setting]:[setting]],0), MATCH(AM$1, lmic_raw[#Headers],0)))</f>
        <v>4.1280856784911306E-3</v>
      </c>
      <c r="AN21" s="33">
        <f>IF(INDEX(lmic_raw[],MATCH($A21,lmic_raw[[setting]:[setting]],0), MATCH(AN$1, lmic_raw[#Headers],0))=0, INDEX(regions[], MATCH($D21, regions[[setting]:[setting]],0), MATCH(AN$1, regions[#Headers],0)),INDEX(lmic_raw[],MATCH($A21,lmic_raw[[setting]:[setting]],0), MATCH(AN$1, lmic_raw[#Headers],0)))</f>
        <v>6.3780955172675919E-3</v>
      </c>
      <c r="AO21" s="33">
        <f>IF(INDEX(lmic_raw[],MATCH($A21,lmic_raw[[setting]:[setting]],0), MATCH(AO$1, lmic_raw[#Headers],0))=0, INDEX(regions[], MATCH($D21, regions[[setting]:[setting]],0), MATCH(AO$1, regions[#Headers],0)),INDEX(lmic_raw[],MATCH($A21,lmic_raw[[setting]:[setting]],0), MATCH(AO$1, lmic_raw[#Headers],0)))</f>
        <v>9.8315278107226102E-3</v>
      </c>
      <c r="AP21" s="33">
        <f>IF(INDEX(lmic_raw[],MATCH($A21,lmic_raw[[setting]:[setting]],0), MATCH(AP$1, lmic_raw[#Headers],0))=0, INDEX(regions[], MATCH($D21, regions[[setting]:[setting]],0), MATCH(AP$1, regions[#Headers],0)),INDEX(lmic_raw[],MATCH($A21,lmic_raw[[setting]:[setting]],0), MATCH(AP$1, lmic_raw[#Headers],0)))</f>
        <v>1.5378905889861292E-2</v>
      </c>
      <c r="AQ21" s="33">
        <f>IF(INDEX(lmic_raw[],MATCH($A21,lmic_raw[[setting]:[setting]],0), MATCH(AQ$1, lmic_raw[#Headers],0))=0, INDEX(regions[], MATCH($D21, regions[[setting]:[setting]],0), MATCH(AQ$1, regions[#Headers],0)),INDEX(lmic_raw[],MATCH($A21,lmic_raw[[setting]:[setting]],0), MATCH(AQ$1, lmic_raw[#Headers],0)))</f>
        <v>2.3843289182670511E-2</v>
      </c>
      <c r="AR21" s="33">
        <f>IF(INDEX(lmic_raw[],MATCH($A21,lmic_raw[[setting]:[setting]],0), MATCH(AR$1, lmic_raw[#Headers],0))=0, INDEX(regions[], MATCH($D21, regions[[setting]:[setting]],0), MATCH(AR$1, regions[#Headers],0)),INDEX(lmic_raw[],MATCH($A21,lmic_raw[[setting]:[setting]],0), MATCH(AR$1, lmic_raw[#Headers],0)))</f>
        <v>3.7230990810350639E-2</v>
      </c>
      <c r="AS21" s="33">
        <f>IF(INDEX(lmic_raw[],MATCH($A21,lmic_raw[[setting]:[setting]],0), MATCH(AS$1, lmic_raw[#Headers],0))=0, INDEX(regions[], MATCH($D21, regions[[setting]:[setting]],0), MATCH(AS$1, regions[#Headers],0)),INDEX(lmic_raw[],MATCH($A21,lmic_raw[[setting]:[setting]],0), MATCH(AS$1, lmic_raw[#Headers],0)))</f>
        <v>5.94463055539085E-2</v>
      </c>
      <c r="AT21" s="33">
        <f>IF(INDEX(lmic_raw[],MATCH($A21,lmic_raw[[setting]:[setting]],0), MATCH(AT$1, lmic_raw[#Headers],0))=0, INDEX(regions[], MATCH($D21, regions[[setting]:[setting]],0), MATCH(AT$1, regions[#Headers],0)),INDEX(lmic_raw[],MATCH($A21,lmic_raw[[setting]:[setting]],0), MATCH(AT$1, lmic_raw[#Headers],0)))</f>
        <v>8.8828317635577608E-2</v>
      </c>
      <c r="AU21" s="33">
        <f>IF(INDEX(lmic_raw[],MATCH($A21,lmic_raw[[setting]:[setting]],0), MATCH(AU$1, lmic_raw[#Headers],0))=0, INDEX(regions[], MATCH($D21, regions[[setting]:[setting]],0), MATCH(AU$1, regions[#Headers],0)),INDEX(lmic_raw[],MATCH($A21,lmic_raw[[setting]:[setting]],0), MATCH(AU$1, lmic_raw[#Headers],0)))</f>
        <v>0.11984598831744618</v>
      </c>
      <c r="AV21" s="33">
        <f>IF(INDEX(lmic_raw[],MATCH($A21,lmic_raw[[setting]:[setting]],0), MATCH(AV$1, lmic_raw[#Headers],0))=0, INDEX(regions[], MATCH($D21, regions[[setting]:[setting]],0), MATCH(AV$1, regions[#Headers],0)),INDEX(lmic_raw[],MATCH($A21,lmic_raw[[setting]:[setting]],0), MATCH(AV$1, lmic_raw[#Headers],0)))</f>
        <v>0.14998257302398399</v>
      </c>
      <c r="AW21" s="33">
        <f>IF(INDEX(lmic_raw[],MATCH($A21,lmic_raw[[setting]:[setting]],0), MATCH(AW$1, lmic_raw[#Headers],0))=0, INDEX(regions[], MATCH($D21, regions[[setting]:[setting]],0), MATCH(AW$1, regions[#Headers],0)),INDEX(lmic_raw[],MATCH($A21,lmic_raw[[setting]:[setting]],0), MATCH(AW$1, lmic_raw[#Headers],0)))</f>
        <v>0.1727976225444309</v>
      </c>
      <c r="AX21" s="33">
        <f>IF(INDEX(lmic_raw[],MATCH($A21,lmic_raw[[setting]:[setting]],0), MATCH(AX$1, lmic_raw[#Headers],0))=0, INDEX(regions[], MATCH($D21, regions[[setting]:[setting]],0), MATCH(AX$1, regions[#Headers],0)),INDEX(lmic_raw[],MATCH($A21,lmic_raw[[setting]:[setting]],0), MATCH(AX$1, lmic_raw[#Headers],0)))</f>
        <v>72.703000000000003</v>
      </c>
      <c r="AY21" s="33" t="str">
        <f>IF(VLOOKUP($A21,lmic_raw[],11,FALSE)=0, "Yes", "No")</f>
        <v>No</v>
      </c>
    </row>
    <row r="22" spans="1:51" x14ac:dyDescent="0.25">
      <c r="A22" s="109" t="s">
        <v>212</v>
      </c>
      <c r="B22" s="101" t="s">
        <v>394</v>
      </c>
      <c r="C22" s="102">
        <v>116</v>
      </c>
      <c r="D22" s="82" t="s">
        <v>681</v>
      </c>
      <c r="E22" s="82" t="s">
        <v>598</v>
      </c>
      <c r="F22" s="82" t="s">
        <v>666</v>
      </c>
      <c r="G22" s="82" t="s">
        <v>678</v>
      </c>
      <c r="H22" s="33">
        <f>IF(INDEX(lmic_raw[],MATCH($A22,lmic_raw[[setting]:[setting]],0), MATCH(H$1, lmic_raw[#Headers],0))=0, INDEX(regions[], MATCH($D22, regions[[setting]:[setting]],0), MATCH(H$1, regions[#Headers],0)),INDEX(lmic_raw[],MATCH($A22,lmic_raw[[setting]:[setting]],0), MATCH(H$1, lmic_raw[#Headers],0)))</f>
        <v>16486542.000000002</v>
      </c>
      <c r="I22" s="33">
        <f>IF(INDEX(lmic_raw[],MATCH($A22,lmic_raw[[setting]:[setting]],0), MATCH(I$1, lmic_raw[#Headers],0))=0, INDEX(regions[], MATCH($D22, regions[[setting]:[setting]],0), MATCH(I$1, regions[#Headers],0)),INDEX(lmic_raw[],MATCH($A22,lmic_raw[[setting]:[setting]],0), MATCH(I$1, lmic_raw[#Headers],0)))</f>
        <v>374656.66695000004</v>
      </c>
      <c r="J22" s="33">
        <f>IF(INDEX(lmic_raw[],MATCH($A22,lmic_raw[[setting]:[setting]],0), MATCH(J$1, lmic_raw[#Headers],0))=0, INDEX(regions[], MATCH($D22, regions[[setting]:[setting]],0), MATCH(J$1, regions[#Headers],0)),INDEX(lmic_raw[],MATCH($A22,lmic_raw[[setting]:[setting]],0), MATCH(J$1, lmic_raw[#Headers],0)))</f>
        <v>0.83200000000000007</v>
      </c>
      <c r="K22" s="33">
        <f>IF(INDEX(lmic_raw[],MATCH($A22,lmic_raw[[setting]:[setting]],0), MATCH(K$1, lmic_raw[#Headers],0))=0, INDEX(regions[], MATCH($D22, regions[[setting]:[setting]],0), MATCH(K$1, regions[#Headers],0)),INDEX(lmic_raw[],MATCH($A22,lmic_raw[[setting]:[setting]],0), MATCH(K$1, lmic_raw[#Headers],0)))</f>
        <v>0.88</v>
      </c>
      <c r="L22" s="33">
        <f>IF(INDEX(lmic_raw[],MATCH($A22,lmic_raw[[setting]:[setting]],0), MATCH(L$1, lmic_raw[#Headers],0))=0, INDEX(regions[], MATCH($D22, regions[[setting]:[setting]],0), MATCH(L$1, regions[#Headers],0)),INDEX(lmic_raw[],MATCH($A22,lmic_raw[[setting]:[setting]],0), MATCH(L$1, lmic_raw[#Headers],0)))</f>
        <v>0.92</v>
      </c>
      <c r="M22" s="33">
        <f>IF(INDEX(lmic_raw[],MATCH($A22,lmic_raw[[setting]:[setting]],0), MATCH(M$1, lmic_raw[#Headers],0))=0, INDEX(regions[], MATCH($D22, regions[[setting]:[setting]],0), MATCH(M$1, regions[#Headers],0)),INDEX(lmic_raw[],MATCH($A22,lmic_raw[[setting]:[setting]],0), MATCH(M$1, lmic_raw[#Headers],0)))</f>
        <v>2.98E-2</v>
      </c>
      <c r="N22" s="33">
        <f>IF(INDEX(lmic_raw[],MATCH($A22,lmic_raw[[setting]:[setting]],0), MATCH(N$1, lmic_raw[#Headers],0))=0, INDEX(regions[], MATCH($D22, regions[[setting]:[setting]],0), MATCH(N$1, regions[#Headers],0)),INDEX(lmic_raw[],MATCH($A22,lmic_raw[[setting]:[setting]],0), MATCH(N$1, lmic_raw[#Headers],0)))</f>
        <v>0.34253523319202128</v>
      </c>
      <c r="O22" s="33">
        <f>IF(INDEX(lmic_raw[],MATCH($A22,lmic_raw[[setting]:[setting]],0), MATCH(O$1, lmic_raw[#Headers],0))=0, INDEX(regions[], MATCH($D22, regions[[setting]:[setting]],0), MATCH(O$1, regions[#Headers],0)),INDEX(lmic_raw[],MATCH($A22,lmic_raw[[setting]:[setting]],0), MATCH(O$1, lmic_raw[#Headers],0)))</f>
        <v>0.8</v>
      </c>
      <c r="P22" s="33">
        <f>IF(INDEX(lmic_raw[],MATCH($A22,lmic_raw[[setting]:[setting]],0), MATCH(P$1, lmic_raw[#Headers],0))=0, INDEX(regions[], MATCH($D22, regions[[setting]:[setting]],0), MATCH(P$1, regions[#Headers],0)),INDEX(lmic_raw[],MATCH($A22,lmic_raw[[setting]:[setting]],0), MATCH(P$1, lmic_raw[#Headers],0)))</f>
        <v>0.17499999999999999</v>
      </c>
      <c r="Q22" s="33">
        <f>IF(INDEX(lmic_raw[],MATCH($A22,lmic_raw[[setting]:[setting]],0), MATCH(Q$1, lmic_raw[#Headers],0))=0, INDEX(regions[], MATCH($D22, regions[[setting]:[setting]],0), MATCH(Q$1, regions[#Headers],0)),INDEX(lmic_raw[],MATCH($A22,lmic_raw[[setting]:[setting]],0), MATCH(Q$1, lmic_raw[#Headers],0)))</f>
        <v>3.1923714866681712</v>
      </c>
      <c r="R22" s="33">
        <f>IF(INDEX(lmic_raw[],MATCH($A22,lmic_raw[[setting]:[setting]],0), MATCH(R$1, lmic_raw[#Headers],0))=0, INDEX(regions[], MATCH($D22, regions[[setting]:[setting]],0), MATCH(R$1, regions[#Headers],0)),INDEX(lmic_raw[],MATCH($A22,lmic_raw[[setting]:[setting]],0), MATCH(R$1, lmic_raw[#Headers],0)))</f>
        <v>73.084500000000006</v>
      </c>
      <c r="S22" s="33">
        <f>IF(INDEX(lmic_raw[],MATCH($A22,lmic_raw[[setting]:[setting]],0), MATCH(S$1, lmic_raw[#Headers],0))=0, INDEX(regions[], MATCH($D22, regions[[setting]:[setting]],0), MATCH(S$1, regions[#Headers],0)),INDEX(lmic_raw[],MATCH($A22,lmic_raw[[setting]:[setting]],0), MATCH(S$1, lmic_raw[#Headers],0)))</f>
        <v>120.8265</v>
      </c>
      <c r="T22" s="33">
        <f>IF(INDEX(lmic_raw[],MATCH($A22,lmic_raw[[setting]:[setting]],0), MATCH(T$1, lmic_raw[#Headers],0))=0, INDEX(regions[], MATCH($D22, regions[[setting]:[setting]],0), MATCH(T$1, regions[#Headers],0)),INDEX(lmic_raw[],MATCH($A22,lmic_raw[[setting]:[setting]],0), MATCH(T$1, lmic_raw[#Headers],0)))</f>
        <v>120.8265</v>
      </c>
      <c r="U22" s="33">
        <f>IF(INDEX(lmic_raw[],MATCH($A22,lmic_raw[[setting]:[setting]],0), MATCH(U$1, lmic_raw[#Headers],0))=0, INDEX(regions[], MATCH($D22, regions[[setting]:[setting]],0), MATCH(U$1, regions[#Headers],0)),INDEX(lmic_raw[],MATCH($A22,lmic_raw[[setting]:[setting]],0), MATCH(U$1, lmic_raw[#Headers],0)))</f>
        <v>120.8265</v>
      </c>
      <c r="V22" s="33">
        <f>IF(INDEX(lmic_raw[],MATCH($A22,lmic_raw[[setting]:[setting]],0), MATCH(V$1, lmic_raw[#Headers],0))=0, INDEX(regions[], MATCH($D22, regions[[setting]:[setting]],0), MATCH(V$1, regions[#Headers],0)),INDEX(lmic_raw[],MATCH($A22,lmic_raw[[setting]:[setting]],0), MATCH(V$1, lmic_raw[#Headers],0)))</f>
        <v>3.0933886375730855</v>
      </c>
      <c r="W22" s="33">
        <f>IF(INDEX(lmic_raw[],MATCH($A22,lmic_raw[[setting]:[setting]],0), MATCH(W$1, lmic_raw[#Headers],0))=0, INDEX(regions[], MATCH($D22, regions[[setting]:[setting]],0), MATCH(W$1, regions[#Headers],0)),INDEX(lmic_raw[],MATCH($A22,lmic_raw[[setting]:[setting]],0), MATCH(W$1, lmic_raw[#Headers],0)))</f>
        <v>3.7233886375730854</v>
      </c>
      <c r="X22" s="33">
        <f>IF(INDEX(lmic_raw[],MATCH($A22,lmic_raw[[setting]:[setting]],0), MATCH(X$1, lmic_raw[#Headers],0))=0, INDEX(regions[], MATCH($D22, regions[[setting]:[setting]],0), MATCH(X$1, regions[#Headers],0)),INDEX(lmic_raw[],MATCH($A22,lmic_raw[[setting]:[setting]],0), MATCH(X$1, lmic_raw[#Headers],0)))</f>
        <v>2.6658747137485905</v>
      </c>
      <c r="Y22" s="33">
        <f>IF(INDEX(lmic_raw[],MATCH($A22,lmic_raw[[setting]:[setting]],0), MATCH(Y$1, lmic_raw[#Headers],0))=0, INDEX(regions[], MATCH($D22, regions[[setting]:[setting]],0), MATCH(Y$1, regions[#Headers],0)),INDEX(lmic_raw[],MATCH($A22,lmic_raw[[setting]:[setting]],0), MATCH(Y$1, lmic_raw[#Headers],0)))</f>
        <v>3.2958747137485904</v>
      </c>
      <c r="Z22" s="33">
        <f>IF(INDEX(lmic_raw[],MATCH($A22,lmic_raw[[setting]:[setting]],0), MATCH(Z$1, lmic_raw[#Headers],0))=0, INDEX(regions[], MATCH($D22, regions[[setting]:[setting]],0), MATCH(Z$1, regions[#Headers],0)),INDEX(lmic_raw[],MATCH($A22,lmic_raw[[setting]:[setting]],0), MATCH(Z$1, lmic_raw[#Headers],0)))</f>
        <v>3.2920250824276356</v>
      </c>
      <c r="AA22" s="33">
        <f>IF(INDEX(lmic_raw[],MATCH($A22,lmic_raw[[setting]:[setting]],0), MATCH(AA$1, lmic_raw[#Headers],0))=0, INDEX(regions[], MATCH($D22, regions[[setting]:[setting]],0), MATCH(AA$1, regions[#Headers],0)),INDEX(lmic_raw[],MATCH($A22,lmic_raw[[setting]:[setting]],0), MATCH(AA$1, lmic_raw[#Headers],0)))</f>
        <v>3.3357185347679854</v>
      </c>
      <c r="AB22" s="33">
        <f>IF(INDEX(lmic_raw[],MATCH($A22,lmic_raw[[setting]:[setting]],0), MATCH(AB$1, lmic_raw[#Headers],0))=0, INDEX(regions[], MATCH($D22, regions[[setting]:[setting]],0), MATCH(AB$1, regions[#Headers],0)),INDEX(lmic_raw[],MATCH($A22,lmic_raw[[setting]:[setting]],0), MATCH(AB$1, lmic_raw[#Headers],0)))</f>
        <v>3.9657185347679853</v>
      </c>
      <c r="AC22" s="33">
        <f>IF(INDEX(lmic_raw[],MATCH($A22,lmic_raw[[setting]:[setting]],0), MATCH(AC$1, lmic_raw[#Headers],0))=0, INDEX(regions[], MATCH($D22, regions[[setting]:[setting]],0), MATCH(AC$1, regions[#Headers],0)),INDEX(lmic_raw[],MATCH($A22,lmic_raw[[setting]:[setting]],0), MATCH(AC$1, lmic_raw[#Headers],0)))</f>
        <v>2.3772909999999974E-2</v>
      </c>
      <c r="AD22" s="33">
        <f>IF(INDEX(lmic_raw[],MATCH($A22,lmic_raw[[setting]:[setting]],0), MATCH(AD$1, lmic_raw[#Headers],0))=0, INDEX(regions[], MATCH($D22, regions[[setting]:[setting]],0), MATCH(AD$1, regions[#Headers],0)),INDEX(lmic_raw[],MATCH($A22,lmic_raw[[setting]:[setting]],0), MATCH(AD$1, lmic_raw[#Headers],0)))</f>
        <v>9.7424053249741489E-4</v>
      </c>
      <c r="AE22" s="33">
        <f>IF(INDEX(lmic_raw[],MATCH($A22,lmic_raw[[setting]:[setting]],0), MATCH(AE$1, lmic_raw[#Headers],0))=0, INDEX(regions[], MATCH($D22, regions[[setting]:[setting]],0), MATCH(AE$1, regions[#Headers],0)),INDEX(lmic_raw[],MATCH($A22,lmic_raw[[setting]:[setting]],0), MATCH(AE$1, lmic_raw[#Headers],0)))</f>
        <v>1.6717461274585335E-3</v>
      </c>
      <c r="AF22" s="33">
        <f>IF(INDEX(lmic_raw[],MATCH($A22,lmic_raw[[setting]:[setting]],0), MATCH(AF$1, lmic_raw[#Headers],0))=0, INDEX(regions[], MATCH($D22, regions[[setting]:[setting]],0), MATCH(AF$1, regions[#Headers],0)),INDEX(lmic_raw[],MATCH($A22,lmic_raw[[setting]:[setting]],0), MATCH(AF$1, lmic_raw[#Headers],0)))</f>
        <v>1.194425499967817E-3</v>
      </c>
      <c r="AG22" s="33">
        <f>IF(INDEX(lmic_raw[],MATCH($A22,lmic_raw[[setting]:[setting]],0), MATCH(AG$1, lmic_raw[#Headers],0))=0, INDEX(regions[], MATCH($D22, regions[[setting]:[setting]],0), MATCH(AG$1, regions[#Headers],0)),INDEX(lmic_raw[],MATCH($A22,lmic_raw[[setting]:[setting]],0), MATCH(AG$1, lmic_raw[#Headers],0)))</f>
        <v>1.1093254475269168E-3</v>
      </c>
      <c r="AH22" s="33">
        <f>IF(INDEX(lmic_raw[],MATCH($A22,lmic_raw[[setting]:[setting]],0), MATCH(AH$1, lmic_raw[#Headers],0))=0, INDEX(regions[], MATCH($D22, regions[[setting]:[setting]],0), MATCH(AH$1, regions[#Headers],0)),INDEX(lmic_raw[],MATCH($A22,lmic_raw[[setting]:[setting]],0), MATCH(AH$1, lmic_raw[#Headers],0)))</f>
        <v>1.3370400435358479E-3</v>
      </c>
      <c r="AI22" s="33">
        <f>IF(INDEX(lmic_raw[],MATCH($A22,lmic_raw[[setting]:[setting]],0), MATCH(AI$1, lmic_raw[#Headers],0))=0, INDEX(regions[], MATCH($D22, regions[[setting]:[setting]],0), MATCH(AI$1, regions[#Headers],0)),INDEX(lmic_raw[],MATCH($A22,lmic_raw[[setting]:[setting]],0), MATCH(AI$1, lmic_raw[#Headers],0)))</f>
        <v>1.8276034080960189E-3</v>
      </c>
      <c r="AJ22" s="33">
        <f>IF(INDEX(lmic_raw[],MATCH($A22,lmic_raw[[setting]:[setting]],0), MATCH(AJ$1, lmic_raw[#Headers],0))=0, INDEX(regions[], MATCH($D22, regions[[setting]:[setting]],0), MATCH(AJ$1, regions[#Headers],0)),INDEX(lmic_raw[],MATCH($A22,lmic_raw[[setting]:[setting]],0), MATCH(AJ$1, lmic_raw[#Headers],0)))</f>
        <v>2.4019140769418047E-3</v>
      </c>
      <c r="AK22" s="33">
        <f>IF(INDEX(lmic_raw[],MATCH($A22,lmic_raw[[setting]:[setting]],0), MATCH(AK$1, lmic_raw[#Headers],0))=0, INDEX(regions[], MATCH($D22, regions[[setting]:[setting]],0), MATCH(AK$1, regions[#Headers],0)),INDEX(lmic_raw[],MATCH($A22,lmic_raw[[setting]:[setting]],0), MATCH(AK$1, lmic_raw[#Headers],0)))</f>
        <v>3.1654986404268596E-3</v>
      </c>
      <c r="AL22" s="33">
        <f>IF(INDEX(lmic_raw[],MATCH($A22,lmic_raw[[setting]:[setting]],0), MATCH(AL$1, lmic_raw[#Headers],0))=0, INDEX(regions[], MATCH($D22, regions[[setting]:[setting]],0), MATCH(AL$1, regions[#Headers],0)),INDEX(lmic_raw[],MATCH($A22,lmic_raw[[setting]:[setting]],0), MATCH(AL$1, lmic_raw[#Headers],0)))</f>
        <v>4.0670161869690961E-3</v>
      </c>
      <c r="AM22" s="33">
        <f>IF(INDEX(lmic_raw[],MATCH($A22,lmic_raw[[setting]:[setting]],0), MATCH(AM$1, lmic_raw[#Headers],0))=0, INDEX(regions[], MATCH($D22, regions[[setting]:[setting]],0), MATCH(AM$1, regions[#Headers],0)),INDEX(lmic_raw[],MATCH($A22,lmic_raw[[setting]:[setting]],0), MATCH(AM$1, lmic_raw[#Headers],0)))</f>
        <v>5.1147043764609547E-3</v>
      </c>
      <c r="AN22" s="33">
        <f>IF(INDEX(lmic_raw[],MATCH($A22,lmic_raw[[setting]:[setting]],0), MATCH(AN$1, lmic_raw[#Headers],0))=0, INDEX(regions[], MATCH($D22, regions[[setting]:[setting]],0), MATCH(AN$1, regions[#Headers],0)),INDEX(lmic_raw[],MATCH($A22,lmic_raw[[setting]:[setting]],0), MATCH(AN$1, lmic_raw[#Headers],0)))</f>
        <v>6.6590983524453693E-3</v>
      </c>
      <c r="AO22" s="33">
        <f>IF(INDEX(lmic_raw[],MATCH($A22,lmic_raw[[setting]:[setting]],0), MATCH(AO$1, lmic_raw[#Headers],0))=0, INDEX(regions[], MATCH($D22, regions[[setting]:[setting]],0), MATCH(AO$1, regions[#Headers],0)),INDEX(lmic_raw[],MATCH($A22,lmic_raw[[setting]:[setting]],0), MATCH(AO$1, lmic_raw[#Headers],0)))</f>
        <v>1.0262420003263018E-2</v>
      </c>
      <c r="AP22" s="33">
        <f>IF(INDEX(lmic_raw[],MATCH($A22,lmic_raw[[setting]:[setting]],0), MATCH(AP$1, lmic_raw[#Headers],0))=0, INDEX(regions[], MATCH($D22, regions[[setting]:[setting]],0), MATCH(AP$1, regions[#Headers],0)),INDEX(lmic_raw[],MATCH($A22,lmic_raw[[setting]:[setting]],0), MATCH(AP$1, lmic_raw[#Headers],0)))</f>
        <v>1.7905784673707129E-2</v>
      </c>
      <c r="AQ22" s="33">
        <f>IF(INDEX(lmic_raw[],MATCH($A22,lmic_raw[[setting]:[setting]],0), MATCH(AQ$1, lmic_raw[#Headers],0))=0, INDEX(regions[], MATCH($D22, regions[[setting]:[setting]],0), MATCH(AQ$1, regions[#Headers],0)),INDEX(lmic_raw[],MATCH($A22,lmic_raw[[setting]:[setting]],0), MATCH(AQ$1, lmic_raw[#Headers],0)))</f>
        <v>2.7932062680663994E-2</v>
      </c>
      <c r="AR22" s="33">
        <f>IF(INDEX(lmic_raw[],MATCH($A22,lmic_raw[[setting]:[setting]],0), MATCH(AR$1, lmic_raw[#Headers],0))=0, INDEX(regions[], MATCH($D22, regions[[setting]:[setting]],0), MATCH(AR$1, regions[#Headers],0)),INDEX(lmic_raw[],MATCH($A22,lmic_raw[[setting]:[setting]],0), MATCH(AR$1, lmic_raw[#Headers],0)))</f>
        <v>4.4392905636891383E-2</v>
      </c>
      <c r="AS22" s="33">
        <f>IF(INDEX(lmic_raw[],MATCH($A22,lmic_raw[[setting]:[setting]],0), MATCH(AS$1, lmic_raw[#Headers],0))=0, INDEX(regions[], MATCH($D22, regions[[setting]:[setting]],0), MATCH(AS$1, regions[#Headers],0)),INDEX(lmic_raw[],MATCH($A22,lmic_raw[[setting]:[setting]],0), MATCH(AS$1, lmic_raw[#Headers],0)))</f>
        <v>6.773773252768292E-2</v>
      </c>
      <c r="AT22" s="33">
        <f>IF(INDEX(lmic_raw[],MATCH($A22,lmic_raw[[setting]:[setting]],0), MATCH(AT$1, lmic_raw[#Headers],0))=0, INDEX(regions[], MATCH($D22, regions[[setting]:[setting]],0), MATCH(AT$1, regions[#Headers],0)),INDEX(lmic_raw[],MATCH($A22,lmic_raw[[setting]:[setting]],0), MATCH(AT$1, lmic_raw[#Headers],0)))</f>
        <v>9.5873096646979544E-2</v>
      </c>
      <c r="AU22" s="33">
        <f>IF(INDEX(lmic_raw[],MATCH($A22,lmic_raw[[setting]:[setting]],0), MATCH(AU$1, lmic_raw[#Headers],0))=0, INDEX(regions[], MATCH($D22, regions[[setting]:[setting]],0), MATCH(AU$1, regions[#Headers],0)),INDEX(lmic_raw[],MATCH($A22,lmic_raw[[setting]:[setting]],0), MATCH(AU$1, lmic_raw[#Headers],0)))</f>
        <v>0.12561634576764696</v>
      </c>
      <c r="AV22" s="33">
        <f>IF(INDEX(lmic_raw[],MATCH($A22,lmic_raw[[setting]:[setting]],0), MATCH(AV$1, lmic_raw[#Headers],0))=0, INDEX(regions[], MATCH($D22, regions[[setting]:[setting]],0), MATCH(AV$1, regions[#Headers],0)),INDEX(lmic_raw[],MATCH($A22,lmic_raw[[setting]:[setting]],0), MATCH(AV$1, lmic_raw[#Headers],0)))</f>
        <v>0.15292352428423295</v>
      </c>
      <c r="AW22" s="33">
        <f>IF(INDEX(lmic_raw[],MATCH($A22,lmic_raw[[setting]:[setting]],0), MATCH(AW$1, lmic_raw[#Headers],0))=0, INDEX(regions[], MATCH($D22, regions[[setting]:[setting]],0), MATCH(AW$1, regions[#Headers],0)),INDEX(lmic_raw[],MATCH($A22,lmic_raw[[setting]:[setting]],0), MATCH(AW$1, lmic_raw[#Headers],0)))</f>
        <v>0.17773889336070817</v>
      </c>
      <c r="AX22" s="33">
        <f>IF(INDEX(lmic_raw[],MATCH($A22,lmic_raw[[setting]:[setting]],0), MATCH(AX$1, lmic_raw[#Headers],0))=0, INDEX(regions[], MATCH($D22, regions[[setting]:[setting]],0), MATCH(AX$1, regions[#Headers],0)),INDEX(lmic_raw[],MATCH($A22,lmic_raw[[setting]:[setting]],0), MATCH(AX$1, lmic_raw[#Headers],0)))</f>
        <v>69.435000000000002</v>
      </c>
      <c r="AY22" s="33" t="str">
        <f>IF(VLOOKUP($A22,lmic_raw[],11,FALSE)=0, "Yes", "No")</f>
        <v>No</v>
      </c>
    </row>
    <row r="23" spans="1:51" x14ac:dyDescent="0.25">
      <c r="A23" s="110" t="s">
        <v>123</v>
      </c>
      <c r="B23" s="104" t="s">
        <v>395</v>
      </c>
      <c r="C23" s="105">
        <v>120</v>
      </c>
      <c r="D23" s="84" t="s">
        <v>677</v>
      </c>
      <c r="E23" s="84" t="s">
        <v>591</v>
      </c>
      <c r="F23" s="84" t="s">
        <v>667</v>
      </c>
      <c r="G23" s="84" t="s">
        <v>678</v>
      </c>
      <c r="H23" s="33">
        <f>IF(INDEX(lmic_raw[],MATCH($A23,lmic_raw[[setting]:[setting]],0), MATCH(H$1, lmic_raw[#Headers],0))=0, INDEX(regions[], MATCH($D23, regions[[setting]:[setting]],0), MATCH(H$1, regions[#Headers],0)),INDEX(lmic_raw[],MATCH($A23,lmic_raw[[setting]:[setting]],0), MATCH(H$1, lmic_raw[#Headers],0)))</f>
        <v>25876387</v>
      </c>
      <c r="I23" s="33">
        <f>IF(INDEX(lmic_raw[],MATCH($A23,lmic_raw[[setting]:[setting]],0), MATCH(I$1, lmic_raw[#Headers],0))=0, INDEX(regions[], MATCH($D23, regions[[setting]:[setting]],0), MATCH(I$1, regions[#Headers],0)),INDEX(lmic_raw[],MATCH($A23,lmic_raw[[setting]:[setting]],0), MATCH(I$1, lmic_raw[#Headers],0)))</f>
        <v>921432.26468300004</v>
      </c>
      <c r="J23" s="33">
        <f>IF(INDEX(lmic_raw[],MATCH($A23,lmic_raw[[setting]:[setting]],0), MATCH(J$1, lmic_raw[#Headers],0))=0, INDEX(regions[], MATCH($D23, regions[[setting]:[setting]],0), MATCH(J$1, regions[#Headers],0)),INDEX(lmic_raw[],MATCH($A23,lmic_raw[[setting]:[setting]],0), MATCH(J$1, lmic_raw[#Headers],0)))</f>
        <v>0.67</v>
      </c>
      <c r="K23" s="33">
        <f>IF(INDEX(lmic_raw[],MATCH($A23,lmic_raw[[setting]:[setting]],0), MATCH(K$1, lmic_raw[#Headers],0))=0, INDEX(regions[], MATCH($D23, regions[[setting]:[setting]],0), MATCH(K$1, regions[#Headers],0)),INDEX(lmic_raw[],MATCH($A23,lmic_raw[[setting]:[setting]],0), MATCH(K$1, lmic_raw[#Headers],0)))</f>
        <v>0.69252604416320784</v>
      </c>
      <c r="L23" s="33">
        <f>IF(INDEX(lmic_raw[],MATCH($A23,lmic_raw[[setting]:[setting]],0), MATCH(L$1, lmic_raw[#Headers],0))=0, INDEX(regions[], MATCH($D23, regions[[setting]:[setting]],0), MATCH(L$1, regions[#Headers],0)),INDEX(lmic_raw[],MATCH($A23,lmic_raw[[setting]:[setting]],0), MATCH(L$1, lmic_raw[#Headers],0)))</f>
        <v>0.67</v>
      </c>
      <c r="M23" s="33">
        <f>IF(INDEX(lmic_raw[],MATCH($A23,lmic_raw[[setting]:[setting]],0), MATCH(M$1, lmic_raw[#Headers],0))=0, INDEX(regions[], MATCH($D23, regions[[setting]:[setting]],0), MATCH(M$1, regions[#Headers],0)),INDEX(lmic_raw[],MATCH($A23,lmic_raw[[setting]:[setting]],0), MATCH(M$1, lmic_raw[#Headers],0)))</f>
        <v>4.4299999999999999E-2</v>
      </c>
      <c r="N23" s="33">
        <f>IF(INDEX(lmic_raw[],MATCH($A23,lmic_raw[[setting]:[setting]],0), MATCH(N$1, lmic_raw[#Headers],0))=0, INDEX(regions[], MATCH($D23, regions[[setting]:[setting]],0), MATCH(N$1, regions[#Headers],0)),INDEX(lmic_raw[],MATCH($A23,lmic_raw[[setting]:[setting]],0), MATCH(N$1, lmic_raw[#Headers],0)))</f>
        <v>0.29497789261106083</v>
      </c>
      <c r="O23" s="33">
        <f>IF(INDEX(lmic_raw[],MATCH($A23,lmic_raw[[setting]:[setting]],0), MATCH(O$1, lmic_raw[#Headers],0))=0, INDEX(regions[], MATCH($D23, regions[[setting]:[setting]],0), MATCH(O$1, regions[#Headers],0)),INDEX(lmic_raw[],MATCH($A23,lmic_raw[[setting]:[setting]],0), MATCH(O$1, lmic_raw[#Headers],0)))</f>
        <v>0.38300000000000001</v>
      </c>
      <c r="P23" s="33">
        <f>IF(INDEX(lmic_raw[],MATCH($A23,lmic_raw[[setting]:[setting]],0), MATCH(P$1, lmic_raw[#Headers],0))=0, INDEX(regions[], MATCH($D23, regions[[setting]:[setting]],0), MATCH(P$1, regions[#Headers],0)),INDEX(lmic_raw[],MATCH($A23,lmic_raw[[setting]:[setting]],0), MATCH(P$1, lmic_raw[#Headers],0)))</f>
        <v>4.8000000000000001E-2</v>
      </c>
      <c r="Q23" s="33">
        <f>IF(INDEX(lmic_raw[],MATCH($A23,lmic_raw[[setting]:[setting]],0), MATCH(Q$1, lmic_raw[#Headers],0))=0, INDEX(regions[], MATCH($D23, regions[[setting]:[setting]],0), MATCH(Q$1, regions[#Headers],0)),INDEX(lmic_raw[],MATCH($A23,lmic_raw[[setting]:[setting]],0), MATCH(Q$1, lmic_raw[#Headers],0)))</f>
        <v>3.7858239945541601</v>
      </c>
      <c r="R23" s="33">
        <f>IF(INDEX(lmic_raw[],MATCH($A23,lmic_raw[[setting]:[setting]],0), MATCH(R$1, lmic_raw[#Headers],0))=0, INDEX(regions[], MATCH($D23, regions[[setting]:[setting]],0), MATCH(R$1, regions[#Headers],0)),INDEX(lmic_raw[],MATCH($A23,lmic_raw[[setting]:[setting]],0), MATCH(R$1, lmic_raw[#Headers],0)))</f>
        <v>29.920500000000001</v>
      </c>
      <c r="S23" s="33">
        <f>IF(INDEX(lmic_raw[],MATCH($A23,lmic_raw[[setting]:[setting]],0), MATCH(S$1, lmic_raw[#Headers],0))=0, INDEX(regions[], MATCH($D23, regions[[setting]:[setting]],0), MATCH(S$1, regions[#Headers],0)),INDEX(lmic_raw[],MATCH($A23,lmic_raw[[setting]:[setting]],0), MATCH(S$1, lmic_raw[#Headers],0)))</f>
        <v>77.662500000000009</v>
      </c>
      <c r="T23" s="33">
        <f>IF(INDEX(lmic_raw[],MATCH($A23,lmic_raw[[setting]:[setting]],0), MATCH(T$1, lmic_raw[#Headers],0))=0, INDEX(regions[], MATCH($D23, regions[[setting]:[setting]],0), MATCH(T$1, regions[#Headers],0)),INDEX(lmic_raw[],MATCH($A23,lmic_raw[[setting]:[setting]],0), MATCH(T$1, lmic_raw[#Headers],0)))</f>
        <v>77.662500000000009</v>
      </c>
      <c r="U23" s="33">
        <f>IF(INDEX(lmic_raw[],MATCH($A23,lmic_raw[[setting]:[setting]],0), MATCH(U$1, lmic_raw[#Headers],0))=0, INDEX(regions[], MATCH($D23, regions[[setting]:[setting]],0), MATCH(U$1, regions[#Headers],0)),INDEX(lmic_raw[],MATCH($A23,lmic_raw[[setting]:[setting]],0), MATCH(U$1, lmic_raw[#Headers],0)))</f>
        <v>77.662500000000009</v>
      </c>
      <c r="V23" s="33">
        <f>IF(INDEX(lmic_raw[],MATCH($A23,lmic_raw[[setting]:[setting]],0), MATCH(V$1, lmic_raw[#Headers],0))=0, INDEX(regions[], MATCH($D23, regions[[setting]:[setting]],0), MATCH(V$1, regions[#Headers],0)),INDEX(lmic_raw[],MATCH($A23,lmic_raw[[setting]:[setting]],0), MATCH(V$1, lmic_raw[#Headers],0)))</f>
        <v>2.0334343810717903</v>
      </c>
      <c r="W23" s="33">
        <f>IF(INDEX(lmic_raw[],MATCH($A23,lmic_raw[[setting]:[setting]],0), MATCH(W$1, lmic_raw[#Headers],0))=0, INDEX(regions[], MATCH($D23, regions[[setting]:[setting]],0), MATCH(W$1, regions[#Headers],0)),INDEX(lmic_raw[],MATCH($A23,lmic_raw[[setting]:[setting]],0), MATCH(W$1, lmic_raw[#Headers],0)))</f>
        <v>6.8634343810717908</v>
      </c>
      <c r="X23" s="33">
        <f>IF(INDEX(lmic_raw[],MATCH($A23,lmic_raw[[setting]:[setting]],0), MATCH(X$1, lmic_raw[#Headers],0))=0, INDEX(regions[], MATCH($D23, regions[[setting]:[setting]],0), MATCH(X$1, regions[#Headers],0)),INDEX(lmic_raw[],MATCH($A23,lmic_raw[[setting]:[setting]],0), MATCH(X$1, lmic_raw[#Headers],0)))</f>
        <v>1.6054183958837855</v>
      </c>
      <c r="Y23" s="33">
        <f>IF(INDEX(lmic_raw[],MATCH($A23,lmic_raw[[setting]:[setting]],0), MATCH(Y$1, lmic_raw[#Headers],0))=0, INDEX(regions[], MATCH($D23, regions[[setting]:[setting]],0), MATCH(Y$1, regions[#Headers],0)),INDEX(lmic_raw[],MATCH($A23,lmic_raw[[setting]:[setting]],0), MATCH(Y$1, lmic_raw[#Headers],0)))</f>
        <v>6.4354183958837856</v>
      </c>
      <c r="Z23" s="33">
        <f>IF(INDEX(lmic_raw[],MATCH($A23,lmic_raw[[setting]:[setting]],0), MATCH(Z$1, lmic_raw[#Headers],0))=0, INDEX(regions[], MATCH($D23, regions[[setting]:[setting]],0), MATCH(Z$1, regions[#Headers],0)),INDEX(lmic_raw[],MATCH($A23,lmic_raw[[setting]:[setting]],0), MATCH(Z$1, lmic_raw[#Headers],0)))</f>
        <v>6.4307431931721997</v>
      </c>
      <c r="AA23" s="33">
        <f>IF(INDEX(lmic_raw[],MATCH($A23,lmic_raw[[setting]:[setting]],0), MATCH(AA$1, lmic_raw[#Headers],0))=0, INDEX(regions[], MATCH($D23, regions[[setting]:[setting]],0), MATCH(AA$1, regions[#Headers],0)),INDEX(lmic_raw[],MATCH($A23,lmic_raw[[setting]:[setting]],0), MATCH(AA$1, lmic_raw[#Headers],0)))</f>
        <v>2.2759452538744669</v>
      </c>
      <c r="AB23" s="33">
        <f>IF(INDEX(lmic_raw[],MATCH($A23,lmic_raw[[setting]:[setting]],0), MATCH(AB$1, lmic_raw[#Headers],0))=0, INDEX(regions[], MATCH($D23, regions[[setting]:[setting]],0), MATCH(AB$1, regions[#Headers],0)),INDEX(lmic_raw[],MATCH($A23,lmic_raw[[setting]:[setting]],0), MATCH(AB$1, lmic_raw[#Headers],0)))</f>
        <v>7.1059452538744665</v>
      </c>
      <c r="AC23" s="33">
        <f>IF(INDEX(lmic_raw[],MATCH($A23,lmic_raw[[setting]:[setting]],0), MATCH(AC$1, lmic_raw[#Headers],0))=0, INDEX(regions[], MATCH($D23, regions[[setting]:[setting]],0), MATCH(AC$1, regions[#Headers],0)),INDEX(lmic_raw[],MATCH($A23,lmic_raw[[setting]:[setting]],0), MATCH(AC$1, lmic_raw[#Headers],0)))</f>
        <v>6.119441000000006E-2</v>
      </c>
      <c r="AD23" s="33">
        <f>IF(INDEX(lmic_raw[],MATCH($A23,lmic_raw[[setting]:[setting]],0), MATCH(AD$1, lmic_raw[#Headers],0))=0, INDEX(regions[], MATCH($D23, regions[[setting]:[setting]],0), MATCH(AD$1, regions[#Headers],0)),INDEX(lmic_raw[],MATCH($A23,lmic_raw[[setting]:[setting]],0), MATCH(AD$1, lmic_raw[#Headers],0)))</f>
        <v>7.2176258558494548E-3</v>
      </c>
      <c r="AE23" s="33">
        <f>IF(INDEX(lmic_raw[],MATCH($A23,lmic_raw[[setting]:[setting]],0), MATCH(AE$1, lmic_raw[#Headers],0))=0, INDEX(regions[], MATCH($D23, regions[[setting]:[setting]],0), MATCH(AE$1, regions[#Headers],0)),INDEX(lmic_raw[],MATCH($A23,lmic_raw[[setting]:[setting]],0), MATCH(AE$1, lmic_raw[#Headers],0)))</f>
        <v>2.6275587039534072E-3</v>
      </c>
      <c r="AF23" s="33">
        <f>IF(INDEX(lmic_raw[],MATCH($A23,lmic_raw[[setting]:[setting]],0), MATCH(AF$1, lmic_raw[#Headers],0))=0, INDEX(regions[], MATCH($D23, regions[[setting]:[setting]],0), MATCH(AF$1, regions[#Headers],0)),INDEX(lmic_raw[],MATCH($A23,lmic_raw[[setting]:[setting]],0), MATCH(AF$1, lmic_raw[#Headers],0)))</f>
        <v>1.7924673681891632E-3</v>
      </c>
      <c r="AG23" s="33">
        <f>IF(INDEX(lmic_raw[],MATCH($A23,lmic_raw[[setting]:[setting]],0), MATCH(AG$1, lmic_raw[#Headers],0))=0, INDEX(regions[], MATCH($D23, regions[[setting]:[setting]],0), MATCH(AG$1, regions[#Headers],0)),INDEX(lmic_raw[],MATCH($A23,lmic_raw[[setting]:[setting]],0), MATCH(AG$1, lmic_raw[#Headers],0)))</f>
        <v>2.6749331320549278E-3</v>
      </c>
      <c r="AH23" s="33">
        <f>IF(INDEX(lmic_raw[],MATCH($A23,lmic_raw[[setting]:[setting]],0), MATCH(AH$1, lmic_raw[#Headers],0))=0, INDEX(regions[], MATCH($D23, regions[[setting]:[setting]],0), MATCH(AH$1, regions[#Headers],0)),INDEX(lmic_raw[],MATCH($A23,lmic_raw[[setting]:[setting]],0), MATCH(AH$1, lmic_raw[#Headers],0)))</f>
        <v>3.8411895876434422E-3</v>
      </c>
      <c r="AI23" s="33">
        <f>IF(INDEX(lmic_raw[],MATCH($A23,lmic_raw[[setting]:[setting]],0), MATCH(AI$1, lmic_raw[#Headers],0))=0, INDEX(regions[], MATCH($D23, regions[[setting]:[setting]],0), MATCH(AI$1, regions[#Headers],0)),INDEX(lmic_raw[],MATCH($A23,lmic_raw[[setting]:[setting]],0), MATCH(AI$1, lmic_raw[#Headers],0)))</f>
        <v>4.5577375755387209E-3</v>
      </c>
      <c r="AJ23" s="33">
        <f>IF(INDEX(lmic_raw[],MATCH($A23,lmic_raw[[setting]:[setting]],0), MATCH(AJ$1, lmic_raw[#Headers],0))=0, INDEX(regions[], MATCH($D23, regions[[setting]:[setting]],0), MATCH(AJ$1, regions[#Headers],0)),INDEX(lmic_raw[],MATCH($A23,lmic_raw[[setting]:[setting]],0), MATCH(AJ$1, lmic_raw[#Headers],0)))</f>
        <v>5.3565303343789759E-3</v>
      </c>
      <c r="AK23" s="33">
        <f>IF(INDEX(lmic_raw[],MATCH($A23,lmic_raw[[setting]:[setting]],0), MATCH(AK$1, lmic_raw[#Headers],0))=0, INDEX(regions[], MATCH($D23, regions[[setting]:[setting]],0), MATCH(AK$1, regions[#Headers],0)),INDEX(lmic_raw[],MATCH($A23,lmic_raw[[setting]:[setting]],0), MATCH(AK$1, lmic_raw[#Headers],0)))</f>
        <v>6.4853402754334391E-3</v>
      </c>
      <c r="AL23" s="33">
        <f>IF(INDEX(lmic_raw[],MATCH($A23,lmic_raw[[setting]:[setting]],0), MATCH(AL$1, lmic_raw[#Headers],0))=0, INDEX(regions[], MATCH($D23, regions[[setting]:[setting]],0), MATCH(AL$1, regions[#Headers],0)),INDEX(lmic_raw[],MATCH($A23,lmic_raw[[setting]:[setting]],0), MATCH(AL$1, lmic_raw[#Headers],0)))</f>
        <v>7.9277310419522892E-3</v>
      </c>
      <c r="AM23" s="33">
        <f>IF(INDEX(lmic_raw[],MATCH($A23,lmic_raw[[setting]:[setting]],0), MATCH(AM$1, lmic_raw[#Headers],0))=0, INDEX(regions[], MATCH($D23, regions[[setting]:[setting]],0), MATCH(AM$1, regions[#Headers],0)),INDEX(lmic_raw[],MATCH($A23,lmic_raw[[setting]:[setting]],0), MATCH(AM$1, lmic_raw[#Headers],0)))</f>
        <v>9.6224058705783044E-3</v>
      </c>
      <c r="AN23" s="33">
        <f>IF(INDEX(lmic_raw[],MATCH($A23,lmic_raw[[setting]:[setting]],0), MATCH(AN$1, lmic_raw[#Headers],0))=0, INDEX(regions[], MATCH($D23, regions[[setting]:[setting]],0), MATCH(AN$1, regions[#Headers],0)),INDEX(lmic_raw[],MATCH($A23,lmic_raw[[setting]:[setting]],0), MATCH(AN$1, lmic_raw[#Headers],0)))</f>
        <v>1.2983774435845554E-2</v>
      </c>
      <c r="AO23" s="33">
        <f>IF(INDEX(lmic_raw[],MATCH($A23,lmic_raw[[setting]:[setting]],0), MATCH(AO$1, lmic_raw[#Headers],0))=0, INDEX(regions[], MATCH($D23, regions[[setting]:[setting]],0), MATCH(AO$1, regions[#Headers],0)),INDEX(lmic_raw[],MATCH($A23,lmic_raw[[setting]:[setting]],0), MATCH(AO$1, lmic_raw[#Headers],0)))</f>
        <v>1.6929201860546864E-2</v>
      </c>
      <c r="AP23" s="33">
        <f>IF(INDEX(lmic_raw[],MATCH($A23,lmic_raw[[setting]:[setting]],0), MATCH(AP$1, lmic_raw[#Headers],0))=0, INDEX(regions[], MATCH($D23, regions[[setting]:[setting]],0), MATCH(AP$1, regions[#Headers],0)),INDEX(lmic_raw[],MATCH($A23,lmic_raw[[setting]:[setting]],0), MATCH(AP$1, lmic_raw[#Headers],0)))</f>
        <v>2.4637086454959319E-2</v>
      </c>
      <c r="AQ23" s="33">
        <f>IF(INDEX(lmic_raw[],MATCH($A23,lmic_raw[[setting]:[setting]],0), MATCH(AQ$1, lmic_raw[#Headers],0))=0, INDEX(regions[], MATCH($D23, regions[[setting]:[setting]],0), MATCH(AQ$1, regions[#Headers],0)),INDEX(lmic_raw[],MATCH($A23,lmic_raw[[setting]:[setting]],0), MATCH(AQ$1, lmic_raw[#Headers],0)))</f>
        <v>3.6873179579201235E-2</v>
      </c>
      <c r="AR23" s="33">
        <f>IF(INDEX(lmic_raw[],MATCH($A23,lmic_raw[[setting]:[setting]],0), MATCH(AR$1, lmic_raw[#Headers],0))=0, INDEX(regions[], MATCH($D23, regions[[setting]:[setting]],0), MATCH(AR$1, regions[#Headers],0)),INDEX(lmic_raw[],MATCH($A23,lmic_raw[[setting]:[setting]],0), MATCH(AR$1, lmic_raw[#Headers],0)))</f>
        <v>5.5759166911210051E-2</v>
      </c>
      <c r="AS23" s="33">
        <f>IF(INDEX(lmic_raw[],MATCH($A23,lmic_raw[[setting]:[setting]],0), MATCH(AS$1, lmic_raw[#Headers],0))=0, INDEX(regions[], MATCH($D23, regions[[setting]:[setting]],0), MATCH(AS$1, regions[#Headers],0)),INDEX(lmic_raw[],MATCH($A23,lmic_raw[[setting]:[setting]],0), MATCH(AS$1, lmic_raw[#Headers],0)))</f>
        <v>8.2609444240637903E-2</v>
      </c>
      <c r="AT23" s="33">
        <f>IF(INDEX(lmic_raw[],MATCH($A23,lmic_raw[[setting]:[setting]],0), MATCH(AT$1, lmic_raw[#Headers],0))=0, INDEX(regions[], MATCH($D23, regions[[setting]:[setting]],0), MATCH(AT$1, regions[#Headers],0)),INDEX(lmic_raw[],MATCH($A23,lmic_raw[[setting]:[setting]],0), MATCH(AT$1, lmic_raw[#Headers],0)))</f>
        <v>0.11878660513009633</v>
      </c>
      <c r="AU23" s="33">
        <f>IF(INDEX(lmic_raw[],MATCH($A23,lmic_raw[[setting]:[setting]],0), MATCH(AU$1, lmic_raw[#Headers],0))=0, INDEX(regions[], MATCH($D23, regions[[setting]:[setting]],0), MATCH(AU$1, regions[#Headers],0)),INDEX(lmic_raw[],MATCH($A23,lmic_raw[[setting]:[setting]],0), MATCH(AU$1, lmic_raw[#Headers],0)))</f>
        <v>0.15675453059100936</v>
      </c>
      <c r="AV23" s="33">
        <f>IF(INDEX(lmic_raw[],MATCH($A23,lmic_raw[[setting]:[setting]],0), MATCH(AV$1, lmic_raw[#Headers],0))=0, INDEX(regions[], MATCH($D23, regions[[setting]:[setting]],0), MATCH(AV$1, regions[#Headers],0)),INDEX(lmic_raw[],MATCH($A23,lmic_raw[[setting]:[setting]],0), MATCH(AV$1, lmic_raw[#Headers],0)))</f>
        <v>0.18387036190936415</v>
      </c>
      <c r="AW23" s="33">
        <f>IF(INDEX(lmic_raw[],MATCH($A23,lmic_raw[[setting]:[setting]],0), MATCH(AW$1, lmic_raw[#Headers],0))=0, INDEX(regions[], MATCH($D23, regions[[setting]:[setting]],0), MATCH(AW$1, regions[#Headers],0)),INDEX(lmic_raw[],MATCH($A23,lmic_raw[[setting]:[setting]],0), MATCH(AW$1, lmic_raw[#Headers],0)))</f>
        <v>0.18995136782086644</v>
      </c>
      <c r="AX23" s="33">
        <f>IF(INDEX(lmic_raw[],MATCH($A23,lmic_raw[[setting]:[setting]],0), MATCH(AX$1, lmic_raw[#Headers],0))=0, INDEX(regions[], MATCH($D23, regions[[setting]:[setting]],0), MATCH(AX$1, regions[#Headers],0)),INDEX(lmic_raw[],MATCH($A23,lmic_raw[[setting]:[setting]],0), MATCH(AX$1, lmic_raw[#Headers],0)))</f>
        <v>58.771999999999998</v>
      </c>
      <c r="AY23" s="33" t="str">
        <f>IF(VLOOKUP($A23,lmic_raw[],11,FALSE)=0, "Yes", "No")</f>
        <v>Yes</v>
      </c>
    </row>
    <row r="24" spans="1:51" x14ac:dyDescent="0.25">
      <c r="A24" s="109" t="s">
        <v>601</v>
      </c>
      <c r="B24" s="101" t="s">
        <v>397</v>
      </c>
      <c r="C24" s="102">
        <v>140</v>
      </c>
      <c r="D24" s="82" t="s">
        <v>677</v>
      </c>
      <c r="E24" s="82" t="s">
        <v>582</v>
      </c>
      <c r="F24" s="82" t="s">
        <v>667</v>
      </c>
      <c r="G24" s="82" t="s">
        <v>674</v>
      </c>
      <c r="H24" s="33">
        <f>IF(INDEX(lmic_raw[],MATCH($A24,lmic_raw[[setting]:[setting]],0), MATCH(H$1, lmic_raw[#Headers],0))=0, INDEX(regions[], MATCH($D24, regions[[setting]:[setting]],0), MATCH(H$1, regions[#Headers],0)),INDEX(lmic_raw[],MATCH($A24,lmic_raw[[setting]:[setting]],0), MATCH(H$1, lmic_raw[#Headers],0)))</f>
        <v>4745179</v>
      </c>
      <c r="I24" s="33">
        <f>IF(INDEX(lmic_raw[],MATCH($A24,lmic_raw[[setting]:[setting]],0), MATCH(I$1, lmic_raw[#Headers],0))=0, INDEX(regions[], MATCH($D24, regions[[setting]:[setting]],0), MATCH(I$1, regions[#Headers],0)),INDEX(lmic_raw[],MATCH($A24,lmic_raw[[setting]:[setting]],0), MATCH(I$1, lmic_raw[#Headers],0)))</f>
        <v>168026.78838999997</v>
      </c>
      <c r="J24" s="33">
        <f>IF(INDEX(lmic_raw[],MATCH($A24,lmic_raw[[setting]:[setting]],0), MATCH(J$1, lmic_raw[#Headers],0))=0, INDEX(regions[], MATCH($D24, regions[[setting]:[setting]],0), MATCH(J$1, regions[#Headers],0)),INDEX(lmic_raw[],MATCH($A24,lmic_raw[[setting]:[setting]],0), MATCH(J$1, lmic_raw[#Headers],0)))</f>
        <v>0.52500000000000002</v>
      </c>
      <c r="K24" s="33">
        <f>IF(INDEX(lmic_raw[],MATCH($A24,lmic_raw[[setting]:[setting]],0), MATCH(K$1, lmic_raw[#Headers],0))=0, INDEX(regions[], MATCH($D24, regions[[setting]:[setting]],0), MATCH(K$1, regions[#Headers],0)),INDEX(lmic_raw[],MATCH($A24,lmic_raw[[setting]:[setting]],0), MATCH(K$1, lmic_raw[#Headers],0)))</f>
        <v>0.69252604416320784</v>
      </c>
      <c r="L24" s="33">
        <f>IF(INDEX(lmic_raw[],MATCH($A24,lmic_raw[[setting]:[setting]],0), MATCH(L$1, lmic_raw[#Headers],0))=0, INDEX(regions[], MATCH($D24, regions[[setting]:[setting]],0), MATCH(L$1, regions[#Headers],0)),INDEX(lmic_raw[],MATCH($A24,lmic_raw[[setting]:[setting]],0), MATCH(L$1, lmic_raw[#Headers],0)))</f>
        <v>0.47</v>
      </c>
      <c r="M24" s="33">
        <f>IF(INDEX(lmic_raw[],MATCH($A24,lmic_raw[[setting]:[setting]],0), MATCH(M$1, lmic_raw[#Headers],0))=0, INDEX(regions[], MATCH($D24, regions[[setting]:[setting]],0), MATCH(M$1, regions[#Headers],0)),INDEX(lmic_raw[],MATCH($A24,lmic_raw[[setting]:[setting]],0), MATCH(M$1, lmic_raw[#Headers],0)))</f>
        <v>0.10199999999999999</v>
      </c>
      <c r="N24" s="33">
        <f>IF(INDEX(lmic_raw[],MATCH($A24,lmic_raw[[setting]:[setting]],0), MATCH(N$1, lmic_raw[#Headers],0))=0, INDEX(regions[], MATCH($D24, regions[[setting]:[setting]],0), MATCH(N$1, regions[#Headers],0)),INDEX(lmic_raw[],MATCH($A24,lmic_raw[[setting]:[setting]],0), MATCH(N$1, lmic_raw[#Headers],0)))</f>
        <v>0.29820485243263806</v>
      </c>
      <c r="O24" s="33">
        <f>IF(INDEX(lmic_raw[],MATCH($A24,lmic_raw[[setting]:[setting]],0), MATCH(O$1, lmic_raw[#Headers],0))=0, INDEX(regions[], MATCH($D24, regions[[setting]:[setting]],0), MATCH(O$1, regions[#Headers],0)),INDEX(lmic_raw[],MATCH($A24,lmic_raw[[setting]:[setting]],0), MATCH(O$1, lmic_raw[#Headers],0)))</f>
        <v>0.38300000000000001</v>
      </c>
      <c r="P24" s="33">
        <f>IF(INDEX(lmic_raw[],MATCH($A24,lmic_raw[[setting]:[setting]],0), MATCH(P$1, lmic_raw[#Headers],0))=0, INDEX(regions[], MATCH($D24, regions[[setting]:[setting]],0), MATCH(P$1, regions[#Headers],0)),INDEX(lmic_raw[],MATCH($A24,lmic_raw[[setting]:[setting]],0), MATCH(P$1, lmic_raw[#Headers],0)))</f>
        <v>4.8000000000000001E-2</v>
      </c>
      <c r="Q24" s="33">
        <f>IF(INDEX(lmic_raw[],MATCH($A24,lmic_raw[[setting]:[setting]],0), MATCH(Q$1, lmic_raw[#Headers],0))=0, INDEX(regions[], MATCH($D24, regions[[setting]:[setting]],0), MATCH(Q$1, regions[#Headers],0)),INDEX(lmic_raw[],MATCH($A24,lmic_raw[[setting]:[setting]],0), MATCH(Q$1, lmic_raw[#Headers],0)))</f>
        <v>2.7650856809902589</v>
      </c>
      <c r="R24" s="33">
        <f>IF(INDEX(lmic_raw[],MATCH($A24,lmic_raw[[setting]:[setting]],0), MATCH(R$1, lmic_raw[#Headers],0))=0, INDEX(regions[], MATCH($D24, regions[[setting]:[setting]],0), MATCH(R$1, regions[#Headers],0)),INDEX(lmic_raw[],MATCH($A24,lmic_raw[[setting]:[setting]],0), MATCH(R$1, lmic_raw[#Headers],0)))</f>
        <v>29.920500000000001</v>
      </c>
      <c r="S24" s="33">
        <f>IF(INDEX(lmic_raw[],MATCH($A24,lmic_raw[[setting]:[setting]],0), MATCH(S$1, lmic_raw[#Headers],0))=0, INDEX(regions[], MATCH($D24, regions[[setting]:[setting]],0), MATCH(S$1, regions[#Headers],0)),INDEX(lmic_raw[],MATCH($A24,lmic_raw[[setting]:[setting]],0), MATCH(S$1, lmic_raw[#Headers],0)))</f>
        <v>77.662500000000009</v>
      </c>
      <c r="T24" s="33">
        <f>IF(INDEX(lmic_raw[],MATCH($A24,lmic_raw[[setting]:[setting]],0), MATCH(T$1, lmic_raw[#Headers],0))=0, INDEX(regions[], MATCH($D24, regions[[setting]:[setting]],0), MATCH(T$1, regions[#Headers],0)),INDEX(lmic_raw[],MATCH($A24,lmic_raw[[setting]:[setting]],0), MATCH(T$1, lmic_raw[#Headers],0)))</f>
        <v>77.662500000000009</v>
      </c>
      <c r="U24" s="33">
        <f>IF(INDEX(lmic_raw[],MATCH($A24,lmic_raw[[setting]:[setting]],0), MATCH(U$1, lmic_raw[#Headers],0))=0, INDEX(regions[], MATCH($D24, regions[[setting]:[setting]],0), MATCH(U$1, regions[#Headers],0)),INDEX(lmic_raw[],MATCH($A24,lmic_raw[[setting]:[setting]],0), MATCH(U$1, lmic_raw[#Headers],0)))</f>
        <v>77.662500000000009</v>
      </c>
      <c r="V24" s="33">
        <f>IF(INDEX(lmic_raw[],MATCH($A24,lmic_raw[[setting]:[setting]],0), MATCH(V$1, lmic_raw[#Headers],0))=0, INDEX(regions[], MATCH($D24, regions[[setting]:[setting]],0), MATCH(V$1, regions[#Headers],0)),INDEX(lmic_raw[],MATCH($A24,lmic_raw[[setting]:[setting]],0), MATCH(V$1, lmic_raw[#Headers],0)))</f>
        <v>1.1365347815248923</v>
      </c>
      <c r="W24" s="33">
        <f>IF(INDEX(lmic_raw[],MATCH($A24,lmic_raw[[setting]:[setting]],0), MATCH(W$1, lmic_raw[#Headers],0))=0, INDEX(regions[], MATCH($D24, regions[[setting]:[setting]],0), MATCH(W$1, regions[#Headers],0)),INDEX(lmic_raw[],MATCH($A24,lmic_raw[[setting]:[setting]],0), MATCH(W$1, lmic_raw[#Headers],0)))</f>
        <v>5.9665347815248921</v>
      </c>
      <c r="X24" s="33">
        <f>IF(INDEX(lmic_raw[],MATCH($A24,lmic_raw[[setting]:[setting]],0), MATCH(X$1, lmic_raw[#Headers],0))=0, INDEX(regions[], MATCH($D24, regions[[setting]:[setting]],0), MATCH(X$1, regions[#Headers],0)),INDEX(lmic_raw[],MATCH($A24,lmic_raw[[setting]:[setting]],0), MATCH(X$1, lmic_raw[#Headers],0)))</f>
        <v>0.71441117634326534</v>
      </c>
      <c r="Y24" s="33">
        <f>IF(INDEX(lmic_raw[],MATCH($A24,lmic_raw[[setting]:[setting]],0), MATCH(Y$1, lmic_raw[#Headers],0))=0, INDEX(regions[], MATCH($D24, regions[[setting]:[setting]],0), MATCH(Y$1, regions[#Headers],0)),INDEX(lmic_raw[],MATCH($A24,lmic_raw[[setting]:[setting]],0), MATCH(Y$1, lmic_raw[#Headers],0)))</f>
        <v>5.5444111763432655</v>
      </c>
      <c r="Z24" s="33">
        <f>IF(INDEX(lmic_raw[],MATCH($A24,lmic_raw[[setting]:[setting]],0), MATCH(Z$1, lmic_raw[#Headers],0))=0, INDEX(regions[], MATCH($D24, regions[[setting]:[setting]],0), MATCH(Z$1, regions[#Headers],0)),INDEX(lmic_raw[],MATCH($A24,lmic_raw[[setting]:[setting]],0), MATCH(Z$1, lmic_raw[#Headers],0)))</f>
        <v>5.5427304872269589</v>
      </c>
      <c r="AA24" s="33">
        <f>IF(INDEX(lmic_raw[],MATCH($A24,lmic_raw[[setting]:[setting]],0), MATCH(AA$1, lmic_raw[#Headers],0))=0, INDEX(regions[], MATCH($D24, regions[[setting]:[setting]],0), MATCH(AA$1, regions[#Headers],0)),INDEX(lmic_raw[],MATCH($A24,lmic_raw[[setting]:[setting]],0), MATCH(AA$1, lmic_raw[#Headers],0)))</f>
        <v>1.3769216568834095</v>
      </c>
      <c r="AB24" s="33">
        <f>IF(INDEX(lmic_raw[],MATCH($A24,lmic_raw[[setting]:[setting]],0), MATCH(AB$1, lmic_raw[#Headers],0))=0, INDEX(regions[], MATCH($D24, regions[[setting]:[setting]],0), MATCH(AB$1, regions[#Headers],0)),INDEX(lmic_raw[],MATCH($A24,lmic_raw[[setting]:[setting]],0), MATCH(AB$1, lmic_raw[#Headers],0)))</f>
        <v>6.2069216568834094</v>
      </c>
      <c r="AC24" s="33">
        <f>IF(INDEX(lmic_raw[],MATCH($A24,lmic_raw[[setting]:[setting]],0), MATCH(AC$1, lmic_raw[#Headers],0))=0, INDEX(regions[], MATCH($D24, regions[[setting]:[setting]],0), MATCH(AC$1, regions[#Headers],0)),INDEX(lmic_raw[],MATCH($A24,lmic_raw[[setting]:[setting]],0), MATCH(AC$1, lmic_raw[#Headers],0)))</f>
        <v>8.1922939999999944E-2</v>
      </c>
      <c r="AD24" s="33">
        <f>IF(INDEX(lmic_raw[],MATCH($A24,lmic_raw[[setting]:[setting]],0), MATCH(AD$1, lmic_raw[#Headers],0))=0, INDEX(regions[], MATCH($D24, regions[[setting]:[setting]],0), MATCH(AD$1, regions[#Headers],0)),INDEX(lmic_raw[],MATCH($A24,lmic_raw[[setting]:[setting]],0), MATCH(AD$1, lmic_raw[#Headers],0)))</f>
        <v>1.0878201770992952E-2</v>
      </c>
      <c r="AE24" s="33">
        <f>IF(INDEX(lmic_raw[],MATCH($A24,lmic_raw[[setting]:[setting]],0), MATCH(AE$1, lmic_raw[#Headers],0))=0, INDEX(regions[], MATCH($D24, regions[[setting]:[setting]],0), MATCH(AE$1, regions[#Headers],0)),INDEX(lmic_raw[],MATCH($A24,lmic_raw[[setting]:[setting]],0), MATCH(AE$1, lmic_raw[#Headers],0)))</f>
        <v>3.1964143762712766E-3</v>
      </c>
      <c r="AF24" s="33">
        <f>IF(INDEX(lmic_raw[],MATCH($A24,lmic_raw[[setting]:[setting]],0), MATCH(AF$1, lmic_raw[#Headers],0))=0, INDEX(regions[], MATCH($D24, regions[[setting]:[setting]],0), MATCH(AF$1, regions[#Headers],0)),INDEX(lmic_raw[],MATCH($A24,lmic_raw[[setting]:[setting]],0), MATCH(AF$1, lmic_raw[#Headers],0)))</f>
        <v>2.2879438563343461E-3</v>
      </c>
      <c r="AG24" s="33">
        <f>IF(INDEX(lmic_raw[],MATCH($A24,lmic_raw[[setting]:[setting]],0), MATCH(AG$1, lmic_raw[#Headers],0))=0, INDEX(regions[], MATCH($D24, regions[[setting]:[setting]],0), MATCH(AG$1, regions[#Headers],0)),INDEX(lmic_raw[],MATCH($A24,lmic_raw[[setting]:[setting]],0), MATCH(AG$1, lmic_raw[#Headers],0)))</f>
        <v>3.2946666733317093E-3</v>
      </c>
      <c r="AH24" s="33">
        <f>IF(INDEX(lmic_raw[],MATCH($A24,lmic_raw[[setting]:[setting]],0), MATCH(AH$1, lmic_raw[#Headers],0))=0, INDEX(regions[], MATCH($D24, regions[[setting]:[setting]],0), MATCH(AH$1, regions[#Headers],0)),INDEX(lmic_raw[],MATCH($A24,lmic_raw[[setting]:[setting]],0), MATCH(AH$1, lmic_raw[#Headers],0)))</f>
        <v>5.0192257116822353E-3</v>
      </c>
      <c r="AI24" s="33">
        <f>IF(INDEX(lmic_raw[],MATCH($A24,lmic_raw[[setting]:[setting]],0), MATCH(AI$1, lmic_raw[#Headers],0))=0, INDEX(regions[], MATCH($D24, regions[[setting]:[setting]],0), MATCH(AI$1, regions[#Headers],0)),INDEX(lmic_raw[],MATCH($A24,lmic_raw[[setting]:[setting]],0), MATCH(AI$1, lmic_raw[#Headers],0)))</f>
        <v>6.8432530446659069E-3</v>
      </c>
      <c r="AJ24" s="33">
        <f>IF(INDEX(lmic_raw[],MATCH($A24,lmic_raw[[setting]:[setting]],0), MATCH(AJ$1, lmic_raw[#Headers],0))=0, INDEX(regions[], MATCH($D24, regions[[setting]:[setting]],0), MATCH(AJ$1, regions[#Headers],0)),INDEX(lmic_raw[],MATCH($A24,lmic_raw[[setting]:[setting]],0), MATCH(AJ$1, lmic_raw[#Headers],0)))</f>
        <v>8.6738032464507842E-3</v>
      </c>
      <c r="AK24" s="33">
        <f>IF(INDEX(lmic_raw[],MATCH($A24,lmic_raw[[setting]:[setting]],0), MATCH(AK$1, lmic_raw[#Headers],0))=0, INDEX(regions[], MATCH($D24, regions[[setting]:[setting]],0), MATCH(AK$1, regions[#Headers],0)),INDEX(lmic_raw[],MATCH($A24,lmic_raw[[setting]:[setting]],0), MATCH(AK$1, lmic_raw[#Headers],0)))</f>
        <v>1.1062967535899281E-2</v>
      </c>
      <c r="AL24" s="33">
        <f>IF(INDEX(lmic_raw[],MATCH($A24,lmic_raw[[setting]:[setting]],0), MATCH(AL$1, lmic_raw[#Headers],0))=0, INDEX(regions[], MATCH($D24, regions[[setting]:[setting]],0), MATCH(AL$1, regions[#Headers],0)),INDEX(lmic_raw[],MATCH($A24,lmic_raw[[setting]:[setting]],0), MATCH(AL$1, lmic_raw[#Headers],0)))</f>
        <v>1.2937061582216988E-2</v>
      </c>
      <c r="AM24" s="33">
        <f>IF(INDEX(lmic_raw[],MATCH($A24,lmic_raw[[setting]:[setting]],0), MATCH(AM$1, lmic_raw[#Headers],0))=0, INDEX(regions[], MATCH($D24, regions[[setting]:[setting]],0), MATCH(AM$1, regions[#Headers],0)),INDEX(lmic_raw[],MATCH($A24,lmic_raw[[setting]:[setting]],0), MATCH(AM$1, lmic_raw[#Headers],0)))</f>
        <v>1.4983573488699718E-2</v>
      </c>
      <c r="AN24" s="33">
        <f>IF(INDEX(lmic_raw[],MATCH($A24,lmic_raw[[setting]:[setting]],0), MATCH(AN$1, lmic_raw[#Headers],0))=0, INDEX(regions[], MATCH($D24, regions[[setting]:[setting]],0), MATCH(AN$1, regions[#Headers],0)),INDEX(lmic_raw[],MATCH($A24,lmic_raw[[setting]:[setting]],0), MATCH(AN$1, lmic_raw[#Headers],0)))</f>
        <v>1.8293733980304344E-2</v>
      </c>
      <c r="AO24" s="33">
        <f>IF(INDEX(lmic_raw[],MATCH($A24,lmic_raw[[setting]:[setting]],0), MATCH(AO$1, lmic_raw[#Headers],0))=0, INDEX(regions[], MATCH($D24, regions[[setting]:[setting]],0), MATCH(AO$1, regions[#Headers],0)),INDEX(lmic_raw[],MATCH($A24,lmic_raw[[setting]:[setting]],0), MATCH(AO$1, lmic_raw[#Headers],0)))</f>
        <v>2.2298694890880218E-2</v>
      </c>
      <c r="AP24" s="33">
        <f>IF(INDEX(lmic_raw[],MATCH($A24,lmic_raw[[setting]:[setting]],0), MATCH(AP$1, lmic_raw[#Headers],0))=0, INDEX(regions[], MATCH($D24, regions[[setting]:[setting]],0), MATCH(AP$1, regions[#Headers],0)),INDEX(lmic_raw[],MATCH($A24,lmic_raw[[setting]:[setting]],0), MATCH(AP$1, lmic_raw[#Headers],0)))</f>
        <v>2.9786511926594324E-2</v>
      </c>
      <c r="AQ24" s="33">
        <f>IF(INDEX(lmic_raw[],MATCH($A24,lmic_raw[[setting]:[setting]],0), MATCH(AQ$1, lmic_raw[#Headers],0))=0, INDEX(regions[], MATCH($D24, regions[[setting]:[setting]],0), MATCH(AQ$1, regions[#Headers],0)),INDEX(lmic_raw[],MATCH($A24,lmic_raw[[setting]:[setting]],0), MATCH(AQ$1, lmic_raw[#Headers],0)))</f>
        <v>4.1518704376223209E-2</v>
      </c>
      <c r="AR24" s="33">
        <f>IF(INDEX(lmic_raw[],MATCH($A24,lmic_raw[[setting]:[setting]],0), MATCH(AR$1, lmic_raw[#Headers],0))=0, INDEX(regions[], MATCH($D24, regions[[setting]:[setting]],0), MATCH(AR$1, regions[#Headers],0)),INDEX(lmic_raw[],MATCH($A24,lmic_raw[[setting]:[setting]],0), MATCH(AR$1, lmic_raw[#Headers],0)))</f>
        <v>5.9437275456103944E-2</v>
      </c>
      <c r="AS24" s="33">
        <f>IF(INDEX(lmic_raw[],MATCH($A24,lmic_raw[[setting]:[setting]],0), MATCH(AS$1, lmic_raw[#Headers],0))=0, INDEX(regions[], MATCH($D24, regions[[setting]:[setting]],0), MATCH(AS$1, regions[#Headers],0)),INDEX(lmic_raw[],MATCH($A24,lmic_raw[[setting]:[setting]],0), MATCH(AS$1, lmic_raw[#Headers],0)))</f>
        <v>8.4083240543308749E-2</v>
      </c>
      <c r="AT24" s="33">
        <f>IF(INDEX(lmic_raw[],MATCH($A24,lmic_raw[[setting]:[setting]],0), MATCH(AT$1, lmic_raw[#Headers],0))=0, INDEX(regions[], MATCH($D24, regions[[setting]:[setting]],0), MATCH(AT$1, regions[#Headers],0)),INDEX(lmic_raw[],MATCH($A24,lmic_raw[[setting]:[setting]],0), MATCH(AT$1, lmic_raw[#Headers],0)))</f>
        <v>0.11801391721629427</v>
      </c>
      <c r="AU24" s="33">
        <f>IF(INDEX(lmic_raw[],MATCH($A24,lmic_raw[[setting]:[setting]],0), MATCH(AU$1, lmic_raw[#Headers],0))=0, INDEX(regions[], MATCH($D24, regions[[setting]:[setting]],0), MATCH(AU$1, regions[#Headers],0)),INDEX(lmic_raw[],MATCH($A24,lmic_raw[[setting]:[setting]],0), MATCH(AU$1, lmic_raw[#Headers],0)))</f>
        <v>0.15387640621894813</v>
      </c>
      <c r="AV24" s="33">
        <f>IF(INDEX(lmic_raw[],MATCH($A24,lmic_raw[[setting]:[setting]],0), MATCH(AV$1, lmic_raw[#Headers],0))=0, INDEX(regions[], MATCH($D24, regions[[setting]:[setting]],0), MATCH(AV$1, regions[#Headers],0)),INDEX(lmic_raw[],MATCH($A24,lmic_raw[[setting]:[setting]],0), MATCH(AV$1, lmic_raw[#Headers],0)))</f>
        <v>0.1794807122599974</v>
      </c>
      <c r="AW24" s="33">
        <f>IF(INDEX(lmic_raw[],MATCH($A24,lmic_raw[[setting]:[setting]],0), MATCH(AW$1, lmic_raw[#Headers],0))=0, INDEX(regions[], MATCH($D24, regions[[setting]:[setting]],0), MATCH(AW$1, regions[#Headers],0)),INDEX(lmic_raw[],MATCH($A24,lmic_raw[[setting]:[setting]],0), MATCH(AW$1, lmic_raw[#Headers],0)))</f>
        <v>0.1877332125933043</v>
      </c>
      <c r="AX24" s="33">
        <f>IF(INDEX(lmic_raw[],MATCH($A24,lmic_raw[[setting]:[setting]],0), MATCH(AX$1, lmic_raw[#Headers],0))=0, INDEX(regions[], MATCH($D24, regions[[setting]:[setting]],0), MATCH(AX$1, regions[#Headers],0)),INDEX(lmic_raw[],MATCH($A24,lmic_raw[[setting]:[setting]],0), MATCH(AX$1, lmic_raw[#Headers],0)))</f>
        <v>52.667999999999999</v>
      </c>
      <c r="AY24" s="33" t="str">
        <f>IF(VLOOKUP($A24,lmic_raw[],11,FALSE)=0, "Yes", "No")</f>
        <v>Yes</v>
      </c>
    </row>
    <row r="25" spans="1:51" x14ac:dyDescent="0.25">
      <c r="A25" s="110" t="s">
        <v>125</v>
      </c>
      <c r="B25" s="104" t="s">
        <v>398</v>
      </c>
      <c r="C25" s="105">
        <v>148</v>
      </c>
      <c r="D25" s="84" t="s">
        <v>677</v>
      </c>
      <c r="E25" s="84" t="s">
        <v>591</v>
      </c>
      <c r="F25" s="84" t="s">
        <v>667</v>
      </c>
      <c r="G25" s="84" t="s">
        <v>674</v>
      </c>
      <c r="H25" s="33">
        <f>IF(INDEX(lmic_raw[],MATCH($A25,lmic_raw[[setting]:[setting]],0), MATCH(H$1, lmic_raw[#Headers],0))=0, INDEX(regions[], MATCH($D25, regions[[setting]:[setting]],0), MATCH(H$1, regions[#Headers],0)),INDEX(lmic_raw[],MATCH($A25,lmic_raw[[setting]:[setting]],0), MATCH(H$1, lmic_raw[#Headers],0)))</f>
        <v>15946882</v>
      </c>
      <c r="I25" s="33">
        <f>IF(INDEX(lmic_raw[],MATCH($A25,lmic_raw[[setting]:[setting]],0), MATCH(I$1, lmic_raw[#Headers],0))=0, INDEX(regions[], MATCH($D25, regions[[setting]:[setting]],0), MATCH(I$1, regions[#Headers],0)),INDEX(lmic_raw[],MATCH($A25,lmic_raw[[setting]:[setting]],0), MATCH(I$1, lmic_raw[#Headers],0)))</f>
        <v>676674.04390599998</v>
      </c>
      <c r="J25" s="33">
        <f>IF(INDEX(lmic_raw[],MATCH($A25,lmic_raw[[setting]:[setting]],0), MATCH(J$1, lmic_raw[#Headers],0))=0, INDEX(regions[], MATCH($D25, regions[[setting]:[setting]],0), MATCH(J$1, regions[#Headers],0)),INDEX(lmic_raw[],MATCH($A25,lmic_raw[[setting]:[setting]],0), MATCH(J$1, lmic_raw[#Headers],0)))</f>
        <v>0.217</v>
      </c>
      <c r="K25" s="33">
        <f>IF(INDEX(lmic_raw[],MATCH($A25,lmic_raw[[setting]:[setting]],0), MATCH(K$1, lmic_raw[#Headers],0))=0, INDEX(regions[], MATCH($D25, regions[[setting]:[setting]],0), MATCH(K$1, regions[#Headers],0)),INDEX(lmic_raw[],MATCH($A25,lmic_raw[[setting]:[setting]],0), MATCH(K$1, lmic_raw[#Headers],0)))</f>
        <v>0.69252604416320784</v>
      </c>
      <c r="L25" s="33">
        <f>IF(INDEX(lmic_raw[],MATCH($A25,lmic_raw[[setting]:[setting]],0), MATCH(L$1, lmic_raw[#Headers],0))=0, INDEX(regions[], MATCH($D25, regions[[setting]:[setting]],0), MATCH(L$1, regions[#Headers],0)),INDEX(lmic_raw[],MATCH($A25,lmic_raw[[setting]:[setting]],0), MATCH(L$1, lmic_raw[#Headers],0)))</f>
        <v>0.5</v>
      </c>
      <c r="M25" s="33">
        <f>IF(INDEX(lmic_raw[],MATCH($A25,lmic_raw[[setting]:[setting]],0), MATCH(M$1, lmic_raw[#Headers],0))=0, INDEX(regions[], MATCH($D25, regions[[setting]:[setting]],0), MATCH(M$1, regions[#Headers],0)),INDEX(lmic_raw[],MATCH($A25,lmic_raw[[setting]:[setting]],0), MATCH(M$1, lmic_raw[#Headers],0)))</f>
        <v>4.87E-2</v>
      </c>
      <c r="N25" s="33">
        <f>IF(INDEX(lmic_raw[],MATCH($A25,lmic_raw[[setting]:[setting]],0), MATCH(N$1, lmic_raw[#Headers],0))=0, INDEX(regions[], MATCH($D25, regions[[setting]:[setting]],0), MATCH(N$1, regions[#Headers],0)),INDEX(lmic_raw[],MATCH($A25,lmic_raw[[setting]:[setting]],0), MATCH(N$1, lmic_raw[#Headers],0)))</f>
        <v>0.30401743635557654</v>
      </c>
      <c r="O25" s="33">
        <f>IF(INDEX(lmic_raw[],MATCH($A25,lmic_raw[[setting]:[setting]],0), MATCH(O$1, lmic_raw[#Headers],0))=0, INDEX(regions[], MATCH($D25, regions[[setting]:[setting]],0), MATCH(O$1, regions[#Headers],0)),INDEX(lmic_raw[],MATCH($A25,lmic_raw[[setting]:[setting]],0), MATCH(O$1, lmic_raw[#Headers],0)))</f>
        <v>0.38300000000000001</v>
      </c>
      <c r="P25" s="33">
        <f>IF(INDEX(lmic_raw[],MATCH($A25,lmic_raw[[setting]:[setting]],0), MATCH(P$1, lmic_raw[#Headers],0))=0, INDEX(regions[], MATCH($D25, regions[[setting]:[setting]],0), MATCH(P$1, regions[#Headers],0)),INDEX(lmic_raw[],MATCH($A25,lmic_raw[[setting]:[setting]],0), MATCH(P$1, lmic_raw[#Headers],0)))</f>
        <v>4.8000000000000001E-2</v>
      </c>
      <c r="Q25" s="33">
        <f>IF(INDEX(lmic_raw[],MATCH($A25,lmic_raw[[setting]:[setting]],0), MATCH(Q$1, lmic_raw[#Headers],0))=0, INDEX(regions[], MATCH($D25, regions[[setting]:[setting]],0), MATCH(Q$1, regions[#Headers],0)),INDEX(lmic_raw[],MATCH($A25,lmic_raw[[setting]:[setting]],0), MATCH(Q$1, lmic_raw[#Headers],0)))</f>
        <v>3.26358578761449</v>
      </c>
      <c r="R25" s="33">
        <f>IF(INDEX(lmic_raw[],MATCH($A25,lmic_raw[[setting]:[setting]],0), MATCH(R$1, lmic_raw[#Headers],0))=0, INDEX(regions[], MATCH($D25, regions[[setting]:[setting]],0), MATCH(R$1, regions[#Headers],0)),INDEX(lmic_raw[],MATCH($A25,lmic_raw[[setting]:[setting]],0), MATCH(R$1, lmic_raw[#Headers],0)))</f>
        <v>29.920500000000001</v>
      </c>
      <c r="S25" s="33">
        <f>IF(INDEX(lmic_raw[],MATCH($A25,lmic_raw[[setting]:[setting]],0), MATCH(S$1, lmic_raw[#Headers],0))=0, INDEX(regions[], MATCH($D25, regions[[setting]:[setting]],0), MATCH(S$1, regions[#Headers],0)),INDEX(lmic_raw[],MATCH($A25,lmic_raw[[setting]:[setting]],0), MATCH(S$1, lmic_raw[#Headers],0)))</f>
        <v>77.662500000000009</v>
      </c>
      <c r="T25" s="33">
        <f>IF(INDEX(lmic_raw[],MATCH($A25,lmic_raw[[setting]:[setting]],0), MATCH(T$1, lmic_raw[#Headers],0))=0, INDEX(regions[], MATCH($D25, regions[[setting]:[setting]],0), MATCH(T$1, regions[#Headers],0)),INDEX(lmic_raw[],MATCH($A25,lmic_raw[[setting]:[setting]],0), MATCH(T$1, lmic_raw[#Headers],0)))</f>
        <v>77.662500000000009</v>
      </c>
      <c r="U25" s="33">
        <f>IF(INDEX(lmic_raw[],MATCH($A25,lmic_raw[[setting]:[setting]],0), MATCH(U$1, lmic_raw[#Headers],0))=0, INDEX(regions[], MATCH($D25, regions[[setting]:[setting]],0), MATCH(U$1, regions[#Headers],0)),INDEX(lmic_raw[],MATCH($A25,lmic_raw[[setting]:[setting]],0), MATCH(U$1, lmic_raw[#Headers],0)))</f>
        <v>77.662500000000009</v>
      </c>
      <c r="V25" s="33">
        <f>IF(INDEX(lmic_raw[],MATCH($A25,lmic_raw[[setting]:[setting]],0), MATCH(V$1, lmic_raw[#Headers],0))=0, INDEX(regions[], MATCH($D25, regions[[setting]:[setting]],0), MATCH(V$1, regions[#Headers],0)),INDEX(lmic_raw[],MATCH($A25,lmic_raw[[setting]:[setting]],0), MATCH(V$1, lmic_raw[#Headers],0)))</f>
        <v>0.9549650731844721</v>
      </c>
      <c r="W25" s="33">
        <f>IF(INDEX(lmic_raw[],MATCH($A25,lmic_raw[[setting]:[setting]],0), MATCH(W$1, lmic_raw[#Headers],0))=0, INDEX(regions[], MATCH($D25, regions[[setting]:[setting]],0), MATCH(W$1, regions[#Headers],0)),INDEX(lmic_raw[],MATCH($A25,lmic_raw[[setting]:[setting]],0), MATCH(W$1, lmic_raw[#Headers],0)))</f>
        <v>5.7849650731844724</v>
      </c>
      <c r="X25" s="33">
        <f>IF(INDEX(lmic_raw[],MATCH($A25,lmic_raw[[setting]:[setting]],0), MATCH(X$1, lmic_raw[#Headers],0))=0, INDEX(regions[], MATCH($D25, regions[[setting]:[setting]],0), MATCH(X$1, regions[#Headers],0)),INDEX(lmic_raw[],MATCH($A25,lmic_raw[[setting]:[setting]],0), MATCH(X$1, lmic_raw[#Headers],0)))</f>
        <v>0.53080810329467321</v>
      </c>
      <c r="Y25" s="33">
        <f>IF(INDEX(lmic_raw[],MATCH($A25,lmic_raw[[setting]:[setting]],0), MATCH(Y$1, lmic_raw[#Headers],0))=0, INDEX(regions[], MATCH($D25, regions[[setting]:[setting]],0), MATCH(Y$1, regions[#Headers],0)),INDEX(lmic_raw[],MATCH($A25,lmic_raw[[setting]:[setting]],0), MATCH(Y$1, lmic_raw[#Headers],0)))</f>
        <v>5.3608081032946728</v>
      </c>
      <c r="Z25" s="33">
        <f>IF(INDEX(lmic_raw[],MATCH($A25,lmic_raw[[setting]:[setting]],0), MATCH(Z$1, lmic_raw[#Headers],0))=0, INDEX(regions[], MATCH($D25, regions[[setting]:[setting]],0), MATCH(Z$1, regions[#Headers],0)),INDEX(lmic_raw[],MATCH($A25,lmic_raw[[setting]:[setting]],0), MATCH(Z$1, lmic_raw[#Headers],0)))</f>
        <v>5.3583790545557246</v>
      </c>
      <c r="AA25" s="33">
        <f>IF(INDEX(lmic_raw[],MATCH($A25,lmic_raw[[setting]:[setting]],0), MATCH(AA$1, lmic_raw[#Headers],0))=0, INDEX(regions[], MATCH($D25, regions[[setting]:[setting]],0), MATCH(AA$1, regions[#Headers],0)),INDEX(lmic_raw[],MATCH($A25,lmic_raw[[setting]:[setting]],0), MATCH(AA$1, lmic_raw[#Headers],0)))</f>
        <v>1.1960849055889582</v>
      </c>
      <c r="AB25" s="33">
        <f>IF(INDEX(lmic_raw[],MATCH($A25,lmic_raw[[setting]:[setting]],0), MATCH(AB$1, lmic_raw[#Headers],0))=0, INDEX(regions[], MATCH($D25, regions[[setting]:[setting]],0), MATCH(AB$1, regions[#Headers],0)),INDEX(lmic_raw[],MATCH($A25,lmic_raw[[setting]:[setting]],0), MATCH(AB$1, lmic_raw[#Headers],0)))</f>
        <v>6.0260849055889585</v>
      </c>
      <c r="AC25" s="33">
        <f>IF(INDEX(lmic_raw[],MATCH($A25,lmic_raw[[setting]:[setting]],0), MATCH(AC$1, lmic_raw[#Headers],0))=0, INDEX(regions[], MATCH($D25, regions[[setting]:[setting]],0), MATCH(AC$1, regions[#Headers],0)),INDEX(lmic_raw[],MATCH($A25,lmic_raw[[setting]:[setting]],0), MATCH(AC$1, lmic_raw[#Headers],0)))</f>
        <v>7.452462E-2</v>
      </c>
      <c r="AD25" s="33">
        <f>IF(INDEX(lmic_raw[],MATCH($A25,lmic_raw[[setting]:[setting]],0), MATCH(AD$1, lmic_raw[#Headers],0))=0, INDEX(regions[], MATCH($D25, regions[[setting]:[setting]],0), MATCH(AD$1, regions[#Headers],0)),INDEX(lmic_raw[],MATCH($A25,lmic_raw[[setting]:[setting]],0), MATCH(AD$1, lmic_raw[#Headers],0)))</f>
        <v>1.3083130315146792E-2</v>
      </c>
      <c r="AE25" s="33">
        <f>IF(INDEX(lmic_raw[],MATCH($A25,lmic_raw[[setting]:[setting]],0), MATCH(AE$1, lmic_raw[#Headers],0))=0, INDEX(regions[], MATCH($D25, regions[[setting]:[setting]],0), MATCH(AE$1, regions[#Headers],0)),INDEX(lmic_raw[],MATCH($A25,lmic_raw[[setting]:[setting]],0), MATCH(AE$1, lmic_raw[#Headers],0)))</f>
        <v>5.1726818568924651E-3</v>
      </c>
      <c r="AF25" s="33">
        <f>IF(INDEX(lmic_raw[],MATCH($A25,lmic_raw[[setting]:[setting]],0), MATCH(AF$1, lmic_raw[#Headers],0))=0, INDEX(regions[], MATCH($D25, regions[[setting]:[setting]],0), MATCH(AF$1, regions[#Headers],0)),INDEX(lmic_raw[],MATCH($A25,lmic_raw[[setting]:[setting]],0), MATCH(AF$1, lmic_raw[#Headers],0)))</f>
        <v>3.3557672904945485E-3</v>
      </c>
      <c r="AG25" s="33">
        <f>IF(INDEX(lmic_raw[],MATCH($A25,lmic_raw[[setting]:[setting]],0), MATCH(AG$1, lmic_raw[#Headers],0))=0, INDEX(regions[], MATCH($D25, regions[[setting]:[setting]],0), MATCH(AG$1, regions[#Headers],0)),INDEX(lmic_raw[],MATCH($A25,lmic_raw[[setting]:[setting]],0), MATCH(AG$1, lmic_raw[#Headers],0)))</f>
        <v>3.8593400925335006E-3</v>
      </c>
      <c r="AH25" s="33">
        <f>IF(INDEX(lmic_raw[],MATCH($A25,lmic_raw[[setting]:[setting]],0), MATCH(AH$1, lmic_raw[#Headers],0))=0, INDEX(regions[], MATCH($D25, regions[[setting]:[setting]],0), MATCH(AH$1, regions[#Headers],0)),INDEX(lmic_raw[],MATCH($A25,lmic_raw[[setting]:[setting]],0), MATCH(AH$1, lmic_raw[#Headers],0)))</f>
        <v>5.0987288719791489E-3</v>
      </c>
      <c r="AI25" s="33">
        <f>IF(INDEX(lmic_raw[],MATCH($A25,lmic_raw[[setting]:[setting]],0), MATCH(AI$1, lmic_raw[#Headers],0))=0, INDEX(regions[], MATCH($D25, regions[[setting]:[setting]],0), MATCH(AI$1, regions[#Headers],0)),INDEX(lmic_raw[],MATCH($A25,lmic_raw[[setting]:[setting]],0), MATCH(AI$1, lmic_raw[#Headers],0)))</f>
        <v>6.6955044433153633E-3</v>
      </c>
      <c r="AJ25" s="33">
        <f>IF(INDEX(lmic_raw[],MATCH($A25,lmic_raw[[setting]:[setting]],0), MATCH(AJ$1, lmic_raw[#Headers],0))=0, INDEX(regions[], MATCH($D25, regions[[setting]:[setting]],0), MATCH(AJ$1, regions[#Headers],0)),INDEX(lmic_raw[],MATCH($A25,lmic_raw[[setting]:[setting]],0), MATCH(AJ$1, lmic_raw[#Headers],0)))</f>
        <v>8.4720848040507456E-3</v>
      </c>
      <c r="AK25" s="33">
        <f>IF(INDEX(lmic_raw[],MATCH($A25,lmic_raw[[setting]:[setting]],0), MATCH(AK$1, lmic_raw[#Headers],0))=0, INDEX(regions[], MATCH($D25, regions[[setting]:[setting]],0), MATCH(AK$1, regions[#Headers],0)),INDEX(lmic_raw[],MATCH($A25,lmic_raw[[setting]:[setting]],0), MATCH(AK$1, lmic_raw[#Headers],0)))</f>
        <v>1.0411925957953318E-2</v>
      </c>
      <c r="AL25" s="33">
        <f>IF(INDEX(lmic_raw[],MATCH($A25,lmic_raw[[setting]:[setting]],0), MATCH(AL$1, lmic_raw[#Headers],0))=0, INDEX(regions[], MATCH($D25, regions[[setting]:[setting]],0), MATCH(AL$1, regions[#Headers],0)),INDEX(lmic_raw[],MATCH($A25,lmic_raw[[setting]:[setting]],0), MATCH(AL$1, lmic_raw[#Headers],0)))</f>
        <v>1.1080151343649754E-2</v>
      </c>
      <c r="AM25" s="33">
        <f>IF(INDEX(lmic_raw[],MATCH($A25,lmic_raw[[setting]:[setting]],0), MATCH(AM$1, lmic_raw[#Headers],0))=0, INDEX(regions[], MATCH($D25, regions[[setting]:[setting]],0), MATCH(AM$1, regions[#Headers],0)),INDEX(lmic_raw[],MATCH($A25,lmic_raw[[setting]:[setting]],0), MATCH(AM$1, lmic_raw[#Headers],0)))</f>
        <v>1.1559324901721306E-2</v>
      </c>
      <c r="AN25" s="33">
        <f>IF(INDEX(lmic_raw[],MATCH($A25,lmic_raw[[setting]:[setting]],0), MATCH(AN$1, lmic_raw[#Headers],0))=0, INDEX(regions[], MATCH($D25, regions[[setting]:[setting]],0), MATCH(AN$1, regions[#Headers],0)),INDEX(lmic_raw[],MATCH($A25,lmic_raw[[setting]:[setting]],0), MATCH(AN$1, lmic_raw[#Headers],0)))</f>
        <v>1.2924525230492354E-2</v>
      </c>
      <c r="AO25" s="33">
        <f>IF(INDEX(lmic_raw[],MATCH($A25,lmic_raw[[setting]:[setting]],0), MATCH(AO$1, lmic_raw[#Headers],0))=0, INDEX(regions[], MATCH($D25, regions[[setting]:[setting]],0), MATCH(AO$1, regions[#Headers],0)),INDEX(lmic_raw[],MATCH($A25,lmic_raw[[setting]:[setting]],0), MATCH(AO$1, lmic_raw[#Headers],0)))</f>
        <v>1.6349138162578825E-2</v>
      </c>
      <c r="AP25" s="33">
        <f>IF(INDEX(lmic_raw[],MATCH($A25,lmic_raw[[setting]:[setting]],0), MATCH(AP$1, lmic_raw[#Headers],0))=0, INDEX(regions[], MATCH($D25, regions[[setting]:[setting]],0), MATCH(AP$1, regions[#Headers],0)),INDEX(lmic_raw[],MATCH($A25,lmic_raw[[setting]:[setting]],0), MATCH(AP$1, lmic_raw[#Headers],0)))</f>
        <v>2.34057272938786E-2</v>
      </c>
      <c r="AQ25" s="33">
        <f>IF(INDEX(lmic_raw[],MATCH($A25,lmic_raw[[setting]:[setting]],0), MATCH(AQ$1, lmic_raw[#Headers],0))=0, INDEX(regions[], MATCH($D25, regions[[setting]:[setting]],0), MATCH(AQ$1, regions[#Headers],0)),INDEX(lmic_raw[],MATCH($A25,lmic_raw[[setting]:[setting]],0), MATCH(AQ$1, lmic_raw[#Headers],0)))</f>
        <v>3.4681211713298674E-2</v>
      </c>
      <c r="AR25" s="33">
        <f>IF(INDEX(lmic_raw[],MATCH($A25,lmic_raw[[setting]:[setting]],0), MATCH(AR$1, lmic_raw[#Headers],0))=0, INDEX(regions[], MATCH($D25, regions[[setting]:[setting]],0), MATCH(AR$1, regions[#Headers],0)),INDEX(lmic_raw[],MATCH($A25,lmic_raw[[setting]:[setting]],0), MATCH(AR$1, lmic_raw[#Headers],0)))</f>
        <v>5.2117806535806076E-2</v>
      </c>
      <c r="AS25" s="33">
        <f>IF(INDEX(lmic_raw[],MATCH($A25,lmic_raw[[setting]:[setting]],0), MATCH(AS$1, lmic_raw[#Headers],0))=0, INDEX(regions[], MATCH($D25, regions[[setting]:[setting]],0), MATCH(AS$1, regions[#Headers],0)),INDEX(lmic_raw[],MATCH($A25,lmic_raw[[setting]:[setting]],0), MATCH(AS$1, lmic_raw[#Headers],0)))</f>
        <v>7.5725788787142714E-2</v>
      </c>
      <c r="AT25" s="33">
        <f>IF(INDEX(lmic_raw[],MATCH($A25,lmic_raw[[setting]:[setting]],0), MATCH(AT$1, lmic_raw[#Headers],0))=0, INDEX(regions[], MATCH($D25, regions[[setting]:[setting]],0), MATCH(AT$1, regions[#Headers],0)),INDEX(lmic_raw[],MATCH($A25,lmic_raw[[setting]:[setting]],0), MATCH(AT$1, lmic_raw[#Headers],0)))</f>
        <v>0.10590133201655805</v>
      </c>
      <c r="AU25" s="33">
        <f>IF(INDEX(lmic_raw[],MATCH($A25,lmic_raw[[setting]:[setting]],0), MATCH(AU$1, lmic_raw[#Headers],0))=0, INDEX(regions[], MATCH($D25, regions[[setting]:[setting]],0), MATCH(AU$1, regions[#Headers],0)),INDEX(lmic_raw[],MATCH($A25,lmic_raw[[setting]:[setting]],0), MATCH(AU$1, lmic_raw[#Headers],0)))</f>
        <v>0.13696195144420933</v>
      </c>
      <c r="AV25" s="33">
        <f>IF(INDEX(lmic_raw[],MATCH($A25,lmic_raw[[setting]:[setting]],0), MATCH(AV$1, lmic_raw[#Headers],0))=0, INDEX(regions[], MATCH($D25, regions[[setting]:[setting]],0), MATCH(AV$1, regions[#Headers],0)),INDEX(lmic_raw[],MATCH($A25,lmic_raw[[setting]:[setting]],0), MATCH(AV$1, lmic_raw[#Headers],0)))</f>
        <v>0.16219236641061724</v>
      </c>
      <c r="AW25" s="33">
        <f>IF(INDEX(lmic_raw[],MATCH($A25,lmic_raw[[setting]:[setting]],0), MATCH(AW$1, lmic_raw[#Headers],0))=0, INDEX(regions[], MATCH($D25, regions[[setting]:[setting]],0), MATCH(AW$1, regions[#Headers],0)),INDEX(lmic_raw[],MATCH($A25,lmic_raw[[setting]:[setting]],0), MATCH(AW$1, lmic_raw[#Headers],0)))</f>
        <v>0.17872314050125573</v>
      </c>
      <c r="AX25" s="33">
        <f>IF(INDEX(lmic_raw[],MATCH($A25,lmic_raw[[setting]:[setting]],0), MATCH(AX$1, lmic_raw[#Headers],0))=0, INDEX(regions[], MATCH($D25, regions[[setting]:[setting]],0), MATCH(AX$1, regions[#Headers],0)),INDEX(lmic_raw[],MATCH($A25,lmic_raw[[setting]:[setting]],0), MATCH(AX$1, lmic_raw[#Headers],0)))</f>
        <v>53.798999999999999</v>
      </c>
      <c r="AY25" s="33" t="str">
        <f>IF(VLOOKUP($A25,lmic_raw[],11,FALSE)=0, "Yes", "No")</f>
        <v>Yes</v>
      </c>
    </row>
    <row r="26" spans="1:51" x14ac:dyDescent="0.25">
      <c r="A26" s="109" t="s">
        <v>202</v>
      </c>
      <c r="B26" s="101" t="s">
        <v>400</v>
      </c>
      <c r="C26" s="102">
        <v>156</v>
      </c>
      <c r="D26" s="82" t="s">
        <v>681</v>
      </c>
      <c r="E26" s="82" t="s">
        <v>603</v>
      </c>
      <c r="F26" s="82" t="s">
        <v>666</v>
      </c>
      <c r="G26" s="82" t="s">
        <v>676</v>
      </c>
      <c r="H26" s="33">
        <f>IF(INDEX(lmic_raw[],MATCH($A26,lmic_raw[[setting]:[setting]],0), MATCH(H$1, lmic_raw[#Headers],0))=0, INDEX(regions[], MATCH($D26, regions[[setting]:[setting]],0), MATCH(H$1, regions[#Headers],0)),INDEX(lmic_raw[],MATCH($A26,lmic_raw[[setting]:[setting]],0), MATCH(H$1, lmic_raw[#Headers],0)))</f>
        <v>1433783692</v>
      </c>
      <c r="I26" s="33">
        <f>IF(INDEX(lmic_raw[],MATCH($A26,lmic_raw[[setting]:[setting]],0), MATCH(I$1, lmic_raw[#Headers],0))=0, INDEX(regions[], MATCH($D26, regions[[setting]:[setting]],0), MATCH(I$1, regions[#Headers],0)),INDEX(lmic_raw[],MATCH($A26,lmic_raw[[setting]:[setting]],0), MATCH(I$1, lmic_raw[#Headers],0)))</f>
        <v>17105039.445560001</v>
      </c>
      <c r="J26" s="33">
        <f>IF(INDEX(lmic_raw[],MATCH($A26,lmic_raw[[setting]:[setting]],0), MATCH(J$1, lmic_raw[#Headers],0))=0, INDEX(regions[], MATCH($D26, regions[[setting]:[setting]],0), MATCH(J$1, regions[#Headers],0)),INDEX(lmic_raw[],MATCH($A26,lmic_raw[[setting]:[setting]],0), MATCH(J$1, lmic_raw[#Headers],0)))</f>
        <v>0.99900000000000011</v>
      </c>
      <c r="K26" s="33">
        <f>IF(INDEX(lmic_raw[],MATCH($A26,lmic_raw[[setting]:[setting]],0), MATCH(K$1, lmic_raw[#Headers],0))=0, INDEX(regions[], MATCH($D26, regions[[setting]:[setting]],0), MATCH(K$1, regions[#Headers],0)),INDEX(lmic_raw[],MATCH($A26,lmic_raw[[setting]:[setting]],0), MATCH(K$1, lmic_raw[#Headers],0)))</f>
        <v>0.96</v>
      </c>
      <c r="L26" s="33">
        <f>IF(INDEX(lmic_raw[],MATCH($A26,lmic_raw[[setting]:[setting]],0), MATCH(L$1, lmic_raw[#Headers],0))=0, INDEX(regions[], MATCH($D26, regions[[setting]:[setting]],0), MATCH(L$1, regions[#Headers],0)),INDEX(lmic_raw[],MATCH($A26,lmic_raw[[setting]:[setting]],0), MATCH(L$1, lmic_raw[#Headers],0)))</f>
        <v>0.99</v>
      </c>
      <c r="M26" s="33">
        <f>IF(INDEX(lmic_raw[],MATCH($A26,lmic_raw[[setting]:[setting]],0), MATCH(M$1, lmic_raw[#Headers],0))=0, INDEX(regions[], MATCH($D26, regions[[setting]:[setting]],0), MATCH(M$1, regions[#Headers],0)),INDEX(lmic_raw[],MATCH($A26,lmic_raw[[setting]:[setting]],0), MATCH(M$1, lmic_raw[#Headers],0)))</f>
        <v>7.1800000000000003E-2</v>
      </c>
      <c r="N26" s="33">
        <f>IF(INDEX(lmic_raw[],MATCH($A26,lmic_raw[[setting]:[setting]],0), MATCH(N$1, lmic_raw[#Headers],0))=0, INDEX(regions[], MATCH($D26, regions[[setting]:[setting]],0), MATCH(N$1, regions[#Headers],0)),INDEX(lmic_raw[],MATCH($A26,lmic_raw[[setting]:[setting]],0), MATCH(N$1, lmic_raw[#Headers],0)))</f>
        <v>0.33366275035206483</v>
      </c>
      <c r="O26" s="33">
        <f>IF(INDEX(lmic_raw[],MATCH($A26,lmic_raw[[setting]:[setting]],0), MATCH(O$1, lmic_raw[#Headers],0))=0, INDEX(regions[], MATCH($D26, regions[[setting]:[setting]],0), MATCH(O$1, regions[#Headers],0)),INDEX(lmic_raw[],MATCH($A26,lmic_raw[[setting]:[setting]],0), MATCH(O$1, lmic_raw[#Headers],0)))</f>
        <v>0.8</v>
      </c>
      <c r="P26" s="33">
        <f>IF(INDEX(lmic_raw[],MATCH($A26,lmic_raw[[setting]:[setting]],0), MATCH(P$1, lmic_raw[#Headers],0))=0, INDEX(regions[], MATCH($D26, regions[[setting]:[setting]],0), MATCH(P$1, regions[#Headers],0)),INDEX(lmic_raw[],MATCH($A26,lmic_raw[[setting]:[setting]],0), MATCH(P$1, lmic_raw[#Headers],0)))</f>
        <v>0.17499999999999999</v>
      </c>
      <c r="Q26" s="33">
        <f>IF(INDEX(lmic_raw[],MATCH($A26,lmic_raw[[setting]:[setting]],0), MATCH(Q$1, lmic_raw[#Headers],0))=0, INDEX(regions[], MATCH($D26, regions[[setting]:[setting]],0), MATCH(Q$1, regions[#Headers],0)),INDEX(lmic_raw[],MATCH($A26,lmic_raw[[setting]:[setting]],0), MATCH(Q$1, lmic_raw[#Headers],0)))</f>
        <v>8.046813001175563</v>
      </c>
      <c r="R26" s="33">
        <f>IF(INDEX(lmic_raw[],MATCH($A26,lmic_raw[[setting]:[setting]],0), MATCH(R$1, lmic_raw[#Headers],0))=0, INDEX(regions[], MATCH($D26, regions[[setting]:[setting]],0), MATCH(R$1, regions[#Headers],0)),INDEX(lmic_raw[],MATCH($A26,lmic_raw[[setting]:[setting]],0), MATCH(R$1, lmic_raw[#Headers],0)))</f>
        <v>73.084500000000006</v>
      </c>
      <c r="S26" s="33">
        <f>IF(INDEX(lmic_raw[],MATCH($A26,lmic_raw[[setting]:[setting]],0), MATCH(S$1, lmic_raw[#Headers],0))=0, INDEX(regions[], MATCH($D26, regions[[setting]:[setting]],0), MATCH(S$1, regions[#Headers],0)),INDEX(lmic_raw[],MATCH($A26,lmic_raw[[setting]:[setting]],0), MATCH(S$1, lmic_raw[#Headers],0)))</f>
        <v>120.8265</v>
      </c>
      <c r="T26" s="33">
        <f>IF(INDEX(lmic_raw[],MATCH($A26,lmic_raw[[setting]:[setting]],0), MATCH(T$1, lmic_raw[#Headers],0))=0, INDEX(regions[], MATCH($D26, regions[[setting]:[setting]],0), MATCH(T$1, regions[#Headers],0)),INDEX(lmic_raw[],MATCH($A26,lmic_raw[[setting]:[setting]],0), MATCH(T$1, lmic_raw[#Headers],0)))</f>
        <v>120.8265</v>
      </c>
      <c r="U26" s="33">
        <f>IF(INDEX(lmic_raw[],MATCH($A26,lmic_raw[[setting]:[setting]],0), MATCH(U$1, lmic_raw[#Headers],0))=0, INDEX(regions[], MATCH($D26, regions[[setting]:[setting]],0), MATCH(U$1, regions[#Headers],0)),INDEX(lmic_raw[],MATCH($A26,lmic_raw[[setting]:[setting]],0), MATCH(U$1, lmic_raw[#Headers],0)))</f>
        <v>120.8265</v>
      </c>
      <c r="V26" s="33">
        <f>IF(INDEX(lmic_raw[],MATCH($A26,lmic_raw[[setting]:[setting]],0), MATCH(V$1, lmic_raw[#Headers],0))=0, INDEX(regions[], MATCH($D26, regions[[setting]:[setting]],0), MATCH(V$1, regions[#Headers],0)),INDEX(lmic_raw[],MATCH($A26,lmic_raw[[setting]:[setting]],0), MATCH(V$1, lmic_raw[#Headers],0)))</f>
        <v>2.6840346264902699</v>
      </c>
      <c r="W26" s="33">
        <f>IF(INDEX(lmic_raw[],MATCH($A26,lmic_raw[[setting]:[setting]],0), MATCH(W$1, lmic_raw[#Headers],0))=0, INDEX(regions[], MATCH($D26, regions[[setting]:[setting]],0), MATCH(W$1, regions[#Headers],0)),INDEX(lmic_raw[],MATCH($A26,lmic_raw[[setting]:[setting]],0), MATCH(W$1, lmic_raw[#Headers],0)))</f>
        <v>3.3140346264902698</v>
      </c>
      <c r="X26" s="33">
        <f>IF(INDEX(lmic_raw[],MATCH($A26,lmic_raw[[setting]:[setting]],0), MATCH(X$1, lmic_raw[#Headers],0))=0, INDEX(regions[], MATCH($D26, regions[[setting]:[setting]],0), MATCH(X$1, regions[#Headers],0)),INDEX(lmic_raw[],MATCH($A26,lmic_raw[[setting]:[setting]],0), MATCH(X$1, lmic_raw[#Headers],0)))</f>
        <v>2.233244436944307</v>
      </c>
      <c r="Y26" s="33">
        <f>IF(INDEX(lmic_raw[],MATCH($A26,lmic_raw[[setting]:[setting]],0), MATCH(Y$1, lmic_raw[#Headers],0))=0, INDEX(regions[], MATCH($D26, regions[[setting]:[setting]],0), MATCH(Y$1, regions[#Headers],0)),INDEX(lmic_raw[],MATCH($A26,lmic_raw[[setting]:[setting]],0), MATCH(Y$1, lmic_raw[#Headers],0)))</f>
        <v>2.8632444369443069</v>
      </c>
      <c r="Z26" s="33">
        <f>IF(INDEX(lmic_raw[],MATCH($A26,lmic_raw[[setting]:[setting]],0), MATCH(Z$1, lmic_raw[#Headers],0))=0, INDEX(regions[], MATCH($D26, regions[[setting]:[setting]],0), MATCH(Z$1, regions[#Headers],0)),INDEX(lmic_raw[],MATCH($A26,lmic_raw[[setting]:[setting]],0), MATCH(Z$1, lmic_raw[#Headers],0)))</f>
        <v>2.849845893664225</v>
      </c>
      <c r="AA26" s="33">
        <f>IF(INDEX(lmic_raw[],MATCH($A26,lmic_raw[[setting]:[setting]],0), MATCH(AA$1, lmic_raw[#Headers],0))=0, INDEX(regions[], MATCH($D26, regions[[setting]:[setting]],0), MATCH(AA$1, regions[#Headers],0)),INDEX(lmic_raw[],MATCH($A26,lmic_raw[[setting]:[setting]],0), MATCH(AA$1, lmic_raw[#Headers],0)))</f>
        <v>2.9347548055150017</v>
      </c>
      <c r="AB26" s="33">
        <f>IF(INDEX(lmic_raw[],MATCH($A26,lmic_raw[[setting]:[setting]],0), MATCH(AB$1, lmic_raw[#Headers],0))=0, INDEX(regions[], MATCH($D26, regions[[setting]:[setting]],0), MATCH(AB$1, regions[#Headers],0)),INDEX(lmic_raw[],MATCH($A26,lmic_raw[[setting]:[setting]],0), MATCH(AB$1, lmic_raw[#Headers],0)))</f>
        <v>3.5647548055150016</v>
      </c>
      <c r="AC26" s="33">
        <f>IF(INDEX(lmic_raw[],MATCH($A26,lmic_raw[[setting]:[setting]],0), MATCH(AC$1, lmic_raw[#Headers],0))=0, INDEX(regions[], MATCH($D26, regions[[setting]:[setting]],0), MATCH(AC$1, regions[#Headers],0)),INDEX(lmic_raw[],MATCH($A26,lmic_raw[[setting]:[setting]],0), MATCH(AC$1, lmic_raw[#Headers],0)))</f>
        <v>9.8941700000000129E-3</v>
      </c>
      <c r="AD26" s="33">
        <f>IF(INDEX(lmic_raw[],MATCH($A26,lmic_raw[[setting]:[setting]],0), MATCH(AD$1, lmic_raw[#Headers],0))=0, INDEX(regions[], MATCH($D26, regions[[setting]:[setting]],0), MATCH(AD$1, regions[#Headers],0)),INDEX(lmic_raw[],MATCH($A26,lmic_raw[[setting]:[setting]],0), MATCH(AD$1, lmic_raw[#Headers],0)))</f>
        <v>4.1349115174888618E-4</v>
      </c>
      <c r="AE26" s="33">
        <f>IF(INDEX(lmic_raw[],MATCH($A26,lmic_raw[[setting]:[setting]],0), MATCH(AE$1, lmic_raw[#Headers],0))=0, INDEX(regions[], MATCH($D26, regions[[setting]:[setting]],0), MATCH(AE$1, regions[#Headers],0)),INDEX(lmic_raw[],MATCH($A26,lmic_raw[[setting]:[setting]],0), MATCH(AE$1, lmic_raw[#Headers],0)))</f>
        <v>3.1192504790974275E-4</v>
      </c>
      <c r="AF26" s="33">
        <f>IF(INDEX(lmic_raw[],MATCH($A26,lmic_raw[[setting]:[setting]],0), MATCH(AF$1, lmic_raw[#Headers],0))=0, INDEX(regions[], MATCH($D26, regions[[setting]:[setting]],0), MATCH(AF$1, regions[#Headers],0)),INDEX(lmic_raw[],MATCH($A26,lmic_raw[[setting]:[setting]],0), MATCH(AF$1, lmic_raw[#Headers],0)))</f>
        <v>2.3281974802200089E-4</v>
      </c>
      <c r="AG26" s="33">
        <f>IF(INDEX(lmic_raw[],MATCH($A26,lmic_raw[[setting]:[setting]],0), MATCH(AG$1, lmic_raw[#Headers],0))=0, INDEX(regions[], MATCH($D26, regions[[setting]:[setting]],0), MATCH(AG$1, regions[#Headers],0)),INDEX(lmic_raw[],MATCH($A26,lmic_raw[[setting]:[setting]],0), MATCH(AG$1, lmic_raw[#Headers],0)))</f>
        <v>3.3838460396917025E-4</v>
      </c>
      <c r="AH26" s="33">
        <f>IF(INDEX(lmic_raw[],MATCH($A26,lmic_raw[[setting]:[setting]],0), MATCH(AH$1, lmic_raw[#Headers],0))=0, INDEX(regions[], MATCH($D26, regions[[setting]:[setting]],0), MATCH(AH$1, regions[#Headers],0)),INDEX(lmic_raw[],MATCH($A26,lmic_raw[[setting]:[setting]],0), MATCH(AH$1, lmic_raw[#Headers],0)))</f>
        <v>4.7513191743787025E-4</v>
      </c>
      <c r="AI26" s="33">
        <f>IF(INDEX(lmic_raw[],MATCH($A26,lmic_raw[[setting]:[setting]],0), MATCH(AI$1, lmic_raw[#Headers],0))=0, INDEX(regions[], MATCH($D26, regions[[setting]:[setting]],0), MATCH(AI$1, regions[#Headers],0)),INDEX(lmic_raw[],MATCH($A26,lmic_raw[[setting]:[setting]],0), MATCH(AI$1, lmic_raw[#Headers],0)))</f>
        <v>6.3559567612006638E-4</v>
      </c>
      <c r="AJ26" s="33">
        <f>IF(INDEX(lmic_raw[],MATCH($A26,lmic_raw[[setting]:[setting]],0), MATCH(AJ$1, lmic_raw[#Headers],0))=0, INDEX(regions[], MATCH($D26, regions[[setting]:[setting]],0), MATCH(AJ$1, regions[#Headers],0)),INDEX(lmic_raw[],MATCH($A26,lmic_raw[[setting]:[setting]],0), MATCH(AJ$1, lmic_raw[#Headers],0)))</f>
        <v>8.0382412585949207E-4</v>
      </c>
      <c r="AK26" s="33">
        <f>IF(INDEX(lmic_raw[],MATCH($A26,lmic_raw[[setting]:[setting]],0), MATCH(AK$1, lmic_raw[#Headers],0))=0, INDEX(regions[], MATCH($D26, regions[[setting]:[setting]],0), MATCH(AK$1, regions[#Headers],0)),INDEX(lmic_raw[],MATCH($A26,lmic_raw[[setting]:[setting]],0), MATCH(AK$1, lmic_raw[#Headers],0)))</f>
        <v>1.0182795635051796E-3</v>
      </c>
      <c r="AL26" s="33">
        <f>IF(INDEX(lmic_raw[],MATCH($A26,lmic_raw[[setting]:[setting]],0), MATCH(AL$1, lmic_raw[#Headers],0))=0, INDEX(regions[], MATCH($D26, regions[[setting]:[setting]],0), MATCH(AL$1, regions[#Headers],0)),INDEX(lmic_raw[],MATCH($A26,lmic_raw[[setting]:[setting]],0), MATCH(AL$1, lmic_raw[#Headers],0)))</f>
        <v>1.4416102180106471E-3</v>
      </c>
      <c r="AM26" s="33">
        <f>IF(INDEX(lmic_raw[],MATCH($A26,lmic_raw[[setting]:[setting]],0), MATCH(AM$1, lmic_raw[#Headers],0))=0, INDEX(regions[], MATCH($D26, regions[[setting]:[setting]],0), MATCH(AM$1, regions[#Headers],0)),INDEX(lmic_raw[],MATCH($A26,lmic_raw[[setting]:[setting]],0), MATCH(AM$1, lmic_raw[#Headers],0)))</f>
        <v>2.1173871312260202E-3</v>
      </c>
      <c r="AN26" s="33">
        <f>IF(INDEX(lmic_raw[],MATCH($A26,lmic_raw[[setting]:[setting]],0), MATCH(AN$1, lmic_raw[#Headers],0))=0, INDEX(regions[], MATCH($D26, regions[[setting]:[setting]],0), MATCH(AN$1, regions[#Headers],0)),INDEX(lmic_raw[],MATCH($A26,lmic_raw[[setting]:[setting]],0), MATCH(AN$1, lmic_raw[#Headers],0)))</f>
        <v>3.512568221798414E-3</v>
      </c>
      <c r="AO26" s="33">
        <f>IF(INDEX(lmic_raw[],MATCH($A26,lmic_raw[[setting]:[setting]],0), MATCH(AO$1, lmic_raw[#Headers],0))=0, INDEX(regions[], MATCH($D26, regions[[setting]:[setting]],0), MATCH(AO$1, regions[#Headers],0)),INDEX(lmic_raw[],MATCH($A26,lmic_raw[[setting]:[setting]],0), MATCH(AO$1, lmic_raw[#Headers],0)))</f>
        <v>5.8831350606262144E-3</v>
      </c>
      <c r="AP26" s="33">
        <f>IF(INDEX(lmic_raw[],MATCH($A26,lmic_raw[[setting]:[setting]],0), MATCH(AP$1, lmic_raw[#Headers],0))=0, INDEX(regions[], MATCH($D26, regions[[setting]:[setting]],0), MATCH(AP$1, regions[#Headers],0)),INDEX(lmic_raw[],MATCH($A26,lmic_raw[[setting]:[setting]],0), MATCH(AP$1, lmic_raw[#Headers],0)))</f>
        <v>1.0955642853977677E-2</v>
      </c>
      <c r="AQ26" s="33">
        <f>IF(INDEX(lmic_raw[],MATCH($A26,lmic_raw[[setting]:[setting]],0), MATCH(AQ$1, lmic_raw[#Headers],0))=0, INDEX(regions[], MATCH($D26, regions[[setting]:[setting]],0), MATCH(AQ$1, regions[#Headers],0)),INDEX(lmic_raw[],MATCH($A26,lmic_raw[[setting]:[setting]],0), MATCH(AQ$1, lmic_raw[#Headers],0)))</f>
        <v>1.943896708122141E-2</v>
      </c>
      <c r="AR26" s="33">
        <f>IF(INDEX(lmic_raw[],MATCH($A26,lmic_raw[[setting]:[setting]],0), MATCH(AR$1, lmic_raw[#Headers],0))=0, INDEX(regions[], MATCH($D26, regions[[setting]:[setting]],0), MATCH(AR$1, regions[#Headers],0)),INDEX(lmic_raw[],MATCH($A26,lmic_raw[[setting]:[setting]],0), MATCH(AR$1, lmic_raw[#Headers],0)))</f>
        <v>3.4256869399675968E-2</v>
      </c>
      <c r="AS26" s="33">
        <f>IF(INDEX(lmic_raw[],MATCH($A26,lmic_raw[[setting]:[setting]],0), MATCH(AS$1, lmic_raw[#Headers],0))=0, INDEX(regions[], MATCH($D26, regions[[setting]:[setting]],0), MATCH(AS$1, regions[#Headers],0)),INDEX(lmic_raw[],MATCH($A26,lmic_raw[[setting]:[setting]],0), MATCH(AS$1, lmic_raw[#Headers],0)))</f>
        <v>5.4431970137010864E-2</v>
      </c>
      <c r="AT26" s="33">
        <f>IF(INDEX(lmic_raw[],MATCH($A26,lmic_raw[[setting]:[setting]],0), MATCH(AT$1, lmic_raw[#Headers],0))=0, INDEX(regions[], MATCH($D26, regions[[setting]:[setting]],0), MATCH(AT$1, regions[#Headers],0)),INDEX(lmic_raw[],MATCH($A26,lmic_raw[[setting]:[setting]],0), MATCH(AT$1, lmic_raw[#Headers],0)))</f>
        <v>7.7417050050061387E-2</v>
      </c>
      <c r="AU26" s="33">
        <f>IF(INDEX(lmic_raw[],MATCH($A26,lmic_raw[[setting]:[setting]],0), MATCH(AU$1, lmic_raw[#Headers],0))=0, INDEX(regions[], MATCH($D26, regions[[setting]:[setting]],0), MATCH(AU$1, regions[#Headers],0)),INDEX(lmic_raw[],MATCH($A26,lmic_raw[[setting]:[setting]],0), MATCH(AU$1, lmic_raw[#Headers],0)))</f>
        <v>0.10718323055323137</v>
      </c>
      <c r="AV26" s="33">
        <f>IF(INDEX(lmic_raw[],MATCH($A26,lmic_raw[[setting]:[setting]],0), MATCH(AV$1, lmic_raw[#Headers],0))=0, INDEX(regions[], MATCH($D26, regions[[setting]:[setting]],0), MATCH(AV$1, regions[#Headers],0)),INDEX(lmic_raw[],MATCH($A26,lmic_raw[[setting]:[setting]],0), MATCH(AV$1, lmic_raw[#Headers],0)))</f>
        <v>0.13326657184885557</v>
      </c>
      <c r="AW26" s="33">
        <f>IF(INDEX(lmic_raw[],MATCH($A26,lmic_raw[[setting]:[setting]],0), MATCH(AW$1, lmic_raw[#Headers],0))=0, INDEX(regions[], MATCH($D26, regions[[setting]:[setting]],0), MATCH(AW$1, regions[#Headers],0)),INDEX(lmic_raw[],MATCH($A26,lmic_raw[[setting]:[setting]],0), MATCH(AW$1, lmic_raw[#Headers],0)))</f>
        <v>0.15465995088238757</v>
      </c>
      <c r="AX26" s="33">
        <f>IF(INDEX(lmic_raw[],MATCH($A26,lmic_raw[[setting]:[setting]],0), MATCH(AX$1, lmic_raw[#Headers],0))=0, INDEX(regions[], MATCH($D26, regions[[setting]:[setting]],0), MATCH(AX$1, regions[#Headers],0)),INDEX(lmic_raw[],MATCH($A26,lmic_raw[[setting]:[setting]],0), MATCH(AX$1, lmic_raw[#Headers],0)))</f>
        <v>76.623000000000005</v>
      </c>
      <c r="AY26" s="33" t="str">
        <f>IF(VLOOKUP($A26,lmic_raw[],11,FALSE)=0, "Yes", "No")</f>
        <v>No</v>
      </c>
    </row>
    <row r="27" spans="1:51" x14ac:dyDescent="0.25">
      <c r="A27" s="110" t="s">
        <v>266</v>
      </c>
      <c r="B27" s="104" t="s">
        <v>401</v>
      </c>
      <c r="C27" s="105">
        <v>170</v>
      </c>
      <c r="D27" s="84" t="s">
        <v>679</v>
      </c>
      <c r="E27" s="84" t="s">
        <v>604</v>
      </c>
      <c r="F27" s="84" t="s">
        <v>665</v>
      </c>
      <c r="G27" s="84" t="s">
        <v>676</v>
      </c>
      <c r="H27" s="33">
        <f>IF(INDEX(lmic_raw[],MATCH($A27,lmic_raw[[setting]:[setting]],0), MATCH(H$1, lmic_raw[#Headers],0))=0, INDEX(regions[], MATCH($D27, regions[[setting]:[setting]],0), MATCH(H$1, regions[#Headers],0)),INDEX(lmic_raw[],MATCH($A27,lmic_raw[[setting]:[setting]],0), MATCH(H$1, lmic_raw[#Headers],0)))</f>
        <v>50339443</v>
      </c>
      <c r="I27" s="33">
        <f>IF(INDEX(lmic_raw[],MATCH($A27,lmic_raw[[setting]:[setting]],0), MATCH(I$1, lmic_raw[#Headers],0))=0, INDEX(regions[], MATCH($D27, regions[[setting]:[setting]],0), MATCH(I$1, regions[#Headers],0)),INDEX(lmic_raw[],MATCH($A27,lmic_raw[[setting]:[setting]],0), MATCH(I$1, lmic_raw[#Headers],0)))</f>
        <v>756551.48884699994</v>
      </c>
      <c r="J27" s="33">
        <f>IF(INDEX(lmic_raw[],MATCH($A27,lmic_raw[[setting]:[setting]],0), MATCH(J$1, lmic_raw[#Headers],0))=0, INDEX(regions[], MATCH($D27, regions[[setting]:[setting]],0), MATCH(J$1, regions[#Headers],0)),INDEX(lmic_raw[],MATCH($A27,lmic_raw[[setting]:[setting]],0), MATCH(J$1, lmic_raw[#Headers],0)))</f>
        <v>0.99199999999999999</v>
      </c>
      <c r="K27" s="33">
        <f>IF(INDEX(lmic_raw[],MATCH($A27,lmic_raw[[setting]:[setting]],0), MATCH(K$1, lmic_raw[#Headers],0))=0, INDEX(regions[], MATCH($D27, regions[[setting]:[setting]],0), MATCH(K$1, regions[#Headers],0)),INDEX(lmic_raw[],MATCH($A27,lmic_raw[[setting]:[setting]],0), MATCH(K$1, lmic_raw[#Headers],0)))</f>
        <v>0.77</v>
      </c>
      <c r="L27" s="33">
        <f>IF(INDEX(lmic_raw[],MATCH($A27,lmic_raw[[setting]:[setting]],0), MATCH(L$1, lmic_raw[#Headers],0))=0, INDEX(regions[], MATCH($D27, regions[[setting]:[setting]],0), MATCH(L$1, regions[#Headers],0)),INDEX(lmic_raw[],MATCH($A27,lmic_raw[[setting]:[setting]],0), MATCH(L$1, lmic_raw[#Headers],0)))</f>
        <v>0.92</v>
      </c>
      <c r="M27" s="33">
        <f>IF(INDEX(lmic_raw[],MATCH($A27,lmic_raw[[setting]:[setting]],0), MATCH(M$1, lmic_raw[#Headers],0))=0, INDEX(regions[], MATCH($D27, regions[[setting]:[setting]],0), MATCH(M$1, regions[#Headers],0)),INDEX(lmic_raw[],MATCH($A27,lmic_raw[[setting]:[setting]],0), MATCH(M$1, lmic_raw[#Headers],0)))</f>
        <v>1.26E-2</v>
      </c>
      <c r="N27" s="33">
        <f>IF(INDEX(lmic_raw[],MATCH($A27,lmic_raw[[setting]:[setting]],0), MATCH(N$1, lmic_raw[#Headers],0))=0, INDEX(regions[], MATCH($D27, regions[[setting]:[setting]],0), MATCH(N$1, regions[#Headers],0)),INDEX(lmic_raw[],MATCH($A27,lmic_raw[[setting]:[setting]],0), MATCH(N$1, lmic_raw[#Headers],0)))</f>
        <v>0.31514724266997862</v>
      </c>
      <c r="O27" s="33">
        <f>IF(INDEX(lmic_raw[],MATCH($A27,lmic_raw[[setting]:[setting]],0), MATCH(O$1, lmic_raw[#Headers],0))=0, INDEX(regions[], MATCH($D27, regions[[setting]:[setting]],0), MATCH(O$1, regions[#Headers],0)),INDEX(lmic_raw[],MATCH($A27,lmic_raw[[setting]:[setting]],0), MATCH(O$1, lmic_raw[#Headers],0)))</f>
        <v>0.8</v>
      </c>
      <c r="P27" s="33">
        <f>IF(INDEX(lmic_raw[],MATCH($A27,lmic_raw[[setting]:[setting]],0), MATCH(P$1, lmic_raw[#Headers],0))=0, INDEX(regions[], MATCH($D27, regions[[setting]:[setting]],0), MATCH(P$1, regions[#Headers],0)),INDEX(lmic_raw[],MATCH($A27,lmic_raw[[setting]:[setting]],0), MATCH(P$1, lmic_raw[#Headers],0)))</f>
        <v>0.17499999999999999</v>
      </c>
      <c r="Q27" s="33">
        <f>IF(INDEX(lmic_raw[],MATCH($A27,lmic_raw[[setting]:[setting]],0), MATCH(Q$1, lmic_raw[#Headers],0))=0, INDEX(regions[], MATCH($D27, regions[[setting]:[setting]],0), MATCH(Q$1, regions[#Headers],0)),INDEX(lmic_raw[],MATCH($A27,lmic_raw[[setting]:[setting]],0), MATCH(Q$1, lmic_raw[#Headers],0)))</f>
        <v>18.978208196435485</v>
      </c>
      <c r="R27" s="33">
        <f>IF(INDEX(lmic_raw[],MATCH($A27,lmic_raw[[setting]:[setting]],0), MATCH(R$1, lmic_raw[#Headers],0))=0, INDEX(regions[], MATCH($D27, regions[[setting]:[setting]],0), MATCH(R$1, regions[#Headers],0)),INDEX(lmic_raw[],MATCH($A27,lmic_raw[[setting]:[setting]],0), MATCH(R$1, lmic_raw[#Headers],0)))</f>
        <v>86.883899999999997</v>
      </c>
      <c r="S27" s="33">
        <f>IF(INDEX(lmic_raw[],MATCH($A27,lmic_raw[[setting]:[setting]],0), MATCH(S$1, lmic_raw[#Headers],0))=0, INDEX(regions[], MATCH($D27, regions[[setting]:[setting]],0), MATCH(S$1, regions[#Headers],0)),INDEX(lmic_raw[],MATCH($A27,lmic_raw[[setting]:[setting]],0), MATCH(S$1, lmic_raw[#Headers],0)))</f>
        <v>134.6259</v>
      </c>
      <c r="T27" s="33">
        <f>IF(INDEX(lmic_raw[],MATCH($A27,lmic_raw[[setting]:[setting]],0), MATCH(T$1, lmic_raw[#Headers],0))=0, INDEX(regions[], MATCH($D27, regions[[setting]:[setting]],0), MATCH(T$1, regions[#Headers],0)),INDEX(lmic_raw[],MATCH($A27,lmic_raw[[setting]:[setting]],0), MATCH(T$1, lmic_raw[#Headers],0)))</f>
        <v>134.6259</v>
      </c>
      <c r="U27" s="33">
        <f>IF(INDEX(lmic_raw[],MATCH($A27,lmic_raw[[setting]:[setting]],0), MATCH(U$1, lmic_raw[#Headers],0))=0, INDEX(regions[], MATCH($D27, regions[[setting]:[setting]],0), MATCH(U$1, regions[#Headers],0)),INDEX(lmic_raw[],MATCH($A27,lmic_raw[[setting]:[setting]],0), MATCH(U$1, lmic_raw[#Headers],0)))</f>
        <v>134.6259</v>
      </c>
      <c r="V27" s="33">
        <f>IF(INDEX(lmic_raw[],MATCH($A27,lmic_raw[[setting]:[setting]],0), MATCH(V$1, lmic_raw[#Headers],0))=0, INDEX(regions[], MATCH($D27, regions[[setting]:[setting]],0), MATCH(V$1, regions[#Headers],0)),INDEX(lmic_raw[],MATCH($A27,lmic_raw[[setting]:[setting]],0), MATCH(V$1, lmic_raw[#Headers],0)))</f>
        <v>3.5688756697313115</v>
      </c>
      <c r="W27" s="33">
        <f>IF(INDEX(lmic_raw[],MATCH($A27,lmic_raw[[setting]:[setting]],0), MATCH(W$1, lmic_raw[#Headers],0))=0, INDEX(regions[], MATCH($D27, regions[[setting]:[setting]],0), MATCH(W$1, regions[#Headers],0)),INDEX(lmic_raw[],MATCH($A27,lmic_raw[[setting]:[setting]],0), MATCH(W$1, lmic_raw[#Headers],0)))</f>
        <v>3.5888756697313116</v>
      </c>
      <c r="X27" s="33">
        <f>IF(INDEX(lmic_raw[],MATCH($A27,lmic_raw[[setting]:[setting]],0), MATCH(X$1, lmic_raw[#Headers],0))=0, INDEX(regions[], MATCH($D27, regions[[setting]:[setting]],0), MATCH(X$1, regions[#Headers],0)),INDEX(lmic_raw[],MATCH($A27,lmic_raw[[setting]:[setting]],0), MATCH(X$1, lmic_raw[#Headers],0)))</f>
        <v>3.1295303584647955</v>
      </c>
      <c r="Y27" s="33">
        <f>IF(INDEX(lmic_raw[],MATCH($A27,lmic_raw[[setting]:[setting]],0), MATCH(Y$1, lmic_raw[#Headers],0))=0, INDEX(regions[], MATCH($D27, regions[[setting]:[setting]],0), MATCH(Y$1, regions[#Headers],0)),INDEX(lmic_raw[],MATCH($A27,lmic_raw[[setting]:[setting]],0), MATCH(Y$1, lmic_raw[#Headers],0)))</f>
        <v>3.1495303584647956</v>
      </c>
      <c r="Z27" s="33">
        <f>IF(INDEX(lmic_raw[],MATCH($A27,lmic_raw[[setting]:[setting]],0), MATCH(Z$1, lmic_raw[#Headers],0))=0, INDEX(regions[], MATCH($D27, regions[[setting]:[setting]],0), MATCH(Z$1, regions[#Headers],0)),INDEX(lmic_raw[],MATCH($A27,lmic_raw[[setting]:[setting]],0), MATCH(Z$1, lmic_raw[#Headers],0)))</f>
        <v>3.1404017470542596</v>
      </c>
      <c r="AA27" s="33">
        <f>IF(INDEX(lmic_raw[],MATCH($A27,lmic_raw[[setting]:[setting]],0), MATCH(AA$1, lmic_raw[#Headers],0))=0, INDEX(regions[], MATCH($D27, regions[[setting]:[setting]],0), MATCH(AA$1, regions[#Headers],0)),INDEX(lmic_raw[],MATCH($A27,lmic_raw[[setting]:[setting]],0), MATCH(AA$1, lmic_raw[#Headers],0)))</f>
        <v>3.8154703693762424</v>
      </c>
      <c r="AB27" s="33">
        <f>IF(INDEX(lmic_raw[],MATCH($A27,lmic_raw[[setting]:[setting]],0), MATCH(AB$1, lmic_raw[#Headers],0))=0, INDEX(regions[], MATCH($D27, regions[[setting]:[setting]],0), MATCH(AB$1, regions[#Headers],0)),INDEX(lmic_raw[],MATCH($A27,lmic_raw[[setting]:[setting]],0), MATCH(AB$1, lmic_raw[#Headers],0)))</f>
        <v>3.8354703693762424</v>
      </c>
      <c r="AC27" s="33">
        <f>IF(INDEX(lmic_raw[],MATCH($A27,lmic_raw[[setting]:[setting]],0), MATCH(AC$1, lmic_raw[#Headers],0))=0, INDEX(regions[], MATCH($D27, regions[[setting]:[setting]],0), MATCH(AC$1, regions[#Headers],0)),INDEX(lmic_raw[],MATCH($A27,lmic_raw[[setting]:[setting]],0), MATCH(AC$1, lmic_raw[#Headers],0)))</f>
        <v>1.2637350000000006E-2</v>
      </c>
      <c r="AD27" s="33">
        <f>IF(INDEX(lmic_raw[],MATCH($A27,lmic_raw[[setting]:[setting]],0), MATCH(AD$1, lmic_raw[#Headers],0))=0, INDEX(regions[], MATCH($D27, regions[[setting]:[setting]],0), MATCH(AD$1, regions[#Headers],0)),INDEX(lmic_raw[],MATCH($A27,lmic_raw[[setting]:[setting]],0), MATCH(AD$1, lmic_raw[#Headers],0)))</f>
        <v>5.3865213556538111E-4</v>
      </c>
      <c r="AE27" s="33">
        <f>IF(INDEX(lmic_raw[],MATCH($A27,lmic_raw[[setting]:[setting]],0), MATCH(AE$1, lmic_raw[#Headers],0))=0, INDEX(regions[], MATCH($D27, regions[[setting]:[setting]],0), MATCH(AE$1, regions[#Headers],0)),INDEX(lmic_raw[],MATCH($A27,lmic_raw[[setting]:[setting]],0), MATCH(AE$1, lmic_raw[#Headers],0)))</f>
        <v>4.0049114360269359E-4</v>
      </c>
      <c r="AF27" s="33">
        <f>IF(INDEX(lmic_raw[],MATCH($A27,lmic_raw[[setting]:[setting]],0), MATCH(AF$1, lmic_raw[#Headers],0))=0, INDEX(regions[], MATCH($D27, regions[[setting]:[setting]],0), MATCH(AF$1, regions[#Headers],0)),INDEX(lmic_raw[],MATCH($A27,lmic_raw[[setting]:[setting]],0), MATCH(AF$1, lmic_raw[#Headers],0)))</f>
        <v>3.6850387787640276E-4</v>
      </c>
      <c r="AG27" s="33">
        <f>IF(INDEX(lmic_raw[],MATCH($A27,lmic_raw[[setting]:[setting]],0), MATCH(AG$1, lmic_raw[#Headers],0))=0, INDEX(regions[], MATCH($D27, regions[[setting]:[setting]],0), MATCH(AG$1, regions[#Headers],0)),INDEX(lmic_raw[],MATCH($A27,lmic_raw[[setting]:[setting]],0), MATCH(AG$1, lmic_raw[#Headers],0)))</f>
        <v>9.3549477319647498E-4</v>
      </c>
      <c r="AH27" s="33">
        <f>IF(INDEX(lmic_raw[],MATCH($A27,lmic_raw[[setting]:[setting]],0), MATCH(AH$1, lmic_raw[#Headers],0))=0, INDEX(regions[], MATCH($D27, regions[[setting]:[setting]],0), MATCH(AH$1, regions[#Headers],0)),INDEX(lmic_raw[],MATCH($A27,lmic_raw[[setting]:[setting]],0), MATCH(AH$1, lmic_raw[#Headers],0)))</f>
        <v>1.7994247056837621E-3</v>
      </c>
      <c r="AI27" s="33">
        <f>IF(INDEX(lmic_raw[],MATCH($A27,lmic_raw[[setting]:[setting]],0), MATCH(AI$1, lmic_raw[#Headers],0))=0, INDEX(regions[], MATCH($D27, regions[[setting]:[setting]],0), MATCH(AI$1, regions[#Headers],0)),INDEX(lmic_raw[],MATCH($A27,lmic_raw[[setting]:[setting]],0), MATCH(AI$1, lmic_raw[#Headers],0)))</f>
        <v>1.864232983062206E-3</v>
      </c>
      <c r="AJ27" s="33">
        <f>IF(INDEX(lmic_raw[],MATCH($A27,lmic_raw[[setting]:[setting]],0), MATCH(AJ$1, lmic_raw[#Headers],0))=0, INDEX(regions[], MATCH($D27, regions[[setting]:[setting]],0), MATCH(AJ$1, regions[#Headers],0)),INDEX(lmic_raw[],MATCH($A27,lmic_raw[[setting]:[setting]],0), MATCH(AJ$1, lmic_raw[#Headers],0)))</f>
        <v>1.825573792480839E-3</v>
      </c>
      <c r="AK27" s="33">
        <f>IF(INDEX(lmic_raw[],MATCH($A27,lmic_raw[[setting]:[setting]],0), MATCH(AK$1, lmic_raw[#Headers],0))=0, INDEX(regions[], MATCH($D27, regions[[setting]:[setting]],0), MATCH(AK$1, regions[#Headers],0)),INDEX(lmic_raw[],MATCH($A27,lmic_raw[[setting]:[setting]],0), MATCH(AK$1, lmic_raw[#Headers],0)))</f>
        <v>1.9885352256190023E-3</v>
      </c>
      <c r="AL27" s="33">
        <f>IF(INDEX(lmic_raw[],MATCH($A27,lmic_raw[[setting]:[setting]],0), MATCH(AL$1, lmic_raw[#Headers],0))=0, INDEX(regions[], MATCH($D27, regions[[setting]:[setting]],0), MATCH(AL$1, regions[#Headers],0)),INDEX(lmic_raw[],MATCH($A27,lmic_raw[[setting]:[setting]],0), MATCH(AL$1, lmic_raw[#Headers],0)))</f>
        <v>2.2528131865802684E-3</v>
      </c>
      <c r="AM27" s="33">
        <f>IF(INDEX(lmic_raw[],MATCH($A27,lmic_raw[[setting]:[setting]],0), MATCH(AM$1, lmic_raw[#Headers],0))=0, INDEX(regions[], MATCH($D27, regions[[setting]:[setting]],0), MATCH(AM$1, regions[#Headers],0)),INDEX(lmic_raw[],MATCH($A27,lmic_raw[[setting]:[setting]],0), MATCH(AM$1, lmic_raw[#Headers],0)))</f>
        <v>2.8462647968053767E-3</v>
      </c>
      <c r="AN27" s="33">
        <f>IF(INDEX(lmic_raw[],MATCH($A27,lmic_raw[[setting]:[setting]],0), MATCH(AN$1, lmic_raw[#Headers],0))=0, INDEX(regions[], MATCH($D27, regions[[setting]:[setting]],0), MATCH(AN$1, regions[#Headers],0)),INDEX(lmic_raw[],MATCH($A27,lmic_raw[[setting]:[setting]],0), MATCH(AN$1, lmic_raw[#Headers],0)))</f>
        <v>4.3761225358191951E-3</v>
      </c>
      <c r="AO27" s="33">
        <f>IF(INDEX(lmic_raw[],MATCH($A27,lmic_raw[[setting]:[setting]],0), MATCH(AO$1, lmic_raw[#Headers],0))=0, INDEX(regions[], MATCH($D27, regions[[setting]:[setting]],0), MATCH(AO$1, regions[#Headers],0)),INDEX(lmic_raw[],MATCH($A27,lmic_raw[[setting]:[setting]],0), MATCH(AO$1, lmic_raw[#Headers],0)))</f>
        <v>6.5323439574352634E-3</v>
      </c>
      <c r="AP27" s="33">
        <f>IF(INDEX(lmic_raw[],MATCH($A27,lmic_raw[[setting]:[setting]],0), MATCH(AP$1, lmic_raw[#Headers],0))=0, INDEX(regions[], MATCH($D27, regions[[setting]:[setting]],0), MATCH(AP$1, regions[#Headers],0)),INDEX(lmic_raw[],MATCH($A27,lmic_raw[[setting]:[setting]],0), MATCH(AP$1, lmic_raw[#Headers],0)))</f>
        <v>1.0092265971036027E-2</v>
      </c>
      <c r="AQ27" s="33">
        <f>IF(INDEX(lmic_raw[],MATCH($A27,lmic_raw[[setting]:[setting]],0), MATCH(AQ$1, lmic_raw[#Headers],0))=0, INDEX(regions[], MATCH($D27, regions[[setting]:[setting]],0), MATCH(AQ$1, regions[#Headers],0)),INDEX(lmic_raw[],MATCH($A27,lmic_raw[[setting]:[setting]],0), MATCH(AQ$1, lmic_raw[#Headers],0)))</f>
        <v>1.559690302839245E-2</v>
      </c>
      <c r="AR27" s="33">
        <f>IF(INDEX(lmic_raw[],MATCH($A27,lmic_raw[[setting]:[setting]],0), MATCH(AR$1, lmic_raw[#Headers],0))=0, INDEX(regions[], MATCH($D27, regions[[setting]:[setting]],0), MATCH(AR$1, regions[#Headers],0)),INDEX(lmic_raw[],MATCH($A27,lmic_raw[[setting]:[setting]],0), MATCH(AR$1, lmic_raw[#Headers],0)))</f>
        <v>2.3838540259638542E-2</v>
      </c>
      <c r="AS27" s="33">
        <f>IF(INDEX(lmic_raw[],MATCH($A27,lmic_raw[[setting]:[setting]],0), MATCH(AS$1, lmic_raw[#Headers],0))=0, INDEX(regions[], MATCH($D27, regions[[setting]:[setting]],0), MATCH(AS$1, regions[#Headers],0)),INDEX(lmic_raw[],MATCH($A27,lmic_raw[[setting]:[setting]],0), MATCH(AS$1, lmic_raw[#Headers],0)))</f>
        <v>3.5819227461109215E-2</v>
      </c>
      <c r="AT27" s="33">
        <f>IF(INDEX(lmic_raw[],MATCH($A27,lmic_raw[[setting]:[setting]],0), MATCH(AT$1, lmic_raw[#Headers],0))=0, INDEX(regions[], MATCH($D27, regions[[setting]:[setting]],0), MATCH(AT$1, regions[#Headers],0)),INDEX(lmic_raw[],MATCH($A27,lmic_raw[[setting]:[setting]],0), MATCH(AT$1, lmic_raw[#Headers],0)))</f>
        <v>5.6040589677096839E-2</v>
      </c>
      <c r="AU27" s="33">
        <f>IF(INDEX(lmic_raw[],MATCH($A27,lmic_raw[[setting]:[setting]],0), MATCH(AU$1, lmic_raw[#Headers],0))=0, INDEX(regions[], MATCH($D27, regions[[setting]:[setting]],0), MATCH(AU$1, regions[#Headers],0)),INDEX(lmic_raw[],MATCH($A27,lmic_raw[[setting]:[setting]],0), MATCH(AU$1, lmic_raw[#Headers],0)))</f>
        <v>8.7598910727402585E-2</v>
      </c>
      <c r="AV27" s="33">
        <f>IF(INDEX(lmic_raw[],MATCH($A27,lmic_raw[[setting]:[setting]],0), MATCH(AV$1, lmic_raw[#Headers],0))=0, INDEX(regions[], MATCH($D27, regions[[setting]:[setting]],0), MATCH(AV$1, regions[#Headers],0)),INDEX(lmic_raw[],MATCH($A27,lmic_raw[[setting]:[setting]],0), MATCH(AV$1, lmic_raw[#Headers],0)))</f>
        <v>0.10396421786115767</v>
      </c>
      <c r="AW27" s="33">
        <f>IF(INDEX(lmic_raw[],MATCH($A27,lmic_raw[[setting]:[setting]],0), MATCH(AW$1, lmic_raw[#Headers],0))=0, INDEX(regions[], MATCH($D27, regions[[setting]:[setting]],0), MATCH(AW$1, regions[#Headers],0)),INDEX(lmic_raw[],MATCH($A27,lmic_raw[[setting]:[setting]],0), MATCH(AW$1, lmic_raw[#Headers],0)))</f>
        <v>0.15253600286363886</v>
      </c>
      <c r="AX27" s="33">
        <f>IF(INDEX(lmic_raw[],MATCH($A27,lmic_raw[[setting]:[setting]],0), MATCH(AX$1, lmic_raw[#Headers],0))=0, INDEX(regions[], MATCH($D27, regions[[setting]:[setting]],0), MATCH(AX$1, regions[#Headers],0)),INDEX(lmic_raw[],MATCH($A27,lmic_raw[[setting]:[setting]],0), MATCH(AX$1, lmic_raw[#Headers],0)))</f>
        <v>77.021000000000001</v>
      </c>
      <c r="AY27" s="33" t="str">
        <f>IF(VLOOKUP($A27,lmic_raw[],11,FALSE)=0, "Yes", "No")</f>
        <v>No</v>
      </c>
    </row>
    <row r="28" spans="1:51" x14ac:dyDescent="0.25">
      <c r="A28" s="109" t="s">
        <v>606</v>
      </c>
      <c r="B28" s="101" t="s">
        <v>402</v>
      </c>
      <c r="C28" s="102">
        <v>174</v>
      </c>
      <c r="D28" s="82" t="s">
        <v>677</v>
      </c>
      <c r="E28" s="82" t="s">
        <v>597</v>
      </c>
      <c r="F28" s="82" t="s">
        <v>667</v>
      </c>
      <c r="G28" s="82" t="s">
        <v>678</v>
      </c>
      <c r="H28" s="33">
        <f>IF(INDEX(lmic_raw[],MATCH($A28,lmic_raw[[setting]:[setting]],0), MATCH(H$1, lmic_raw[#Headers],0))=0, INDEX(regions[], MATCH($D28, regions[[setting]:[setting]],0), MATCH(H$1, regions[#Headers],0)),INDEX(lmic_raw[],MATCH($A28,lmic_raw[[setting]:[setting]],0), MATCH(H$1, lmic_raw[#Headers],0)))</f>
        <v>850891</v>
      </c>
      <c r="I28" s="33">
        <f>IF(INDEX(lmic_raw[],MATCH($A28,lmic_raw[[setting]:[setting]],0), MATCH(I$1, lmic_raw[#Headers],0))=0, INDEX(regions[], MATCH($D28, regions[[setting]:[setting]],0), MATCH(I$1, regions[#Headers],0)),INDEX(lmic_raw[],MATCH($A28,lmic_raw[[setting]:[setting]],0), MATCH(I$1, lmic_raw[#Headers],0)))</f>
        <v>27301.688625999999</v>
      </c>
      <c r="J28" s="33">
        <f>IF(INDEX(lmic_raw[],MATCH($A28,lmic_raw[[setting]:[setting]],0), MATCH(J$1, lmic_raw[#Headers],0))=0, INDEX(regions[], MATCH($D28, regions[[setting]:[setting]],0), MATCH(J$1, regions[#Headers],0)),INDEX(lmic_raw[],MATCH($A28,lmic_raw[[setting]:[setting]],0), MATCH(J$1, lmic_raw[#Headers],0)))</f>
        <v>0.7609999999999999</v>
      </c>
      <c r="K28" s="33">
        <f>IF(INDEX(lmic_raw[],MATCH($A28,lmic_raw[[setting]:[setting]],0), MATCH(K$1, lmic_raw[#Headers],0))=0, INDEX(regions[], MATCH($D28, regions[[setting]:[setting]],0), MATCH(K$1, regions[#Headers],0)),INDEX(lmic_raw[],MATCH($A28,lmic_raw[[setting]:[setting]],0), MATCH(K$1, lmic_raw[#Headers],0)))</f>
        <v>0.69252604416320784</v>
      </c>
      <c r="L28" s="33">
        <f>IF(INDEX(lmic_raw[],MATCH($A28,lmic_raw[[setting]:[setting]],0), MATCH(L$1, lmic_raw[#Headers],0))=0, INDEX(regions[], MATCH($D28, regions[[setting]:[setting]],0), MATCH(L$1, regions[#Headers],0)),INDEX(lmic_raw[],MATCH($A28,lmic_raw[[setting]:[setting]],0), MATCH(L$1, lmic_raw[#Headers],0)))</f>
        <v>0.91</v>
      </c>
      <c r="M28" s="33">
        <f>IF(INDEX(lmic_raw[],MATCH($A28,lmic_raw[[setting]:[setting]],0), MATCH(M$1, lmic_raw[#Headers],0))=0, INDEX(regions[], MATCH($D28, regions[[setting]:[setting]],0), MATCH(M$1, regions[#Headers],0)),INDEX(lmic_raw[],MATCH($A28,lmic_raw[[setting]:[setting]],0), MATCH(M$1, lmic_raw[#Headers],0)))</f>
        <v>4.3099999999999999E-2</v>
      </c>
      <c r="N28" s="33">
        <f>IF(INDEX(lmic_raw[],MATCH($A28,lmic_raw[[setting]:[setting]],0), MATCH(N$1, lmic_raw[#Headers],0))=0, INDEX(regions[], MATCH($D28, regions[[setting]:[setting]],0), MATCH(N$1, regions[#Headers],0)),INDEX(lmic_raw[],MATCH($A28,lmic_raw[[setting]:[setting]],0), MATCH(N$1, lmic_raw[#Headers],0)))</f>
        <v>0.27833288120198318</v>
      </c>
      <c r="O28" s="33">
        <f>IF(INDEX(lmic_raw[],MATCH($A28,lmic_raw[[setting]:[setting]],0), MATCH(O$1, lmic_raw[#Headers],0))=0, INDEX(regions[], MATCH($D28, regions[[setting]:[setting]],0), MATCH(O$1, regions[#Headers],0)),INDEX(lmic_raw[],MATCH($A28,lmic_raw[[setting]:[setting]],0), MATCH(O$1, lmic_raw[#Headers],0)))</f>
        <v>0.38300000000000001</v>
      </c>
      <c r="P28" s="33">
        <f>IF(INDEX(lmic_raw[],MATCH($A28,lmic_raw[[setting]:[setting]],0), MATCH(P$1, lmic_raw[#Headers],0))=0, INDEX(regions[], MATCH($D28, regions[[setting]:[setting]],0), MATCH(P$1, regions[#Headers],0)),INDEX(lmic_raw[],MATCH($A28,lmic_raw[[setting]:[setting]],0), MATCH(P$1, lmic_raw[#Headers],0)))</f>
        <v>4.8000000000000001E-2</v>
      </c>
      <c r="Q28" s="33">
        <f>IF(INDEX(lmic_raw[],MATCH($A28,lmic_raw[[setting]:[setting]],0), MATCH(Q$1, lmic_raw[#Headers],0))=0, INDEX(regions[], MATCH($D28, regions[[setting]:[setting]],0), MATCH(Q$1, regions[#Headers],0)),INDEX(lmic_raw[],MATCH($A28,lmic_raw[[setting]:[setting]],0), MATCH(Q$1, lmic_raw[#Headers],0)))</f>
        <v>3.2161095869836105</v>
      </c>
      <c r="R28" s="33">
        <f>IF(INDEX(lmic_raw[],MATCH($A28,lmic_raw[[setting]:[setting]],0), MATCH(R$1, lmic_raw[#Headers],0))=0, INDEX(regions[], MATCH($D28, regions[[setting]:[setting]],0), MATCH(R$1, regions[#Headers],0)),INDEX(lmic_raw[],MATCH($A28,lmic_raw[[setting]:[setting]],0), MATCH(R$1, lmic_raw[#Headers],0)))</f>
        <v>29.920500000000001</v>
      </c>
      <c r="S28" s="33">
        <f>IF(INDEX(lmic_raw[],MATCH($A28,lmic_raw[[setting]:[setting]],0), MATCH(S$1, lmic_raw[#Headers],0))=0, INDEX(regions[], MATCH($D28, regions[[setting]:[setting]],0), MATCH(S$1, regions[#Headers],0)),INDEX(lmic_raw[],MATCH($A28,lmic_raw[[setting]:[setting]],0), MATCH(S$1, lmic_raw[#Headers],0)))</f>
        <v>77.662500000000009</v>
      </c>
      <c r="T28" s="33">
        <f>IF(INDEX(lmic_raw[],MATCH($A28,lmic_raw[[setting]:[setting]],0), MATCH(T$1, lmic_raw[#Headers],0))=0, INDEX(regions[], MATCH($D28, regions[[setting]:[setting]],0), MATCH(T$1, regions[#Headers],0)),INDEX(lmic_raw[],MATCH($A28,lmic_raw[[setting]:[setting]],0), MATCH(T$1, lmic_raw[#Headers],0)))</f>
        <v>77.662500000000009</v>
      </c>
      <c r="U28" s="33">
        <f>IF(INDEX(lmic_raw[],MATCH($A28,lmic_raw[[setting]:[setting]],0), MATCH(U$1, lmic_raw[#Headers],0))=0, INDEX(regions[], MATCH($D28, regions[[setting]:[setting]],0), MATCH(U$1, regions[#Headers],0)),INDEX(lmic_raw[],MATCH($A28,lmic_raw[[setting]:[setting]],0), MATCH(U$1, lmic_raw[#Headers],0)))</f>
        <v>77.662500000000009</v>
      </c>
      <c r="V28" s="33">
        <f>IF(INDEX(lmic_raw[],MATCH($A28,lmic_raw[[setting]:[setting]],0), MATCH(V$1, lmic_raw[#Headers],0))=0, INDEX(regions[], MATCH($D28, regions[[setting]:[setting]],0), MATCH(V$1, regions[#Headers],0)),INDEX(lmic_raw[],MATCH($A28,lmic_raw[[setting]:[setting]],0), MATCH(V$1, lmic_raw[#Headers],0)))</f>
        <v>5.3257413390391548</v>
      </c>
      <c r="W28" s="33">
        <f>IF(INDEX(lmic_raw[],MATCH($A28,lmic_raw[[setting]:[setting]],0), MATCH(W$1, lmic_raw[#Headers],0))=0, INDEX(regions[], MATCH($D28, regions[[setting]:[setting]],0), MATCH(W$1, regions[#Headers],0)),INDEX(lmic_raw[],MATCH($A28,lmic_raw[[setting]:[setting]],0), MATCH(W$1, lmic_raw[#Headers],0)))</f>
        <v>10.155741339039155</v>
      </c>
      <c r="X28" s="33">
        <f>IF(INDEX(lmic_raw[],MATCH($A28,lmic_raw[[setting]:[setting]],0), MATCH(X$1, lmic_raw[#Headers],0))=0, INDEX(regions[], MATCH($D28, regions[[setting]:[setting]],0), MATCH(X$1, regions[#Headers],0)),INDEX(lmic_raw[],MATCH($A28,lmic_raw[[setting]:[setting]],0), MATCH(X$1, lmic_raw[#Headers],0)))</f>
        <v>4.8996858576462525</v>
      </c>
      <c r="Y28" s="33">
        <f>IF(INDEX(lmic_raw[],MATCH($A28,lmic_raw[[setting]:[setting]],0), MATCH(Y$1, lmic_raw[#Headers],0))=0, INDEX(regions[], MATCH($D28, regions[[setting]:[setting]],0), MATCH(Y$1, regions[#Headers],0)),INDEX(lmic_raw[],MATCH($A28,lmic_raw[[setting]:[setting]],0), MATCH(Y$1, lmic_raw[#Headers],0)))</f>
        <v>9.7296858576462526</v>
      </c>
      <c r="Z28" s="33">
        <f>IF(INDEX(lmic_raw[],MATCH($A28,lmic_raw[[setting]:[setting]],0), MATCH(Z$1, lmic_raw[#Headers],0))=0, INDEX(regions[], MATCH($D28, regions[[setting]:[setting]],0), MATCH(Z$1, regions[#Headers],0)),INDEX(lmic_raw[],MATCH($A28,lmic_raw[[setting]:[setting]],0), MATCH(Z$1, lmic_raw[#Headers],0)))</f>
        <v>9.7263567134708993</v>
      </c>
      <c r="AA28" s="33">
        <f>IF(INDEX(lmic_raw[],MATCH($A28,lmic_raw[[setting]:[setting]],0), MATCH(AA$1, lmic_raw[#Headers],0))=0, INDEX(regions[], MATCH($D28, regions[[setting]:[setting]],0), MATCH(AA$1, regions[#Headers],0)),INDEX(lmic_raw[],MATCH($A28,lmic_raw[[setting]:[setting]],0), MATCH(AA$1, lmic_raw[#Headers],0)))</f>
        <v>5.5675455186133638</v>
      </c>
      <c r="AB28" s="33">
        <f>IF(INDEX(lmic_raw[],MATCH($A28,lmic_raw[[setting]:[setting]],0), MATCH(AB$1, lmic_raw[#Headers],0))=0, INDEX(regions[], MATCH($D28, regions[[setting]:[setting]],0), MATCH(AB$1, regions[#Headers],0)),INDEX(lmic_raw[],MATCH($A28,lmic_raw[[setting]:[setting]],0), MATCH(AB$1, lmic_raw[#Headers],0)))</f>
        <v>10.397545518613363</v>
      </c>
      <c r="AC28" s="33">
        <f>IF(INDEX(lmic_raw[],MATCH($A28,lmic_raw[[setting]:[setting]],0), MATCH(AC$1, lmic_raw[#Headers],0))=0, INDEX(regions[], MATCH($D28, regions[[setting]:[setting]],0), MATCH(AC$1, regions[#Headers],0)),INDEX(lmic_raw[],MATCH($A28,lmic_raw[[setting]:[setting]],0), MATCH(AC$1, lmic_raw[#Headers],0)))</f>
        <v>5.3117580000000018E-2</v>
      </c>
      <c r="AD28" s="33">
        <f>IF(INDEX(lmic_raw[],MATCH($A28,lmic_raw[[setting]:[setting]],0), MATCH(AD$1, lmic_raw[#Headers],0))=0, INDEX(regions[], MATCH($D28, regions[[setting]:[setting]],0), MATCH(AD$1, regions[#Headers],0)),INDEX(lmic_raw[],MATCH($A28,lmic_raw[[setting]:[setting]],0), MATCH(AD$1, lmic_raw[#Headers],0)))</f>
        <v>4.4733246816431645E-3</v>
      </c>
      <c r="AE28" s="33">
        <f>IF(INDEX(lmic_raw[],MATCH($A28,lmic_raw[[setting]:[setting]],0), MATCH(AE$1, lmic_raw[#Headers],0))=0, INDEX(regions[], MATCH($D28, regions[[setting]:[setting]],0), MATCH(AE$1, regions[#Headers],0)),INDEX(lmic_raw[],MATCH($A28,lmic_raw[[setting]:[setting]],0), MATCH(AE$1, lmic_raw[#Headers],0)))</f>
        <v>1.367968458423591E-3</v>
      </c>
      <c r="AF28" s="33">
        <f>IF(INDEX(lmic_raw[],MATCH($A28,lmic_raw[[setting]:[setting]],0), MATCH(AF$1, lmic_raw[#Headers],0))=0, INDEX(regions[], MATCH($D28, regions[[setting]:[setting]],0), MATCH(AF$1, regions[#Headers],0)),INDEX(lmic_raw[],MATCH($A28,lmic_raw[[setting]:[setting]],0), MATCH(AF$1, lmic_raw[#Headers],0)))</f>
        <v>1.0731665348840088E-3</v>
      </c>
      <c r="AG28" s="33">
        <f>IF(INDEX(lmic_raw[],MATCH($A28,lmic_raw[[setting]:[setting]],0), MATCH(AG$1, lmic_raw[#Headers],0))=0, INDEX(regions[], MATCH($D28, regions[[setting]:[setting]],0), MATCH(AG$1, regions[#Headers],0)),INDEX(lmic_raw[],MATCH($A28,lmic_raw[[setting]:[setting]],0), MATCH(AG$1, lmic_raw[#Headers],0)))</f>
        <v>1.7216025774921843E-3</v>
      </c>
      <c r="AH28" s="33">
        <f>IF(INDEX(lmic_raw[],MATCH($A28,lmic_raw[[setting]:[setting]],0), MATCH(AH$1, lmic_raw[#Headers],0))=0, INDEX(regions[], MATCH($D28, regions[[setting]:[setting]],0), MATCH(AH$1, regions[#Headers],0)),INDEX(lmic_raw[],MATCH($A28,lmic_raw[[setting]:[setting]],0), MATCH(AH$1, lmic_raw[#Headers],0)))</f>
        <v>2.3973981604181061E-3</v>
      </c>
      <c r="AI28" s="33">
        <f>IF(INDEX(lmic_raw[],MATCH($A28,lmic_raw[[setting]:[setting]],0), MATCH(AI$1, lmic_raw[#Headers],0))=0, INDEX(regions[], MATCH($D28, regions[[setting]:[setting]],0), MATCH(AI$1, regions[#Headers],0)),INDEX(lmic_raw[],MATCH($A28,lmic_raw[[setting]:[setting]],0), MATCH(AI$1, lmic_raw[#Headers],0)))</f>
        <v>2.6139796347828515E-3</v>
      </c>
      <c r="AJ28" s="33">
        <f>IF(INDEX(lmic_raw[],MATCH($A28,lmic_raw[[setting]:[setting]],0), MATCH(AJ$1, lmic_raw[#Headers],0))=0, INDEX(regions[], MATCH($D28, regions[[setting]:[setting]],0), MATCH(AJ$1, regions[#Headers],0)),INDEX(lmic_raw[],MATCH($A28,lmic_raw[[setting]:[setting]],0), MATCH(AJ$1, lmic_raw[#Headers],0)))</f>
        <v>2.993883306561577E-3</v>
      </c>
      <c r="AK28" s="33">
        <f>IF(INDEX(lmic_raw[],MATCH($A28,lmic_raw[[setting]:[setting]],0), MATCH(AK$1, lmic_raw[#Headers],0))=0, INDEX(regions[], MATCH($D28, regions[[setting]:[setting]],0), MATCH(AK$1, regions[#Headers],0)),INDEX(lmic_raw[],MATCH($A28,lmic_raw[[setting]:[setting]],0), MATCH(AK$1, lmic_raw[#Headers],0)))</f>
        <v>3.6980277228157348E-3</v>
      </c>
      <c r="AL28" s="33">
        <f>IF(INDEX(lmic_raw[],MATCH($A28,lmic_raw[[setting]:[setting]],0), MATCH(AL$1, lmic_raw[#Headers],0))=0, INDEX(regions[], MATCH($D28, regions[[setting]:[setting]],0), MATCH(AL$1, regions[#Headers],0)),INDEX(lmic_raw[],MATCH($A28,lmic_raw[[setting]:[setting]],0), MATCH(AL$1, lmic_raw[#Headers],0)))</f>
        <v>4.8596002026809627E-3</v>
      </c>
      <c r="AM28" s="33">
        <f>IF(INDEX(lmic_raw[],MATCH($A28,lmic_raw[[setting]:[setting]],0), MATCH(AM$1, lmic_raw[#Headers],0))=0, INDEX(regions[], MATCH($D28, regions[[setting]:[setting]],0), MATCH(AM$1, regions[#Headers],0)),INDEX(lmic_raw[],MATCH($A28,lmic_raw[[setting]:[setting]],0), MATCH(AM$1, lmic_raw[#Headers],0)))</f>
        <v>6.7645265277408743E-3</v>
      </c>
      <c r="AN28" s="33">
        <f>IF(INDEX(lmic_raw[],MATCH($A28,lmic_raw[[setting]:[setting]],0), MATCH(AN$1, lmic_raw[#Headers],0))=0, INDEX(regions[], MATCH($D28, regions[[setting]:[setting]],0), MATCH(AN$1, regions[#Headers],0)),INDEX(lmic_raw[],MATCH($A28,lmic_raw[[setting]:[setting]],0), MATCH(AN$1, lmic_raw[#Headers],0)))</f>
        <v>9.8107215788994246E-3</v>
      </c>
      <c r="AO28" s="33">
        <f>IF(INDEX(lmic_raw[],MATCH($A28,lmic_raw[[setting]:[setting]],0), MATCH(AO$1, lmic_raw[#Headers],0))=0, INDEX(regions[], MATCH($D28, regions[[setting]:[setting]],0), MATCH(AO$1, regions[#Headers],0)),INDEX(lmic_raw[],MATCH($A28,lmic_raw[[setting]:[setting]],0), MATCH(AO$1, lmic_raw[#Headers],0)))</f>
        <v>1.4404631742828257E-2</v>
      </c>
      <c r="AP28" s="33">
        <f>IF(INDEX(lmic_raw[],MATCH($A28,lmic_raw[[setting]:[setting]],0), MATCH(AP$1, lmic_raw[#Headers],0))=0, INDEX(regions[], MATCH($D28, regions[[setting]:[setting]],0), MATCH(AP$1, regions[#Headers],0)),INDEX(lmic_raw[],MATCH($A28,lmic_raw[[setting]:[setting]],0), MATCH(AP$1, lmic_raw[#Headers],0)))</f>
        <v>2.1682562096455023E-2</v>
      </c>
      <c r="AQ28" s="33">
        <f>IF(INDEX(lmic_raw[],MATCH($A28,lmic_raw[[setting]:[setting]],0), MATCH(AQ$1, lmic_raw[#Headers],0))=0, INDEX(regions[], MATCH($D28, regions[[setting]:[setting]],0), MATCH(AQ$1, regions[#Headers],0)),INDEX(lmic_raw[],MATCH($A28,lmic_raw[[setting]:[setting]],0), MATCH(AQ$1, lmic_raw[#Headers],0)))</f>
        <v>3.2718619887808872E-2</v>
      </c>
      <c r="AR28" s="33">
        <f>IF(INDEX(lmic_raw[],MATCH($A28,lmic_raw[[setting]:[setting]],0), MATCH(AR$1, lmic_raw[#Headers],0))=0, INDEX(regions[], MATCH($D28, regions[[setting]:[setting]],0), MATCH(AR$1, regions[#Headers],0)),INDEX(lmic_raw[],MATCH($A28,lmic_raw[[setting]:[setting]],0), MATCH(AR$1, lmic_raw[#Headers],0)))</f>
        <v>4.9782045329479753E-2</v>
      </c>
      <c r="AS28" s="33">
        <f>IF(INDEX(lmic_raw[],MATCH($A28,lmic_raw[[setting]:[setting]],0), MATCH(AS$1, lmic_raw[#Headers],0))=0, INDEX(regions[], MATCH($D28, regions[[setting]:[setting]],0), MATCH(AS$1, regions[#Headers],0)),INDEX(lmic_raw[],MATCH($A28,lmic_raw[[setting]:[setting]],0), MATCH(AS$1, lmic_raw[#Headers],0)))</f>
        <v>7.3859408421804468E-2</v>
      </c>
      <c r="AT28" s="33">
        <f>IF(INDEX(lmic_raw[],MATCH($A28,lmic_raw[[setting]:[setting]],0), MATCH(AT$1, lmic_raw[#Headers],0))=0, INDEX(regions[], MATCH($D28, regions[[setting]:[setting]],0), MATCH(AT$1, regions[#Headers],0)),INDEX(lmic_raw[],MATCH($A28,lmic_raw[[setting]:[setting]],0), MATCH(AT$1, lmic_raw[#Headers],0)))</f>
        <v>0.10484703295475105</v>
      </c>
      <c r="AU28" s="33">
        <f>IF(INDEX(lmic_raw[],MATCH($A28,lmic_raw[[setting]:[setting]],0), MATCH(AU$1, lmic_raw[#Headers],0))=0, INDEX(regions[], MATCH($D28, regions[[setting]:[setting]],0), MATCH(AU$1, regions[#Headers],0)),INDEX(lmic_raw[],MATCH($A28,lmic_raw[[setting]:[setting]],0), MATCH(AU$1, lmic_raw[#Headers],0)))</f>
        <v>0.13712499271089665</v>
      </c>
      <c r="AV28" s="33">
        <f>IF(INDEX(lmic_raw[],MATCH($A28,lmic_raw[[setting]:[setting]],0), MATCH(AV$1, lmic_raw[#Headers],0))=0, INDEX(regions[], MATCH($D28, regions[[setting]:[setting]],0), MATCH(AV$1, regions[#Headers],0)),INDEX(lmic_raw[],MATCH($A28,lmic_raw[[setting]:[setting]],0), MATCH(AV$1, lmic_raw[#Headers],0)))</f>
        <v>0.16310819751122144</v>
      </c>
      <c r="AW28" s="33">
        <f>IF(INDEX(lmic_raw[],MATCH($A28,lmic_raw[[setting]:[setting]],0), MATCH(AW$1, lmic_raw[#Headers],0))=0, INDEX(regions[], MATCH($D28, regions[[setting]:[setting]],0), MATCH(AW$1, regions[#Headers],0)),INDEX(lmic_raw[],MATCH($A28,lmic_raw[[setting]:[setting]],0), MATCH(AW$1, lmic_raw[#Headers],0)))</f>
        <v>0.17969401756102807</v>
      </c>
      <c r="AX28" s="33">
        <f>IF(INDEX(lmic_raw[],MATCH($A28,lmic_raw[[setting]:[setting]],0), MATCH(AX$1, lmic_raw[#Headers],0))=0, INDEX(regions[], MATCH($D28, regions[[setting]:[setting]],0), MATCH(AX$1, regions[#Headers],0)),INDEX(lmic_raw[],MATCH($A28,lmic_raw[[setting]:[setting]],0), MATCH(AX$1, lmic_raw[#Headers],0)))</f>
        <v>63.982999999999997</v>
      </c>
      <c r="AY28" s="33" t="str">
        <f>IF(VLOOKUP($A28,lmic_raw[],11,FALSE)=0, "Yes", "No")</f>
        <v>Yes</v>
      </c>
    </row>
    <row r="29" spans="1:51" x14ac:dyDescent="0.25">
      <c r="A29" s="84" t="s">
        <v>611</v>
      </c>
      <c r="B29" s="104" t="s">
        <v>412</v>
      </c>
      <c r="C29" s="105">
        <v>180</v>
      </c>
      <c r="D29" s="84" t="s">
        <v>677</v>
      </c>
      <c r="E29" s="84" t="s">
        <v>582</v>
      </c>
      <c r="F29" s="84" t="s">
        <v>667</v>
      </c>
      <c r="G29" s="84" t="s">
        <v>674</v>
      </c>
      <c r="H29" s="33">
        <f>IF(INDEX(lmic_raw[],MATCH($A29,lmic_raw[[setting]:[setting]],0), MATCH(H$1, lmic_raw[#Headers],0))=0, INDEX(regions[], MATCH($D29, regions[[setting]:[setting]],0), MATCH(H$1, regions[#Headers],0)),INDEX(lmic_raw[],MATCH($A29,lmic_raw[[setting]:[setting]],0), MATCH(H$1, lmic_raw[#Headers],0)))</f>
        <v>86790568</v>
      </c>
      <c r="I29" s="33">
        <f>IF(INDEX(lmic_raw[],MATCH($A29,lmic_raw[[setting]:[setting]],0), MATCH(I$1, lmic_raw[#Headers],0))=0, INDEX(regions[], MATCH($D29, regions[[setting]:[setting]],0), MATCH(I$1, regions[#Headers],0)),INDEX(lmic_raw[],MATCH($A29,lmic_raw[[setting]:[setting]],0), MATCH(I$1, lmic_raw[#Headers],0)))</f>
        <v>3594691.7454240001</v>
      </c>
      <c r="J29" s="33">
        <f>IF(INDEX(lmic_raw[],MATCH($A29,lmic_raw[[setting]:[setting]],0), MATCH(J$1, lmic_raw[#Headers],0))=0, INDEX(regions[], MATCH($D29, regions[[setting]:[setting]],0), MATCH(J$1, regions[#Headers],0)),INDEX(lmic_raw[],MATCH($A29,lmic_raw[[setting]:[setting]],0), MATCH(J$1, lmic_raw[#Headers],0)))</f>
        <v>0.81499999999999995</v>
      </c>
      <c r="K29" s="33">
        <f>IF(INDEX(lmic_raw[],MATCH($A29,lmic_raw[[setting]:[setting]],0), MATCH(K$1, lmic_raw[#Headers],0))=0, INDEX(regions[], MATCH($D29, regions[[setting]:[setting]],0), MATCH(K$1, regions[#Headers],0)),INDEX(lmic_raw[],MATCH($A29,lmic_raw[[setting]:[setting]],0), MATCH(K$1, lmic_raw[#Headers],0)))</f>
        <v>0.69252604416320784</v>
      </c>
      <c r="L29" s="33">
        <f>IF(INDEX(lmic_raw[],MATCH($A29,lmic_raw[[setting]:[setting]],0), MATCH(L$1, lmic_raw[#Headers],0))=0, INDEX(regions[], MATCH($D29, regions[[setting]:[setting]],0), MATCH(L$1, regions[#Headers],0)),INDEX(lmic_raw[],MATCH($A29,lmic_raw[[setting]:[setting]],0), MATCH(L$1, lmic_raw[#Headers],0)))</f>
        <v>0.56999999999999995</v>
      </c>
      <c r="M29" s="33">
        <f>IF(INDEX(lmic_raw[],MATCH($A29,lmic_raw[[setting]:[setting]],0), MATCH(M$1, lmic_raw[#Headers],0))=0, INDEX(regions[], MATCH($D29, regions[[setting]:[setting]],0), MATCH(M$1, regions[#Headers],0)),INDEX(lmic_raw[],MATCH($A29,lmic_raw[[setting]:[setting]],0), MATCH(M$1, lmic_raw[#Headers],0)))</f>
        <v>3.15E-2</v>
      </c>
      <c r="N29" s="33">
        <f>IF(INDEX(lmic_raw[],MATCH($A29,lmic_raw[[setting]:[setting]],0), MATCH(N$1, lmic_raw[#Headers],0))=0, INDEX(regions[], MATCH($D29, regions[[setting]:[setting]],0), MATCH(N$1, regions[#Headers],0)),INDEX(lmic_raw[],MATCH($A29,lmic_raw[[setting]:[setting]],0), MATCH(N$1, lmic_raw[#Headers],0)))</f>
        <v>0.28784992441120982</v>
      </c>
      <c r="O29" s="33">
        <f>IF(INDEX(lmic_raw[],MATCH($A29,lmic_raw[[setting]:[setting]],0), MATCH(O$1, lmic_raw[#Headers],0))=0, INDEX(regions[], MATCH($D29, regions[[setting]:[setting]],0), MATCH(O$1, regions[#Headers],0)),INDEX(lmic_raw[],MATCH($A29,lmic_raw[[setting]:[setting]],0), MATCH(O$1, lmic_raw[#Headers],0)))</f>
        <v>0.38300000000000001</v>
      </c>
      <c r="P29" s="33">
        <f>IF(INDEX(lmic_raw[],MATCH($A29,lmic_raw[[setting]:[setting]],0), MATCH(P$1, lmic_raw[#Headers],0))=0, INDEX(regions[], MATCH($D29, regions[[setting]:[setting]],0), MATCH(P$1, regions[#Headers],0)),INDEX(lmic_raw[],MATCH($A29,lmic_raw[[setting]:[setting]],0), MATCH(P$1, lmic_raw[#Headers],0)))</f>
        <v>4.8000000000000001E-2</v>
      </c>
      <c r="Q29" s="33">
        <f>IF(INDEX(lmic_raw[],MATCH($A29,lmic_raw[[setting]:[setting]],0), MATCH(Q$1, lmic_raw[#Headers],0))=0, INDEX(regions[], MATCH($D29, regions[[setting]:[setting]],0), MATCH(Q$1, regions[#Headers],0)),INDEX(lmic_raw[],MATCH($A29,lmic_raw[[setting]:[setting]],0), MATCH(Q$1, lmic_raw[#Headers],0)))</f>
        <v>4.6578711530420058</v>
      </c>
      <c r="R29" s="33">
        <f>IF(INDEX(lmic_raw[],MATCH($A29,lmic_raw[[setting]:[setting]],0), MATCH(R$1, lmic_raw[#Headers],0))=0, INDEX(regions[], MATCH($D29, regions[[setting]:[setting]],0), MATCH(R$1, regions[#Headers],0)),INDEX(lmic_raw[],MATCH($A29,lmic_raw[[setting]:[setting]],0), MATCH(R$1, lmic_raw[#Headers],0)))</f>
        <v>29.920500000000001</v>
      </c>
      <c r="S29" s="33">
        <f>IF(INDEX(lmic_raw[],MATCH($A29,lmic_raw[[setting]:[setting]],0), MATCH(S$1, lmic_raw[#Headers],0))=0, INDEX(regions[], MATCH($D29, regions[[setting]:[setting]],0), MATCH(S$1, regions[#Headers],0)),INDEX(lmic_raw[],MATCH($A29,lmic_raw[[setting]:[setting]],0), MATCH(S$1, lmic_raw[#Headers],0)))</f>
        <v>77.662500000000009</v>
      </c>
      <c r="T29" s="33">
        <f>IF(INDEX(lmic_raw[],MATCH($A29,lmic_raw[[setting]:[setting]],0), MATCH(T$1, lmic_raw[#Headers],0))=0, INDEX(regions[], MATCH($D29, regions[[setting]:[setting]],0), MATCH(T$1, regions[#Headers],0)),INDEX(lmic_raw[],MATCH($A29,lmic_raw[[setting]:[setting]],0), MATCH(T$1, lmic_raw[#Headers],0)))</f>
        <v>77.662500000000009</v>
      </c>
      <c r="U29" s="33">
        <f>IF(INDEX(lmic_raw[],MATCH($A29,lmic_raw[[setting]:[setting]],0), MATCH(U$1, lmic_raw[#Headers],0))=0, INDEX(regions[], MATCH($D29, regions[[setting]:[setting]],0), MATCH(U$1, regions[#Headers],0)),INDEX(lmic_raw[],MATCH($A29,lmic_raw[[setting]:[setting]],0), MATCH(U$1, lmic_raw[#Headers],0)))</f>
        <v>77.662500000000009</v>
      </c>
      <c r="V29" s="33">
        <f>IF(INDEX(lmic_raw[],MATCH($A29,lmic_raw[[setting]:[setting]],0), MATCH(V$1, lmic_raw[#Headers],0))=0, INDEX(regions[], MATCH($D29, regions[[setting]:[setting]],0), MATCH(V$1, regions[#Headers],0)),INDEX(lmic_raw[],MATCH($A29,lmic_raw[[setting]:[setting]],0), MATCH(V$1, lmic_raw[#Headers],0)))</f>
        <v>1.4676423442866162</v>
      </c>
      <c r="W29" s="33">
        <f>IF(INDEX(lmic_raw[],MATCH($A29,lmic_raw[[setting]:[setting]],0), MATCH(W$1, lmic_raw[#Headers],0))=0, INDEX(regions[], MATCH($D29, regions[[setting]:[setting]],0), MATCH(W$1, regions[#Headers],0)),INDEX(lmic_raw[],MATCH($A29,lmic_raw[[setting]:[setting]],0), MATCH(W$1, lmic_raw[#Headers],0)))</f>
        <v>6.2976423442866167</v>
      </c>
      <c r="X29" s="33">
        <f>IF(INDEX(lmic_raw[],MATCH($A29,lmic_raw[[setting]:[setting]],0), MATCH(X$1, lmic_raw[#Headers],0))=0, INDEX(regions[], MATCH($D29, regions[[setting]:[setting]],0), MATCH(X$1, regions[#Headers],0)),INDEX(lmic_raw[],MATCH($A29,lmic_raw[[setting]:[setting]],0), MATCH(X$1, lmic_raw[#Headers],0)))</f>
        <v>1.0447184280092592</v>
      </c>
      <c r="Y29" s="33">
        <f>IF(INDEX(lmic_raw[],MATCH($A29,lmic_raw[[setting]:[setting]],0), MATCH(Y$1, lmic_raw[#Headers],0))=0, INDEX(regions[], MATCH($D29, regions[[setting]:[setting]],0), MATCH(Y$1, regions[#Headers],0)),INDEX(lmic_raw[],MATCH($A29,lmic_raw[[setting]:[setting]],0), MATCH(Y$1, lmic_raw[#Headers],0)))</f>
        <v>5.8747184280092597</v>
      </c>
      <c r="Z29" s="33">
        <f>IF(INDEX(lmic_raw[],MATCH($A29,lmic_raw[[setting]:[setting]],0), MATCH(Z$1, lmic_raw[#Headers],0))=0, INDEX(regions[], MATCH($D29, regions[[setting]:[setting]],0), MATCH(Z$1, regions[#Headers],0)),INDEX(lmic_raw[],MATCH($A29,lmic_raw[[setting]:[setting]],0), MATCH(Z$1, lmic_raw[#Headers],0)))</f>
        <v>5.8728199512345682</v>
      </c>
      <c r="AA29" s="33">
        <f>IF(INDEX(lmic_raw[],MATCH($A29,lmic_raw[[setting]:[setting]],0), MATCH(AA$1, lmic_raw[#Headers],0))=0, INDEX(regions[], MATCH($D29, regions[[setting]:[setting]],0), MATCH(AA$1, regions[#Headers],0)),INDEX(lmic_raw[],MATCH($A29,lmic_raw[[setting]:[setting]],0), MATCH(AA$1, lmic_raw[#Headers],0)))</f>
        <v>1.7083177038773147</v>
      </c>
      <c r="AB29" s="33">
        <f>IF(INDEX(lmic_raw[],MATCH($A29,lmic_raw[[setting]:[setting]],0), MATCH(AB$1, lmic_raw[#Headers],0))=0, INDEX(regions[], MATCH($D29, regions[[setting]:[setting]],0), MATCH(AB$1, regions[#Headers],0)),INDEX(lmic_raw[],MATCH($A29,lmic_raw[[setting]:[setting]],0), MATCH(AB$1, lmic_raw[#Headers],0)))</f>
        <v>6.5383177038773148</v>
      </c>
      <c r="AC29" s="33">
        <f>IF(INDEX(lmic_raw[],MATCH($A29,lmic_raw[[setting]:[setting]],0), MATCH(AC$1, lmic_raw[#Headers],0))=0, INDEX(regions[], MATCH($D29, regions[[setting]:[setting]],0), MATCH(AC$1, regions[#Headers],0)),INDEX(lmic_raw[],MATCH($A29,lmic_raw[[setting]:[setting]],0), MATCH(AC$1, lmic_raw[#Headers],0)))</f>
        <v>6.4932519999999938E-2</v>
      </c>
      <c r="AD29" s="33">
        <f>IF(INDEX(lmic_raw[],MATCH($A29,lmic_raw[[setting]:[setting]],0), MATCH(AD$1, lmic_raw[#Headers],0))=0, INDEX(regions[], MATCH($D29, regions[[setting]:[setting]],0), MATCH(AD$1, regions[#Headers],0)),INDEX(lmic_raw[],MATCH($A29,lmic_raw[[setting]:[setting]],0), MATCH(AD$1, lmic_raw[#Headers],0)))</f>
        <v>9.5056695801248679E-3</v>
      </c>
      <c r="AE29" s="33">
        <f>IF(INDEX(lmic_raw[],MATCH($A29,lmic_raw[[setting]:[setting]],0), MATCH(AE$1, lmic_raw[#Headers],0))=0, INDEX(regions[], MATCH($D29, regions[[setting]:[setting]],0), MATCH(AE$1, regions[#Headers],0)),INDEX(lmic_raw[],MATCH($A29,lmic_raw[[setting]:[setting]],0), MATCH(AE$1, lmic_raw[#Headers],0)))</f>
        <v>3.4410748447625044E-3</v>
      </c>
      <c r="AF29" s="33">
        <f>IF(INDEX(lmic_raw[],MATCH($A29,lmic_raw[[setting]:[setting]],0), MATCH(AF$1, lmic_raw[#Headers],0))=0, INDEX(regions[], MATCH($D29, regions[[setting]:[setting]],0), MATCH(AF$1, regions[#Headers],0)),INDEX(lmic_raw[],MATCH($A29,lmic_raw[[setting]:[setting]],0), MATCH(AF$1, lmic_raw[#Headers],0)))</f>
        <v>2.0330546256173577E-3</v>
      </c>
      <c r="AG29" s="33">
        <f>IF(INDEX(lmic_raw[],MATCH($A29,lmic_raw[[setting]:[setting]],0), MATCH(AG$1, lmic_raw[#Headers],0))=0, INDEX(regions[], MATCH($D29, regions[[setting]:[setting]],0), MATCH(AG$1, regions[#Headers],0)),INDEX(lmic_raw[],MATCH($A29,lmic_raw[[setting]:[setting]],0), MATCH(AG$1, lmic_raw[#Headers],0)))</f>
        <v>2.719773650616568E-3</v>
      </c>
      <c r="AH29" s="33">
        <f>IF(INDEX(lmic_raw[],MATCH($A29,lmic_raw[[setting]:[setting]],0), MATCH(AH$1, lmic_raw[#Headers],0))=0, INDEX(regions[], MATCH($D29, regions[[setting]:[setting]],0), MATCH(AH$1, regions[#Headers],0)),INDEX(lmic_raw[],MATCH($A29,lmic_raw[[setting]:[setting]],0), MATCH(AH$1, lmic_raw[#Headers],0)))</f>
        <v>3.6635580335150114E-3</v>
      </c>
      <c r="AI29" s="33">
        <f>IF(INDEX(lmic_raw[],MATCH($A29,lmic_raw[[setting]:[setting]],0), MATCH(AI$1, lmic_raw[#Headers],0))=0, INDEX(regions[], MATCH($D29, regions[[setting]:[setting]],0), MATCH(AI$1, regions[#Headers],0)),INDEX(lmic_raw[],MATCH($A29,lmic_raw[[setting]:[setting]],0), MATCH(AI$1, lmic_raw[#Headers],0)))</f>
        <v>4.0131964022377788E-3</v>
      </c>
      <c r="AJ29" s="33">
        <f>IF(INDEX(lmic_raw[],MATCH($A29,lmic_raw[[setting]:[setting]],0), MATCH(AJ$1, lmic_raw[#Headers],0))=0, INDEX(regions[], MATCH($D29, regions[[setting]:[setting]],0), MATCH(AJ$1, regions[#Headers],0)),INDEX(lmic_raw[],MATCH($A29,lmic_raw[[setting]:[setting]],0), MATCH(AJ$1, lmic_raw[#Headers],0)))</f>
        <v>4.4064621302765915E-3</v>
      </c>
      <c r="AK29" s="33">
        <f>IF(INDEX(lmic_raw[],MATCH($A29,lmic_raw[[setting]:[setting]],0), MATCH(AK$1, lmic_raw[#Headers],0))=0, INDEX(regions[], MATCH($D29, regions[[setting]:[setting]],0), MATCH(AK$1, regions[#Headers],0)),INDEX(lmic_raw[],MATCH($A29,lmic_raw[[setting]:[setting]],0), MATCH(AK$1, lmic_raw[#Headers],0)))</f>
        <v>4.9888338436428958E-3</v>
      </c>
      <c r="AL29" s="33">
        <f>IF(INDEX(lmic_raw[],MATCH($A29,lmic_raw[[setting]:[setting]],0), MATCH(AL$1, lmic_raw[#Headers],0))=0, INDEX(regions[], MATCH($D29, regions[[setting]:[setting]],0), MATCH(AL$1, regions[#Headers],0)),INDEX(lmic_raw[],MATCH($A29,lmic_raw[[setting]:[setting]],0), MATCH(AL$1, lmic_raw[#Headers],0)))</f>
        <v>6.1151343995977494E-3</v>
      </c>
      <c r="AM29" s="33">
        <f>IF(INDEX(lmic_raw[],MATCH($A29,lmic_raw[[setting]:[setting]],0), MATCH(AM$1, lmic_raw[#Headers],0))=0, INDEX(regions[], MATCH($D29, regions[[setting]:[setting]],0), MATCH(AM$1, regions[#Headers],0)),INDEX(lmic_raw[],MATCH($A29,lmic_raw[[setting]:[setting]],0), MATCH(AM$1, lmic_raw[#Headers],0)))</f>
        <v>7.3603030081988681E-3</v>
      </c>
      <c r="AN29" s="33">
        <f>IF(INDEX(lmic_raw[],MATCH($A29,lmic_raw[[setting]:[setting]],0), MATCH(AN$1, lmic_raw[#Headers],0))=0, INDEX(regions[], MATCH($D29, regions[[setting]:[setting]],0), MATCH(AN$1, regions[#Headers],0)),INDEX(lmic_raw[],MATCH($A29,lmic_raw[[setting]:[setting]],0), MATCH(AN$1, lmic_raw[#Headers],0)))</f>
        <v>1.0138900378272279E-2</v>
      </c>
      <c r="AO29" s="33">
        <f>IF(INDEX(lmic_raw[],MATCH($A29,lmic_raw[[setting]:[setting]],0), MATCH(AO$1, lmic_raw[#Headers],0))=0, INDEX(regions[], MATCH($D29, regions[[setting]:[setting]],0), MATCH(AO$1, regions[#Headers],0)),INDEX(lmic_raw[],MATCH($A29,lmic_raw[[setting]:[setting]],0), MATCH(AO$1, lmic_raw[#Headers],0)))</f>
        <v>1.344107868531209E-2</v>
      </c>
      <c r="AP29" s="33">
        <f>IF(INDEX(lmic_raw[],MATCH($A29,lmic_raw[[setting]:[setting]],0), MATCH(AP$1, lmic_raw[#Headers],0))=0, INDEX(regions[], MATCH($D29, regions[[setting]:[setting]],0), MATCH(AP$1, regions[#Headers],0)),INDEX(lmic_raw[],MATCH($A29,lmic_raw[[setting]:[setting]],0), MATCH(AP$1, lmic_raw[#Headers],0)))</f>
        <v>2.0035393681773542E-2</v>
      </c>
      <c r="AQ29" s="33">
        <f>IF(INDEX(lmic_raw[],MATCH($A29,lmic_raw[[setting]:[setting]],0), MATCH(AQ$1, lmic_raw[#Headers],0))=0, INDEX(regions[], MATCH($D29, regions[[setting]:[setting]],0), MATCH(AQ$1, regions[#Headers],0)),INDEX(lmic_raw[],MATCH($A29,lmic_raw[[setting]:[setting]],0), MATCH(AQ$1, lmic_raw[#Headers],0)))</f>
        <v>3.0375283369765884E-2</v>
      </c>
      <c r="AR29" s="33">
        <f>IF(INDEX(lmic_raw[],MATCH($A29,lmic_raw[[setting]:[setting]],0), MATCH(AR$1, lmic_raw[#Headers],0))=0, INDEX(regions[], MATCH($D29, regions[[setting]:[setting]],0), MATCH(AR$1, regions[#Headers],0)),INDEX(lmic_raw[],MATCH($A29,lmic_raw[[setting]:[setting]],0), MATCH(AR$1, lmic_raw[#Headers],0)))</f>
        <v>4.6352652330819422E-2</v>
      </c>
      <c r="AS29" s="33">
        <f>IF(INDEX(lmic_raw[],MATCH($A29,lmic_raw[[setting]:[setting]],0), MATCH(AS$1, lmic_raw[#Headers],0))=0, INDEX(regions[], MATCH($D29, regions[[setting]:[setting]],0), MATCH(AS$1, regions[#Headers],0)),INDEX(lmic_raw[],MATCH($A29,lmic_raw[[setting]:[setting]],0), MATCH(AS$1, lmic_raw[#Headers],0)))</f>
        <v>6.8917204664108972E-2</v>
      </c>
      <c r="AT29" s="33">
        <f>IF(INDEX(lmic_raw[],MATCH($A29,lmic_raw[[setting]:[setting]],0), MATCH(AT$1, lmic_raw[#Headers],0))=0, INDEX(regions[], MATCH($D29, regions[[setting]:[setting]],0), MATCH(AT$1, regions[#Headers],0)),INDEX(lmic_raw[],MATCH($A29,lmic_raw[[setting]:[setting]],0), MATCH(AT$1, lmic_raw[#Headers],0)))</f>
        <v>9.8668373818565164E-2</v>
      </c>
      <c r="AU29" s="33">
        <f>IF(INDEX(lmic_raw[],MATCH($A29,lmic_raw[[setting]:[setting]],0), MATCH(AU$1, lmic_raw[#Headers],0))=0, INDEX(regions[], MATCH($D29, regions[[setting]:[setting]],0), MATCH(AU$1, regions[#Headers],0)),INDEX(lmic_raw[],MATCH($A29,lmic_raw[[setting]:[setting]],0), MATCH(AU$1, lmic_raw[#Headers],0)))</f>
        <v>0.13067829451434507</v>
      </c>
      <c r="AV29" s="33">
        <f>IF(INDEX(lmic_raw[],MATCH($A29,lmic_raw[[setting]:[setting]],0), MATCH(AV$1, lmic_raw[#Headers],0))=0, INDEX(regions[], MATCH($D29, regions[[setting]:[setting]],0), MATCH(AV$1, regions[#Headers],0)),INDEX(lmic_raw[],MATCH($A29,lmic_raw[[setting]:[setting]],0), MATCH(AV$1, lmic_raw[#Headers],0)))</f>
        <v>0.15784700316171463</v>
      </c>
      <c r="AW29" s="33">
        <f>IF(INDEX(lmic_raw[],MATCH($A29,lmic_raw[[setting]:[setting]],0), MATCH(AW$1, lmic_raw[#Headers],0))=0, INDEX(regions[], MATCH($D29, regions[[setting]:[setting]],0), MATCH(AW$1, regions[#Headers],0)),INDEX(lmic_raw[],MATCH($A29,lmic_raw[[setting]:[setting]],0), MATCH(AW$1, lmic_raw[#Headers],0)))</f>
        <v>0.17666724177473303</v>
      </c>
      <c r="AX29" s="33">
        <f>IF(INDEX(lmic_raw[],MATCH($A29,lmic_raw[[setting]:[setting]],0), MATCH(AX$1, lmic_raw[#Headers],0))=0, INDEX(regions[], MATCH($D29, regions[[setting]:[setting]],0), MATCH(AX$1, regions[#Headers],0)),INDEX(lmic_raw[],MATCH($A29,lmic_raw[[setting]:[setting]],0), MATCH(AX$1, lmic_raw[#Headers],0)))</f>
        <v>60.210999999999999</v>
      </c>
      <c r="AY29" s="33" t="str">
        <f>IF(VLOOKUP($A29,lmic_raw[],11,FALSE)=0, "Yes", "No")</f>
        <v>Yes</v>
      </c>
    </row>
    <row r="30" spans="1:51" x14ac:dyDescent="0.25">
      <c r="A30" s="109" t="s">
        <v>607</v>
      </c>
      <c r="B30" s="101" t="s">
        <v>403</v>
      </c>
      <c r="C30" s="102">
        <v>178</v>
      </c>
      <c r="D30" s="82" t="s">
        <v>677</v>
      </c>
      <c r="E30" s="82" t="s">
        <v>582</v>
      </c>
      <c r="F30" s="82" t="s">
        <v>667</v>
      </c>
      <c r="G30" s="82" t="s">
        <v>678</v>
      </c>
      <c r="H30" s="33">
        <f>IF(INDEX(lmic_raw[],MATCH($A30,lmic_raw[[setting]:[setting]],0), MATCH(H$1, lmic_raw[#Headers],0))=0, INDEX(regions[], MATCH($D30, regions[[setting]:[setting]],0), MATCH(H$1, regions[#Headers],0)),INDEX(lmic_raw[],MATCH($A30,lmic_raw[[setting]:[setting]],0), MATCH(H$1, lmic_raw[#Headers],0)))</f>
        <v>5380504</v>
      </c>
      <c r="I30" s="33">
        <f>IF(INDEX(lmic_raw[],MATCH($A30,lmic_raw[[setting]:[setting]],0), MATCH(I$1, lmic_raw[#Headers],0))=0, INDEX(regions[], MATCH($D30, regions[[setting]:[setting]],0), MATCH(I$1, regions[#Headers],0)),INDEX(lmic_raw[],MATCH($A30,lmic_raw[[setting]:[setting]],0), MATCH(I$1, lmic_raw[#Headers],0)))</f>
        <v>177825.65719999999</v>
      </c>
      <c r="J30" s="33">
        <f>IF(INDEX(lmic_raw[],MATCH($A30,lmic_raw[[setting]:[setting]],0), MATCH(J$1, lmic_raw[#Headers],0))=0, INDEX(regions[], MATCH($D30, regions[[setting]:[setting]],0), MATCH(J$1, regions[#Headers],0)),INDEX(lmic_raw[],MATCH($A30,lmic_raw[[setting]:[setting]],0), MATCH(J$1, lmic_raw[#Headers],0)))</f>
        <v>0.91500000000000004</v>
      </c>
      <c r="K30" s="33">
        <f>IF(INDEX(lmic_raw[],MATCH($A30,lmic_raw[[setting]:[setting]],0), MATCH(K$1, lmic_raw[#Headers],0))=0, INDEX(regions[], MATCH($D30, regions[[setting]:[setting]],0), MATCH(K$1, regions[#Headers],0)),INDEX(lmic_raw[],MATCH($A30,lmic_raw[[setting]:[setting]],0), MATCH(K$1, lmic_raw[#Headers],0)))</f>
        <v>0.69252604416320784</v>
      </c>
      <c r="L30" s="33">
        <f>IF(INDEX(lmic_raw[],MATCH($A30,lmic_raw[[setting]:[setting]],0), MATCH(L$1, lmic_raw[#Headers],0))=0, INDEX(regions[], MATCH($D30, regions[[setting]:[setting]],0), MATCH(L$1, regions[#Headers],0)),INDEX(lmic_raw[],MATCH($A30,lmic_raw[[setting]:[setting]],0), MATCH(L$1, lmic_raw[#Headers],0)))</f>
        <v>0.79</v>
      </c>
      <c r="M30" s="33">
        <f>IF(INDEX(lmic_raw[],MATCH($A30,lmic_raw[[setting]:[setting]],0), MATCH(M$1, lmic_raw[#Headers],0))=0, INDEX(regions[], MATCH($D30, regions[[setting]:[setting]],0), MATCH(M$1, regions[#Headers],0)),INDEX(lmic_raw[],MATCH($A30,lmic_raw[[setting]:[setting]],0), MATCH(M$1, lmic_raw[#Headers],0)))</f>
        <v>9.5000000000000001E-2</v>
      </c>
      <c r="N30" s="33">
        <f>IF(INDEX(lmic_raw[],MATCH($A30,lmic_raw[[setting]:[setting]],0), MATCH(N$1, lmic_raw[#Headers],0))=0, INDEX(regions[], MATCH($D30, regions[[setting]:[setting]],0), MATCH(N$1, regions[#Headers],0)),INDEX(lmic_raw[],MATCH($A30,lmic_raw[[setting]:[setting]],0), MATCH(N$1, lmic_raw[#Headers],0)))</f>
        <v>0.28670054073476925</v>
      </c>
      <c r="O30" s="33">
        <f>IF(INDEX(lmic_raw[],MATCH($A30,lmic_raw[[setting]:[setting]],0), MATCH(O$1, lmic_raw[#Headers],0))=0, INDEX(regions[], MATCH($D30, regions[[setting]:[setting]],0), MATCH(O$1, regions[#Headers],0)),INDEX(lmic_raw[],MATCH($A30,lmic_raw[[setting]:[setting]],0), MATCH(O$1, lmic_raw[#Headers],0)))</f>
        <v>0.38300000000000001</v>
      </c>
      <c r="P30" s="33">
        <f>IF(INDEX(lmic_raw[],MATCH($A30,lmic_raw[[setting]:[setting]],0), MATCH(P$1, lmic_raw[#Headers],0))=0, INDEX(regions[], MATCH($D30, regions[[setting]:[setting]],0), MATCH(P$1, regions[#Headers],0)),INDEX(lmic_raw[],MATCH($A30,lmic_raw[[setting]:[setting]],0), MATCH(P$1, lmic_raw[#Headers],0)))</f>
        <v>4.8000000000000001E-2</v>
      </c>
      <c r="Q30" s="33">
        <f>IF(INDEX(lmic_raw[],MATCH($A30,lmic_raw[[setting]:[setting]],0), MATCH(Q$1, lmic_raw[#Headers],0))=0, INDEX(regions[], MATCH($D30, regions[[setting]:[setting]],0), MATCH(Q$1, regions[#Headers],0)),INDEX(lmic_raw[],MATCH($A30,lmic_raw[[setting]:[setting]],0), MATCH(Q$1, lmic_raw[#Headers],0)))</f>
        <v>5.9815982737323203</v>
      </c>
      <c r="R30" s="33">
        <f>IF(INDEX(lmic_raw[],MATCH($A30,lmic_raw[[setting]:[setting]],0), MATCH(R$1, lmic_raw[#Headers],0))=0, INDEX(regions[], MATCH($D30, regions[[setting]:[setting]],0), MATCH(R$1, regions[#Headers],0)),INDEX(lmic_raw[],MATCH($A30,lmic_raw[[setting]:[setting]],0), MATCH(R$1, lmic_raw[#Headers],0)))</f>
        <v>29.920500000000001</v>
      </c>
      <c r="S30" s="33">
        <f>IF(INDEX(lmic_raw[],MATCH($A30,lmic_raw[[setting]:[setting]],0), MATCH(S$1, lmic_raw[#Headers],0))=0, INDEX(regions[], MATCH($D30, regions[[setting]:[setting]],0), MATCH(S$1, regions[#Headers],0)),INDEX(lmic_raw[],MATCH($A30,lmic_raw[[setting]:[setting]],0), MATCH(S$1, lmic_raw[#Headers],0)))</f>
        <v>77.662500000000009</v>
      </c>
      <c r="T30" s="33">
        <f>IF(INDEX(lmic_raw[],MATCH($A30,lmic_raw[[setting]:[setting]],0), MATCH(T$1, lmic_raw[#Headers],0))=0, INDEX(regions[], MATCH($D30, regions[[setting]:[setting]],0), MATCH(T$1, regions[#Headers],0)),INDEX(lmic_raw[],MATCH($A30,lmic_raw[[setting]:[setting]],0), MATCH(T$1, lmic_raw[#Headers],0)))</f>
        <v>77.662500000000009</v>
      </c>
      <c r="U30" s="33">
        <f>IF(INDEX(lmic_raw[],MATCH($A30,lmic_raw[[setting]:[setting]],0), MATCH(U$1, lmic_raw[#Headers],0))=0, INDEX(regions[], MATCH($D30, regions[[setting]:[setting]],0), MATCH(U$1, regions[#Headers],0)),INDEX(lmic_raw[],MATCH($A30,lmic_raw[[setting]:[setting]],0), MATCH(U$1, lmic_raw[#Headers],0)))</f>
        <v>77.662500000000009</v>
      </c>
      <c r="V30" s="33">
        <f>IF(INDEX(lmic_raw[],MATCH($A30,lmic_raw[[setting]:[setting]],0), MATCH(V$1, lmic_raw[#Headers],0))=0, INDEX(regions[], MATCH($D30, regions[[setting]:[setting]],0), MATCH(V$1, regions[#Headers],0)),INDEX(lmic_raw[],MATCH($A30,lmic_raw[[setting]:[setting]],0), MATCH(V$1, lmic_raw[#Headers],0)))</f>
        <v>2.6162325275621559</v>
      </c>
      <c r="W30" s="33">
        <f>IF(INDEX(lmic_raw[],MATCH($A30,lmic_raw[[setting]:[setting]],0), MATCH(W$1, lmic_raw[#Headers],0))=0, INDEX(regions[], MATCH($D30, regions[[setting]:[setting]],0), MATCH(W$1, regions[#Headers],0)),INDEX(lmic_raw[],MATCH($A30,lmic_raw[[setting]:[setting]],0), MATCH(W$1, lmic_raw[#Headers],0)))</f>
        <v>7.4462325275621559</v>
      </c>
      <c r="X30" s="33">
        <f>IF(INDEX(lmic_raw[],MATCH($A30,lmic_raw[[setting]:[setting]],0), MATCH(X$1, lmic_raw[#Headers],0))=0, INDEX(regions[], MATCH($D30, regions[[setting]:[setting]],0), MATCH(X$1, regions[#Headers],0)),INDEX(lmic_raw[],MATCH($A30,lmic_raw[[setting]:[setting]],0), MATCH(X$1, lmic_raw[#Headers],0)))</f>
        <v>2.1850323411508703</v>
      </c>
      <c r="Y30" s="33">
        <f>IF(INDEX(lmic_raw[],MATCH($A30,lmic_raw[[setting]:[setting]],0), MATCH(Y$1, lmic_raw[#Headers],0))=0, INDEX(regions[], MATCH($D30, regions[[setting]:[setting]],0), MATCH(Y$1, regions[#Headers],0)),INDEX(lmic_raw[],MATCH($A30,lmic_raw[[setting]:[setting]],0), MATCH(Y$1, lmic_raw[#Headers],0)))</f>
        <v>7.0150323411508708</v>
      </c>
      <c r="Z30" s="33">
        <f>IF(INDEX(lmic_raw[],MATCH($A30,lmic_raw[[setting]:[setting]],0), MATCH(Z$1, lmic_raw[#Headers],0))=0, INDEX(regions[], MATCH($D30, regions[[setting]:[setting]],0), MATCH(Z$1, regions[#Headers],0)),INDEX(lmic_raw[],MATCH($A30,lmic_raw[[setting]:[setting]],0), MATCH(Z$1, lmic_raw[#Headers],0)))</f>
        <v>7.009717690885946</v>
      </c>
      <c r="AA30" s="33">
        <f>IF(INDEX(lmic_raw[],MATCH($A30,lmic_raw[[setting]:[setting]],0), MATCH(AA$1, lmic_raw[#Headers],0))=0, INDEX(regions[], MATCH($D30, regions[[setting]:[setting]],0), MATCH(AA$1, regions[#Headers],0)),INDEX(lmic_raw[],MATCH($A30,lmic_raw[[setting]:[setting]],0), MATCH(AA$1, lmic_raw[#Headers],0)))</f>
        <v>2.8598911938290383</v>
      </c>
      <c r="AB30" s="33">
        <f>IF(INDEX(lmic_raw[],MATCH($A30,lmic_raw[[setting]:[setting]],0), MATCH(AB$1, lmic_raw[#Headers],0))=0, INDEX(regions[], MATCH($D30, regions[[setting]:[setting]],0), MATCH(AB$1, regions[#Headers],0)),INDEX(lmic_raw[],MATCH($A30,lmic_raw[[setting]:[setting]],0), MATCH(AB$1, lmic_raw[#Headers],0)))</f>
        <v>7.6898911938290384</v>
      </c>
      <c r="AC30" s="33">
        <f>IF(INDEX(lmic_raw[],MATCH($A30,lmic_raw[[setting]:[setting]],0), MATCH(AC$1, lmic_raw[#Headers],0))=0, INDEX(regions[], MATCH($D30, regions[[setting]:[setting]],0), MATCH(AC$1, regions[#Headers],0)),INDEX(lmic_raw[],MATCH($A30,lmic_raw[[setting]:[setting]],0), MATCH(AC$1, lmic_raw[#Headers],0)))</f>
        <v>3.530600999999995E-2</v>
      </c>
      <c r="AD30" s="33">
        <f>IF(INDEX(lmic_raw[],MATCH($A30,lmic_raw[[setting]:[setting]],0), MATCH(AD$1, lmic_raw[#Headers],0))=0, INDEX(regions[], MATCH($D30, regions[[setting]:[setting]],0), MATCH(AD$1, regions[#Headers],0)),INDEX(lmic_raw[],MATCH($A30,lmic_raw[[setting]:[setting]],0), MATCH(AD$1, lmic_raw[#Headers],0)))</f>
        <v>3.1717311724933847E-3</v>
      </c>
      <c r="AE30" s="33">
        <f>IF(INDEX(lmic_raw[],MATCH($A30,lmic_raw[[setting]:[setting]],0), MATCH(AE$1, lmic_raw[#Headers],0))=0, INDEX(regions[], MATCH($D30, regions[[setting]:[setting]],0), MATCH(AE$1, regions[#Headers],0)),INDEX(lmic_raw[],MATCH($A30,lmic_raw[[setting]:[setting]],0), MATCH(AE$1, lmic_raw[#Headers],0)))</f>
        <v>1.3452772188216387E-3</v>
      </c>
      <c r="AF30" s="33">
        <f>IF(INDEX(lmic_raw[],MATCH($A30,lmic_raw[[setting]:[setting]],0), MATCH(AF$1, lmic_raw[#Headers],0))=0, INDEX(regions[], MATCH($D30, regions[[setting]:[setting]],0), MATCH(AF$1, regions[#Headers],0)),INDEX(lmic_raw[],MATCH($A30,lmic_raw[[setting]:[setting]],0), MATCH(AF$1, lmic_raw[#Headers],0)))</f>
        <v>9.9392376760084429E-4</v>
      </c>
      <c r="AG30" s="33">
        <f>IF(INDEX(lmic_raw[],MATCH($A30,lmic_raw[[setting]:[setting]],0), MATCH(AG$1, lmic_raw[#Headers],0))=0, INDEX(regions[], MATCH($D30, regions[[setting]:[setting]],0), MATCH(AG$1, regions[#Headers],0)),INDEX(lmic_raw[],MATCH($A30,lmic_raw[[setting]:[setting]],0), MATCH(AG$1, lmic_raw[#Headers],0)))</f>
        <v>1.6210963076301219E-3</v>
      </c>
      <c r="AH30" s="33">
        <f>IF(INDEX(lmic_raw[],MATCH($A30,lmic_raw[[setting]:[setting]],0), MATCH(AH$1, lmic_raw[#Headers],0))=0, INDEX(regions[], MATCH($D30, regions[[setting]:[setting]],0), MATCH(AH$1, regions[#Headers],0)),INDEX(lmic_raw[],MATCH($A30,lmic_raw[[setting]:[setting]],0), MATCH(AH$1, lmic_raw[#Headers],0)))</f>
        <v>2.5597781871428797E-3</v>
      </c>
      <c r="AI30" s="33">
        <f>IF(INDEX(lmic_raw[],MATCH($A30,lmic_raw[[setting]:[setting]],0), MATCH(AI$1, lmic_raw[#Headers],0))=0, INDEX(regions[], MATCH($D30, regions[[setting]:[setting]],0), MATCH(AI$1, regions[#Headers],0)),INDEX(lmic_raw[],MATCH($A30,lmic_raw[[setting]:[setting]],0), MATCH(AI$1, lmic_raw[#Headers],0)))</f>
        <v>3.44003463784692E-3</v>
      </c>
      <c r="AJ30" s="33">
        <f>IF(INDEX(lmic_raw[],MATCH($A30,lmic_raw[[setting]:[setting]],0), MATCH(AJ$1, lmic_raw[#Headers],0))=0, INDEX(regions[], MATCH($D30, regions[[setting]:[setting]],0), MATCH(AJ$1, regions[#Headers],0)),INDEX(lmic_raw[],MATCH($A30,lmic_raw[[setting]:[setting]],0), MATCH(AJ$1, lmic_raw[#Headers],0)))</f>
        <v>4.3737151618387328E-3</v>
      </c>
      <c r="AK30" s="33">
        <f>IF(INDEX(lmic_raw[],MATCH($A30,lmic_raw[[setting]:[setting]],0), MATCH(AK$1, lmic_raw[#Headers],0))=0, INDEX(regions[], MATCH($D30, regions[[setting]:[setting]],0), MATCH(AK$1, regions[#Headers],0)),INDEX(lmic_raw[],MATCH($A30,lmic_raw[[setting]:[setting]],0), MATCH(AK$1, lmic_raw[#Headers],0)))</f>
        <v>5.6764018575043334E-3</v>
      </c>
      <c r="AL30" s="33">
        <f>IF(INDEX(lmic_raw[],MATCH($A30,lmic_raw[[setting]:[setting]],0), MATCH(AL$1, lmic_raw[#Headers],0))=0, INDEX(regions[], MATCH($D30, regions[[setting]:[setting]],0), MATCH(AL$1, regions[#Headers],0)),INDEX(lmic_raw[],MATCH($A30,lmic_raw[[setting]:[setting]],0), MATCH(AL$1, lmic_raw[#Headers],0)))</f>
        <v>6.9930262268914824E-3</v>
      </c>
      <c r="AM30" s="33">
        <f>IF(INDEX(lmic_raw[],MATCH($A30,lmic_raw[[setting]:[setting]],0), MATCH(AM$1, lmic_raw[#Headers],0))=0, INDEX(regions[], MATCH($D30, regions[[setting]:[setting]],0), MATCH(AM$1, regions[#Headers],0)),INDEX(lmic_raw[],MATCH($A30,lmic_raw[[setting]:[setting]],0), MATCH(AM$1, lmic_raw[#Headers],0)))</f>
        <v>8.5974144782363215E-3</v>
      </c>
      <c r="AN30" s="33">
        <f>IF(INDEX(lmic_raw[],MATCH($A30,lmic_raw[[setting]:[setting]],0), MATCH(AN$1, lmic_raw[#Headers],0))=0, INDEX(regions[], MATCH($D30, regions[[setting]:[setting]],0), MATCH(AN$1, regions[#Headers],0)),INDEX(lmic_raw[],MATCH($A30,lmic_raw[[setting]:[setting]],0), MATCH(AN$1, lmic_raw[#Headers],0)))</f>
        <v>1.1451863433616953E-2</v>
      </c>
      <c r="AO30" s="33">
        <f>IF(INDEX(lmic_raw[],MATCH($A30,lmic_raw[[setting]:[setting]],0), MATCH(AO$1, lmic_raw[#Headers],0))=0, INDEX(regions[], MATCH($D30, regions[[setting]:[setting]],0), MATCH(AO$1, regions[#Headers],0)),INDEX(lmic_raw[],MATCH($A30,lmic_raw[[setting]:[setting]],0), MATCH(AO$1, lmic_raw[#Headers],0)))</f>
        <v>1.4818382230749182E-2</v>
      </c>
      <c r="AP30" s="33">
        <f>IF(INDEX(lmic_raw[],MATCH($A30,lmic_raw[[setting]:[setting]],0), MATCH(AP$1, lmic_raw[#Headers],0))=0, INDEX(regions[], MATCH($D30, regions[[setting]:[setting]],0), MATCH(AP$1, regions[#Headers],0)),INDEX(lmic_raw[],MATCH($A30,lmic_raw[[setting]:[setting]],0), MATCH(AP$1, lmic_raw[#Headers],0)))</f>
        <v>2.1302291206178454E-2</v>
      </c>
      <c r="AQ30" s="33">
        <f>IF(INDEX(lmic_raw[],MATCH($A30,lmic_raw[[setting]:[setting]],0), MATCH(AQ$1, lmic_raw[#Headers],0))=0, INDEX(regions[], MATCH($D30, regions[[setting]:[setting]],0), MATCH(AQ$1, regions[#Headers],0)),INDEX(lmic_raw[],MATCH($A30,lmic_raw[[setting]:[setting]],0), MATCH(AQ$1, lmic_raw[#Headers],0)))</f>
        <v>3.1865335079911378E-2</v>
      </c>
      <c r="AR30" s="33">
        <f>IF(INDEX(lmic_raw[],MATCH($A30,lmic_raw[[setting]:[setting]],0), MATCH(AR$1, lmic_raw[#Headers],0))=0, INDEX(regions[], MATCH($D30, regions[[setting]:[setting]],0), MATCH(AR$1, regions[#Headers],0)),INDEX(lmic_raw[],MATCH($A30,lmic_raw[[setting]:[setting]],0), MATCH(AR$1, lmic_raw[#Headers],0)))</f>
        <v>4.8549067683627468E-2</v>
      </c>
      <c r="AS30" s="33">
        <f>IF(INDEX(lmic_raw[],MATCH($A30,lmic_raw[[setting]:[setting]],0), MATCH(AS$1, lmic_raw[#Headers],0))=0, INDEX(regions[], MATCH($D30, regions[[setting]:[setting]],0), MATCH(AS$1, regions[#Headers],0)),INDEX(lmic_raw[],MATCH($A30,lmic_raw[[setting]:[setting]],0), MATCH(AS$1, lmic_raw[#Headers],0)))</f>
        <v>7.3367233525748185E-2</v>
      </c>
      <c r="AT30" s="33">
        <f>IF(INDEX(lmic_raw[],MATCH($A30,lmic_raw[[setting]:[setting]],0), MATCH(AT$1, lmic_raw[#Headers],0))=0, INDEX(regions[], MATCH($D30, regions[[setting]:[setting]],0), MATCH(AT$1, regions[#Headers],0)),INDEX(lmic_raw[],MATCH($A30,lmic_raw[[setting]:[setting]],0), MATCH(AT$1, lmic_raw[#Headers],0)))</f>
        <v>0.10931198128355135</v>
      </c>
      <c r="AU30" s="33">
        <f>IF(INDEX(lmic_raw[],MATCH($A30,lmic_raw[[setting]:[setting]],0), MATCH(AU$1, lmic_raw[#Headers],0))=0, INDEX(regions[], MATCH($D30, regions[[setting]:[setting]],0), MATCH(AU$1, regions[#Headers],0)),INDEX(lmic_raw[],MATCH($A30,lmic_raw[[setting]:[setting]],0), MATCH(AU$1, lmic_raw[#Headers],0)))</f>
        <v>0.15002151967875849</v>
      </c>
      <c r="AV30" s="33">
        <f>IF(INDEX(lmic_raw[],MATCH($A30,lmic_raw[[setting]:[setting]],0), MATCH(AV$1, lmic_raw[#Headers],0))=0, INDEX(regions[], MATCH($D30, regions[[setting]:[setting]],0), MATCH(AV$1, regions[#Headers],0)),INDEX(lmic_raw[],MATCH($A30,lmic_raw[[setting]:[setting]],0), MATCH(AV$1, lmic_raw[#Headers],0)))</f>
        <v>0.18105531460327798</v>
      </c>
      <c r="AW30" s="33">
        <f>IF(INDEX(lmic_raw[],MATCH($A30,lmic_raw[[setting]:[setting]],0), MATCH(AW$1, lmic_raw[#Headers],0))=0, INDEX(regions[], MATCH($D30, regions[[setting]:[setting]],0), MATCH(AW$1, regions[#Headers],0)),INDEX(lmic_raw[],MATCH($A30,lmic_raw[[setting]:[setting]],0), MATCH(AW$1, lmic_raw[#Headers],0)))</f>
        <v>0.18968310805025923</v>
      </c>
      <c r="AX30" s="33">
        <f>IF(INDEX(lmic_raw[],MATCH($A30,lmic_raw[[setting]:[setting]],0), MATCH(AX$1, lmic_raw[#Headers],0))=0, INDEX(regions[], MATCH($D30, regions[[setting]:[setting]],0), MATCH(AX$1, regions[#Headers],0)),INDEX(lmic_raw[],MATCH($A30,lmic_raw[[setting]:[setting]],0), MATCH(AX$1, lmic_raw[#Headers],0)))</f>
        <v>64.156999999999996</v>
      </c>
      <c r="AY30" s="33" t="str">
        <f>IF(VLOOKUP($A30,lmic_raw[],11,FALSE)=0, "Yes", "No")</f>
        <v>Yes</v>
      </c>
    </row>
    <row r="31" spans="1:51" x14ac:dyDescent="0.25">
      <c r="A31" s="110" t="s">
        <v>254</v>
      </c>
      <c r="B31" s="104" t="s">
        <v>405</v>
      </c>
      <c r="C31" s="105">
        <v>188</v>
      </c>
      <c r="D31" s="84" t="s">
        <v>679</v>
      </c>
      <c r="E31" s="84" t="s">
        <v>604</v>
      </c>
      <c r="F31" s="84" t="s">
        <v>665</v>
      </c>
      <c r="G31" s="84" t="s">
        <v>676</v>
      </c>
      <c r="H31" s="33">
        <f>IF(INDEX(lmic_raw[],MATCH($A31,lmic_raw[[setting]:[setting]],0), MATCH(H$1, lmic_raw[#Headers],0))=0, INDEX(regions[], MATCH($D31, regions[[setting]:[setting]],0), MATCH(H$1, regions[#Headers],0)),INDEX(lmic_raw[],MATCH($A31,lmic_raw[[setting]:[setting]],0), MATCH(H$1, lmic_raw[#Headers],0)))</f>
        <v>5047561</v>
      </c>
      <c r="I31" s="33">
        <f>IF(INDEX(lmic_raw[],MATCH($A31,lmic_raw[[setting]:[setting]],0), MATCH(I$1, lmic_raw[#Headers],0))=0, INDEX(regions[], MATCH($D31, regions[[setting]:[setting]],0), MATCH(I$1, regions[#Headers],0)),INDEX(lmic_raw[],MATCH($A31,lmic_raw[[setting]:[setting]],0), MATCH(I$1, lmic_raw[#Headers],0)))</f>
        <v>71226.133270999999</v>
      </c>
      <c r="J31" s="33">
        <f>IF(INDEX(lmic_raw[],MATCH($A31,lmic_raw[[setting]:[setting]],0), MATCH(J$1, lmic_raw[#Headers],0))=0, INDEX(regions[], MATCH($D31, regions[[setting]:[setting]],0), MATCH(J$1, regions[#Headers],0)),INDEX(lmic_raw[],MATCH($A31,lmic_raw[[setting]:[setting]],0), MATCH(J$1, lmic_raw[#Headers],0)))</f>
        <v>0.97799999999999998</v>
      </c>
      <c r="K31" s="33">
        <f>IF(INDEX(lmic_raw[],MATCH($A31,lmic_raw[[setting]:[setting]],0), MATCH(K$1, lmic_raw[#Headers],0))=0, INDEX(regions[], MATCH($D31, regions[[setting]:[setting]],0), MATCH(K$1, regions[#Headers],0)),INDEX(lmic_raw[],MATCH($A31,lmic_raw[[setting]:[setting]],0), MATCH(K$1, lmic_raw[#Headers],0)))</f>
        <v>0.87</v>
      </c>
      <c r="L31" s="33">
        <f>IF(INDEX(lmic_raw[],MATCH($A31,lmic_raw[[setting]:[setting]],0), MATCH(L$1, lmic_raw[#Headers],0))=0, INDEX(regions[], MATCH($D31, regions[[setting]:[setting]],0), MATCH(L$1, regions[#Headers],0)),INDEX(lmic_raw[],MATCH($A31,lmic_raw[[setting]:[setting]],0), MATCH(L$1, lmic_raw[#Headers],0)))</f>
        <v>0.98</v>
      </c>
      <c r="M31" s="33">
        <f>IF(INDEX(lmic_raw[],MATCH($A31,lmic_raw[[setting]:[setting]],0), MATCH(M$1, lmic_raw[#Headers],0))=0, INDEX(regions[], MATCH($D31, regions[[setting]:[setting]],0), MATCH(M$1, regions[#Headers],0)),INDEX(lmic_raw[],MATCH($A31,lmic_raw[[setting]:[setting]],0), MATCH(M$1, lmic_raw[#Headers],0)))</f>
        <v>1.1899999999999999E-2</v>
      </c>
      <c r="N31" s="33">
        <f>IF(INDEX(lmic_raw[],MATCH($A31,lmic_raw[[setting]:[setting]],0), MATCH(N$1, lmic_raw[#Headers],0))=0, INDEX(regions[], MATCH($D31, regions[[setting]:[setting]],0), MATCH(N$1, regions[#Headers],0)),INDEX(lmic_raw[],MATCH($A31,lmic_raw[[setting]:[setting]],0), MATCH(N$1, lmic_raw[#Headers],0)))</f>
        <v>0.30752866335744444</v>
      </c>
      <c r="O31" s="33">
        <f>IF(INDEX(lmic_raw[],MATCH($A31,lmic_raw[[setting]:[setting]],0), MATCH(O$1, lmic_raw[#Headers],0))=0, INDEX(regions[], MATCH($D31, regions[[setting]:[setting]],0), MATCH(O$1, regions[#Headers],0)),INDEX(lmic_raw[],MATCH($A31,lmic_raw[[setting]:[setting]],0), MATCH(O$1, lmic_raw[#Headers],0)))</f>
        <v>0.8</v>
      </c>
      <c r="P31" s="33">
        <f>IF(INDEX(lmic_raw[],MATCH($A31,lmic_raw[[setting]:[setting]],0), MATCH(P$1, lmic_raw[#Headers],0))=0, INDEX(regions[], MATCH($D31, regions[[setting]:[setting]],0), MATCH(P$1, regions[#Headers],0)),INDEX(lmic_raw[],MATCH($A31,lmic_raw[[setting]:[setting]],0), MATCH(P$1, lmic_raw[#Headers],0)))</f>
        <v>0.17499999999999999</v>
      </c>
      <c r="Q31" s="33">
        <f>IF(INDEX(lmic_raw[],MATCH($A31,lmic_raw[[setting]:[setting]],0), MATCH(Q$1, lmic_raw[#Headers],0))=0, INDEX(regions[], MATCH($D31, regions[[setting]:[setting]],0), MATCH(Q$1, regions[#Headers],0)),INDEX(lmic_raw[],MATCH($A31,lmic_raw[[setting]:[setting]],0), MATCH(Q$1, lmic_raw[#Headers],0)))</f>
        <v>13.921992829246857</v>
      </c>
      <c r="R31" s="33">
        <f>IF(INDEX(lmic_raw[],MATCH($A31,lmic_raw[[setting]:[setting]],0), MATCH(R$1, lmic_raw[#Headers],0))=0, INDEX(regions[], MATCH($D31, regions[[setting]:[setting]],0), MATCH(R$1, regions[#Headers],0)),INDEX(lmic_raw[],MATCH($A31,lmic_raw[[setting]:[setting]],0), MATCH(R$1, lmic_raw[#Headers],0)))</f>
        <v>86.883899999999997</v>
      </c>
      <c r="S31" s="33">
        <f>IF(INDEX(lmic_raw[],MATCH($A31,lmic_raw[[setting]:[setting]],0), MATCH(S$1, lmic_raw[#Headers],0))=0, INDEX(regions[], MATCH($D31, regions[[setting]:[setting]],0), MATCH(S$1, regions[#Headers],0)),INDEX(lmic_raw[],MATCH($A31,lmic_raw[[setting]:[setting]],0), MATCH(S$1, lmic_raw[#Headers],0)))</f>
        <v>134.6259</v>
      </c>
      <c r="T31" s="33">
        <f>IF(INDEX(lmic_raw[],MATCH($A31,lmic_raw[[setting]:[setting]],0), MATCH(T$1, lmic_raw[#Headers],0))=0, INDEX(regions[], MATCH($D31, regions[[setting]:[setting]],0), MATCH(T$1, regions[#Headers],0)),INDEX(lmic_raw[],MATCH($A31,lmic_raw[[setting]:[setting]],0), MATCH(T$1, lmic_raw[#Headers],0)))</f>
        <v>134.6259</v>
      </c>
      <c r="U31" s="33">
        <f>IF(INDEX(lmic_raw[],MATCH($A31,lmic_raw[[setting]:[setting]],0), MATCH(U$1, lmic_raw[#Headers],0))=0, INDEX(regions[], MATCH($D31, regions[[setting]:[setting]],0), MATCH(U$1, regions[#Headers],0)),INDEX(lmic_raw[],MATCH($A31,lmic_raw[[setting]:[setting]],0), MATCH(U$1, lmic_raw[#Headers],0)))</f>
        <v>134.6259</v>
      </c>
      <c r="V31" s="33">
        <f>IF(INDEX(lmic_raw[],MATCH($A31,lmic_raw[[setting]:[setting]],0), MATCH(V$1, lmic_raw[#Headers],0))=0, INDEX(regions[], MATCH($D31, regions[[setting]:[setting]],0), MATCH(V$1, regions[#Headers],0)),INDEX(lmic_raw[],MATCH($A31,lmic_raw[[setting]:[setting]],0), MATCH(V$1, lmic_raw[#Headers],0)))</f>
        <v>6.909186637004411</v>
      </c>
      <c r="W31" s="33">
        <f>IF(INDEX(lmic_raw[],MATCH($A31,lmic_raw[[setting]:[setting]],0), MATCH(W$1, lmic_raw[#Headers],0))=0, INDEX(regions[], MATCH($D31, regions[[setting]:[setting]],0), MATCH(W$1, regions[#Headers],0)),INDEX(lmic_raw[],MATCH($A31,lmic_raw[[setting]:[setting]],0), MATCH(W$1, lmic_raw[#Headers],0)))</f>
        <v>6.9291866370044106</v>
      </c>
      <c r="X31" s="33">
        <f>IF(INDEX(lmic_raw[],MATCH($A31,lmic_raw[[setting]:[setting]],0), MATCH(X$1, lmic_raw[#Headers],0))=0, INDEX(regions[], MATCH($D31, regions[[setting]:[setting]],0), MATCH(X$1, regions[#Headers],0)),INDEX(lmic_raw[],MATCH($A31,lmic_raw[[setting]:[setting]],0), MATCH(X$1, lmic_raw[#Headers],0)))</f>
        <v>6.4517861208892127</v>
      </c>
      <c r="Y31" s="33">
        <f>IF(INDEX(lmic_raw[],MATCH($A31,lmic_raw[[setting]:[setting]],0), MATCH(Y$1, lmic_raw[#Headers],0))=0, INDEX(regions[], MATCH($D31, regions[[setting]:[setting]],0), MATCH(Y$1, regions[#Headers],0)),INDEX(lmic_raw[],MATCH($A31,lmic_raw[[setting]:[setting]],0), MATCH(Y$1, lmic_raw[#Headers],0)))</f>
        <v>6.4717861208892122</v>
      </c>
      <c r="Z31" s="33">
        <f>IF(INDEX(lmic_raw[],MATCH($A31,lmic_raw[[setting]:[setting]],0), MATCH(Z$1, lmic_raw[#Headers],0))=0, INDEX(regions[], MATCH($D31, regions[[setting]:[setting]],0), MATCH(Z$1, regions[#Headers],0)),INDEX(lmic_raw[],MATCH($A31,lmic_raw[[setting]:[setting]],0), MATCH(Z$1, lmic_raw[#Headers],0)))</f>
        <v>6.4555680334716667</v>
      </c>
      <c r="AA31" s="33">
        <f>IF(INDEX(lmic_raw[],MATCH($A31,lmic_raw[[setting]:[setting]],0), MATCH(AA$1, lmic_raw[#Headers],0))=0, INDEX(regions[], MATCH($D31, regions[[setting]:[setting]],0), MATCH(AA$1, regions[#Headers],0)),INDEX(lmic_raw[],MATCH($A31,lmic_raw[[setting]:[setting]],0), MATCH(AA$1, lmic_raw[#Headers],0)))</f>
        <v>7.1622896081645635</v>
      </c>
      <c r="AB31" s="33">
        <f>IF(INDEX(lmic_raw[],MATCH($A31,lmic_raw[[setting]:[setting]],0), MATCH(AB$1, lmic_raw[#Headers],0))=0, INDEX(regions[], MATCH($D31, regions[[setting]:[setting]],0), MATCH(AB$1, regions[#Headers],0)),INDEX(lmic_raw[],MATCH($A31,lmic_raw[[setting]:[setting]],0), MATCH(AB$1, lmic_raw[#Headers],0)))</f>
        <v>7.1822896081645631</v>
      </c>
      <c r="AC31" s="33">
        <f>IF(INDEX(lmic_raw[],MATCH($A31,lmic_raw[[setting]:[setting]],0), MATCH(AC$1, lmic_raw[#Headers],0))=0, INDEX(regions[], MATCH($D31, regions[[setting]:[setting]],0), MATCH(AC$1, regions[#Headers],0)),INDEX(lmic_raw[],MATCH($A31,lmic_raw[[setting]:[setting]],0), MATCH(AC$1, lmic_raw[#Headers],0)))</f>
        <v>7.3181299999999462E-3</v>
      </c>
      <c r="AD31" s="33">
        <f>IF(INDEX(lmic_raw[],MATCH($A31,lmic_raw[[setting]:[setting]],0), MATCH(AD$1, lmic_raw[#Headers],0))=0, INDEX(regions[], MATCH($D31, regions[[setting]:[setting]],0), MATCH(AD$1, regions[#Headers],0)),INDEX(lmic_raw[],MATCH($A31,lmic_raw[[setting]:[setting]],0), MATCH(AD$1, lmic_raw[#Headers],0)))</f>
        <v>4.6142426273991451E-4</v>
      </c>
      <c r="AE31" s="33">
        <f>IF(INDEX(lmic_raw[],MATCH($A31,lmic_raw[[setting]:[setting]],0), MATCH(AE$1, lmic_raw[#Headers],0))=0, INDEX(regions[], MATCH($D31, regions[[setting]:[setting]],0), MATCH(AE$1, regions[#Headers],0)),INDEX(lmic_raw[],MATCH($A31,lmic_raw[[setting]:[setting]],0), MATCH(AE$1, lmic_raw[#Headers],0)))</f>
        <v>1.8918914118232766E-4</v>
      </c>
      <c r="AF31" s="33">
        <f>IF(INDEX(lmic_raw[],MATCH($A31,lmic_raw[[setting]:[setting]],0), MATCH(AF$1, lmic_raw[#Headers],0))=0, INDEX(regions[], MATCH($D31, regions[[setting]:[setting]],0), MATCH(AF$1, regions[#Headers],0)),INDEX(lmic_raw[],MATCH($A31,lmic_raw[[setting]:[setting]],0), MATCH(AF$1, lmic_raw[#Headers],0)))</f>
        <v>2.5232738020382442E-4</v>
      </c>
      <c r="AG31" s="33">
        <f>IF(INDEX(lmic_raw[],MATCH($A31,lmic_raw[[setting]:[setting]],0), MATCH(AG$1, lmic_raw[#Headers],0))=0, INDEX(regions[], MATCH($D31, regions[[setting]:[setting]],0), MATCH(AG$1, regions[#Headers],0)),INDEX(lmic_raw[],MATCH($A31,lmic_raw[[setting]:[setting]],0), MATCH(AG$1, lmic_raw[#Headers],0)))</f>
        <v>5.2172454069002096E-4</v>
      </c>
      <c r="AH31" s="33">
        <f>IF(INDEX(lmic_raw[],MATCH($A31,lmic_raw[[setting]:[setting]],0), MATCH(AH$1, lmic_raw[#Headers],0))=0, INDEX(regions[], MATCH($D31, regions[[setting]:[setting]],0), MATCH(AH$1, regions[#Headers],0)),INDEX(lmic_raw[],MATCH($A31,lmic_raw[[setting]:[setting]],0), MATCH(AH$1, lmic_raw[#Headers],0)))</f>
        <v>7.908633138036745E-4</v>
      </c>
      <c r="AI31" s="33">
        <f>IF(INDEX(lmic_raw[],MATCH($A31,lmic_raw[[setting]:[setting]],0), MATCH(AI$1, lmic_raw[#Headers],0))=0, INDEX(regions[], MATCH($D31, regions[[setting]:[setting]],0), MATCH(AI$1, regions[#Headers],0)),INDEX(lmic_raw[],MATCH($A31,lmic_raw[[setting]:[setting]],0), MATCH(AI$1, lmic_raw[#Headers],0)))</f>
        <v>9.1949466879533679E-4</v>
      </c>
      <c r="AJ31" s="33">
        <f>IF(INDEX(lmic_raw[],MATCH($A31,lmic_raw[[setting]:[setting]],0), MATCH(AJ$1, lmic_raw[#Headers],0))=0, INDEX(regions[], MATCH($D31, regions[[setting]:[setting]],0), MATCH(AJ$1, regions[#Headers],0)),INDEX(lmic_raw[],MATCH($A31,lmic_raw[[setting]:[setting]],0), MATCH(AJ$1, lmic_raw[#Headers],0)))</f>
        <v>1.0856776487376807E-3</v>
      </c>
      <c r="AK31" s="33">
        <f>IF(INDEX(lmic_raw[],MATCH($A31,lmic_raw[[setting]:[setting]],0), MATCH(AK$1, lmic_raw[#Headers],0))=0, INDEX(regions[], MATCH($D31, regions[[setting]:[setting]],0), MATCH(AK$1, regions[#Headers],0)),INDEX(lmic_raw[],MATCH($A31,lmic_raw[[setting]:[setting]],0), MATCH(AK$1, lmic_raw[#Headers],0)))</f>
        <v>1.3319622395929988E-3</v>
      </c>
      <c r="AL31" s="33">
        <f>IF(INDEX(lmic_raw[],MATCH($A31,lmic_raw[[setting]:[setting]],0), MATCH(AL$1, lmic_raw[#Headers],0))=0, INDEX(regions[], MATCH($D31, regions[[setting]:[setting]],0), MATCH(AL$1, regions[#Headers],0)),INDEX(lmic_raw[],MATCH($A31,lmic_raw[[setting]:[setting]],0), MATCH(AL$1, lmic_raw[#Headers],0)))</f>
        <v>1.7484039146829294E-3</v>
      </c>
      <c r="AM31" s="33">
        <f>IF(INDEX(lmic_raw[],MATCH($A31,lmic_raw[[setting]:[setting]],0), MATCH(AM$1, lmic_raw[#Headers],0))=0, INDEX(regions[], MATCH($D31, regions[[setting]:[setting]],0), MATCH(AM$1, regions[#Headers],0)),INDEX(lmic_raw[],MATCH($A31,lmic_raw[[setting]:[setting]],0), MATCH(AM$1, lmic_raw[#Headers],0)))</f>
        <v>2.4687342957337038E-3</v>
      </c>
      <c r="AN31" s="33">
        <f>IF(INDEX(lmic_raw[],MATCH($A31,lmic_raw[[setting]:[setting]],0), MATCH(AN$1, lmic_raw[#Headers],0))=0, INDEX(regions[], MATCH($D31, regions[[setting]:[setting]],0), MATCH(AN$1, regions[#Headers],0)),INDEX(lmic_raw[],MATCH($A31,lmic_raw[[setting]:[setting]],0), MATCH(AN$1, lmic_raw[#Headers],0)))</f>
        <v>3.6194176823825556E-3</v>
      </c>
      <c r="AO31" s="33">
        <f>IF(INDEX(lmic_raw[],MATCH($A31,lmic_raw[[setting]:[setting]],0), MATCH(AO$1, lmic_raw[#Headers],0))=0, INDEX(regions[], MATCH($D31, regions[[setting]:[setting]],0), MATCH(AO$1, regions[#Headers],0)),INDEX(lmic_raw[],MATCH($A31,lmic_raw[[setting]:[setting]],0), MATCH(AO$1, lmic_raw[#Headers],0)))</f>
        <v>5.4910944339037924E-3</v>
      </c>
      <c r="AP31" s="33">
        <f>IF(INDEX(lmic_raw[],MATCH($A31,lmic_raw[[setting]:[setting]],0), MATCH(AP$1, lmic_raw[#Headers],0))=0, INDEX(regions[], MATCH($D31, regions[[setting]:[setting]],0), MATCH(AP$1, regions[#Headers],0)),INDEX(lmic_raw[],MATCH($A31,lmic_raw[[setting]:[setting]],0), MATCH(AP$1, lmic_raw[#Headers],0)))</f>
        <v>8.4570007585224993E-3</v>
      </c>
      <c r="AQ31" s="33">
        <f>IF(INDEX(lmic_raw[],MATCH($A31,lmic_raw[[setting]:[setting]],0), MATCH(AQ$1, lmic_raw[#Headers],0))=0, INDEX(regions[], MATCH($D31, regions[[setting]:[setting]],0), MATCH(AQ$1, regions[#Headers],0)),INDEX(lmic_raw[],MATCH($A31,lmic_raw[[setting]:[setting]],0), MATCH(AQ$1, lmic_raw[#Headers],0)))</f>
        <v>1.3241919781259413E-2</v>
      </c>
      <c r="AR31" s="33">
        <f>IF(INDEX(lmic_raw[],MATCH($A31,lmic_raw[[setting]:[setting]],0), MATCH(AR$1, lmic_raw[#Headers],0))=0, INDEX(regions[], MATCH($D31, regions[[setting]:[setting]],0), MATCH(AR$1, regions[#Headers],0)),INDEX(lmic_raw[],MATCH($A31,lmic_raw[[setting]:[setting]],0), MATCH(AR$1, lmic_raw[#Headers],0)))</f>
        <v>2.0486290411796466E-2</v>
      </c>
      <c r="AS31" s="33">
        <f>IF(INDEX(lmic_raw[],MATCH($A31,lmic_raw[[setting]:[setting]],0), MATCH(AS$1, lmic_raw[#Headers],0))=0, INDEX(regions[], MATCH($D31, regions[[setting]:[setting]],0), MATCH(AS$1, regions[#Headers],0)),INDEX(lmic_raw[],MATCH($A31,lmic_raw[[setting]:[setting]],0), MATCH(AS$1, lmic_raw[#Headers],0)))</f>
        <v>3.2474185601327671E-2</v>
      </c>
      <c r="AT31" s="33">
        <f>IF(INDEX(lmic_raw[],MATCH($A31,lmic_raw[[setting]:[setting]],0), MATCH(AT$1, lmic_raw[#Headers],0))=0, INDEX(regions[], MATCH($D31, regions[[setting]:[setting]],0), MATCH(AT$1, regions[#Headers],0)),INDEX(lmic_raw[],MATCH($A31,lmic_raw[[setting]:[setting]],0), MATCH(AT$1, lmic_raw[#Headers],0)))</f>
        <v>5.0450906422022219E-2</v>
      </c>
      <c r="AU31" s="33">
        <f>IF(INDEX(lmic_raw[],MATCH($A31,lmic_raw[[setting]:[setting]],0), MATCH(AU$1, lmic_raw[#Headers],0))=0, INDEX(regions[], MATCH($D31, regions[[setting]:[setting]],0), MATCH(AU$1, regions[#Headers],0)),INDEX(lmic_raw[],MATCH($A31,lmic_raw[[setting]:[setting]],0), MATCH(AU$1, lmic_raw[#Headers],0)))</f>
        <v>7.5109505569320376E-2</v>
      </c>
      <c r="AV31" s="33">
        <f>IF(INDEX(lmic_raw[],MATCH($A31,lmic_raw[[setting]:[setting]],0), MATCH(AV$1, lmic_raw[#Headers],0))=0, INDEX(regions[], MATCH($D31, regions[[setting]:[setting]],0), MATCH(AV$1, regions[#Headers],0)),INDEX(lmic_raw[],MATCH($A31,lmic_raw[[setting]:[setting]],0), MATCH(AV$1, lmic_raw[#Headers],0)))</f>
        <v>0.10663738143527123</v>
      </c>
      <c r="AW31" s="33">
        <f>IF(INDEX(lmic_raw[],MATCH($A31,lmic_raw[[setting]:[setting]],0), MATCH(AW$1, lmic_raw[#Headers],0))=0, INDEX(regions[], MATCH($D31, regions[[setting]:[setting]],0), MATCH(AW$1, regions[#Headers],0)),INDEX(lmic_raw[],MATCH($A31,lmic_raw[[setting]:[setting]],0), MATCH(AW$1, lmic_raw[#Headers],0)))</f>
        <v>0.14167834271936142</v>
      </c>
      <c r="AX31" s="33">
        <f>IF(INDEX(lmic_raw[],MATCH($A31,lmic_raw[[setting]:[setting]],0), MATCH(AX$1, lmic_raw[#Headers],0))=0, INDEX(regions[], MATCH($D31, regions[[setting]:[setting]],0), MATCH(AX$1, regions[#Headers],0)),INDEX(lmic_raw[],MATCH($A31,lmic_raw[[setting]:[setting]],0), MATCH(AX$1, lmic_raw[#Headers],0)))</f>
        <v>80.003</v>
      </c>
      <c r="AY31" s="33" t="str">
        <f>IF(VLOOKUP($A31,lmic_raw[],11,FALSE)=0, "Yes", "No")</f>
        <v>No</v>
      </c>
    </row>
    <row r="32" spans="1:51" x14ac:dyDescent="0.25">
      <c r="A32" s="109" t="s">
        <v>141</v>
      </c>
      <c r="B32" s="101" t="s">
        <v>406</v>
      </c>
      <c r="C32" s="102">
        <v>384</v>
      </c>
      <c r="D32" s="82" t="s">
        <v>677</v>
      </c>
      <c r="E32" s="82" t="s">
        <v>591</v>
      </c>
      <c r="F32" s="82" t="s">
        <v>667</v>
      </c>
      <c r="G32" s="82" t="s">
        <v>678</v>
      </c>
      <c r="H32" s="33">
        <f>IF(INDEX(lmic_raw[],MATCH($A32,lmic_raw[[setting]:[setting]],0), MATCH(H$1, lmic_raw[#Headers],0))=0, INDEX(regions[], MATCH($D32, regions[[setting]:[setting]],0), MATCH(H$1, regions[#Headers],0)),INDEX(lmic_raw[],MATCH($A32,lmic_raw[[setting]:[setting]],0), MATCH(H$1, lmic_raw[#Headers],0)))</f>
        <v>25716554</v>
      </c>
      <c r="I32" s="33">
        <f>IF(INDEX(lmic_raw[],MATCH($A32,lmic_raw[[setting]:[setting]],0), MATCH(I$1, lmic_raw[#Headers],0))=0, INDEX(regions[], MATCH($D32, regions[[setting]:[setting]],0), MATCH(I$1, regions[#Headers],0)),INDEX(lmic_raw[],MATCH($A32,lmic_raw[[setting]:[setting]],0), MATCH(I$1, lmic_raw[#Headers],0)))</f>
        <v>923095.70583000011</v>
      </c>
      <c r="J32" s="33">
        <f>IF(INDEX(lmic_raw[],MATCH($A32,lmic_raw[[setting]:[setting]],0), MATCH(J$1, lmic_raw[#Headers],0))=0, INDEX(regions[], MATCH($D32, regions[[setting]:[setting]],0), MATCH(J$1, regions[#Headers],0)),INDEX(lmic_raw[],MATCH($A32,lmic_raw[[setting]:[setting]],0), MATCH(J$1, lmic_raw[#Headers],0)))</f>
        <v>0.69799999999999995</v>
      </c>
      <c r="K32" s="33">
        <f>IF(INDEX(lmic_raw[],MATCH($A32,lmic_raw[[setting]:[setting]],0), MATCH(K$1, lmic_raw[#Headers],0))=0, INDEX(regions[], MATCH($D32, regions[[setting]:[setting]],0), MATCH(K$1, regions[#Headers],0)),INDEX(lmic_raw[],MATCH($A32,lmic_raw[[setting]:[setting]],0), MATCH(K$1, lmic_raw[#Headers],0)))</f>
        <v>0.09</v>
      </c>
      <c r="L32" s="33">
        <f>IF(INDEX(lmic_raw[],MATCH($A32,lmic_raw[[setting]:[setting]],0), MATCH(L$1, lmic_raw[#Headers],0))=0, INDEX(regions[], MATCH($D32, regions[[setting]:[setting]],0), MATCH(L$1, regions[#Headers],0)),INDEX(lmic_raw[],MATCH($A32,lmic_raw[[setting]:[setting]],0), MATCH(L$1, lmic_raw[#Headers],0)))</f>
        <v>0.84</v>
      </c>
      <c r="M32" s="33">
        <f>IF(INDEX(lmic_raw[],MATCH($A32,lmic_raw[[setting]:[setting]],0), MATCH(M$1, lmic_raw[#Headers],0))=0, INDEX(regions[], MATCH($D32, regions[[setting]:[setting]],0), MATCH(M$1, regions[#Headers],0)),INDEX(lmic_raw[],MATCH($A32,lmic_raw[[setting]:[setting]],0), MATCH(M$1, lmic_raw[#Headers],0)))</f>
        <v>6.0700000000000004E-2</v>
      </c>
      <c r="N32" s="33">
        <f>IF(INDEX(lmic_raw[],MATCH($A32,lmic_raw[[setting]:[setting]],0), MATCH(N$1, lmic_raw[#Headers],0))=0, INDEX(regions[], MATCH($D32, regions[[setting]:[setting]],0), MATCH(N$1, regions[#Headers],0)),INDEX(lmic_raw[],MATCH($A32,lmic_raw[[setting]:[setting]],0), MATCH(N$1, lmic_raw[#Headers],0)))</f>
        <v>0.29747114568885691</v>
      </c>
      <c r="O32" s="33">
        <f>IF(INDEX(lmic_raw[],MATCH($A32,lmic_raw[[setting]:[setting]],0), MATCH(O$1, lmic_raw[#Headers],0))=0, INDEX(regions[], MATCH($D32, regions[[setting]:[setting]],0), MATCH(O$1, regions[#Headers],0)),INDEX(lmic_raw[],MATCH($A32,lmic_raw[[setting]:[setting]],0), MATCH(O$1, lmic_raw[#Headers],0)))</f>
        <v>0.38300000000000001</v>
      </c>
      <c r="P32" s="33">
        <f>IF(INDEX(lmic_raw[],MATCH($A32,lmic_raw[[setting]:[setting]],0), MATCH(P$1, lmic_raw[#Headers],0))=0, INDEX(regions[], MATCH($D32, regions[[setting]:[setting]],0), MATCH(P$1, regions[#Headers],0)),INDEX(lmic_raw[],MATCH($A32,lmic_raw[[setting]:[setting]],0), MATCH(P$1, lmic_raw[#Headers],0)))</f>
        <v>4.8000000000000001E-2</v>
      </c>
      <c r="Q32" s="33">
        <f>IF(INDEX(lmic_raw[],MATCH($A32,lmic_raw[[setting]:[setting]],0), MATCH(Q$1, lmic_raw[#Headers],0))=0, INDEX(regions[], MATCH($D32, regions[[setting]:[setting]],0), MATCH(Q$1, regions[#Headers],0)),INDEX(lmic_raw[],MATCH($A32,lmic_raw[[setting]:[setting]],0), MATCH(Q$1, lmic_raw[#Headers],0)))</f>
        <v>3.6077882421883638</v>
      </c>
      <c r="R32" s="33">
        <f>IF(INDEX(lmic_raw[],MATCH($A32,lmic_raw[[setting]:[setting]],0), MATCH(R$1, lmic_raw[#Headers],0))=0, INDEX(regions[], MATCH($D32, regions[[setting]:[setting]],0), MATCH(R$1, regions[#Headers],0)),INDEX(lmic_raw[],MATCH($A32,lmic_raw[[setting]:[setting]],0), MATCH(R$1, lmic_raw[#Headers],0)))</f>
        <v>29.920500000000001</v>
      </c>
      <c r="S32" s="33">
        <f>IF(INDEX(lmic_raw[],MATCH($A32,lmic_raw[[setting]:[setting]],0), MATCH(S$1, lmic_raw[#Headers],0))=0, INDEX(regions[], MATCH($D32, regions[[setting]:[setting]],0), MATCH(S$1, regions[#Headers],0)),INDEX(lmic_raw[],MATCH($A32,lmic_raw[[setting]:[setting]],0), MATCH(S$1, lmic_raw[#Headers],0)))</f>
        <v>77.662500000000009</v>
      </c>
      <c r="T32" s="33">
        <f>IF(INDEX(lmic_raw[],MATCH($A32,lmic_raw[[setting]:[setting]],0), MATCH(T$1, lmic_raw[#Headers],0))=0, INDEX(regions[], MATCH($D32, regions[[setting]:[setting]],0), MATCH(T$1, regions[#Headers],0)),INDEX(lmic_raw[],MATCH($A32,lmic_raw[[setting]:[setting]],0), MATCH(T$1, lmic_raw[#Headers],0)))</f>
        <v>77.662500000000009</v>
      </c>
      <c r="U32" s="33">
        <f>IF(INDEX(lmic_raw[],MATCH($A32,lmic_raw[[setting]:[setting]],0), MATCH(U$1, lmic_raw[#Headers],0))=0, INDEX(regions[], MATCH($D32, regions[[setting]:[setting]],0), MATCH(U$1, regions[#Headers],0)),INDEX(lmic_raw[],MATCH($A32,lmic_raw[[setting]:[setting]],0), MATCH(U$1, lmic_raw[#Headers],0)))</f>
        <v>77.662500000000009</v>
      </c>
      <c r="V32" s="33">
        <f>IF(INDEX(lmic_raw[],MATCH($A32,lmic_raw[[setting]:[setting]],0), MATCH(V$1, lmic_raw[#Headers],0))=0, INDEX(regions[], MATCH($D32, regions[[setting]:[setting]],0), MATCH(V$1, regions[#Headers],0)),INDEX(lmic_raw[],MATCH($A32,lmic_raw[[setting]:[setting]],0), MATCH(V$1, lmic_raw[#Headers],0)))</f>
        <v>2.2869408359527901</v>
      </c>
      <c r="W32" s="33">
        <f>IF(INDEX(lmic_raw[],MATCH($A32,lmic_raw[[setting]:[setting]],0), MATCH(W$1, lmic_raw[#Headers],0))=0, INDEX(regions[], MATCH($D32, regions[[setting]:[setting]],0), MATCH(W$1, regions[#Headers],0)),INDEX(lmic_raw[],MATCH($A32,lmic_raw[[setting]:[setting]],0), MATCH(W$1, lmic_raw[#Headers],0)))</f>
        <v>7.1169408359527901</v>
      </c>
      <c r="X32" s="33">
        <f>IF(INDEX(lmic_raw[],MATCH($A32,lmic_raw[[setting]:[setting]],0), MATCH(X$1, lmic_raw[#Headers],0))=0, INDEX(regions[], MATCH($D32, regions[[setting]:[setting]],0), MATCH(X$1, regions[#Headers],0)),INDEX(lmic_raw[],MATCH($A32,lmic_raw[[setting]:[setting]],0), MATCH(X$1, lmic_raw[#Headers],0)))</f>
        <v>1.8555769796551187</v>
      </c>
      <c r="Y32" s="33">
        <f>IF(INDEX(lmic_raw[],MATCH($A32,lmic_raw[[setting]:[setting]],0), MATCH(Y$1, lmic_raw[#Headers],0))=0, INDEX(regions[], MATCH($D32, regions[[setting]:[setting]],0), MATCH(Y$1, regions[#Headers],0)),INDEX(lmic_raw[],MATCH($A32,lmic_raw[[setting]:[setting]],0), MATCH(Y$1, lmic_raw[#Headers],0)))</f>
        <v>6.685576979655119</v>
      </c>
      <c r="Z32" s="33">
        <f>IF(INDEX(lmic_raw[],MATCH($A32,lmic_raw[[setting]:[setting]],0), MATCH(Z$1, lmic_raw[#Headers],0))=0, INDEX(regions[], MATCH($D32, regions[[setting]:[setting]],0), MATCH(Z$1, regions[#Headers],0)),INDEX(lmic_raw[],MATCH($A32,lmic_raw[[setting]:[setting]],0), MATCH(Z$1, lmic_raw[#Headers],0)))</f>
        <v>6.6801074566373666</v>
      </c>
      <c r="AA32" s="33">
        <f>IF(INDEX(lmic_raw[],MATCH($A32,lmic_raw[[setting]:[setting]],0), MATCH(AA$1, lmic_raw[#Headers],0))=0, INDEX(regions[], MATCH($D32, regions[[setting]:[setting]],0), MATCH(AA$1, regions[#Headers],0)),INDEX(lmic_raw[],MATCH($A32,lmic_raw[[setting]:[setting]],0), MATCH(AA$1, lmic_raw[#Headers],0)))</f>
        <v>2.5306584995043</v>
      </c>
      <c r="AB32" s="33">
        <f>IF(INDEX(lmic_raw[],MATCH($A32,lmic_raw[[setting]:[setting]],0), MATCH(AB$1, lmic_raw[#Headers],0))=0, INDEX(regions[], MATCH($D32, regions[[setting]:[setting]],0), MATCH(AB$1, regions[#Headers],0)),INDEX(lmic_raw[],MATCH($A32,lmic_raw[[setting]:[setting]],0), MATCH(AB$1, lmic_raw[#Headers],0)))</f>
        <v>7.3606584995043001</v>
      </c>
      <c r="AC32" s="33">
        <f>IF(INDEX(lmic_raw[],MATCH($A32,lmic_raw[[setting]:[setting]],0), MATCH(AC$1, lmic_raw[#Headers],0))=0, INDEX(regions[], MATCH($D32, regions[[setting]:[setting]],0), MATCH(AC$1, regions[#Headers],0)),INDEX(lmic_raw[],MATCH($A32,lmic_raw[[setting]:[setting]],0), MATCH(AC$1, lmic_raw[#Headers],0)))</f>
        <v>6.0459799999999959E-2</v>
      </c>
      <c r="AD32" s="33">
        <f>IF(INDEX(lmic_raw[],MATCH($A32,lmic_raw[[setting]:[setting]],0), MATCH(AD$1, lmic_raw[#Headers],0))=0, INDEX(regions[], MATCH($D32, regions[[setting]:[setting]],0), MATCH(AD$1, regions[#Headers],0)),INDEX(lmic_raw[],MATCH($A32,lmic_raw[[setting]:[setting]],0), MATCH(AD$1, lmic_raw[#Headers],0)))</f>
        <v>7.0854339175694843E-3</v>
      </c>
      <c r="AE32" s="33">
        <f>IF(INDEX(lmic_raw[],MATCH($A32,lmic_raw[[setting]:[setting]],0), MATCH(AE$1, lmic_raw[#Headers],0))=0, INDEX(regions[], MATCH($D32, regions[[setting]:[setting]],0), MATCH(AE$1, regions[#Headers],0)),INDEX(lmic_raw[],MATCH($A32,lmic_raw[[setting]:[setting]],0), MATCH(AE$1, lmic_raw[#Headers],0)))</f>
        <v>2.5836663336663377E-3</v>
      </c>
      <c r="AF32" s="33">
        <f>IF(INDEX(lmic_raw[],MATCH($A32,lmic_raw[[setting]:[setting]],0), MATCH(AF$1, lmic_raw[#Headers],0))=0, INDEX(regions[], MATCH($D32, regions[[setting]:[setting]],0), MATCH(AF$1, regions[#Headers],0)),INDEX(lmic_raw[],MATCH($A32,lmic_raw[[setting]:[setting]],0), MATCH(AF$1, lmic_raw[#Headers],0)))</f>
        <v>1.8599525234577871E-3</v>
      </c>
      <c r="AG32" s="33">
        <f>IF(INDEX(lmic_raw[],MATCH($A32,lmic_raw[[setting]:[setting]],0), MATCH(AG$1, lmic_raw[#Headers],0))=0, INDEX(regions[], MATCH($D32, regions[[setting]:[setting]],0), MATCH(AG$1, regions[#Headers],0)),INDEX(lmic_raw[],MATCH($A32,lmic_raw[[setting]:[setting]],0), MATCH(AG$1, lmic_raw[#Headers],0)))</f>
        <v>2.7715887376696716E-3</v>
      </c>
      <c r="AH32" s="33">
        <f>IF(INDEX(lmic_raw[],MATCH($A32,lmic_raw[[setting]:[setting]],0), MATCH(AH$1, lmic_raw[#Headers],0))=0, INDEX(regions[], MATCH($D32, regions[[setting]:[setting]],0), MATCH(AH$1, regions[#Headers],0)),INDEX(lmic_raw[],MATCH($A32,lmic_raw[[setting]:[setting]],0), MATCH(AH$1, lmic_raw[#Headers],0)))</f>
        <v>4.0981295766211977E-3</v>
      </c>
      <c r="AI32" s="33">
        <f>IF(INDEX(lmic_raw[],MATCH($A32,lmic_raw[[setting]:[setting]],0), MATCH(AI$1, lmic_raw[#Headers],0))=0, INDEX(regions[], MATCH($D32, regions[[setting]:[setting]],0), MATCH(AI$1, regions[#Headers],0)),INDEX(lmic_raw[],MATCH($A32,lmic_raw[[setting]:[setting]],0), MATCH(AI$1, lmic_raw[#Headers],0)))</f>
        <v>5.2283557631281133E-3</v>
      </c>
      <c r="AJ32" s="33">
        <f>IF(INDEX(lmic_raw[],MATCH($A32,lmic_raw[[setting]:[setting]],0), MATCH(AJ$1, lmic_raw[#Headers],0))=0, INDEX(regions[], MATCH($D32, regions[[setting]:[setting]],0), MATCH(AJ$1, regions[#Headers],0)),INDEX(lmic_raw[],MATCH($A32,lmic_raw[[setting]:[setting]],0), MATCH(AJ$1, lmic_raw[#Headers],0)))</f>
        <v>6.4126252707657526E-3</v>
      </c>
      <c r="AK32" s="33">
        <f>IF(INDEX(lmic_raw[],MATCH($A32,lmic_raw[[setting]:[setting]],0), MATCH(AK$1, lmic_raw[#Headers],0))=0, INDEX(regions[], MATCH($D32, regions[[setting]:[setting]],0), MATCH(AK$1, regions[#Headers],0)),INDEX(lmic_raw[],MATCH($A32,lmic_raw[[setting]:[setting]],0), MATCH(AK$1, lmic_raw[#Headers],0)))</f>
        <v>8.0386040975210463E-3</v>
      </c>
      <c r="AL32" s="33">
        <f>IF(INDEX(lmic_raw[],MATCH($A32,lmic_raw[[setting]:[setting]],0), MATCH(AL$1, lmic_raw[#Headers],0))=0, INDEX(regions[], MATCH($D32, regions[[setting]:[setting]],0), MATCH(AL$1, regions[#Headers],0)),INDEX(lmic_raw[],MATCH($A32,lmic_raw[[setting]:[setting]],0), MATCH(AL$1, lmic_raw[#Headers],0)))</f>
        <v>9.7503351565958046E-3</v>
      </c>
      <c r="AM32" s="33">
        <f>IF(INDEX(lmic_raw[],MATCH($A32,lmic_raw[[setting]:[setting]],0), MATCH(AM$1, lmic_raw[#Headers],0))=0, INDEX(regions[], MATCH($D32, regions[[setting]:[setting]],0), MATCH(AM$1, regions[#Headers],0)),INDEX(lmic_raw[],MATCH($A32,lmic_raw[[setting]:[setting]],0), MATCH(AM$1, lmic_raw[#Headers],0)))</f>
        <v>1.1730824607662307E-2</v>
      </c>
      <c r="AN32" s="33">
        <f>IF(INDEX(lmic_raw[],MATCH($A32,lmic_raw[[setting]:[setting]],0), MATCH(AN$1, lmic_raw[#Headers],0))=0, INDEX(regions[], MATCH($D32, regions[[setting]:[setting]],0), MATCH(AN$1, regions[#Headers],0)),INDEX(lmic_raw[],MATCH($A32,lmic_raw[[setting]:[setting]],0), MATCH(AN$1, lmic_raw[#Headers],0)))</f>
        <v>1.531094484439299E-2</v>
      </c>
      <c r="AO32" s="33">
        <f>IF(INDEX(lmic_raw[],MATCH($A32,lmic_raw[[setting]:[setting]],0), MATCH(AO$1, lmic_raw[#Headers],0))=0, INDEX(regions[], MATCH($D32, regions[[setting]:[setting]],0), MATCH(AO$1, regions[#Headers],0)),INDEX(lmic_raw[],MATCH($A32,lmic_raw[[setting]:[setting]],0), MATCH(AO$1, lmic_raw[#Headers],0)))</f>
        <v>1.9539605890519628E-2</v>
      </c>
      <c r="AP32" s="33">
        <f>IF(INDEX(lmic_raw[],MATCH($A32,lmic_raw[[setting]:[setting]],0), MATCH(AP$1, lmic_raw[#Headers],0))=0, INDEX(regions[], MATCH($D32, regions[[setting]:[setting]],0), MATCH(AP$1, regions[#Headers],0)),INDEX(lmic_raw[],MATCH($A32,lmic_raw[[setting]:[setting]],0), MATCH(AP$1, lmic_raw[#Headers],0)))</f>
        <v>2.7532192358079261E-2</v>
      </c>
      <c r="AQ32" s="33">
        <f>IF(INDEX(lmic_raw[],MATCH($A32,lmic_raw[[setting]:[setting]],0), MATCH(AQ$1, lmic_raw[#Headers],0))=0, INDEX(regions[], MATCH($D32, regions[[setting]:[setting]],0), MATCH(AQ$1, regions[#Headers],0)),INDEX(lmic_raw[],MATCH($A32,lmic_raw[[setting]:[setting]],0), MATCH(AQ$1, lmic_raw[#Headers],0)))</f>
        <v>4.005454440234088E-2</v>
      </c>
      <c r="AR32" s="33">
        <f>IF(INDEX(lmic_raw[],MATCH($A32,lmic_raw[[setting]:[setting]],0), MATCH(AR$1, lmic_raw[#Headers],0))=0, INDEX(regions[], MATCH($D32, regions[[setting]:[setting]],0), MATCH(AR$1, regions[#Headers],0)),INDEX(lmic_raw[],MATCH($A32,lmic_raw[[setting]:[setting]],0), MATCH(AR$1, lmic_raw[#Headers],0)))</f>
        <v>5.8992919015540331E-2</v>
      </c>
      <c r="AS32" s="33">
        <f>IF(INDEX(lmic_raw[],MATCH($A32,lmic_raw[[setting]:[setting]],0), MATCH(AS$1, lmic_raw[#Headers],0))=0, INDEX(regions[], MATCH($D32, regions[[setting]:[setting]],0), MATCH(AS$1, regions[#Headers],0)),INDEX(lmic_raw[],MATCH($A32,lmic_raw[[setting]:[setting]],0), MATCH(AS$1, lmic_raw[#Headers],0)))</f>
        <v>8.5363956262810389E-2</v>
      </c>
      <c r="AT32" s="33">
        <f>IF(INDEX(lmic_raw[],MATCH($A32,lmic_raw[[setting]:[setting]],0), MATCH(AT$1, lmic_raw[#Headers],0))=0, INDEX(regions[], MATCH($D32, regions[[setting]:[setting]],0), MATCH(AT$1, regions[#Headers],0)),INDEX(lmic_raw[],MATCH($A32,lmic_raw[[setting]:[setting]],0), MATCH(AT$1, lmic_raw[#Headers],0)))</f>
        <v>0.12069078346567236</v>
      </c>
      <c r="AU32" s="33">
        <f>IF(INDEX(lmic_raw[],MATCH($A32,lmic_raw[[setting]:[setting]],0), MATCH(AU$1, lmic_raw[#Headers],0))=0, INDEX(regions[], MATCH($D32, regions[[setting]:[setting]],0), MATCH(AU$1, regions[#Headers],0)),INDEX(lmic_raw[],MATCH($A32,lmic_raw[[setting]:[setting]],0), MATCH(AU$1, lmic_raw[#Headers],0)))</f>
        <v>0.15740472383682066</v>
      </c>
      <c r="AV32" s="33">
        <f>IF(INDEX(lmic_raw[],MATCH($A32,lmic_raw[[setting]:[setting]],0), MATCH(AV$1, lmic_raw[#Headers],0))=0, INDEX(regions[], MATCH($D32, regions[[setting]:[setting]],0), MATCH(AV$1, regions[#Headers],0)),INDEX(lmic_raw[],MATCH($A32,lmic_raw[[setting]:[setting]],0), MATCH(AV$1, lmic_raw[#Headers],0)))</f>
        <v>0.18322798533596515</v>
      </c>
      <c r="AW32" s="33">
        <f>IF(INDEX(lmic_raw[],MATCH($A32,lmic_raw[[setting]:[setting]],0), MATCH(AW$1, lmic_raw[#Headers],0))=0, INDEX(regions[], MATCH($D32, regions[[setting]:[setting]],0), MATCH(AW$1, regions[#Headers],0)),INDEX(lmic_raw[],MATCH($A32,lmic_raw[[setting]:[setting]],0), MATCH(AW$1, lmic_raw[#Headers],0)))</f>
        <v>0.18956358144949656</v>
      </c>
      <c r="AX32" s="33">
        <f>IF(INDEX(lmic_raw[],MATCH($A32,lmic_raw[[setting]:[setting]],0), MATCH(AX$1, lmic_raw[#Headers],0))=0, INDEX(regions[], MATCH($D32, regions[[setting]:[setting]],0), MATCH(AX$1, regions[#Headers],0)),INDEX(lmic_raw[],MATCH($A32,lmic_raw[[setting]:[setting]],0), MATCH(AX$1, lmic_raw[#Headers],0)))</f>
        <v>57.244999999999997</v>
      </c>
      <c r="AY32" s="33" t="str">
        <f>IF(VLOOKUP($A32,lmic_raw[],11,FALSE)=0, "Yes", "No")</f>
        <v>No</v>
      </c>
    </row>
    <row r="33" spans="1:51" x14ac:dyDescent="0.25">
      <c r="A33" s="110" t="s">
        <v>232</v>
      </c>
      <c r="B33" s="104" t="s">
        <v>407</v>
      </c>
      <c r="C33" s="105">
        <v>192</v>
      </c>
      <c r="D33" s="84" t="s">
        <v>679</v>
      </c>
      <c r="E33" s="84" t="s">
        <v>223</v>
      </c>
      <c r="F33" s="84" t="s">
        <v>665</v>
      </c>
      <c r="G33" s="84" t="s">
        <v>676</v>
      </c>
      <c r="H33" s="33">
        <f>IF(INDEX(lmic_raw[],MATCH($A33,lmic_raw[[setting]:[setting]],0), MATCH(H$1, lmic_raw[#Headers],0))=0, INDEX(regions[], MATCH($D33, regions[[setting]:[setting]],0), MATCH(H$1, regions[#Headers],0)),INDEX(lmic_raw[],MATCH($A33,lmic_raw[[setting]:[setting]],0), MATCH(H$1, lmic_raw[#Headers],0)))</f>
        <v>11333484</v>
      </c>
      <c r="I33" s="33">
        <f>IF(INDEX(lmic_raw[],MATCH($A33,lmic_raw[[setting]:[setting]],0), MATCH(I$1, lmic_raw[#Headers],0))=0, INDEX(regions[], MATCH($D33, regions[[setting]:[setting]],0), MATCH(I$1, regions[#Headers],0)),INDEX(lmic_raw[],MATCH($A33,lmic_raw[[setting]:[setting]],0), MATCH(I$1, lmic_raw[#Headers],0)))</f>
        <v>115794.20602800002</v>
      </c>
      <c r="J33" s="33">
        <f>IF(INDEX(lmic_raw[],MATCH($A33,lmic_raw[[setting]:[setting]],0), MATCH(J$1, lmic_raw[#Headers],0))=0, INDEX(regions[], MATCH($D33, regions[[setting]:[setting]],0), MATCH(J$1, regions[#Headers],0)),INDEX(lmic_raw[],MATCH($A33,lmic_raw[[setting]:[setting]],0), MATCH(J$1, lmic_raw[#Headers],0)))</f>
        <v>0.99900000000000011</v>
      </c>
      <c r="K33" s="33">
        <f>IF(INDEX(lmic_raw[],MATCH($A33,lmic_raw[[setting]:[setting]],0), MATCH(K$1, lmic_raw[#Headers],0))=0, INDEX(regions[], MATCH($D33, regions[[setting]:[setting]],0), MATCH(K$1, regions[#Headers],0)),INDEX(lmic_raw[],MATCH($A33,lmic_raw[[setting]:[setting]],0), MATCH(K$1, lmic_raw[#Headers],0)))</f>
        <v>0.99</v>
      </c>
      <c r="L33" s="33">
        <f>IF(INDEX(lmic_raw[],MATCH($A33,lmic_raw[[setting]:[setting]],0), MATCH(L$1, lmic_raw[#Headers],0))=0, INDEX(regions[], MATCH($D33, regions[[setting]:[setting]],0), MATCH(L$1, regions[#Headers],0)),INDEX(lmic_raw[],MATCH($A33,lmic_raw[[setting]:[setting]],0), MATCH(L$1, lmic_raw[#Headers],0)))</f>
        <v>0.99</v>
      </c>
      <c r="M33" s="33">
        <f>IF(INDEX(lmic_raw[],MATCH($A33,lmic_raw[[setting]:[setting]],0), MATCH(M$1, lmic_raw[#Headers],0))=0, INDEX(regions[], MATCH($D33, regions[[setting]:[setting]],0), MATCH(M$1, regions[#Headers],0)),INDEX(lmic_raw[],MATCH($A33,lmic_raw[[setting]:[setting]],0), MATCH(M$1, lmic_raw[#Headers],0)))</f>
        <v>9.3999999999999986E-3</v>
      </c>
      <c r="N33" s="33">
        <f>IF(INDEX(lmic_raw[],MATCH($A33,lmic_raw[[setting]:[setting]],0), MATCH(N$1, lmic_raw[#Headers],0))=0, INDEX(regions[], MATCH($D33, regions[[setting]:[setting]],0), MATCH(N$1, regions[#Headers],0)),INDEX(lmic_raw[],MATCH($A33,lmic_raw[[setting]:[setting]],0), MATCH(N$1, lmic_raw[#Headers],0)))</f>
        <v>0.31223161166773539</v>
      </c>
      <c r="O33" s="33">
        <f>IF(INDEX(lmic_raw[],MATCH($A33,lmic_raw[[setting]:[setting]],0), MATCH(O$1, lmic_raw[#Headers],0))=0, INDEX(regions[], MATCH($D33, regions[[setting]:[setting]],0), MATCH(O$1, regions[#Headers],0)),INDEX(lmic_raw[],MATCH($A33,lmic_raw[[setting]:[setting]],0), MATCH(O$1, lmic_raw[#Headers],0)))</f>
        <v>0.8</v>
      </c>
      <c r="P33" s="33">
        <f>IF(INDEX(lmic_raw[],MATCH($A33,lmic_raw[[setting]:[setting]],0), MATCH(P$1, lmic_raw[#Headers],0))=0, INDEX(regions[], MATCH($D33, regions[[setting]:[setting]],0), MATCH(P$1, regions[#Headers],0)),INDEX(lmic_raw[],MATCH($A33,lmic_raw[[setting]:[setting]],0), MATCH(P$1, lmic_raw[#Headers],0)))</f>
        <v>0.17499999999999999</v>
      </c>
      <c r="Q33" s="33">
        <f>IF(INDEX(lmic_raw[],MATCH($A33,lmic_raw[[setting]:[setting]],0), MATCH(Q$1, lmic_raw[#Headers],0))=0, INDEX(regions[], MATCH($D33, regions[[setting]:[setting]],0), MATCH(Q$1, regions[#Headers],0)),INDEX(lmic_raw[],MATCH($A33,lmic_raw[[setting]:[setting]],0), MATCH(Q$1, lmic_raw[#Headers],0)))</f>
        <v>12.200980556377488</v>
      </c>
      <c r="R33" s="33">
        <f>IF(INDEX(lmic_raw[],MATCH($A33,lmic_raw[[setting]:[setting]],0), MATCH(R$1, lmic_raw[#Headers],0))=0, INDEX(regions[], MATCH($D33, regions[[setting]:[setting]],0), MATCH(R$1, regions[#Headers],0)),INDEX(lmic_raw[],MATCH($A33,lmic_raw[[setting]:[setting]],0), MATCH(R$1, lmic_raw[#Headers],0)))</f>
        <v>86.883899999999997</v>
      </c>
      <c r="S33" s="33">
        <f>IF(INDEX(lmic_raw[],MATCH($A33,lmic_raw[[setting]:[setting]],0), MATCH(S$1, lmic_raw[#Headers],0))=0, INDEX(regions[], MATCH($D33, regions[[setting]:[setting]],0), MATCH(S$1, regions[#Headers],0)),INDEX(lmic_raw[],MATCH($A33,lmic_raw[[setting]:[setting]],0), MATCH(S$1, lmic_raw[#Headers],0)))</f>
        <v>134.6259</v>
      </c>
      <c r="T33" s="33">
        <f>IF(INDEX(lmic_raw[],MATCH($A33,lmic_raw[[setting]:[setting]],0), MATCH(T$1, lmic_raw[#Headers],0))=0, INDEX(regions[], MATCH($D33, regions[[setting]:[setting]],0), MATCH(T$1, regions[#Headers],0)),INDEX(lmic_raw[],MATCH($A33,lmic_raw[[setting]:[setting]],0), MATCH(T$1, lmic_raw[#Headers],0)))</f>
        <v>134.6259</v>
      </c>
      <c r="U33" s="33">
        <f>IF(INDEX(lmic_raw[],MATCH($A33,lmic_raw[[setting]:[setting]],0), MATCH(U$1, lmic_raw[#Headers],0))=0, INDEX(regions[], MATCH($D33, regions[[setting]:[setting]],0), MATCH(U$1, regions[#Headers],0)),INDEX(lmic_raw[],MATCH($A33,lmic_raw[[setting]:[setting]],0), MATCH(U$1, lmic_raw[#Headers],0)))</f>
        <v>134.6259</v>
      </c>
      <c r="V33" s="33">
        <f>IF(INDEX(lmic_raw[],MATCH($A33,lmic_raw[[setting]:[setting]],0), MATCH(V$1, lmic_raw[#Headers],0))=0, INDEX(regions[], MATCH($D33, regions[[setting]:[setting]],0), MATCH(V$1, regions[#Headers],0)),INDEX(lmic_raw[],MATCH($A33,lmic_raw[[setting]:[setting]],0), MATCH(V$1, lmic_raw[#Headers],0)))</f>
        <v>6.0342547750329993</v>
      </c>
      <c r="W33" s="33">
        <f>IF(INDEX(lmic_raw[],MATCH($A33,lmic_raw[[setting]:[setting]],0), MATCH(W$1, lmic_raw[#Headers],0))=0, INDEX(regions[], MATCH($D33, regions[[setting]:[setting]],0), MATCH(W$1, regions[#Headers],0)),INDEX(lmic_raw[],MATCH($A33,lmic_raw[[setting]:[setting]],0), MATCH(W$1, lmic_raw[#Headers],0)))</f>
        <v>6.0542547750329989</v>
      </c>
      <c r="X33" s="33">
        <f>IF(INDEX(lmic_raw[],MATCH($A33,lmic_raw[[setting]:[setting]],0), MATCH(X$1, lmic_raw[#Headers],0))=0, INDEX(regions[], MATCH($D33, regions[[setting]:[setting]],0), MATCH(X$1, regions[#Headers],0)),INDEX(lmic_raw[],MATCH($A33,lmic_raw[[setting]:[setting]],0), MATCH(X$1, lmic_raw[#Headers],0)))</f>
        <v>5.5874884572483028</v>
      </c>
      <c r="Y33" s="33">
        <f>IF(INDEX(lmic_raw[],MATCH($A33,lmic_raw[[setting]:[setting]],0), MATCH(Y$1, lmic_raw[#Headers],0))=0, INDEX(regions[], MATCH($D33, regions[[setting]:[setting]],0), MATCH(Y$1, regions[#Headers],0)),INDEX(lmic_raw[],MATCH($A33,lmic_raw[[setting]:[setting]],0), MATCH(Y$1, lmic_raw[#Headers],0)))</f>
        <v>5.6074884572483024</v>
      </c>
      <c r="Z33" s="33">
        <f>IF(INDEX(lmic_raw[],MATCH($A33,lmic_raw[[setting]:[setting]],0), MATCH(Z$1, lmic_raw[#Headers],0))=0, INDEX(regions[], MATCH($D33, regions[[setting]:[setting]],0), MATCH(Z$1, regions[#Headers],0)),INDEX(lmic_raw[],MATCH($A33,lmic_raw[[setting]:[setting]],0), MATCH(Z$1, lmic_raw[#Headers],0)))</f>
        <v>5.5954505510255474</v>
      </c>
      <c r="AA33" s="33">
        <f>IF(INDEX(lmic_raw[],MATCH($A33,lmic_raw[[setting]:[setting]],0), MATCH(AA$1, lmic_raw[#Headers],0))=0, INDEX(regions[], MATCH($D33, regions[[setting]:[setting]],0), MATCH(AA$1, regions[#Headers],0)),INDEX(lmic_raw[],MATCH($A33,lmic_raw[[setting]:[setting]],0), MATCH(AA$1, lmic_raw[#Headers],0)))</f>
        <v>6.2835244886554129</v>
      </c>
      <c r="AB33" s="33">
        <f>IF(INDEX(lmic_raw[],MATCH($A33,lmic_raw[[setting]:[setting]],0), MATCH(AB$1, lmic_raw[#Headers],0))=0, INDEX(regions[], MATCH($D33, regions[[setting]:[setting]],0), MATCH(AB$1, regions[#Headers],0)),INDEX(lmic_raw[],MATCH($A33,lmic_raw[[setting]:[setting]],0), MATCH(AB$1, lmic_raw[#Headers],0)))</f>
        <v>6.3035244886554125</v>
      </c>
      <c r="AC33" s="33">
        <f>IF(INDEX(lmic_raw[],MATCH($A33,lmic_raw[[setting]:[setting]],0), MATCH(AC$1, lmic_raw[#Headers],0))=0, INDEX(regions[], MATCH($D33, regions[[setting]:[setting]],0), MATCH(AC$1, regions[#Headers],0)),INDEX(lmic_raw[],MATCH($A33,lmic_raw[[setting]:[setting]],0), MATCH(AC$1, lmic_raw[#Headers],0)))</f>
        <v>4.4860099999999509E-3</v>
      </c>
      <c r="AD33" s="33">
        <f>IF(INDEX(lmic_raw[],MATCH($A33,lmic_raw[[setting]:[setting]],0), MATCH(AD$1, lmic_raw[#Headers],0))=0, INDEX(regions[], MATCH($D33, regions[[setting]:[setting]],0), MATCH(AD$1, regions[#Headers],0)),INDEX(lmic_raw[],MATCH($A33,lmic_raw[[setting]:[setting]],0), MATCH(AD$1, lmic_raw[#Headers],0)))</f>
        <v>2.7286407095093327E-4</v>
      </c>
      <c r="AE33" s="33">
        <f>IF(INDEX(lmic_raw[],MATCH($A33,lmic_raw[[setting]:[setting]],0), MATCH(AE$1, lmic_raw[#Headers],0))=0, INDEX(regions[], MATCH($D33, regions[[setting]:[setting]],0), MATCH(AE$1, regions[#Headers],0)),INDEX(lmic_raw[],MATCH($A33,lmic_raw[[setting]:[setting]],0), MATCH(AE$1, lmic_raw[#Headers],0)))</f>
        <v>1.6058487043142235E-4</v>
      </c>
      <c r="AF33" s="33">
        <f>IF(INDEX(lmic_raw[],MATCH($A33,lmic_raw[[setting]:[setting]],0), MATCH(AF$1, lmic_raw[#Headers],0))=0, INDEX(regions[], MATCH($D33, regions[[setting]:[setting]],0), MATCH(AF$1, regions[#Headers],0)),INDEX(lmic_raw[],MATCH($A33,lmic_raw[[setting]:[setting]],0), MATCH(AF$1, lmic_raw[#Headers],0)))</f>
        <v>2.0419291715907133E-4</v>
      </c>
      <c r="AG33" s="33">
        <f>IF(INDEX(lmic_raw[],MATCH($A33,lmic_raw[[setting]:[setting]],0), MATCH(AG$1, lmic_raw[#Headers],0))=0, INDEX(regions[], MATCH($D33, regions[[setting]:[setting]],0), MATCH(AG$1, regions[#Headers],0)),INDEX(lmic_raw[],MATCH($A33,lmic_raw[[setting]:[setting]],0), MATCH(AG$1, lmic_raw[#Headers],0)))</f>
        <v>4.2856112965182892E-4</v>
      </c>
      <c r="AH33" s="33">
        <f>IF(INDEX(lmic_raw[],MATCH($A33,lmic_raw[[setting]:[setting]],0), MATCH(AH$1, lmic_raw[#Headers],0))=0, INDEX(regions[], MATCH($D33, regions[[setting]:[setting]],0), MATCH(AH$1, regions[#Headers],0)),INDEX(lmic_raw[],MATCH($A33,lmic_raw[[setting]:[setting]],0), MATCH(AH$1, lmic_raw[#Headers],0)))</f>
        <v>5.7381236719039597E-4</v>
      </c>
      <c r="AI33" s="33">
        <f>IF(INDEX(lmic_raw[],MATCH($A33,lmic_raw[[setting]:[setting]],0), MATCH(AI$1, lmic_raw[#Headers],0))=0, INDEX(regions[], MATCH($D33, regions[[setting]:[setting]],0), MATCH(AI$1, regions[#Headers],0)),INDEX(lmic_raw[],MATCH($A33,lmic_raw[[setting]:[setting]],0), MATCH(AI$1, lmic_raw[#Headers],0)))</f>
        <v>6.3449671839327154E-4</v>
      </c>
      <c r="AJ33" s="33">
        <f>IF(INDEX(lmic_raw[],MATCH($A33,lmic_raw[[setting]:[setting]],0), MATCH(AJ$1, lmic_raw[#Headers],0))=0, INDEX(regions[], MATCH($D33, regions[[setting]:[setting]],0), MATCH(AJ$1, regions[#Headers],0)),INDEX(lmic_raw[],MATCH($A33,lmic_raw[[setting]:[setting]],0), MATCH(AJ$1, lmic_raw[#Headers],0)))</f>
        <v>7.9041557705802586E-4</v>
      </c>
      <c r="AK33" s="33">
        <f>IF(INDEX(lmic_raw[],MATCH($A33,lmic_raw[[setting]:[setting]],0), MATCH(AK$1, lmic_raw[#Headers],0))=0, INDEX(regions[], MATCH($D33, regions[[setting]:[setting]],0), MATCH(AK$1, regions[#Headers],0)),INDEX(lmic_raw[],MATCH($A33,lmic_raw[[setting]:[setting]],0), MATCH(AK$1, lmic_raw[#Headers],0)))</f>
        <v>1.0684936873866888E-3</v>
      </c>
      <c r="AL33" s="33">
        <f>IF(INDEX(lmic_raw[],MATCH($A33,lmic_raw[[setting]:[setting]],0), MATCH(AL$1, lmic_raw[#Headers],0))=0, INDEX(regions[], MATCH($D33, regions[[setting]:[setting]],0), MATCH(AL$1, regions[#Headers],0)),INDEX(lmic_raw[],MATCH($A33,lmic_raw[[setting]:[setting]],0), MATCH(AL$1, lmic_raw[#Headers],0)))</f>
        <v>1.6980494435071534E-3</v>
      </c>
      <c r="AM33" s="33">
        <f>IF(INDEX(lmic_raw[],MATCH($A33,lmic_raw[[setting]:[setting]],0), MATCH(AM$1, lmic_raw[#Headers],0))=0, INDEX(regions[], MATCH($D33, regions[[setting]:[setting]],0), MATCH(AM$1, regions[#Headers],0)),INDEX(lmic_raw[],MATCH($A33,lmic_raw[[setting]:[setting]],0), MATCH(AM$1, lmic_raw[#Headers],0)))</f>
        <v>2.8320069798676538E-3</v>
      </c>
      <c r="AN33" s="33">
        <f>IF(INDEX(lmic_raw[],MATCH($A33,lmic_raw[[setting]:[setting]],0), MATCH(AN$1, lmic_raw[#Headers],0))=0, INDEX(regions[], MATCH($D33, regions[[setting]:[setting]],0), MATCH(AN$1, regions[#Headers],0)),INDEX(lmic_raw[],MATCH($A33,lmic_raw[[setting]:[setting]],0), MATCH(AN$1, lmic_raw[#Headers],0)))</f>
        <v>4.5622141489087241E-3</v>
      </c>
      <c r="AO33" s="33">
        <f>IF(INDEX(lmic_raw[],MATCH($A33,lmic_raw[[setting]:[setting]],0), MATCH(AO$1, lmic_raw[#Headers],0))=0, INDEX(regions[], MATCH($D33, regions[[setting]:[setting]],0), MATCH(AO$1, regions[#Headers],0)),INDEX(lmic_raw[],MATCH($A33,lmic_raw[[setting]:[setting]],0), MATCH(AO$1, lmic_raw[#Headers],0)))</f>
        <v>7.0343698713799694E-3</v>
      </c>
      <c r="AP33" s="33">
        <f>IF(INDEX(lmic_raw[],MATCH($A33,lmic_raw[[setting]:[setting]],0), MATCH(AP$1, lmic_raw[#Headers],0))=0, INDEX(regions[], MATCH($D33, regions[[setting]:[setting]],0), MATCH(AP$1, regions[#Headers],0)),INDEX(lmic_raw[],MATCH($A33,lmic_raw[[setting]:[setting]],0), MATCH(AP$1, lmic_raw[#Headers],0)))</f>
        <v>1.1144826118651127E-2</v>
      </c>
      <c r="AQ33" s="33">
        <f>IF(INDEX(lmic_raw[],MATCH($A33,lmic_raw[[setting]:[setting]],0), MATCH(AQ$1, lmic_raw[#Headers],0))=0, INDEX(regions[], MATCH($D33, regions[[setting]:[setting]],0), MATCH(AQ$1, regions[#Headers],0)),INDEX(lmic_raw[],MATCH($A33,lmic_raw[[setting]:[setting]],0), MATCH(AQ$1, lmic_raw[#Headers],0)))</f>
        <v>1.7004870824126817E-2</v>
      </c>
      <c r="AR33" s="33">
        <f>IF(INDEX(lmic_raw[],MATCH($A33,lmic_raw[[setting]:[setting]],0), MATCH(AR$1, lmic_raw[#Headers],0))=0, INDEX(regions[], MATCH($D33, regions[[setting]:[setting]],0), MATCH(AR$1, regions[#Headers],0)),INDEX(lmic_raw[],MATCH($A33,lmic_raw[[setting]:[setting]],0), MATCH(AR$1, lmic_raw[#Headers],0)))</f>
        <v>2.4790327704297923E-2</v>
      </c>
      <c r="AS33" s="33">
        <f>IF(INDEX(lmic_raw[],MATCH($A33,lmic_raw[[setting]:[setting]],0), MATCH(AS$1, lmic_raw[#Headers],0))=0, INDEX(regions[], MATCH($D33, regions[[setting]:[setting]],0), MATCH(AS$1, regions[#Headers],0)),INDEX(lmic_raw[],MATCH($A33,lmic_raw[[setting]:[setting]],0), MATCH(AS$1, lmic_raw[#Headers],0)))</f>
        <v>3.7568422963982953E-2</v>
      </c>
      <c r="AT33" s="33">
        <f>IF(INDEX(lmic_raw[],MATCH($A33,lmic_raw[[setting]:[setting]],0), MATCH(AT$1, lmic_raw[#Headers],0))=0, INDEX(regions[], MATCH($D33, regions[[setting]:[setting]],0), MATCH(AT$1, regions[#Headers],0)),INDEX(lmic_raw[],MATCH($A33,lmic_raw[[setting]:[setting]],0), MATCH(AT$1, lmic_raw[#Headers],0)))</f>
        <v>6.0408823783307579E-2</v>
      </c>
      <c r="AU33" s="33">
        <f>IF(INDEX(lmic_raw[],MATCH($A33,lmic_raw[[setting]:[setting]],0), MATCH(AU$1, lmic_raw[#Headers],0))=0, INDEX(regions[], MATCH($D33, regions[[setting]:[setting]],0), MATCH(AU$1, regions[#Headers],0)),INDEX(lmic_raw[],MATCH($A33,lmic_raw[[setting]:[setting]],0), MATCH(AU$1, lmic_raw[#Headers],0)))</f>
        <v>8.5664354340569099E-2</v>
      </c>
      <c r="AV33" s="33">
        <f>IF(INDEX(lmic_raw[],MATCH($A33,lmic_raw[[setting]:[setting]],0), MATCH(AV$1, lmic_raw[#Headers],0))=0, INDEX(regions[], MATCH($D33, regions[[setting]:[setting]],0), MATCH(AV$1, regions[#Headers],0)),INDEX(lmic_raw[],MATCH($A33,lmic_raw[[setting]:[setting]],0), MATCH(AV$1, lmic_raw[#Headers],0)))</f>
        <v>0.11387042910074163</v>
      </c>
      <c r="AW33" s="33">
        <f>IF(INDEX(lmic_raw[],MATCH($A33,lmic_raw[[setting]:[setting]],0), MATCH(AW$1, lmic_raw[#Headers],0))=0, INDEX(regions[], MATCH($D33, regions[[setting]:[setting]],0), MATCH(AW$1, regions[#Headers],0)),INDEX(lmic_raw[],MATCH($A33,lmic_raw[[setting]:[setting]],0), MATCH(AW$1, lmic_raw[#Headers],0)))</f>
        <v>0.14301913227179722</v>
      </c>
      <c r="AX33" s="33">
        <f>IF(INDEX(lmic_raw[],MATCH($A33,lmic_raw[[setting]:[setting]],0), MATCH(AX$1, lmic_raw[#Headers],0))=0, INDEX(regions[], MATCH($D33, regions[[setting]:[setting]],0), MATCH(AX$1, regions[#Headers],0)),INDEX(lmic_raw[],MATCH($A33,lmic_raw[[setting]:[setting]],0), MATCH(AX$1, lmic_raw[#Headers],0)))</f>
        <v>78.685000000000002</v>
      </c>
      <c r="AY33" s="33" t="str">
        <f>IF(VLOOKUP($A33,lmic_raw[],11,FALSE)=0, "Yes", "No")</f>
        <v>No</v>
      </c>
    </row>
    <row r="34" spans="1:51" x14ac:dyDescent="0.25">
      <c r="A34" s="109" t="s">
        <v>103</v>
      </c>
      <c r="B34" s="101" t="s">
        <v>414</v>
      </c>
      <c r="C34" s="102">
        <v>262</v>
      </c>
      <c r="D34" s="82" t="s">
        <v>673</v>
      </c>
      <c r="E34" s="82" t="s">
        <v>597</v>
      </c>
      <c r="F34" s="82" t="s">
        <v>667</v>
      </c>
      <c r="G34" s="82" t="s">
        <v>678</v>
      </c>
      <c r="H34" s="33">
        <f>IF(INDEX(lmic_raw[],MATCH($A34,lmic_raw[[setting]:[setting]],0), MATCH(H$1, lmic_raw[#Headers],0))=0, INDEX(regions[], MATCH($D34, regions[[setting]:[setting]],0), MATCH(H$1, regions[#Headers],0)),INDEX(lmic_raw[],MATCH($A34,lmic_raw[[setting]:[setting]],0), MATCH(H$1, lmic_raw[#Headers],0)))</f>
        <v>973557</v>
      </c>
      <c r="I34" s="33">
        <f>IF(INDEX(lmic_raw[],MATCH($A34,lmic_raw[[setting]:[setting]],0), MATCH(I$1, lmic_raw[#Headers],0))=0, INDEX(regions[], MATCH($D34, regions[[setting]:[setting]],0), MATCH(I$1, regions[#Headers],0)),INDEX(lmic_raw[],MATCH($A34,lmic_raw[[setting]:[setting]],0), MATCH(I$1, lmic_raw[#Headers],0)))</f>
        <v>21121.319115000002</v>
      </c>
      <c r="J34" s="33">
        <f>IF(INDEX(lmic_raw[],MATCH($A34,lmic_raw[[setting]:[setting]],0), MATCH(J$1, lmic_raw[#Headers],0))=0, INDEX(regions[], MATCH($D34, regions[[setting]:[setting]],0), MATCH(J$1, regions[#Headers],0)),INDEX(lmic_raw[],MATCH($A34,lmic_raw[[setting]:[setting]],0), MATCH(J$1, lmic_raw[#Headers],0)))</f>
        <v>0.86699999999999999</v>
      </c>
      <c r="K34" s="33">
        <f>IF(INDEX(lmic_raw[],MATCH($A34,lmic_raw[[setting]:[setting]],0), MATCH(K$1, lmic_raw[#Headers],0))=0, INDEX(regions[], MATCH($D34, regions[[setting]:[setting]],0), MATCH(K$1, regions[#Headers],0)),INDEX(lmic_raw[],MATCH($A34,lmic_raw[[setting]:[setting]],0), MATCH(K$1, lmic_raw[#Headers],0)))</f>
        <v>0.95</v>
      </c>
      <c r="L34" s="33">
        <f>IF(INDEX(lmic_raw[],MATCH($A34,lmic_raw[[setting]:[setting]],0), MATCH(L$1, lmic_raw[#Headers],0))=0, INDEX(regions[], MATCH($D34, regions[[setting]:[setting]],0), MATCH(L$1, regions[#Headers],0)),INDEX(lmic_raw[],MATCH($A34,lmic_raw[[setting]:[setting]],0), MATCH(L$1, lmic_raw[#Headers],0)))</f>
        <v>0.85</v>
      </c>
      <c r="M34" s="33">
        <f>IF(INDEX(lmic_raw[],MATCH($A34,lmic_raw[[setting]:[setting]],0), MATCH(M$1, lmic_raw[#Headers],0))=0, INDEX(regions[], MATCH($D34, regions[[setting]:[setting]],0), MATCH(M$1, regions[#Headers],0)),INDEX(lmic_raw[],MATCH($A34,lmic_raw[[setting]:[setting]],0), MATCH(M$1, lmic_raw[#Headers],0)))</f>
        <v>3.4300000000000004E-2</v>
      </c>
      <c r="N34" s="33">
        <f>IF(INDEX(lmic_raw[],MATCH($A34,lmic_raw[[setting]:[setting]],0), MATCH(N$1, lmic_raw[#Headers],0))=0, INDEX(regions[], MATCH($D34, regions[[setting]:[setting]],0), MATCH(N$1, regions[#Headers],0)),INDEX(lmic_raw[],MATCH($A34,lmic_raw[[setting]:[setting]],0), MATCH(N$1, lmic_raw[#Headers],0)))</f>
        <v>0.2560195816126718</v>
      </c>
      <c r="O34" s="33">
        <f>IF(INDEX(lmic_raw[],MATCH($A34,lmic_raw[[setting]:[setting]],0), MATCH(O$1, lmic_raw[#Headers],0))=0, INDEX(regions[], MATCH($D34, regions[[setting]:[setting]],0), MATCH(O$1, regions[#Headers],0)),INDEX(lmic_raw[],MATCH($A34,lmic_raw[[setting]:[setting]],0), MATCH(O$1, lmic_raw[#Headers],0)))</f>
        <v>0.38300000000000001</v>
      </c>
      <c r="P34" s="33">
        <f>IF(INDEX(lmic_raw[],MATCH($A34,lmic_raw[[setting]:[setting]],0), MATCH(P$1, lmic_raw[#Headers],0))=0, INDEX(regions[], MATCH($D34, regions[[setting]:[setting]],0), MATCH(P$1, regions[#Headers],0)),INDEX(lmic_raw[],MATCH($A34,lmic_raw[[setting]:[setting]],0), MATCH(P$1, lmic_raw[#Headers],0)))</f>
        <v>4.8000000000000001E-2</v>
      </c>
      <c r="Q34" s="33">
        <f>IF(INDEX(lmic_raw[],MATCH($A34,lmic_raw[[setting]:[setting]],0), MATCH(Q$1, lmic_raw[#Headers],0))=0, INDEX(regions[], MATCH($D34, regions[[setting]:[setting]],0), MATCH(Q$1, regions[#Headers],0)),INDEX(lmic_raw[],MATCH($A34,lmic_raw[[setting]:[setting]],0), MATCH(Q$1, lmic_raw[#Headers],0)))</f>
        <v>4.2605860008629515</v>
      </c>
      <c r="R34" s="33">
        <f>IF(INDEX(lmic_raw[],MATCH($A34,lmic_raw[[setting]:[setting]],0), MATCH(R$1, lmic_raw[#Headers],0))=0, INDEX(regions[], MATCH($D34, regions[[setting]:[setting]],0), MATCH(R$1, regions[#Headers],0)),INDEX(lmic_raw[],MATCH($A34,lmic_raw[[setting]:[setting]],0), MATCH(R$1, lmic_raw[#Headers],0)))</f>
        <v>29.920500000000001</v>
      </c>
      <c r="S34" s="33">
        <f>IF(INDEX(lmic_raw[],MATCH($A34,lmic_raw[[setting]:[setting]],0), MATCH(S$1, lmic_raw[#Headers],0))=0, INDEX(regions[], MATCH($D34, regions[[setting]:[setting]],0), MATCH(S$1, regions[#Headers],0)),INDEX(lmic_raw[],MATCH($A34,lmic_raw[[setting]:[setting]],0), MATCH(S$1, lmic_raw[#Headers],0)))</f>
        <v>77.662500000000009</v>
      </c>
      <c r="T34" s="33">
        <f>IF(INDEX(lmic_raw[],MATCH($A34,lmic_raw[[setting]:[setting]],0), MATCH(T$1, lmic_raw[#Headers],0))=0, INDEX(regions[], MATCH($D34, regions[[setting]:[setting]],0), MATCH(T$1, regions[#Headers],0)),INDEX(lmic_raw[],MATCH($A34,lmic_raw[[setting]:[setting]],0), MATCH(T$1, lmic_raw[#Headers],0)))</f>
        <v>77.662500000000009</v>
      </c>
      <c r="U34" s="33">
        <f>IF(INDEX(lmic_raw[],MATCH($A34,lmic_raw[[setting]:[setting]],0), MATCH(U$1, lmic_raw[#Headers],0))=0, INDEX(regions[], MATCH($D34, regions[[setting]:[setting]],0), MATCH(U$1, regions[#Headers],0)),INDEX(lmic_raw[],MATCH($A34,lmic_raw[[setting]:[setting]],0), MATCH(U$1, lmic_raw[#Headers],0)))</f>
        <v>77.662500000000009</v>
      </c>
      <c r="V34" s="33">
        <f>IF(INDEX(lmic_raw[],MATCH($A34,lmic_raw[[setting]:[setting]],0), MATCH(V$1, lmic_raw[#Headers],0))=0, INDEX(regions[], MATCH($D34, regions[[setting]:[setting]],0), MATCH(V$1, regions[#Headers],0)),INDEX(lmic_raw[],MATCH($A34,lmic_raw[[setting]:[setting]],0), MATCH(V$1, lmic_raw[#Headers],0)))</f>
        <v>4.5961868316315577</v>
      </c>
      <c r="W34" s="33">
        <f>IF(INDEX(lmic_raw[],MATCH($A34,lmic_raw[[setting]:[setting]],0), MATCH(W$1, lmic_raw[#Headers],0))=0, INDEX(regions[], MATCH($D34, regions[[setting]:[setting]],0), MATCH(W$1, regions[#Headers],0)),INDEX(lmic_raw[],MATCH($A34,lmic_raw[[setting]:[setting]],0), MATCH(W$1, lmic_raw[#Headers],0)))</f>
        <v>9.4261868316315578</v>
      </c>
      <c r="X34" s="33">
        <f>IF(INDEX(lmic_raw[],MATCH($A34,lmic_raw[[setting]:[setting]],0), MATCH(X$1, lmic_raw[#Headers],0))=0, INDEX(regions[], MATCH($D34, regions[[setting]:[setting]],0), MATCH(X$1, regions[#Headers],0)),INDEX(lmic_raw[],MATCH($A34,lmic_raw[[setting]:[setting]],0), MATCH(X$1, lmic_raw[#Headers],0)))</f>
        <v>4.1582689282451577</v>
      </c>
      <c r="Y34" s="33">
        <f>IF(INDEX(lmic_raw[],MATCH($A34,lmic_raw[[setting]:[setting]],0), MATCH(Y$1, lmic_raw[#Headers],0))=0, INDEX(regions[], MATCH($D34, regions[[setting]:[setting]],0), MATCH(Y$1, regions[#Headers],0)),INDEX(lmic_raw[],MATCH($A34,lmic_raw[[setting]:[setting]],0), MATCH(Y$1, lmic_raw[#Headers],0)))</f>
        <v>8.9882689282451587</v>
      </c>
      <c r="Z34" s="33">
        <f>IF(INDEX(lmic_raw[],MATCH($A34,lmic_raw[[setting]:[setting]],0), MATCH(Z$1, lmic_raw[#Headers],0))=0, INDEX(regions[], MATCH($D34, regions[[setting]:[setting]],0), MATCH(Z$1, regions[#Headers],0)),INDEX(lmic_raw[],MATCH($A34,lmic_raw[[setting]:[setting]],0), MATCH(Z$1, lmic_raw[#Headers],0)))</f>
        <v>8.9802123811146757</v>
      </c>
      <c r="AA34" s="33">
        <f>IF(INDEX(lmic_raw[],MATCH($A34,lmic_raw[[setting]:[setting]],0), MATCH(AA$1, lmic_raw[#Headers],0))=0, INDEX(regions[], MATCH($D34, regions[[setting]:[setting]],0), MATCH(AA$1, regions[#Headers],0)),INDEX(lmic_raw[],MATCH($A34,lmic_raw[[setting]:[setting]],0), MATCH(AA$1, lmic_raw[#Headers],0)))</f>
        <v>4.8422670005290032</v>
      </c>
      <c r="AB34" s="33">
        <f>IF(INDEX(lmic_raw[],MATCH($A34,lmic_raw[[setting]:[setting]],0), MATCH(AB$1, lmic_raw[#Headers],0))=0, INDEX(regions[], MATCH($D34, regions[[setting]:[setting]],0), MATCH(AB$1, regions[#Headers],0)),INDEX(lmic_raw[],MATCH($A34,lmic_raw[[setting]:[setting]],0), MATCH(AB$1, lmic_raw[#Headers],0)))</f>
        <v>9.6722670005290041</v>
      </c>
      <c r="AC34" s="33">
        <f>IF(INDEX(lmic_raw[],MATCH($A34,lmic_raw[[setting]:[setting]],0), MATCH(AC$1, lmic_raw[#Headers],0))=0, INDEX(regions[], MATCH($D34, regions[[setting]:[setting]],0), MATCH(AC$1, regions[#Headers],0)),INDEX(lmic_raw[],MATCH($A34,lmic_raw[[setting]:[setting]],0), MATCH(AC$1, lmic_raw[#Headers],0)))</f>
        <v>3.3652050000000017E-2</v>
      </c>
      <c r="AD34" s="33">
        <f>IF(INDEX(lmic_raw[],MATCH($A34,lmic_raw[[setting]:[setting]],0), MATCH(AD$1, lmic_raw[#Headers],0))=0, INDEX(regions[], MATCH($D34, regions[[setting]:[setting]],0), MATCH(AD$1, regions[#Headers],0)),INDEX(lmic_raw[],MATCH($A34,lmic_raw[[setting]:[setting]],0), MATCH(AD$1, lmic_raw[#Headers],0)))</f>
        <v>4.5286948660676427E-3</v>
      </c>
      <c r="AE34" s="33">
        <f>IF(INDEX(lmic_raw[],MATCH($A34,lmic_raw[[setting]:[setting]],0), MATCH(AE$1, lmic_raw[#Headers],0))=0, INDEX(regions[], MATCH($D34, regions[[setting]:[setting]],0), MATCH(AE$1, regions[#Headers],0)),INDEX(lmic_raw[],MATCH($A34,lmic_raw[[setting]:[setting]],0), MATCH(AE$1, lmic_raw[#Headers],0)))</f>
        <v>1.7770425757683657E-3</v>
      </c>
      <c r="AF34" s="33">
        <f>IF(INDEX(lmic_raw[],MATCH($A34,lmic_raw[[setting]:[setting]],0), MATCH(AF$1, lmic_raw[#Headers],0))=0, INDEX(regions[], MATCH($D34, regions[[setting]:[setting]],0), MATCH(AF$1, regions[#Headers],0)),INDEX(lmic_raw[],MATCH($A34,lmic_raw[[setting]:[setting]],0), MATCH(AF$1, lmic_raw[#Headers],0)))</f>
        <v>1.2140762544420878E-3</v>
      </c>
      <c r="AG34" s="33">
        <f>IF(INDEX(lmic_raw[],MATCH($A34,lmic_raw[[setting]:[setting]],0), MATCH(AG$1, lmic_raw[#Headers],0))=0, INDEX(regions[], MATCH($D34, regions[[setting]:[setting]],0), MATCH(AG$1, regions[#Headers],0)),INDEX(lmic_raw[],MATCH($A34,lmic_raw[[setting]:[setting]],0), MATCH(AG$1, lmic_raw[#Headers],0)))</f>
        <v>1.6221358937118986E-3</v>
      </c>
      <c r="AH34" s="33">
        <f>IF(INDEX(lmic_raw[],MATCH($A34,lmic_raw[[setting]:[setting]],0), MATCH(AH$1, lmic_raw[#Headers],0))=0, INDEX(regions[], MATCH($D34, regions[[setting]:[setting]],0), MATCH(AH$1, regions[#Headers],0)),INDEX(lmic_raw[],MATCH($A34,lmic_raw[[setting]:[setting]],0), MATCH(AH$1, lmic_raw[#Headers],0)))</f>
        <v>2.1692584353159221E-3</v>
      </c>
      <c r="AI34" s="33">
        <f>IF(INDEX(lmic_raw[],MATCH($A34,lmic_raw[[setting]:[setting]],0), MATCH(AI$1, lmic_raw[#Headers],0))=0, INDEX(regions[], MATCH($D34, regions[[setting]:[setting]],0), MATCH(AI$1, regions[#Headers],0)),INDEX(lmic_raw[],MATCH($A34,lmic_raw[[setting]:[setting]],0), MATCH(AI$1, lmic_raw[#Headers],0)))</f>
        <v>2.6138540091944569E-3</v>
      </c>
      <c r="AJ34" s="33">
        <f>IF(INDEX(lmic_raw[],MATCH($A34,lmic_raw[[setting]:[setting]],0), MATCH(AJ$1, lmic_raw[#Headers],0))=0, INDEX(regions[], MATCH($D34, regions[[setting]:[setting]],0), MATCH(AJ$1, regions[#Headers],0)),INDEX(lmic_raw[],MATCH($A34,lmic_raw[[setting]:[setting]],0), MATCH(AJ$1, lmic_raw[#Headers],0)))</f>
        <v>3.2985286081480751E-3</v>
      </c>
      <c r="AK34" s="33">
        <f>IF(INDEX(lmic_raw[],MATCH($A34,lmic_raw[[setting]:[setting]],0), MATCH(AK$1, lmic_raw[#Headers],0))=0, INDEX(regions[], MATCH($D34, regions[[setting]:[setting]],0), MATCH(AK$1, regions[#Headers],0)),INDEX(lmic_raw[],MATCH($A34,lmic_raw[[setting]:[setting]],0), MATCH(AK$1, lmic_raw[#Headers],0)))</f>
        <v>4.4668745220981217E-3</v>
      </c>
      <c r="AL34" s="33">
        <f>IF(INDEX(lmic_raw[],MATCH($A34,lmic_raw[[setting]:[setting]],0), MATCH(AL$1, lmic_raw[#Headers],0))=0, INDEX(regions[], MATCH($D34, regions[[setting]:[setting]],0), MATCH(AL$1, regions[#Headers],0)),INDEX(lmic_raw[],MATCH($A34,lmic_raw[[setting]:[setting]],0), MATCH(AL$1, lmic_raw[#Headers],0)))</f>
        <v>5.5143666885556029E-3</v>
      </c>
      <c r="AM34" s="33">
        <f>IF(INDEX(lmic_raw[],MATCH($A34,lmic_raw[[setting]:[setting]],0), MATCH(AM$1, lmic_raw[#Headers],0))=0, INDEX(regions[], MATCH($D34, regions[[setting]:[setting]],0), MATCH(AM$1, regions[#Headers],0)),INDEX(lmic_raw[],MATCH($A34,lmic_raw[[setting]:[setting]],0), MATCH(AM$1, lmic_raw[#Headers],0)))</f>
        <v>6.6193220926600979E-3</v>
      </c>
      <c r="AN34" s="33">
        <f>IF(INDEX(lmic_raw[],MATCH($A34,lmic_raw[[setting]:[setting]],0), MATCH(AN$1, lmic_raw[#Headers],0))=0, INDEX(regions[], MATCH($D34, regions[[setting]:[setting]],0), MATCH(AN$1, regions[#Headers],0)),INDEX(lmic_raw[],MATCH($A34,lmic_raw[[setting]:[setting]],0), MATCH(AN$1, lmic_raw[#Headers],0)))</f>
        <v>8.6599715494527271E-3</v>
      </c>
      <c r="AO34" s="33">
        <f>IF(INDEX(lmic_raw[],MATCH($A34,lmic_raw[[setting]:[setting]],0), MATCH(AO$1, lmic_raw[#Headers],0))=0, INDEX(regions[], MATCH($D34, regions[[setting]:[setting]],0), MATCH(AO$1, regions[#Headers],0)),INDEX(lmic_raw[],MATCH($A34,lmic_raw[[setting]:[setting]],0), MATCH(AO$1, lmic_raw[#Headers],0)))</f>
        <v>1.1327594658021498E-2</v>
      </c>
      <c r="AP34" s="33">
        <f>IF(INDEX(lmic_raw[],MATCH($A34,lmic_raw[[setting]:[setting]],0), MATCH(AP$1, lmic_raw[#Headers],0))=0, INDEX(regions[], MATCH($D34, regions[[setting]:[setting]],0), MATCH(AP$1, regions[#Headers],0)),INDEX(lmic_raw[],MATCH($A34,lmic_raw[[setting]:[setting]],0), MATCH(AP$1, lmic_raw[#Headers],0)))</f>
        <v>1.7073142130542264E-2</v>
      </c>
      <c r="AQ34" s="33">
        <f>IF(INDEX(lmic_raw[],MATCH($A34,lmic_raw[[setting]:[setting]],0), MATCH(AQ$1, lmic_raw[#Headers],0))=0, INDEX(regions[], MATCH($D34, regions[[setting]:[setting]],0), MATCH(AQ$1, regions[#Headers],0)),INDEX(lmic_raw[],MATCH($A34,lmic_raw[[setting]:[setting]],0), MATCH(AQ$1, lmic_raw[#Headers],0)))</f>
        <v>2.6326994283116099E-2</v>
      </c>
      <c r="AR34" s="33">
        <f>IF(INDEX(lmic_raw[],MATCH($A34,lmic_raw[[setting]:[setting]],0), MATCH(AR$1, lmic_raw[#Headers],0))=0, INDEX(regions[], MATCH($D34, regions[[setting]:[setting]],0), MATCH(AR$1, regions[#Headers],0)),INDEX(lmic_raw[],MATCH($A34,lmic_raw[[setting]:[setting]],0), MATCH(AR$1, lmic_raw[#Headers],0)))</f>
        <v>4.0989689849863606E-2</v>
      </c>
      <c r="AS34" s="33">
        <f>IF(INDEX(lmic_raw[],MATCH($A34,lmic_raw[[setting]:[setting]],0), MATCH(AS$1, lmic_raw[#Headers],0))=0, INDEX(regions[], MATCH($D34, regions[[setting]:[setting]],0), MATCH(AS$1, regions[#Headers],0)),INDEX(lmic_raw[],MATCH($A34,lmic_raw[[setting]:[setting]],0), MATCH(AS$1, lmic_raw[#Headers],0)))</f>
        <v>6.2473910229660326E-2</v>
      </c>
      <c r="AT34" s="33">
        <f>IF(INDEX(lmic_raw[],MATCH($A34,lmic_raw[[setting]:[setting]],0), MATCH(AT$1, lmic_raw[#Headers],0))=0, INDEX(regions[], MATCH($D34, regions[[setting]:[setting]],0), MATCH(AT$1, regions[#Headers],0)),INDEX(lmic_raw[],MATCH($A34,lmic_raw[[setting]:[setting]],0), MATCH(AT$1, lmic_raw[#Headers],0)))</f>
        <v>9.1689805616604197E-2</v>
      </c>
      <c r="AU34" s="33">
        <f>IF(INDEX(lmic_raw[],MATCH($A34,lmic_raw[[setting]:[setting]],0), MATCH(AU$1, lmic_raw[#Headers],0))=0, INDEX(regions[], MATCH($D34, regions[[setting]:[setting]],0), MATCH(AU$1, regions[#Headers],0)),INDEX(lmic_raw[],MATCH($A34,lmic_raw[[setting]:[setting]],0), MATCH(AU$1, lmic_raw[#Headers],0)))</f>
        <v>0.12456118941341625</v>
      </c>
      <c r="AV34" s="33">
        <f>IF(INDEX(lmic_raw[],MATCH($A34,lmic_raw[[setting]:[setting]],0), MATCH(AV$1, lmic_raw[#Headers],0))=0, INDEX(regions[], MATCH($D34, regions[[setting]:[setting]],0), MATCH(AV$1, regions[#Headers],0)),INDEX(lmic_raw[],MATCH($A34,lmic_raw[[setting]:[setting]],0), MATCH(AV$1, lmic_raw[#Headers],0)))</f>
        <v>0.15352283955587445</v>
      </c>
      <c r="AW34" s="33">
        <f>IF(INDEX(lmic_raw[],MATCH($A34,lmic_raw[[setting]:[setting]],0), MATCH(AW$1, lmic_raw[#Headers],0))=0, INDEX(regions[], MATCH($D34, regions[[setting]:[setting]],0), MATCH(AW$1, regions[#Headers],0)),INDEX(lmic_raw[],MATCH($A34,lmic_raw[[setting]:[setting]],0), MATCH(AW$1, lmic_raw[#Headers],0)))</f>
        <v>0.17455336213556152</v>
      </c>
      <c r="AX34" s="33">
        <f>IF(INDEX(lmic_raw[],MATCH($A34,lmic_raw[[setting]:[setting]],0), MATCH(AX$1, lmic_raw[#Headers],0))=0, INDEX(regions[], MATCH($D34, regions[[setting]:[setting]],0), MATCH(AX$1, regions[#Headers],0)),INDEX(lmic_raw[],MATCH($A34,lmic_raw[[setting]:[setting]],0), MATCH(AX$1, lmic_raw[#Headers],0)))</f>
        <v>66.540000000000006</v>
      </c>
      <c r="AY34" s="33" t="str">
        <f>IF(VLOOKUP($A34,lmic_raw[],11,FALSE)=0, "Yes", "No")</f>
        <v>No</v>
      </c>
    </row>
    <row r="35" spans="1:51" x14ac:dyDescent="0.25">
      <c r="A35" s="110" t="s">
        <v>234</v>
      </c>
      <c r="B35" s="104" t="s">
        <v>612</v>
      </c>
      <c r="C35" s="105">
        <v>212</v>
      </c>
      <c r="D35" s="84" t="s">
        <v>679</v>
      </c>
      <c r="E35" s="84" t="s">
        <v>223</v>
      </c>
      <c r="F35" s="84" t="s">
        <v>665</v>
      </c>
      <c r="G35" s="84" t="s">
        <v>676</v>
      </c>
      <c r="H35" s="33">
        <f>IF(INDEX(lmic_raw[],MATCH($A35,lmic_raw[[setting]:[setting]],0), MATCH(H$1, lmic_raw[#Headers],0))=0, INDEX(regions[], MATCH($D35, regions[[setting]:[setting]],0), MATCH(H$1, regions[#Headers],0)),INDEX(lmic_raw[],MATCH($A35,lmic_raw[[setting]:[setting]],0), MATCH(H$1, lmic_raw[#Headers],0)))</f>
        <v>71808</v>
      </c>
      <c r="I35" s="33">
        <f>IF(INDEX(lmic_raw[],MATCH($A35,lmic_raw[[setting]:[setting]],0), MATCH(I$1, lmic_raw[#Headers],0))=0, INDEX(regions[], MATCH($D35, regions[[setting]:[setting]],0), MATCH(I$1, regions[#Headers],0)),INDEX(lmic_raw[],MATCH($A35,lmic_raw[[setting]:[setting]],0), MATCH(I$1, lmic_raw[#Headers],0)))</f>
        <v>861.69600000000014</v>
      </c>
      <c r="J35" s="33">
        <f>IF(INDEX(lmic_raw[],MATCH($A35,lmic_raw[[setting]:[setting]],0), MATCH(J$1, lmic_raw[#Headers],0))=0, INDEX(regions[], MATCH($D35, regions[[setting]:[setting]],0), MATCH(J$1, regions[#Headers],0)),INDEX(lmic_raw[],MATCH($A35,lmic_raw[[setting]:[setting]],0), MATCH(J$1, lmic_raw[#Headers],0)))</f>
        <v>0.95521543039667178</v>
      </c>
      <c r="K35" s="33">
        <f>IF(INDEX(lmic_raw[],MATCH($A35,lmic_raw[[setting]:[setting]],0), MATCH(K$1, lmic_raw[#Headers],0))=0, INDEX(regions[], MATCH($D35, regions[[setting]:[setting]],0), MATCH(K$1, regions[#Headers],0)),INDEX(lmic_raw[],MATCH($A35,lmic_raw[[setting]:[setting]],0), MATCH(K$1, lmic_raw[#Headers],0)))</f>
        <v>0.97</v>
      </c>
      <c r="L35" s="33">
        <f>IF(INDEX(lmic_raw[],MATCH($A35,lmic_raw[[setting]:[setting]],0), MATCH(L$1, lmic_raw[#Headers],0))=0, INDEX(regions[], MATCH($D35, regions[[setting]:[setting]],0), MATCH(L$1, regions[#Headers],0)),INDEX(lmic_raw[],MATCH($A35,lmic_raw[[setting]:[setting]],0), MATCH(L$1, lmic_raw[#Headers],0)))</f>
        <v>0.99</v>
      </c>
      <c r="M35" s="33">
        <f>IF(INDEX(lmic_raw[],MATCH($A35,lmic_raw[[setting]:[setting]],0), MATCH(M$1, lmic_raw[#Headers],0))=0, INDEX(regions[], MATCH($D35, regions[[setting]:[setting]],0), MATCH(M$1, regions[#Headers],0)),INDEX(lmic_raw[],MATCH($A35,lmic_raw[[setting]:[setting]],0), MATCH(M$1, lmic_raw[#Headers],0)))</f>
        <v>1.23E-2</v>
      </c>
      <c r="N35" s="33">
        <f>IF(INDEX(lmic_raw[],MATCH($A35,lmic_raw[[setting]:[setting]],0), MATCH(N$1, lmic_raw[#Headers],0))=0, INDEX(regions[], MATCH($D35, regions[[setting]:[setting]],0), MATCH(N$1, regions[#Headers],0)),INDEX(lmic_raw[],MATCH($A35,lmic_raw[[setting]:[setting]],0), MATCH(N$1, lmic_raw[#Headers],0)))</f>
        <v>0.31079232131491918</v>
      </c>
      <c r="O35" s="33">
        <f>IF(INDEX(lmic_raw[],MATCH($A35,lmic_raw[[setting]:[setting]],0), MATCH(O$1, lmic_raw[#Headers],0))=0, INDEX(regions[], MATCH($D35, regions[[setting]:[setting]],0), MATCH(O$1, regions[#Headers],0)),INDEX(lmic_raw[],MATCH($A35,lmic_raw[[setting]:[setting]],0), MATCH(O$1, lmic_raw[#Headers],0)))</f>
        <v>0.8</v>
      </c>
      <c r="P35" s="33">
        <f>IF(INDEX(lmic_raw[],MATCH($A35,lmic_raw[[setting]:[setting]],0), MATCH(P$1, lmic_raw[#Headers],0))=0, INDEX(regions[], MATCH($D35, regions[[setting]:[setting]],0), MATCH(P$1, regions[#Headers],0)),INDEX(lmic_raw[],MATCH($A35,lmic_raw[[setting]:[setting]],0), MATCH(P$1, lmic_raw[#Headers],0)))</f>
        <v>0.17499999999999999</v>
      </c>
      <c r="Q35" s="33">
        <f>IF(INDEX(lmic_raw[],MATCH($A35,lmic_raw[[setting]:[setting]],0), MATCH(Q$1, lmic_raw[#Headers],0))=0, INDEX(regions[], MATCH($D35, regions[[setting]:[setting]],0), MATCH(Q$1, regions[#Headers],0)),INDEX(lmic_raw[],MATCH($A35,lmic_raw[[setting]:[setting]],0), MATCH(Q$1, lmic_raw[#Headers],0)))</f>
        <v>9.6840699904272629</v>
      </c>
      <c r="R35" s="33">
        <f>IF(INDEX(lmic_raw[],MATCH($A35,lmic_raw[[setting]:[setting]],0), MATCH(R$1, lmic_raw[#Headers],0))=0, INDEX(regions[], MATCH($D35, regions[[setting]:[setting]],0), MATCH(R$1, regions[#Headers],0)),INDEX(lmic_raw[],MATCH($A35,lmic_raw[[setting]:[setting]],0), MATCH(R$1, lmic_raw[#Headers],0)))</f>
        <v>86.883899999999997</v>
      </c>
      <c r="S35" s="33">
        <f>IF(INDEX(lmic_raw[],MATCH($A35,lmic_raw[[setting]:[setting]],0), MATCH(S$1, lmic_raw[#Headers],0))=0, INDEX(regions[], MATCH($D35, regions[[setting]:[setting]],0), MATCH(S$1, regions[#Headers],0)),INDEX(lmic_raw[],MATCH($A35,lmic_raw[[setting]:[setting]],0), MATCH(S$1, lmic_raw[#Headers],0)))</f>
        <v>134.6259</v>
      </c>
      <c r="T35" s="33">
        <f>IF(INDEX(lmic_raw[],MATCH($A35,lmic_raw[[setting]:[setting]],0), MATCH(T$1, lmic_raw[#Headers],0))=0, INDEX(regions[], MATCH($D35, regions[[setting]:[setting]],0), MATCH(T$1, regions[#Headers],0)),INDEX(lmic_raw[],MATCH($A35,lmic_raw[[setting]:[setting]],0), MATCH(T$1, lmic_raw[#Headers],0)))</f>
        <v>134.6259</v>
      </c>
      <c r="U35" s="33">
        <f>IF(INDEX(lmic_raw[],MATCH($A35,lmic_raw[[setting]:[setting]],0), MATCH(U$1, lmic_raw[#Headers],0))=0, INDEX(regions[], MATCH($D35, regions[[setting]:[setting]],0), MATCH(U$1, regions[#Headers],0)),INDEX(lmic_raw[],MATCH($A35,lmic_raw[[setting]:[setting]],0), MATCH(U$1, lmic_raw[#Headers],0)))</f>
        <v>134.6259</v>
      </c>
      <c r="V35" s="33">
        <f>IF(INDEX(lmic_raw[],MATCH($A35,lmic_raw[[setting]:[setting]],0), MATCH(V$1, lmic_raw[#Headers],0))=0, INDEX(regions[], MATCH($D35, regions[[setting]:[setting]],0), MATCH(V$1, regions[#Headers],0)),INDEX(lmic_raw[],MATCH($A35,lmic_raw[[setting]:[setting]],0), MATCH(V$1, lmic_raw[#Headers],0)))</f>
        <v>15.419633256169279</v>
      </c>
      <c r="W35" s="33">
        <f>IF(INDEX(lmic_raw[],MATCH($A35,lmic_raw[[setting]:[setting]],0), MATCH(W$1, lmic_raw[#Headers],0))=0, INDEX(regions[], MATCH($D35, regions[[setting]:[setting]],0), MATCH(W$1, regions[#Headers],0)),INDEX(lmic_raw[],MATCH($A35,lmic_raw[[setting]:[setting]],0), MATCH(W$1, lmic_raw[#Headers],0)))</f>
        <v>15.439633256169278</v>
      </c>
      <c r="X35" s="33">
        <f>IF(INDEX(lmic_raw[],MATCH($A35,lmic_raw[[setting]:[setting]],0), MATCH(X$1, lmic_raw[#Headers],0))=0, INDEX(regions[], MATCH($D35, regions[[setting]:[setting]],0), MATCH(X$1, regions[#Headers],0)),INDEX(lmic_raw[],MATCH($A35,lmic_raw[[setting]:[setting]],0), MATCH(X$1, lmic_raw[#Headers],0)))</f>
        <v>14.977231448398657</v>
      </c>
      <c r="Y35" s="33">
        <f>IF(INDEX(lmic_raw[],MATCH($A35,lmic_raw[[setting]:[setting]],0), MATCH(Y$1, lmic_raw[#Headers],0))=0, INDEX(regions[], MATCH($D35, regions[[setting]:[setting]],0), MATCH(Y$1, regions[#Headers],0)),INDEX(lmic_raw[],MATCH($A35,lmic_raw[[setting]:[setting]],0), MATCH(Y$1, lmic_raw[#Headers],0)))</f>
        <v>14.997231448398656</v>
      </c>
      <c r="Z35" s="33">
        <f>IF(INDEX(lmic_raw[],MATCH($A35,lmic_raw[[setting]:[setting]],0), MATCH(Z$1, lmic_raw[#Headers],0))=0, INDEX(regions[], MATCH($D35, regions[[setting]:[setting]],0), MATCH(Z$1, regions[#Headers],0)),INDEX(lmic_raw[],MATCH($A35,lmic_raw[[setting]:[setting]],0), MATCH(Z$1, lmic_raw[#Headers],0)))</f>
        <v>14.987966113718786</v>
      </c>
      <c r="AA35" s="33">
        <f>IF(INDEX(lmic_raw[],MATCH($A35,lmic_raw[[setting]:[setting]],0), MATCH(AA$1, lmic_raw[#Headers],0))=0, INDEX(regions[], MATCH($D35, regions[[setting]:[setting]],0), MATCH(AA$1, regions[#Headers],0)),INDEX(lmic_raw[],MATCH($A35,lmic_raw[[setting]:[setting]],0), MATCH(AA$1, lmic_raw[#Headers],0)))</f>
        <v>15.667329716181968</v>
      </c>
      <c r="AB35" s="33">
        <f>IF(INDEX(lmic_raw[],MATCH($A35,lmic_raw[[setting]:[setting]],0), MATCH(AB$1, lmic_raw[#Headers],0))=0, INDEX(regions[], MATCH($D35, regions[[setting]:[setting]],0), MATCH(AB$1, regions[#Headers],0)),INDEX(lmic_raw[],MATCH($A35,lmic_raw[[setting]:[setting]],0), MATCH(AB$1, lmic_raw[#Headers],0)))</f>
        <v>15.687329716181967</v>
      </c>
      <c r="AC35" s="33">
        <f>IF(INDEX(lmic_raw[],MATCH($A35,lmic_raw[[setting]:[setting]],0), MATCH(AC$1, lmic_raw[#Headers],0))=0, INDEX(regions[], MATCH($D35, regions[[setting]:[setting]],0), MATCH(AC$1, regions[#Headers],0)),INDEX(lmic_raw[],MATCH($A35,lmic_raw[[setting]:[setting]],0), MATCH(AC$1, lmic_raw[#Headers],0)))</f>
        <v>1.4351282017845461E-2</v>
      </c>
      <c r="AD35" s="33">
        <f>IF(INDEX(lmic_raw[],MATCH($A35,lmic_raw[[setting]:[setting]],0), MATCH(AD$1, lmic_raw[#Headers],0))=0, INDEX(regions[], MATCH($D35, regions[[setting]:[setting]],0), MATCH(AD$1, regions[#Headers],0)),INDEX(lmic_raw[],MATCH($A35,lmic_raw[[setting]:[setting]],0), MATCH(AD$1, lmic_raw[#Headers],0)))</f>
        <v>7.1261960310398131E-4</v>
      </c>
      <c r="AE35" s="33">
        <f>IF(INDEX(lmic_raw[],MATCH($A35,lmic_raw[[setting]:[setting]],0), MATCH(AE$1, lmic_raw[#Headers],0))=0, INDEX(regions[], MATCH($D35, regions[[setting]:[setting]],0), MATCH(AE$1, regions[#Headers],0)),INDEX(lmic_raw[],MATCH($A35,lmic_raw[[setting]:[setting]],0), MATCH(AE$1, lmic_raw[#Headers],0)))</f>
        <v>3.0280094065261156E-4</v>
      </c>
      <c r="AF35" s="33">
        <f>IF(INDEX(lmic_raw[],MATCH($A35,lmic_raw[[setting]:[setting]],0), MATCH(AF$1, lmic_raw[#Headers],0))=0, INDEX(regions[], MATCH($D35, regions[[setting]:[setting]],0), MATCH(AF$1, regions[#Headers],0)),INDEX(lmic_raw[],MATCH($A35,lmic_raw[[setting]:[setting]],0), MATCH(AF$1, lmic_raw[#Headers],0)))</f>
        <v>3.5082559939342094E-4</v>
      </c>
      <c r="AG35" s="33">
        <f>IF(INDEX(lmic_raw[],MATCH($A35,lmic_raw[[setting]:[setting]],0), MATCH(AG$1, lmic_raw[#Headers],0))=0, INDEX(regions[], MATCH($D35, regions[[setting]:[setting]],0), MATCH(AG$1, regions[#Headers],0)),INDEX(lmic_raw[],MATCH($A35,lmic_raw[[setting]:[setting]],0), MATCH(AG$1, lmic_raw[#Headers],0)))</f>
        <v>1.0140068086305751E-3</v>
      </c>
      <c r="AH35" s="33">
        <f>IF(INDEX(lmic_raw[],MATCH($A35,lmic_raw[[setting]:[setting]],0), MATCH(AH$1, lmic_raw[#Headers],0))=0, INDEX(regions[], MATCH($D35, regions[[setting]:[setting]],0), MATCH(AH$1, regions[#Headers],0)),INDEX(lmic_raw[],MATCH($A35,lmic_raw[[setting]:[setting]],0), MATCH(AH$1, lmic_raw[#Headers],0)))</f>
        <v>1.5945852699702822E-3</v>
      </c>
      <c r="AI35" s="33">
        <f>IF(INDEX(lmic_raw[],MATCH($A35,lmic_raw[[setting]:[setting]],0), MATCH(AI$1, lmic_raw[#Headers],0))=0, INDEX(regions[], MATCH($D35, regions[[setting]:[setting]],0), MATCH(AI$1, regions[#Headers],0)),INDEX(lmic_raw[],MATCH($A35,lmic_raw[[setting]:[setting]],0), MATCH(AI$1, lmic_raw[#Headers],0)))</f>
        <v>1.6937422713185289E-3</v>
      </c>
      <c r="AJ35" s="33">
        <f>IF(INDEX(lmic_raw[],MATCH($A35,lmic_raw[[setting]:[setting]],0), MATCH(AJ$1, lmic_raw[#Headers],0))=0, INDEX(regions[], MATCH($D35, regions[[setting]:[setting]],0), MATCH(AJ$1, regions[#Headers],0)),INDEX(lmic_raw[],MATCH($A35,lmic_raw[[setting]:[setting]],0), MATCH(AJ$1, lmic_raw[#Headers],0)))</f>
        <v>1.8773680724283087E-3</v>
      </c>
      <c r="AK35" s="33">
        <f>IF(INDEX(lmic_raw[],MATCH($A35,lmic_raw[[setting]:[setting]],0), MATCH(AK$1, lmic_raw[#Headers],0))=0, INDEX(regions[], MATCH($D35, regions[[setting]:[setting]],0), MATCH(AK$1, regions[#Headers],0)),INDEX(lmic_raw[],MATCH($A35,lmic_raw[[setting]:[setting]],0), MATCH(AK$1, lmic_raw[#Headers],0)))</f>
        <v>2.2033147268002554E-3</v>
      </c>
      <c r="AL35" s="33">
        <f>IF(INDEX(lmic_raw[],MATCH($A35,lmic_raw[[setting]:[setting]],0), MATCH(AL$1, lmic_raw[#Headers],0))=0, INDEX(regions[], MATCH($D35, regions[[setting]:[setting]],0), MATCH(AL$1, regions[#Headers],0)),INDEX(lmic_raw[],MATCH($A35,lmic_raw[[setting]:[setting]],0), MATCH(AL$1, lmic_raw[#Headers],0)))</f>
        <v>2.7717723171032421E-3</v>
      </c>
      <c r="AM35" s="33">
        <f>IF(INDEX(lmic_raw[],MATCH($A35,lmic_raw[[setting]:[setting]],0), MATCH(AM$1, lmic_raw[#Headers],0))=0, INDEX(regions[], MATCH($D35, regions[[setting]:[setting]],0), MATCH(AM$1, regions[#Headers],0)),INDEX(lmic_raw[],MATCH($A35,lmic_raw[[setting]:[setting]],0), MATCH(AM$1, lmic_raw[#Headers],0)))</f>
        <v>3.8607236334442809E-3</v>
      </c>
      <c r="AN35" s="33">
        <f>IF(INDEX(lmic_raw[],MATCH($A35,lmic_raw[[setting]:[setting]],0), MATCH(AN$1, lmic_raw[#Headers],0))=0, INDEX(regions[], MATCH($D35, regions[[setting]:[setting]],0), MATCH(AN$1, regions[#Headers],0)),INDEX(lmic_raw[],MATCH($A35,lmic_raw[[setting]:[setting]],0), MATCH(AN$1, lmic_raw[#Headers],0)))</f>
        <v>5.5881776752890076E-3</v>
      </c>
      <c r="AO35" s="33">
        <f>IF(INDEX(lmic_raw[],MATCH($A35,lmic_raw[[setting]:[setting]],0), MATCH(AO$1, lmic_raw[#Headers],0))=0, INDEX(regions[], MATCH($D35, regions[[setting]:[setting]],0), MATCH(AO$1, regions[#Headers],0)),INDEX(lmic_raw[],MATCH($A35,lmic_raw[[setting]:[setting]],0), MATCH(AO$1, lmic_raw[#Headers],0)))</f>
        <v>8.0998565384454609E-3</v>
      </c>
      <c r="AP35" s="33">
        <f>IF(INDEX(lmic_raw[],MATCH($A35,lmic_raw[[setting]:[setting]],0), MATCH(AP$1, lmic_raw[#Headers],0))=0, INDEX(regions[], MATCH($D35, regions[[setting]:[setting]],0), MATCH(AP$1, regions[#Headers],0)),INDEX(lmic_raw[],MATCH($A35,lmic_raw[[setting]:[setting]],0), MATCH(AP$1, lmic_raw[#Headers],0)))</f>
        <v>1.2115945316779996E-2</v>
      </c>
      <c r="AQ35" s="33">
        <f>IF(INDEX(lmic_raw[],MATCH($A35,lmic_raw[[setting]:[setting]],0), MATCH(AQ$1, lmic_raw[#Headers],0))=0, INDEX(regions[], MATCH($D35, regions[[setting]:[setting]],0), MATCH(AQ$1, regions[#Headers],0)),INDEX(lmic_raw[],MATCH($A35,lmic_raw[[setting]:[setting]],0), MATCH(AQ$1, lmic_raw[#Headers],0)))</f>
        <v>1.8106724270742128E-2</v>
      </c>
      <c r="AR35" s="33">
        <f>IF(INDEX(lmic_raw[],MATCH($A35,lmic_raw[[setting]:[setting]],0), MATCH(AR$1, lmic_raw[#Headers],0))=0, INDEX(regions[], MATCH($D35, regions[[setting]:[setting]],0), MATCH(AR$1, regions[#Headers],0)),INDEX(lmic_raw[],MATCH($A35,lmic_raw[[setting]:[setting]],0), MATCH(AR$1, lmic_raw[#Headers],0)))</f>
        <v>2.6696748903507962E-2</v>
      </c>
      <c r="AS35" s="33">
        <f>IF(INDEX(lmic_raw[],MATCH($A35,lmic_raw[[setting]:[setting]],0), MATCH(AS$1, lmic_raw[#Headers],0))=0, INDEX(regions[], MATCH($D35, regions[[setting]:[setting]],0), MATCH(AS$1, regions[#Headers],0)),INDEX(lmic_raw[],MATCH($A35,lmic_raw[[setting]:[setting]],0), MATCH(AS$1, lmic_raw[#Headers],0)))</f>
        <v>4.0338027867231424E-2</v>
      </c>
      <c r="AT35" s="33">
        <f>IF(INDEX(lmic_raw[],MATCH($A35,lmic_raw[[setting]:[setting]],0), MATCH(AT$1, lmic_raw[#Headers],0))=0, INDEX(regions[], MATCH($D35, regions[[setting]:[setting]],0), MATCH(AT$1, regions[#Headers],0)),INDEX(lmic_raw[],MATCH($A35,lmic_raw[[setting]:[setting]],0), MATCH(AT$1, lmic_raw[#Headers],0)))</f>
        <v>5.9853931332413249E-2</v>
      </c>
      <c r="AU35" s="33">
        <f>IF(INDEX(lmic_raw[],MATCH($A35,lmic_raw[[setting]:[setting]],0), MATCH(AU$1, lmic_raw[#Headers],0))=0, INDEX(regions[], MATCH($D35, regions[[setting]:[setting]],0), MATCH(AU$1, regions[#Headers],0)),INDEX(lmic_raw[],MATCH($A35,lmic_raw[[setting]:[setting]],0), MATCH(AU$1, lmic_raw[#Headers],0)))</f>
        <v>8.625565132386423E-2</v>
      </c>
      <c r="AV35" s="33">
        <f>IF(INDEX(lmic_raw[],MATCH($A35,lmic_raw[[setting]:[setting]],0), MATCH(AV$1, lmic_raw[#Headers],0))=0, INDEX(regions[], MATCH($D35, regions[[setting]:[setting]],0), MATCH(AV$1, regions[#Headers],0)),INDEX(lmic_raw[],MATCH($A35,lmic_raw[[setting]:[setting]],0), MATCH(AV$1, lmic_raw[#Headers],0)))</f>
        <v>0.11241533992072789</v>
      </c>
      <c r="AW35" s="33">
        <f>IF(INDEX(lmic_raw[],MATCH($A35,lmic_raw[[setting]:[setting]],0), MATCH(AW$1, lmic_raw[#Headers],0))=0, INDEX(regions[], MATCH($D35, regions[[setting]:[setting]],0), MATCH(AW$1, regions[#Headers],0)),INDEX(lmic_raw[],MATCH($A35,lmic_raw[[setting]:[setting]],0), MATCH(AW$1, lmic_raw[#Headers],0)))</f>
        <v>0.14473739186704065</v>
      </c>
      <c r="AX35" s="33">
        <f>IF(INDEX(lmic_raw[],MATCH($A35,lmic_raw[[setting]:[setting]],0), MATCH(AX$1, lmic_raw[#Headers],0))=0, INDEX(regions[], MATCH($D35, regions[[setting]:[setting]],0), MATCH(AX$1, regions[#Headers],0)),INDEX(lmic_raw[],MATCH($A35,lmic_raw[[setting]:[setting]],0), MATCH(AX$1, lmic_raw[#Headers],0)))</f>
        <v>75.563983493182889</v>
      </c>
      <c r="AY35" s="33" t="str">
        <f>IF(VLOOKUP($A35,lmic_raw[],11,FALSE)=0, "Yes", "No")</f>
        <v>No</v>
      </c>
    </row>
    <row r="36" spans="1:51" x14ac:dyDescent="0.25">
      <c r="A36" s="109" t="s">
        <v>614</v>
      </c>
      <c r="B36" s="101" t="s">
        <v>415</v>
      </c>
      <c r="C36" s="102">
        <v>214</v>
      </c>
      <c r="D36" s="82" t="s">
        <v>679</v>
      </c>
      <c r="E36" s="82" t="s">
        <v>223</v>
      </c>
      <c r="F36" s="82" t="s">
        <v>665</v>
      </c>
      <c r="G36" s="82" t="s">
        <v>676</v>
      </c>
      <c r="H36" s="33">
        <f>IF(INDEX(lmic_raw[],MATCH($A36,lmic_raw[[setting]:[setting]],0), MATCH(H$1, lmic_raw[#Headers],0))=0, INDEX(regions[], MATCH($D36, regions[[setting]:[setting]],0), MATCH(H$1, regions[#Headers],0)),INDEX(lmic_raw[],MATCH($A36,lmic_raw[[setting]:[setting]],0), MATCH(H$1, lmic_raw[#Headers],0)))</f>
        <v>10738957</v>
      </c>
      <c r="I36" s="33">
        <f>IF(INDEX(lmic_raw[],MATCH($A36,lmic_raw[[setting]:[setting]],0), MATCH(I$1, lmic_raw[#Headers],0))=0, INDEX(regions[], MATCH($D36, regions[[setting]:[setting]],0), MATCH(I$1, regions[#Headers],0)),INDEX(lmic_raw[],MATCH($A36,lmic_raw[[setting]:[setting]],0), MATCH(I$1, lmic_raw[#Headers],0)))</f>
        <v>211396.368545</v>
      </c>
      <c r="J36" s="33">
        <f>IF(INDEX(lmic_raw[],MATCH($A36,lmic_raw[[setting]:[setting]],0), MATCH(J$1, lmic_raw[#Headers],0))=0, INDEX(regions[], MATCH($D36, regions[[setting]:[setting]],0), MATCH(J$1, regions[#Headers],0)),INDEX(lmic_raw[],MATCH($A36,lmic_raw[[setting]:[setting]],0), MATCH(J$1, lmic_raw[#Headers],0)))</f>
        <v>0.97900000000000009</v>
      </c>
      <c r="K36" s="33">
        <f>IF(INDEX(lmic_raw[],MATCH($A36,lmic_raw[[setting]:[setting]],0), MATCH(K$1, lmic_raw[#Headers],0))=0, INDEX(regions[], MATCH($D36, regions[[setting]:[setting]],0), MATCH(K$1, regions[#Headers],0)),INDEX(lmic_raw[],MATCH($A36,lmic_raw[[setting]:[setting]],0), MATCH(K$1, lmic_raw[#Headers],0)))</f>
        <v>0.66</v>
      </c>
      <c r="L36" s="33">
        <f>IF(INDEX(lmic_raw[],MATCH($A36,lmic_raw[[setting]:[setting]],0), MATCH(L$1, lmic_raw[#Headers],0))=0, INDEX(regions[], MATCH($D36, regions[[setting]:[setting]],0), MATCH(L$1, regions[#Headers],0)),INDEX(lmic_raw[],MATCH($A36,lmic_raw[[setting]:[setting]],0), MATCH(L$1, lmic_raw[#Headers],0)))</f>
        <v>0.87</v>
      </c>
      <c r="M36" s="33">
        <f>IF(INDEX(lmic_raw[],MATCH($A36,lmic_raw[[setting]:[setting]],0), MATCH(M$1, lmic_raw[#Headers],0))=0, INDEX(regions[], MATCH($D36, regions[[setting]:[setting]],0), MATCH(M$1, regions[#Headers],0)),INDEX(lmic_raw[],MATCH($A36,lmic_raw[[setting]:[setting]],0), MATCH(M$1, lmic_raw[#Headers],0)))</f>
        <v>1.47E-2</v>
      </c>
      <c r="N36" s="33">
        <f>IF(INDEX(lmic_raw[],MATCH($A36,lmic_raw[[setting]:[setting]],0), MATCH(N$1, lmic_raw[#Headers],0))=0, INDEX(regions[], MATCH($D36, regions[[setting]:[setting]],0), MATCH(N$1, regions[#Headers],0)),INDEX(lmic_raw[],MATCH($A36,lmic_raw[[setting]:[setting]],0), MATCH(N$1, lmic_raw[#Headers],0)))</f>
        <v>0.32463206947122436</v>
      </c>
      <c r="O36" s="33">
        <f>IF(INDEX(lmic_raw[],MATCH($A36,lmic_raw[[setting]:[setting]],0), MATCH(O$1, lmic_raw[#Headers],0))=0, INDEX(regions[], MATCH($D36, regions[[setting]:[setting]],0), MATCH(O$1, regions[#Headers],0)),INDEX(lmic_raw[],MATCH($A36,lmic_raw[[setting]:[setting]],0), MATCH(O$1, lmic_raw[#Headers],0)))</f>
        <v>0.8</v>
      </c>
      <c r="P36" s="33">
        <f>IF(INDEX(lmic_raw[],MATCH($A36,lmic_raw[[setting]:[setting]],0), MATCH(P$1, lmic_raw[#Headers],0))=0, INDEX(regions[], MATCH($D36, regions[[setting]:[setting]],0), MATCH(P$1, regions[#Headers],0)),INDEX(lmic_raw[],MATCH($A36,lmic_raw[[setting]:[setting]],0), MATCH(P$1, lmic_raw[#Headers],0)))</f>
        <v>0.17499999999999999</v>
      </c>
      <c r="Q36" s="33">
        <f>IF(INDEX(lmic_raw[],MATCH($A36,lmic_raw[[setting]:[setting]],0), MATCH(Q$1, lmic_raw[#Headers],0))=0, INDEX(regions[], MATCH($D36, regions[[setting]:[setting]],0), MATCH(Q$1, regions[#Headers],0)),INDEX(lmic_raw[],MATCH($A36,lmic_raw[[setting]:[setting]],0), MATCH(Q$1, lmic_raw[#Headers],0)))</f>
        <v>9.5067061705750966</v>
      </c>
      <c r="R36" s="33">
        <f>IF(INDEX(lmic_raw[],MATCH($A36,lmic_raw[[setting]:[setting]],0), MATCH(R$1, lmic_raw[#Headers],0))=0, INDEX(regions[], MATCH($D36, regions[[setting]:[setting]],0), MATCH(R$1, regions[#Headers],0)),INDEX(lmic_raw[],MATCH($A36,lmic_raw[[setting]:[setting]],0), MATCH(R$1, lmic_raw[#Headers],0)))</f>
        <v>86.883899999999997</v>
      </c>
      <c r="S36" s="33">
        <f>IF(INDEX(lmic_raw[],MATCH($A36,lmic_raw[[setting]:[setting]],0), MATCH(S$1, lmic_raw[#Headers],0))=0, INDEX(regions[], MATCH($D36, regions[[setting]:[setting]],0), MATCH(S$1, regions[#Headers],0)),INDEX(lmic_raw[],MATCH($A36,lmic_raw[[setting]:[setting]],0), MATCH(S$1, lmic_raw[#Headers],0)))</f>
        <v>134.6259</v>
      </c>
      <c r="T36" s="33">
        <f>IF(INDEX(lmic_raw[],MATCH($A36,lmic_raw[[setting]:[setting]],0), MATCH(T$1, lmic_raw[#Headers],0))=0, INDEX(regions[], MATCH($D36, regions[[setting]:[setting]],0), MATCH(T$1, regions[#Headers],0)),INDEX(lmic_raw[],MATCH($A36,lmic_raw[[setting]:[setting]],0), MATCH(T$1, lmic_raw[#Headers],0)))</f>
        <v>134.6259</v>
      </c>
      <c r="U36" s="33">
        <f>IF(INDEX(lmic_raw[],MATCH($A36,lmic_raw[[setting]:[setting]],0), MATCH(U$1, lmic_raw[#Headers],0))=0, INDEX(regions[], MATCH($D36, regions[[setting]:[setting]],0), MATCH(U$1, regions[#Headers],0)),INDEX(lmic_raw[],MATCH($A36,lmic_raw[[setting]:[setting]],0), MATCH(U$1, lmic_raw[#Headers],0)))</f>
        <v>134.6259</v>
      </c>
      <c r="V36" s="33">
        <f>IF(INDEX(lmic_raw[],MATCH($A36,lmic_raw[[setting]:[setting]],0), MATCH(V$1, lmic_raw[#Headers],0))=0, INDEX(regions[], MATCH($D36, regions[[setting]:[setting]],0), MATCH(V$1, regions[#Headers],0)),INDEX(lmic_raw[],MATCH($A36,lmic_raw[[setting]:[setting]],0), MATCH(V$1, lmic_raw[#Headers],0)))</f>
        <v>5.1760138330561594</v>
      </c>
      <c r="W36" s="33">
        <f>IF(INDEX(lmic_raw[],MATCH($A36,lmic_raw[[setting]:[setting]],0), MATCH(W$1, lmic_raw[#Headers],0))=0, INDEX(regions[], MATCH($D36, regions[[setting]:[setting]],0), MATCH(W$1, regions[#Headers],0)),INDEX(lmic_raw[],MATCH($A36,lmic_raw[[setting]:[setting]],0), MATCH(W$1, lmic_raw[#Headers],0)))</f>
        <v>5.1960138330561589</v>
      </c>
      <c r="X36" s="33">
        <f>IF(INDEX(lmic_raw[],MATCH($A36,lmic_raw[[setting]:[setting]],0), MATCH(X$1, lmic_raw[#Headers],0))=0, INDEX(regions[], MATCH($D36, regions[[setting]:[setting]],0), MATCH(X$1, regions[#Headers],0)),INDEX(lmic_raw[],MATCH($A36,lmic_raw[[setting]:[setting]],0), MATCH(X$1, lmic_raw[#Headers],0)))</f>
        <v>4.7310211017529955</v>
      </c>
      <c r="Y36" s="33">
        <f>IF(INDEX(lmic_raw[],MATCH($A36,lmic_raw[[setting]:[setting]],0), MATCH(Y$1, lmic_raw[#Headers],0))=0, INDEX(regions[], MATCH($D36, regions[[setting]:[setting]],0), MATCH(Y$1, regions[#Headers],0)),INDEX(lmic_raw[],MATCH($A36,lmic_raw[[setting]:[setting]],0), MATCH(Y$1, lmic_raw[#Headers],0)))</f>
        <v>4.7510211017529951</v>
      </c>
      <c r="Z36" s="33">
        <f>IF(INDEX(lmic_raw[],MATCH($A36,lmic_raw[[setting]:[setting]],0), MATCH(Z$1, lmic_raw[#Headers],0))=0, INDEX(regions[], MATCH($D36, regions[[setting]:[setting]],0), MATCH(Z$1, regions[#Headers],0)),INDEX(lmic_raw[],MATCH($A36,lmic_raw[[setting]:[setting]],0), MATCH(Z$1, lmic_raw[#Headers],0)))</f>
        <v>4.7397276712392609</v>
      </c>
      <c r="AA36" s="33">
        <f>IF(INDEX(lmic_raw[],MATCH($A36,lmic_raw[[setting]:[setting]],0), MATCH(AA$1, lmic_raw[#Headers],0))=0, INDEX(regions[], MATCH($D36, regions[[setting]:[setting]],0), MATCH(AA$1, regions[#Headers],0)),INDEX(lmic_raw[],MATCH($A36,lmic_raw[[setting]:[setting]],0), MATCH(AA$1, lmic_raw[#Headers],0)))</f>
        <v>5.4246442306212765</v>
      </c>
      <c r="AB36" s="33">
        <f>IF(INDEX(lmic_raw[],MATCH($A36,lmic_raw[[setting]:[setting]],0), MATCH(AB$1, lmic_raw[#Headers],0))=0, INDEX(regions[], MATCH($D36, regions[[setting]:[setting]],0), MATCH(AB$1, regions[#Headers],0)),INDEX(lmic_raw[],MATCH($A36,lmic_raw[[setting]:[setting]],0), MATCH(AB$1, lmic_raw[#Headers],0)))</f>
        <v>5.4446442306212761</v>
      </c>
      <c r="AC36" s="33">
        <f>IF(INDEX(lmic_raw[],MATCH($A36,lmic_raw[[setting]:[setting]],0), MATCH(AC$1, lmic_raw[#Headers],0))=0, INDEX(regions[], MATCH($D36, regions[[setting]:[setting]],0), MATCH(AC$1, regions[#Headers],0)),INDEX(lmic_raw[],MATCH($A36,lmic_raw[[setting]:[setting]],0), MATCH(AC$1, lmic_raw[#Headers],0)))</f>
        <v>2.5863129999999946E-2</v>
      </c>
      <c r="AD36" s="33">
        <f>IF(INDEX(lmic_raw[],MATCH($A36,lmic_raw[[setting]:[setting]],0), MATCH(AD$1, lmic_raw[#Headers],0))=0, INDEX(regions[], MATCH($D36, regions[[setting]:[setting]],0), MATCH(AD$1, regions[#Headers],0)),INDEX(lmic_raw[],MATCH($A36,lmic_raw[[setting]:[setting]],0), MATCH(AD$1, lmic_raw[#Headers],0)))</f>
        <v>7.7357455939433485E-4</v>
      </c>
      <c r="AE36" s="33">
        <f>IF(INDEX(lmic_raw[],MATCH($A36,lmic_raw[[setting]:[setting]],0), MATCH(AE$1, lmic_raw[#Headers],0))=0, INDEX(regions[], MATCH($D36, regions[[setting]:[setting]],0), MATCH(AE$1, regions[#Headers],0)),INDEX(lmic_raw[],MATCH($A36,lmic_raw[[setting]:[setting]],0), MATCH(AE$1, lmic_raw[#Headers],0)))</f>
        <v>3.7187683614816214E-4</v>
      </c>
      <c r="AF36" s="33">
        <f>IF(INDEX(lmic_raw[],MATCH($A36,lmic_raw[[setting]:[setting]],0), MATCH(AF$1, lmic_raw[#Headers],0))=0, INDEX(regions[], MATCH($D36, regions[[setting]:[setting]],0), MATCH(AF$1, regions[#Headers],0)),INDEX(lmic_raw[],MATCH($A36,lmic_raw[[setting]:[setting]],0), MATCH(AF$1, lmic_raw[#Headers],0)))</f>
        <v>3.7267275157720303E-4</v>
      </c>
      <c r="AG36" s="33">
        <f>IF(INDEX(lmic_raw[],MATCH($A36,lmic_raw[[setting]:[setting]],0), MATCH(AG$1, lmic_raw[#Headers],0))=0, INDEX(regions[], MATCH($D36, regions[[setting]:[setting]],0), MATCH(AG$1, regions[#Headers],0)),INDEX(lmic_raw[],MATCH($A36,lmic_raw[[setting]:[setting]],0), MATCH(AG$1, lmic_raw[#Headers],0)))</f>
        <v>9.3912551170492601E-4</v>
      </c>
      <c r="AH36" s="33">
        <f>IF(INDEX(lmic_raw[],MATCH($A36,lmic_raw[[setting]:[setting]],0), MATCH(AH$1, lmic_raw[#Headers],0))=0, INDEX(regions[], MATCH($D36, regions[[setting]:[setting]],0), MATCH(AH$1, regions[#Headers],0)),INDEX(lmic_raw[],MATCH($A36,lmic_raw[[setting]:[setting]],0), MATCH(AH$1, lmic_raw[#Headers],0)))</f>
        <v>1.6595884607338623E-3</v>
      </c>
      <c r="AI36" s="33">
        <f>IF(INDEX(lmic_raw[],MATCH($A36,lmic_raw[[setting]:[setting]],0), MATCH(AI$1, lmic_raw[#Headers],0))=0, INDEX(regions[], MATCH($D36, regions[[setting]:[setting]],0), MATCH(AI$1, regions[#Headers],0)),INDEX(lmic_raw[],MATCH($A36,lmic_raw[[setting]:[setting]],0), MATCH(AI$1, lmic_raw[#Headers],0)))</f>
        <v>2.0990892974385718E-3</v>
      </c>
      <c r="AJ36" s="33">
        <f>IF(INDEX(lmic_raw[],MATCH($A36,lmic_raw[[setting]:[setting]],0), MATCH(AJ$1, lmic_raw[#Headers],0))=0, INDEX(regions[], MATCH($D36, regions[[setting]:[setting]],0), MATCH(AJ$1, regions[#Headers],0)),INDEX(lmic_raw[],MATCH($A36,lmic_raw[[setting]:[setting]],0), MATCH(AJ$1, lmic_raw[#Headers],0)))</f>
        <v>2.5592100458552546E-3</v>
      </c>
      <c r="AK36" s="33">
        <f>IF(INDEX(lmic_raw[],MATCH($A36,lmic_raw[[setting]:[setting]],0), MATCH(AK$1, lmic_raw[#Headers],0))=0, INDEX(regions[], MATCH($D36, regions[[setting]:[setting]],0), MATCH(AK$1, regions[#Headers],0)),INDEX(lmic_raw[],MATCH($A36,lmic_raw[[setting]:[setting]],0), MATCH(AK$1, lmic_raw[#Headers],0)))</f>
        <v>2.842646430570593E-3</v>
      </c>
      <c r="AL36" s="33">
        <f>IF(INDEX(lmic_raw[],MATCH($A36,lmic_raw[[setting]:[setting]],0), MATCH(AL$1, lmic_raw[#Headers],0))=0, INDEX(regions[], MATCH($D36, regions[[setting]:[setting]],0), MATCH(AL$1, regions[#Headers],0)),INDEX(lmic_raw[],MATCH($A36,lmic_raw[[setting]:[setting]],0), MATCH(AL$1, lmic_raw[#Headers],0)))</f>
        <v>3.5714677964116342E-3</v>
      </c>
      <c r="AM36" s="33">
        <f>IF(INDEX(lmic_raw[],MATCH($A36,lmic_raw[[setting]:[setting]],0), MATCH(AM$1, lmic_raw[#Headers],0))=0, INDEX(regions[], MATCH($D36, regions[[setting]:[setting]],0), MATCH(AM$1, regions[#Headers],0)),INDEX(lmic_raw[],MATCH($A36,lmic_raw[[setting]:[setting]],0), MATCH(AM$1, lmic_raw[#Headers],0)))</f>
        <v>4.7655679490866583E-3</v>
      </c>
      <c r="AN36" s="33">
        <f>IF(INDEX(lmic_raw[],MATCH($A36,lmic_raw[[setting]:[setting]],0), MATCH(AN$1, lmic_raw[#Headers],0))=0, INDEX(regions[], MATCH($D36, regions[[setting]:[setting]],0), MATCH(AN$1, regions[#Headers],0)),INDEX(lmic_raw[],MATCH($A36,lmic_raw[[setting]:[setting]],0), MATCH(AN$1, lmic_raw[#Headers],0)))</f>
        <v>6.3086682489530439E-3</v>
      </c>
      <c r="AO36" s="33">
        <f>IF(INDEX(lmic_raw[],MATCH($A36,lmic_raw[[setting]:[setting]],0), MATCH(AO$1, lmic_raw[#Headers],0))=0, INDEX(regions[], MATCH($D36, regions[[setting]:[setting]],0), MATCH(AO$1, regions[#Headers],0)),INDEX(lmic_raw[],MATCH($A36,lmic_raw[[setting]:[setting]],0), MATCH(AO$1, lmic_raw[#Headers],0)))</f>
        <v>9.1492027847737221E-3</v>
      </c>
      <c r="AP36" s="33">
        <f>IF(INDEX(lmic_raw[],MATCH($A36,lmic_raw[[setting]:[setting]],0), MATCH(AP$1, lmic_raw[#Headers],0))=0, INDEX(regions[], MATCH($D36, regions[[setting]:[setting]],0), MATCH(AP$1, regions[#Headers],0)),INDEX(lmic_raw[],MATCH($A36,lmic_raw[[setting]:[setting]],0), MATCH(AP$1, lmic_raw[#Headers],0)))</f>
        <v>1.349657537567036E-2</v>
      </c>
      <c r="AQ36" s="33">
        <f>IF(INDEX(lmic_raw[],MATCH($A36,lmic_raw[[setting]:[setting]],0), MATCH(AQ$1, lmic_raw[#Headers],0))=0, INDEX(regions[], MATCH($D36, regions[[setting]:[setting]],0), MATCH(AQ$1, regions[#Headers],0)),INDEX(lmic_raw[],MATCH($A36,lmic_raw[[setting]:[setting]],0), MATCH(AQ$1, lmic_raw[#Headers],0)))</f>
        <v>1.986574936550884E-2</v>
      </c>
      <c r="AR36" s="33">
        <f>IF(INDEX(lmic_raw[],MATCH($A36,lmic_raw[[setting]:[setting]],0), MATCH(AR$1, lmic_raw[#Headers],0))=0, INDEX(regions[], MATCH($D36, regions[[setting]:[setting]],0), MATCH(AR$1, regions[#Headers],0)),INDEX(lmic_raw[],MATCH($A36,lmic_raw[[setting]:[setting]],0), MATCH(AR$1, lmic_raw[#Headers],0)))</f>
        <v>2.8805916843350335E-2</v>
      </c>
      <c r="AS36" s="33">
        <f>IF(INDEX(lmic_raw[],MATCH($A36,lmic_raw[[setting]:[setting]],0), MATCH(AS$1, lmic_raw[#Headers],0))=0, INDEX(regions[], MATCH($D36, regions[[setting]:[setting]],0), MATCH(AS$1, regions[#Headers],0)),INDEX(lmic_raw[],MATCH($A36,lmic_raw[[setting]:[setting]],0), MATCH(AS$1, lmic_raw[#Headers],0)))</f>
        <v>4.1771450280558585E-2</v>
      </c>
      <c r="AT36" s="33">
        <f>IF(INDEX(lmic_raw[],MATCH($A36,lmic_raw[[setting]:[setting]],0), MATCH(AT$1, lmic_raw[#Headers],0))=0, INDEX(regions[], MATCH($D36, regions[[setting]:[setting]],0), MATCH(AT$1, regions[#Headers],0)),INDEX(lmic_raw[],MATCH($A36,lmic_raw[[setting]:[setting]],0), MATCH(AT$1, lmic_raw[#Headers],0)))</f>
        <v>5.7749967357403655E-2</v>
      </c>
      <c r="AU36" s="33">
        <f>IF(INDEX(lmic_raw[],MATCH($A36,lmic_raw[[setting]:[setting]],0), MATCH(AU$1, lmic_raw[#Headers],0))=0, INDEX(regions[], MATCH($D36, regions[[setting]:[setting]],0), MATCH(AU$1, regions[#Headers],0)),INDEX(lmic_raw[],MATCH($A36,lmic_raw[[setting]:[setting]],0), MATCH(AU$1, lmic_raw[#Headers],0)))</f>
        <v>7.6204519482658148E-2</v>
      </c>
      <c r="AV36" s="33">
        <f>IF(INDEX(lmic_raw[],MATCH($A36,lmic_raw[[setting]:[setting]],0), MATCH(AV$1, lmic_raw[#Headers],0))=0, INDEX(regions[], MATCH($D36, regions[[setting]:[setting]],0), MATCH(AV$1, regions[#Headers],0)),INDEX(lmic_raw[],MATCH($A36,lmic_raw[[setting]:[setting]],0), MATCH(AV$1, lmic_raw[#Headers],0)))</f>
        <v>9.5852149000280579E-2</v>
      </c>
      <c r="AW36" s="33">
        <f>IF(INDEX(lmic_raw[],MATCH($A36,lmic_raw[[setting]:[setting]],0), MATCH(AW$1, lmic_raw[#Headers],0))=0, INDEX(regions[], MATCH($D36, regions[[setting]:[setting]],0), MATCH(AW$1, regions[#Headers],0)),INDEX(lmic_raw[],MATCH($A36,lmic_raw[[setting]:[setting]],0), MATCH(AW$1, lmic_raw[#Headers],0)))</f>
        <v>0.11520297024996774</v>
      </c>
      <c r="AX36" s="33">
        <f>IF(INDEX(lmic_raw[],MATCH($A36,lmic_raw[[setting]:[setting]],0), MATCH(AX$1, lmic_raw[#Headers],0))=0, INDEX(regions[], MATCH($D36, regions[[setting]:[setting]],0), MATCH(AX$1, regions[#Headers],0)),INDEX(lmic_raw[],MATCH($A36,lmic_raw[[setting]:[setting]],0), MATCH(AX$1, lmic_raw[#Headers],0)))</f>
        <v>73.811000000000007</v>
      </c>
      <c r="AY36" s="33" t="str">
        <f>IF(VLOOKUP($A36,lmic_raw[],11,FALSE)=0, "Yes", "No")</f>
        <v>No</v>
      </c>
    </row>
    <row r="37" spans="1:51" x14ac:dyDescent="0.25">
      <c r="A37" s="110" t="s">
        <v>267</v>
      </c>
      <c r="B37" s="104" t="s">
        <v>416</v>
      </c>
      <c r="C37" s="105">
        <v>218</v>
      </c>
      <c r="D37" s="84" t="s">
        <v>679</v>
      </c>
      <c r="E37" s="84" t="s">
        <v>593</v>
      </c>
      <c r="F37" s="84" t="s">
        <v>665</v>
      </c>
      <c r="G37" s="84" t="s">
        <v>676</v>
      </c>
      <c r="H37" s="33">
        <f>IF(INDEX(lmic_raw[],MATCH($A37,lmic_raw[[setting]:[setting]],0), MATCH(H$1, lmic_raw[#Headers],0))=0, INDEX(regions[], MATCH($D37, regions[[setting]:[setting]],0), MATCH(H$1, regions[#Headers],0)),INDEX(lmic_raw[],MATCH($A37,lmic_raw[[setting]:[setting]],0), MATCH(H$1, lmic_raw[#Headers],0)))</f>
        <v>17373657</v>
      </c>
      <c r="I37" s="33">
        <f>IF(INDEX(lmic_raw[],MATCH($A37,lmic_raw[[setting]:[setting]],0), MATCH(I$1, lmic_raw[#Headers],0))=0, INDEX(regions[], MATCH($D37, regions[[setting]:[setting]],0), MATCH(I$1, regions[#Headers],0)),INDEX(lmic_raw[],MATCH($A37,lmic_raw[[setting]:[setting]],0), MATCH(I$1, lmic_raw[#Headers],0)))</f>
        <v>344971.333392</v>
      </c>
      <c r="J37" s="33">
        <f>IF(INDEX(lmic_raw[],MATCH($A37,lmic_raw[[setting]:[setting]],0), MATCH(J$1, lmic_raw[#Headers],0))=0, INDEX(regions[], MATCH($D37, regions[[setting]:[setting]],0), MATCH(J$1, regions[#Headers],0)),INDEX(lmic_raw[],MATCH($A37,lmic_raw[[setting]:[setting]],0), MATCH(J$1, lmic_raw[#Headers],0)))</f>
        <v>0.93299999999999994</v>
      </c>
      <c r="K37" s="33">
        <f>IF(INDEX(lmic_raw[],MATCH($A37,lmic_raw[[setting]:[setting]],0), MATCH(K$1, lmic_raw[#Headers],0))=0, INDEX(regions[], MATCH($D37, regions[[setting]:[setting]],0), MATCH(K$1, regions[#Headers],0)),INDEX(lmic_raw[],MATCH($A37,lmic_raw[[setting]:[setting]],0), MATCH(K$1, lmic_raw[#Headers],0)))</f>
        <v>0.71</v>
      </c>
      <c r="L37" s="33">
        <f>IF(INDEX(lmic_raw[],MATCH($A37,lmic_raw[[setting]:[setting]],0), MATCH(L$1, lmic_raw[#Headers],0))=0, INDEX(regions[], MATCH($D37, regions[[setting]:[setting]],0), MATCH(L$1, regions[#Headers],0)),INDEX(lmic_raw[],MATCH($A37,lmic_raw[[setting]:[setting]],0), MATCH(L$1, lmic_raw[#Headers],0)))</f>
        <v>0.85</v>
      </c>
      <c r="M37" s="33">
        <f>IF(INDEX(lmic_raw[],MATCH($A37,lmic_raw[[setting]:[setting]],0), MATCH(M$1, lmic_raw[#Headers],0))=0, INDEX(regions[], MATCH($D37, regions[[setting]:[setting]],0), MATCH(M$1, regions[#Headers],0)),INDEX(lmic_raw[],MATCH($A37,lmic_raw[[setting]:[setting]],0), MATCH(M$1, lmic_raw[#Headers],0)))</f>
        <v>1.3600000000000001E-2</v>
      </c>
      <c r="N37" s="33">
        <f>IF(INDEX(lmic_raw[],MATCH($A37,lmic_raw[[setting]:[setting]],0), MATCH(N$1, lmic_raw[#Headers],0))=0, INDEX(regions[], MATCH($D37, regions[[setting]:[setting]],0), MATCH(N$1, regions[#Headers],0)),INDEX(lmic_raw[],MATCH($A37,lmic_raw[[setting]:[setting]],0), MATCH(N$1, lmic_raw[#Headers],0)))</f>
        <v>0.31201435746723727</v>
      </c>
      <c r="O37" s="33">
        <f>IF(INDEX(lmic_raw[],MATCH($A37,lmic_raw[[setting]:[setting]],0), MATCH(O$1, lmic_raw[#Headers],0))=0, INDEX(regions[], MATCH($D37, regions[[setting]:[setting]],0), MATCH(O$1, regions[#Headers],0)),INDEX(lmic_raw[],MATCH($A37,lmic_raw[[setting]:[setting]],0), MATCH(O$1, lmic_raw[#Headers],0)))</f>
        <v>0.8</v>
      </c>
      <c r="P37" s="33">
        <f>IF(INDEX(lmic_raw[],MATCH($A37,lmic_raw[[setting]:[setting]],0), MATCH(P$1, lmic_raw[#Headers],0))=0, INDEX(regions[], MATCH($D37, regions[[setting]:[setting]],0), MATCH(P$1, regions[#Headers],0)),INDEX(lmic_raw[],MATCH($A37,lmic_raw[[setting]:[setting]],0), MATCH(P$1, lmic_raw[#Headers],0)))</f>
        <v>0.17499999999999999</v>
      </c>
      <c r="Q37" s="33">
        <f>IF(INDEX(lmic_raw[],MATCH($A37,lmic_raw[[setting]:[setting]],0), MATCH(Q$1, lmic_raw[#Headers],0))=0, INDEX(regions[], MATCH($D37, regions[[setting]:[setting]],0), MATCH(Q$1, regions[#Headers],0)),INDEX(lmic_raw[],MATCH($A37,lmic_raw[[setting]:[setting]],0), MATCH(Q$1, lmic_raw[#Headers],0)))</f>
        <v>9.6840699904272629</v>
      </c>
      <c r="R37" s="33">
        <f>IF(INDEX(lmic_raw[],MATCH($A37,lmic_raw[[setting]:[setting]],0), MATCH(R$1, lmic_raw[#Headers],0))=0, INDEX(regions[], MATCH($D37, regions[[setting]:[setting]],0), MATCH(R$1, regions[#Headers],0)),INDEX(lmic_raw[],MATCH($A37,lmic_raw[[setting]:[setting]],0), MATCH(R$1, lmic_raw[#Headers],0)))</f>
        <v>86.883899999999997</v>
      </c>
      <c r="S37" s="33">
        <f>IF(INDEX(lmic_raw[],MATCH($A37,lmic_raw[[setting]:[setting]],0), MATCH(S$1, lmic_raw[#Headers],0))=0, INDEX(regions[], MATCH($D37, regions[[setting]:[setting]],0), MATCH(S$1, regions[#Headers],0)),INDEX(lmic_raw[],MATCH($A37,lmic_raw[[setting]:[setting]],0), MATCH(S$1, lmic_raw[#Headers],0)))</f>
        <v>134.6259</v>
      </c>
      <c r="T37" s="33">
        <f>IF(INDEX(lmic_raw[],MATCH($A37,lmic_raw[[setting]:[setting]],0), MATCH(T$1, lmic_raw[#Headers],0))=0, INDEX(regions[], MATCH($D37, regions[[setting]:[setting]],0), MATCH(T$1, regions[#Headers],0)),INDEX(lmic_raw[],MATCH($A37,lmic_raw[[setting]:[setting]],0), MATCH(T$1, lmic_raw[#Headers],0)))</f>
        <v>134.6259</v>
      </c>
      <c r="U37" s="33">
        <f>IF(INDEX(lmic_raw[],MATCH($A37,lmic_raw[[setting]:[setting]],0), MATCH(U$1, lmic_raw[#Headers],0))=0, INDEX(regions[], MATCH($D37, regions[[setting]:[setting]],0), MATCH(U$1, regions[#Headers],0)),INDEX(lmic_raw[],MATCH($A37,lmic_raw[[setting]:[setting]],0), MATCH(U$1, lmic_raw[#Headers],0)))</f>
        <v>134.6259</v>
      </c>
      <c r="V37" s="33">
        <f>IF(INDEX(lmic_raw[],MATCH($A37,lmic_raw[[setting]:[setting]],0), MATCH(V$1, lmic_raw[#Headers],0))=0, INDEX(regions[], MATCH($D37, regions[[setting]:[setting]],0), MATCH(V$1, regions[#Headers],0)),INDEX(lmic_raw[],MATCH($A37,lmic_raw[[setting]:[setting]],0), MATCH(V$1, lmic_raw[#Headers],0)))</f>
        <v>3.5763010422925561</v>
      </c>
      <c r="W37" s="33">
        <f>IF(INDEX(lmic_raw[],MATCH($A37,lmic_raw[[setting]:[setting]],0), MATCH(W$1, lmic_raw[#Headers],0))=0, INDEX(regions[], MATCH($D37, regions[[setting]:[setting]],0), MATCH(W$1, regions[#Headers],0)),INDEX(lmic_raw[],MATCH($A37,lmic_raw[[setting]:[setting]],0), MATCH(W$1, lmic_raw[#Headers],0)))</f>
        <v>3.5963010422925561</v>
      </c>
      <c r="X37" s="33">
        <f>IF(INDEX(lmic_raw[],MATCH($A37,lmic_raw[[setting]:[setting]],0), MATCH(X$1, lmic_raw[#Headers],0))=0, INDEX(regions[], MATCH($D37, regions[[setting]:[setting]],0), MATCH(X$1, regions[#Headers],0)),INDEX(lmic_raw[],MATCH($A37,lmic_raw[[setting]:[setting]],0), MATCH(X$1, lmic_raw[#Headers],0)))</f>
        <v>3.1384817678145147</v>
      </c>
      <c r="Y37" s="33">
        <f>IF(INDEX(lmic_raw[],MATCH($A37,lmic_raw[[setting]:[setting]],0), MATCH(Y$1, lmic_raw[#Headers],0))=0, INDEX(regions[], MATCH($D37, regions[[setting]:[setting]],0), MATCH(Y$1, regions[#Headers],0)),INDEX(lmic_raw[],MATCH($A37,lmic_raw[[setting]:[setting]],0), MATCH(Y$1, lmic_raw[#Headers],0)))</f>
        <v>3.1584817678145147</v>
      </c>
      <c r="Z37" s="33">
        <f>IF(INDEX(lmic_raw[],MATCH($A37,lmic_raw[[setting]:[setting]],0), MATCH(Z$1, lmic_raw[#Headers],0))=0, INDEX(regions[], MATCH($D37, regions[[setting]:[setting]],0), MATCH(Z$1, regions[#Headers],0)),INDEX(lmic_raw[],MATCH($A37,lmic_raw[[setting]:[setting]],0), MATCH(Z$1, lmic_raw[#Headers],0)))</f>
        <v>3.1503284227452526</v>
      </c>
      <c r="AA37" s="33">
        <f>IF(INDEX(lmic_raw[],MATCH($A37,lmic_raw[[setting]:[setting]],0), MATCH(AA$1, lmic_raw[#Headers],0))=0, INDEX(regions[], MATCH($D37, regions[[setting]:[setting]],0), MATCH(AA$1, regions[#Headers],0)),INDEX(lmic_raw[],MATCH($A37,lmic_raw[[setting]:[setting]],0), MATCH(AA$1, lmic_raw[#Headers],0)))</f>
        <v>3.8223456589090827</v>
      </c>
      <c r="AB37" s="33">
        <f>IF(INDEX(lmic_raw[],MATCH($A37,lmic_raw[[setting]:[setting]],0), MATCH(AB$1, lmic_raw[#Headers],0))=0, INDEX(regions[], MATCH($D37, regions[[setting]:[setting]],0), MATCH(AB$1, regions[#Headers],0)),INDEX(lmic_raw[],MATCH($A37,lmic_raw[[setting]:[setting]],0), MATCH(AB$1, lmic_raw[#Headers],0)))</f>
        <v>3.8423456589090828</v>
      </c>
      <c r="AC37" s="33">
        <f>IF(INDEX(lmic_raw[],MATCH($A37,lmic_raw[[setting]:[setting]],0), MATCH(AC$1, lmic_raw[#Headers],0))=0, INDEX(regions[], MATCH($D37, regions[[setting]:[setting]],0), MATCH(AC$1, regions[#Headers],0)),INDEX(lmic_raw[],MATCH($A37,lmic_raw[[setting]:[setting]],0), MATCH(AC$1, lmic_raw[#Headers],0)))</f>
        <v>1.3603999999999943E-2</v>
      </c>
      <c r="AD37" s="33">
        <f>IF(INDEX(lmic_raw[],MATCH($A37,lmic_raw[[setting]:[setting]],0), MATCH(AD$1, lmic_raw[#Headers],0))=0, INDEX(regions[], MATCH($D37, regions[[setting]:[setting]],0), MATCH(AD$1, regions[#Headers],0)),INDEX(lmic_raw[],MATCH($A37,lmic_raw[[setting]:[setting]],0), MATCH(AD$1, lmic_raw[#Headers],0)))</f>
        <v>6.8767006354446118E-4</v>
      </c>
      <c r="AE37" s="33">
        <f>IF(INDEX(lmic_raw[],MATCH($A37,lmic_raw[[setting]:[setting]],0), MATCH(AE$1, lmic_raw[#Headers],0))=0, INDEX(regions[], MATCH($D37, regions[[setting]:[setting]],0), MATCH(AE$1, regions[#Headers],0)),INDEX(lmic_raw[],MATCH($A37,lmic_raw[[setting]:[setting]],0), MATCH(AE$1, lmic_raw[#Headers],0)))</f>
        <v>3.9370417335979569E-4</v>
      </c>
      <c r="AF37" s="33">
        <f>IF(INDEX(lmic_raw[],MATCH($A37,lmic_raw[[setting]:[setting]],0), MATCH(AF$1, lmic_raw[#Headers],0))=0, INDEX(regions[], MATCH($D37, regions[[setting]:[setting]],0), MATCH(AF$1, regions[#Headers],0)),INDEX(lmic_raw[],MATCH($A37,lmic_raw[[setting]:[setting]],0), MATCH(AF$1, lmic_raw[#Headers],0)))</f>
        <v>4.9526642493011395E-4</v>
      </c>
      <c r="AG37" s="33">
        <f>IF(INDEX(lmic_raw[],MATCH($A37,lmic_raw[[setting]:[setting]],0), MATCH(AG$1, lmic_raw[#Headers],0))=0, INDEX(regions[], MATCH($D37, regions[[setting]:[setting]],0), MATCH(AG$1, regions[#Headers],0)),INDEX(lmic_raw[],MATCH($A37,lmic_raw[[setting]:[setting]],0), MATCH(AG$1, lmic_raw[#Headers],0)))</f>
        <v>1.0292681964982182E-3</v>
      </c>
      <c r="AH37" s="33">
        <f>IF(INDEX(lmic_raw[],MATCH($A37,lmic_raw[[setting]:[setting]],0), MATCH(AH$1, lmic_raw[#Headers],0))=0, INDEX(regions[], MATCH($D37, regions[[setting]:[setting]],0), MATCH(AH$1, regions[#Headers],0)),INDEX(lmic_raw[],MATCH($A37,lmic_raw[[setting]:[setting]],0), MATCH(AH$1, lmic_raw[#Headers],0)))</f>
        <v>1.6221000035185156E-3</v>
      </c>
      <c r="AI37" s="33">
        <f>IF(INDEX(lmic_raw[],MATCH($A37,lmic_raw[[setting]:[setting]],0), MATCH(AI$1, lmic_raw[#Headers],0))=0, INDEX(regions[], MATCH($D37, regions[[setting]:[setting]],0), MATCH(AI$1, regions[#Headers],0)),INDEX(lmic_raw[],MATCH($A37,lmic_raw[[setting]:[setting]],0), MATCH(AI$1, lmic_raw[#Headers],0)))</f>
        <v>1.9509558964916247E-3</v>
      </c>
      <c r="AJ37" s="33">
        <f>IF(INDEX(lmic_raw[],MATCH($A37,lmic_raw[[setting]:[setting]],0), MATCH(AJ$1, lmic_raw[#Headers],0))=0, INDEX(regions[], MATCH($D37, regions[[setting]:[setting]],0), MATCH(AJ$1, regions[#Headers],0)),INDEX(lmic_raw[],MATCH($A37,lmic_raw[[setting]:[setting]],0), MATCH(AJ$1, lmic_raw[#Headers],0)))</f>
        <v>2.024378160246552E-3</v>
      </c>
      <c r="AK37" s="33">
        <f>IF(INDEX(lmic_raw[],MATCH($A37,lmic_raw[[setting]:[setting]],0), MATCH(AK$1, lmic_raw[#Headers],0))=0, INDEX(regions[], MATCH($D37, regions[[setting]:[setting]],0), MATCH(AK$1, regions[#Headers],0)),INDEX(lmic_raw[],MATCH($A37,lmic_raw[[setting]:[setting]],0), MATCH(AK$1, lmic_raw[#Headers],0)))</f>
        <v>2.1684233691174424E-3</v>
      </c>
      <c r="AL37" s="33">
        <f>IF(INDEX(lmic_raw[],MATCH($A37,lmic_raw[[setting]:[setting]],0), MATCH(AL$1, lmic_raw[#Headers],0))=0, INDEX(regions[], MATCH($D37, regions[[setting]:[setting]],0), MATCH(AL$1, regions[#Headers],0)),INDEX(lmic_raw[],MATCH($A37,lmic_raw[[setting]:[setting]],0), MATCH(AL$1, lmic_raw[#Headers],0)))</f>
        <v>2.710723957563381E-3</v>
      </c>
      <c r="AM37" s="33">
        <f>IF(INDEX(lmic_raw[],MATCH($A37,lmic_raw[[setting]:[setting]],0), MATCH(AM$1, lmic_raw[#Headers],0))=0, INDEX(regions[], MATCH($D37, regions[[setting]:[setting]],0), MATCH(AM$1, regions[#Headers],0)),INDEX(lmic_raw[],MATCH($A37,lmic_raw[[setting]:[setting]],0), MATCH(AM$1, lmic_raw[#Headers],0)))</f>
        <v>3.4507564595453277E-3</v>
      </c>
      <c r="AN37" s="33">
        <f>IF(INDEX(lmic_raw[],MATCH($A37,lmic_raw[[setting]:[setting]],0), MATCH(AN$1, lmic_raw[#Headers],0))=0, INDEX(regions[], MATCH($D37, regions[[setting]:[setting]],0), MATCH(AN$1, regions[#Headers],0)),INDEX(lmic_raw[],MATCH($A37,lmic_raw[[setting]:[setting]],0), MATCH(AN$1, lmic_raw[#Headers],0)))</f>
        <v>5.0299162268145599E-3</v>
      </c>
      <c r="AO37" s="33">
        <f>IF(INDEX(lmic_raw[],MATCH($A37,lmic_raw[[setting]:[setting]],0), MATCH(AO$1, lmic_raw[#Headers],0))=0, INDEX(regions[], MATCH($D37, regions[[setting]:[setting]],0), MATCH(AO$1, regions[#Headers],0)),INDEX(lmic_raw[],MATCH($A37,lmic_raw[[setting]:[setting]],0), MATCH(AO$1, lmic_raw[#Headers],0)))</f>
        <v>6.85829796409302E-3</v>
      </c>
      <c r="AP37" s="33">
        <f>IF(INDEX(lmic_raw[],MATCH($A37,lmic_raw[[setting]:[setting]],0), MATCH(AP$1, lmic_raw[#Headers],0))=0, INDEX(regions[], MATCH($D37, regions[[setting]:[setting]],0), MATCH(AP$1, regions[#Headers],0)),INDEX(lmic_raw[],MATCH($A37,lmic_raw[[setting]:[setting]],0), MATCH(AP$1, lmic_raw[#Headers],0)))</f>
        <v>9.9720927830648891E-3</v>
      </c>
      <c r="AQ37" s="33">
        <f>IF(INDEX(lmic_raw[],MATCH($A37,lmic_raw[[setting]:[setting]],0), MATCH(AQ$1, lmic_raw[#Headers],0))=0, INDEX(regions[], MATCH($D37, regions[[setting]:[setting]],0), MATCH(AQ$1, regions[#Headers],0)),INDEX(lmic_raw[],MATCH($A37,lmic_raw[[setting]:[setting]],0), MATCH(AQ$1, lmic_raw[#Headers],0)))</f>
        <v>1.3981656629861733E-2</v>
      </c>
      <c r="AR37" s="33">
        <f>IF(INDEX(lmic_raw[],MATCH($A37,lmic_raw[[setting]:[setting]],0), MATCH(AR$1, lmic_raw[#Headers],0))=0, INDEX(regions[], MATCH($D37, regions[[setting]:[setting]],0), MATCH(AR$1, regions[#Headers],0)),INDEX(lmic_raw[],MATCH($A37,lmic_raw[[setting]:[setting]],0), MATCH(AR$1, lmic_raw[#Headers],0)))</f>
        <v>2.2815887117368309E-2</v>
      </c>
      <c r="AS37" s="33">
        <f>IF(INDEX(lmic_raw[],MATCH($A37,lmic_raw[[setting]:[setting]],0), MATCH(AS$1, lmic_raw[#Headers],0))=0, INDEX(regions[], MATCH($D37, regions[[setting]:[setting]],0), MATCH(AS$1, regions[#Headers],0)),INDEX(lmic_raw[],MATCH($A37,lmic_raw[[setting]:[setting]],0), MATCH(AS$1, lmic_raw[#Headers],0)))</f>
        <v>3.6522283012411859E-2</v>
      </c>
      <c r="AT37" s="33">
        <f>IF(INDEX(lmic_raw[],MATCH($A37,lmic_raw[[setting]:[setting]],0), MATCH(AT$1, lmic_raw[#Headers],0))=0, INDEX(regions[], MATCH($D37, regions[[setting]:[setting]],0), MATCH(AT$1, regions[#Headers],0)),INDEX(lmic_raw[],MATCH($A37,lmic_raw[[setting]:[setting]],0), MATCH(AT$1, lmic_raw[#Headers],0)))</f>
        <v>5.592534206364163E-2</v>
      </c>
      <c r="AU37" s="33">
        <f>IF(INDEX(lmic_raw[],MATCH($A37,lmic_raw[[setting]:[setting]],0), MATCH(AU$1, lmic_raw[#Headers],0))=0, INDEX(regions[], MATCH($D37, regions[[setting]:[setting]],0), MATCH(AU$1, regions[#Headers],0)),INDEX(lmic_raw[],MATCH($A37,lmic_raw[[setting]:[setting]],0), MATCH(AU$1, lmic_raw[#Headers],0)))</f>
        <v>8.5126930812053858E-2</v>
      </c>
      <c r="AV37" s="33">
        <f>IF(INDEX(lmic_raw[],MATCH($A37,lmic_raw[[setting]:[setting]],0), MATCH(AV$1, lmic_raw[#Headers],0))=0, INDEX(regions[], MATCH($D37, regions[[setting]:[setting]],0), MATCH(AV$1, regions[#Headers],0)),INDEX(lmic_raw[],MATCH($A37,lmic_raw[[setting]:[setting]],0), MATCH(AV$1, lmic_raw[#Headers],0)))</f>
        <v>0.10901687879307558</v>
      </c>
      <c r="AW37" s="33">
        <f>IF(INDEX(lmic_raw[],MATCH($A37,lmic_raw[[setting]:[setting]],0), MATCH(AW$1, lmic_raw[#Headers],0))=0, INDEX(regions[], MATCH($D37, regions[[setting]:[setting]],0), MATCH(AW$1, regions[#Headers],0)),INDEX(lmic_raw[],MATCH($A37,lmic_raw[[setting]:[setting]],0), MATCH(AW$1, lmic_raw[#Headers],0)))</f>
        <v>0.13971960254114565</v>
      </c>
      <c r="AX37" s="33">
        <f>IF(INDEX(lmic_raw[],MATCH($A37,lmic_raw[[setting]:[setting]],0), MATCH(AX$1, lmic_raw[#Headers],0))=0, INDEX(regions[], MATCH($D37, regions[[setting]:[setting]],0), MATCH(AX$1, regions[#Headers],0)),INDEX(lmic_raw[],MATCH($A37,lmic_raw[[setting]:[setting]],0), MATCH(AX$1, lmic_raw[#Headers],0)))</f>
        <v>76.701999999999998</v>
      </c>
      <c r="AY37" s="33" t="str">
        <f>IF(VLOOKUP($A37,lmic_raw[],11,FALSE)=0, "Yes", "No")</f>
        <v>No</v>
      </c>
    </row>
    <row r="38" spans="1:51" x14ac:dyDescent="0.25">
      <c r="A38" s="109" t="s">
        <v>158</v>
      </c>
      <c r="B38" s="101" t="s">
        <v>417</v>
      </c>
      <c r="C38" s="102">
        <v>818</v>
      </c>
      <c r="D38" s="82" t="s">
        <v>673</v>
      </c>
      <c r="E38" s="82" t="s">
        <v>579</v>
      </c>
      <c r="F38" s="82" t="s">
        <v>579</v>
      </c>
      <c r="G38" s="82" t="s">
        <v>678</v>
      </c>
      <c r="H38" s="33">
        <f>IF(INDEX(lmic_raw[],MATCH($A38,lmic_raw[[setting]:[setting]],0), MATCH(H$1, lmic_raw[#Headers],0))=0, INDEX(regions[], MATCH($D38, regions[[setting]:[setting]],0), MATCH(H$1, regions[#Headers],0)),INDEX(lmic_raw[],MATCH($A38,lmic_raw[[setting]:[setting]],0), MATCH(H$1, lmic_raw[#Headers],0)))</f>
        <v>100388076</v>
      </c>
      <c r="I38" s="33">
        <f>IF(INDEX(lmic_raw[],MATCH($A38,lmic_raw[[setting]:[setting]],0), MATCH(I$1, lmic_raw[#Headers],0))=0, INDEX(regions[], MATCH($D38, regions[[setting]:[setting]],0), MATCH(I$1, regions[#Headers],0)),INDEX(lmic_raw[],MATCH($A38,lmic_raw[[setting]:[setting]],0), MATCH(I$1, lmic_raw[#Headers],0)))</f>
        <v>2664098.760888</v>
      </c>
      <c r="J38" s="33">
        <f>IF(INDEX(lmic_raw[],MATCH($A38,lmic_raw[[setting]:[setting]],0), MATCH(J$1, lmic_raw[#Headers],0))=0, INDEX(regions[], MATCH($D38, regions[[setting]:[setting]],0), MATCH(J$1, regions[#Headers],0)),INDEX(lmic_raw[],MATCH($A38,lmic_raw[[setting]:[setting]],0), MATCH(J$1, lmic_raw[#Headers],0)))</f>
        <v>0.86699999999999999</v>
      </c>
      <c r="K38" s="33">
        <f>IF(INDEX(lmic_raw[],MATCH($A38,lmic_raw[[setting]:[setting]],0), MATCH(K$1, lmic_raw[#Headers],0))=0, INDEX(regions[], MATCH($D38, regions[[setting]:[setting]],0), MATCH(K$1, regions[#Headers],0)),INDEX(lmic_raw[],MATCH($A38,lmic_raw[[setting]:[setting]],0), MATCH(K$1, lmic_raw[#Headers],0)))</f>
        <v>0.91</v>
      </c>
      <c r="L38" s="33">
        <f>IF(INDEX(lmic_raw[],MATCH($A38,lmic_raw[[setting]:[setting]],0), MATCH(L$1, lmic_raw[#Headers],0))=0, INDEX(regions[], MATCH($D38, regions[[setting]:[setting]],0), MATCH(L$1, regions[#Headers],0)),INDEX(lmic_raw[],MATCH($A38,lmic_raw[[setting]:[setting]],0), MATCH(L$1, lmic_raw[#Headers],0)))</f>
        <v>0.95</v>
      </c>
      <c r="M38" s="33">
        <f>IF(INDEX(lmic_raw[],MATCH($A38,lmic_raw[[setting]:[setting]],0), MATCH(M$1, lmic_raw[#Headers],0))=0, INDEX(regions[], MATCH($D38, regions[[setting]:[setting]],0), MATCH(M$1, regions[#Headers],0)),INDEX(lmic_raw[],MATCH($A38,lmic_raw[[setting]:[setting]],0), MATCH(M$1, lmic_raw[#Headers],0)))</f>
        <v>1.9599999999999999E-2</v>
      </c>
      <c r="N38" s="33">
        <f>IF(INDEX(lmic_raw[],MATCH($A38,lmic_raw[[setting]:[setting]],0), MATCH(N$1, lmic_raw[#Headers],0))=0, INDEX(regions[], MATCH($D38, regions[[setting]:[setting]],0), MATCH(N$1, regions[#Headers],0)),INDEX(lmic_raw[],MATCH($A38,lmic_raw[[setting]:[setting]],0), MATCH(N$1, lmic_raw[#Headers],0)))</f>
        <v>0.26878838285685103</v>
      </c>
      <c r="O38" s="33">
        <f>IF(INDEX(lmic_raw[],MATCH($A38,lmic_raw[[setting]:[setting]],0), MATCH(O$1, lmic_raw[#Headers],0))=0, INDEX(regions[], MATCH($D38, regions[[setting]:[setting]],0), MATCH(O$1, regions[#Headers],0)),INDEX(lmic_raw[],MATCH($A38,lmic_raw[[setting]:[setting]],0), MATCH(O$1, lmic_raw[#Headers],0)))</f>
        <v>0.8</v>
      </c>
      <c r="P38" s="33">
        <f>IF(INDEX(lmic_raw[],MATCH($A38,lmic_raw[[setting]:[setting]],0), MATCH(P$1, lmic_raw[#Headers],0))=0, INDEX(regions[], MATCH($D38, regions[[setting]:[setting]],0), MATCH(P$1, regions[#Headers],0)),INDEX(lmic_raw[],MATCH($A38,lmic_raw[[setting]:[setting]],0), MATCH(P$1, lmic_raw[#Headers],0)))</f>
        <v>0.17499999999999999</v>
      </c>
      <c r="Q38" s="33">
        <f>IF(INDEX(lmic_raw[],MATCH($A38,lmic_raw[[setting]:[setting]],0), MATCH(Q$1, lmic_raw[#Headers],0))=0, INDEX(regions[], MATCH($D38, regions[[setting]:[setting]],0), MATCH(Q$1, regions[#Headers],0)),INDEX(lmic_raw[],MATCH($A38,lmic_raw[[setting]:[setting]],0), MATCH(Q$1, lmic_raw[#Headers],0)))</f>
        <v>6.5594837976176033</v>
      </c>
      <c r="R38" s="33">
        <f>IF(INDEX(lmic_raw[],MATCH($A38,lmic_raw[[setting]:[setting]],0), MATCH(R$1, lmic_raw[#Headers],0))=0, INDEX(regions[], MATCH($D38, regions[[setting]:[setting]],0), MATCH(R$1, regions[#Headers],0)),INDEX(lmic_raw[],MATCH($A38,lmic_raw[[setting]:[setting]],0), MATCH(R$1, lmic_raw[#Headers],0)))</f>
        <v>46.335900000000002</v>
      </c>
      <c r="S38" s="33">
        <f>IF(INDEX(lmic_raw[],MATCH($A38,lmic_raw[[setting]:[setting]],0), MATCH(S$1, lmic_raw[#Headers],0))=0, INDEX(regions[], MATCH($D38, regions[[setting]:[setting]],0), MATCH(S$1, regions[#Headers],0)),INDEX(lmic_raw[],MATCH($A38,lmic_raw[[setting]:[setting]],0), MATCH(S$1, lmic_raw[#Headers],0)))</f>
        <v>94.077900000000014</v>
      </c>
      <c r="T38" s="33">
        <f>IF(INDEX(lmic_raw[],MATCH($A38,lmic_raw[[setting]:[setting]],0), MATCH(T$1, lmic_raw[#Headers],0))=0, INDEX(regions[], MATCH($D38, regions[[setting]:[setting]],0), MATCH(T$1, regions[#Headers],0)),INDEX(lmic_raw[],MATCH($A38,lmic_raw[[setting]:[setting]],0), MATCH(T$1, lmic_raw[#Headers],0)))</f>
        <v>94.077900000000014</v>
      </c>
      <c r="U38" s="33">
        <f>IF(INDEX(lmic_raw[],MATCH($A38,lmic_raw[[setting]:[setting]],0), MATCH(U$1, lmic_raw[#Headers],0))=0, INDEX(regions[], MATCH($D38, regions[[setting]:[setting]],0), MATCH(U$1, regions[#Headers],0)),INDEX(lmic_raw[],MATCH($A38,lmic_raw[[setting]:[setting]],0), MATCH(U$1, lmic_raw[#Headers],0)))</f>
        <v>94.077900000000014</v>
      </c>
      <c r="V38" s="33">
        <f>IF(INDEX(lmic_raw[],MATCH($A38,lmic_raw[[setting]:[setting]],0), MATCH(V$1, lmic_raw[#Headers],0))=0, INDEX(regions[], MATCH($D38, regions[[setting]:[setting]],0), MATCH(V$1, regions[#Headers],0)),INDEX(lmic_raw[],MATCH($A38,lmic_raw[[setting]:[setting]],0), MATCH(V$1, lmic_raw[#Headers],0)))</f>
        <v>2.7684170020583592</v>
      </c>
      <c r="W38" s="33">
        <f>IF(INDEX(lmic_raw[],MATCH($A38,lmic_raw[[setting]:[setting]],0), MATCH(W$1, lmic_raw[#Headers],0))=0, INDEX(regions[], MATCH($D38, regions[[setting]:[setting]],0), MATCH(W$1, regions[#Headers],0)),INDEX(lmic_raw[],MATCH($A38,lmic_raw[[setting]:[setting]],0), MATCH(W$1, lmic_raw[#Headers],0)))</f>
        <v>3.2484170020583591</v>
      </c>
      <c r="X38" s="33">
        <f>IF(INDEX(lmic_raw[],MATCH($A38,lmic_raw[[setting]:[setting]],0), MATCH(X$1, lmic_raw[#Headers],0))=0, INDEX(regions[], MATCH($D38, regions[[setting]:[setting]],0), MATCH(X$1, regions[#Headers],0)),INDEX(lmic_raw[],MATCH($A38,lmic_raw[[setting]:[setting]],0), MATCH(X$1, lmic_raw[#Headers],0)))</f>
        <v>2.3329781440009412</v>
      </c>
      <c r="Y38" s="33">
        <f>IF(INDEX(lmic_raw[],MATCH($A38,lmic_raw[[setting]:[setting]],0), MATCH(Y$1, lmic_raw[#Headers],0))=0, INDEX(regions[], MATCH($D38, regions[[setting]:[setting]],0), MATCH(Y$1, regions[#Headers],0)),INDEX(lmic_raw[],MATCH($A38,lmic_raw[[setting]:[setting]],0), MATCH(Y$1, lmic_raw[#Headers],0)))</f>
        <v>2.8129781440009411</v>
      </c>
      <c r="Z38" s="33">
        <f>IF(INDEX(lmic_raw[],MATCH($A38,lmic_raw[[setting]:[setting]],0), MATCH(Z$1, lmic_raw[#Headers],0))=0, INDEX(regions[], MATCH($D38, regions[[setting]:[setting]],0), MATCH(Z$1, regions[#Headers],0)),INDEX(lmic_raw[],MATCH($A38,lmic_raw[[setting]:[setting]],0), MATCH(Z$1, lmic_raw[#Headers],0)))</f>
        <v>2.805998505295368</v>
      </c>
      <c r="AA38" s="33">
        <f>IF(INDEX(lmic_raw[],MATCH($A38,lmic_raw[[setting]:[setting]],0), MATCH(AA$1, lmic_raw[#Headers],0))=0, INDEX(regions[], MATCH($D38, regions[[setting]:[setting]],0), MATCH(AA$1, regions[#Headers],0)),INDEX(lmic_raw[],MATCH($A38,lmic_raw[[setting]:[setting]],0), MATCH(AA$1, lmic_raw[#Headers],0)))</f>
        <v>3.0136035615930341</v>
      </c>
      <c r="AB38" s="33">
        <f>IF(INDEX(lmic_raw[],MATCH($A38,lmic_raw[[setting]:[setting]],0), MATCH(AB$1, lmic_raw[#Headers],0))=0, INDEX(regions[], MATCH($D38, regions[[setting]:[setting]],0), MATCH(AB$1, regions[#Headers],0)),INDEX(lmic_raw[],MATCH($A38,lmic_raw[[setting]:[setting]],0), MATCH(AB$1, lmic_raw[#Headers],0)))</f>
        <v>3.4936035615930341</v>
      </c>
      <c r="AC38" s="33">
        <f>IF(INDEX(lmic_raw[],MATCH($A38,lmic_raw[[setting]:[setting]],0), MATCH(AC$1, lmic_raw[#Headers],0))=0, INDEX(regions[], MATCH($D38, regions[[setting]:[setting]],0), MATCH(AC$1, regions[#Headers],0)),INDEX(lmic_raw[],MATCH($A38,lmic_raw[[setting]:[setting]],0), MATCH(AC$1, lmic_raw[#Headers],0)))</f>
        <v>1.5603000000000028E-2</v>
      </c>
      <c r="AD38" s="33">
        <f>IF(INDEX(lmic_raw[],MATCH($A38,lmic_raw[[setting]:[setting]],0), MATCH(AD$1, lmic_raw[#Headers],0))=0, INDEX(regions[], MATCH($D38, regions[[setting]:[setting]],0), MATCH(AD$1, regions[#Headers],0)),INDEX(lmic_raw[],MATCH($A38,lmic_raw[[setting]:[setting]],0), MATCH(AD$1, lmic_raw[#Headers],0)))</f>
        <v>1.0979411761717916E-3</v>
      </c>
      <c r="AE38" s="33">
        <f>IF(INDEX(lmic_raw[],MATCH($A38,lmic_raw[[setting]:[setting]],0), MATCH(AE$1, lmic_raw[#Headers],0))=0, INDEX(regions[], MATCH($D38, regions[[setting]:[setting]],0), MATCH(AE$1, regions[#Headers],0)),INDEX(lmic_raw[],MATCH($A38,lmic_raw[[setting]:[setting]],0), MATCH(AE$1, lmic_raw[#Headers],0)))</f>
        <v>4.0203096550612541E-4</v>
      </c>
      <c r="AF38" s="33">
        <f>IF(INDEX(lmic_raw[],MATCH($A38,lmic_raw[[setting]:[setting]],0), MATCH(AF$1, lmic_raw[#Headers],0))=0, INDEX(regions[], MATCH($D38, regions[[setting]:[setting]],0), MATCH(AF$1, regions[#Headers],0)),INDEX(lmic_raw[],MATCH($A38,lmic_raw[[setting]:[setting]],0), MATCH(AF$1, lmic_raw[#Headers],0)))</f>
        <v>3.3723214981119505E-4</v>
      </c>
      <c r="AG38" s="33">
        <f>IF(INDEX(lmic_raw[],MATCH($A38,lmic_raw[[setting]:[setting]],0), MATCH(AG$1, lmic_raw[#Headers],0))=0, INDEX(regions[], MATCH($D38, regions[[setting]:[setting]],0), MATCH(AG$1, regions[#Headers],0)),INDEX(lmic_raw[],MATCH($A38,lmic_raw[[setting]:[setting]],0), MATCH(AG$1, lmic_raw[#Headers],0)))</f>
        <v>4.8947906856727417E-4</v>
      </c>
      <c r="AH38" s="33">
        <f>IF(INDEX(lmic_raw[],MATCH($A38,lmic_raw[[setting]:[setting]],0), MATCH(AH$1, lmic_raw[#Headers],0))=0, INDEX(regions[], MATCH($D38, regions[[setting]:[setting]],0), MATCH(AH$1, regions[#Headers],0)),INDEX(lmic_raw[],MATCH($A38,lmic_raw[[setting]:[setting]],0), MATCH(AH$1, lmic_raw[#Headers],0)))</f>
        <v>7.3460421749213067E-4</v>
      </c>
      <c r="AI38" s="33">
        <f>IF(INDEX(lmic_raw[],MATCH($A38,lmic_raw[[setting]:[setting]],0), MATCH(AI$1, lmic_raw[#Headers],0))=0, INDEX(regions[], MATCH($D38, regions[[setting]:[setting]],0), MATCH(AI$1, regions[#Headers],0)),INDEX(lmic_raw[],MATCH($A38,lmic_raw[[setting]:[setting]],0), MATCH(AI$1, lmic_raw[#Headers],0)))</f>
        <v>9.0669127946694952E-4</v>
      </c>
      <c r="AJ38" s="33">
        <f>IF(INDEX(lmic_raw[],MATCH($A38,lmic_raw[[setting]:[setting]],0), MATCH(AJ$1, lmic_raw[#Headers],0))=0, INDEX(regions[], MATCH($D38, regions[[setting]:[setting]],0), MATCH(AJ$1, regions[#Headers],0)),INDEX(lmic_raw[],MATCH($A38,lmic_raw[[setting]:[setting]],0), MATCH(AJ$1, lmic_raw[#Headers],0)))</f>
        <v>1.1951674384517003E-3</v>
      </c>
      <c r="AK38" s="33">
        <f>IF(INDEX(lmic_raw[],MATCH($A38,lmic_raw[[setting]:[setting]],0), MATCH(AK$1, lmic_raw[#Headers],0))=0, INDEX(regions[], MATCH($D38, regions[[setting]:[setting]],0), MATCH(AK$1, regions[#Headers],0)),INDEX(lmic_raw[],MATCH($A38,lmic_raw[[setting]:[setting]],0), MATCH(AK$1, lmic_raw[#Headers],0)))</f>
        <v>1.4403121562159814E-3</v>
      </c>
      <c r="AL38" s="33">
        <f>IF(INDEX(lmic_raw[],MATCH($A38,lmic_raw[[setting]:[setting]],0), MATCH(AL$1, lmic_raw[#Headers],0))=0, INDEX(regions[], MATCH($D38, regions[[setting]:[setting]],0), MATCH(AL$1, regions[#Headers],0)),INDEX(lmic_raw[],MATCH($A38,lmic_raw[[setting]:[setting]],0), MATCH(AL$1, lmic_raw[#Headers],0)))</f>
        <v>2.1571886813432435E-3</v>
      </c>
      <c r="AM38" s="33">
        <f>IF(INDEX(lmic_raw[],MATCH($A38,lmic_raw[[setting]:[setting]],0), MATCH(AM$1, lmic_raw[#Headers],0))=0, INDEX(regions[], MATCH($D38, regions[[setting]:[setting]],0), MATCH(AM$1, regions[#Headers],0)),INDEX(lmic_raw[],MATCH($A38,lmic_raw[[setting]:[setting]],0), MATCH(AM$1, lmic_raw[#Headers],0)))</f>
        <v>4.4969935214368723E-3</v>
      </c>
      <c r="AN38" s="33">
        <f>IF(INDEX(lmic_raw[],MATCH($A38,lmic_raw[[setting]:[setting]],0), MATCH(AN$1, lmic_raw[#Headers],0))=0, INDEX(regions[], MATCH($D38, regions[[setting]:[setting]],0), MATCH(AN$1, regions[#Headers],0)),INDEX(lmic_raw[],MATCH($A38,lmic_raw[[setting]:[setting]],0), MATCH(AN$1, lmic_raw[#Headers],0)))</f>
        <v>8.2593242275040731E-3</v>
      </c>
      <c r="AO38" s="33">
        <f>IF(INDEX(lmic_raw[],MATCH($A38,lmic_raw[[setting]:[setting]],0), MATCH(AO$1, lmic_raw[#Headers],0))=0, INDEX(regions[], MATCH($D38, regions[[setting]:[setting]],0), MATCH(AO$1, regions[#Headers],0)),INDEX(lmic_raw[],MATCH($A38,lmic_raw[[setting]:[setting]],0), MATCH(AO$1, lmic_raw[#Headers],0)))</f>
        <v>1.1397434154598698E-2</v>
      </c>
      <c r="AP38" s="33">
        <f>IF(INDEX(lmic_raw[],MATCH($A38,lmic_raw[[setting]:[setting]],0), MATCH(AP$1, lmic_raw[#Headers],0))=0, INDEX(regions[], MATCH($D38, regions[[setting]:[setting]],0), MATCH(AP$1, regions[#Headers],0)),INDEX(lmic_raw[],MATCH($A38,lmic_raw[[setting]:[setting]],0), MATCH(AP$1, lmic_raw[#Headers],0)))</f>
        <v>1.8330517874933352E-2</v>
      </c>
      <c r="AQ38" s="33">
        <f>IF(INDEX(lmic_raw[],MATCH($A38,lmic_raw[[setting]:[setting]],0), MATCH(AQ$1, lmic_raw[#Headers],0))=0, INDEX(regions[], MATCH($D38, regions[[setting]:[setting]],0), MATCH(AQ$1, regions[#Headers],0)),INDEX(lmic_raw[],MATCH($A38,lmic_raw[[setting]:[setting]],0), MATCH(AQ$1, lmic_raw[#Headers],0)))</f>
        <v>2.8106823757184662E-2</v>
      </c>
      <c r="AR38" s="33">
        <f>IF(INDEX(lmic_raw[],MATCH($A38,lmic_raw[[setting]:[setting]],0), MATCH(AR$1, lmic_raw[#Headers],0))=0, INDEX(regions[], MATCH($D38, regions[[setting]:[setting]],0), MATCH(AR$1, regions[#Headers],0)),INDEX(lmic_raw[],MATCH($A38,lmic_raw[[setting]:[setting]],0), MATCH(AR$1, lmic_raw[#Headers],0)))</f>
        <v>4.3978088495614923E-2</v>
      </c>
      <c r="AS38" s="33">
        <f>IF(INDEX(lmic_raw[],MATCH($A38,lmic_raw[[setting]:[setting]],0), MATCH(AS$1, lmic_raw[#Headers],0))=0, INDEX(regions[], MATCH($D38, regions[[setting]:[setting]],0), MATCH(AS$1, regions[#Headers],0)),INDEX(lmic_raw[],MATCH($A38,lmic_raw[[setting]:[setting]],0), MATCH(AS$1, lmic_raw[#Headers],0)))</f>
        <v>6.7373729113522129E-2</v>
      </c>
      <c r="AT38" s="33">
        <f>IF(INDEX(lmic_raw[],MATCH($A38,lmic_raw[[setting]:[setting]],0), MATCH(AT$1, lmic_raw[#Headers],0))=0, INDEX(regions[], MATCH($D38, regions[[setting]:[setting]],0), MATCH(AT$1, regions[#Headers],0)),INDEX(lmic_raw[],MATCH($A38,lmic_raw[[setting]:[setting]],0), MATCH(AT$1, lmic_raw[#Headers],0)))</f>
        <v>9.481964846989685E-2</v>
      </c>
      <c r="AU38" s="33">
        <f>IF(INDEX(lmic_raw[],MATCH($A38,lmic_raw[[setting]:[setting]],0), MATCH(AU$1, lmic_raw[#Headers],0))=0, INDEX(regions[], MATCH($D38, regions[[setting]:[setting]],0), MATCH(AU$1, regions[#Headers],0)),INDEX(lmic_raw[],MATCH($A38,lmic_raw[[setting]:[setting]],0), MATCH(AU$1, lmic_raw[#Headers],0)))</f>
        <v>0.12462073263023554</v>
      </c>
      <c r="AV38" s="33">
        <f>IF(INDEX(lmic_raw[],MATCH($A38,lmic_raw[[setting]:[setting]],0), MATCH(AV$1, lmic_raw[#Headers],0))=0, INDEX(regions[], MATCH($D38, regions[[setting]:[setting]],0), MATCH(AV$1, regions[#Headers],0)),INDEX(lmic_raw[],MATCH($A38,lmic_raw[[setting]:[setting]],0), MATCH(AV$1, lmic_raw[#Headers],0)))</f>
        <v>0.14965792419484689</v>
      </c>
      <c r="AW38" s="33">
        <f>IF(INDEX(lmic_raw[],MATCH($A38,lmic_raw[[setting]:[setting]],0), MATCH(AW$1, lmic_raw[#Headers],0))=0, INDEX(regions[], MATCH($D38, regions[[setting]:[setting]],0), MATCH(AW$1, regions[#Headers],0)),INDEX(lmic_raw[],MATCH($A38,lmic_raw[[setting]:[setting]],0), MATCH(AW$1, lmic_raw[#Headers],0)))</f>
        <v>0.1716527449047042</v>
      </c>
      <c r="AX38" s="33">
        <f>IF(INDEX(lmic_raw[],MATCH($A38,lmic_raw[[setting]:[setting]],0), MATCH(AX$1, lmic_raw[#Headers],0))=0, INDEX(regions[], MATCH($D38, regions[[setting]:[setting]],0), MATCH(AX$1, regions[#Headers],0)),INDEX(lmic_raw[],MATCH($A38,lmic_raw[[setting]:[setting]],0), MATCH(AX$1, lmic_raw[#Headers],0)))</f>
        <v>71.744</v>
      </c>
      <c r="AY38" s="33" t="str">
        <f>IF(VLOOKUP($A38,lmic_raw[],11,FALSE)=0, "Yes", "No")</f>
        <v>No</v>
      </c>
    </row>
    <row r="39" spans="1:51" x14ac:dyDescent="0.25">
      <c r="A39" s="110" t="s">
        <v>255</v>
      </c>
      <c r="B39" s="104" t="s">
        <v>418</v>
      </c>
      <c r="C39" s="105">
        <v>222</v>
      </c>
      <c r="D39" s="84" t="s">
        <v>679</v>
      </c>
      <c r="E39" s="84" t="s">
        <v>604</v>
      </c>
      <c r="F39" s="84" t="s">
        <v>665</v>
      </c>
      <c r="G39" s="84" t="s">
        <v>678</v>
      </c>
      <c r="H39" s="33">
        <f>IF(INDEX(lmic_raw[],MATCH($A39,lmic_raw[[setting]:[setting]],0), MATCH(H$1, lmic_raw[#Headers],0))=0, INDEX(regions[], MATCH($D39, regions[[setting]:[setting]],0), MATCH(H$1, regions[#Headers],0)),INDEX(lmic_raw[],MATCH($A39,lmic_raw[[setting]:[setting]],0), MATCH(H$1, lmic_raw[#Headers],0)))</f>
        <v>6453550</v>
      </c>
      <c r="I39" s="33">
        <f>IF(INDEX(lmic_raw[],MATCH($A39,lmic_raw[[setting]:[setting]],0), MATCH(I$1, lmic_raw[#Headers],0))=0, INDEX(regions[], MATCH($D39, regions[[setting]:[setting]],0), MATCH(I$1, regions[#Headers],0)),INDEX(lmic_raw[],MATCH($A39,lmic_raw[[setting]:[setting]],0), MATCH(I$1, lmic_raw[#Headers],0)))</f>
        <v>118629.15610000001</v>
      </c>
      <c r="J39" s="33">
        <f>IF(INDEX(lmic_raw[],MATCH($A39,lmic_raw[[setting]:[setting]],0), MATCH(J$1, lmic_raw[#Headers],0))=0, INDEX(regions[], MATCH($D39, regions[[setting]:[setting]],0), MATCH(J$1, regions[#Headers],0)),INDEX(lmic_raw[],MATCH($A39,lmic_raw[[setting]:[setting]],0), MATCH(J$1, lmic_raw[#Headers],0)))</f>
        <v>0.97499999999999998</v>
      </c>
      <c r="K39" s="33">
        <f>IF(INDEX(lmic_raw[],MATCH($A39,lmic_raw[[setting]:[setting]],0), MATCH(K$1, lmic_raw[#Headers],0))=0, INDEX(regions[], MATCH($D39, regions[[setting]:[setting]],0), MATCH(K$1, regions[#Headers],0)),INDEX(lmic_raw[],MATCH($A39,lmic_raw[[setting]:[setting]],0), MATCH(K$1, lmic_raw[#Headers],0)))</f>
        <v>0.76</v>
      </c>
      <c r="L39" s="33">
        <f>IF(INDEX(lmic_raw[],MATCH($A39,lmic_raw[[setting]:[setting]],0), MATCH(L$1, lmic_raw[#Headers],0))=0, INDEX(regions[], MATCH($D39, regions[[setting]:[setting]],0), MATCH(L$1, regions[#Headers],0)),INDEX(lmic_raw[],MATCH($A39,lmic_raw[[setting]:[setting]],0), MATCH(L$1, lmic_raw[#Headers],0)))</f>
        <v>0.81</v>
      </c>
      <c r="M39" s="33">
        <f>IF(INDEX(lmic_raw[],MATCH($A39,lmic_raw[[setting]:[setting]],0), MATCH(M$1, lmic_raw[#Headers],0))=0, INDEX(regions[], MATCH($D39, regions[[setting]:[setting]],0), MATCH(M$1, regions[#Headers],0)),INDEX(lmic_raw[],MATCH($A39,lmic_raw[[setting]:[setting]],0), MATCH(M$1, lmic_raw[#Headers],0)))</f>
        <v>1.8100000000000002E-2</v>
      </c>
      <c r="N39" s="33">
        <f>IF(INDEX(lmic_raw[],MATCH($A39,lmic_raw[[setting]:[setting]],0), MATCH(N$1, lmic_raw[#Headers],0))=0, INDEX(regions[], MATCH($D39, regions[[setting]:[setting]],0), MATCH(N$1, regions[#Headers],0)),INDEX(lmic_raw[],MATCH($A39,lmic_raw[[setting]:[setting]],0), MATCH(N$1, lmic_raw[#Headers],0)))</f>
        <v>0.31847101781109982</v>
      </c>
      <c r="O39" s="33">
        <f>IF(INDEX(lmic_raw[],MATCH($A39,lmic_raw[[setting]:[setting]],0), MATCH(O$1, lmic_raw[#Headers],0))=0, INDEX(regions[], MATCH($D39, regions[[setting]:[setting]],0), MATCH(O$1, regions[#Headers],0)),INDEX(lmic_raw[],MATCH($A39,lmic_raw[[setting]:[setting]],0), MATCH(O$1, lmic_raw[#Headers],0)))</f>
        <v>0.8</v>
      </c>
      <c r="P39" s="33">
        <f>IF(INDEX(lmic_raw[],MATCH($A39,lmic_raw[[setting]:[setting]],0), MATCH(P$1, lmic_raw[#Headers],0))=0, INDEX(regions[], MATCH($D39, regions[[setting]:[setting]],0), MATCH(P$1, regions[#Headers],0)),INDEX(lmic_raw[],MATCH($A39,lmic_raw[[setting]:[setting]],0), MATCH(P$1, lmic_raw[#Headers],0)))</f>
        <v>0.17499999999999999</v>
      </c>
      <c r="Q39" s="33">
        <f>IF(INDEX(lmic_raw[],MATCH($A39,lmic_raw[[setting]:[setting]],0), MATCH(Q$1, lmic_raw[#Headers],0))=0, INDEX(regions[], MATCH($D39, regions[[setting]:[setting]],0), MATCH(Q$1, regions[#Headers],0)),INDEX(lmic_raw[],MATCH($A39,lmic_raw[[setting]:[setting]],0), MATCH(Q$1, lmic_raw[#Headers],0)))</f>
        <v>9.6840699904272629</v>
      </c>
      <c r="R39" s="33">
        <f>IF(INDEX(lmic_raw[],MATCH($A39,lmic_raw[[setting]:[setting]],0), MATCH(R$1, lmic_raw[#Headers],0))=0, INDEX(regions[], MATCH($D39, regions[[setting]:[setting]],0), MATCH(R$1, regions[#Headers],0)),INDEX(lmic_raw[],MATCH($A39,lmic_raw[[setting]:[setting]],0), MATCH(R$1, lmic_raw[#Headers],0)))</f>
        <v>86.883899999999997</v>
      </c>
      <c r="S39" s="33">
        <f>IF(INDEX(lmic_raw[],MATCH($A39,lmic_raw[[setting]:[setting]],0), MATCH(S$1, lmic_raw[#Headers],0))=0, INDEX(regions[], MATCH($D39, regions[[setting]:[setting]],0), MATCH(S$1, regions[#Headers],0)),INDEX(lmic_raw[],MATCH($A39,lmic_raw[[setting]:[setting]],0), MATCH(S$1, lmic_raw[#Headers],0)))</f>
        <v>134.6259</v>
      </c>
      <c r="T39" s="33">
        <f>IF(INDEX(lmic_raw[],MATCH($A39,lmic_raw[[setting]:[setting]],0), MATCH(T$1, lmic_raw[#Headers],0))=0, INDEX(regions[], MATCH($D39, regions[[setting]:[setting]],0), MATCH(T$1, regions[#Headers],0)),INDEX(lmic_raw[],MATCH($A39,lmic_raw[[setting]:[setting]],0), MATCH(T$1, lmic_raw[#Headers],0)))</f>
        <v>134.6259</v>
      </c>
      <c r="U39" s="33">
        <f>IF(INDEX(lmic_raw[],MATCH($A39,lmic_raw[[setting]:[setting]],0), MATCH(U$1, lmic_raw[#Headers],0))=0, INDEX(regions[], MATCH($D39, regions[[setting]:[setting]],0), MATCH(U$1, regions[#Headers],0)),INDEX(lmic_raw[],MATCH($A39,lmic_raw[[setting]:[setting]],0), MATCH(U$1, lmic_raw[#Headers],0)))</f>
        <v>134.6259</v>
      </c>
      <c r="V39" s="33">
        <f>IF(INDEX(lmic_raw[],MATCH($A39,lmic_raw[[setting]:[setting]],0), MATCH(V$1, lmic_raw[#Headers],0))=0, INDEX(regions[], MATCH($D39, regions[[setting]:[setting]],0), MATCH(V$1, regions[#Headers],0)),INDEX(lmic_raw[],MATCH($A39,lmic_raw[[setting]:[setting]],0), MATCH(V$1, lmic_raw[#Headers],0)))</f>
        <v>3.4120295872190045</v>
      </c>
      <c r="W39" s="33">
        <f>IF(INDEX(lmic_raw[],MATCH($A39,lmic_raw[[setting]:[setting]],0), MATCH(W$1, lmic_raw[#Headers],0))=0, INDEX(regions[], MATCH($D39, regions[[setting]:[setting]],0), MATCH(W$1, regions[#Headers],0)),INDEX(lmic_raw[],MATCH($A39,lmic_raw[[setting]:[setting]],0), MATCH(W$1, lmic_raw[#Headers],0)))</f>
        <v>3.4320295872190045</v>
      </c>
      <c r="X39" s="33">
        <f>IF(INDEX(lmic_raw[],MATCH($A39,lmic_raw[[setting]:[setting]],0), MATCH(X$1, lmic_raw[#Headers],0))=0, INDEX(regions[], MATCH($D39, regions[[setting]:[setting]],0), MATCH(X$1, regions[#Headers],0)),INDEX(lmic_raw[],MATCH($A39,lmic_raw[[setting]:[setting]],0), MATCH(X$1, lmic_raw[#Headers],0)))</f>
        <v>2.9684618259281574</v>
      </c>
      <c r="Y39" s="33">
        <f>IF(INDEX(lmic_raw[],MATCH($A39,lmic_raw[[setting]:[setting]],0), MATCH(Y$1, lmic_raw[#Headers],0))=0, INDEX(regions[], MATCH($D39, regions[[setting]:[setting]],0), MATCH(Y$1, regions[#Headers],0)),INDEX(lmic_raw[],MATCH($A39,lmic_raw[[setting]:[setting]],0), MATCH(Y$1, lmic_raw[#Headers],0)))</f>
        <v>2.9884618259281575</v>
      </c>
      <c r="Z39" s="33">
        <f>IF(INDEX(lmic_raw[],MATCH($A39,lmic_raw[[setting]:[setting]],0), MATCH(Z$1, lmic_raw[#Headers],0))=0, INDEX(regions[], MATCH($D39, regions[[setting]:[setting]],0), MATCH(Z$1, regions[#Headers],0)),INDEX(lmic_raw[],MATCH($A39,lmic_raw[[setting]:[setting]],0), MATCH(Z$1, lmic_raw[#Headers],0)))</f>
        <v>2.9775863334208932</v>
      </c>
      <c r="AA39" s="33">
        <f>IF(INDEX(lmic_raw[],MATCH($A39,lmic_raw[[setting]:[setting]],0), MATCH(AA$1, lmic_raw[#Headers],0))=0, INDEX(regions[], MATCH($D39, regions[[setting]:[setting]],0), MATCH(AA$1, regions[#Headers],0)),INDEX(lmic_raw[],MATCH($A39,lmic_raw[[setting]:[setting]],0), MATCH(AA$1, lmic_raw[#Headers],0)))</f>
        <v>3.6601463328029382</v>
      </c>
      <c r="AB39" s="33">
        <f>IF(INDEX(lmic_raw[],MATCH($A39,lmic_raw[[setting]:[setting]],0), MATCH(AB$1, lmic_raw[#Headers],0))=0, INDEX(regions[], MATCH($D39, regions[[setting]:[setting]],0), MATCH(AB$1, regions[#Headers],0)),INDEX(lmic_raw[],MATCH($A39,lmic_raw[[setting]:[setting]],0), MATCH(AB$1, lmic_raw[#Headers],0)))</f>
        <v>3.6801463328029382</v>
      </c>
      <c r="AC39" s="33">
        <f>IF(INDEX(lmic_raw[],MATCH($A39,lmic_raw[[setting]:[setting]],0), MATCH(AC$1, lmic_raw[#Headers],0))=0, INDEX(regions[], MATCH($D39, regions[[setting]:[setting]],0), MATCH(AC$1, regions[#Headers],0)),INDEX(lmic_raw[],MATCH($A39,lmic_raw[[setting]:[setting]],0), MATCH(AC$1, lmic_raw[#Headers],0)))</f>
        <v>1.4574100000000034E-2</v>
      </c>
      <c r="AD39" s="33">
        <f>IF(INDEX(lmic_raw[],MATCH($A39,lmic_raw[[setting]:[setting]],0), MATCH(AD$1, lmic_raw[#Headers],0))=0, INDEX(regions[], MATCH($D39, regions[[setting]:[setting]],0), MATCH(AD$1, regions[#Headers],0)),INDEX(lmic_raw[],MATCH($A39,lmic_raw[[setting]:[setting]],0), MATCH(AD$1, lmic_raw[#Headers],0)))</f>
        <v>5.8787271574654756E-4</v>
      </c>
      <c r="AE39" s="33">
        <f>IF(INDEX(lmic_raw[],MATCH($A39,lmic_raw[[setting]:[setting]],0), MATCH(AE$1, lmic_raw[#Headers],0))=0, INDEX(regions[], MATCH($D39, regions[[setting]:[setting]],0), MATCH(AE$1, regions[#Headers],0)),INDEX(lmic_raw[],MATCH($A39,lmic_raw[[setting]:[setting]],0), MATCH(AE$1, lmic_raw[#Headers],0)))</f>
        <v>2.7359335287326406E-4</v>
      </c>
      <c r="AF39" s="33">
        <f>IF(INDEX(lmic_raw[],MATCH($A39,lmic_raw[[setting]:[setting]],0), MATCH(AF$1, lmic_raw[#Headers],0))=0, INDEX(regions[], MATCH($D39, regions[[setting]:[setting]],0), MATCH(AF$1, regions[#Headers],0)),INDEX(lmic_raw[],MATCH($A39,lmic_raw[[setting]:[setting]],0), MATCH(AF$1, lmic_raw[#Headers],0)))</f>
        <v>5.6615653243363045E-4</v>
      </c>
      <c r="AG39" s="33">
        <f>IF(INDEX(lmic_raw[],MATCH($A39,lmic_raw[[setting]:[setting]],0), MATCH(AG$1, lmic_raw[#Headers],0))=0, INDEX(regions[], MATCH($D39, regions[[setting]:[setting]],0), MATCH(AG$1, regions[#Headers],0)),INDEX(lmic_raw[],MATCH($A39,lmic_raw[[setting]:[setting]],0), MATCH(AG$1, lmic_raw[#Headers],0)))</f>
        <v>1.5467045213967004E-3</v>
      </c>
      <c r="AH39" s="33">
        <f>IF(INDEX(lmic_raw[],MATCH($A39,lmic_raw[[setting]:[setting]],0), MATCH(AH$1, lmic_raw[#Headers],0))=0, INDEX(regions[], MATCH($D39, regions[[setting]:[setting]],0), MATCH(AH$1, regions[#Headers],0)),INDEX(lmic_raw[],MATCH($A39,lmic_raw[[setting]:[setting]],0), MATCH(AH$1, lmic_raw[#Headers],0)))</f>
        <v>2.5678802993155231E-3</v>
      </c>
      <c r="AI39" s="33">
        <f>IF(INDEX(lmic_raw[],MATCH($A39,lmic_raw[[setting]:[setting]],0), MATCH(AI$1, lmic_raw[#Headers],0))=0, INDEX(regions[], MATCH($D39, regions[[setting]:[setting]],0), MATCH(AI$1, regions[#Headers],0)),INDEX(lmic_raw[],MATCH($A39,lmic_raw[[setting]:[setting]],0), MATCH(AI$1, lmic_raw[#Headers],0)))</f>
        <v>3.1928440582634624E-3</v>
      </c>
      <c r="AJ39" s="33">
        <f>IF(INDEX(lmic_raw[],MATCH($A39,lmic_raw[[setting]:[setting]],0), MATCH(AJ$1, lmic_raw[#Headers],0))=0, INDEX(regions[], MATCH($D39, regions[[setting]:[setting]],0), MATCH(AJ$1, regions[#Headers],0)),INDEX(lmic_raw[],MATCH($A39,lmic_raw[[setting]:[setting]],0), MATCH(AJ$1, lmic_raw[#Headers],0)))</f>
        <v>3.3442466916200142E-3</v>
      </c>
      <c r="AK39" s="33">
        <f>IF(INDEX(lmic_raw[],MATCH($A39,lmic_raw[[setting]:[setting]],0), MATCH(AK$1, lmic_raw[#Headers],0))=0, INDEX(regions[], MATCH($D39, regions[[setting]:[setting]],0), MATCH(AK$1, regions[#Headers],0)),INDEX(lmic_raw[],MATCH($A39,lmic_raw[[setting]:[setting]],0), MATCH(AK$1, lmic_raw[#Headers],0)))</f>
        <v>3.5035388763385374E-3</v>
      </c>
      <c r="AL39" s="33">
        <f>IF(INDEX(lmic_raw[],MATCH($A39,lmic_raw[[setting]:[setting]],0), MATCH(AL$1, lmic_raw[#Headers],0))=0, INDEX(regions[], MATCH($D39, regions[[setting]:[setting]],0), MATCH(AL$1, regions[#Headers],0)),INDEX(lmic_raw[],MATCH($A39,lmic_raw[[setting]:[setting]],0), MATCH(AL$1, lmic_raw[#Headers],0)))</f>
        <v>4.1767442776819916E-3</v>
      </c>
      <c r="AM39" s="33">
        <f>IF(INDEX(lmic_raw[],MATCH($A39,lmic_raw[[setting]:[setting]],0), MATCH(AM$1, lmic_raw[#Headers],0))=0, INDEX(regions[], MATCH($D39, regions[[setting]:[setting]],0), MATCH(AM$1, regions[#Headers],0)),INDEX(lmic_raw[],MATCH($A39,lmic_raw[[setting]:[setting]],0), MATCH(AM$1, lmic_raw[#Headers],0)))</f>
        <v>5.3286807808323637E-3</v>
      </c>
      <c r="AN39" s="33">
        <f>IF(INDEX(lmic_raw[],MATCH($A39,lmic_raw[[setting]:[setting]],0), MATCH(AN$1, lmic_raw[#Headers],0))=0, INDEX(regions[], MATCH($D39, regions[[setting]:[setting]],0), MATCH(AN$1, regions[#Headers],0)),INDEX(lmic_raw[],MATCH($A39,lmic_raw[[setting]:[setting]],0), MATCH(AN$1, lmic_raw[#Headers],0)))</f>
        <v>7.0022786397334483E-3</v>
      </c>
      <c r="AO39" s="33">
        <f>IF(INDEX(lmic_raw[],MATCH($A39,lmic_raw[[setting]:[setting]],0), MATCH(AO$1, lmic_raw[#Headers],0))=0, INDEX(regions[], MATCH($D39, regions[[setting]:[setting]],0), MATCH(AO$1, regions[#Headers],0)),INDEX(lmic_raw[],MATCH($A39,lmic_raw[[setting]:[setting]],0), MATCH(AO$1, lmic_raw[#Headers],0)))</f>
        <v>9.2354011811787394E-3</v>
      </c>
      <c r="AP39" s="33">
        <f>IF(INDEX(lmic_raw[],MATCH($A39,lmic_raw[[setting]:[setting]],0), MATCH(AP$1, lmic_raw[#Headers],0))=0, INDEX(regions[], MATCH($D39, regions[[setting]:[setting]],0), MATCH(AP$1, regions[#Headers],0)),INDEX(lmic_raw[],MATCH($A39,lmic_raw[[setting]:[setting]],0), MATCH(AP$1, lmic_raw[#Headers],0)))</f>
        <v>1.2596566492475666E-2</v>
      </c>
      <c r="AQ39" s="33">
        <f>IF(INDEX(lmic_raw[],MATCH($A39,lmic_raw[[setting]:[setting]],0), MATCH(AQ$1, lmic_raw[#Headers],0))=0, INDEX(regions[], MATCH($D39, regions[[setting]:[setting]],0), MATCH(AQ$1, regions[#Headers],0)),INDEX(lmic_raw[],MATCH($A39,lmic_raw[[setting]:[setting]],0), MATCH(AQ$1, lmic_raw[#Headers],0)))</f>
        <v>1.7923417547505406E-2</v>
      </c>
      <c r="AR39" s="33">
        <f>IF(INDEX(lmic_raw[],MATCH($A39,lmic_raw[[setting]:[setting]],0), MATCH(AR$1, lmic_raw[#Headers],0))=0, INDEX(regions[], MATCH($D39, regions[[setting]:[setting]],0), MATCH(AR$1, regions[#Headers],0)),INDEX(lmic_raw[],MATCH($A39,lmic_raw[[setting]:[setting]],0), MATCH(AR$1, lmic_raw[#Headers],0)))</f>
        <v>2.5981559241636625E-2</v>
      </c>
      <c r="AS39" s="33">
        <f>IF(INDEX(lmic_raw[],MATCH($A39,lmic_raw[[setting]:[setting]],0), MATCH(AS$1, lmic_raw[#Headers],0))=0, INDEX(regions[], MATCH($D39, regions[[setting]:[setting]],0), MATCH(AS$1, regions[#Headers],0)),INDEX(lmic_raw[],MATCH($A39,lmic_raw[[setting]:[setting]],0), MATCH(AS$1, lmic_raw[#Headers],0)))</f>
        <v>4.006102477670364E-2</v>
      </c>
      <c r="AT39" s="33">
        <f>IF(INDEX(lmic_raw[],MATCH($A39,lmic_raw[[setting]:[setting]],0), MATCH(AT$1, lmic_raw[#Headers],0))=0, INDEX(regions[], MATCH($D39, regions[[setting]:[setting]],0), MATCH(AT$1, regions[#Headers],0)),INDEX(lmic_raw[],MATCH($A39,lmic_raw[[setting]:[setting]],0), MATCH(AT$1, lmic_raw[#Headers],0)))</f>
        <v>6.487128410649827E-2</v>
      </c>
      <c r="AU39" s="33">
        <f>IF(INDEX(lmic_raw[],MATCH($A39,lmic_raw[[setting]:[setting]],0), MATCH(AU$1, lmic_raw[#Headers],0))=0, INDEX(regions[], MATCH($D39, regions[[setting]:[setting]],0), MATCH(AU$1, regions[#Headers],0)),INDEX(lmic_raw[],MATCH($A39,lmic_raw[[setting]:[setting]],0), MATCH(AU$1, lmic_raw[#Headers],0)))</f>
        <v>9.7752780082995316E-2</v>
      </c>
      <c r="AV39" s="33">
        <f>IF(INDEX(lmic_raw[],MATCH($A39,lmic_raw[[setting]:[setting]],0), MATCH(AV$1, lmic_raw[#Headers],0))=0, INDEX(regions[], MATCH($D39, regions[[setting]:[setting]],0), MATCH(AV$1, regions[#Headers],0)),INDEX(lmic_raw[],MATCH($A39,lmic_raw[[setting]:[setting]],0), MATCH(AV$1, lmic_raw[#Headers],0)))</f>
        <v>0.13331544574056195</v>
      </c>
      <c r="AW39" s="33">
        <f>IF(INDEX(lmic_raw[],MATCH($A39,lmic_raw[[setting]:[setting]],0), MATCH(AW$1, lmic_raw[#Headers],0))=0, INDEX(regions[], MATCH($D39, regions[[setting]:[setting]],0), MATCH(AW$1, regions[#Headers],0)),INDEX(lmic_raw[],MATCH($A39,lmic_raw[[setting]:[setting]],0), MATCH(AW$1, lmic_raw[#Headers],0)))</f>
        <v>0.16445094512423067</v>
      </c>
      <c r="AX39" s="33">
        <f>IF(INDEX(lmic_raw[],MATCH($A39,lmic_raw[[setting]:[setting]],0), MATCH(AX$1, lmic_raw[#Headers],0))=0, INDEX(regions[], MATCH($D39, regions[[setting]:[setting]],0), MATCH(AX$1, regions[#Headers],0)),INDEX(lmic_raw[],MATCH($A39,lmic_raw[[setting]:[setting]],0), MATCH(AX$1, lmic_raw[#Headers],0)))</f>
        <v>72.986000000000004</v>
      </c>
      <c r="AY39" s="33" t="str">
        <f>IF(VLOOKUP($A39,lmic_raw[],11,FALSE)=0, "Yes", "No")</f>
        <v>No</v>
      </c>
    </row>
    <row r="40" spans="1:51" x14ac:dyDescent="0.25">
      <c r="A40" s="109" t="s">
        <v>128</v>
      </c>
      <c r="B40" s="101" t="s">
        <v>419</v>
      </c>
      <c r="C40" s="102">
        <v>226</v>
      </c>
      <c r="D40" s="82" t="s">
        <v>677</v>
      </c>
      <c r="E40" s="82" t="s">
        <v>582</v>
      </c>
      <c r="F40" s="82" t="s">
        <v>667</v>
      </c>
      <c r="G40" s="82" t="s">
        <v>676</v>
      </c>
      <c r="H40" s="33">
        <f>IF(INDEX(lmic_raw[],MATCH($A40,lmic_raw[[setting]:[setting]],0), MATCH(H$1, lmic_raw[#Headers],0))=0, INDEX(regions[], MATCH($D40, regions[[setting]:[setting]],0), MATCH(H$1, regions[#Headers],0)),INDEX(lmic_raw[],MATCH($A40,lmic_raw[[setting]:[setting]],0), MATCH(H$1, lmic_raw[#Headers],0)))</f>
        <v>1355982</v>
      </c>
      <c r="I40" s="33">
        <f>IF(INDEX(lmic_raw[],MATCH($A40,lmic_raw[[setting]:[setting]],0), MATCH(I$1, lmic_raw[#Headers],0))=0, INDEX(regions[], MATCH($D40, regions[[setting]:[setting]],0), MATCH(I$1, regions[#Headers],0)),INDEX(lmic_raw[],MATCH($A40,lmic_raw[[setting]:[setting]],0), MATCH(I$1, lmic_raw[#Headers],0)))</f>
        <v>45363.021827999997</v>
      </c>
      <c r="J40" s="33">
        <f>IF(INDEX(lmic_raw[],MATCH($A40,lmic_raw[[setting]:[setting]],0), MATCH(J$1, lmic_raw[#Headers],0))=0, INDEX(regions[], MATCH($D40, regions[[setting]:[setting]],0), MATCH(J$1, regions[#Headers],0)),INDEX(lmic_raw[],MATCH($A40,lmic_raw[[setting]:[setting]],0), MATCH(J$1, lmic_raw[#Headers],0)))</f>
        <v>0.67299999999999993</v>
      </c>
      <c r="K40" s="33">
        <f>IF(INDEX(lmic_raw[],MATCH($A40,lmic_raw[[setting]:[setting]],0), MATCH(K$1, lmic_raw[#Headers],0))=0, INDEX(regions[], MATCH($D40, regions[[setting]:[setting]],0), MATCH(K$1, regions[#Headers],0)),INDEX(lmic_raw[],MATCH($A40,lmic_raw[[setting]:[setting]],0), MATCH(K$1, lmic_raw[#Headers],0)))</f>
        <v>0.69252604416320784</v>
      </c>
      <c r="L40" s="33">
        <f>IF(INDEX(lmic_raw[],MATCH($A40,lmic_raw[[setting]:[setting]],0), MATCH(L$1, lmic_raw[#Headers],0))=0, INDEX(regions[], MATCH($D40, regions[[setting]:[setting]],0), MATCH(L$1, regions[#Headers],0)),INDEX(lmic_raw[],MATCH($A40,lmic_raw[[setting]:[setting]],0), MATCH(L$1, lmic_raw[#Headers],0)))</f>
        <v>0.53</v>
      </c>
      <c r="M40" s="33">
        <f>IF(INDEX(lmic_raw[],MATCH($A40,lmic_raw[[setting]:[setting]],0), MATCH(M$1, lmic_raw[#Headers],0))=0, INDEX(regions[], MATCH($D40, regions[[setting]:[setting]],0), MATCH(M$1, regions[#Headers],0)),INDEX(lmic_raw[],MATCH($A40,lmic_raw[[setting]:[setting]],0), MATCH(M$1, lmic_raw[#Headers],0)))</f>
        <v>9.3399999999999997E-2</v>
      </c>
      <c r="N40" s="33">
        <f>IF(INDEX(lmic_raw[],MATCH($A40,lmic_raw[[setting]:[setting]],0), MATCH(N$1, lmic_raw[#Headers],0))=0, INDEX(regions[], MATCH($D40, regions[[setting]:[setting]],0), MATCH(N$1, regions[#Headers],0)),INDEX(lmic_raw[],MATCH($A40,lmic_raw[[setting]:[setting]],0), MATCH(N$1, lmic_raw[#Headers],0)))</f>
        <v>0.29421756240904251</v>
      </c>
      <c r="O40" s="33">
        <f>IF(INDEX(lmic_raw[],MATCH($A40,lmic_raw[[setting]:[setting]],0), MATCH(O$1, lmic_raw[#Headers],0))=0, INDEX(regions[], MATCH($D40, regions[[setting]:[setting]],0), MATCH(O$1, regions[#Headers],0)),INDEX(lmic_raw[],MATCH($A40,lmic_raw[[setting]:[setting]],0), MATCH(O$1, lmic_raw[#Headers],0)))</f>
        <v>0.38300000000000001</v>
      </c>
      <c r="P40" s="33">
        <f>IF(INDEX(lmic_raw[],MATCH($A40,lmic_raw[[setting]:[setting]],0), MATCH(P$1, lmic_raw[#Headers],0))=0, INDEX(regions[], MATCH($D40, regions[[setting]:[setting]],0), MATCH(P$1, regions[#Headers],0)),INDEX(lmic_raw[],MATCH($A40,lmic_raw[[setting]:[setting]],0), MATCH(P$1, lmic_raw[#Headers],0)))</f>
        <v>4.8000000000000001E-2</v>
      </c>
      <c r="Q40" s="33">
        <f>IF(INDEX(lmic_raw[],MATCH($A40,lmic_raw[[setting]:[setting]],0), MATCH(Q$1, lmic_raw[#Headers],0))=0, INDEX(regions[], MATCH($D40, regions[[setting]:[setting]],0), MATCH(Q$1, regions[#Headers],0)),INDEX(lmic_raw[],MATCH($A40,lmic_raw[[setting]:[setting]],0), MATCH(Q$1, lmic_raw[#Headers],0)))</f>
        <v>4.6578711530420058</v>
      </c>
      <c r="R40" s="33">
        <f>IF(INDEX(lmic_raw[],MATCH($A40,lmic_raw[[setting]:[setting]],0), MATCH(R$1, lmic_raw[#Headers],0))=0, INDEX(regions[], MATCH($D40, regions[[setting]:[setting]],0), MATCH(R$1, regions[#Headers],0)),INDEX(lmic_raw[],MATCH($A40,lmic_raw[[setting]:[setting]],0), MATCH(R$1, lmic_raw[#Headers],0)))</f>
        <v>29.920500000000001</v>
      </c>
      <c r="S40" s="33">
        <f>IF(INDEX(lmic_raw[],MATCH($A40,lmic_raw[[setting]:[setting]],0), MATCH(S$1, lmic_raw[#Headers],0))=0, INDEX(regions[], MATCH($D40, regions[[setting]:[setting]],0), MATCH(S$1, regions[#Headers],0)),INDEX(lmic_raw[],MATCH($A40,lmic_raw[[setting]:[setting]],0), MATCH(S$1, lmic_raw[#Headers],0)))</f>
        <v>77.662500000000009</v>
      </c>
      <c r="T40" s="33">
        <f>IF(INDEX(lmic_raw[],MATCH($A40,lmic_raw[[setting]:[setting]],0), MATCH(T$1, lmic_raw[#Headers],0))=0, INDEX(regions[], MATCH($D40, regions[[setting]:[setting]],0), MATCH(T$1, regions[#Headers],0)),INDEX(lmic_raw[],MATCH($A40,lmic_raw[[setting]:[setting]],0), MATCH(T$1, lmic_raw[#Headers],0)))</f>
        <v>77.662500000000009</v>
      </c>
      <c r="U40" s="33">
        <f>IF(INDEX(lmic_raw[],MATCH($A40,lmic_raw[[setting]:[setting]],0), MATCH(U$1, lmic_raw[#Headers],0))=0, INDEX(regions[], MATCH($D40, regions[[setting]:[setting]],0), MATCH(U$1, regions[#Headers],0)),INDEX(lmic_raw[],MATCH($A40,lmic_raw[[setting]:[setting]],0), MATCH(U$1, lmic_raw[#Headers],0)))</f>
        <v>77.662500000000009</v>
      </c>
      <c r="V40" s="33">
        <f>IF(INDEX(lmic_raw[],MATCH($A40,lmic_raw[[setting]:[setting]],0), MATCH(V$1, lmic_raw[#Headers],0))=0, INDEX(regions[], MATCH($D40, regions[[setting]:[setting]],0), MATCH(V$1, regions[#Headers],0)),INDEX(lmic_raw[],MATCH($A40,lmic_raw[[setting]:[setting]],0), MATCH(V$1, lmic_raw[#Headers],0)))</f>
        <v>1.9091699317871178</v>
      </c>
      <c r="W40" s="33">
        <f>IF(INDEX(lmic_raw[],MATCH($A40,lmic_raw[[setting]:[setting]],0), MATCH(W$1, lmic_raw[#Headers],0))=0, INDEX(regions[], MATCH($D40, regions[[setting]:[setting]],0), MATCH(W$1, regions[#Headers],0)),INDEX(lmic_raw[],MATCH($A40,lmic_raw[[setting]:[setting]],0), MATCH(W$1, lmic_raw[#Headers],0)))</f>
        <v>6.7391699317871181</v>
      </c>
      <c r="X40" s="33">
        <f>IF(INDEX(lmic_raw[],MATCH($A40,lmic_raw[[setting]:[setting]],0), MATCH(X$1, lmic_raw[#Headers],0))=0, INDEX(regions[], MATCH($D40, regions[[setting]:[setting]],0), MATCH(X$1, regions[#Headers],0)),INDEX(lmic_raw[],MATCH($A40,lmic_raw[[setting]:[setting]],0), MATCH(X$1, lmic_raw[#Headers],0)))</f>
        <v>1.4651029752317166</v>
      </c>
      <c r="Y40" s="33">
        <f>IF(INDEX(lmic_raw[],MATCH($A40,lmic_raw[[setting]:[setting]],0), MATCH(Y$1, lmic_raw[#Headers],0))=0, INDEX(regions[], MATCH($D40, regions[[setting]:[setting]],0), MATCH(Y$1, regions[#Headers],0)),INDEX(lmic_raw[],MATCH($A40,lmic_raw[[setting]:[setting]],0), MATCH(Y$1, lmic_raw[#Headers],0)))</f>
        <v>6.2951029752317167</v>
      </c>
      <c r="Z40" s="33">
        <f>IF(INDEX(lmic_raw[],MATCH($A40,lmic_raw[[setting]:[setting]],0), MATCH(Z$1, lmic_raw[#Headers],0))=0, INDEX(regions[], MATCH($D40, regions[[setting]:[setting]],0), MATCH(Z$1, regions[#Headers],0)),INDEX(lmic_raw[],MATCH($A40,lmic_raw[[setting]:[setting]],0), MATCH(Z$1, lmic_raw[#Headers],0)))</f>
        <v>6.2843986740763143</v>
      </c>
      <c r="AA40" s="33">
        <f>IF(INDEX(lmic_raw[],MATCH($A40,lmic_raw[[setting]:[setting]],0), MATCH(AA$1, lmic_raw[#Headers],0))=0, INDEX(regions[], MATCH($D40, regions[[setting]:[setting]],0), MATCH(AA$1, regions[#Headers],0)),INDEX(lmic_raw[],MATCH($A40,lmic_raw[[setting]:[setting]],0), MATCH(AA$1, lmic_raw[#Headers],0)))</f>
        <v>2.1574666198501347</v>
      </c>
      <c r="AB40" s="33">
        <f>IF(INDEX(lmic_raw[],MATCH($A40,lmic_raw[[setting]:[setting]],0), MATCH(AB$1, lmic_raw[#Headers],0))=0, INDEX(regions[], MATCH($D40, regions[[setting]:[setting]],0), MATCH(AB$1, regions[#Headers],0)),INDEX(lmic_raw[],MATCH($A40,lmic_raw[[setting]:[setting]],0), MATCH(AB$1, lmic_raw[#Headers],0)))</f>
        <v>6.9874666198501352</v>
      </c>
      <c r="AC40" s="33">
        <f>IF(INDEX(lmic_raw[],MATCH($A40,lmic_raw[[setting]:[setting]],0), MATCH(AC$1, lmic_raw[#Headers],0))=0, INDEX(regions[], MATCH($D40, regions[[setting]:[setting]],0), MATCH(AC$1, regions[#Headers],0)),INDEX(lmic_raw[],MATCH($A40,lmic_raw[[setting]:[setting]],0), MATCH(AC$1, lmic_raw[#Headers],0)))</f>
        <v>6.615154999999999E-2</v>
      </c>
      <c r="AD40" s="33">
        <f>IF(INDEX(lmic_raw[],MATCH($A40,lmic_raw[[setting]:[setting]],0), MATCH(AD$1, lmic_raw[#Headers],0))=0, INDEX(regions[], MATCH($D40, regions[[setting]:[setting]],0), MATCH(AD$1, regions[#Headers],0)),INDEX(lmic_raw[],MATCH($A40,lmic_raw[[setting]:[setting]],0), MATCH(AD$1, lmic_raw[#Headers],0)))</f>
        <v>7.402633157446486E-3</v>
      </c>
      <c r="AE40" s="33">
        <f>IF(INDEX(lmic_raw[],MATCH($A40,lmic_raw[[setting]:[setting]],0), MATCH(AE$1, lmic_raw[#Headers],0))=0, INDEX(regions[], MATCH($D40, regions[[setting]:[setting]],0), MATCH(AE$1, regions[#Headers],0)),INDEX(lmic_raw[],MATCH($A40,lmic_raw[[setting]:[setting]],0), MATCH(AE$1, lmic_raw[#Headers],0)))</f>
        <v>2.1810695183507099E-3</v>
      </c>
      <c r="AF40" s="33">
        <f>IF(INDEX(lmic_raw[],MATCH($A40,lmic_raw[[setting]:[setting]],0), MATCH(AF$1, lmic_raw[#Headers],0))=0, INDEX(regions[], MATCH($D40, regions[[setting]:[setting]],0), MATCH(AF$1, regions[#Headers],0)),INDEX(lmic_raw[],MATCH($A40,lmic_raw[[setting]:[setting]],0), MATCH(AF$1, lmic_raw[#Headers],0)))</f>
        <v>1.5562487226160725E-3</v>
      </c>
      <c r="AG40" s="33">
        <f>IF(INDEX(lmic_raw[],MATCH($A40,lmic_raw[[setting]:[setting]],0), MATCH(AG$1, lmic_raw[#Headers],0))=0, INDEX(regions[], MATCH($D40, regions[[setting]:[setting]],0), MATCH(AG$1, regions[#Headers],0)),INDEX(lmic_raw[],MATCH($A40,lmic_raw[[setting]:[setting]],0), MATCH(AG$1, lmic_raw[#Headers],0)))</f>
        <v>2.3132551113445414E-3</v>
      </c>
      <c r="AH40" s="33">
        <f>IF(INDEX(lmic_raw[],MATCH($A40,lmic_raw[[setting]:[setting]],0), MATCH(AH$1, lmic_raw[#Headers],0))=0, INDEX(regions[], MATCH($D40, regions[[setting]:[setting]],0), MATCH(AH$1, regions[#Headers],0)),INDEX(lmic_raw[],MATCH($A40,lmic_raw[[setting]:[setting]],0), MATCH(AH$1, lmic_raw[#Headers],0)))</f>
        <v>3.4802340590138416E-3</v>
      </c>
      <c r="AI40" s="33">
        <f>IF(INDEX(lmic_raw[],MATCH($A40,lmic_raw[[setting]:[setting]],0), MATCH(AI$1, lmic_raw[#Headers],0))=0, INDEX(regions[], MATCH($D40, regions[[setting]:[setting]],0), MATCH(AI$1, regions[#Headers],0)),INDEX(lmic_raw[],MATCH($A40,lmic_raw[[setting]:[setting]],0), MATCH(AI$1, lmic_raw[#Headers],0)))</f>
        <v>4.5521277188898144E-3</v>
      </c>
      <c r="AJ40" s="33">
        <f>IF(INDEX(lmic_raw[],MATCH($A40,lmic_raw[[setting]:[setting]],0), MATCH(AJ$1, lmic_raw[#Headers],0))=0, INDEX(regions[], MATCH($D40, regions[[setting]:[setting]],0), MATCH(AJ$1, regions[#Headers],0)),INDEX(lmic_raw[],MATCH($A40,lmic_raw[[setting]:[setting]],0), MATCH(AJ$1, lmic_raw[#Headers],0)))</f>
        <v>5.7480766731512912E-3</v>
      </c>
      <c r="AK40" s="33">
        <f>IF(INDEX(lmic_raw[],MATCH($A40,lmic_raw[[setting]:[setting]],0), MATCH(AK$1, lmic_raw[#Headers],0))=0, INDEX(regions[], MATCH($D40, regions[[setting]:[setting]],0), MATCH(AK$1, regions[#Headers],0)),INDEX(lmic_raw[],MATCH($A40,lmic_raw[[setting]:[setting]],0), MATCH(AK$1, lmic_raw[#Headers],0)))</f>
        <v>7.4241408926806708E-3</v>
      </c>
      <c r="AL40" s="33">
        <f>IF(INDEX(lmic_raw[],MATCH($A40,lmic_raw[[setting]:[setting]],0), MATCH(AL$1, lmic_raw[#Headers],0))=0, INDEX(regions[], MATCH($D40, regions[[setting]:[setting]],0), MATCH(AL$1, regions[#Headers],0)),INDEX(lmic_raw[],MATCH($A40,lmic_raw[[setting]:[setting]],0), MATCH(AL$1, lmic_raw[#Headers],0)))</f>
        <v>9.0465084276737297E-3</v>
      </c>
      <c r="AM40" s="33">
        <f>IF(INDEX(lmic_raw[],MATCH($A40,lmic_raw[[setting]:[setting]],0), MATCH(AM$1, lmic_raw[#Headers],0))=0, INDEX(regions[], MATCH($D40, regions[[setting]:[setting]],0), MATCH(AM$1, regions[#Headers],0)),INDEX(lmic_raw[],MATCH($A40,lmic_raw[[setting]:[setting]],0), MATCH(AM$1, lmic_raw[#Headers],0)))</f>
        <v>1.0861773807009084E-2</v>
      </c>
      <c r="AN40" s="33">
        <f>IF(INDEX(lmic_raw[],MATCH($A40,lmic_raw[[setting]:[setting]],0), MATCH(AN$1, lmic_raw[#Headers],0))=0, INDEX(regions[], MATCH($D40, regions[[setting]:[setting]],0), MATCH(AN$1, regions[#Headers],0)),INDEX(lmic_raw[],MATCH($A40,lmic_raw[[setting]:[setting]],0), MATCH(AN$1, lmic_raw[#Headers],0)))</f>
        <v>1.3991105432571413E-2</v>
      </c>
      <c r="AO40" s="33">
        <f>IF(INDEX(lmic_raw[],MATCH($A40,lmic_raw[[setting]:[setting]],0), MATCH(AO$1, lmic_raw[#Headers],0))=0, INDEX(regions[], MATCH($D40, regions[[setting]:[setting]],0), MATCH(AO$1, regions[#Headers],0)),INDEX(lmic_raw[],MATCH($A40,lmic_raw[[setting]:[setting]],0), MATCH(AO$1, lmic_raw[#Headers],0)))</f>
        <v>1.7756206547881865E-2</v>
      </c>
      <c r="AP40" s="33">
        <f>IF(INDEX(lmic_raw[],MATCH($A40,lmic_raw[[setting]:[setting]],0), MATCH(AP$1, lmic_raw[#Headers],0))=0, INDEX(regions[], MATCH($D40, regions[[setting]:[setting]],0), MATCH(AP$1, regions[#Headers],0)),INDEX(lmic_raw[],MATCH($A40,lmic_raw[[setting]:[setting]],0), MATCH(AP$1, lmic_raw[#Headers],0)))</f>
        <v>2.4992880145554782E-2</v>
      </c>
      <c r="AQ40" s="33">
        <f>IF(INDEX(lmic_raw[],MATCH($A40,lmic_raw[[setting]:[setting]],0), MATCH(AQ$1, lmic_raw[#Headers],0))=0, INDEX(regions[], MATCH($D40, regions[[setting]:[setting]],0), MATCH(AQ$1, regions[#Headers],0)),INDEX(lmic_raw[],MATCH($A40,lmic_raw[[setting]:[setting]],0), MATCH(AQ$1, lmic_raw[#Headers],0)))</f>
        <v>3.6571653590172899E-2</v>
      </c>
      <c r="AR40" s="33">
        <f>IF(INDEX(lmic_raw[],MATCH($A40,lmic_raw[[setting]:[setting]],0), MATCH(AR$1, lmic_raw[#Headers],0))=0, INDEX(regions[], MATCH($D40, regions[[setting]:[setting]],0), MATCH(AR$1, regions[#Headers],0)),INDEX(lmic_raw[],MATCH($A40,lmic_raw[[setting]:[setting]],0), MATCH(AR$1, lmic_raw[#Headers],0)))</f>
        <v>5.4569874871999657E-2</v>
      </c>
      <c r="AS40" s="33">
        <f>IF(INDEX(lmic_raw[],MATCH($A40,lmic_raw[[setting]:[setting]],0), MATCH(AS$1, lmic_raw[#Headers],0))=0, INDEX(regions[], MATCH($D40, regions[[setting]:[setting]],0), MATCH(AS$1, regions[#Headers],0)),INDEX(lmic_raw[],MATCH($A40,lmic_raw[[setting]:[setting]],0), MATCH(AS$1, lmic_raw[#Headers],0)))</f>
        <v>8.0250756410082932E-2</v>
      </c>
      <c r="AT40" s="33">
        <f>IF(INDEX(lmic_raw[],MATCH($A40,lmic_raw[[setting]:[setting]],0), MATCH(AT$1, lmic_raw[#Headers],0))=0, INDEX(regions[], MATCH($D40, regions[[setting]:[setting]],0), MATCH(AT$1, regions[#Headers],0)),INDEX(lmic_raw[],MATCH($A40,lmic_raw[[setting]:[setting]],0), MATCH(AT$1, lmic_raw[#Headers],0)))</f>
        <v>0.11593152791385582</v>
      </c>
      <c r="AU40" s="33">
        <f>IF(INDEX(lmic_raw[],MATCH($A40,lmic_raw[[setting]:[setting]],0), MATCH(AU$1, lmic_raw[#Headers],0))=0, INDEX(regions[], MATCH($D40, regions[[setting]:[setting]],0), MATCH(AU$1, regions[#Headers],0)),INDEX(lmic_raw[],MATCH($A40,lmic_raw[[setting]:[setting]],0), MATCH(AU$1, lmic_raw[#Headers],0)))</f>
        <v>0.15409844685016419</v>
      </c>
      <c r="AV40" s="33">
        <f>IF(INDEX(lmic_raw[],MATCH($A40,lmic_raw[[setting]:[setting]],0), MATCH(AV$1, lmic_raw[#Headers],0))=0, INDEX(regions[], MATCH($D40, regions[[setting]:[setting]],0), MATCH(AV$1, regions[#Headers],0)),INDEX(lmic_raw[],MATCH($A40,lmic_raw[[setting]:[setting]],0), MATCH(AV$1, lmic_raw[#Headers],0)))</f>
        <v>0.18164158514648934</v>
      </c>
      <c r="AW40" s="33">
        <f>IF(INDEX(lmic_raw[],MATCH($A40,lmic_raw[[setting]:[setting]],0), MATCH(AW$1, lmic_raw[#Headers],0))=0, INDEX(regions[], MATCH($D40, regions[[setting]:[setting]],0), MATCH(AW$1, regions[#Headers],0)),INDEX(lmic_raw[],MATCH($A40,lmic_raw[[setting]:[setting]],0), MATCH(AW$1, lmic_raw[#Headers],0)))</f>
        <v>0.18918617294163986</v>
      </c>
      <c r="AX40" s="33">
        <f>IF(INDEX(lmic_raw[],MATCH($A40,lmic_raw[[setting]:[setting]],0), MATCH(AX$1, lmic_raw[#Headers],0))=0, INDEX(regions[], MATCH($D40, regions[[setting]:[setting]],0), MATCH(AX$1, regions[#Headers],0)),INDEX(lmic_raw[],MATCH($A40,lmic_raw[[setting]:[setting]],0), MATCH(AX$1, lmic_raw[#Headers],0)))</f>
        <v>58.246000000000002</v>
      </c>
      <c r="AY40" s="33" t="str">
        <f>IF(VLOOKUP($A40,lmic_raw[],11,FALSE)=0, "Yes", "No")</f>
        <v>Yes</v>
      </c>
    </row>
    <row r="41" spans="1:51" x14ac:dyDescent="0.25">
      <c r="A41" s="110" t="s">
        <v>104</v>
      </c>
      <c r="B41" s="104" t="s">
        <v>420</v>
      </c>
      <c r="C41" s="105">
        <v>232</v>
      </c>
      <c r="D41" s="84" t="s">
        <v>677</v>
      </c>
      <c r="E41" s="84" t="s">
        <v>597</v>
      </c>
      <c r="F41" s="84" t="s">
        <v>667</v>
      </c>
      <c r="G41" s="84" t="s">
        <v>674</v>
      </c>
      <c r="H41" s="33">
        <f>IF(INDEX(lmic_raw[],MATCH($A41,lmic_raw[[setting]:[setting]],0), MATCH(H$1, lmic_raw[#Headers],0))=0, INDEX(regions[], MATCH($D41, regions[[setting]:[setting]],0), MATCH(H$1, regions[#Headers],0)),INDEX(lmic_raw[],MATCH($A41,lmic_raw[[setting]:[setting]],0), MATCH(H$1, lmic_raw[#Headers],0)))</f>
        <v>3497117</v>
      </c>
      <c r="I41" s="33">
        <f>IF(INDEX(lmic_raw[],MATCH($A41,lmic_raw[[setting]:[setting]],0), MATCH(I$1, lmic_raw[#Headers],0))=0, INDEX(regions[], MATCH($D41, regions[[setting]:[setting]],0), MATCH(I$1, regions[#Headers],0)),INDEX(lmic_raw[],MATCH($A41,lmic_raw[[setting]:[setting]],0), MATCH(I$1, lmic_raw[#Headers],0)))</f>
        <v>107137.676412</v>
      </c>
      <c r="J41" s="33">
        <f>IF(INDEX(lmic_raw[],MATCH($A41,lmic_raw[[setting]:[setting]],0), MATCH(J$1, lmic_raw[#Headers],0))=0, INDEX(regions[], MATCH($D41, regions[[setting]:[setting]],0), MATCH(J$1, regions[#Headers],0)),INDEX(lmic_raw[],MATCH($A41,lmic_raw[[setting]:[setting]],0), MATCH(J$1, lmic_raw[#Headers],0)))</f>
        <v>0.33700000000000002</v>
      </c>
      <c r="K41" s="33">
        <f>IF(INDEX(lmic_raw[],MATCH($A41,lmic_raw[[setting]:[setting]],0), MATCH(K$1, lmic_raw[#Headers],0))=0, INDEX(regions[], MATCH($D41, regions[[setting]:[setting]],0), MATCH(K$1, regions[#Headers],0)),INDEX(lmic_raw[],MATCH($A41,lmic_raw[[setting]:[setting]],0), MATCH(K$1, lmic_raw[#Headers],0)))</f>
        <v>0.69252604416320784</v>
      </c>
      <c r="L41" s="33">
        <f>IF(INDEX(lmic_raw[],MATCH($A41,lmic_raw[[setting]:[setting]],0), MATCH(L$1, lmic_raw[#Headers],0))=0, INDEX(regions[], MATCH($D41, regions[[setting]:[setting]],0), MATCH(L$1, regions[#Headers],0)),INDEX(lmic_raw[],MATCH($A41,lmic_raw[[setting]:[setting]],0), MATCH(L$1, lmic_raw[#Headers],0)))</f>
        <v>0.95</v>
      </c>
      <c r="M41" s="33">
        <f>IF(INDEX(lmic_raw[],MATCH($A41,lmic_raw[[setting]:[setting]],0), MATCH(M$1, lmic_raw[#Headers],0))=0, INDEX(regions[], MATCH($D41, regions[[setting]:[setting]],0), MATCH(M$1, regions[#Headers],0)),INDEX(lmic_raw[],MATCH($A41,lmic_raw[[setting]:[setting]],0), MATCH(M$1, lmic_raw[#Headers],0)))</f>
        <v>1.8500000000000003E-2</v>
      </c>
      <c r="N41" s="33">
        <f>IF(INDEX(lmic_raw[],MATCH($A41,lmic_raw[[setting]:[setting]],0), MATCH(N$1, lmic_raw[#Headers],0))=0, INDEX(regions[], MATCH($D41, regions[[setting]:[setting]],0), MATCH(N$1, regions[#Headers],0)),INDEX(lmic_raw[],MATCH($A41,lmic_raw[[setting]:[setting]],0), MATCH(N$1, lmic_raw[#Headers],0)))</f>
        <v>0.28032204375965358</v>
      </c>
      <c r="O41" s="33">
        <f>IF(INDEX(lmic_raw[],MATCH($A41,lmic_raw[[setting]:[setting]],0), MATCH(O$1, lmic_raw[#Headers],0))=0, INDEX(regions[], MATCH($D41, regions[[setting]:[setting]],0), MATCH(O$1, regions[#Headers],0)),INDEX(lmic_raw[],MATCH($A41,lmic_raw[[setting]:[setting]],0), MATCH(O$1, lmic_raw[#Headers],0)))</f>
        <v>0.38300000000000001</v>
      </c>
      <c r="P41" s="33">
        <f>IF(INDEX(lmic_raw[],MATCH($A41,lmic_raw[[setting]:[setting]],0), MATCH(P$1, lmic_raw[#Headers],0))=0, INDEX(regions[], MATCH($D41, regions[[setting]:[setting]],0), MATCH(P$1, regions[#Headers],0)),INDEX(lmic_raw[],MATCH($A41,lmic_raw[[setting]:[setting]],0), MATCH(P$1, lmic_raw[#Headers],0)))</f>
        <v>4.8000000000000001E-2</v>
      </c>
      <c r="Q41" s="33">
        <f>IF(INDEX(lmic_raw[],MATCH($A41,lmic_raw[[setting]:[setting]],0), MATCH(Q$1, lmic_raw[#Headers],0))=0, INDEX(regions[], MATCH($D41, regions[[setting]:[setting]],0), MATCH(Q$1, regions[#Headers],0)),INDEX(lmic_raw[],MATCH($A41,lmic_raw[[setting]:[setting]],0), MATCH(Q$1, lmic_raw[#Headers],0)))</f>
        <v>2.2309784238928683</v>
      </c>
      <c r="R41" s="33">
        <f>IF(INDEX(lmic_raw[],MATCH($A41,lmic_raw[[setting]:[setting]],0), MATCH(R$1, lmic_raw[#Headers],0))=0, INDEX(regions[], MATCH($D41, regions[[setting]:[setting]],0), MATCH(R$1, regions[#Headers],0)),INDEX(lmic_raw[],MATCH($A41,lmic_raw[[setting]:[setting]],0), MATCH(R$1, lmic_raw[#Headers],0)))</f>
        <v>29.920500000000001</v>
      </c>
      <c r="S41" s="33">
        <f>IF(INDEX(lmic_raw[],MATCH($A41,lmic_raw[[setting]:[setting]],0), MATCH(S$1, lmic_raw[#Headers],0))=0, INDEX(regions[], MATCH($D41, regions[[setting]:[setting]],0), MATCH(S$1, regions[#Headers],0)),INDEX(lmic_raw[],MATCH($A41,lmic_raw[[setting]:[setting]],0), MATCH(S$1, lmic_raw[#Headers],0)))</f>
        <v>77.662500000000009</v>
      </c>
      <c r="T41" s="33">
        <f>IF(INDEX(lmic_raw[],MATCH($A41,lmic_raw[[setting]:[setting]],0), MATCH(T$1, lmic_raw[#Headers],0))=0, INDEX(regions[], MATCH($D41, regions[[setting]:[setting]],0), MATCH(T$1, regions[#Headers],0)),INDEX(lmic_raw[],MATCH($A41,lmic_raw[[setting]:[setting]],0), MATCH(T$1, lmic_raw[#Headers],0)))</f>
        <v>77.662500000000009</v>
      </c>
      <c r="U41" s="33">
        <f>IF(INDEX(lmic_raw[],MATCH($A41,lmic_raw[[setting]:[setting]],0), MATCH(U$1, lmic_raw[#Headers],0))=0, INDEX(regions[], MATCH($D41, regions[[setting]:[setting]],0), MATCH(U$1, regions[#Headers],0)),INDEX(lmic_raw[],MATCH($A41,lmic_raw[[setting]:[setting]],0), MATCH(U$1, lmic_raw[#Headers],0)))</f>
        <v>77.662500000000009</v>
      </c>
      <c r="V41" s="33">
        <f>IF(INDEX(lmic_raw[],MATCH($A41,lmic_raw[[setting]:[setting]],0), MATCH(V$1, lmic_raw[#Headers],0))=0, INDEX(regions[], MATCH($D41, regions[[setting]:[setting]],0), MATCH(V$1, regions[#Headers],0)),INDEX(lmic_raw[],MATCH($A41,lmic_raw[[setting]:[setting]],0), MATCH(V$1, lmic_raw[#Headers],0)))</f>
        <v>4.0126984988123064</v>
      </c>
      <c r="W41" s="33">
        <f>IF(INDEX(lmic_raw[],MATCH($A41,lmic_raw[[setting]:[setting]],0), MATCH(W$1, lmic_raw[#Headers],0))=0, INDEX(regions[], MATCH($D41, regions[[setting]:[setting]],0), MATCH(W$1, regions[#Headers],0)),INDEX(lmic_raw[],MATCH($A41,lmic_raw[[setting]:[setting]],0), MATCH(W$1, lmic_raw[#Headers],0)))</f>
        <v>8.8426984988123074</v>
      </c>
      <c r="X41" s="33">
        <f>IF(INDEX(lmic_raw[],MATCH($A41,lmic_raw[[setting]:[setting]],0), MATCH(X$1, lmic_raw[#Headers],0))=0, INDEX(regions[], MATCH($D41, regions[[setting]:[setting]],0), MATCH(X$1, regions[#Headers],0)),INDEX(lmic_raw[],MATCH($A41,lmic_raw[[setting]:[setting]],0), MATCH(X$1, lmic_raw[#Headers],0)))</f>
        <v>3.5892669943299533</v>
      </c>
      <c r="Y41" s="33">
        <f>IF(INDEX(lmic_raw[],MATCH($A41,lmic_raw[[setting]:[setting]],0), MATCH(Y$1, lmic_raw[#Headers],0))=0, INDEX(regions[], MATCH($D41, regions[[setting]:[setting]],0), MATCH(Y$1, regions[#Headers],0)),INDEX(lmic_raw[],MATCH($A41,lmic_raw[[setting]:[setting]],0), MATCH(Y$1, lmic_raw[#Headers],0)))</f>
        <v>8.4192669943299538</v>
      </c>
      <c r="Z41" s="33">
        <f>IF(INDEX(lmic_raw[],MATCH($A41,lmic_raw[[setting]:[setting]],0), MATCH(Z$1, lmic_raw[#Headers],0))=0, INDEX(regions[], MATCH($D41, regions[[setting]:[setting]],0), MATCH(Z$1, regions[#Headers],0)),INDEX(lmic_raw[],MATCH($A41,lmic_raw[[setting]:[setting]],0), MATCH(Z$1, lmic_raw[#Headers],0)))</f>
        <v>8.417188165952604</v>
      </c>
      <c r="AA41" s="33">
        <f>IF(INDEX(lmic_raw[],MATCH($A41,lmic_raw[[setting]:[setting]],0), MATCH(AA$1, lmic_raw[#Headers],0))=0, INDEX(regions[], MATCH($D41, regions[[setting]:[setting]],0), MATCH(AA$1, regions[#Headers],0)),INDEX(lmic_raw[],MATCH($A41,lmic_raw[[setting]:[setting]],0), MATCH(AA$1, lmic_raw[#Headers],0)))</f>
        <v>4.2535568262443411</v>
      </c>
      <c r="AB41" s="33">
        <f>IF(INDEX(lmic_raw[],MATCH($A41,lmic_raw[[setting]:[setting]],0), MATCH(AB$1, lmic_raw[#Headers],0))=0, INDEX(regions[], MATCH($D41, regions[[setting]:[setting]],0), MATCH(AB$1, regions[#Headers],0)),INDEX(lmic_raw[],MATCH($A41,lmic_raw[[setting]:[setting]],0), MATCH(AB$1, lmic_raw[#Headers],0)))</f>
        <v>9.0835568262443402</v>
      </c>
      <c r="AC41" s="33">
        <f>IF(INDEX(lmic_raw[],MATCH($A41,lmic_raw[[setting]:[setting]],0), MATCH(AC$1, lmic_raw[#Headers],0))=0, INDEX(regions[], MATCH($D41, regions[[setting]:[setting]],0), MATCH(AC$1, regions[#Headers],0)),INDEX(lmic_raw[],MATCH($A41,lmic_raw[[setting]:[setting]],0), MATCH(AC$1, lmic_raw[#Headers],0)))</f>
        <v>3.4723760000000041E-2</v>
      </c>
      <c r="AD41" s="33">
        <f>IF(INDEX(lmic_raw[],MATCH($A41,lmic_raw[[setting]:[setting]],0), MATCH(AD$1, lmic_raw[#Headers],0))=0, INDEX(regions[], MATCH($D41, regions[[setting]:[setting]],0), MATCH(AD$1, regions[#Headers],0)),INDEX(lmic_raw[],MATCH($A41,lmic_raw[[setting]:[setting]],0), MATCH(AD$1, lmic_raw[#Headers],0)))</f>
        <v>2.4781015018042821E-3</v>
      </c>
      <c r="AE41" s="33">
        <f>IF(INDEX(lmic_raw[],MATCH($A41,lmic_raw[[setting]:[setting]],0), MATCH(AE$1, lmic_raw[#Headers],0))=0, INDEX(regions[], MATCH($D41, regions[[setting]:[setting]],0), MATCH(AE$1, regions[#Headers],0)),INDEX(lmic_raw[],MATCH($A41,lmic_raw[[setting]:[setting]],0), MATCH(AE$1, lmic_raw[#Headers],0)))</f>
        <v>8.4167337173048572E-4</v>
      </c>
      <c r="AF41" s="33">
        <f>IF(INDEX(lmic_raw[],MATCH($A41,lmic_raw[[setting]:[setting]],0), MATCH(AF$1, lmic_raw[#Headers],0))=0, INDEX(regions[], MATCH($D41, regions[[setting]:[setting]],0), MATCH(AF$1, regions[#Headers],0)),INDEX(lmic_raw[],MATCH($A41,lmic_raw[[setting]:[setting]],0), MATCH(AF$1, lmic_raw[#Headers],0)))</f>
        <v>6.3627494974549182E-4</v>
      </c>
      <c r="AG41" s="33">
        <f>IF(INDEX(lmic_raw[],MATCH($A41,lmic_raw[[setting]:[setting]],0), MATCH(AG$1, lmic_raw[#Headers],0))=0, INDEX(regions[], MATCH($D41, regions[[setting]:[setting]],0), MATCH(AG$1, regions[#Headers],0)),INDEX(lmic_raw[],MATCH($A41,lmic_raw[[setting]:[setting]],0), MATCH(AG$1, lmic_raw[#Headers],0)))</f>
        <v>1.2279952533809392E-3</v>
      </c>
      <c r="AH41" s="33">
        <f>IF(INDEX(lmic_raw[],MATCH($A41,lmic_raw[[setting]:[setting]],0), MATCH(AH$1, lmic_raw[#Headers],0))=0, INDEX(regions[], MATCH($D41, regions[[setting]:[setting]],0), MATCH(AH$1, regions[#Headers],0)),INDEX(lmic_raw[],MATCH($A41,lmic_raw[[setting]:[setting]],0), MATCH(AH$1, lmic_raw[#Headers],0)))</f>
        <v>1.7458328942756751E-3</v>
      </c>
      <c r="AI41" s="33">
        <f>IF(INDEX(lmic_raw[],MATCH($A41,lmic_raw[[setting]:[setting]],0), MATCH(AI$1, lmic_raw[#Headers],0))=0, INDEX(regions[], MATCH($D41, regions[[setting]:[setting]],0), MATCH(AI$1, regions[#Headers],0)),INDEX(lmic_raw[],MATCH($A41,lmic_raw[[setting]:[setting]],0), MATCH(AI$1, lmic_raw[#Headers],0)))</f>
        <v>2.3091203916955402E-3</v>
      </c>
      <c r="AJ41" s="33">
        <f>IF(INDEX(lmic_raw[],MATCH($A41,lmic_raw[[setting]:[setting]],0), MATCH(AJ$1, lmic_raw[#Headers],0))=0, INDEX(regions[], MATCH($D41, regions[[setting]:[setting]],0), MATCH(AJ$1, regions[#Headers],0)),INDEX(lmic_raw[],MATCH($A41,lmic_raw[[setting]:[setting]],0), MATCH(AJ$1, lmic_raw[#Headers],0)))</f>
        <v>3.0931500050215776E-3</v>
      </c>
      <c r="AK41" s="33">
        <f>IF(INDEX(lmic_raw[],MATCH($A41,lmic_raw[[setting]:[setting]],0), MATCH(AK$1, lmic_raw[#Headers],0))=0, INDEX(regions[], MATCH($D41, regions[[setting]:[setting]],0), MATCH(AK$1, regions[#Headers],0)),INDEX(lmic_raw[],MATCH($A41,lmic_raw[[setting]:[setting]],0), MATCH(AK$1, lmic_raw[#Headers],0)))</f>
        <v>4.0145967103637353E-3</v>
      </c>
      <c r="AL41" s="33">
        <f>IF(INDEX(lmic_raw[],MATCH($A41,lmic_raw[[setting]:[setting]],0), MATCH(AL$1, lmic_raw[#Headers],0))=0, INDEX(regions[], MATCH($D41, regions[[setting]:[setting]],0), MATCH(AL$1, regions[#Headers],0)),INDEX(lmic_raw[],MATCH($A41,lmic_raw[[setting]:[setting]],0), MATCH(AL$1, lmic_raw[#Headers],0)))</f>
        <v>5.8038531347772357E-3</v>
      </c>
      <c r="AM41" s="33">
        <f>IF(INDEX(lmic_raw[],MATCH($A41,lmic_raw[[setting]:[setting]],0), MATCH(AM$1, lmic_raw[#Headers],0))=0, INDEX(regions[], MATCH($D41, regions[[setting]:[setting]],0), MATCH(AM$1, regions[#Headers],0)),INDEX(lmic_raw[],MATCH($A41,lmic_raw[[setting]:[setting]],0), MATCH(AM$1, lmic_raw[#Headers],0)))</f>
        <v>7.8511851733448889E-3</v>
      </c>
      <c r="AN41" s="33">
        <f>IF(INDEX(lmic_raw[],MATCH($A41,lmic_raw[[setting]:[setting]],0), MATCH(AN$1, lmic_raw[#Headers],0))=0, INDEX(regions[], MATCH($D41, regions[[setting]:[setting]],0), MATCH(AN$1, regions[#Headers],0)),INDEX(lmic_raw[],MATCH($A41,lmic_raw[[setting]:[setting]],0), MATCH(AN$1, lmic_raw[#Headers],0)))</f>
        <v>1.1601511257012974E-2</v>
      </c>
      <c r="AO41" s="33">
        <f>IF(INDEX(lmic_raw[],MATCH($A41,lmic_raw[[setting]:[setting]],0), MATCH(AO$1, lmic_raw[#Headers],0))=0, INDEX(regions[], MATCH($D41, regions[[setting]:[setting]],0), MATCH(AO$1, regions[#Headers],0)),INDEX(lmic_raw[],MATCH($A41,lmic_raw[[setting]:[setting]],0), MATCH(AO$1, lmic_raw[#Headers],0)))</f>
        <v>1.6819371008290708E-2</v>
      </c>
      <c r="AP41" s="33">
        <f>IF(INDEX(lmic_raw[],MATCH($A41,lmic_raw[[setting]:[setting]],0), MATCH(AP$1, lmic_raw[#Headers],0))=0, INDEX(regions[], MATCH($D41, regions[[setting]:[setting]],0), MATCH(AP$1, regions[#Headers],0)),INDEX(lmic_raw[],MATCH($A41,lmic_raw[[setting]:[setting]],0), MATCH(AP$1, lmic_raw[#Headers],0)))</f>
        <v>2.4093849190500269E-2</v>
      </c>
      <c r="AQ41" s="33">
        <f>IF(INDEX(lmic_raw[],MATCH($A41,lmic_raw[[setting]:[setting]],0), MATCH(AQ$1, lmic_raw[#Headers],0))=0, INDEX(regions[], MATCH($D41, regions[[setting]:[setting]],0), MATCH(AQ$1, regions[#Headers],0)),INDEX(lmic_raw[],MATCH($A41,lmic_raw[[setting]:[setting]],0), MATCH(AQ$1, lmic_raw[#Headers],0)))</f>
        <v>3.3915841624018422E-2</v>
      </c>
      <c r="AR41" s="33">
        <f>IF(INDEX(lmic_raw[],MATCH($A41,lmic_raw[[setting]:[setting]],0), MATCH(AR$1, lmic_raw[#Headers],0))=0, INDEX(regions[], MATCH($D41, regions[[setting]:[setting]],0), MATCH(AR$1, regions[#Headers],0)),INDEX(lmic_raw[],MATCH($A41,lmic_raw[[setting]:[setting]],0), MATCH(AR$1, lmic_raw[#Headers],0)))</f>
        <v>5.0132268661539331E-2</v>
      </c>
      <c r="AS41" s="33">
        <f>IF(INDEX(lmic_raw[],MATCH($A41,lmic_raw[[setting]:[setting]],0), MATCH(AS$1, lmic_raw[#Headers],0))=0, INDEX(regions[], MATCH($D41, regions[[setting]:[setting]],0), MATCH(AS$1, regions[#Headers],0)),INDEX(lmic_raw[],MATCH($A41,lmic_raw[[setting]:[setting]],0), MATCH(AS$1, lmic_raw[#Headers],0)))</f>
        <v>6.8765768717437184E-2</v>
      </c>
      <c r="AT41" s="33">
        <f>IF(INDEX(lmic_raw[],MATCH($A41,lmic_raw[[setting]:[setting]],0), MATCH(AT$1, lmic_raw[#Headers],0))=0, INDEX(regions[], MATCH($D41, regions[[setting]:[setting]],0), MATCH(AT$1, regions[#Headers],0)),INDEX(lmic_raw[],MATCH($A41,lmic_raw[[setting]:[setting]],0), MATCH(AT$1, lmic_raw[#Headers],0)))</f>
        <v>9.5663090170238829E-2</v>
      </c>
      <c r="AU41" s="33">
        <f>IF(INDEX(lmic_raw[],MATCH($A41,lmic_raw[[setting]:[setting]],0), MATCH(AU$1, lmic_raw[#Headers],0))=0, INDEX(regions[], MATCH($D41, regions[[setting]:[setting]],0), MATCH(AU$1, regions[#Headers],0)),INDEX(lmic_raw[],MATCH($A41,lmic_raw[[setting]:[setting]],0), MATCH(AU$1, lmic_raw[#Headers],0)))</f>
        <v>0.12187267007815591</v>
      </c>
      <c r="AV41" s="33">
        <f>IF(INDEX(lmic_raw[],MATCH($A41,lmic_raw[[setting]:[setting]],0), MATCH(AV$1, lmic_raw[#Headers],0))=0, INDEX(regions[], MATCH($D41, regions[[setting]:[setting]],0), MATCH(AV$1, regions[#Headers],0)),INDEX(lmic_raw[],MATCH($A41,lmic_raw[[setting]:[setting]],0), MATCH(AV$1, lmic_raw[#Headers],0)))</f>
        <v>0.14350139431758438</v>
      </c>
      <c r="AW41" s="33">
        <f>IF(INDEX(lmic_raw[],MATCH($A41,lmic_raw[[setting]:[setting]],0), MATCH(AW$1, lmic_raw[#Headers],0))=0, INDEX(regions[], MATCH($D41, regions[[setting]:[setting]],0), MATCH(AW$1, regions[#Headers],0)),INDEX(lmic_raw[],MATCH($A41,lmic_raw[[setting]:[setting]],0), MATCH(AW$1, lmic_raw[#Headers],0)))</f>
        <v>0.16133688006745536</v>
      </c>
      <c r="AX41" s="33">
        <f>IF(INDEX(lmic_raw[],MATCH($A41,lmic_raw[[setting]:[setting]],0), MATCH(AX$1, lmic_raw[#Headers],0))=0, INDEX(regions[], MATCH($D41, regions[[setting]:[setting]],0), MATCH(AX$1, regions[#Headers],0)),INDEX(lmic_raw[],MATCH($A41,lmic_raw[[setting]:[setting]],0), MATCH(AX$1, lmic_raw[#Headers],0)))</f>
        <v>65.742999999999995</v>
      </c>
      <c r="AY41" s="33" t="str">
        <f>IF(VLOOKUP($A41,lmic_raw[],11,FALSE)=0, "Yes", "No")</f>
        <v>Yes</v>
      </c>
    </row>
    <row r="42" spans="1:51" x14ac:dyDescent="0.25">
      <c r="A42" s="109" t="s">
        <v>133</v>
      </c>
      <c r="B42" s="101" t="s">
        <v>422</v>
      </c>
      <c r="C42" s="102">
        <v>748</v>
      </c>
      <c r="D42" s="82" t="s">
        <v>677</v>
      </c>
      <c r="E42" s="82" t="s">
        <v>594</v>
      </c>
      <c r="F42" s="82" t="s">
        <v>667</v>
      </c>
      <c r="G42" s="82" t="s">
        <v>678</v>
      </c>
      <c r="H42" s="33">
        <f>IF(INDEX(lmic_raw[],MATCH($A42,lmic_raw[[setting]:[setting]],0), MATCH(H$1, lmic_raw[#Headers],0))=0, INDEX(regions[], MATCH($D42, regions[[setting]:[setting]],0), MATCH(H$1, regions[#Headers],0)),INDEX(lmic_raw[],MATCH($A42,lmic_raw[[setting]:[setting]],0), MATCH(H$1, lmic_raw[#Headers],0)))</f>
        <v>1148133</v>
      </c>
      <c r="I42" s="33">
        <f>IF(INDEX(lmic_raw[],MATCH($A42,lmic_raw[[setting]:[setting]],0), MATCH(I$1, lmic_raw[#Headers],0))=0, INDEX(regions[], MATCH($D42, regions[[setting]:[setting]],0), MATCH(I$1, regions[#Headers],0)),INDEX(lmic_raw[],MATCH($A42,lmic_raw[[setting]:[setting]],0), MATCH(I$1, lmic_raw[#Headers],0)))</f>
        <v>30670.076829000001</v>
      </c>
      <c r="J42" s="33">
        <f>IF(INDEX(lmic_raw[],MATCH($A42,lmic_raw[[setting]:[setting]],0), MATCH(J$1, lmic_raw[#Headers],0))=0, INDEX(regions[], MATCH($D42, regions[[setting]:[setting]],0), MATCH(J$1, regions[#Headers],0)),INDEX(lmic_raw[],MATCH($A42,lmic_raw[[setting]:[setting]],0), MATCH(J$1, lmic_raw[#Headers],0)))</f>
        <v>0.877</v>
      </c>
      <c r="K42" s="33">
        <f>IF(INDEX(lmic_raw[],MATCH($A42,lmic_raw[[setting]:[setting]],0), MATCH(K$1, lmic_raw[#Headers],0))=0, INDEX(regions[], MATCH($D42, regions[[setting]:[setting]],0), MATCH(K$1, regions[#Headers],0)),INDEX(lmic_raw[],MATCH($A42,lmic_raw[[setting]:[setting]],0), MATCH(K$1, lmic_raw[#Headers],0)))</f>
        <v>0.69252604416320784</v>
      </c>
      <c r="L42" s="33">
        <f>IF(INDEX(lmic_raw[],MATCH($A42,lmic_raw[[setting]:[setting]],0), MATCH(L$1, lmic_raw[#Headers],0))=0, INDEX(regions[], MATCH($D42, regions[[setting]:[setting]],0), MATCH(L$1, regions[#Headers],0)),INDEX(lmic_raw[],MATCH($A42,lmic_raw[[setting]:[setting]],0), MATCH(L$1, lmic_raw[#Headers],0)))</f>
        <v>0.9</v>
      </c>
      <c r="M42" s="33">
        <f>IF(INDEX(lmic_raw[],MATCH($A42,lmic_raw[[setting]:[setting]],0), MATCH(M$1, lmic_raw[#Headers],0))=0, INDEX(regions[], MATCH($D42, regions[[setting]:[setting]],0), MATCH(M$1, regions[#Headers],0)),INDEX(lmic_raw[],MATCH($A42,lmic_raw[[setting]:[setting]],0), MATCH(M$1, lmic_raw[#Headers],0)))</f>
        <v>2.1000000000000001E-2</v>
      </c>
      <c r="N42" s="33">
        <f>IF(INDEX(lmic_raw[],MATCH($A42,lmic_raw[[setting]:[setting]],0), MATCH(N$1, lmic_raw[#Headers],0))=0, INDEX(regions[], MATCH($D42, regions[[setting]:[setting]],0), MATCH(N$1, regions[#Headers],0)),INDEX(lmic_raw[],MATCH($A42,lmic_raw[[setting]:[setting]],0), MATCH(N$1, lmic_raw[#Headers],0)))</f>
        <v>0.26669916009179478</v>
      </c>
      <c r="O42" s="33">
        <f>IF(INDEX(lmic_raw[],MATCH($A42,lmic_raw[[setting]:[setting]],0), MATCH(O$1, lmic_raw[#Headers],0))=0, INDEX(regions[], MATCH($D42, regions[[setting]:[setting]],0), MATCH(O$1, regions[#Headers],0)),INDEX(lmic_raw[],MATCH($A42,lmic_raw[[setting]:[setting]],0), MATCH(O$1, lmic_raw[#Headers],0)))</f>
        <v>0.38300000000000001</v>
      </c>
      <c r="P42" s="33">
        <f>IF(INDEX(lmic_raw[],MATCH($A42,lmic_raw[[setting]:[setting]],0), MATCH(P$1, lmic_raw[#Headers],0))=0, INDEX(regions[], MATCH($D42, regions[[setting]:[setting]],0), MATCH(P$1, regions[#Headers],0)),INDEX(lmic_raw[],MATCH($A42,lmic_raw[[setting]:[setting]],0), MATCH(P$1, lmic_raw[#Headers],0)))</f>
        <v>4.8000000000000001E-2</v>
      </c>
      <c r="Q42" s="33">
        <f>IF(INDEX(lmic_raw[],MATCH($A42,lmic_raw[[setting]:[setting]],0), MATCH(Q$1, lmic_raw[#Headers],0))=0, INDEX(regions[], MATCH($D42, regions[[setting]:[setting]],0), MATCH(Q$1, regions[#Headers],0)),INDEX(lmic_raw[],MATCH($A42,lmic_raw[[setting]:[setting]],0), MATCH(Q$1, lmic_raw[#Headers],0)))</f>
        <v>6.6462650825646286</v>
      </c>
      <c r="R42" s="33">
        <f>IF(INDEX(lmic_raw[],MATCH($A42,lmic_raw[[setting]:[setting]],0), MATCH(R$1, lmic_raw[#Headers],0))=0, INDEX(regions[], MATCH($D42, regions[[setting]:[setting]],0), MATCH(R$1, regions[#Headers],0)),INDEX(lmic_raw[],MATCH($A42,lmic_raw[[setting]:[setting]],0), MATCH(R$1, lmic_raw[#Headers],0)))</f>
        <v>29.920500000000001</v>
      </c>
      <c r="S42" s="33">
        <f>IF(INDEX(lmic_raw[],MATCH($A42,lmic_raw[[setting]:[setting]],0), MATCH(S$1, lmic_raw[#Headers],0))=0, INDEX(regions[], MATCH($D42, regions[[setting]:[setting]],0), MATCH(S$1, regions[#Headers],0)),INDEX(lmic_raw[],MATCH($A42,lmic_raw[[setting]:[setting]],0), MATCH(S$1, lmic_raw[#Headers],0)))</f>
        <v>77.662500000000009</v>
      </c>
      <c r="T42" s="33">
        <f>IF(INDEX(lmic_raw[],MATCH($A42,lmic_raw[[setting]:[setting]],0), MATCH(T$1, lmic_raw[#Headers],0))=0, INDEX(regions[], MATCH($D42, regions[[setting]:[setting]],0), MATCH(T$1, regions[#Headers],0)),INDEX(lmic_raw[],MATCH($A42,lmic_raw[[setting]:[setting]],0), MATCH(T$1, lmic_raw[#Headers],0)))</f>
        <v>77.662500000000009</v>
      </c>
      <c r="U42" s="33">
        <f>IF(INDEX(lmic_raw[],MATCH($A42,lmic_raw[[setting]:[setting]],0), MATCH(U$1, lmic_raw[#Headers],0))=0, INDEX(regions[], MATCH($D42, regions[[setting]:[setting]],0), MATCH(U$1, regions[#Headers],0)),INDEX(lmic_raw[],MATCH($A42,lmic_raw[[setting]:[setting]],0), MATCH(U$1, lmic_raw[#Headers],0)))</f>
        <v>77.662500000000009</v>
      </c>
      <c r="V42" s="33">
        <f>IF(INDEX(lmic_raw[],MATCH($A42,lmic_raw[[setting]:[setting]],0), MATCH(V$1, lmic_raw[#Headers],0))=0, INDEX(regions[], MATCH($D42, regions[[setting]:[setting]],0), MATCH(V$1, regions[#Headers],0)),INDEX(lmic_raw[],MATCH($A42,lmic_raw[[setting]:[setting]],0), MATCH(V$1, lmic_raw[#Headers],0)))</f>
        <v>6.3098630845355146</v>
      </c>
      <c r="W42" s="33">
        <f>IF(INDEX(lmic_raw[],MATCH($A42,lmic_raw[[setting]:[setting]],0), MATCH(W$1, lmic_raw[#Headers],0))=0, INDEX(regions[], MATCH($D42, regions[[setting]:[setting]],0), MATCH(W$1, regions[#Headers],0)),INDEX(lmic_raw[],MATCH($A42,lmic_raw[[setting]:[setting]],0), MATCH(W$1, lmic_raw[#Headers],0)))</f>
        <v>11.139863084535515</v>
      </c>
      <c r="X42" s="33">
        <f>IF(INDEX(lmic_raw[],MATCH($A42,lmic_raw[[setting]:[setting]],0), MATCH(X$1, lmic_raw[#Headers],0))=0, INDEX(regions[], MATCH($D42, regions[[setting]:[setting]],0), MATCH(X$1, regions[#Headers],0)),INDEX(lmic_raw[],MATCH($A42,lmic_raw[[setting]:[setting]],0), MATCH(X$1, lmic_raw[#Headers],0)))</f>
        <v>5.8698874172618289</v>
      </c>
      <c r="Y42" s="33">
        <f>IF(INDEX(lmic_raw[],MATCH($A42,lmic_raw[[setting]:[setting]],0), MATCH(Y$1, lmic_raw[#Headers],0))=0, INDEX(regions[], MATCH($D42, regions[[setting]:[setting]],0), MATCH(Y$1, regions[#Headers],0)),INDEX(lmic_raw[],MATCH($A42,lmic_raw[[setting]:[setting]],0), MATCH(Y$1, lmic_raw[#Headers],0)))</f>
        <v>10.699887417261829</v>
      </c>
      <c r="Z42" s="33">
        <f>IF(INDEX(lmic_raw[],MATCH($A42,lmic_raw[[setting]:[setting]],0), MATCH(Z$1, lmic_raw[#Headers],0))=0, INDEX(regions[], MATCH($D42, regions[[setting]:[setting]],0), MATCH(Z$1, regions[#Headers],0)),INDEX(lmic_raw[],MATCH($A42,lmic_raw[[setting]:[setting]],0), MATCH(Z$1, lmic_raw[#Headers],0)))</f>
        <v>10.691362802419293</v>
      </c>
      <c r="AA42" s="33">
        <f>IF(INDEX(lmic_raw[],MATCH($A42,lmic_raw[[setting]:[setting]],0), MATCH(AA$1, lmic_raw[#Headers],0))=0, INDEX(regions[], MATCH($D42, regions[[setting]:[setting]],0), MATCH(AA$1, regions[#Headers],0)),INDEX(lmic_raw[],MATCH($A42,lmic_raw[[setting]:[setting]],0), MATCH(AA$1, lmic_raw[#Headers],0)))</f>
        <v>6.5566850055318664</v>
      </c>
      <c r="AB42" s="33">
        <f>IF(INDEX(lmic_raw[],MATCH($A42,lmic_raw[[setting]:[setting]],0), MATCH(AB$1, lmic_raw[#Headers],0))=0, INDEX(regions[], MATCH($D42, regions[[setting]:[setting]],0), MATCH(AB$1, regions[#Headers],0)),INDEX(lmic_raw[],MATCH($A42,lmic_raw[[setting]:[setting]],0), MATCH(AB$1, lmic_raw[#Headers],0)))</f>
        <v>11.386685005531866</v>
      </c>
      <c r="AC42" s="33">
        <f>IF(INDEX(lmic_raw[],MATCH($A42,lmic_raw[[setting]:[setting]],0), MATCH(AC$1, lmic_raw[#Headers],0))=0, INDEX(regions[], MATCH($D42, regions[[setting]:[setting]],0), MATCH(AC$1, regions[#Headers],0)),INDEX(lmic_raw[],MATCH($A42,lmic_raw[[setting]:[setting]],0), MATCH(AC$1, lmic_raw[#Headers],0)))</f>
        <v>4.1364780000000025E-2</v>
      </c>
      <c r="AD42" s="33">
        <f>IF(INDEX(lmic_raw[],MATCH($A42,lmic_raw[[setting]:[setting]],0), MATCH(AD$1, lmic_raw[#Headers],0))=0, INDEX(regions[], MATCH($D42, regions[[setting]:[setting]],0), MATCH(AD$1, regions[#Headers],0)),INDEX(lmic_raw[],MATCH($A42,lmic_raw[[setting]:[setting]],0), MATCH(AD$1, lmic_raw[#Headers],0)))</f>
        <v>3.4059410001647896E-3</v>
      </c>
      <c r="AE42" s="33">
        <f>IF(INDEX(lmic_raw[],MATCH($A42,lmic_raw[[setting]:[setting]],0), MATCH(AE$1, lmic_raw[#Headers],0))=0, INDEX(regions[], MATCH($D42, regions[[setting]:[setting]],0), MATCH(AE$1, regions[#Headers],0)),INDEX(lmic_raw[],MATCH($A42,lmic_raw[[setting]:[setting]],0), MATCH(AE$1, lmic_raw[#Headers],0)))</f>
        <v>9.8030722047431234E-4</v>
      </c>
      <c r="AF42" s="33">
        <f>IF(INDEX(lmic_raw[],MATCH($A42,lmic_raw[[setting]:[setting]],0), MATCH(AF$1, lmic_raw[#Headers],0))=0, INDEX(regions[], MATCH($D42, regions[[setting]:[setting]],0), MATCH(AF$1, regions[#Headers],0)),INDEX(lmic_raw[],MATCH($A42,lmic_raw[[setting]:[setting]],0), MATCH(AF$1, lmic_raw[#Headers],0)))</f>
        <v>8.6807639205732548E-4</v>
      </c>
      <c r="AG42" s="33">
        <f>IF(INDEX(lmic_raw[],MATCH($A42,lmic_raw[[setting]:[setting]],0), MATCH(AG$1, lmic_raw[#Headers],0))=0, INDEX(regions[], MATCH($D42, regions[[setting]:[setting]],0), MATCH(AG$1, regions[#Headers],0)),INDEX(lmic_raw[],MATCH($A42,lmic_raw[[setting]:[setting]],0), MATCH(AG$1, lmic_raw[#Headers],0)))</f>
        <v>1.4461408425982657E-3</v>
      </c>
      <c r="AH42" s="33">
        <f>IF(INDEX(lmic_raw[],MATCH($A42,lmic_raw[[setting]:[setting]],0), MATCH(AH$1, lmic_raw[#Headers],0))=0, INDEX(regions[], MATCH($D42, regions[[setting]:[setting]],0), MATCH(AH$1, regions[#Headers],0)),INDEX(lmic_raw[],MATCH($A42,lmic_raw[[setting]:[setting]],0), MATCH(AH$1, lmic_raw[#Headers],0)))</f>
        <v>2.7145884310466198E-3</v>
      </c>
      <c r="AI42" s="33">
        <f>IF(INDEX(lmic_raw[],MATCH($A42,lmic_raw[[setting]:[setting]],0), MATCH(AI$1, lmic_raw[#Headers],0))=0, INDEX(regions[], MATCH($D42, regions[[setting]:[setting]],0), MATCH(AI$1, regions[#Headers],0)),INDEX(lmic_raw[],MATCH($A42,lmic_raw[[setting]:[setting]],0), MATCH(AI$1, lmic_raw[#Headers],0)))</f>
        <v>5.1136808851141866E-3</v>
      </c>
      <c r="AJ42" s="33">
        <f>IF(INDEX(lmic_raw[],MATCH($A42,lmic_raw[[setting]:[setting]],0), MATCH(AJ$1, lmic_raw[#Headers],0))=0, INDEX(regions[], MATCH($D42, regions[[setting]:[setting]],0), MATCH(AJ$1, regions[#Headers],0)),INDEX(lmic_raw[],MATCH($A42,lmic_raw[[setting]:[setting]],0), MATCH(AJ$1, lmic_raw[#Headers],0)))</f>
        <v>7.891072324963902E-3</v>
      </c>
      <c r="AK42" s="33">
        <f>IF(INDEX(lmic_raw[],MATCH($A42,lmic_raw[[setting]:[setting]],0), MATCH(AK$1, lmic_raw[#Headers],0))=0, INDEX(regions[], MATCH($D42, regions[[setting]:[setting]],0), MATCH(AK$1, regions[#Headers],0)),INDEX(lmic_raw[],MATCH($A42,lmic_raw[[setting]:[setting]],0), MATCH(AK$1, lmic_raw[#Headers],0)))</f>
        <v>1.184394012407225E-2</v>
      </c>
      <c r="AL42" s="33">
        <f>IF(INDEX(lmic_raw[],MATCH($A42,lmic_raw[[setting]:[setting]],0), MATCH(AL$1, lmic_raw[#Headers],0))=0, INDEX(regions[], MATCH($D42, regions[[setting]:[setting]],0), MATCH(AL$1, regions[#Headers],0)),INDEX(lmic_raw[],MATCH($A42,lmic_raw[[setting]:[setting]],0), MATCH(AL$1, lmic_raw[#Headers],0)))</f>
        <v>1.3774594490664763E-2</v>
      </c>
      <c r="AM42" s="33">
        <f>IF(INDEX(lmic_raw[],MATCH($A42,lmic_raw[[setting]:[setting]],0), MATCH(AM$1, lmic_raw[#Headers],0))=0, INDEX(regions[], MATCH($D42, regions[[setting]:[setting]],0), MATCH(AM$1, regions[#Headers],0)),INDEX(lmic_raw[],MATCH($A42,lmic_raw[[setting]:[setting]],0), MATCH(AM$1, lmic_raw[#Headers],0)))</f>
        <v>1.6473925374650578E-2</v>
      </c>
      <c r="AN42" s="33">
        <f>IF(INDEX(lmic_raw[],MATCH($A42,lmic_raw[[setting]:[setting]],0), MATCH(AN$1, lmic_raw[#Headers],0))=0, INDEX(regions[], MATCH($D42, regions[[setting]:[setting]],0), MATCH(AN$1, regions[#Headers],0)),INDEX(lmic_raw[],MATCH($A42,lmic_raw[[setting]:[setting]],0), MATCH(AN$1, lmic_raw[#Headers],0)))</f>
        <v>1.9192056716447851E-2</v>
      </c>
      <c r="AO42" s="33">
        <f>IF(INDEX(lmic_raw[],MATCH($A42,lmic_raw[[setting]:[setting]],0), MATCH(AO$1, lmic_raw[#Headers],0))=0, INDEX(regions[], MATCH($D42, regions[[setting]:[setting]],0), MATCH(AO$1, regions[#Headers],0)),INDEX(lmic_raw[],MATCH($A42,lmic_raw[[setting]:[setting]],0), MATCH(AO$1, lmic_raw[#Headers],0)))</f>
        <v>2.2386772623661511E-2</v>
      </c>
      <c r="AP42" s="33">
        <f>IF(INDEX(lmic_raw[],MATCH($A42,lmic_raw[[setting]:[setting]],0), MATCH(AP$1, lmic_raw[#Headers],0))=0, INDEX(regions[], MATCH($D42, regions[[setting]:[setting]],0), MATCH(AP$1, regions[#Headers],0)),INDEX(lmic_raw[],MATCH($A42,lmic_raw[[setting]:[setting]],0), MATCH(AP$1, lmic_raw[#Headers],0)))</f>
        <v>2.7120612335334537E-2</v>
      </c>
      <c r="AQ42" s="33">
        <f>IF(INDEX(lmic_raw[],MATCH($A42,lmic_raw[[setting]:[setting]],0), MATCH(AQ$1, lmic_raw[#Headers],0))=0, INDEX(regions[], MATCH($D42, regions[[setting]:[setting]],0), MATCH(AQ$1, regions[#Headers],0)),INDEX(lmic_raw[],MATCH($A42,lmic_raw[[setting]:[setting]],0), MATCH(AQ$1, lmic_raw[#Headers],0)))</f>
        <v>3.492585157254887E-2</v>
      </c>
      <c r="AR42" s="33">
        <f>IF(INDEX(lmic_raw[],MATCH($A42,lmic_raw[[setting]:[setting]],0), MATCH(AR$1, lmic_raw[#Headers],0))=0, INDEX(regions[], MATCH($D42, regions[[setting]:[setting]],0), MATCH(AR$1, regions[#Headers],0)),INDEX(lmic_raw[],MATCH($A42,lmic_raw[[setting]:[setting]],0), MATCH(AR$1, lmic_raw[#Headers],0)))</f>
        <v>4.7731677173213805E-2</v>
      </c>
      <c r="AS42" s="33">
        <f>IF(INDEX(lmic_raw[],MATCH($A42,lmic_raw[[setting]:[setting]],0), MATCH(AS$1, lmic_raw[#Headers],0))=0, INDEX(regions[], MATCH($D42, regions[[setting]:[setting]],0), MATCH(AS$1, regions[#Headers],0)),INDEX(lmic_raw[],MATCH($A42,lmic_raw[[setting]:[setting]],0), MATCH(AS$1, lmic_raw[#Headers],0)))</f>
        <v>6.6573082502703551E-2</v>
      </c>
      <c r="AT42" s="33">
        <f>IF(INDEX(lmic_raw[],MATCH($A42,lmic_raw[[setting]:[setting]],0), MATCH(AT$1, lmic_raw[#Headers],0))=0, INDEX(regions[], MATCH($D42, regions[[setting]:[setting]],0), MATCH(AT$1, regions[#Headers],0)),INDEX(lmic_raw[],MATCH($A42,lmic_raw[[setting]:[setting]],0), MATCH(AT$1, lmic_raw[#Headers],0)))</f>
        <v>9.7492856558824795E-2</v>
      </c>
      <c r="AU42" s="33">
        <f>IF(INDEX(lmic_raw[],MATCH($A42,lmic_raw[[setting]:[setting]],0), MATCH(AU$1, lmic_raw[#Headers],0))=0, INDEX(regions[], MATCH($D42, regions[[setting]:[setting]],0), MATCH(AU$1, regions[#Headers],0)),INDEX(lmic_raw[],MATCH($A42,lmic_raw[[setting]:[setting]],0), MATCH(AU$1, lmic_raw[#Headers],0)))</f>
        <v>0.13733419141121558</v>
      </c>
      <c r="AV42" s="33">
        <f>IF(INDEX(lmic_raw[],MATCH($A42,lmic_raw[[setting]:[setting]],0), MATCH(AV$1, lmic_raw[#Headers],0))=0, INDEX(regions[], MATCH($D42, regions[[setting]:[setting]],0), MATCH(AV$1, regions[#Headers],0)),INDEX(lmic_raw[],MATCH($A42,lmic_raw[[setting]:[setting]],0), MATCH(AV$1, lmic_raw[#Headers],0)))</f>
        <v>0.16949007393556464</v>
      </c>
      <c r="AW42" s="33">
        <f>IF(INDEX(lmic_raw[],MATCH($A42,lmic_raw[[setting]:[setting]],0), MATCH(AW$1, lmic_raw[#Headers],0))=0, INDEX(regions[], MATCH($D42, regions[[setting]:[setting]],0), MATCH(AW$1, regions[#Headers],0)),INDEX(lmic_raw[],MATCH($A42,lmic_raw[[setting]:[setting]],0), MATCH(AW$1, lmic_raw[#Headers],0)))</f>
        <v>0.18298509554159806</v>
      </c>
      <c r="AX42" s="33">
        <f>IF(INDEX(lmic_raw[],MATCH($A42,lmic_raw[[setting]:[setting]],0), MATCH(AX$1, lmic_raw[#Headers],0))=0, INDEX(regions[], MATCH($D42, regions[[setting]:[setting]],0), MATCH(AX$1, regions[#Headers],0)),INDEX(lmic_raw[],MATCH($A42,lmic_raw[[setting]:[setting]],0), MATCH(AX$1, lmic_raw[#Headers],0)))</f>
        <v>59.314</v>
      </c>
      <c r="AY42" s="33" t="str">
        <f>IF(VLOOKUP($A42,lmic_raw[],11,FALSE)=0, "Yes", "No")</f>
        <v>Yes</v>
      </c>
    </row>
    <row r="43" spans="1:51" x14ac:dyDescent="0.25">
      <c r="A43" s="110" t="s">
        <v>105</v>
      </c>
      <c r="B43" s="104" t="s">
        <v>423</v>
      </c>
      <c r="C43" s="105">
        <v>231</v>
      </c>
      <c r="D43" s="84" t="s">
        <v>677</v>
      </c>
      <c r="E43" s="84" t="s">
        <v>597</v>
      </c>
      <c r="F43" s="84" t="s">
        <v>667</v>
      </c>
      <c r="G43" s="84" t="s">
        <v>674</v>
      </c>
      <c r="H43" s="33">
        <f>IF(INDEX(lmic_raw[],MATCH($A43,lmic_raw[[setting]:[setting]],0), MATCH(H$1, lmic_raw[#Headers],0))=0, INDEX(regions[], MATCH($D43, regions[[setting]:[setting]],0), MATCH(H$1, regions[#Headers],0)),INDEX(lmic_raw[],MATCH($A43,lmic_raw[[setting]:[setting]],0), MATCH(H$1, lmic_raw[#Headers],0)))</f>
        <v>112078727</v>
      </c>
      <c r="I43" s="33">
        <f>IF(INDEX(lmic_raw[],MATCH($A43,lmic_raw[[setting]:[setting]],0), MATCH(I$1, lmic_raw[#Headers],0))=0, INDEX(regions[], MATCH($D43, regions[[setting]:[setting]],0), MATCH(I$1, regions[#Headers],0)),INDEX(lmic_raw[],MATCH($A43,lmic_raw[[setting]:[setting]],0), MATCH(I$1, lmic_raw[#Headers],0)))</f>
        <v>3650516.2171169999</v>
      </c>
      <c r="J43" s="33">
        <f>IF(INDEX(lmic_raw[],MATCH($A43,lmic_raw[[setting]:[setting]],0), MATCH(J$1, lmic_raw[#Headers],0))=0, INDEX(regions[], MATCH($D43, regions[[setting]:[setting]],0), MATCH(J$1, regions[#Headers],0)),INDEX(lmic_raw[],MATCH($A43,lmic_raw[[setting]:[setting]],0), MATCH(J$1, lmic_raw[#Headers],0)))</f>
        <v>0.47499999999999998</v>
      </c>
      <c r="K43" s="33">
        <f>IF(INDEX(lmic_raw[],MATCH($A43,lmic_raw[[setting]:[setting]],0), MATCH(K$1, lmic_raw[#Headers],0))=0, INDEX(regions[], MATCH($D43, regions[[setting]:[setting]],0), MATCH(K$1, regions[#Headers],0)),INDEX(lmic_raw[],MATCH($A43,lmic_raw[[setting]:[setting]],0), MATCH(K$1, lmic_raw[#Headers],0)))</f>
        <v>0.69252604416320784</v>
      </c>
      <c r="L43" s="33">
        <f>IF(INDEX(lmic_raw[],MATCH($A43,lmic_raw[[setting]:[setting]],0), MATCH(L$1, lmic_raw[#Headers],0))=0, INDEX(regions[], MATCH($D43, regions[[setting]:[setting]],0), MATCH(L$1, regions[#Headers],0)),INDEX(lmic_raw[],MATCH($A43,lmic_raw[[setting]:[setting]],0), MATCH(L$1, lmic_raw[#Headers],0)))</f>
        <v>0.68</v>
      </c>
      <c r="M43" s="33">
        <f>IF(INDEX(lmic_raw[],MATCH($A43,lmic_raw[[setting]:[setting]],0), MATCH(M$1, lmic_raw[#Headers],0))=0, INDEX(regions[], MATCH($D43, regions[[setting]:[setting]],0), MATCH(M$1, regions[#Headers],0)),INDEX(lmic_raw[],MATCH($A43,lmic_raw[[setting]:[setting]],0), MATCH(M$1, lmic_raw[#Headers],0)))</f>
        <v>5.6799999999999996E-2</v>
      </c>
      <c r="N43" s="33">
        <f>IF(INDEX(lmic_raw[],MATCH($A43,lmic_raw[[setting]:[setting]],0), MATCH(N$1, lmic_raw[#Headers],0))=0, INDEX(regions[], MATCH($D43, regions[[setting]:[setting]],0), MATCH(N$1, regions[#Headers],0)),INDEX(lmic_raw[],MATCH($A43,lmic_raw[[setting]:[setting]],0), MATCH(N$1, lmic_raw[#Headers],0)))</f>
        <v>0.28503182774365166</v>
      </c>
      <c r="O43" s="33">
        <f>IF(INDEX(lmic_raw[],MATCH($A43,lmic_raw[[setting]:[setting]],0), MATCH(O$1, lmic_raw[#Headers],0))=0, INDEX(regions[], MATCH($D43, regions[[setting]:[setting]],0), MATCH(O$1, regions[#Headers],0)),INDEX(lmic_raw[],MATCH($A43,lmic_raw[[setting]:[setting]],0), MATCH(O$1, lmic_raw[#Headers],0)))</f>
        <v>0.38300000000000001</v>
      </c>
      <c r="P43" s="33">
        <f>IF(INDEX(lmic_raw[],MATCH($A43,lmic_raw[[setting]:[setting]],0), MATCH(P$1, lmic_raw[#Headers],0))=0, INDEX(regions[], MATCH($D43, regions[[setting]:[setting]],0), MATCH(P$1, regions[#Headers],0)),INDEX(lmic_raw[],MATCH($A43,lmic_raw[[setting]:[setting]],0), MATCH(P$1, lmic_raw[#Headers],0)))</f>
        <v>4.8000000000000001E-2</v>
      </c>
      <c r="Q43" s="33">
        <f>IF(INDEX(lmic_raw[],MATCH($A43,lmic_raw[[setting]:[setting]],0), MATCH(Q$1, lmic_raw[#Headers],0))=0, INDEX(regions[], MATCH($D43, regions[[setting]:[setting]],0), MATCH(Q$1, regions[#Headers],0)),INDEX(lmic_raw[],MATCH($A43,lmic_raw[[setting]:[setting]],0), MATCH(Q$1, lmic_raw[#Headers],0)))</f>
        <v>2.4564903768895445</v>
      </c>
      <c r="R43" s="33">
        <f>IF(INDEX(lmic_raw[],MATCH($A43,lmic_raw[[setting]:[setting]],0), MATCH(R$1, lmic_raw[#Headers],0))=0, INDEX(regions[], MATCH($D43, regions[[setting]:[setting]],0), MATCH(R$1, regions[#Headers],0)),INDEX(lmic_raw[],MATCH($A43,lmic_raw[[setting]:[setting]],0), MATCH(R$1, lmic_raw[#Headers],0)))</f>
        <v>29.920500000000001</v>
      </c>
      <c r="S43" s="33">
        <f>IF(INDEX(lmic_raw[],MATCH($A43,lmic_raw[[setting]:[setting]],0), MATCH(S$1, lmic_raw[#Headers],0))=0, INDEX(regions[], MATCH($D43, regions[[setting]:[setting]],0), MATCH(S$1, regions[#Headers],0)),INDEX(lmic_raw[],MATCH($A43,lmic_raw[[setting]:[setting]],0), MATCH(S$1, lmic_raw[#Headers],0)))</f>
        <v>77.662500000000009</v>
      </c>
      <c r="T43" s="33">
        <f>IF(INDEX(lmic_raw[],MATCH($A43,lmic_raw[[setting]:[setting]],0), MATCH(T$1, lmic_raw[#Headers],0))=0, INDEX(regions[], MATCH($D43, regions[[setting]:[setting]],0), MATCH(T$1, regions[#Headers],0)),INDEX(lmic_raw[],MATCH($A43,lmic_raw[[setting]:[setting]],0), MATCH(T$1, lmic_raw[#Headers],0)))</f>
        <v>77.662500000000009</v>
      </c>
      <c r="U43" s="33">
        <f>IF(INDEX(lmic_raw[],MATCH($A43,lmic_raw[[setting]:[setting]],0), MATCH(U$1, lmic_raw[#Headers],0))=0, INDEX(regions[], MATCH($D43, regions[[setting]:[setting]],0), MATCH(U$1, regions[#Headers],0)),INDEX(lmic_raw[],MATCH($A43,lmic_raw[[setting]:[setting]],0), MATCH(U$1, lmic_raw[#Headers],0)))</f>
        <v>77.662500000000009</v>
      </c>
      <c r="V43" s="33">
        <f>IF(INDEX(lmic_raw[],MATCH($A43,lmic_raw[[setting]:[setting]],0), MATCH(V$1, lmic_raw[#Headers],0))=0, INDEX(regions[], MATCH($D43, regions[[setting]:[setting]],0), MATCH(V$1, regions[#Headers],0)),INDEX(lmic_raw[],MATCH($A43,lmic_raw[[setting]:[setting]],0), MATCH(V$1, lmic_raw[#Headers],0)))</f>
        <v>1.2353078544996832</v>
      </c>
      <c r="W43" s="33">
        <f>IF(INDEX(lmic_raw[],MATCH($A43,lmic_raw[[setting]:[setting]],0), MATCH(W$1, lmic_raw[#Headers],0))=0, INDEX(regions[], MATCH($D43, regions[[setting]:[setting]],0), MATCH(W$1, regions[#Headers],0)),INDEX(lmic_raw[],MATCH($A43,lmic_raw[[setting]:[setting]],0), MATCH(W$1, lmic_raw[#Headers],0)))</f>
        <v>6.0653078544996832</v>
      </c>
      <c r="X43" s="33">
        <f>IF(INDEX(lmic_raw[],MATCH($A43,lmic_raw[[setting]:[setting]],0), MATCH(X$1, lmic_raw[#Headers],0))=0, INDEX(regions[], MATCH($D43, regions[[setting]:[setting]],0), MATCH(X$1, regions[#Headers],0)),INDEX(lmic_raw[],MATCH($A43,lmic_raw[[setting]:[setting]],0), MATCH(X$1, lmic_raw[#Headers],0)))</f>
        <v>0.8099602723067475</v>
      </c>
      <c r="Y43" s="33">
        <f>IF(INDEX(lmic_raw[],MATCH($A43,lmic_raw[[setting]:[setting]],0), MATCH(Y$1, lmic_raw[#Headers],0))=0, INDEX(regions[], MATCH($D43, regions[[setting]:[setting]],0), MATCH(Y$1, regions[#Headers],0)),INDEX(lmic_raw[],MATCH($A43,lmic_raw[[setting]:[setting]],0), MATCH(Y$1, lmic_raw[#Headers],0)))</f>
        <v>5.6399602723067472</v>
      </c>
      <c r="Z43" s="33">
        <f>IF(INDEX(lmic_raw[],MATCH($A43,lmic_raw[[setting]:[setting]],0), MATCH(Z$1, lmic_raw[#Headers],0))=0, INDEX(regions[], MATCH($D43, regions[[setting]:[setting]],0), MATCH(Z$1, regions[#Headers],0)),INDEX(lmic_raw[],MATCH($A43,lmic_raw[[setting]:[setting]],0), MATCH(Z$1, lmic_raw[#Headers],0)))</f>
        <v>5.6371135795443426</v>
      </c>
      <c r="AA43" s="33">
        <f>IF(INDEX(lmic_raw[],MATCH($A43,lmic_raw[[setting]:[setting]],0), MATCH(AA$1, lmic_raw[#Headers],0))=0, INDEX(regions[], MATCH($D43, regions[[setting]:[setting]],0), MATCH(AA$1, regions[#Headers],0)),INDEX(lmic_raw[],MATCH($A43,lmic_raw[[setting]:[setting]],0), MATCH(AA$1, lmic_raw[#Headers],0)))</f>
        <v>1.4768568611064627</v>
      </c>
      <c r="AB43" s="33">
        <f>IF(INDEX(lmic_raw[],MATCH($A43,lmic_raw[[setting]:[setting]],0), MATCH(AB$1, lmic_raw[#Headers],0))=0, INDEX(regions[], MATCH($D43, regions[[setting]:[setting]],0), MATCH(AB$1, regions[#Headers],0)),INDEX(lmic_raw[],MATCH($A43,lmic_raw[[setting]:[setting]],0), MATCH(AB$1, lmic_raw[#Headers],0)))</f>
        <v>6.3068568611064624</v>
      </c>
      <c r="AC43" s="33">
        <f>IF(INDEX(lmic_raw[],MATCH($A43,lmic_raw[[setting]:[setting]],0), MATCH(AC$1, lmic_raw[#Headers],0))=0, INDEX(regions[], MATCH($D43, regions[[setting]:[setting]],0), MATCH(AC$1, regions[#Headers],0)),INDEX(lmic_raw[],MATCH($A43,lmic_raw[[setting]:[setting]],0), MATCH(AC$1, lmic_raw[#Headers],0)))</f>
        <v>3.7012740000000051E-2</v>
      </c>
      <c r="AD43" s="33">
        <f>IF(INDEX(lmic_raw[],MATCH($A43,lmic_raw[[setting]:[setting]],0), MATCH(AD$1, lmic_raw[#Headers],0))=0, INDEX(regions[], MATCH($D43, regions[[setting]:[setting]],0), MATCH(AD$1, regions[#Headers],0)),INDEX(lmic_raw[],MATCH($A43,lmic_raw[[setting]:[setting]],0), MATCH(AD$1, lmic_raw[#Headers],0)))</f>
        <v>4.6414736577096265E-3</v>
      </c>
      <c r="AE43" s="33">
        <f>IF(INDEX(lmic_raw[],MATCH($A43,lmic_raw[[setting]:[setting]],0), MATCH(AE$1, lmic_raw[#Headers],0))=0, INDEX(regions[], MATCH($D43, regions[[setting]:[setting]],0), MATCH(AE$1, regions[#Headers],0)),INDEX(lmic_raw[],MATCH($A43,lmic_raw[[setting]:[setting]],0), MATCH(AE$1, lmic_raw[#Headers],0)))</f>
        <v>1.9935509206170151E-3</v>
      </c>
      <c r="AF43" s="33">
        <f>IF(INDEX(lmic_raw[],MATCH($A43,lmic_raw[[setting]:[setting]],0), MATCH(AF$1, lmic_raw[#Headers],0))=0, INDEX(regions[], MATCH($D43, regions[[setting]:[setting]],0), MATCH(AF$1, regions[#Headers],0)),INDEX(lmic_raw[],MATCH($A43,lmic_raw[[setting]:[setting]],0), MATCH(AF$1, lmic_raw[#Headers],0)))</f>
        <v>1.5454682631205908E-3</v>
      </c>
      <c r="AG43" s="33">
        <f>IF(INDEX(lmic_raw[],MATCH($A43,lmic_raw[[setting]:[setting]],0), MATCH(AG$1, lmic_raw[#Headers],0))=0, INDEX(regions[], MATCH($D43, regions[[setting]:[setting]],0), MATCH(AG$1, regions[#Headers],0)),INDEX(lmic_raw[],MATCH($A43,lmic_raw[[setting]:[setting]],0), MATCH(AG$1, lmic_raw[#Headers],0)))</f>
        <v>1.9050779435204272E-3</v>
      </c>
      <c r="AH43" s="33">
        <f>IF(INDEX(lmic_raw[],MATCH($A43,lmic_raw[[setting]:[setting]],0), MATCH(AH$1, lmic_raw[#Headers],0))=0, INDEX(regions[], MATCH($D43, regions[[setting]:[setting]],0), MATCH(AH$1, regions[#Headers],0)),INDEX(lmic_raw[],MATCH($A43,lmic_raw[[setting]:[setting]],0), MATCH(AH$1, lmic_raw[#Headers],0)))</f>
        <v>2.3477185739406736E-3</v>
      </c>
      <c r="AI43" s="33">
        <f>IF(INDEX(lmic_raw[],MATCH($A43,lmic_raw[[setting]:[setting]],0), MATCH(AI$1, lmic_raw[#Headers],0))=0, INDEX(regions[], MATCH($D43, regions[[setting]:[setting]],0), MATCH(AI$1, regions[#Headers],0)),INDEX(lmic_raw[],MATCH($A43,lmic_raw[[setting]:[setting]],0), MATCH(AI$1, lmic_raw[#Headers],0)))</f>
        <v>2.7097529005401357E-3</v>
      </c>
      <c r="AJ43" s="33">
        <f>IF(INDEX(lmic_raw[],MATCH($A43,lmic_raw[[setting]:[setting]],0), MATCH(AJ$1, lmic_raw[#Headers],0))=0, INDEX(regions[], MATCH($D43, regions[[setting]:[setting]],0), MATCH(AJ$1, regions[#Headers],0)),INDEX(lmic_raw[],MATCH($A43,lmic_raw[[setting]:[setting]],0), MATCH(AJ$1, lmic_raw[#Headers],0)))</f>
        <v>3.4293316886060874E-3</v>
      </c>
      <c r="AK43" s="33">
        <f>IF(INDEX(lmic_raw[],MATCH($A43,lmic_raw[[setting]:[setting]],0), MATCH(AK$1, lmic_raw[#Headers],0))=0, INDEX(regions[], MATCH($D43, regions[[setting]:[setting]],0), MATCH(AK$1, regions[#Headers],0)),INDEX(lmic_raw[],MATCH($A43,lmic_raw[[setting]:[setting]],0), MATCH(AK$1, lmic_raw[#Headers],0)))</f>
        <v>4.7462675394306575E-3</v>
      </c>
      <c r="AL43" s="33">
        <f>IF(INDEX(lmic_raw[],MATCH($A43,lmic_raw[[setting]:[setting]],0), MATCH(AL$1, lmic_raw[#Headers],0))=0, INDEX(regions[], MATCH($D43, regions[[setting]:[setting]],0), MATCH(AL$1, regions[#Headers],0)),INDEX(lmic_raw[],MATCH($A43,lmic_raw[[setting]:[setting]],0), MATCH(AL$1, lmic_raw[#Headers],0)))</f>
        <v>5.7779081057784164E-3</v>
      </c>
      <c r="AM43" s="33">
        <f>IF(INDEX(lmic_raw[],MATCH($A43,lmic_raw[[setting]:[setting]],0), MATCH(AM$1, lmic_raw[#Headers],0))=0, INDEX(regions[], MATCH($D43, regions[[setting]:[setting]],0), MATCH(AM$1, regions[#Headers],0)),INDEX(lmic_raw[],MATCH($A43,lmic_raw[[setting]:[setting]],0), MATCH(AM$1, lmic_raw[#Headers],0)))</f>
        <v>6.7330993208277378E-3</v>
      </c>
      <c r="AN43" s="33">
        <f>IF(INDEX(lmic_raw[],MATCH($A43,lmic_raw[[setting]:[setting]],0), MATCH(AN$1, lmic_raw[#Headers],0))=0, INDEX(regions[], MATCH($D43, regions[[setting]:[setting]],0), MATCH(AN$1, regions[#Headers],0)),INDEX(lmic_raw[],MATCH($A43,lmic_raw[[setting]:[setting]],0), MATCH(AN$1, lmic_raw[#Headers],0)))</f>
        <v>8.631628649689525E-3</v>
      </c>
      <c r="AO43" s="33">
        <f>IF(INDEX(lmic_raw[],MATCH($A43,lmic_raw[[setting]:[setting]],0), MATCH(AO$1, lmic_raw[#Headers],0))=0, INDEX(regions[], MATCH($D43, regions[[setting]:[setting]],0), MATCH(AO$1, regions[#Headers],0)),INDEX(lmic_raw[],MATCH($A43,lmic_raw[[setting]:[setting]],0), MATCH(AO$1, lmic_raw[#Headers],0)))</f>
        <v>1.109764170343012E-2</v>
      </c>
      <c r="AP43" s="33">
        <f>IF(INDEX(lmic_raw[],MATCH($A43,lmic_raw[[setting]:[setting]],0), MATCH(AP$1, lmic_raw[#Headers],0))=0, INDEX(regions[], MATCH($D43, regions[[setting]:[setting]],0), MATCH(AP$1, regions[#Headers],0)),INDEX(lmic_raw[],MATCH($A43,lmic_raw[[setting]:[setting]],0), MATCH(AP$1, lmic_raw[#Headers],0)))</f>
        <v>1.6761832968059817E-2</v>
      </c>
      <c r="AQ43" s="33">
        <f>IF(INDEX(lmic_raw[],MATCH($A43,lmic_raw[[setting]:[setting]],0), MATCH(AQ$1, lmic_raw[#Headers],0))=0, INDEX(regions[], MATCH($D43, regions[[setting]:[setting]],0), MATCH(AQ$1, regions[#Headers],0)),INDEX(lmic_raw[],MATCH($A43,lmic_raw[[setting]:[setting]],0), MATCH(AQ$1, lmic_raw[#Headers],0)))</f>
        <v>2.5944878137743488E-2</v>
      </c>
      <c r="AR43" s="33">
        <f>IF(INDEX(lmic_raw[],MATCH($A43,lmic_raw[[setting]:[setting]],0), MATCH(AR$1, lmic_raw[#Headers],0))=0, INDEX(regions[], MATCH($D43, regions[[setting]:[setting]],0), MATCH(AR$1, regions[#Headers],0)),INDEX(lmic_raw[],MATCH($A43,lmic_raw[[setting]:[setting]],0), MATCH(AR$1, lmic_raw[#Headers],0)))</f>
        <v>4.0497096687850065E-2</v>
      </c>
      <c r="AS43" s="33">
        <f>IF(INDEX(lmic_raw[],MATCH($A43,lmic_raw[[setting]:[setting]],0), MATCH(AS$1, lmic_raw[#Headers],0))=0, INDEX(regions[], MATCH($D43, regions[[setting]:[setting]],0), MATCH(AS$1, regions[#Headers],0)),INDEX(lmic_raw[],MATCH($A43,lmic_raw[[setting]:[setting]],0), MATCH(AS$1, lmic_raw[#Headers],0)))</f>
        <v>6.2082622674679316E-2</v>
      </c>
      <c r="AT43" s="33">
        <f>IF(INDEX(lmic_raw[],MATCH($A43,lmic_raw[[setting]:[setting]],0), MATCH(AT$1, lmic_raw[#Headers],0))=0, INDEX(regions[], MATCH($D43, regions[[setting]:[setting]],0), MATCH(AT$1, regions[#Headers],0)),INDEX(lmic_raw[],MATCH($A43,lmic_raw[[setting]:[setting]],0), MATCH(AT$1, lmic_raw[#Headers],0)))</f>
        <v>9.1379287062263045E-2</v>
      </c>
      <c r="AU43" s="33">
        <f>IF(INDEX(lmic_raw[],MATCH($A43,lmic_raw[[setting]:[setting]],0), MATCH(AU$1, lmic_raw[#Headers],0))=0, INDEX(regions[], MATCH($D43, regions[[setting]:[setting]],0), MATCH(AU$1, regions[#Headers],0)),INDEX(lmic_raw[],MATCH($A43,lmic_raw[[setting]:[setting]],0), MATCH(AU$1, lmic_raw[#Headers],0)))</f>
        <v>0.12421080985599947</v>
      </c>
      <c r="AV43" s="33">
        <f>IF(INDEX(lmic_raw[],MATCH($A43,lmic_raw[[setting]:[setting]],0), MATCH(AV$1, lmic_raw[#Headers],0))=0, INDEX(regions[], MATCH($D43, regions[[setting]:[setting]],0), MATCH(AV$1, regions[#Headers],0)),INDEX(lmic_raw[],MATCH($A43,lmic_raw[[setting]:[setting]],0), MATCH(AV$1, lmic_raw[#Headers],0)))</f>
        <v>0.15312231087451061</v>
      </c>
      <c r="AW43" s="33">
        <f>IF(INDEX(lmic_raw[],MATCH($A43,lmic_raw[[setting]:[setting]],0), MATCH(AW$1, lmic_raw[#Headers],0))=0, INDEX(regions[], MATCH($D43, regions[[setting]:[setting]],0), MATCH(AW$1, regions[#Headers],0)),INDEX(lmic_raw[],MATCH($A43,lmic_raw[[setting]:[setting]],0), MATCH(AW$1, lmic_raw[#Headers],0)))</f>
        <v>0.1732068676439589</v>
      </c>
      <c r="AX43" s="33">
        <f>IF(INDEX(lmic_raw[],MATCH($A43,lmic_raw[[setting]:[setting]],0), MATCH(AX$1, lmic_raw[#Headers],0))=0, INDEX(regions[], MATCH($D43, regions[[setting]:[setting]],0), MATCH(AX$1, regions[#Headers],0)),INDEX(lmic_raw[],MATCH($A43,lmic_raw[[setting]:[setting]],0), MATCH(AX$1, lmic_raw[#Headers],0)))</f>
        <v>65.966999999999999</v>
      </c>
      <c r="AY43" s="33" t="str">
        <f>IF(VLOOKUP($A43,lmic_raw[],11,FALSE)=0, "Yes", "No")</f>
        <v>Yes</v>
      </c>
    </row>
    <row r="44" spans="1:51" x14ac:dyDescent="0.25">
      <c r="A44" s="109" t="s">
        <v>281</v>
      </c>
      <c r="B44" s="101" t="s">
        <v>424</v>
      </c>
      <c r="C44" s="102">
        <v>242</v>
      </c>
      <c r="D44" s="82" t="s">
        <v>681</v>
      </c>
      <c r="E44" s="82" t="s">
        <v>98</v>
      </c>
      <c r="F44" s="82" t="s">
        <v>666</v>
      </c>
      <c r="G44" s="82" t="s">
        <v>676</v>
      </c>
      <c r="H44" s="33">
        <f>IF(INDEX(lmic_raw[],MATCH($A44,lmic_raw[[setting]:[setting]],0), MATCH(H$1, lmic_raw[#Headers],0))=0, INDEX(regions[], MATCH($D44, regions[[setting]:[setting]],0), MATCH(H$1, regions[#Headers],0)),INDEX(lmic_raw[],MATCH($A44,lmic_raw[[setting]:[setting]],0), MATCH(H$1, lmic_raw[#Headers],0)))</f>
        <v>889955</v>
      </c>
      <c r="I44" s="33">
        <f>IF(INDEX(lmic_raw[],MATCH($A44,lmic_raw[[setting]:[setting]],0), MATCH(I$1, lmic_raw[#Headers],0))=0, INDEX(regions[], MATCH($D44, regions[[setting]:[setting]],0), MATCH(I$1, regions[#Headers],0)),INDEX(lmic_raw[],MATCH($A44,lmic_raw[[setting]:[setting]],0), MATCH(I$1, lmic_raw[#Headers],0)))</f>
        <v>19110.003714999999</v>
      </c>
      <c r="J44" s="33">
        <f>IF(INDEX(lmic_raw[],MATCH($A44,lmic_raw[[setting]:[setting]],0), MATCH(J$1, lmic_raw[#Headers],0))=0, INDEX(regions[], MATCH($D44, regions[[setting]:[setting]],0), MATCH(J$1, regions[#Headers],0)),INDEX(lmic_raw[],MATCH($A44,lmic_raw[[setting]:[setting]],0), MATCH(J$1, lmic_raw[#Headers],0)))</f>
        <v>0.98699999999999999</v>
      </c>
      <c r="K44" s="33">
        <f>IF(INDEX(lmic_raw[],MATCH($A44,lmic_raw[[setting]:[setting]],0), MATCH(K$1, lmic_raw[#Headers],0))=0, INDEX(regions[], MATCH($D44, regions[[setting]:[setting]],0), MATCH(K$1, regions[#Headers],0)),INDEX(lmic_raw[],MATCH($A44,lmic_raw[[setting]:[setting]],0), MATCH(K$1, lmic_raw[#Headers],0)))</f>
        <v>0.99</v>
      </c>
      <c r="L44" s="33">
        <f>IF(INDEX(lmic_raw[],MATCH($A44,lmic_raw[[setting]:[setting]],0), MATCH(L$1, lmic_raw[#Headers],0))=0, INDEX(regions[], MATCH($D44, regions[[setting]:[setting]],0), MATCH(L$1, regions[#Headers],0)),INDEX(lmic_raw[],MATCH($A44,lmic_raw[[setting]:[setting]],0), MATCH(L$1, lmic_raw[#Headers],0)))</f>
        <v>0.99</v>
      </c>
      <c r="M44" s="33">
        <f>IF(INDEX(lmic_raw[],MATCH($A44,lmic_raw[[setting]:[setting]],0), MATCH(M$1, lmic_raw[#Headers],0))=0, INDEX(regions[], MATCH($D44, regions[[setting]:[setting]],0), MATCH(M$1, regions[#Headers],0)),INDEX(lmic_raw[],MATCH($A44,lmic_raw[[setting]:[setting]],0), MATCH(M$1, lmic_raw[#Headers],0)))</f>
        <v>2.2200000000000001E-2</v>
      </c>
      <c r="N44" s="33">
        <f>IF(INDEX(lmic_raw[],MATCH($A44,lmic_raw[[setting]:[setting]],0), MATCH(N$1, lmic_raw[#Headers],0))=0, INDEX(regions[], MATCH($D44, regions[[setting]:[setting]],0), MATCH(N$1, regions[#Headers],0)),INDEX(lmic_raw[],MATCH($A44,lmic_raw[[setting]:[setting]],0), MATCH(N$1, lmic_raw[#Headers],0)))</f>
        <v>0.33599766658927327</v>
      </c>
      <c r="O44" s="33">
        <f>IF(INDEX(lmic_raw[],MATCH($A44,lmic_raw[[setting]:[setting]],0), MATCH(O$1, lmic_raw[#Headers],0))=0, INDEX(regions[], MATCH($D44, regions[[setting]:[setting]],0), MATCH(O$1, regions[#Headers],0)),INDEX(lmic_raw[],MATCH($A44,lmic_raw[[setting]:[setting]],0), MATCH(O$1, lmic_raw[#Headers],0)))</f>
        <v>0.8</v>
      </c>
      <c r="P44" s="33">
        <f>IF(INDEX(lmic_raw[],MATCH($A44,lmic_raw[[setting]:[setting]],0), MATCH(P$1, lmic_raw[#Headers],0))=0, INDEX(regions[], MATCH($D44, regions[[setting]:[setting]],0), MATCH(P$1, regions[#Headers],0)),INDEX(lmic_raw[],MATCH($A44,lmic_raw[[setting]:[setting]],0), MATCH(P$1, lmic_raw[#Headers],0)))</f>
        <v>0.17499999999999999</v>
      </c>
      <c r="Q44" s="33">
        <f>IF(INDEX(lmic_raw[],MATCH($A44,lmic_raw[[setting]:[setting]],0), MATCH(Q$1, lmic_raw[#Headers],0))=0, INDEX(regions[], MATCH($D44, regions[[setting]:[setting]],0), MATCH(Q$1, regions[#Headers],0)),INDEX(lmic_raw[],MATCH($A44,lmic_raw[[setting]:[setting]],0), MATCH(Q$1, lmic_raw[#Headers],0)))</f>
        <v>6.2071102267289966</v>
      </c>
      <c r="R44" s="33">
        <f>IF(INDEX(lmic_raw[],MATCH($A44,lmic_raw[[setting]:[setting]],0), MATCH(R$1, lmic_raw[#Headers],0))=0, INDEX(regions[], MATCH($D44, regions[[setting]:[setting]],0), MATCH(R$1, regions[#Headers],0)),INDEX(lmic_raw[],MATCH($A44,lmic_raw[[setting]:[setting]],0), MATCH(R$1, lmic_raw[#Headers],0)))</f>
        <v>73.084500000000006</v>
      </c>
      <c r="S44" s="33">
        <f>IF(INDEX(lmic_raw[],MATCH($A44,lmic_raw[[setting]:[setting]],0), MATCH(S$1, lmic_raw[#Headers],0))=0, INDEX(regions[], MATCH($D44, regions[[setting]:[setting]],0), MATCH(S$1, regions[#Headers],0)),INDEX(lmic_raw[],MATCH($A44,lmic_raw[[setting]:[setting]],0), MATCH(S$1, lmic_raw[#Headers],0)))</f>
        <v>120.8265</v>
      </c>
      <c r="T44" s="33">
        <f>IF(INDEX(lmic_raw[],MATCH($A44,lmic_raw[[setting]:[setting]],0), MATCH(T$1, lmic_raw[#Headers],0))=0, INDEX(regions[], MATCH($D44, regions[[setting]:[setting]],0), MATCH(T$1, regions[#Headers],0)),INDEX(lmic_raw[],MATCH($A44,lmic_raw[[setting]:[setting]],0), MATCH(T$1, lmic_raw[#Headers],0)))</f>
        <v>120.8265</v>
      </c>
      <c r="U44" s="33">
        <f>IF(INDEX(lmic_raw[],MATCH($A44,lmic_raw[[setting]:[setting]],0), MATCH(U$1, lmic_raw[#Headers],0))=0, INDEX(regions[], MATCH($D44, regions[[setting]:[setting]],0), MATCH(U$1, regions[#Headers],0)),INDEX(lmic_raw[],MATCH($A44,lmic_raw[[setting]:[setting]],0), MATCH(U$1, lmic_raw[#Headers],0)))</f>
        <v>120.8265</v>
      </c>
      <c r="V44" s="33">
        <f>IF(INDEX(lmic_raw[],MATCH($A44,lmic_raw[[setting]:[setting]],0), MATCH(V$1, lmic_raw[#Headers],0))=0, INDEX(regions[], MATCH($D44, regions[[setting]:[setting]],0), MATCH(V$1, regions[#Headers],0)),INDEX(lmic_raw[],MATCH($A44,lmic_raw[[setting]:[setting]],0), MATCH(V$1, lmic_raw[#Headers],0)))</f>
        <v>9.7028591736332643</v>
      </c>
      <c r="W44" s="33">
        <f>IF(INDEX(lmic_raw[],MATCH($A44,lmic_raw[[setting]:[setting]],0), MATCH(W$1, lmic_raw[#Headers],0))=0, INDEX(regions[], MATCH($D44, regions[[setting]:[setting]],0), MATCH(W$1, regions[#Headers],0)),INDEX(lmic_raw[],MATCH($A44,lmic_raw[[setting]:[setting]],0), MATCH(W$1, lmic_raw[#Headers],0)))</f>
        <v>10.332859173633265</v>
      </c>
      <c r="X44" s="33">
        <f>IF(INDEX(lmic_raw[],MATCH($A44,lmic_raw[[setting]:[setting]],0), MATCH(X$1, lmic_raw[#Headers],0))=0, INDEX(regions[], MATCH($D44, regions[[setting]:[setting]],0), MATCH(X$1, regions[#Headers],0)),INDEX(lmic_raw[],MATCH($A44,lmic_raw[[setting]:[setting]],0), MATCH(X$1, lmic_raw[#Headers],0)))</f>
        <v>9.2660707677027485</v>
      </c>
      <c r="Y44" s="33">
        <f>IF(INDEX(lmic_raw[],MATCH($A44,lmic_raw[[setting]:[setting]],0), MATCH(Y$1, lmic_raw[#Headers],0))=0, INDEX(regions[], MATCH($D44, regions[[setting]:[setting]],0), MATCH(Y$1, regions[#Headers],0)),INDEX(lmic_raw[],MATCH($A44,lmic_raw[[setting]:[setting]],0), MATCH(Y$1, lmic_raw[#Headers],0)))</f>
        <v>9.8960707677027493</v>
      </c>
      <c r="Z44" s="33">
        <f>IF(INDEX(lmic_raw[],MATCH($A44,lmic_raw[[setting]:[setting]],0), MATCH(Z$1, lmic_raw[#Headers],0))=0, INDEX(regions[], MATCH($D44, regions[[setting]:[setting]],0), MATCH(Z$1, regions[#Headers],0)),INDEX(lmic_raw[],MATCH($A44,lmic_raw[[setting]:[setting]],0), MATCH(Z$1, lmic_raw[#Headers],0)))</f>
        <v>9.8888163241599987</v>
      </c>
      <c r="AA44" s="33">
        <f>IF(INDEX(lmic_raw[],MATCH($A44,lmic_raw[[setting]:[setting]],0), MATCH(AA$1, lmic_raw[#Headers],0))=0, INDEX(regions[], MATCH($D44, regions[[setting]:[setting]],0), MATCH(AA$1, regions[#Headers],0)),INDEX(lmic_raw[],MATCH($A44,lmic_raw[[setting]:[setting]],0), MATCH(AA$1, lmic_raw[#Headers],0)))</f>
        <v>9.9485321980989383</v>
      </c>
      <c r="AB44" s="33">
        <f>IF(INDEX(lmic_raw[],MATCH($A44,lmic_raw[[setting]:[setting]],0), MATCH(AB$1, lmic_raw[#Headers],0))=0, INDEX(regions[], MATCH($D44, regions[[setting]:[setting]],0), MATCH(AB$1, regions[#Headers],0)),INDEX(lmic_raw[],MATCH($A44,lmic_raw[[setting]:[setting]],0), MATCH(AB$1, lmic_raw[#Headers],0)))</f>
        <v>10.578532198098939</v>
      </c>
      <c r="AC44" s="33">
        <f>IF(INDEX(lmic_raw[],MATCH($A44,lmic_raw[[setting]:[setting]],0), MATCH(AC$1, lmic_raw[#Headers],0))=0, INDEX(regions[], MATCH($D44, regions[[setting]:[setting]],0), MATCH(AC$1, regions[#Headers],0)),INDEX(lmic_raw[],MATCH($A44,lmic_raw[[setting]:[setting]],0), MATCH(AC$1, lmic_raw[#Headers],0)))</f>
        <v>2.0327489999999962E-2</v>
      </c>
      <c r="AD44" s="33">
        <f>IF(INDEX(lmic_raw[],MATCH($A44,lmic_raw[[setting]:[setting]],0), MATCH(AD$1, lmic_raw[#Headers],0))=0, INDEX(regions[], MATCH($D44, regions[[setting]:[setting]],0), MATCH(AD$1, regions[#Headers],0)),INDEX(lmic_raw[],MATCH($A44,lmic_raw[[setting]:[setting]],0), MATCH(AD$1, lmic_raw[#Headers],0)))</f>
        <v>1.0965807339025986E-3</v>
      </c>
      <c r="AE44" s="33">
        <f>IF(INDEX(lmic_raw[],MATCH($A44,lmic_raw[[setting]:[setting]],0), MATCH(AE$1, lmic_raw[#Headers],0))=0, INDEX(regions[], MATCH($D44, regions[[setting]:[setting]],0), MATCH(AE$1, regions[#Headers],0)),INDEX(lmic_raw[],MATCH($A44,lmic_raw[[setting]:[setting]],0), MATCH(AE$1, lmic_raw[#Headers],0)))</f>
        <v>7.2825092411859626E-4</v>
      </c>
      <c r="AF44" s="33">
        <f>IF(INDEX(lmic_raw[],MATCH($A44,lmic_raw[[setting]:[setting]],0), MATCH(AF$1, lmic_raw[#Headers],0))=0, INDEX(regions[], MATCH($D44, regions[[setting]:[setting]],0), MATCH(AF$1, regions[#Headers],0)),INDEX(lmic_raw[],MATCH($A44,lmic_raw[[setting]:[setting]],0), MATCH(AF$1, lmic_raw[#Headers],0)))</f>
        <v>6.7875887290512428E-4</v>
      </c>
      <c r="AG44" s="33">
        <f>IF(INDEX(lmic_raw[],MATCH($A44,lmic_raw[[setting]:[setting]],0), MATCH(AG$1, lmic_raw[#Headers],0))=0, INDEX(regions[], MATCH($D44, regions[[setting]:[setting]],0), MATCH(AG$1, regions[#Headers],0)),INDEX(lmic_raw[],MATCH($A44,lmic_raw[[setting]:[setting]],0), MATCH(AG$1, lmic_raw[#Headers],0)))</f>
        <v>1.5185453179404377E-3</v>
      </c>
      <c r="AH44" s="33">
        <f>IF(INDEX(lmic_raw[],MATCH($A44,lmic_raw[[setting]:[setting]],0), MATCH(AH$1, lmic_raw[#Headers],0))=0, INDEX(regions[], MATCH($D44, regions[[setting]:[setting]],0), MATCH(AH$1, regions[#Headers],0)),INDEX(lmic_raw[],MATCH($A44,lmic_raw[[setting]:[setting]],0), MATCH(AH$1, lmic_raw[#Headers],0)))</f>
        <v>2.1563365818124533E-3</v>
      </c>
      <c r="AI44" s="33">
        <f>IF(INDEX(lmic_raw[],MATCH($A44,lmic_raw[[setting]:[setting]],0), MATCH(AI$1, lmic_raw[#Headers],0))=0, INDEX(regions[], MATCH($D44, regions[[setting]:[setting]],0), MATCH(AI$1, regions[#Headers],0)),INDEX(lmic_raw[],MATCH($A44,lmic_raw[[setting]:[setting]],0), MATCH(AI$1, lmic_raw[#Headers],0)))</f>
        <v>2.3915281641432853E-3</v>
      </c>
      <c r="AJ44" s="33">
        <f>IF(INDEX(lmic_raw[],MATCH($A44,lmic_raw[[setting]:[setting]],0), MATCH(AJ$1, lmic_raw[#Headers],0))=0, INDEX(regions[], MATCH($D44, regions[[setting]:[setting]],0), MATCH(AJ$1, regions[#Headers],0)),INDEX(lmic_raw[],MATCH($A44,lmic_raw[[setting]:[setting]],0), MATCH(AJ$1, lmic_raw[#Headers],0)))</f>
        <v>2.8039936499999326E-3</v>
      </c>
      <c r="AK44" s="33">
        <f>IF(INDEX(lmic_raw[],MATCH($A44,lmic_raw[[setting]:[setting]],0), MATCH(AK$1, lmic_raw[#Headers],0))=0, INDEX(regions[], MATCH($D44, regions[[setting]:[setting]],0), MATCH(AK$1, regions[#Headers],0)),INDEX(lmic_raw[],MATCH($A44,lmic_raw[[setting]:[setting]],0), MATCH(AK$1, lmic_raw[#Headers],0)))</f>
        <v>3.5914512687979555E-3</v>
      </c>
      <c r="AL44" s="33">
        <f>IF(INDEX(lmic_raw[],MATCH($A44,lmic_raw[[setting]:[setting]],0), MATCH(AL$1, lmic_raw[#Headers],0))=0, INDEX(regions[], MATCH($D44, regions[[setting]:[setting]],0), MATCH(AL$1, regions[#Headers],0)),INDEX(lmic_raw[],MATCH($A44,lmic_raw[[setting]:[setting]],0), MATCH(AL$1, lmic_raw[#Headers],0)))</f>
        <v>4.8388408359874143E-3</v>
      </c>
      <c r="AM44" s="33">
        <f>IF(INDEX(lmic_raw[],MATCH($A44,lmic_raw[[setting]:[setting]],0), MATCH(AM$1, lmic_raw[#Headers],0))=0, INDEX(regions[], MATCH($D44, regions[[setting]:[setting]],0), MATCH(AM$1, regions[#Headers],0)),INDEX(lmic_raw[],MATCH($A44,lmic_raw[[setting]:[setting]],0), MATCH(AM$1, lmic_raw[#Headers],0)))</f>
        <v>6.8665980996010702E-3</v>
      </c>
      <c r="AN44" s="33">
        <f>IF(INDEX(lmic_raw[],MATCH($A44,lmic_raw[[setting]:[setting]],0), MATCH(AN$1, lmic_raw[#Headers],0))=0, INDEX(regions[], MATCH($D44, regions[[setting]:[setting]],0), MATCH(AN$1, regions[#Headers],0)),INDEX(lmic_raw[],MATCH($A44,lmic_raw[[setting]:[setting]],0), MATCH(AN$1, lmic_raw[#Headers],0)))</f>
        <v>9.9144025039840707E-3</v>
      </c>
      <c r="AO44" s="33">
        <f>IF(INDEX(lmic_raw[],MATCH($A44,lmic_raw[[setting]:[setting]],0), MATCH(AO$1, lmic_raw[#Headers],0))=0, INDEX(regions[], MATCH($D44, regions[[setting]:[setting]],0), MATCH(AO$1, regions[#Headers],0)),INDEX(lmic_raw[],MATCH($A44,lmic_raw[[setting]:[setting]],0), MATCH(AO$1, lmic_raw[#Headers],0)))</f>
        <v>1.4400169866841899E-2</v>
      </c>
      <c r="AP44" s="33">
        <f>IF(INDEX(lmic_raw[],MATCH($A44,lmic_raw[[setting]:[setting]],0), MATCH(AP$1, lmic_raw[#Headers],0))=0, INDEX(regions[], MATCH($D44, regions[[setting]:[setting]],0), MATCH(AP$1, regions[#Headers],0)),INDEX(lmic_raw[],MATCH($A44,lmic_raw[[setting]:[setting]],0), MATCH(AP$1, lmic_raw[#Headers],0)))</f>
        <v>2.2381014757687345E-2</v>
      </c>
      <c r="AQ44" s="33">
        <f>IF(INDEX(lmic_raw[],MATCH($A44,lmic_raw[[setting]:[setting]],0), MATCH(AQ$1, lmic_raw[#Headers],0))=0, INDEX(regions[], MATCH($D44, regions[[setting]:[setting]],0), MATCH(AQ$1, regions[#Headers],0)),INDEX(lmic_raw[],MATCH($A44,lmic_raw[[setting]:[setting]],0), MATCH(AQ$1, lmic_raw[#Headers],0)))</f>
        <v>3.4740935896048833E-2</v>
      </c>
      <c r="AR44" s="33">
        <f>IF(INDEX(lmic_raw[],MATCH($A44,lmic_raw[[setting]:[setting]],0), MATCH(AR$1, lmic_raw[#Headers],0))=0, INDEX(regions[], MATCH($D44, regions[[setting]:[setting]],0), MATCH(AR$1, regions[#Headers],0)),INDEX(lmic_raw[],MATCH($A44,lmic_raw[[setting]:[setting]],0), MATCH(AR$1, lmic_raw[#Headers],0)))</f>
        <v>5.2248719569785697E-2</v>
      </c>
      <c r="AS44" s="33">
        <f>IF(INDEX(lmic_raw[],MATCH($A44,lmic_raw[[setting]:[setting]],0), MATCH(AS$1, lmic_raw[#Headers],0))=0, INDEX(regions[], MATCH($D44, regions[[setting]:[setting]],0), MATCH(AS$1, regions[#Headers],0)),INDEX(lmic_raw[],MATCH($A44,lmic_raw[[setting]:[setting]],0), MATCH(AS$1, lmic_raw[#Headers],0)))</f>
        <v>7.6233131228191808E-2</v>
      </c>
      <c r="AT44" s="33">
        <f>IF(INDEX(lmic_raw[],MATCH($A44,lmic_raw[[setting]:[setting]],0), MATCH(AT$1, lmic_raw[#Headers],0))=0, INDEX(regions[], MATCH($D44, regions[[setting]:[setting]],0), MATCH(AT$1, regions[#Headers],0)),INDEX(lmic_raw[],MATCH($A44,lmic_raw[[setting]:[setting]],0), MATCH(AT$1, lmic_raw[#Headers],0)))</f>
        <v>0.1074735981205143</v>
      </c>
      <c r="AU44" s="33">
        <f>IF(INDEX(lmic_raw[],MATCH($A44,lmic_raw[[setting]:[setting]],0), MATCH(AU$1, lmic_raw[#Headers],0))=0, INDEX(regions[], MATCH($D44, regions[[setting]:[setting]],0), MATCH(AU$1, regions[#Headers],0)),INDEX(lmic_raw[],MATCH($A44,lmic_raw[[setting]:[setting]],0), MATCH(AU$1, lmic_raw[#Headers],0)))</f>
        <v>0.14106182345401735</v>
      </c>
      <c r="AV44" s="33">
        <f>IF(INDEX(lmic_raw[],MATCH($A44,lmic_raw[[setting]:[setting]],0), MATCH(AV$1, lmic_raw[#Headers],0))=0, INDEX(regions[], MATCH($D44, regions[[setting]:[setting]],0), MATCH(AV$1, regions[#Headers],0)),INDEX(lmic_raw[],MATCH($A44,lmic_raw[[setting]:[setting]],0), MATCH(AV$1, lmic_raw[#Headers],0)))</f>
        <v>0.16739284900489815</v>
      </c>
      <c r="AW44" s="33">
        <f>IF(INDEX(lmic_raw[],MATCH($A44,lmic_raw[[setting]:[setting]],0), MATCH(AW$1, lmic_raw[#Headers],0))=0, INDEX(regions[], MATCH($D44, regions[[setting]:[setting]],0), MATCH(AW$1, regions[#Headers],0)),INDEX(lmic_raw[],MATCH($A44,lmic_raw[[setting]:[setting]],0), MATCH(AW$1, lmic_raw[#Headers],0)))</f>
        <v>0.18357140929969654</v>
      </c>
      <c r="AX44" s="33">
        <f>IF(INDEX(lmic_raw[],MATCH($A44,lmic_raw[[setting]:[setting]],0), MATCH(AX$1, lmic_raw[#Headers],0))=0, INDEX(regions[], MATCH($D44, regions[[setting]:[setting]],0), MATCH(AX$1, regions[#Headers],0)),INDEX(lmic_raw[],MATCH($A44,lmic_raw[[setting]:[setting]],0), MATCH(AX$1, lmic_raw[#Headers],0)))</f>
        <v>67.272999999999996</v>
      </c>
      <c r="AY44" s="33" t="str">
        <f>IF(VLOOKUP($A44,lmic_raw[],11,FALSE)=0, "Yes", "No")</f>
        <v>No</v>
      </c>
    </row>
    <row r="45" spans="1:51" x14ac:dyDescent="0.25">
      <c r="A45" s="110" t="s">
        <v>129</v>
      </c>
      <c r="B45" s="104" t="s">
        <v>427</v>
      </c>
      <c r="C45" s="105">
        <v>266</v>
      </c>
      <c r="D45" s="84" t="s">
        <v>677</v>
      </c>
      <c r="E45" s="84" t="s">
        <v>582</v>
      </c>
      <c r="F45" s="84" t="s">
        <v>667</v>
      </c>
      <c r="G45" s="84" t="s">
        <v>676</v>
      </c>
      <c r="H45" s="33">
        <f>IF(INDEX(lmic_raw[],MATCH($A45,lmic_raw[[setting]:[setting]],0), MATCH(H$1, lmic_raw[#Headers],0))=0, INDEX(regions[], MATCH($D45, regions[[setting]:[setting]],0), MATCH(H$1, regions[#Headers],0)),INDEX(lmic_raw[],MATCH($A45,lmic_raw[[setting]:[setting]],0), MATCH(H$1, lmic_raw[#Headers],0)))</f>
        <v>2172578</v>
      </c>
      <c r="I45" s="33">
        <f>IF(INDEX(lmic_raw[],MATCH($A45,lmic_raw[[setting]:[setting]],0), MATCH(I$1, lmic_raw[#Headers],0))=0, INDEX(regions[], MATCH($D45, regions[[setting]:[setting]],0), MATCH(I$1, regions[#Headers],0)),INDEX(lmic_raw[],MATCH($A45,lmic_raw[[setting]:[setting]],0), MATCH(I$1, lmic_raw[#Headers],0)))</f>
        <v>69513.805687999993</v>
      </c>
      <c r="J45" s="33">
        <f>IF(INDEX(lmic_raw[],MATCH($A45,lmic_raw[[setting]:[setting]],0), MATCH(J$1, lmic_raw[#Headers],0))=0, INDEX(regions[], MATCH($D45, regions[[setting]:[setting]],0), MATCH(J$1, regions[#Headers],0)),INDEX(lmic_raw[],MATCH($A45,lmic_raw[[setting]:[setting]],0), MATCH(J$1, lmic_raw[#Headers],0)))</f>
        <v>0.90200000000000002</v>
      </c>
      <c r="K45" s="33">
        <f>IF(INDEX(lmic_raw[],MATCH($A45,lmic_raw[[setting]:[setting]],0), MATCH(K$1, lmic_raw[#Headers],0))=0, INDEX(regions[], MATCH($D45, regions[[setting]:[setting]],0), MATCH(K$1, regions[#Headers],0)),INDEX(lmic_raw[],MATCH($A45,lmic_raw[[setting]:[setting]],0), MATCH(K$1, lmic_raw[#Headers],0)))</f>
        <v>0.69252604416320784</v>
      </c>
      <c r="L45" s="33">
        <f>IF(INDEX(lmic_raw[],MATCH($A45,lmic_raw[[setting]:[setting]],0), MATCH(L$1, lmic_raw[#Headers],0))=0, INDEX(regions[], MATCH($D45, regions[[setting]:[setting]],0), MATCH(L$1, regions[#Headers],0)),INDEX(lmic_raw[],MATCH($A45,lmic_raw[[setting]:[setting]],0), MATCH(L$1, lmic_raw[#Headers],0)))</f>
        <v>0.7</v>
      </c>
      <c r="M45" s="33">
        <f>IF(INDEX(lmic_raw[],MATCH($A45,lmic_raw[[setting]:[setting]],0), MATCH(M$1, lmic_raw[#Headers],0))=0, INDEX(regions[], MATCH($D45, regions[[setting]:[setting]],0), MATCH(M$1, regions[#Headers],0)),INDEX(lmic_raw[],MATCH($A45,lmic_raw[[setting]:[setting]],0), MATCH(M$1, lmic_raw[#Headers],0)))</f>
        <v>9.1300000000000006E-2</v>
      </c>
      <c r="N45" s="33">
        <f>IF(INDEX(lmic_raw[],MATCH($A45,lmic_raw[[setting]:[setting]],0), MATCH(N$1, lmic_raw[#Headers],0))=0, INDEX(regions[], MATCH($D45, regions[[setting]:[setting]],0), MATCH(N$1, regions[#Headers],0)),INDEX(lmic_raw[],MATCH($A45,lmic_raw[[setting]:[setting]],0), MATCH(N$1, lmic_raw[#Headers],0)))</f>
        <v>0.28132112561296718</v>
      </c>
      <c r="O45" s="33">
        <f>IF(INDEX(lmic_raw[],MATCH($A45,lmic_raw[[setting]:[setting]],0), MATCH(O$1, lmic_raw[#Headers],0))=0, INDEX(regions[], MATCH($D45, regions[[setting]:[setting]],0), MATCH(O$1, regions[#Headers],0)),INDEX(lmic_raw[],MATCH($A45,lmic_raw[[setting]:[setting]],0), MATCH(O$1, lmic_raw[#Headers],0)))</f>
        <v>0.38300000000000001</v>
      </c>
      <c r="P45" s="33">
        <f>IF(INDEX(lmic_raw[],MATCH($A45,lmic_raw[[setting]:[setting]],0), MATCH(P$1, lmic_raw[#Headers],0))=0, INDEX(regions[], MATCH($D45, regions[[setting]:[setting]],0), MATCH(P$1, regions[#Headers],0)),INDEX(lmic_raw[],MATCH($A45,lmic_raw[[setting]:[setting]],0), MATCH(P$1, lmic_raw[#Headers],0)))</f>
        <v>4.8000000000000001E-2</v>
      </c>
      <c r="Q45" s="33">
        <f>IF(INDEX(lmic_raw[],MATCH($A45,lmic_raw[[setting]:[setting]],0), MATCH(Q$1, lmic_raw[#Headers],0))=0, INDEX(regions[], MATCH($D45, regions[[setting]:[setting]],0), MATCH(Q$1, regions[#Headers],0)),INDEX(lmic_raw[],MATCH($A45,lmic_raw[[setting]:[setting]],0), MATCH(Q$1, lmic_raw[#Headers],0)))</f>
        <v>14.634135838710044</v>
      </c>
      <c r="R45" s="33">
        <f>IF(INDEX(lmic_raw[],MATCH($A45,lmic_raw[[setting]:[setting]],0), MATCH(R$1, lmic_raw[#Headers],0))=0, INDEX(regions[], MATCH($D45, regions[[setting]:[setting]],0), MATCH(R$1, regions[#Headers],0)),INDEX(lmic_raw[],MATCH($A45,lmic_raw[[setting]:[setting]],0), MATCH(R$1, lmic_raw[#Headers],0)))</f>
        <v>29.920500000000001</v>
      </c>
      <c r="S45" s="33">
        <f>IF(INDEX(lmic_raw[],MATCH($A45,lmic_raw[[setting]:[setting]],0), MATCH(S$1, lmic_raw[#Headers],0))=0, INDEX(regions[], MATCH($D45, regions[[setting]:[setting]],0), MATCH(S$1, regions[#Headers],0)),INDEX(lmic_raw[],MATCH($A45,lmic_raw[[setting]:[setting]],0), MATCH(S$1, lmic_raw[#Headers],0)))</f>
        <v>77.662500000000009</v>
      </c>
      <c r="T45" s="33">
        <f>IF(INDEX(lmic_raw[],MATCH($A45,lmic_raw[[setting]:[setting]],0), MATCH(T$1, lmic_raw[#Headers],0))=0, INDEX(regions[], MATCH($D45, regions[[setting]:[setting]],0), MATCH(T$1, regions[#Headers],0)),INDEX(lmic_raw[],MATCH($A45,lmic_raw[[setting]:[setting]],0), MATCH(T$1, lmic_raw[#Headers],0)))</f>
        <v>77.662500000000009</v>
      </c>
      <c r="U45" s="33">
        <f>IF(INDEX(lmic_raw[],MATCH($A45,lmic_raw[[setting]:[setting]],0), MATCH(U$1, lmic_raw[#Headers],0))=0, INDEX(regions[], MATCH($D45, regions[[setting]:[setting]],0), MATCH(U$1, regions[#Headers],0)),INDEX(lmic_raw[],MATCH($A45,lmic_raw[[setting]:[setting]],0), MATCH(U$1, lmic_raw[#Headers],0)))</f>
        <v>77.662500000000009</v>
      </c>
      <c r="V45" s="33">
        <f>IF(INDEX(lmic_raw[],MATCH($A45,lmic_raw[[setting]:[setting]],0), MATCH(V$1, lmic_raw[#Headers],0))=0, INDEX(regions[], MATCH($D45, regions[[setting]:[setting]],0), MATCH(V$1, regions[#Headers],0)),INDEX(lmic_raw[],MATCH($A45,lmic_raw[[setting]:[setting]],0), MATCH(V$1, lmic_raw[#Headers],0)))</f>
        <v>3.8408677667676834</v>
      </c>
      <c r="W45" s="33">
        <f>IF(INDEX(lmic_raw[],MATCH($A45,lmic_raw[[setting]:[setting]],0), MATCH(W$1, lmic_raw[#Headers],0))=0, INDEX(regions[], MATCH($D45, regions[[setting]:[setting]],0), MATCH(W$1, regions[#Headers],0)),INDEX(lmic_raw[],MATCH($A45,lmic_raw[[setting]:[setting]],0), MATCH(W$1, lmic_raw[#Headers],0)))</f>
        <v>8.6708677667676834</v>
      </c>
      <c r="X45" s="33">
        <f>IF(INDEX(lmic_raw[],MATCH($A45,lmic_raw[[setting]:[setting]],0), MATCH(X$1, lmic_raw[#Headers],0))=0, INDEX(regions[], MATCH($D45, regions[[setting]:[setting]],0), MATCH(X$1, regions[#Headers],0)),INDEX(lmic_raw[],MATCH($A45,lmic_raw[[setting]:[setting]],0), MATCH(X$1, lmic_raw[#Headers],0)))</f>
        <v>3.3992970212719822</v>
      </c>
      <c r="Y45" s="33">
        <f>IF(INDEX(lmic_raw[],MATCH($A45,lmic_raw[[setting]:[setting]],0), MATCH(Y$1, lmic_raw[#Headers],0))=0, INDEX(regions[], MATCH($D45, regions[[setting]:[setting]],0), MATCH(Y$1, regions[#Headers],0)),INDEX(lmic_raw[],MATCH($A45,lmic_raw[[setting]:[setting]],0), MATCH(Y$1, lmic_raw[#Headers],0)))</f>
        <v>8.2292970212719823</v>
      </c>
      <c r="Z45" s="33">
        <f>IF(INDEX(lmic_raw[],MATCH($A45,lmic_raw[[setting]:[setting]],0), MATCH(Z$1, lmic_raw[#Headers],0))=0, INDEX(regions[], MATCH($D45, regions[[setting]:[setting]],0), MATCH(Z$1, regions[#Headers],0)),INDEX(lmic_raw[],MATCH($A45,lmic_raw[[setting]:[setting]],0), MATCH(Z$1, lmic_raw[#Headers],0)))</f>
        <v>8.2202422982153625</v>
      </c>
      <c r="AA45" s="33">
        <f>IF(INDEX(lmic_raw[],MATCH($A45,lmic_raw[[setting]:[setting]],0), MATCH(AA$1, lmic_raw[#Headers],0))=0, INDEX(regions[], MATCH($D45, regions[[setting]:[setting]],0), MATCH(AA$1, regions[#Headers],0)),INDEX(lmic_raw[],MATCH($A45,lmic_raw[[setting]:[setting]],0), MATCH(AA$1, lmic_raw[#Headers],0)))</f>
        <v>4.0882646578208082</v>
      </c>
      <c r="AB45" s="33">
        <f>IF(INDEX(lmic_raw[],MATCH($A45,lmic_raw[[setting]:[setting]],0), MATCH(AB$1, lmic_raw[#Headers],0))=0, INDEX(regions[], MATCH($D45, regions[[setting]:[setting]],0), MATCH(AB$1, regions[#Headers],0)),INDEX(lmic_raw[],MATCH($A45,lmic_raw[[setting]:[setting]],0), MATCH(AB$1, lmic_raw[#Headers],0)))</f>
        <v>8.9182646578208082</v>
      </c>
      <c r="AC45" s="33">
        <f>IF(INDEX(lmic_raw[],MATCH($A45,lmic_raw[[setting]:[setting]],0), MATCH(AC$1, lmic_raw[#Headers],0))=0, INDEX(regions[], MATCH($D45, regions[[setting]:[setting]],0), MATCH(AC$1, regions[#Headers],0)),INDEX(lmic_raw[],MATCH($A45,lmic_raw[[setting]:[setting]],0), MATCH(AC$1, lmic_raw[#Headers],0)))</f>
        <v>3.5289049999999988E-2</v>
      </c>
      <c r="AD45" s="33">
        <f>IF(INDEX(lmic_raw[],MATCH($A45,lmic_raw[[setting]:[setting]],0), MATCH(AD$1, lmic_raw[#Headers],0))=0, INDEX(regions[], MATCH($D45, regions[[setting]:[setting]],0), MATCH(AD$1, regions[#Headers],0)),INDEX(lmic_raw[],MATCH($A45,lmic_raw[[setting]:[setting]],0), MATCH(AD$1, lmic_raw[#Headers],0)))</f>
        <v>3.2822266607422609E-3</v>
      </c>
      <c r="AE45" s="33">
        <f>IF(INDEX(lmic_raw[],MATCH($A45,lmic_raw[[setting]:[setting]],0), MATCH(AE$1, lmic_raw[#Headers],0))=0, INDEX(regions[], MATCH($D45, regions[[setting]:[setting]],0), MATCH(AE$1, regions[#Headers],0)),INDEX(lmic_raw[],MATCH($A45,lmic_raw[[setting]:[setting]],0), MATCH(AE$1, lmic_raw[#Headers],0)))</f>
        <v>1.4246611256491133E-3</v>
      </c>
      <c r="AF45" s="33">
        <f>IF(INDEX(lmic_raw[],MATCH($A45,lmic_raw[[setting]:[setting]],0), MATCH(AF$1, lmic_raw[#Headers],0))=0, INDEX(regions[], MATCH($D45, regions[[setting]:[setting]],0), MATCH(AF$1, regions[#Headers],0)),INDEX(lmic_raw[],MATCH($A45,lmic_raw[[setting]:[setting]],0), MATCH(AF$1, lmic_raw[#Headers],0)))</f>
        <v>1.0168697486343512E-3</v>
      </c>
      <c r="AG45" s="33">
        <f>IF(INDEX(lmic_raw[],MATCH($A45,lmic_raw[[setting]:[setting]],0), MATCH(AG$1, lmic_raw[#Headers],0))=0, INDEX(regions[], MATCH($D45, regions[[setting]:[setting]],0), MATCH(AG$1, regions[#Headers],0)),INDEX(lmic_raw[],MATCH($A45,lmic_raw[[setting]:[setting]],0), MATCH(AG$1, lmic_raw[#Headers],0)))</f>
        <v>1.6831402253875375E-3</v>
      </c>
      <c r="AH45" s="33">
        <f>IF(INDEX(lmic_raw[],MATCH($A45,lmic_raw[[setting]:[setting]],0), MATCH(AH$1, lmic_raw[#Headers],0))=0, INDEX(regions[], MATCH($D45, regions[[setting]:[setting]],0), MATCH(AH$1, regions[#Headers],0)),INDEX(lmic_raw[],MATCH($A45,lmic_raw[[setting]:[setting]],0), MATCH(AH$1, lmic_raw[#Headers],0)))</f>
        <v>2.4521700865733679E-3</v>
      </c>
      <c r="AI45" s="33">
        <f>IF(INDEX(lmic_raw[],MATCH($A45,lmic_raw[[setting]:[setting]],0), MATCH(AI$1, lmic_raw[#Headers],0))=0, INDEX(regions[], MATCH($D45, regions[[setting]:[setting]],0), MATCH(AI$1, regions[#Headers],0)),INDEX(lmic_raw[],MATCH($A45,lmic_raw[[setting]:[setting]],0), MATCH(AI$1, lmic_raw[#Headers],0)))</f>
        <v>2.8030899832170719E-3</v>
      </c>
      <c r="AJ45" s="33">
        <f>IF(INDEX(lmic_raw[],MATCH($A45,lmic_raw[[setting]:[setting]],0), MATCH(AJ$1, lmic_raw[#Headers],0))=0, INDEX(regions[], MATCH($D45, regions[[setting]:[setting]],0), MATCH(AJ$1, regions[#Headers],0)),INDEX(lmic_raw[],MATCH($A45,lmic_raw[[setting]:[setting]],0), MATCH(AJ$1, lmic_raw[#Headers],0)))</f>
        <v>3.2615302728932773E-3</v>
      </c>
      <c r="AK45" s="33">
        <f>IF(INDEX(lmic_raw[],MATCH($A45,lmic_raw[[setting]:[setting]],0), MATCH(AK$1, lmic_raw[#Headers],0))=0, INDEX(regions[], MATCH($D45, regions[[setting]:[setting]],0), MATCH(AK$1, regions[#Headers],0)),INDEX(lmic_raw[],MATCH($A45,lmic_raw[[setting]:[setting]],0), MATCH(AK$1, lmic_raw[#Headers],0)))</f>
        <v>3.9674325463094733E-3</v>
      </c>
      <c r="AL45" s="33">
        <f>IF(INDEX(lmic_raw[],MATCH($A45,lmic_raw[[setting]:[setting]],0), MATCH(AL$1, lmic_raw[#Headers],0))=0, INDEX(regions[], MATCH($D45, regions[[setting]:[setting]],0), MATCH(AL$1, regions[#Headers],0)),INDEX(lmic_raw[],MATCH($A45,lmic_raw[[setting]:[setting]],0), MATCH(AL$1, lmic_raw[#Headers],0)))</f>
        <v>5.0423508811659017E-3</v>
      </c>
      <c r="AM45" s="33">
        <f>IF(INDEX(lmic_raw[],MATCH($A45,lmic_raw[[setting]:[setting]],0), MATCH(AM$1, lmic_raw[#Headers],0))=0, INDEX(regions[], MATCH($D45, regions[[setting]:[setting]],0), MATCH(AM$1, regions[#Headers],0)),INDEX(lmic_raw[],MATCH($A45,lmic_raw[[setting]:[setting]],0), MATCH(AM$1, lmic_raw[#Headers],0)))</f>
        <v>6.4192521777389194E-3</v>
      </c>
      <c r="AN45" s="33">
        <f>IF(INDEX(lmic_raw[],MATCH($A45,lmic_raw[[setting]:[setting]],0), MATCH(AN$1, lmic_raw[#Headers],0))=0, INDEX(regions[], MATCH($D45, regions[[setting]:[setting]],0), MATCH(AN$1, regions[#Headers],0)),INDEX(lmic_raw[],MATCH($A45,lmic_raw[[setting]:[setting]],0), MATCH(AN$1, lmic_raw[#Headers],0)))</f>
        <v>9.1931682307958215E-3</v>
      </c>
      <c r="AO45" s="33">
        <f>IF(INDEX(lmic_raw[],MATCH($A45,lmic_raw[[setting]:[setting]],0), MATCH(AO$1, lmic_raw[#Headers],0))=0, INDEX(regions[], MATCH($D45, regions[[setting]:[setting]],0), MATCH(AO$1, regions[#Headers],0)),INDEX(lmic_raw[],MATCH($A45,lmic_raw[[setting]:[setting]],0), MATCH(AO$1, lmic_raw[#Headers],0)))</f>
        <v>1.2376268022031546E-2</v>
      </c>
      <c r="AP45" s="33">
        <f>IF(INDEX(lmic_raw[],MATCH($A45,lmic_raw[[setting]:[setting]],0), MATCH(AP$1, lmic_raw[#Headers],0))=0, INDEX(regions[], MATCH($D45, regions[[setting]:[setting]],0), MATCH(AP$1, regions[#Headers],0)),INDEX(lmic_raw[],MATCH($A45,lmic_raw[[setting]:[setting]],0), MATCH(AP$1, lmic_raw[#Headers],0)))</f>
        <v>1.8788781969380986E-2</v>
      </c>
      <c r="AQ45" s="33">
        <f>IF(INDEX(lmic_raw[],MATCH($A45,lmic_raw[[setting]:[setting]],0), MATCH(AQ$1, lmic_raw[#Headers],0))=0, INDEX(regions[], MATCH($D45, regions[[setting]:[setting]],0), MATCH(AQ$1, regions[#Headers],0)),INDEX(lmic_raw[],MATCH($A45,lmic_raw[[setting]:[setting]],0), MATCH(AQ$1, lmic_raw[#Headers],0)))</f>
        <v>2.9231552200221736E-2</v>
      </c>
      <c r="AR45" s="33">
        <f>IF(INDEX(lmic_raw[],MATCH($A45,lmic_raw[[setting]:[setting]],0), MATCH(AR$1, lmic_raw[#Headers],0))=0, INDEX(regions[], MATCH($D45, regions[[setting]:[setting]],0), MATCH(AR$1, regions[#Headers],0)),INDEX(lmic_raw[],MATCH($A45,lmic_raw[[setting]:[setting]],0), MATCH(AR$1, lmic_raw[#Headers],0)))</f>
        <v>4.547283590363508E-2</v>
      </c>
      <c r="AS45" s="33">
        <f>IF(INDEX(lmic_raw[],MATCH($A45,lmic_raw[[setting]:[setting]],0), MATCH(AS$1, lmic_raw[#Headers],0))=0, INDEX(regions[], MATCH($D45, regions[[setting]:[setting]],0), MATCH(AS$1, regions[#Headers],0)),INDEX(lmic_raw[],MATCH($A45,lmic_raw[[setting]:[setting]],0), MATCH(AS$1, lmic_raw[#Headers],0)))</f>
        <v>6.9728157093137316E-2</v>
      </c>
      <c r="AT45" s="33">
        <f>IF(INDEX(lmic_raw[],MATCH($A45,lmic_raw[[setting]:[setting]],0), MATCH(AT$1, lmic_raw[#Headers],0))=0, INDEX(regions[], MATCH($D45, regions[[setting]:[setting]],0), MATCH(AT$1, regions[#Headers],0)),INDEX(lmic_raw[],MATCH($A45,lmic_raw[[setting]:[setting]],0), MATCH(AT$1, lmic_raw[#Headers],0)))</f>
        <v>0.10415017804360961</v>
      </c>
      <c r="AU45" s="33">
        <f>IF(INDEX(lmic_raw[],MATCH($A45,lmic_raw[[setting]:[setting]],0), MATCH(AU$1, lmic_raw[#Headers],0))=0, INDEX(regions[], MATCH($D45, regions[[setting]:[setting]],0), MATCH(AU$1, regions[#Headers],0)),INDEX(lmic_raw[],MATCH($A45,lmic_raw[[setting]:[setting]],0), MATCH(AU$1, lmic_raw[#Headers],0)))</f>
        <v>0.14414752105565432</v>
      </c>
      <c r="AV45" s="33">
        <f>IF(INDEX(lmic_raw[],MATCH($A45,lmic_raw[[setting]:[setting]],0), MATCH(AV$1, lmic_raw[#Headers],0))=0, INDEX(regions[], MATCH($D45, regions[[setting]:[setting]],0), MATCH(AV$1, regions[#Headers],0)),INDEX(lmic_raw[],MATCH($A45,lmic_raw[[setting]:[setting]],0), MATCH(AV$1, lmic_raw[#Headers],0)))</f>
        <v>0.17836414951536853</v>
      </c>
      <c r="AW45" s="33">
        <f>IF(INDEX(lmic_raw[],MATCH($A45,lmic_raw[[setting]:[setting]],0), MATCH(AW$1, lmic_raw[#Headers],0))=0, INDEX(regions[], MATCH($D45, regions[[setting]:[setting]],0), MATCH(AW$1, regions[#Headers],0)),INDEX(lmic_raw[],MATCH($A45,lmic_raw[[setting]:[setting]],0), MATCH(AW$1, lmic_raw[#Headers],0)))</f>
        <v>0.18954100115392675</v>
      </c>
      <c r="AX45" s="33">
        <f>IF(INDEX(lmic_raw[],MATCH($A45,lmic_raw[[setting]:[setting]],0), MATCH(AX$1, lmic_raw[#Headers],0))=0, INDEX(regions[], MATCH($D45, regions[[setting]:[setting]],0), MATCH(AX$1, regions[#Headers],0)),INDEX(lmic_raw[],MATCH($A45,lmic_raw[[setting]:[setting]],0), MATCH(AX$1, lmic_raw[#Headers],0)))</f>
        <v>66.06</v>
      </c>
      <c r="AY45" s="33" t="str">
        <f>IF(VLOOKUP($A45,lmic_raw[],11,FALSE)=0, "Yes", "No")</f>
        <v>Yes</v>
      </c>
    </row>
    <row r="46" spans="1:51" x14ac:dyDescent="0.25">
      <c r="A46" s="109" t="s">
        <v>617</v>
      </c>
      <c r="B46" s="101" t="s">
        <v>428</v>
      </c>
      <c r="C46" s="102">
        <v>270</v>
      </c>
      <c r="D46" s="82" t="s">
        <v>677</v>
      </c>
      <c r="E46" s="82" t="s">
        <v>591</v>
      </c>
      <c r="F46" s="82" t="s">
        <v>667</v>
      </c>
      <c r="G46" s="82" t="s">
        <v>674</v>
      </c>
      <c r="H46" s="33">
        <f>IF(INDEX(lmic_raw[],MATCH($A46,lmic_raw[[setting]:[setting]],0), MATCH(H$1, lmic_raw[#Headers],0))=0, INDEX(regions[], MATCH($D46, regions[[setting]:[setting]],0), MATCH(H$1, regions[#Headers],0)),INDEX(lmic_raw[],MATCH($A46,lmic_raw[[setting]:[setting]],0), MATCH(H$1, lmic_raw[#Headers],0)))</f>
        <v>2347696</v>
      </c>
      <c r="I46" s="33">
        <f>IF(INDEX(lmic_raw[],MATCH($A46,lmic_raw[[setting]:[setting]],0), MATCH(I$1, lmic_raw[#Headers],0))=0, INDEX(regions[], MATCH($D46, regions[[setting]:[setting]],0), MATCH(I$1, regions[#Headers],0)),INDEX(lmic_raw[],MATCH($A46,lmic_raw[[setting]:[setting]],0), MATCH(I$1, lmic_raw[#Headers],0)))</f>
        <v>90982.61078399999</v>
      </c>
      <c r="J46" s="33">
        <f>IF(INDEX(lmic_raw[],MATCH($A46,lmic_raw[[setting]:[setting]],0), MATCH(J$1, lmic_raw[#Headers],0))=0, INDEX(regions[], MATCH($D46, regions[[setting]:[setting]],0), MATCH(J$1, regions[#Headers],0)),INDEX(lmic_raw[],MATCH($A46,lmic_raw[[setting]:[setting]],0), MATCH(J$1, lmic_raw[#Headers],0)))</f>
        <v>0.83700000000000008</v>
      </c>
      <c r="K46" s="33">
        <f>IF(INDEX(lmic_raw[],MATCH($A46,lmic_raw[[setting]:[setting]],0), MATCH(K$1, lmic_raw[#Headers],0))=0, INDEX(regions[], MATCH($D46, regions[[setting]:[setting]],0), MATCH(K$1, regions[#Headers],0)),INDEX(lmic_raw[],MATCH($A46,lmic_raw[[setting]:[setting]],0), MATCH(K$1, lmic_raw[#Headers],0)))</f>
        <v>0.69252604416320784</v>
      </c>
      <c r="L46" s="33">
        <f>IF(INDEX(lmic_raw[],MATCH($A46,lmic_raw[[setting]:[setting]],0), MATCH(L$1, lmic_raw[#Headers],0))=0, INDEX(regions[], MATCH($D46, regions[[setting]:[setting]],0), MATCH(L$1, regions[#Headers],0)),INDEX(lmic_raw[],MATCH($A46,lmic_raw[[setting]:[setting]],0), MATCH(L$1, lmic_raw[#Headers],0)))</f>
        <v>0.88</v>
      </c>
      <c r="M46" s="33">
        <f>IF(INDEX(lmic_raw[],MATCH($A46,lmic_raw[[setting]:[setting]],0), MATCH(M$1, lmic_raw[#Headers],0))=0, INDEX(regions[], MATCH($D46, regions[[setting]:[setting]],0), MATCH(M$1, regions[#Headers],0)),INDEX(lmic_raw[],MATCH($A46,lmic_raw[[setting]:[setting]],0), MATCH(M$1, lmic_raw[#Headers],0)))</f>
        <v>5.7999999999999996E-2</v>
      </c>
      <c r="N46" s="33">
        <f>IF(INDEX(lmic_raw[],MATCH($A46,lmic_raw[[setting]:[setting]],0), MATCH(N$1, lmic_raw[#Headers],0))=0, INDEX(regions[], MATCH($D46, regions[[setting]:[setting]],0), MATCH(N$1, regions[#Headers],0)),INDEX(lmic_raw[],MATCH($A46,lmic_raw[[setting]:[setting]],0), MATCH(N$1, lmic_raw[#Headers],0)))</f>
        <v>0.28511757354019951</v>
      </c>
      <c r="O46" s="33">
        <f>IF(INDEX(lmic_raw[],MATCH($A46,lmic_raw[[setting]:[setting]],0), MATCH(O$1, lmic_raw[#Headers],0))=0, INDEX(regions[], MATCH($D46, regions[[setting]:[setting]],0), MATCH(O$1, regions[#Headers],0)),INDEX(lmic_raw[],MATCH($A46,lmic_raw[[setting]:[setting]],0), MATCH(O$1, lmic_raw[#Headers],0)))</f>
        <v>0.38300000000000001</v>
      </c>
      <c r="P46" s="33">
        <f>IF(INDEX(lmic_raw[],MATCH($A46,lmic_raw[[setting]:[setting]],0), MATCH(P$1, lmic_raw[#Headers],0))=0, INDEX(regions[], MATCH($D46, regions[[setting]:[setting]],0), MATCH(P$1, regions[#Headers],0)),INDEX(lmic_raw[],MATCH($A46,lmic_raw[[setting]:[setting]],0), MATCH(P$1, lmic_raw[#Headers],0)))</f>
        <v>4.8000000000000001E-2</v>
      </c>
      <c r="Q46" s="33">
        <f>IF(INDEX(lmic_raw[],MATCH($A46,lmic_raw[[setting]:[setting]],0), MATCH(Q$1, lmic_raw[#Headers],0))=0, INDEX(regions[], MATCH($D46, regions[[setting]:[setting]],0), MATCH(Q$1, regions[#Headers],0)),INDEX(lmic_raw[],MATCH($A46,lmic_raw[[setting]:[setting]],0), MATCH(Q$1, lmic_raw[#Headers],0)))</f>
        <v>3.2161095869836105</v>
      </c>
      <c r="R46" s="33">
        <f>IF(INDEX(lmic_raw[],MATCH($A46,lmic_raw[[setting]:[setting]],0), MATCH(R$1, lmic_raw[#Headers],0))=0, INDEX(regions[], MATCH($D46, regions[[setting]:[setting]],0), MATCH(R$1, regions[#Headers],0)),INDEX(lmic_raw[],MATCH($A46,lmic_raw[[setting]:[setting]],0), MATCH(R$1, lmic_raw[#Headers],0)))</f>
        <v>29.920500000000001</v>
      </c>
      <c r="S46" s="33">
        <f>IF(INDEX(lmic_raw[],MATCH($A46,lmic_raw[[setting]:[setting]],0), MATCH(S$1, lmic_raw[#Headers],0))=0, INDEX(regions[], MATCH($D46, regions[[setting]:[setting]],0), MATCH(S$1, regions[#Headers],0)),INDEX(lmic_raw[],MATCH($A46,lmic_raw[[setting]:[setting]],0), MATCH(S$1, lmic_raw[#Headers],0)))</f>
        <v>77.662500000000009</v>
      </c>
      <c r="T46" s="33">
        <f>IF(INDEX(lmic_raw[],MATCH($A46,lmic_raw[[setting]:[setting]],0), MATCH(T$1, lmic_raw[#Headers],0))=0, INDEX(regions[], MATCH($D46, regions[[setting]:[setting]],0), MATCH(T$1, regions[#Headers],0)),INDEX(lmic_raw[],MATCH($A46,lmic_raw[[setting]:[setting]],0), MATCH(T$1, lmic_raw[#Headers],0)))</f>
        <v>77.662500000000009</v>
      </c>
      <c r="U46" s="33">
        <f>IF(INDEX(lmic_raw[],MATCH($A46,lmic_raw[[setting]:[setting]],0), MATCH(U$1, lmic_raw[#Headers],0))=0, INDEX(regions[], MATCH($D46, regions[[setting]:[setting]],0), MATCH(U$1, regions[#Headers],0)),INDEX(lmic_raw[],MATCH($A46,lmic_raw[[setting]:[setting]],0), MATCH(U$1, lmic_raw[#Headers],0)))</f>
        <v>77.662500000000009</v>
      </c>
      <c r="V46" s="33">
        <f>IF(INDEX(lmic_raw[],MATCH($A46,lmic_raw[[setting]:[setting]],0), MATCH(V$1, lmic_raw[#Headers],0))=0, INDEX(regions[], MATCH($D46, regions[[setting]:[setting]],0), MATCH(V$1, regions[#Headers],0)),INDEX(lmic_raw[],MATCH($A46,lmic_raw[[setting]:[setting]],0), MATCH(V$1, lmic_raw[#Headers],0)))</f>
        <v>4.0458377038325519</v>
      </c>
      <c r="W46" s="33">
        <f>IF(INDEX(lmic_raw[],MATCH($A46,lmic_raw[[setting]:[setting]],0), MATCH(W$1, lmic_raw[#Headers],0))=0, INDEX(regions[], MATCH($D46, regions[[setting]:[setting]],0), MATCH(W$1, regions[#Headers],0)),INDEX(lmic_raw[],MATCH($A46,lmic_raw[[setting]:[setting]],0), MATCH(W$1, lmic_raw[#Headers],0)))</f>
        <v>8.875837703832552</v>
      </c>
      <c r="X46" s="33">
        <f>IF(INDEX(lmic_raw[],MATCH($A46,lmic_raw[[setting]:[setting]],0), MATCH(X$1, lmic_raw[#Headers],0))=0, INDEX(regions[], MATCH($D46, regions[[setting]:[setting]],0), MATCH(X$1, regions[#Headers],0)),INDEX(lmic_raw[],MATCH($A46,lmic_raw[[setting]:[setting]],0), MATCH(X$1, lmic_raw[#Headers],0)))</f>
        <v>3.6212174855740193</v>
      </c>
      <c r="Y46" s="33">
        <f>IF(INDEX(lmic_raw[],MATCH($A46,lmic_raw[[setting]:[setting]],0), MATCH(Y$1, lmic_raw[#Headers],0))=0, INDEX(regions[], MATCH($D46, regions[[setting]:[setting]],0), MATCH(Y$1, regions[#Headers],0)),INDEX(lmic_raw[],MATCH($A46,lmic_raw[[setting]:[setting]],0), MATCH(Y$1, lmic_raw[#Headers],0)))</f>
        <v>8.4512174855740199</v>
      </c>
      <c r="Z46" s="33">
        <f>IF(INDEX(lmic_raw[],MATCH($A46,lmic_raw[[setting]:[setting]],0), MATCH(Z$1, lmic_raw[#Headers],0))=0, INDEX(regions[], MATCH($D46, regions[[setting]:[setting]],0), MATCH(Z$1, regions[#Headers],0)),INDEX(lmic_raw[],MATCH($A46,lmic_raw[[setting]:[setting]],0), MATCH(Z$1, lmic_raw[#Headers],0)))</f>
        <v>8.4486753196805857</v>
      </c>
      <c r="AA46" s="33">
        <f>IF(INDEX(lmic_raw[],MATCH($A46,lmic_raw[[setting]:[setting]],0), MATCH(AA$1, lmic_raw[#Headers],0))=0, INDEX(regions[], MATCH($D46, regions[[setting]:[setting]],0), MATCH(AA$1, regions[#Headers],0)),INDEX(lmic_raw[],MATCH($A46,lmic_raw[[setting]:[setting]],0), MATCH(AA$1, lmic_raw[#Headers],0)))</f>
        <v>4.2871245211141398</v>
      </c>
      <c r="AB46" s="33">
        <f>IF(INDEX(lmic_raw[],MATCH($A46,lmic_raw[[setting]:[setting]],0), MATCH(AB$1, lmic_raw[#Headers],0))=0, INDEX(regions[], MATCH($D46, regions[[setting]:[setting]],0), MATCH(AB$1, regions[#Headers],0)),INDEX(lmic_raw[],MATCH($A46,lmic_raw[[setting]:[setting]],0), MATCH(AB$1, lmic_raw[#Headers],0)))</f>
        <v>9.117124521114139</v>
      </c>
      <c r="AC46" s="33">
        <f>IF(INDEX(lmic_raw[],MATCH($A46,lmic_raw[[setting]:[setting]],0), MATCH(AC$1, lmic_raw[#Headers],0))=0, INDEX(regions[], MATCH($D46, regions[[setting]:[setting]],0), MATCH(AC$1, regions[#Headers],0)),INDEX(lmic_raw[],MATCH($A46,lmic_raw[[setting]:[setting]],0), MATCH(AC$1, lmic_raw[#Headers],0)))</f>
        <v>4.4846699999999982E-2</v>
      </c>
      <c r="AD46" s="33">
        <f>IF(INDEX(lmic_raw[],MATCH($A46,lmic_raw[[setting]:[setting]],0), MATCH(AD$1, lmic_raw[#Headers],0))=0, INDEX(regions[], MATCH($D46, regions[[setting]:[setting]],0), MATCH(AD$1, regions[#Headers],0)),INDEX(lmic_raw[],MATCH($A46,lmic_raw[[setting]:[setting]],0), MATCH(AD$1, lmic_raw[#Headers],0)))</f>
        <v>6.0042168100136557E-3</v>
      </c>
      <c r="AE46" s="33">
        <f>IF(INDEX(lmic_raw[],MATCH($A46,lmic_raw[[setting]:[setting]],0), MATCH(AE$1, lmic_raw[#Headers],0))=0, INDEX(regions[], MATCH($D46, regions[[setting]:[setting]],0), MATCH(AE$1, regions[#Headers],0)),INDEX(lmic_raw[],MATCH($A46,lmic_raw[[setting]:[setting]],0), MATCH(AE$1, lmic_raw[#Headers],0)))</f>
        <v>2.8182363501683258E-3</v>
      </c>
      <c r="AF46" s="33">
        <f>IF(INDEX(lmic_raw[],MATCH($A46,lmic_raw[[setting]:[setting]],0), MATCH(AF$1, lmic_raw[#Headers],0))=0, INDEX(regions[], MATCH($D46, regions[[setting]:[setting]],0), MATCH(AF$1, regions[#Headers],0)),INDEX(lmic_raw[],MATCH($A46,lmic_raw[[setting]:[setting]],0), MATCH(AF$1, lmic_raw[#Headers],0)))</f>
        <v>1.6928909326386164E-3</v>
      </c>
      <c r="AG46" s="33">
        <f>IF(INDEX(lmic_raw[],MATCH($A46,lmic_raw[[setting]:[setting]],0), MATCH(AG$1, lmic_raw[#Headers],0))=0, INDEX(regions[], MATCH($D46, regions[[setting]:[setting]],0), MATCH(AG$1, regions[#Headers],0)),INDEX(lmic_raw[],MATCH($A46,lmic_raw[[setting]:[setting]],0), MATCH(AG$1, lmic_raw[#Headers],0)))</f>
        <v>2.5842259310052498E-3</v>
      </c>
      <c r="AH46" s="33">
        <f>IF(INDEX(lmic_raw[],MATCH($A46,lmic_raw[[setting]:[setting]],0), MATCH(AH$1, lmic_raw[#Headers],0))=0, INDEX(regions[], MATCH($D46, regions[[setting]:[setting]],0), MATCH(AH$1, regions[#Headers],0)),INDEX(lmic_raw[],MATCH($A46,lmic_raw[[setting]:[setting]],0), MATCH(AH$1, lmic_raw[#Headers],0)))</f>
        <v>3.6404715507950859E-3</v>
      </c>
      <c r="AI46" s="33">
        <f>IF(INDEX(lmic_raw[],MATCH($A46,lmic_raw[[setting]:[setting]],0), MATCH(AI$1, lmic_raw[#Headers],0))=0, INDEX(regions[], MATCH($D46, regions[[setting]:[setting]],0), MATCH(AI$1, regions[#Headers],0)),INDEX(lmic_raw[],MATCH($A46,lmic_raw[[setting]:[setting]],0), MATCH(AI$1, lmic_raw[#Headers],0)))</f>
        <v>3.866848876643869E-3</v>
      </c>
      <c r="AJ46" s="33">
        <f>IF(INDEX(lmic_raw[],MATCH($A46,lmic_raw[[setting]:[setting]],0), MATCH(AJ$1, lmic_raw[#Headers],0))=0, INDEX(regions[], MATCH($D46, regions[[setting]:[setting]],0), MATCH(AJ$1, regions[#Headers],0)),INDEX(lmic_raw[],MATCH($A46,lmic_raw[[setting]:[setting]],0), MATCH(AJ$1, lmic_raw[#Headers],0)))</f>
        <v>4.2444775193489276E-3</v>
      </c>
      <c r="AK46" s="33">
        <f>IF(INDEX(lmic_raw[],MATCH($A46,lmic_raw[[setting]:[setting]],0), MATCH(AK$1, lmic_raw[#Headers],0))=0, INDEX(regions[], MATCH($D46, regions[[setting]:[setting]],0), MATCH(AK$1, regions[#Headers],0)),INDEX(lmic_raw[],MATCH($A46,lmic_raw[[setting]:[setting]],0), MATCH(AK$1, lmic_raw[#Headers],0)))</f>
        <v>4.8541267331024705E-3</v>
      </c>
      <c r="AL46" s="33">
        <f>IF(INDEX(lmic_raw[],MATCH($A46,lmic_raw[[setting]:[setting]],0), MATCH(AL$1, lmic_raw[#Headers],0))=0, INDEX(regions[], MATCH($D46, regions[[setting]:[setting]],0), MATCH(AL$1, regions[#Headers],0)),INDEX(lmic_raw[],MATCH($A46,lmic_raw[[setting]:[setting]],0), MATCH(AL$1, lmic_raw[#Headers],0)))</f>
        <v>5.9551070629616102E-3</v>
      </c>
      <c r="AM46" s="33">
        <f>IF(INDEX(lmic_raw[],MATCH($A46,lmic_raw[[setting]:[setting]],0), MATCH(AM$1, lmic_raw[#Headers],0))=0, INDEX(regions[], MATCH($D46, regions[[setting]:[setting]],0), MATCH(AM$1, regions[#Headers],0)),INDEX(lmic_raw[],MATCH($A46,lmic_raw[[setting]:[setting]],0), MATCH(AM$1, lmic_raw[#Headers],0)))</f>
        <v>7.431462649688041E-3</v>
      </c>
      <c r="AN46" s="33">
        <f>IF(INDEX(lmic_raw[],MATCH($A46,lmic_raw[[setting]:[setting]],0), MATCH(AN$1, lmic_raw[#Headers],0))=0, INDEX(regions[], MATCH($D46, regions[[setting]:[setting]],0), MATCH(AN$1, regions[#Headers],0)),INDEX(lmic_raw[],MATCH($A46,lmic_raw[[setting]:[setting]],0), MATCH(AN$1, lmic_raw[#Headers],0)))</f>
        <v>1.0387347107233732E-2</v>
      </c>
      <c r="AO46" s="33">
        <f>IF(INDEX(lmic_raw[],MATCH($A46,lmic_raw[[setting]:[setting]],0), MATCH(AO$1, lmic_raw[#Headers],0))=0, INDEX(regions[], MATCH($D46, regions[[setting]:[setting]],0), MATCH(AO$1, regions[#Headers],0)),INDEX(lmic_raw[],MATCH($A46,lmic_raw[[setting]:[setting]],0), MATCH(AO$1, lmic_raw[#Headers],0)))</f>
        <v>1.4813591881899082E-2</v>
      </c>
      <c r="AP46" s="33">
        <f>IF(INDEX(lmic_raw[],MATCH($A46,lmic_raw[[setting]:[setting]],0), MATCH(AP$1, lmic_raw[#Headers],0))=0, INDEX(regions[], MATCH($D46, regions[[setting]:[setting]],0), MATCH(AP$1, regions[#Headers],0)),INDEX(lmic_raw[],MATCH($A46,lmic_raw[[setting]:[setting]],0), MATCH(AP$1, lmic_raw[#Headers],0)))</f>
        <v>2.2951012443546647E-2</v>
      </c>
      <c r="AQ46" s="33">
        <f>IF(INDEX(lmic_raw[],MATCH($A46,lmic_raw[[setting]:[setting]],0), MATCH(AQ$1, lmic_raw[#Headers],0))=0, INDEX(regions[], MATCH($D46, regions[[setting]:[setting]],0), MATCH(AQ$1, regions[#Headers],0)),INDEX(lmic_raw[],MATCH($A46,lmic_raw[[setting]:[setting]],0), MATCH(AQ$1, lmic_raw[#Headers],0)))</f>
        <v>3.5087979162260245E-2</v>
      </c>
      <c r="AR46" s="33">
        <f>IF(INDEX(lmic_raw[],MATCH($A46,lmic_raw[[setting]:[setting]],0), MATCH(AR$1, lmic_raw[#Headers],0))=0, INDEX(regions[], MATCH($D46, regions[[setting]:[setting]],0), MATCH(AR$1, regions[#Headers],0)),INDEX(lmic_raw[],MATCH($A46,lmic_raw[[setting]:[setting]],0), MATCH(AR$1, lmic_raw[#Headers],0)))</f>
        <v>5.5866513026930048E-2</v>
      </c>
      <c r="AS46" s="33">
        <f>IF(INDEX(lmic_raw[],MATCH($A46,lmic_raw[[setting]:[setting]],0), MATCH(AS$1, lmic_raw[#Headers],0))=0, INDEX(regions[], MATCH($D46, regions[[setting]:[setting]],0), MATCH(AS$1, regions[#Headers],0)),INDEX(lmic_raw[],MATCH($A46,lmic_raw[[setting]:[setting]],0), MATCH(AS$1, lmic_raw[#Headers],0)))</f>
        <v>8.5511449355615179E-2</v>
      </c>
      <c r="AT46" s="33">
        <f>IF(INDEX(lmic_raw[],MATCH($A46,lmic_raw[[setting]:[setting]],0), MATCH(AT$1, lmic_raw[#Headers],0))=0, INDEX(regions[], MATCH($D46, regions[[setting]:[setting]],0), MATCH(AT$1, regions[#Headers],0)),INDEX(lmic_raw[],MATCH($A46,lmic_raw[[setting]:[setting]],0), MATCH(AT$1, lmic_raw[#Headers],0)))</f>
        <v>0.12162201543909797</v>
      </c>
      <c r="AU46" s="33">
        <f>IF(INDEX(lmic_raw[],MATCH($A46,lmic_raw[[setting]:[setting]],0), MATCH(AU$1, lmic_raw[#Headers],0))=0, INDEX(regions[], MATCH($D46, regions[[setting]:[setting]],0), MATCH(AU$1, regions[#Headers],0)),INDEX(lmic_raw[],MATCH($A46,lmic_raw[[setting]:[setting]],0), MATCH(AU$1, lmic_raw[#Headers],0)))</f>
        <v>0.15459474780737206</v>
      </c>
      <c r="AV46" s="33">
        <f>IF(INDEX(lmic_raw[],MATCH($A46,lmic_raw[[setting]:[setting]],0), MATCH(AV$1, lmic_raw[#Headers],0))=0, INDEX(regions[], MATCH($D46, regions[[setting]:[setting]],0), MATCH(AV$1, regions[#Headers],0)),INDEX(lmic_raw[],MATCH($A46,lmic_raw[[setting]:[setting]],0), MATCH(AV$1, lmic_raw[#Headers],0)))</f>
        <v>0.17718941763536672</v>
      </c>
      <c r="AW46" s="33">
        <f>IF(INDEX(lmic_raw[],MATCH($A46,lmic_raw[[setting]:[setting]],0), MATCH(AW$1, lmic_raw[#Headers],0))=0, INDEX(regions[], MATCH($D46, regions[[setting]:[setting]],0), MATCH(AW$1, regions[#Headers],0)),INDEX(lmic_raw[],MATCH($A46,lmic_raw[[setting]:[setting]],0), MATCH(AW$1, lmic_raw[#Headers],0)))</f>
        <v>0.18781110355425057</v>
      </c>
      <c r="AX46" s="33">
        <f>IF(INDEX(lmic_raw[],MATCH($A46,lmic_raw[[setting]:[setting]],0), MATCH(AX$1, lmic_raw[#Headers],0))=0, INDEX(regions[], MATCH($D46, regions[[setting]:[setting]],0), MATCH(AX$1, regions[#Headers],0)),INDEX(lmic_raw[],MATCH($A46,lmic_raw[[setting]:[setting]],0), MATCH(AX$1, lmic_raw[#Headers],0)))</f>
        <v>61.536000000000001</v>
      </c>
      <c r="AY46" s="33" t="str">
        <f>IF(VLOOKUP($A46,lmic_raw[],11,FALSE)=0, "Yes", "No")</f>
        <v>Yes</v>
      </c>
    </row>
    <row r="47" spans="1:51" x14ac:dyDescent="0.25">
      <c r="A47" s="110" t="s">
        <v>169</v>
      </c>
      <c r="B47" s="104" t="s">
        <v>429</v>
      </c>
      <c r="C47" s="105">
        <v>268</v>
      </c>
      <c r="D47" s="84" t="s">
        <v>675</v>
      </c>
      <c r="E47" s="84" t="s">
        <v>184</v>
      </c>
      <c r="F47" s="84" t="s">
        <v>663</v>
      </c>
      <c r="G47" s="84" t="s">
        <v>676</v>
      </c>
      <c r="H47" s="33">
        <f>IF(INDEX(lmic_raw[],MATCH($A47,lmic_raw[[setting]:[setting]],0), MATCH(H$1, lmic_raw[#Headers],0))=0, INDEX(regions[], MATCH($D47, regions[[setting]:[setting]],0), MATCH(H$1, regions[#Headers],0)),INDEX(lmic_raw[],MATCH($A47,lmic_raw[[setting]:[setting]],0), MATCH(H$1, lmic_raw[#Headers],0)))</f>
        <v>3996762</v>
      </c>
      <c r="I47" s="33">
        <f>IF(INDEX(lmic_raw[],MATCH($A47,lmic_raw[[setting]:[setting]],0), MATCH(I$1, lmic_raw[#Headers],0))=0, INDEX(regions[], MATCH($D47, regions[[setting]:[setting]],0), MATCH(I$1, regions[#Headers],0)),INDEX(lmic_raw[],MATCH($A47,lmic_raw[[setting]:[setting]],0), MATCH(I$1, lmic_raw[#Headers],0)))</f>
        <v>54339.976152000003</v>
      </c>
      <c r="J47" s="33">
        <f>IF(INDEX(lmic_raw[],MATCH($A47,lmic_raw[[setting]:[setting]],0), MATCH(J$1, lmic_raw[#Headers],0))=0, INDEX(regions[], MATCH($D47, regions[[setting]:[setting]],0), MATCH(J$1, regions[#Headers],0)),INDEX(lmic_raw[],MATCH($A47,lmic_raw[[setting]:[setting]],0), MATCH(J$1, lmic_raw[#Headers],0)))</f>
        <v>0.99400000000000011</v>
      </c>
      <c r="K47" s="33">
        <f>IF(INDEX(lmic_raw[],MATCH($A47,lmic_raw[[setting]:[setting]],0), MATCH(K$1, lmic_raw[#Headers],0))=0, INDEX(regions[], MATCH($D47, regions[[setting]:[setting]],0), MATCH(K$1, regions[#Headers],0)),INDEX(lmic_raw[],MATCH($A47,lmic_raw[[setting]:[setting]],0), MATCH(K$1, lmic_raw[#Headers],0)))</f>
        <v>0.94</v>
      </c>
      <c r="L47" s="33">
        <f>IF(INDEX(lmic_raw[],MATCH($A47,lmic_raw[[setting]:[setting]],0), MATCH(L$1, lmic_raw[#Headers],0))=0, INDEX(regions[], MATCH($D47, regions[[setting]:[setting]],0), MATCH(L$1, regions[#Headers],0)),INDEX(lmic_raw[],MATCH($A47,lmic_raw[[setting]:[setting]],0), MATCH(L$1, lmic_raw[#Headers],0)))</f>
        <v>0.94</v>
      </c>
      <c r="M47" s="33">
        <f>IF(INDEX(lmic_raw[],MATCH($A47,lmic_raw[[setting]:[setting]],0), MATCH(M$1, lmic_raw[#Headers],0))=0, INDEX(regions[], MATCH($D47, regions[[setting]:[setting]],0), MATCH(M$1, regions[#Headers],0)),INDEX(lmic_raw[],MATCH($A47,lmic_raw[[setting]:[setting]],0), MATCH(M$1, lmic_raw[#Headers],0)))</f>
        <v>2.0899999999999998E-2</v>
      </c>
      <c r="N47" s="33">
        <f>IF(INDEX(lmic_raw[],MATCH($A47,lmic_raw[[setting]:[setting]],0), MATCH(N$1, lmic_raw[#Headers],0))=0, INDEX(regions[], MATCH($D47, regions[[setting]:[setting]],0), MATCH(N$1, regions[#Headers],0)),INDEX(lmic_raw[],MATCH($A47,lmic_raw[[setting]:[setting]],0), MATCH(N$1, lmic_raw[#Headers],0)))</f>
        <v>0.30226538426236971</v>
      </c>
      <c r="O47" s="33">
        <f>IF(INDEX(lmic_raw[],MATCH($A47,lmic_raw[[setting]:[setting]],0), MATCH(O$1, lmic_raw[#Headers],0))=0, INDEX(regions[], MATCH($D47, regions[[setting]:[setting]],0), MATCH(O$1, regions[#Headers],0)),INDEX(lmic_raw[],MATCH($A47,lmic_raw[[setting]:[setting]],0), MATCH(O$1, lmic_raw[#Headers],0)))</f>
        <v>0.8</v>
      </c>
      <c r="P47" s="33">
        <f>IF(INDEX(lmic_raw[],MATCH($A47,lmic_raw[[setting]:[setting]],0), MATCH(P$1, lmic_raw[#Headers],0))=0, INDEX(regions[], MATCH($D47, regions[[setting]:[setting]],0), MATCH(P$1, regions[#Headers],0)),INDEX(lmic_raw[],MATCH($A47,lmic_raw[[setting]:[setting]],0), MATCH(P$1, lmic_raw[#Headers],0)))</f>
        <v>0.17499999999999999</v>
      </c>
      <c r="Q47" s="33">
        <f>IF(INDEX(lmic_raw[],MATCH($A47,lmic_raw[[setting]:[setting]],0), MATCH(Q$1, lmic_raw[#Headers],0))=0, INDEX(regions[], MATCH($D47, regions[[setting]:[setting]],0), MATCH(Q$1, regions[#Headers],0)),INDEX(lmic_raw[],MATCH($A47,lmic_raw[[setting]:[setting]],0), MATCH(Q$1, lmic_raw[#Headers],0)))</f>
        <v>5.957860173416881</v>
      </c>
      <c r="R47" s="33">
        <f>IF(INDEX(lmic_raw[],MATCH($A47,lmic_raw[[setting]:[setting]],0), MATCH(R$1, lmic_raw[#Headers],0))=0, INDEX(regions[], MATCH($D47, regions[[setting]:[setting]],0), MATCH(R$1, regions[#Headers],0)),INDEX(lmic_raw[],MATCH($A47,lmic_raw[[setting]:[setting]],0), MATCH(R$1, lmic_raw[#Headers],0)))</f>
        <v>44.537400000000005</v>
      </c>
      <c r="S47" s="33">
        <f>IF(INDEX(lmic_raw[],MATCH($A47,lmic_raw[[setting]:[setting]],0), MATCH(S$1, lmic_raw[#Headers],0))=0, INDEX(regions[], MATCH($D47, regions[[setting]:[setting]],0), MATCH(S$1, regions[#Headers],0)),INDEX(lmic_raw[],MATCH($A47,lmic_raw[[setting]:[setting]],0), MATCH(S$1, lmic_raw[#Headers],0)))</f>
        <v>92.27940000000001</v>
      </c>
      <c r="T47" s="33">
        <f>IF(INDEX(lmic_raw[],MATCH($A47,lmic_raw[[setting]:[setting]],0), MATCH(T$1, lmic_raw[#Headers],0))=0, INDEX(regions[], MATCH($D47, regions[[setting]:[setting]],0), MATCH(T$1, regions[#Headers],0)),INDEX(lmic_raw[],MATCH($A47,lmic_raw[[setting]:[setting]],0), MATCH(T$1, lmic_raw[#Headers],0)))</f>
        <v>92.27940000000001</v>
      </c>
      <c r="U47" s="33">
        <f>IF(INDEX(lmic_raw[],MATCH($A47,lmic_raw[[setting]:[setting]],0), MATCH(U$1, lmic_raw[#Headers],0))=0, INDEX(regions[], MATCH($D47, regions[[setting]:[setting]],0), MATCH(U$1, regions[#Headers],0)),INDEX(lmic_raw[],MATCH($A47,lmic_raw[[setting]:[setting]],0), MATCH(U$1, lmic_raw[#Headers],0)))</f>
        <v>92.27940000000001</v>
      </c>
      <c r="V47" s="33">
        <f>IF(INDEX(lmic_raw[],MATCH($A47,lmic_raw[[setting]:[setting]],0), MATCH(V$1, lmic_raw[#Headers],0))=0, INDEX(regions[], MATCH($D47, regions[[setting]:[setting]],0), MATCH(V$1, regions[#Headers],0)),INDEX(lmic_raw[],MATCH($A47,lmic_raw[[setting]:[setting]],0), MATCH(V$1, lmic_raw[#Headers],0)))</f>
        <v>5.3603900229122363</v>
      </c>
      <c r="W47" s="33">
        <f>IF(INDEX(lmic_raw[],MATCH($A47,lmic_raw[[setting]:[setting]],0), MATCH(W$1, lmic_raw[#Headers],0))=0, INDEX(regions[], MATCH($D47, regions[[setting]:[setting]],0), MATCH(W$1, regions[#Headers],0)),INDEX(lmic_raw[],MATCH($A47,lmic_raw[[setting]:[setting]],0), MATCH(W$1, lmic_raw[#Headers],0)))</f>
        <v>9.4303900229122366</v>
      </c>
      <c r="X47" s="33">
        <f>IF(INDEX(lmic_raw[],MATCH($A47,lmic_raw[[setting]:[setting]],0), MATCH(X$1, lmic_raw[#Headers],0))=0, INDEX(regions[], MATCH($D47, regions[[setting]:[setting]],0), MATCH(X$1, regions[#Headers],0)),INDEX(lmic_raw[],MATCH($A47,lmic_raw[[setting]:[setting]],0), MATCH(X$1, lmic_raw[#Headers],0)))</f>
        <v>4.9268765982286862</v>
      </c>
      <c r="Y47" s="33">
        <f>IF(INDEX(lmic_raw[],MATCH($A47,lmic_raw[[setting]:[setting]],0), MATCH(Y$1, lmic_raw[#Headers],0))=0, INDEX(regions[], MATCH($D47, regions[[setting]:[setting]],0), MATCH(Y$1, regions[#Headers],0)),INDEX(lmic_raw[],MATCH($A47,lmic_raw[[setting]:[setting]],0), MATCH(Y$1, lmic_raw[#Headers],0)))</f>
        <v>8.9968765982286865</v>
      </c>
      <c r="Z47" s="33">
        <f>IF(INDEX(lmic_raw[],MATCH($A47,lmic_raw[[setting]:[setting]],0), MATCH(Z$1, lmic_raw[#Headers],0))=0, INDEX(regions[], MATCH($D47, regions[[setting]:[setting]],0), MATCH(Z$1, regions[#Headers],0)),INDEX(lmic_raw[],MATCH($A47,lmic_raw[[setting]:[setting]],0), MATCH(Z$1, lmic_raw[#Headers],0)))</f>
        <v>8.9902625495695005</v>
      </c>
      <c r="AA47" s="33">
        <f>IF(INDEX(lmic_raw[],MATCH($A47,lmic_raw[[setting]:[setting]],0), MATCH(AA$1, lmic_raw[#Headers],0))=0, INDEX(regions[], MATCH($D47, regions[[setting]:[setting]],0), MATCH(AA$1, regions[#Headers],0)),INDEX(lmic_raw[],MATCH($A47,lmic_raw[[setting]:[setting]],0), MATCH(AA$1, lmic_raw[#Headers],0)))</f>
        <v>5.6048825308819117</v>
      </c>
      <c r="AB47" s="33">
        <f>IF(INDEX(lmic_raw[],MATCH($A47,lmic_raw[[setting]:[setting]],0), MATCH(AB$1, lmic_raw[#Headers],0))=0, INDEX(regions[], MATCH($D47, regions[[setting]:[setting]],0), MATCH(AB$1, regions[#Headers],0)),INDEX(lmic_raw[],MATCH($A47,lmic_raw[[setting]:[setting]],0), MATCH(AB$1, lmic_raw[#Headers],0)))</f>
        <v>9.6748825308819129</v>
      </c>
      <c r="AC47" s="33">
        <f>IF(INDEX(lmic_raw[],MATCH($A47,lmic_raw[[setting]:[setting]],0), MATCH(AC$1, lmic_raw[#Headers],0))=0, INDEX(regions[], MATCH($D47, regions[[setting]:[setting]],0), MATCH(AC$1, regions[#Headers],0)),INDEX(lmic_raw[],MATCH($A47,lmic_raw[[setting]:[setting]],0), MATCH(AC$1, lmic_raw[#Headers],0)))</f>
        <v>9.3725400000000073E-3</v>
      </c>
      <c r="AD47" s="33">
        <f>IF(INDEX(lmic_raw[],MATCH($A47,lmic_raw[[setting]:[setting]],0), MATCH(AD$1, lmic_raw[#Headers],0))=0, INDEX(regions[], MATCH($D47, regions[[setting]:[setting]],0), MATCH(AD$1, regions[#Headers],0)),INDEX(lmic_raw[],MATCH($A47,lmic_raw[[setting]:[setting]],0), MATCH(AD$1, lmic_raw[#Headers],0)))</f>
        <v>1.9797553360777006E-4</v>
      </c>
      <c r="AE47" s="33">
        <f>IF(INDEX(lmic_raw[],MATCH($A47,lmic_raw[[setting]:[setting]],0), MATCH(AE$1, lmic_raw[#Headers],0))=0, INDEX(regions[], MATCH($D47, regions[[setting]:[setting]],0), MATCH(AE$1, regions[#Headers],0)),INDEX(lmic_raw[],MATCH($A47,lmic_raw[[setting]:[setting]],0), MATCH(AE$1, lmic_raw[#Headers],0)))</f>
        <v>2.0735409973811434E-4</v>
      </c>
      <c r="AF47" s="33">
        <f>IF(INDEX(lmic_raw[],MATCH($A47,lmic_raw[[setting]:[setting]],0), MATCH(AF$1, lmic_raw[#Headers],0))=0, INDEX(regions[], MATCH($D47, regions[[setting]:[setting]],0), MATCH(AF$1, regions[#Headers],0)),INDEX(lmic_raw[],MATCH($A47,lmic_raw[[setting]:[setting]],0), MATCH(AF$1, lmic_raw[#Headers],0)))</f>
        <v>2.4003638935156418E-4</v>
      </c>
      <c r="AG47" s="33">
        <f>IF(INDEX(lmic_raw[],MATCH($A47,lmic_raw[[setting]:[setting]],0), MATCH(AG$1, lmic_raw[#Headers],0))=0, INDEX(regions[], MATCH($D47, regions[[setting]:[setting]],0), MATCH(AG$1, regions[#Headers],0)),INDEX(lmic_raw[],MATCH($A47,lmic_raw[[setting]:[setting]],0), MATCH(AG$1, lmic_raw[#Headers],0)))</f>
        <v>4.5753167598254051E-4</v>
      </c>
      <c r="AH47" s="33">
        <f>IF(INDEX(lmic_raw[],MATCH($A47,lmic_raw[[setting]:[setting]],0), MATCH(AH$1, lmic_raw[#Headers],0))=0, INDEX(regions[], MATCH($D47, regions[[setting]:[setting]],0), MATCH(AH$1, regions[#Headers],0)),INDEX(lmic_raw[],MATCH($A47,lmic_raw[[setting]:[setting]],0), MATCH(AH$1, lmic_raw[#Headers],0)))</f>
        <v>7.6044483648193904E-4</v>
      </c>
      <c r="AI47" s="33">
        <f>IF(INDEX(lmic_raw[],MATCH($A47,lmic_raw[[setting]:[setting]],0), MATCH(AI$1, lmic_raw[#Headers],0))=0, INDEX(regions[], MATCH($D47, regions[[setting]:[setting]],0), MATCH(AI$1, regions[#Headers],0)),INDEX(lmic_raw[],MATCH($A47,lmic_raw[[setting]:[setting]],0), MATCH(AI$1, lmic_raw[#Headers],0)))</f>
        <v>9.382859233619756E-4</v>
      </c>
      <c r="AJ47" s="33">
        <f>IF(INDEX(lmic_raw[],MATCH($A47,lmic_raw[[setting]:[setting]],0), MATCH(AJ$1, lmic_raw[#Headers],0))=0, INDEX(regions[], MATCH($D47, regions[[setting]:[setting]],0), MATCH(AJ$1, regions[#Headers],0)),INDEX(lmic_raw[],MATCH($A47,lmic_raw[[setting]:[setting]],0), MATCH(AJ$1, lmic_raw[#Headers],0)))</f>
        <v>1.4003231053486603E-3</v>
      </c>
      <c r="AK47" s="33">
        <f>IF(INDEX(lmic_raw[],MATCH($A47,lmic_raw[[setting]:[setting]],0), MATCH(AK$1, lmic_raw[#Headers],0))=0, INDEX(regions[], MATCH($D47, regions[[setting]:[setting]],0), MATCH(AK$1, regions[#Headers],0)),INDEX(lmic_raw[],MATCH($A47,lmic_raw[[setting]:[setting]],0), MATCH(AK$1, lmic_raw[#Headers],0)))</f>
        <v>1.9889461737895805E-3</v>
      </c>
      <c r="AL47" s="33">
        <f>IF(INDEX(lmic_raw[],MATCH($A47,lmic_raw[[setting]:[setting]],0), MATCH(AL$1, lmic_raw[#Headers],0))=0, INDEX(regions[], MATCH($D47, regions[[setting]:[setting]],0), MATCH(AL$1, regions[#Headers],0)),INDEX(lmic_raw[],MATCH($A47,lmic_raw[[setting]:[setting]],0), MATCH(AL$1, lmic_raw[#Headers],0)))</f>
        <v>3.0774283108491989E-3</v>
      </c>
      <c r="AM47" s="33">
        <f>IF(INDEX(lmic_raw[],MATCH($A47,lmic_raw[[setting]:[setting]],0), MATCH(AM$1, lmic_raw[#Headers],0))=0, INDEX(regions[], MATCH($D47, regions[[setting]:[setting]],0), MATCH(AM$1, regions[#Headers],0)),INDEX(lmic_raw[],MATCH($A47,lmic_raw[[setting]:[setting]],0), MATCH(AM$1, lmic_raw[#Headers],0)))</f>
        <v>5.0342282800873482E-3</v>
      </c>
      <c r="AN47" s="33">
        <f>IF(INDEX(lmic_raw[],MATCH($A47,lmic_raw[[setting]:[setting]],0), MATCH(AN$1, lmic_raw[#Headers],0))=0, INDEX(regions[], MATCH($D47, regions[[setting]:[setting]],0), MATCH(AN$1, regions[#Headers],0)),INDEX(lmic_raw[],MATCH($A47,lmic_raw[[setting]:[setting]],0), MATCH(AN$1, lmic_raw[#Headers],0)))</f>
        <v>7.4128365925189869E-3</v>
      </c>
      <c r="AO47" s="33">
        <f>IF(INDEX(lmic_raw[],MATCH($A47,lmic_raw[[setting]:[setting]],0), MATCH(AO$1, lmic_raw[#Headers],0))=0, INDEX(regions[], MATCH($D47, regions[[setting]:[setting]],0), MATCH(AO$1, regions[#Headers],0)),INDEX(lmic_raw[],MATCH($A47,lmic_raw[[setting]:[setting]],0), MATCH(AO$1, lmic_raw[#Headers],0)))</f>
        <v>1.0913221897763821E-2</v>
      </c>
      <c r="AP47" s="33">
        <f>IF(INDEX(lmic_raw[],MATCH($A47,lmic_raw[[setting]:[setting]],0), MATCH(AP$1, lmic_raw[#Headers],0))=0, INDEX(regions[], MATCH($D47, regions[[setting]:[setting]],0), MATCH(AP$1, regions[#Headers],0)),INDEX(lmic_raw[],MATCH($A47,lmic_raw[[setting]:[setting]],0), MATCH(AP$1, lmic_raw[#Headers],0)))</f>
        <v>1.5735986414418947E-2</v>
      </c>
      <c r="AQ47" s="33">
        <f>IF(INDEX(lmic_raw[],MATCH($A47,lmic_raw[[setting]:[setting]],0), MATCH(AQ$1, lmic_raw[#Headers],0))=0, INDEX(regions[], MATCH($D47, regions[[setting]:[setting]],0), MATCH(AQ$1, regions[#Headers],0)),INDEX(lmic_raw[],MATCH($A47,lmic_raw[[setting]:[setting]],0), MATCH(AQ$1, lmic_raw[#Headers],0)))</f>
        <v>2.2391947554543861E-2</v>
      </c>
      <c r="AR47" s="33">
        <f>IF(INDEX(lmic_raw[],MATCH($A47,lmic_raw[[setting]:[setting]],0), MATCH(AR$1, lmic_raw[#Headers],0))=0, INDEX(regions[], MATCH($D47, regions[[setting]:[setting]],0), MATCH(AR$1, regions[#Headers],0)),INDEX(lmic_raw[],MATCH($A47,lmic_raw[[setting]:[setting]],0), MATCH(AR$1, lmic_raw[#Headers],0)))</f>
        <v>3.5964808161803266E-2</v>
      </c>
      <c r="AS47" s="33">
        <f>IF(INDEX(lmic_raw[],MATCH($A47,lmic_raw[[setting]:[setting]],0), MATCH(AS$1, lmic_raw[#Headers],0))=0, INDEX(regions[], MATCH($D47, regions[[setting]:[setting]],0), MATCH(AS$1, regions[#Headers],0)),INDEX(lmic_raw[],MATCH($A47,lmic_raw[[setting]:[setting]],0), MATCH(AS$1, lmic_raw[#Headers],0)))</f>
        <v>5.749216665832782E-2</v>
      </c>
      <c r="AT47" s="33">
        <f>IF(INDEX(lmic_raw[],MATCH($A47,lmic_raw[[setting]:[setting]],0), MATCH(AT$1, lmic_raw[#Headers],0))=0, INDEX(regions[], MATCH($D47, regions[[setting]:[setting]],0), MATCH(AT$1, regions[#Headers],0)),INDEX(lmic_raw[],MATCH($A47,lmic_raw[[setting]:[setting]],0), MATCH(AT$1, lmic_raw[#Headers],0)))</f>
        <v>8.5833556720407642E-2</v>
      </c>
      <c r="AU47" s="33">
        <f>IF(INDEX(lmic_raw[],MATCH($A47,lmic_raw[[setting]:[setting]],0), MATCH(AU$1, lmic_raw[#Headers],0))=0, INDEX(regions[], MATCH($D47, regions[[setting]:[setting]],0), MATCH(AU$1, regions[#Headers],0)),INDEX(lmic_raw[],MATCH($A47,lmic_raw[[setting]:[setting]],0), MATCH(AU$1, lmic_raw[#Headers],0)))</f>
        <v>0.11840450151830864</v>
      </c>
      <c r="AV47" s="33">
        <f>IF(INDEX(lmic_raw[],MATCH($A47,lmic_raw[[setting]:[setting]],0), MATCH(AV$1, lmic_raw[#Headers],0))=0, INDEX(regions[], MATCH($D47, regions[[setting]:[setting]],0), MATCH(AV$1, regions[#Headers],0)),INDEX(lmic_raw[],MATCH($A47,lmic_raw[[setting]:[setting]],0), MATCH(AV$1, lmic_raw[#Headers],0)))</f>
        <v>0.15124273128827495</v>
      </c>
      <c r="AW47" s="33">
        <f>IF(INDEX(lmic_raw[],MATCH($A47,lmic_raw[[setting]:[setting]],0), MATCH(AW$1, lmic_raw[#Headers],0))=0, INDEX(regions[], MATCH($D47, regions[[setting]:[setting]],0), MATCH(AW$1, regions[#Headers],0)),INDEX(lmic_raw[],MATCH($A47,lmic_raw[[setting]:[setting]],0), MATCH(AW$1, lmic_raw[#Headers],0)))</f>
        <v>0.17455391798157871</v>
      </c>
      <c r="AX47" s="33">
        <f>IF(INDEX(lmic_raw[],MATCH($A47,lmic_raw[[setting]:[setting]],0), MATCH(AX$1, lmic_raw[#Headers],0))=0, INDEX(regions[], MATCH($D47, regions[[setting]:[setting]],0), MATCH(AX$1, regions[#Headers],0)),INDEX(lmic_raw[],MATCH($A47,lmic_raw[[setting]:[setting]],0), MATCH(AX$1, lmic_raw[#Headers],0)))</f>
        <v>73.52</v>
      </c>
      <c r="AY47" s="33" t="str">
        <f>IF(VLOOKUP($A47,lmic_raw[],11,FALSE)=0, "Yes", "No")</f>
        <v>No</v>
      </c>
    </row>
    <row r="48" spans="1:51" x14ac:dyDescent="0.25">
      <c r="A48" s="109" t="s">
        <v>143</v>
      </c>
      <c r="B48" s="101" t="s">
        <v>431</v>
      </c>
      <c r="C48" s="102">
        <v>288</v>
      </c>
      <c r="D48" s="82" t="s">
        <v>677</v>
      </c>
      <c r="E48" s="82" t="s">
        <v>591</v>
      </c>
      <c r="F48" s="82" t="s">
        <v>667</v>
      </c>
      <c r="G48" s="82" t="s">
        <v>678</v>
      </c>
      <c r="H48" s="33">
        <f>IF(INDEX(lmic_raw[],MATCH($A48,lmic_raw[[setting]:[setting]],0), MATCH(H$1, lmic_raw[#Headers],0))=0, INDEX(regions[], MATCH($D48, regions[[setting]:[setting]],0), MATCH(H$1, regions[#Headers],0)),INDEX(lmic_raw[],MATCH($A48,lmic_raw[[setting]:[setting]],0), MATCH(H$1, lmic_raw[#Headers],0)))</f>
        <v>30417858</v>
      </c>
      <c r="I48" s="33">
        <f>IF(INDEX(lmic_raw[],MATCH($A48,lmic_raw[[setting]:[setting]],0), MATCH(I$1, lmic_raw[#Headers],0))=0, INDEX(regions[], MATCH($D48, regions[[setting]:[setting]],0), MATCH(I$1, regions[#Headers],0)),INDEX(lmic_raw[],MATCH($A48,lmic_raw[[setting]:[setting]],0), MATCH(I$1, lmic_raw[#Headers],0)))</f>
        <v>899577.7324920001</v>
      </c>
      <c r="J48" s="33">
        <f>IF(INDEX(lmic_raw[],MATCH($A48,lmic_raw[[setting]:[setting]],0), MATCH(J$1, lmic_raw[#Headers],0))=0, INDEX(regions[], MATCH($D48, regions[[setting]:[setting]],0), MATCH(J$1, regions[#Headers],0)),INDEX(lmic_raw[],MATCH($A48,lmic_raw[[setting]:[setting]],0), MATCH(J$1, lmic_raw[#Headers],0)))</f>
        <v>0.77900000000000003</v>
      </c>
      <c r="K48" s="33">
        <f>IF(INDEX(lmic_raw[],MATCH($A48,lmic_raw[[setting]:[setting]],0), MATCH(K$1, lmic_raw[#Headers],0))=0, INDEX(regions[], MATCH($D48, regions[[setting]:[setting]],0), MATCH(K$1, regions[#Headers],0)),INDEX(lmic_raw[],MATCH($A48,lmic_raw[[setting]:[setting]],0), MATCH(K$1, lmic_raw[#Headers],0)))</f>
        <v>0.69252604416320784</v>
      </c>
      <c r="L48" s="33">
        <f>IF(INDEX(lmic_raw[],MATCH($A48,lmic_raw[[setting]:[setting]],0), MATCH(L$1, lmic_raw[#Headers],0))=0, INDEX(regions[], MATCH($D48, regions[[setting]:[setting]],0), MATCH(L$1, regions[#Headers],0)),INDEX(lmic_raw[],MATCH($A48,lmic_raw[[setting]:[setting]],0), MATCH(L$1, lmic_raw[#Headers],0)))</f>
        <v>0.97</v>
      </c>
      <c r="M48" s="33">
        <f>IF(INDEX(lmic_raw[],MATCH($A48,lmic_raw[[setting]:[setting]],0), MATCH(M$1, lmic_raw[#Headers],0))=0, INDEX(regions[], MATCH($D48, regions[[setting]:[setting]],0), MATCH(M$1, regions[#Headers],0)),INDEX(lmic_raw[],MATCH($A48,lmic_raw[[setting]:[setting]],0), MATCH(M$1, lmic_raw[#Headers],0)))</f>
        <v>8.6300000000000002E-2</v>
      </c>
      <c r="N48" s="33">
        <f>IF(INDEX(lmic_raw[],MATCH($A48,lmic_raw[[setting]:[setting]],0), MATCH(N$1, lmic_raw[#Headers],0))=0, INDEX(regions[], MATCH($D48, regions[[setting]:[setting]],0), MATCH(N$1, regions[#Headers],0)),INDEX(lmic_raw[],MATCH($A48,lmic_raw[[setting]:[setting]],0), MATCH(N$1, lmic_raw[#Headers],0)))</f>
        <v>0.28403638578377721</v>
      </c>
      <c r="O48" s="33">
        <f>IF(INDEX(lmic_raw[],MATCH($A48,lmic_raw[[setting]:[setting]],0), MATCH(O$1, lmic_raw[#Headers],0))=0, INDEX(regions[], MATCH($D48, regions[[setting]:[setting]],0), MATCH(O$1, regions[#Headers],0)),INDEX(lmic_raw[],MATCH($A48,lmic_raw[[setting]:[setting]],0), MATCH(O$1, lmic_raw[#Headers],0)))</f>
        <v>0.38300000000000001</v>
      </c>
      <c r="P48" s="33">
        <f>IF(INDEX(lmic_raw[],MATCH($A48,lmic_raw[[setting]:[setting]],0), MATCH(P$1, lmic_raw[#Headers],0))=0, INDEX(regions[], MATCH($D48, regions[[setting]:[setting]],0), MATCH(P$1, regions[#Headers],0)),INDEX(lmic_raw[],MATCH($A48,lmic_raw[[setting]:[setting]],0), MATCH(P$1, lmic_raw[#Headers],0)))</f>
        <v>4.8000000000000001E-2</v>
      </c>
      <c r="Q48" s="33">
        <f>IF(INDEX(lmic_raw[],MATCH($A48,lmic_raw[[setting]:[setting]],0), MATCH(Q$1, lmic_raw[#Headers],0))=0, INDEX(regions[], MATCH($D48, regions[[setting]:[setting]],0), MATCH(Q$1, regions[#Headers],0)),INDEX(lmic_raw[],MATCH($A48,lmic_raw[[setting]:[setting]],0), MATCH(Q$1, lmic_raw[#Headers],0)))</f>
        <v>3.3466691387185286</v>
      </c>
      <c r="R48" s="33">
        <f>IF(INDEX(lmic_raw[],MATCH($A48,lmic_raw[[setting]:[setting]],0), MATCH(R$1, lmic_raw[#Headers],0))=0, INDEX(regions[], MATCH($D48, regions[[setting]:[setting]],0), MATCH(R$1, regions[#Headers],0)),INDEX(lmic_raw[],MATCH($A48,lmic_raw[[setting]:[setting]],0), MATCH(R$1, lmic_raw[#Headers],0)))</f>
        <v>29.920500000000001</v>
      </c>
      <c r="S48" s="33">
        <f>IF(INDEX(lmic_raw[],MATCH($A48,lmic_raw[[setting]:[setting]],0), MATCH(S$1, lmic_raw[#Headers],0))=0, INDEX(regions[], MATCH($D48, regions[[setting]:[setting]],0), MATCH(S$1, regions[#Headers],0)),INDEX(lmic_raw[],MATCH($A48,lmic_raw[[setting]:[setting]],0), MATCH(S$1, lmic_raw[#Headers],0)))</f>
        <v>77.662500000000009</v>
      </c>
      <c r="T48" s="33">
        <f>IF(INDEX(lmic_raw[],MATCH($A48,lmic_raw[[setting]:[setting]],0), MATCH(T$1, lmic_raw[#Headers],0))=0, INDEX(regions[], MATCH($D48, regions[[setting]:[setting]],0), MATCH(T$1, regions[#Headers],0)),INDEX(lmic_raw[],MATCH($A48,lmic_raw[[setting]:[setting]],0), MATCH(T$1, lmic_raw[#Headers],0)))</f>
        <v>77.662500000000009</v>
      </c>
      <c r="U48" s="33">
        <f>IF(INDEX(lmic_raw[],MATCH($A48,lmic_raw[[setting]:[setting]],0), MATCH(U$1, lmic_raw[#Headers],0))=0, INDEX(regions[], MATCH($D48, regions[[setting]:[setting]],0), MATCH(U$1, regions[#Headers],0)),INDEX(lmic_raw[],MATCH($A48,lmic_raw[[setting]:[setting]],0), MATCH(U$1, lmic_raw[#Headers],0)))</f>
        <v>77.662500000000009</v>
      </c>
      <c r="V48" s="33">
        <f>IF(INDEX(lmic_raw[],MATCH($A48,lmic_raw[[setting]:[setting]],0), MATCH(V$1, lmic_raw[#Headers],0))=0, INDEX(regions[], MATCH($D48, regions[[setting]:[setting]],0), MATCH(V$1, regions[#Headers],0)),INDEX(lmic_raw[],MATCH($A48,lmic_raw[[setting]:[setting]],0), MATCH(V$1, lmic_raw[#Headers],0)))</f>
        <v>3.5724017372214236</v>
      </c>
      <c r="W48" s="33">
        <f>IF(INDEX(lmic_raw[],MATCH($A48,lmic_raw[[setting]:[setting]],0), MATCH(W$1, lmic_raw[#Headers],0))=0, INDEX(regions[], MATCH($D48, regions[[setting]:[setting]],0), MATCH(W$1, regions[#Headers],0)),INDEX(lmic_raw[],MATCH($A48,lmic_raw[[setting]:[setting]],0), MATCH(W$1, lmic_raw[#Headers],0)))</f>
        <v>8.4024017372214246</v>
      </c>
      <c r="X48" s="33">
        <f>IF(INDEX(lmic_raw[],MATCH($A48,lmic_raw[[setting]:[setting]],0), MATCH(X$1, lmic_raw[#Headers],0))=0, INDEX(regions[], MATCH($D48, regions[[setting]:[setting]],0), MATCH(X$1, regions[#Headers],0)),INDEX(lmic_raw[],MATCH($A48,lmic_raw[[setting]:[setting]],0), MATCH(X$1, lmic_raw[#Headers],0)))</f>
        <v>3.1421203654354652</v>
      </c>
      <c r="Y48" s="33">
        <f>IF(INDEX(lmic_raw[],MATCH($A48,lmic_raw[[setting]:[setting]],0), MATCH(Y$1, lmic_raw[#Headers],0))=0, INDEX(regions[], MATCH($D48, regions[[setting]:[setting]],0), MATCH(Y$1, regions[#Headers],0)),INDEX(lmic_raw[],MATCH($A48,lmic_raw[[setting]:[setting]],0), MATCH(Y$1, lmic_raw[#Headers],0)))</f>
        <v>7.9721203654354653</v>
      </c>
      <c r="Z48" s="33">
        <f>IF(INDEX(lmic_raw[],MATCH($A48,lmic_raw[[setting]:[setting]],0), MATCH(Z$1, lmic_raw[#Headers],0))=0, INDEX(regions[], MATCH($D48, regions[[setting]:[setting]],0), MATCH(Z$1, regions[#Headers],0)),INDEX(lmic_raw[],MATCH($A48,lmic_raw[[setting]:[setting]],0), MATCH(Z$1, lmic_raw[#Headers],0)))</f>
        <v>7.9673985475229978</v>
      </c>
      <c r="AA48" s="33">
        <f>IF(INDEX(lmic_raw[],MATCH($A48,lmic_raw[[setting]:[setting]],0), MATCH(AA$1, lmic_raw[#Headers],0))=0, INDEX(regions[], MATCH($D48, regions[[setting]:[setting]],0), MATCH(AA$1, regions[#Headers],0)),INDEX(lmic_raw[],MATCH($A48,lmic_raw[[setting]:[setting]],0), MATCH(AA$1, lmic_raw[#Headers],0)))</f>
        <v>3.8157292028675487</v>
      </c>
      <c r="AB48" s="33">
        <f>IF(INDEX(lmic_raw[],MATCH($A48,lmic_raw[[setting]:[setting]],0), MATCH(AB$1, lmic_raw[#Headers],0))=0, INDEX(regions[], MATCH($D48, regions[[setting]:[setting]],0), MATCH(AB$1, regions[#Headers],0)),INDEX(lmic_raw[],MATCH($A48,lmic_raw[[setting]:[setting]],0), MATCH(AB$1, lmic_raw[#Headers],0)))</f>
        <v>8.6457292028675496</v>
      </c>
      <c r="AC48" s="33">
        <f>IF(INDEX(lmic_raw[],MATCH($A48,lmic_raw[[setting]:[setting]],0), MATCH(AC$1, lmic_raw[#Headers],0))=0, INDEX(regions[], MATCH($D48, regions[[setting]:[setting]],0), MATCH(AC$1, regions[#Headers],0)),INDEX(lmic_raw[],MATCH($A48,lmic_raw[[setting]:[setting]],0), MATCH(AC$1, lmic_raw[#Headers],0)))</f>
        <v>3.5642599999999948E-2</v>
      </c>
      <c r="AD48" s="33">
        <f>IF(INDEX(lmic_raw[],MATCH($A48,lmic_raw[[setting]:[setting]],0), MATCH(AD$1, lmic_raw[#Headers],0))=0, INDEX(regions[], MATCH($D48, regions[[setting]:[setting]],0), MATCH(AD$1, regions[#Headers],0)),INDEX(lmic_raw[],MATCH($A48,lmic_raw[[setting]:[setting]],0), MATCH(AD$1, lmic_raw[#Headers],0)))</f>
        <v>4.149856681765509E-3</v>
      </c>
      <c r="AE48" s="33">
        <f>IF(INDEX(lmic_raw[],MATCH($A48,lmic_raw[[setting]:[setting]],0), MATCH(AE$1, lmic_raw[#Headers],0))=0, INDEX(regions[], MATCH($D48, regions[[setting]:[setting]],0), MATCH(AE$1, regions[#Headers],0)),INDEX(lmic_raw[],MATCH($A48,lmic_raw[[setting]:[setting]],0), MATCH(AE$1, lmic_raw[#Headers],0)))</f>
        <v>2.4289206759000818E-3</v>
      </c>
      <c r="AF48" s="33">
        <f>IF(INDEX(lmic_raw[],MATCH($A48,lmic_raw[[setting]:[setting]],0), MATCH(AF$1, lmic_raw[#Headers],0))=0, INDEX(regions[], MATCH($D48, regions[[setting]:[setting]],0), MATCH(AF$1, regions[#Headers],0)),INDEX(lmic_raw[],MATCH($A48,lmic_raw[[setting]:[setting]],0), MATCH(AF$1, lmic_raw[#Headers],0)))</f>
        <v>1.4780126761002475E-3</v>
      </c>
      <c r="AG48" s="33">
        <f>IF(INDEX(lmic_raw[],MATCH($A48,lmic_raw[[setting]:[setting]],0), MATCH(AG$1, lmic_raw[#Headers],0))=0, INDEX(regions[], MATCH($D48, regions[[setting]:[setting]],0), MATCH(AG$1, regions[#Headers],0)),INDEX(lmic_raw[],MATCH($A48,lmic_raw[[setting]:[setting]],0), MATCH(AG$1, lmic_raw[#Headers],0)))</f>
        <v>2.2701080527187663E-3</v>
      </c>
      <c r="AH48" s="33">
        <f>IF(INDEX(lmic_raw[],MATCH($A48,lmic_raw[[setting]:[setting]],0), MATCH(AH$1, lmic_raw[#Headers],0))=0, INDEX(regions[], MATCH($D48, regions[[setting]:[setting]],0), MATCH(AH$1, regions[#Headers],0)),INDEX(lmic_raw[],MATCH($A48,lmic_raw[[setting]:[setting]],0), MATCH(AH$1, lmic_raw[#Headers],0)))</f>
        <v>3.1965747429605808E-3</v>
      </c>
      <c r="AI48" s="33">
        <f>IF(INDEX(lmic_raw[],MATCH($A48,lmic_raw[[setting]:[setting]],0), MATCH(AI$1, lmic_raw[#Headers],0))=0, INDEX(regions[], MATCH($D48, regions[[setting]:[setting]],0), MATCH(AI$1, regions[#Headers],0)),INDEX(lmic_raw[],MATCH($A48,lmic_raw[[setting]:[setting]],0), MATCH(AI$1, lmic_raw[#Headers],0)))</f>
        <v>3.4179442965405391E-3</v>
      </c>
      <c r="AJ48" s="33">
        <f>IF(INDEX(lmic_raw[],MATCH($A48,lmic_raw[[setting]:[setting]],0), MATCH(AJ$1, lmic_raw[#Headers],0))=0, INDEX(regions[], MATCH($D48, regions[[setting]:[setting]],0), MATCH(AJ$1, regions[#Headers],0)),INDEX(lmic_raw[],MATCH($A48,lmic_raw[[setting]:[setting]],0), MATCH(AJ$1, lmic_raw[#Headers],0)))</f>
        <v>3.7990990910748736E-3</v>
      </c>
      <c r="AK48" s="33">
        <f>IF(INDEX(lmic_raw[],MATCH($A48,lmic_raw[[setting]:[setting]],0), MATCH(AK$1, lmic_raw[#Headers],0))=0, INDEX(regions[], MATCH($D48, regions[[setting]:[setting]],0), MATCH(AK$1, regions[#Headers],0)),INDEX(lmic_raw[],MATCH($A48,lmic_raw[[setting]:[setting]],0), MATCH(AK$1, lmic_raw[#Headers],0)))</f>
        <v>4.3840796455411864E-3</v>
      </c>
      <c r="AL48" s="33">
        <f>IF(INDEX(lmic_raw[],MATCH($A48,lmic_raw[[setting]:[setting]],0), MATCH(AL$1, lmic_raw[#Headers],0))=0, INDEX(regions[], MATCH($D48, regions[[setting]:[setting]],0), MATCH(AL$1, regions[#Headers],0)),INDEX(lmic_raw[],MATCH($A48,lmic_raw[[setting]:[setting]],0), MATCH(AL$1, lmic_raw[#Headers],0)))</f>
        <v>5.4620319673887507E-3</v>
      </c>
      <c r="AM48" s="33">
        <f>IF(INDEX(lmic_raw[],MATCH($A48,lmic_raw[[setting]:[setting]],0), MATCH(AM$1, lmic_raw[#Headers],0))=0, INDEX(regions[], MATCH($D48, regions[[setting]:[setting]],0), MATCH(AM$1, regions[#Headers],0)),INDEX(lmic_raw[],MATCH($A48,lmic_raw[[setting]:[setting]],0), MATCH(AM$1, lmic_raw[#Headers],0)))</f>
        <v>6.9136575860238936E-3</v>
      </c>
      <c r="AN48" s="33">
        <f>IF(INDEX(lmic_raw[],MATCH($A48,lmic_raw[[setting]:[setting]],0), MATCH(AN$1, lmic_raw[#Headers],0))=0, INDEX(regions[], MATCH($D48, regions[[setting]:[setting]],0), MATCH(AN$1, regions[#Headers],0)),INDEX(lmic_raw[],MATCH($A48,lmic_raw[[setting]:[setting]],0), MATCH(AN$1, lmic_raw[#Headers],0)))</f>
        <v>9.7826339431338512E-3</v>
      </c>
      <c r="AO48" s="33">
        <f>IF(INDEX(lmic_raw[],MATCH($A48,lmic_raw[[setting]:[setting]],0), MATCH(AO$1, lmic_raw[#Headers],0))=0, INDEX(regions[], MATCH($D48, regions[[setting]:[setting]],0), MATCH(AO$1, regions[#Headers],0)),INDEX(lmic_raw[],MATCH($A48,lmic_raw[[setting]:[setting]],0), MATCH(AO$1, lmic_raw[#Headers],0)))</f>
        <v>1.3975423628321094E-2</v>
      </c>
      <c r="AP48" s="33">
        <f>IF(INDEX(lmic_raw[],MATCH($A48,lmic_raw[[setting]:[setting]],0), MATCH(AP$1, lmic_raw[#Headers],0))=0, INDEX(regions[], MATCH($D48, regions[[setting]:[setting]],0), MATCH(AP$1, regions[#Headers],0)),INDEX(lmic_raw[],MATCH($A48,lmic_raw[[setting]:[setting]],0), MATCH(AP$1, lmic_raw[#Headers],0)))</f>
        <v>2.1658255532280242E-2</v>
      </c>
      <c r="AQ48" s="33">
        <f>IF(INDEX(lmic_raw[],MATCH($A48,lmic_raw[[setting]:[setting]],0), MATCH(AQ$1, lmic_raw[#Headers],0))=0, INDEX(regions[], MATCH($D48, regions[[setting]:[setting]],0), MATCH(AQ$1, regions[#Headers],0)),INDEX(lmic_raw[],MATCH($A48,lmic_raw[[setting]:[setting]],0), MATCH(AQ$1, lmic_raw[#Headers],0)))</f>
        <v>3.3396493720368937E-2</v>
      </c>
      <c r="AR48" s="33">
        <f>IF(INDEX(lmic_raw[],MATCH($A48,lmic_raw[[setting]:[setting]],0), MATCH(AR$1, lmic_raw[#Headers],0))=0, INDEX(regions[], MATCH($D48, regions[[setting]:[setting]],0), MATCH(AR$1, regions[#Headers],0)),INDEX(lmic_raw[],MATCH($A48,lmic_raw[[setting]:[setting]],0), MATCH(AR$1, lmic_raw[#Headers],0)))</f>
        <v>5.3643305615802127E-2</v>
      </c>
      <c r="AS48" s="33">
        <f>IF(INDEX(lmic_raw[],MATCH($A48,lmic_raw[[setting]:[setting]],0), MATCH(AS$1, lmic_raw[#Headers],0))=0, INDEX(regions[], MATCH($D48, regions[[setting]:[setting]],0), MATCH(AS$1, regions[#Headers],0)),INDEX(lmic_raw[],MATCH($A48,lmic_raw[[setting]:[setting]],0), MATCH(AS$1, lmic_raw[#Headers],0)))</f>
        <v>8.2942202743849419E-2</v>
      </c>
      <c r="AT48" s="33">
        <f>IF(INDEX(lmic_raw[],MATCH($A48,lmic_raw[[setting]:[setting]],0), MATCH(AT$1, lmic_raw[#Headers],0))=0, INDEX(regions[], MATCH($D48, regions[[setting]:[setting]],0), MATCH(AT$1, regions[#Headers],0)),INDEX(lmic_raw[],MATCH($A48,lmic_raw[[setting]:[setting]],0), MATCH(AT$1, lmic_raw[#Headers],0)))</f>
        <v>0.11649930948760615</v>
      </c>
      <c r="AU48" s="33">
        <f>IF(INDEX(lmic_raw[],MATCH($A48,lmic_raw[[setting]:[setting]],0), MATCH(AU$1, lmic_raw[#Headers],0))=0, INDEX(regions[], MATCH($D48, regions[[setting]:[setting]],0), MATCH(AU$1, regions[#Headers],0)),INDEX(lmic_raw[],MATCH($A48,lmic_raw[[setting]:[setting]],0), MATCH(AU$1, lmic_raw[#Headers],0)))</f>
        <v>0.14710779935977858</v>
      </c>
      <c r="AV48" s="33">
        <f>IF(INDEX(lmic_raw[],MATCH($A48,lmic_raw[[setting]:[setting]],0), MATCH(AV$1, lmic_raw[#Headers],0))=0, INDEX(regions[], MATCH($D48, regions[[setting]:[setting]],0), MATCH(AV$1, regions[#Headers],0)),INDEX(lmic_raw[],MATCH($A48,lmic_raw[[setting]:[setting]],0), MATCH(AV$1, lmic_raw[#Headers],0)))</f>
        <v>0.16969064515389221</v>
      </c>
      <c r="AW48" s="33">
        <f>IF(INDEX(lmic_raw[],MATCH($A48,lmic_raw[[setting]:[setting]],0), MATCH(AW$1, lmic_raw[#Headers],0))=0, INDEX(regions[], MATCH($D48, regions[[setting]:[setting]],0), MATCH(AW$1, regions[#Headers],0)),INDEX(lmic_raw[],MATCH($A48,lmic_raw[[setting]:[setting]],0), MATCH(AW$1, lmic_raw[#Headers],0)))</f>
        <v>0.18507690604955032</v>
      </c>
      <c r="AX48" s="33">
        <f>IF(INDEX(lmic_raw[],MATCH($A48,lmic_raw[[setting]:[setting]],0), MATCH(AX$1, lmic_raw[#Headers],0))=0, INDEX(regions[], MATCH($D48, regions[[setting]:[setting]],0), MATCH(AX$1, regions[#Headers],0)),INDEX(lmic_raw[],MATCH($A48,lmic_raw[[setting]:[setting]],0), MATCH(AX$1, lmic_raw[#Headers],0)))</f>
        <v>63.652000000000001</v>
      </c>
      <c r="AY48" s="33" t="str">
        <f>IF(VLOOKUP($A48,lmic_raw[],11,FALSE)=0, "Yes", "No")</f>
        <v>Yes</v>
      </c>
    </row>
    <row r="49" spans="1:51" x14ac:dyDescent="0.25">
      <c r="A49" s="110" t="s">
        <v>236</v>
      </c>
      <c r="B49" s="104" t="s">
        <v>619</v>
      </c>
      <c r="C49" s="105">
        <v>308</v>
      </c>
      <c r="D49" s="84" t="s">
        <v>679</v>
      </c>
      <c r="E49" s="84" t="s">
        <v>223</v>
      </c>
      <c r="F49" s="84" t="s">
        <v>665</v>
      </c>
      <c r="G49" s="84" t="s">
        <v>676</v>
      </c>
      <c r="H49" s="33">
        <f>IF(INDEX(lmic_raw[],MATCH($A49,lmic_raw[[setting]:[setting]],0), MATCH(H$1, lmic_raw[#Headers],0))=0, INDEX(regions[], MATCH($D49, regions[[setting]:[setting]],0), MATCH(H$1, regions[#Headers],0)),INDEX(lmic_raw[],MATCH($A49,lmic_raw[[setting]:[setting]],0), MATCH(H$1, lmic_raw[#Headers],0)))</f>
        <v>112002</v>
      </c>
      <c r="I49" s="33">
        <f>IF(INDEX(lmic_raw[],MATCH($A49,lmic_raw[[setting]:[setting]],0), MATCH(I$1, lmic_raw[#Headers],0))=0, INDEX(regions[], MATCH($D49, regions[[setting]:[setting]],0), MATCH(I$1, regions[#Headers],0)),INDEX(lmic_raw[],MATCH($A49,lmic_raw[[setting]:[setting]],0), MATCH(I$1, lmic_raw[#Headers],0)))</f>
        <v>1858.7851919999998</v>
      </c>
      <c r="J49" s="33">
        <f>IF(INDEX(lmic_raw[],MATCH($A49,lmic_raw[[setting]:[setting]],0), MATCH(J$1, lmic_raw[#Headers],0))=0, INDEX(regions[], MATCH($D49, regions[[setting]:[setting]],0), MATCH(J$1, regions[#Headers],0)),INDEX(lmic_raw[],MATCH($A49,lmic_raw[[setting]:[setting]],0), MATCH(J$1, lmic_raw[#Headers],0)))</f>
        <v>0.95521543039667178</v>
      </c>
      <c r="K49" s="33">
        <f>IF(INDEX(lmic_raw[],MATCH($A49,lmic_raw[[setting]:[setting]],0), MATCH(K$1, lmic_raw[#Headers],0))=0, INDEX(regions[], MATCH($D49, regions[[setting]:[setting]],0), MATCH(K$1, regions[#Headers],0)),INDEX(lmic_raw[],MATCH($A49,lmic_raw[[setting]:[setting]],0), MATCH(K$1, lmic_raw[#Headers],0)))</f>
        <v>0.96</v>
      </c>
      <c r="L49" s="33">
        <f>IF(INDEX(lmic_raw[],MATCH($A49,lmic_raw[[setting]:[setting]],0), MATCH(L$1, lmic_raw[#Headers],0))=0, INDEX(regions[], MATCH($D49, regions[[setting]:[setting]],0), MATCH(L$1, regions[#Headers],0)),INDEX(lmic_raw[],MATCH($A49,lmic_raw[[setting]:[setting]],0), MATCH(L$1, lmic_raw[#Headers],0)))</f>
        <v>0.94</v>
      </c>
      <c r="M49" s="33">
        <f>IF(INDEX(lmic_raw[],MATCH($A49,lmic_raw[[setting]:[setting]],0), MATCH(M$1, lmic_raw[#Headers],0))=0, INDEX(regions[], MATCH($D49, regions[[setting]:[setting]],0), MATCH(M$1, regions[#Headers],0)),INDEX(lmic_raw[],MATCH($A49,lmic_raw[[setting]:[setting]],0), MATCH(M$1, lmic_raw[#Headers],0)))</f>
        <v>1.3600000000000001E-2</v>
      </c>
      <c r="N49" s="33">
        <f>IF(INDEX(lmic_raw[],MATCH($A49,lmic_raw[[setting]:[setting]],0), MATCH(N$1, lmic_raw[#Headers],0))=0, INDEX(regions[], MATCH($D49, regions[[setting]:[setting]],0), MATCH(N$1, regions[#Headers],0)),INDEX(lmic_raw[],MATCH($A49,lmic_raw[[setting]:[setting]],0), MATCH(N$1, lmic_raw[#Headers],0)))</f>
        <v>0.29613894314236111</v>
      </c>
      <c r="O49" s="33">
        <f>IF(INDEX(lmic_raw[],MATCH($A49,lmic_raw[[setting]:[setting]],0), MATCH(O$1, lmic_raw[#Headers],0))=0, INDEX(regions[], MATCH($D49, regions[[setting]:[setting]],0), MATCH(O$1, regions[#Headers],0)),INDEX(lmic_raw[],MATCH($A49,lmic_raw[[setting]:[setting]],0), MATCH(O$1, lmic_raw[#Headers],0)))</f>
        <v>0.8</v>
      </c>
      <c r="P49" s="33">
        <f>IF(INDEX(lmic_raw[],MATCH($A49,lmic_raw[[setting]:[setting]],0), MATCH(P$1, lmic_raw[#Headers],0))=0, INDEX(regions[], MATCH($D49, regions[[setting]:[setting]],0), MATCH(P$1, regions[#Headers],0)),INDEX(lmic_raw[],MATCH($A49,lmic_raw[[setting]:[setting]],0), MATCH(P$1, lmic_raw[#Headers],0)))</f>
        <v>0.17499999999999999</v>
      </c>
      <c r="Q49" s="33">
        <f>IF(INDEX(lmic_raw[],MATCH($A49,lmic_raw[[setting]:[setting]],0), MATCH(Q$1, lmic_raw[#Headers],0))=0, INDEX(regions[], MATCH($D49, regions[[setting]:[setting]],0), MATCH(Q$1, regions[#Headers],0)),INDEX(lmic_raw[],MATCH($A49,lmic_raw[[setting]:[setting]],0), MATCH(Q$1, lmic_raw[#Headers],0)))</f>
        <v>13.340409371518588</v>
      </c>
      <c r="R49" s="33">
        <f>IF(INDEX(lmic_raw[],MATCH($A49,lmic_raw[[setting]:[setting]],0), MATCH(R$1, lmic_raw[#Headers],0))=0, INDEX(regions[], MATCH($D49, regions[[setting]:[setting]],0), MATCH(R$1, regions[#Headers],0)),INDEX(lmic_raw[],MATCH($A49,lmic_raw[[setting]:[setting]],0), MATCH(R$1, lmic_raw[#Headers],0)))</f>
        <v>86.883899999999997</v>
      </c>
      <c r="S49" s="33">
        <f>IF(INDEX(lmic_raw[],MATCH($A49,lmic_raw[[setting]:[setting]],0), MATCH(S$1, lmic_raw[#Headers],0))=0, INDEX(regions[], MATCH($D49, regions[[setting]:[setting]],0), MATCH(S$1, regions[#Headers],0)),INDEX(lmic_raw[],MATCH($A49,lmic_raw[[setting]:[setting]],0), MATCH(S$1, lmic_raw[#Headers],0)))</f>
        <v>134.6259</v>
      </c>
      <c r="T49" s="33">
        <f>IF(INDEX(lmic_raw[],MATCH($A49,lmic_raw[[setting]:[setting]],0), MATCH(T$1, lmic_raw[#Headers],0))=0, INDEX(regions[], MATCH($D49, regions[[setting]:[setting]],0), MATCH(T$1, regions[#Headers],0)),INDEX(lmic_raw[],MATCH($A49,lmic_raw[[setting]:[setting]],0), MATCH(T$1, lmic_raw[#Headers],0)))</f>
        <v>134.6259</v>
      </c>
      <c r="U49" s="33">
        <f>IF(INDEX(lmic_raw[],MATCH($A49,lmic_raw[[setting]:[setting]],0), MATCH(U$1, lmic_raw[#Headers],0))=0, INDEX(regions[], MATCH($D49, regions[[setting]:[setting]],0), MATCH(U$1, regions[#Headers],0)),INDEX(lmic_raw[],MATCH($A49,lmic_raw[[setting]:[setting]],0), MATCH(U$1, lmic_raw[#Headers],0)))</f>
        <v>134.6259</v>
      </c>
      <c r="V49" s="33">
        <f>IF(INDEX(lmic_raw[],MATCH($A49,lmic_raw[[setting]:[setting]],0), MATCH(V$1, lmic_raw[#Headers],0))=0, INDEX(regions[], MATCH($D49, regions[[setting]:[setting]],0), MATCH(V$1, regions[#Headers],0)),INDEX(lmic_raw[],MATCH($A49,lmic_raw[[setting]:[setting]],0), MATCH(V$1, lmic_raw[#Headers],0)))</f>
        <v>16.506643500793057</v>
      </c>
      <c r="W49" s="33">
        <f>IF(INDEX(lmic_raw[],MATCH($A49,lmic_raw[[setting]:[setting]],0), MATCH(W$1, lmic_raw[#Headers],0))=0, INDEX(regions[], MATCH($D49, regions[[setting]:[setting]],0), MATCH(W$1, regions[#Headers],0)),INDEX(lmic_raw[],MATCH($A49,lmic_raw[[setting]:[setting]],0), MATCH(W$1, lmic_raw[#Headers],0)))</f>
        <v>16.526643500793057</v>
      </c>
      <c r="X49" s="33">
        <f>IF(INDEX(lmic_raw[],MATCH($A49,lmic_raw[[setting]:[setting]],0), MATCH(X$1, lmic_raw[#Headers],0))=0, INDEX(regions[], MATCH($D49, regions[[setting]:[setting]],0), MATCH(X$1, regions[#Headers],0)),INDEX(lmic_raw[],MATCH($A49,lmic_raw[[setting]:[setting]],0), MATCH(X$1, lmic_raw[#Headers],0)))</f>
        <v>16.055848600197468</v>
      </c>
      <c r="Y49" s="33">
        <f>IF(INDEX(lmic_raw[],MATCH($A49,lmic_raw[[setting]:[setting]],0), MATCH(Y$1, lmic_raw[#Headers],0))=0, INDEX(regions[], MATCH($D49, regions[[setting]:[setting]],0), MATCH(Y$1, regions[#Headers],0)),INDEX(lmic_raw[],MATCH($A49,lmic_raw[[setting]:[setting]],0), MATCH(Y$1, lmic_raw[#Headers],0)))</f>
        <v>16.075848600197467</v>
      </c>
      <c r="Z49" s="33">
        <f>IF(INDEX(lmic_raw[],MATCH($A49,lmic_raw[[setting]:[setting]],0), MATCH(Z$1, lmic_raw[#Headers],0))=0, INDEX(regions[], MATCH($D49, regions[[setting]:[setting]],0), MATCH(Z$1, regions[#Headers],0)),INDEX(lmic_raw[],MATCH($A49,lmic_raw[[setting]:[setting]],0), MATCH(Z$1, lmic_raw[#Headers],0)))</f>
        <v>16.063279888976453</v>
      </c>
      <c r="AA49" s="33">
        <f>IF(INDEX(lmic_raw[],MATCH($A49,lmic_raw[[setting]:[setting]],0), MATCH(AA$1, lmic_raw[#Headers],0))=0, INDEX(regions[], MATCH($D49, regions[[setting]:[setting]],0), MATCH(AA$1, regions[#Headers],0)),INDEX(lmic_raw[],MATCH($A49,lmic_raw[[setting]:[setting]],0), MATCH(AA$1, lmic_raw[#Headers],0)))</f>
        <v>16.757365377986844</v>
      </c>
      <c r="AB49" s="33">
        <f>IF(INDEX(lmic_raw[],MATCH($A49,lmic_raw[[setting]:[setting]],0), MATCH(AB$1, lmic_raw[#Headers],0))=0, INDEX(regions[], MATCH($D49, regions[[setting]:[setting]],0), MATCH(AB$1, regions[#Headers],0)),INDEX(lmic_raw[],MATCH($A49,lmic_raw[[setting]:[setting]],0), MATCH(AB$1, lmic_raw[#Headers],0)))</f>
        <v>16.777365377986843</v>
      </c>
      <c r="AC49" s="33">
        <f>IF(INDEX(lmic_raw[],MATCH($A49,lmic_raw[[setting]:[setting]],0), MATCH(AC$1, lmic_raw[#Headers],0))=0, INDEX(regions[], MATCH($D49, regions[[setting]:[setting]],0), MATCH(AC$1, regions[#Headers],0)),INDEX(lmic_raw[],MATCH($A49,lmic_raw[[setting]:[setting]],0), MATCH(AC$1, lmic_raw[#Headers],0)))</f>
        <v>1.4997749999999942E-2</v>
      </c>
      <c r="AD49" s="33">
        <f>IF(INDEX(lmic_raw[],MATCH($A49,lmic_raw[[setting]:[setting]],0), MATCH(AD$1, lmic_raw[#Headers],0))=0, INDEX(regions[], MATCH($D49, regions[[setting]:[setting]],0), MATCH(AD$1, regions[#Headers],0)),INDEX(lmic_raw[],MATCH($A49,lmic_raw[[setting]:[setting]],0), MATCH(AD$1, lmic_raw[#Headers],0)))</f>
        <v>3.6735449081464562E-4</v>
      </c>
      <c r="AE49" s="33">
        <f>IF(INDEX(lmic_raw[],MATCH($A49,lmic_raw[[setting]:[setting]],0), MATCH(AE$1, lmic_raw[#Headers],0))=0, INDEX(regions[], MATCH($D49, regions[[setting]:[setting]],0), MATCH(AE$1, regions[#Headers],0)),INDEX(lmic_raw[],MATCH($A49,lmic_raw[[setting]:[setting]],0), MATCH(AE$1, lmic_raw[#Headers],0)))</f>
        <v>3.8824880202159074E-4</v>
      </c>
      <c r="AF49" s="33">
        <f>IF(INDEX(lmic_raw[],MATCH($A49,lmic_raw[[setting]:[setting]],0), MATCH(AF$1, lmic_raw[#Headers],0))=0, INDEX(regions[], MATCH($D49, regions[[setting]:[setting]],0), MATCH(AF$1, regions[#Headers],0)),INDEX(lmic_raw[],MATCH($A49,lmic_raw[[setting]:[setting]],0), MATCH(AF$1, lmic_raw[#Headers],0)))</f>
        <v>3.6831624204885594E-4</v>
      </c>
      <c r="AG49" s="33">
        <f>IF(INDEX(lmic_raw[],MATCH($A49,lmic_raw[[setting]:[setting]],0), MATCH(AG$1, lmic_raw[#Headers],0))=0, INDEX(regions[], MATCH($D49, regions[[setting]:[setting]],0), MATCH(AG$1, regions[#Headers],0)),INDEX(lmic_raw[],MATCH($A49,lmic_raw[[setting]:[setting]],0), MATCH(AG$1, lmic_raw[#Headers],0)))</f>
        <v>8.6481254953050981E-4</v>
      </c>
      <c r="AH49" s="33">
        <f>IF(INDEX(lmic_raw[],MATCH($A49,lmic_raw[[setting]:[setting]],0), MATCH(AH$1, lmic_raw[#Headers],0))=0, INDEX(regions[], MATCH($D49, regions[[setting]:[setting]],0), MATCH(AH$1, regions[#Headers],0)),INDEX(lmic_raw[],MATCH($A49,lmic_raw[[setting]:[setting]],0), MATCH(AH$1, lmic_raw[#Headers],0)))</f>
        <v>1.1755032326795176E-3</v>
      </c>
      <c r="AI49" s="33">
        <f>IF(INDEX(lmic_raw[],MATCH($A49,lmic_raw[[setting]:[setting]],0), MATCH(AI$1, lmic_raw[#Headers],0))=0, INDEX(regions[], MATCH($D49, regions[[setting]:[setting]],0), MATCH(AI$1, regions[#Headers],0)),INDEX(lmic_raw[],MATCH($A49,lmic_raw[[setting]:[setting]],0), MATCH(AI$1, lmic_raw[#Headers],0)))</f>
        <v>1.261220638983001E-3</v>
      </c>
      <c r="AJ49" s="33">
        <f>IF(INDEX(lmic_raw[],MATCH($A49,lmic_raw[[setting]:[setting]],0), MATCH(AJ$1, lmic_raw[#Headers],0))=0, INDEX(regions[], MATCH($D49, regions[[setting]:[setting]],0), MATCH(AJ$1, regions[#Headers],0)),INDEX(lmic_raw[],MATCH($A49,lmic_raw[[setting]:[setting]],0), MATCH(AJ$1, lmic_raw[#Headers],0)))</f>
        <v>1.5091060374845919E-3</v>
      </c>
      <c r="AK49" s="33">
        <f>IF(INDEX(lmic_raw[],MATCH($A49,lmic_raw[[setting]:[setting]],0), MATCH(AK$1, lmic_raw[#Headers],0))=0, INDEX(regions[], MATCH($D49, regions[[setting]:[setting]],0), MATCH(AK$1, regions[#Headers],0)),INDEX(lmic_raw[],MATCH($A49,lmic_raw[[setting]:[setting]],0), MATCH(AK$1, lmic_raw[#Headers],0)))</f>
        <v>2.0339689951691491E-3</v>
      </c>
      <c r="AL49" s="33">
        <f>IF(INDEX(lmic_raw[],MATCH($A49,lmic_raw[[setting]:[setting]],0), MATCH(AL$1, lmic_raw[#Headers],0))=0, INDEX(regions[], MATCH($D49, regions[[setting]:[setting]],0), MATCH(AL$1, regions[#Headers],0)),INDEX(lmic_raw[],MATCH($A49,lmic_raw[[setting]:[setting]],0), MATCH(AL$1, lmic_raw[#Headers],0)))</f>
        <v>2.9493189580010646E-3</v>
      </c>
      <c r="AM49" s="33">
        <f>IF(INDEX(lmic_raw[],MATCH($A49,lmic_raw[[setting]:[setting]],0), MATCH(AM$1, lmic_raw[#Headers],0))=0, INDEX(regions[], MATCH($D49, regions[[setting]:[setting]],0), MATCH(AM$1, regions[#Headers],0)),INDEX(lmic_raw[],MATCH($A49,lmic_raw[[setting]:[setting]],0), MATCH(AM$1, lmic_raw[#Headers],0)))</f>
        <v>4.5325803150417527E-3</v>
      </c>
      <c r="AN49" s="33">
        <f>IF(INDEX(lmic_raw[],MATCH($A49,lmic_raw[[setting]:[setting]],0), MATCH(AN$1, lmic_raw[#Headers],0))=0, INDEX(regions[], MATCH($D49, regions[[setting]:[setting]],0), MATCH(AN$1, regions[#Headers],0)),INDEX(lmic_raw[],MATCH($A49,lmic_raw[[setting]:[setting]],0), MATCH(AN$1, lmic_raw[#Headers],0)))</f>
        <v>6.9671995741876248E-3</v>
      </c>
      <c r="AO49" s="33">
        <f>IF(INDEX(lmic_raw[],MATCH($A49,lmic_raw[[setting]:[setting]],0), MATCH(AO$1, lmic_raw[#Headers],0))=0, INDEX(regions[], MATCH($D49, regions[[setting]:[setting]],0), MATCH(AO$1, regions[#Headers],0)),INDEX(lmic_raw[],MATCH($A49,lmic_raw[[setting]:[setting]],0), MATCH(AO$1, lmic_raw[#Headers],0)))</f>
        <v>1.0670981013797255E-2</v>
      </c>
      <c r="AP49" s="33">
        <f>IF(INDEX(lmic_raw[],MATCH($A49,lmic_raw[[setting]:[setting]],0), MATCH(AP$1, lmic_raw[#Headers],0))=0, INDEX(regions[], MATCH($D49, regions[[setting]:[setting]],0), MATCH(AP$1, regions[#Headers],0)),INDEX(lmic_raw[],MATCH($A49,lmic_raw[[setting]:[setting]],0), MATCH(AP$1, lmic_raw[#Headers],0)))</f>
        <v>1.6546205211132935E-2</v>
      </c>
      <c r="AQ49" s="33">
        <f>IF(INDEX(lmic_raw[],MATCH($A49,lmic_raw[[setting]:[setting]],0), MATCH(AQ$1, lmic_raw[#Headers],0))=0, INDEX(regions[], MATCH($D49, regions[[setting]:[setting]],0), MATCH(AQ$1, regions[#Headers],0)),INDEX(lmic_raw[],MATCH($A49,lmic_raw[[setting]:[setting]],0), MATCH(AQ$1, lmic_raw[#Headers],0)))</f>
        <v>2.5387032279184138E-2</v>
      </c>
      <c r="AR49" s="33">
        <f>IF(INDEX(lmic_raw[],MATCH($A49,lmic_raw[[setting]:[setting]],0), MATCH(AR$1, lmic_raw[#Headers],0))=0, INDEX(regions[], MATCH($D49, regions[[setting]:[setting]],0), MATCH(AR$1, regions[#Headers],0)),INDEX(lmic_raw[],MATCH($A49,lmic_raw[[setting]:[setting]],0), MATCH(AR$1, lmic_raw[#Headers],0)))</f>
        <v>3.8551274376297302E-2</v>
      </c>
      <c r="AS49" s="33">
        <f>IF(INDEX(lmic_raw[],MATCH($A49,lmic_raw[[setting]:[setting]],0), MATCH(AS$1, lmic_raw[#Headers],0))=0, INDEX(regions[], MATCH($D49, regions[[setting]:[setting]],0), MATCH(AS$1, regions[#Headers],0)),INDEX(lmic_raw[],MATCH($A49,lmic_raw[[setting]:[setting]],0), MATCH(AS$1, lmic_raw[#Headers],0)))</f>
        <v>5.9001782501401222E-2</v>
      </c>
      <c r="AT49" s="33">
        <f>IF(INDEX(lmic_raw[],MATCH($A49,lmic_raw[[setting]:[setting]],0), MATCH(AT$1, lmic_raw[#Headers],0))=0, INDEX(regions[], MATCH($D49, regions[[setting]:[setting]],0), MATCH(AT$1, regions[#Headers],0)),INDEX(lmic_raw[],MATCH($A49,lmic_raw[[setting]:[setting]],0), MATCH(AT$1, lmic_raw[#Headers],0)))</f>
        <v>8.7282692380791893E-2</v>
      </c>
      <c r="AU49" s="33">
        <f>IF(INDEX(lmic_raw[],MATCH($A49,lmic_raw[[setting]:[setting]],0), MATCH(AU$1, lmic_raw[#Headers],0))=0, INDEX(regions[], MATCH($D49, regions[[setting]:[setting]],0), MATCH(AU$1, regions[#Headers],0)),INDEX(lmic_raw[],MATCH($A49,lmic_raw[[setting]:[setting]],0), MATCH(AU$1, lmic_raw[#Headers],0)))</f>
        <v>0.12067409114223994</v>
      </c>
      <c r="AV49" s="33">
        <f>IF(INDEX(lmic_raw[],MATCH($A49,lmic_raw[[setting]:[setting]],0), MATCH(AV$1, lmic_raw[#Headers],0))=0, INDEX(regions[], MATCH($D49, regions[[setting]:[setting]],0), MATCH(AV$1, regions[#Headers],0)),INDEX(lmic_raw[],MATCH($A49,lmic_raw[[setting]:[setting]],0), MATCH(AV$1, lmic_raw[#Headers],0)))</f>
        <v>0.15141543034416774</v>
      </c>
      <c r="AW49" s="33">
        <f>IF(INDEX(lmic_raw[],MATCH($A49,lmic_raw[[setting]:[setting]],0), MATCH(AW$1, lmic_raw[#Headers],0))=0, INDEX(regions[], MATCH($D49, regions[[setting]:[setting]],0), MATCH(AW$1, regions[#Headers],0)),INDEX(lmic_raw[],MATCH($A49,lmic_raw[[setting]:[setting]],0), MATCH(AW$1, lmic_raw[#Headers],0)))</f>
        <v>0.17455656914973092</v>
      </c>
      <c r="AX49" s="33">
        <f>IF(INDEX(lmic_raw[],MATCH($A49,lmic_raw[[setting]:[setting]],0), MATCH(AX$1, lmic_raw[#Headers],0))=0, INDEX(regions[], MATCH($D49, regions[[setting]:[setting]],0), MATCH(AX$1, regions[#Headers],0)),INDEX(lmic_raw[],MATCH($A49,lmic_raw[[setting]:[setting]],0), MATCH(AX$1, lmic_raw[#Headers],0)))</f>
        <v>72.393000000000001</v>
      </c>
      <c r="AY49" s="33" t="str">
        <f>IF(VLOOKUP($A49,lmic_raw[],11,FALSE)=0, "Yes", "No")</f>
        <v>No</v>
      </c>
    </row>
    <row r="50" spans="1:51" x14ac:dyDescent="0.25">
      <c r="A50" s="109" t="s">
        <v>256</v>
      </c>
      <c r="B50" s="101" t="s">
        <v>432</v>
      </c>
      <c r="C50" s="102">
        <v>320</v>
      </c>
      <c r="D50" s="82" t="s">
        <v>679</v>
      </c>
      <c r="E50" s="82" t="s">
        <v>604</v>
      </c>
      <c r="F50" s="82" t="s">
        <v>665</v>
      </c>
      <c r="G50" s="82" t="s">
        <v>676</v>
      </c>
      <c r="H50" s="33">
        <f>IF(INDEX(lmic_raw[],MATCH($A50,lmic_raw[[setting]:[setting]],0), MATCH(H$1, lmic_raw[#Headers],0))=0, INDEX(regions[], MATCH($D50, regions[[setting]:[setting]],0), MATCH(H$1, regions[#Headers],0)),INDEX(lmic_raw[],MATCH($A50,lmic_raw[[setting]:[setting]],0), MATCH(H$1, lmic_raw[#Headers],0)))</f>
        <v>17581476</v>
      </c>
      <c r="I50" s="33">
        <f>IF(INDEX(lmic_raw[],MATCH($A50,lmic_raw[[setting]:[setting]],0), MATCH(I$1, lmic_raw[#Headers],0))=0, INDEX(regions[], MATCH($D50, regions[[setting]:[setting]],0), MATCH(I$1, regions[#Headers],0)),INDEX(lmic_raw[],MATCH($A50,lmic_raw[[setting]:[setting]],0), MATCH(I$1, lmic_raw[#Headers],0)))</f>
        <v>435352.50871199998</v>
      </c>
      <c r="J50" s="33">
        <f>IF(INDEX(lmic_raw[],MATCH($A50,lmic_raw[[setting]:[setting]],0), MATCH(J$1, lmic_raw[#Headers],0))=0, INDEX(regions[], MATCH($D50, regions[[setting]:[setting]],0), MATCH(J$1, regions[#Headers],0)),INDEX(lmic_raw[],MATCH($A50,lmic_raw[[setting]:[setting]],0), MATCH(J$1, lmic_raw[#Headers],0)))</f>
        <v>0.65</v>
      </c>
      <c r="K50" s="33">
        <f>IF(INDEX(lmic_raw[],MATCH($A50,lmic_raw[[setting]:[setting]],0), MATCH(K$1, lmic_raw[#Headers],0))=0, INDEX(regions[], MATCH($D50, regions[[setting]:[setting]],0), MATCH(K$1, regions[#Headers],0)),INDEX(lmic_raw[],MATCH($A50,lmic_raw[[setting]:[setting]],0), MATCH(K$1, lmic_raw[#Headers],0)))</f>
        <v>0.48</v>
      </c>
      <c r="L50" s="33">
        <f>IF(INDEX(lmic_raw[],MATCH($A50,lmic_raw[[setting]:[setting]],0), MATCH(L$1, lmic_raw[#Headers],0))=0, INDEX(regions[], MATCH($D50, regions[[setting]:[setting]],0), MATCH(L$1, regions[#Headers],0)),INDEX(lmic_raw[],MATCH($A50,lmic_raw[[setting]:[setting]],0), MATCH(L$1, lmic_raw[#Headers],0)))</f>
        <v>0.86</v>
      </c>
      <c r="M50" s="33">
        <f>IF(INDEX(lmic_raw[],MATCH($A50,lmic_raw[[setting]:[setting]],0), MATCH(M$1, lmic_raw[#Headers],0))=0, INDEX(regions[], MATCH($D50, regions[[setting]:[setting]],0), MATCH(M$1, regions[#Headers],0)),INDEX(lmic_raw[],MATCH($A50,lmic_raw[[setting]:[setting]],0), MATCH(M$1, lmic_raw[#Headers],0)))</f>
        <v>1.5E-3</v>
      </c>
      <c r="N50" s="33">
        <f>IF(INDEX(lmic_raw[],MATCH($A50,lmic_raw[[setting]:[setting]],0), MATCH(N$1, lmic_raw[#Headers],0))=0, INDEX(regions[], MATCH($D50, regions[[setting]:[setting]],0), MATCH(N$1, regions[#Headers],0)),INDEX(lmic_raw[],MATCH($A50,lmic_raw[[setting]:[setting]],0), MATCH(N$1, lmic_raw[#Headers],0)))</f>
        <v>0.30839295792692983</v>
      </c>
      <c r="O50" s="33">
        <f>IF(INDEX(lmic_raw[],MATCH($A50,lmic_raw[[setting]:[setting]],0), MATCH(O$1, lmic_raw[#Headers],0))=0, INDEX(regions[], MATCH($D50, regions[[setting]:[setting]],0), MATCH(O$1, regions[#Headers],0)),INDEX(lmic_raw[],MATCH($A50,lmic_raw[[setting]:[setting]],0), MATCH(O$1, lmic_raw[#Headers],0)))</f>
        <v>0.8</v>
      </c>
      <c r="P50" s="33">
        <f>IF(INDEX(lmic_raw[],MATCH($A50,lmic_raw[[setting]:[setting]],0), MATCH(P$1, lmic_raw[#Headers],0))=0, INDEX(regions[], MATCH($D50, regions[[setting]:[setting]],0), MATCH(P$1, regions[#Headers],0)),INDEX(lmic_raw[],MATCH($A50,lmic_raw[[setting]:[setting]],0), MATCH(P$1, lmic_raw[#Headers],0)))</f>
        <v>0.17499999999999999</v>
      </c>
      <c r="Q50" s="33">
        <f>IF(INDEX(lmic_raw[],MATCH($A50,lmic_raw[[setting]:[setting]],0), MATCH(Q$1, lmic_raw[#Headers],0))=0, INDEX(regions[], MATCH($D50, regions[[setting]:[setting]],0), MATCH(Q$1, regions[#Headers],0)),INDEX(lmic_raw[],MATCH($A50,lmic_raw[[setting]:[setting]],0), MATCH(Q$1, lmic_raw[#Headers],0)))</f>
        <v>5.5661815182121277</v>
      </c>
      <c r="R50" s="33">
        <f>IF(INDEX(lmic_raw[],MATCH($A50,lmic_raw[[setting]:[setting]],0), MATCH(R$1, lmic_raw[#Headers],0))=0, INDEX(regions[], MATCH($D50, regions[[setting]:[setting]],0), MATCH(R$1, regions[#Headers],0)),INDEX(lmic_raw[],MATCH($A50,lmic_raw[[setting]:[setting]],0), MATCH(R$1, lmic_raw[#Headers],0)))</f>
        <v>86.883899999999997</v>
      </c>
      <c r="S50" s="33">
        <f>IF(INDEX(lmic_raw[],MATCH($A50,lmic_raw[[setting]:[setting]],0), MATCH(S$1, lmic_raw[#Headers],0))=0, INDEX(regions[], MATCH($D50, regions[[setting]:[setting]],0), MATCH(S$1, regions[#Headers],0)),INDEX(lmic_raw[],MATCH($A50,lmic_raw[[setting]:[setting]],0), MATCH(S$1, lmic_raw[#Headers],0)))</f>
        <v>134.6259</v>
      </c>
      <c r="T50" s="33">
        <f>IF(INDEX(lmic_raw[],MATCH($A50,lmic_raw[[setting]:[setting]],0), MATCH(T$1, lmic_raw[#Headers],0))=0, INDEX(regions[], MATCH($D50, regions[[setting]:[setting]],0), MATCH(T$1, regions[#Headers],0)),INDEX(lmic_raw[],MATCH($A50,lmic_raw[[setting]:[setting]],0), MATCH(T$1, lmic_raw[#Headers],0)))</f>
        <v>134.6259</v>
      </c>
      <c r="U50" s="33">
        <f>IF(INDEX(lmic_raw[],MATCH($A50,lmic_raw[[setting]:[setting]],0), MATCH(U$1, lmic_raw[#Headers],0))=0, INDEX(regions[], MATCH($D50, regions[[setting]:[setting]],0), MATCH(U$1, regions[#Headers],0)),INDEX(lmic_raw[],MATCH($A50,lmic_raw[[setting]:[setting]],0), MATCH(U$1, lmic_raw[#Headers],0)))</f>
        <v>134.6259</v>
      </c>
      <c r="V50" s="33">
        <f>IF(INDEX(lmic_raw[],MATCH($A50,lmic_raw[[setting]:[setting]],0), MATCH(V$1, lmic_raw[#Headers],0))=0, INDEX(regions[], MATCH($D50, regions[[setting]:[setting]],0), MATCH(V$1, regions[#Headers],0)),INDEX(lmic_raw[],MATCH($A50,lmic_raw[[setting]:[setting]],0), MATCH(V$1, lmic_raw[#Headers],0)))</f>
        <v>3.3424128659870345</v>
      </c>
      <c r="W50" s="33">
        <f>IF(INDEX(lmic_raw[],MATCH($A50,lmic_raw[[setting]:[setting]],0), MATCH(W$1, lmic_raw[#Headers],0))=0, INDEX(regions[], MATCH($D50, regions[[setting]:[setting]],0), MATCH(W$1, regions[#Headers],0)),INDEX(lmic_raw[],MATCH($A50,lmic_raw[[setting]:[setting]],0), MATCH(W$1, lmic_raw[#Headers],0)))</f>
        <v>3.3624128659870345</v>
      </c>
      <c r="X50" s="33">
        <f>IF(INDEX(lmic_raw[],MATCH($A50,lmic_raw[[setting]:[setting]],0), MATCH(X$1, lmic_raw[#Headers],0))=0, INDEX(regions[], MATCH($D50, regions[[setting]:[setting]],0), MATCH(X$1, regions[#Headers],0)),INDEX(lmic_raw[],MATCH($A50,lmic_raw[[setting]:[setting]],0), MATCH(X$1, lmic_raw[#Headers],0)))</f>
        <v>2.9084626233748878</v>
      </c>
      <c r="Y50" s="33">
        <f>IF(INDEX(lmic_raw[],MATCH($A50,lmic_raw[[setting]:[setting]],0), MATCH(Y$1, lmic_raw[#Headers],0))=0, INDEX(regions[], MATCH($D50, regions[[setting]:[setting]],0), MATCH(Y$1, regions[#Headers],0)),INDEX(lmic_raw[],MATCH($A50,lmic_raw[[setting]:[setting]],0), MATCH(Y$1, lmic_raw[#Headers],0)))</f>
        <v>2.9284626233748878</v>
      </c>
      <c r="Z50" s="33">
        <f>IF(INDEX(lmic_raw[],MATCH($A50,lmic_raw[[setting]:[setting]],0), MATCH(Z$1, lmic_raw[#Headers],0))=0, INDEX(regions[], MATCH($D50, regions[[setting]:[setting]],0), MATCH(Z$1, regions[#Headers],0)),INDEX(lmic_raw[],MATCH($A50,lmic_raw[[setting]:[setting]],0), MATCH(Z$1, lmic_raw[#Headers],0)))</f>
        <v>2.9213440515974094</v>
      </c>
      <c r="AA50" s="33">
        <f>IF(INDEX(lmic_raw[],MATCH($A50,lmic_raw[[setting]:[setting]],0), MATCH(AA$1, lmic_raw[#Headers],0))=0, INDEX(regions[], MATCH($D50, regions[[setting]:[setting]],0), MATCH(AA$1, regions[#Headers],0)),INDEX(lmic_raw[],MATCH($A50,lmic_raw[[setting]:[setting]],0), MATCH(AA$1, lmic_raw[#Headers],0)))</f>
        <v>3.5870628315821347</v>
      </c>
      <c r="AB50" s="33">
        <f>IF(INDEX(lmic_raw[],MATCH($A50,lmic_raw[[setting]:[setting]],0), MATCH(AB$1, lmic_raw[#Headers],0))=0, INDEX(regions[], MATCH($D50, regions[[setting]:[setting]],0), MATCH(AB$1, regions[#Headers],0)),INDEX(lmic_raw[],MATCH($A50,lmic_raw[[setting]:[setting]],0), MATCH(AB$1, lmic_raw[#Headers],0)))</f>
        <v>3.6070628315821347</v>
      </c>
      <c r="AC50" s="33">
        <f>IF(INDEX(lmic_raw[],MATCH($A50,lmic_raw[[setting]:[setting]],0), MATCH(AC$1, lmic_raw[#Headers],0))=0, INDEX(regions[], MATCH($D50, regions[[setting]:[setting]],0), MATCH(AC$1, regions[#Headers],0)),INDEX(lmic_raw[],MATCH($A50,lmic_raw[[setting]:[setting]],0), MATCH(AC$1, lmic_raw[#Headers],0)))</f>
        <v>2.0742189999999973E-2</v>
      </c>
      <c r="AD50" s="33">
        <f>IF(INDEX(lmic_raw[],MATCH($A50,lmic_raw[[setting]:[setting]],0), MATCH(AD$1, lmic_raw[#Headers],0))=0, INDEX(regions[], MATCH($D50, regions[[setting]:[setting]],0), MATCH(AD$1, regions[#Headers],0)),INDEX(lmic_raw[],MATCH($A50,lmic_raw[[setting]:[setting]],0), MATCH(AD$1, lmic_raw[#Headers],0)))</f>
        <v>1.368431771812982E-3</v>
      </c>
      <c r="AE50" s="33">
        <f>IF(INDEX(lmic_raw[],MATCH($A50,lmic_raw[[setting]:[setting]],0), MATCH(AE$1, lmic_raw[#Headers],0))=0, INDEX(regions[], MATCH($D50, regions[[setting]:[setting]],0), MATCH(AE$1, regions[#Headers],0)),INDEX(lmic_raw[],MATCH($A50,lmic_raw[[setting]:[setting]],0), MATCH(AE$1, lmic_raw[#Headers],0)))</f>
        <v>3.6245288288105519E-4</v>
      </c>
      <c r="AF50" s="33">
        <f>IF(INDEX(lmic_raw[],MATCH($A50,lmic_raw[[setting]:[setting]],0), MATCH(AF$1, lmic_raw[#Headers],0))=0, INDEX(regions[], MATCH($D50, regions[[setting]:[setting]],0), MATCH(AF$1, regions[#Headers],0)),INDEX(lmic_raw[],MATCH($A50,lmic_raw[[setting]:[setting]],0), MATCH(AF$1, lmic_raw[#Headers],0)))</f>
        <v>5.2137122931350153E-4</v>
      </c>
      <c r="AG50" s="33">
        <f>IF(INDEX(lmic_raw[],MATCH($A50,lmic_raw[[setting]:[setting]],0), MATCH(AG$1, lmic_raw[#Headers],0))=0, INDEX(regions[], MATCH($D50, regions[[setting]:[setting]],0), MATCH(AG$1, regions[#Headers],0)),INDEX(lmic_raw[],MATCH($A50,lmic_raw[[setting]:[setting]],0), MATCH(AG$1, lmic_raw[#Headers],0)))</f>
        <v>1.1096552392384836E-3</v>
      </c>
      <c r="AH50" s="33">
        <f>IF(INDEX(lmic_raw[],MATCH($A50,lmic_raw[[setting]:[setting]],0), MATCH(AH$1, lmic_raw[#Headers],0))=0, INDEX(regions[], MATCH($D50, regions[[setting]:[setting]],0), MATCH(AH$1, regions[#Headers],0)),INDEX(lmic_raw[],MATCH($A50,lmic_raw[[setting]:[setting]],0), MATCH(AH$1, lmic_raw[#Headers],0)))</f>
        <v>1.9003611057800845E-3</v>
      </c>
      <c r="AI50" s="33">
        <f>IF(INDEX(lmic_raw[],MATCH($A50,lmic_raw[[setting]:[setting]],0), MATCH(AI$1, lmic_raw[#Headers],0))=0, INDEX(regions[], MATCH($D50, regions[[setting]:[setting]],0), MATCH(AI$1, regions[#Headers],0)),INDEX(lmic_raw[],MATCH($A50,lmic_raw[[setting]:[setting]],0), MATCH(AI$1, lmic_raw[#Headers],0)))</f>
        <v>2.5229613775001329E-3</v>
      </c>
      <c r="AJ50" s="33">
        <f>IF(INDEX(lmic_raw[],MATCH($A50,lmic_raw[[setting]:[setting]],0), MATCH(AJ$1, lmic_raw[#Headers],0))=0, INDEX(regions[], MATCH($D50, regions[[setting]:[setting]],0), MATCH(AJ$1, regions[#Headers],0)),INDEX(lmic_raw[],MATCH($A50,lmic_raw[[setting]:[setting]],0), MATCH(AJ$1, lmic_raw[#Headers],0)))</f>
        <v>2.9107288532517787E-3</v>
      </c>
      <c r="AK50" s="33">
        <f>IF(INDEX(lmic_raw[],MATCH($A50,lmic_raw[[setting]:[setting]],0), MATCH(AK$1, lmic_raw[#Headers],0))=0, INDEX(regions[], MATCH($D50, regions[[setting]:[setting]],0), MATCH(AK$1, regions[#Headers],0)),INDEX(lmic_raw[],MATCH($A50,lmic_raw[[setting]:[setting]],0), MATCH(AK$1, lmic_raw[#Headers],0)))</f>
        <v>3.2086735075177934E-3</v>
      </c>
      <c r="AL50" s="33">
        <f>IF(INDEX(lmic_raw[],MATCH($A50,lmic_raw[[setting]:[setting]],0), MATCH(AL$1, lmic_raw[#Headers],0))=0, INDEX(regions[], MATCH($D50, regions[[setting]:[setting]],0), MATCH(AL$1, regions[#Headers],0)),INDEX(lmic_raw[],MATCH($A50,lmic_raw[[setting]:[setting]],0), MATCH(AL$1, lmic_raw[#Headers],0)))</f>
        <v>3.6432711183425706E-3</v>
      </c>
      <c r="AM50" s="33">
        <f>IF(INDEX(lmic_raw[],MATCH($A50,lmic_raw[[setting]:[setting]],0), MATCH(AM$1, lmic_raw[#Headers],0))=0, INDEX(regions[], MATCH($D50, regions[[setting]:[setting]],0), MATCH(AM$1, regions[#Headers],0)),INDEX(lmic_raw[],MATCH($A50,lmic_raw[[setting]:[setting]],0), MATCH(AM$1, lmic_raw[#Headers],0)))</f>
        <v>4.4425458558329557E-3</v>
      </c>
      <c r="AN50" s="33">
        <f>IF(INDEX(lmic_raw[],MATCH($A50,lmic_raw[[setting]:[setting]],0), MATCH(AN$1, lmic_raw[#Headers],0))=0, INDEX(regions[], MATCH($D50, regions[[setting]:[setting]],0), MATCH(AN$1, regions[#Headers],0)),INDEX(lmic_raw[],MATCH($A50,lmic_raw[[setting]:[setting]],0), MATCH(AN$1, lmic_raw[#Headers],0)))</f>
        <v>5.8420898780306516E-3</v>
      </c>
      <c r="AO50" s="33">
        <f>IF(INDEX(lmic_raw[],MATCH($A50,lmic_raw[[setting]:[setting]],0), MATCH(AO$1, lmic_raw[#Headers],0))=0, INDEX(regions[], MATCH($D50, regions[[setting]:[setting]],0), MATCH(AO$1, regions[#Headers],0)),INDEX(lmic_raw[],MATCH($A50,lmic_raw[[setting]:[setting]],0), MATCH(AO$1, lmic_raw[#Headers],0)))</f>
        <v>8.1244104977409928E-3</v>
      </c>
      <c r="AP50" s="33">
        <f>IF(INDEX(lmic_raw[],MATCH($A50,lmic_raw[[setting]:[setting]],0), MATCH(AP$1, lmic_raw[#Headers],0))=0, INDEX(regions[], MATCH($D50, regions[[setting]:[setting]],0), MATCH(AP$1, regions[#Headers],0)),INDEX(lmic_raw[],MATCH($A50,lmic_raw[[setting]:[setting]],0), MATCH(AP$1, lmic_raw[#Headers],0)))</f>
        <v>1.1786110862698037E-2</v>
      </c>
      <c r="AQ50" s="33">
        <f>IF(INDEX(lmic_raw[],MATCH($A50,lmic_raw[[setting]:[setting]],0), MATCH(AQ$1, lmic_raw[#Headers],0))=0, INDEX(regions[], MATCH($D50, regions[[setting]:[setting]],0), MATCH(AQ$1, regions[#Headers],0)),INDEX(lmic_raw[],MATCH($A50,lmic_raw[[setting]:[setting]],0), MATCH(AQ$1, lmic_raw[#Headers],0)))</f>
        <v>1.5896801658864184E-2</v>
      </c>
      <c r="AR50" s="33">
        <f>IF(INDEX(lmic_raw[],MATCH($A50,lmic_raw[[setting]:[setting]],0), MATCH(AR$1, lmic_raw[#Headers],0))=0, INDEX(regions[], MATCH($D50, regions[[setting]:[setting]],0), MATCH(AR$1, regions[#Headers],0)),INDEX(lmic_raw[],MATCH($A50,lmic_raw[[setting]:[setting]],0), MATCH(AR$1, lmic_raw[#Headers],0)))</f>
        <v>2.2905563498596741E-2</v>
      </c>
      <c r="AS50" s="33">
        <f>IF(INDEX(lmic_raw[],MATCH($A50,lmic_raw[[setting]:[setting]],0), MATCH(AS$1, lmic_raw[#Headers],0))=0, INDEX(regions[], MATCH($D50, regions[[setting]:[setting]],0), MATCH(AS$1, regions[#Headers],0)),INDEX(lmic_raw[],MATCH($A50,lmic_raw[[setting]:[setting]],0), MATCH(AS$1, lmic_raw[#Headers],0)))</f>
        <v>3.8229745445683708E-2</v>
      </c>
      <c r="AT50" s="33">
        <f>IF(INDEX(lmic_raw[],MATCH($A50,lmic_raw[[setting]:[setting]],0), MATCH(AT$1, lmic_raw[#Headers],0))=0, INDEX(regions[], MATCH($D50, regions[[setting]:[setting]],0), MATCH(AT$1, regions[#Headers],0)),INDEX(lmic_raw[],MATCH($A50,lmic_raw[[setting]:[setting]],0), MATCH(AT$1, lmic_raw[#Headers],0)))</f>
        <v>6.2634535527386723E-2</v>
      </c>
      <c r="AU50" s="33">
        <f>IF(INDEX(lmic_raw[],MATCH($A50,lmic_raw[[setting]:[setting]],0), MATCH(AU$1, lmic_raw[#Headers],0))=0, INDEX(regions[], MATCH($D50, regions[[setting]:[setting]],0), MATCH(AU$1, regions[#Headers],0)),INDEX(lmic_raw[],MATCH($A50,lmic_raw[[setting]:[setting]],0), MATCH(AU$1, lmic_raw[#Headers],0)))</f>
        <v>9.3292937507748516E-2</v>
      </c>
      <c r="AV50" s="33">
        <f>IF(INDEX(lmic_raw[],MATCH($A50,lmic_raw[[setting]:[setting]],0), MATCH(AV$1, lmic_raw[#Headers],0))=0, INDEX(regions[], MATCH($D50, regions[[setting]:[setting]],0), MATCH(AV$1, regions[#Headers],0)),INDEX(lmic_raw[],MATCH($A50,lmic_raw[[setting]:[setting]],0), MATCH(AV$1, lmic_raw[#Headers],0)))</f>
        <v>0.12614651709186733</v>
      </c>
      <c r="AW50" s="33">
        <f>IF(INDEX(lmic_raw[],MATCH($A50,lmic_raw[[setting]:[setting]],0), MATCH(AW$1, lmic_raw[#Headers],0))=0, INDEX(regions[], MATCH($D50, regions[[setting]:[setting]],0), MATCH(AW$1, regions[#Headers],0)),INDEX(lmic_raw[],MATCH($A50,lmic_raw[[setting]:[setting]],0), MATCH(AW$1, lmic_raw[#Headers],0)))</f>
        <v>0.15412626562601031</v>
      </c>
      <c r="AX50" s="33">
        <f>IF(INDEX(lmic_raw[],MATCH($A50,lmic_raw[[setting]:[setting]],0), MATCH(AX$1, lmic_raw[#Headers],0))=0, INDEX(regions[], MATCH($D50, regions[[setting]:[setting]],0), MATCH(AX$1, regions[#Headers],0)),INDEX(lmic_raw[],MATCH($A50,lmic_raw[[setting]:[setting]],0), MATCH(AX$1, lmic_raw[#Headers],0)))</f>
        <v>73.936000000000007</v>
      </c>
      <c r="AY50" s="33" t="str">
        <f>IF(VLOOKUP($A50,lmic_raw[],11,FALSE)=0, "Yes", "No")</f>
        <v>No</v>
      </c>
    </row>
    <row r="51" spans="1:51" x14ac:dyDescent="0.25">
      <c r="A51" s="110" t="s">
        <v>144</v>
      </c>
      <c r="B51" s="104" t="s">
        <v>433</v>
      </c>
      <c r="C51" s="105">
        <v>324</v>
      </c>
      <c r="D51" s="84" t="s">
        <v>677</v>
      </c>
      <c r="E51" s="84" t="s">
        <v>591</v>
      </c>
      <c r="F51" s="84" t="s">
        <v>667</v>
      </c>
      <c r="G51" s="84" t="s">
        <v>674</v>
      </c>
      <c r="H51" s="33">
        <f>IF(INDEX(lmic_raw[],MATCH($A51,lmic_raw[[setting]:[setting]],0), MATCH(H$1, lmic_raw[#Headers],0))=0, INDEX(regions[], MATCH($D51, regions[[setting]:[setting]],0), MATCH(H$1, regions[#Headers],0)),INDEX(lmic_raw[],MATCH($A51,lmic_raw[[setting]:[setting]],0), MATCH(H$1, lmic_raw[#Headers],0)))</f>
        <v>12771246</v>
      </c>
      <c r="I51" s="33">
        <f>IF(INDEX(lmic_raw[],MATCH($A51,lmic_raw[[setting]:[setting]],0), MATCH(I$1, lmic_raw[#Headers],0))=0, INDEX(regions[], MATCH($D51, regions[[setting]:[setting]],0), MATCH(I$1, regions[#Headers],0)),INDEX(lmic_raw[],MATCH($A51,lmic_raw[[setting]:[setting]],0), MATCH(I$1, lmic_raw[#Headers],0)))</f>
        <v>466891.21126799996</v>
      </c>
      <c r="J51" s="33">
        <f>IF(INDEX(lmic_raw[],MATCH($A51,lmic_raw[[setting]:[setting]],0), MATCH(J$1, lmic_raw[#Headers],0))=0, INDEX(regions[], MATCH($D51, regions[[setting]:[setting]],0), MATCH(J$1, regions[#Headers],0)),INDEX(lmic_raw[],MATCH($A51,lmic_raw[[setting]:[setting]],0), MATCH(J$1, lmic_raw[#Headers],0)))</f>
        <v>0.52600000000000002</v>
      </c>
      <c r="K51" s="33">
        <f>IF(INDEX(lmic_raw[],MATCH($A51,lmic_raw[[setting]:[setting]],0), MATCH(K$1, lmic_raw[#Headers],0))=0, INDEX(regions[], MATCH($D51, regions[[setting]:[setting]],0), MATCH(K$1, regions[#Headers],0)),INDEX(lmic_raw[],MATCH($A51,lmic_raw[[setting]:[setting]],0), MATCH(K$1, lmic_raw[#Headers],0)))</f>
        <v>0.69252604416320784</v>
      </c>
      <c r="L51" s="33">
        <f>IF(INDEX(lmic_raw[],MATCH($A51,lmic_raw[[setting]:[setting]],0), MATCH(L$1, lmic_raw[#Headers],0))=0, INDEX(regions[], MATCH($D51, regions[[setting]:[setting]],0), MATCH(L$1, regions[#Headers],0)),INDEX(lmic_raw[],MATCH($A51,lmic_raw[[setting]:[setting]],0), MATCH(L$1, lmic_raw[#Headers],0)))</f>
        <v>0.47</v>
      </c>
      <c r="M51" s="33">
        <f>IF(INDEX(lmic_raw[],MATCH($A51,lmic_raw[[setting]:[setting]],0), MATCH(M$1, lmic_raw[#Headers],0))=0, INDEX(regions[], MATCH($D51, regions[[setting]:[setting]],0), MATCH(M$1, regions[#Headers],0)),INDEX(lmic_raw[],MATCH($A51,lmic_raw[[setting]:[setting]],0), MATCH(M$1, lmic_raw[#Headers],0)))</f>
        <v>0.13</v>
      </c>
      <c r="N51" s="33">
        <f>IF(INDEX(lmic_raw[],MATCH($A51,lmic_raw[[setting]:[setting]],0), MATCH(N$1, lmic_raw[#Headers],0))=0, INDEX(regions[], MATCH($D51, regions[[setting]:[setting]],0), MATCH(N$1, regions[#Headers],0)),INDEX(lmic_raw[],MATCH($A51,lmic_raw[[setting]:[setting]],0), MATCH(N$1, lmic_raw[#Headers],0)))</f>
        <v>0.30094942842571543</v>
      </c>
      <c r="O51" s="33">
        <f>IF(INDEX(lmic_raw[],MATCH($A51,lmic_raw[[setting]:[setting]],0), MATCH(O$1, lmic_raw[#Headers],0))=0, INDEX(regions[], MATCH($D51, regions[[setting]:[setting]],0), MATCH(O$1, regions[#Headers],0)),INDEX(lmic_raw[],MATCH($A51,lmic_raw[[setting]:[setting]],0), MATCH(O$1, lmic_raw[#Headers],0)))</f>
        <v>0.38300000000000001</v>
      </c>
      <c r="P51" s="33">
        <f>IF(INDEX(lmic_raw[],MATCH($A51,lmic_raw[[setting]:[setting]],0), MATCH(P$1, lmic_raw[#Headers],0))=0, INDEX(regions[], MATCH($D51, regions[[setting]:[setting]],0), MATCH(P$1, regions[#Headers],0)),INDEX(lmic_raw[],MATCH($A51,lmic_raw[[setting]:[setting]],0), MATCH(P$1, lmic_raw[#Headers],0)))</f>
        <v>4.8000000000000001E-2</v>
      </c>
      <c r="Q51" s="33">
        <f>IF(INDEX(lmic_raw[],MATCH($A51,lmic_raw[[setting]:[setting]],0), MATCH(Q$1, lmic_raw[#Headers],0))=0, INDEX(regions[], MATCH($D51, regions[[setting]:[setting]],0), MATCH(Q$1, regions[#Headers],0)),INDEX(lmic_raw[],MATCH($A51,lmic_raw[[setting]:[setting]],0), MATCH(Q$1, lmic_raw[#Headers],0)))</f>
        <v>2.5989189787821818</v>
      </c>
      <c r="R51" s="33">
        <f>IF(INDEX(lmic_raw[],MATCH($A51,lmic_raw[[setting]:[setting]],0), MATCH(R$1, lmic_raw[#Headers],0))=0, INDEX(regions[], MATCH($D51, regions[[setting]:[setting]],0), MATCH(R$1, regions[#Headers],0)),INDEX(lmic_raw[],MATCH($A51,lmic_raw[[setting]:[setting]],0), MATCH(R$1, lmic_raw[#Headers],0)))</f>
        <v>29.920500000000001</v>
      </c>
      <c r="S51" s="33">
        <f>IF(INDEX(lmic_raw[],MATCH($A51,lmic_raw[[setting]:[setting]],0), MATCH(S$1, lmic_raw[#Headers],0))=0, INDEX(regions[], MATCH($D51, regions[[setting]:[setting]],0), MATCH(S$1, regions[#Headers],0)),INDEX(lmic_raw[],MATCH($A51,lmic_raw[[setting]:[setting]],0), MATCH(S$1, lmic_raw[#Headers],0)))</f>
        <v>77.662500000000009</v>
      </c>
      <c r="T51" s="33">
        <f>IF(INDEX(lmic_raw[],MATCH($A51,lmic_raw[[setting]:[setting]],0), MATCH(T$1, lmic_raw[#Headers],0))=0, INDEX(regions[], MATCH($D51, regions[[setting]:[setting]],0), MATCH(T$1, regions[#Headers],0)),INDEX(lmic_raw[],MATCH($A51,lmic_raw[[setting]:[setting]],0), MATCH(T$1, lmic_raw[#Headers],0)))</f>
        <v>77.662500000000009</v>
      </c>
      <c r="U51" s="33">
        <f>IF(INDEX(lmic_raw[],MATCH($A51,lmic_raw[[setting]:[setting]],0), MATCH(U$1, lmic_raw[#Headers],0))=0, INDEX(regions[], MATCH($D51, regions[[setting]:[setting]],0), MATCH(U$1, regions[#Headers],0)),INDEX(lmic_raw[],MATCH($A51,lmic_raw[[setting]:[setting]],0), MATCH(U$1, lmic_raw[#Headers],0)))</f>
        <v>77.662500000000009</v>
      </c>
      <c r="V51" s="33">
        <f>IF(INDEX(lmic_raw[],MATCH($A51,lmic_raw[[setting]:[setting]],0), MATCH(V$1, lmic_raw[#Headers],0))=0, INDEX(regions[], MATCH($D51, regions[[setting]:[setting]],0), MATCH(V$1, regions[#Headers],0)),INDEX(lmic_raw[],MATCH($A51,lmic_raw[[setting]:[setting]],0), MATCH(V$1, lmic_raw[#Headers],0)))</f>
        <v>1.0938807865514109</v>
      </c>
      <c r="W51" s="33">
        <f>IF(INDEX(lmic_raw[],MATCH($A51,lmic_raw[[setting]:[setting]],0), MATCH(W$1, lmic_raw[#Headers],0))=0, INDEX(regions[], MATCH($D51, regions[[setting]:[setting]],0), MATCH(W$1, regions[#Headers],0)),INDEX(lmic_raw[],MATCH($A51,lmic_raw[[setting]:[setting]],0), MATCH(W$1, lmic_raw[#Headers],0)))</f>
        <v>5.9238807865514111</v>
      </c>
      <c r="X51" s="33">
        <f>IF(INDEX(lmic_raw[],MATCH($A51,lmic_raw[[setting]:[setting]],0), MATCH(X$1, lmic_raw[#Headers],0))=0, INDEX(regions[], MATCH($D51, regions[[setting]:[setting]],0), MATCH(X$1, regions[#Headers],0)),INDEX(lmic_raw[],MATCH($A51,lmic_raw[[setting]:[setting]],0), MATCH(X$1, lmic_raw[#Headers],0)))</f>
        <v>0.66706115401002708</v>
      </c>
      <c r="Y51" s="33">
        <f>IF(INDEX(lmic_raw[],MATCH($A51,lmic_raw[[setting]:[setting]],0), MATCH(Y$1, lmic_raw[#Headers],0))=0, INDEX(regions[], MATCH($D51, regions[[setting]:[setting]],0), MATCH(Y$1, regions[#Headers],0)),INDEX(lmic_raw[],MATCH($A51,lmic_raw[[setting]:[setting]],0), MATCH(Y$1, lmic_raw[#Headers],0)))</f>
        <v>5.4970611540100274</v>
      </c>
      <c r="Z51" s="33">
        <f>IF(INDEX(lmic_raw[],MATCH($A51,lmic_raw[[setting]:[setting]],0), MATCH(Z$1, lmic_raw[#Headers],0))=0, INDEX(regions[], MATCH($D51, regions[[setting]:[setting]],0), MATCH(Z$1, regions[#Headers],0)),INDEX(lmic_raw[],MATCH($A51,lmic_raw[[setting]:[setting]],0), MATCH(Z$1, lmic_raw[#Headers],0)))</f>
        <v>5.4933782497267734</v>
      </c>
      <c r="AA51" s="33">
        <f>IF(INDEX(lmic_raw[],MATCH($A51,lmic_raw[[setting]:[setting]],0), MATCH(AA$1, lmic_raw[#Headers],0))=0, INDEX(regions[], MATCH($D51, regions[[setting]:[setting]],0), MATCH(AA$1, regions[#Headers],0)),INDEX(lmic_raw[],MATCH($A51,lmic_raw[[setting]:[setting]],0), MATCH(AA$1, lmic_raw[#Headers],0)))</f>
        <v>1.3359604159582121</v>
      </c>
      <c r="AB51" s="33">
        <f>IF(INDEX(lmic_raw[],MATCH($A51,lmic_raw[[setting]:[setting]],0), MATCH(AB$1, lmic_raw[#Headers],0))=0, INDEX(regions[], MATCH($D51, regions[[setting]:[setting]],0), MATCH(AB$1, regions[#Headers],0)),INDEX(lmic_raw[],MATCH($A51,lmic_raw[[setting]:[setting]],0), MATCH(AB$1, lmic_raw[#Headers],0)))</f>
        <v>6.165960415958212</v>
      </c>
      <c r="AC51" s="33">
        <f>IF(INDEX(lmic_raw[],MATCH($A51,lmic_raw[[setting]:[setting]],0), MATCH(AC$1, lmic_raw[#Headers],0))=0, INDEX(regions[], MATCH($D51, regions[[setting]:[setting]],0), MATCH(AC$1, regions[#Headers],0)),INDEX(lmic_raw[],MATCH($A51,lmic_raw[[setting]:[setting]],0), MATCH(AC$1, lmic_raw[#Headers],0)))</f>
        <v>5.1660929999999931E-2</v>
      </c>
      <c r="AD51" s="33">
        <f>IF(INDEX(lmic_raw[],MATCH($A51,lmic_raw[[setting]:[setting]],0), MATCH(AD$1, lmic_raw[#Headers],0))=0, INDEX(regions[], MATCH($D51, regions[[setting]:[setting]],0), MATCH(AD$1, regions[#Headers],0)),INDEX(lmic_raw[],MATCH($A51,lmic_raw[[setting]:[setting]],0), MATCH(AD$1, lmic_raw[#Headers],0)))</f>
        <v>7.6682989555624109E-3</v>
      </c>
      <c r="AE51" s="33">
        <f>IF(INDEX(lmic_raw[],MATCH($A51,lmic_raw[[setting]:[setting]],0), MATCH(AE$1, lmic_raw[#Headers],0))=0, INDEX(regions[], MATCH($D51, regions[[setting]:[setting]],0), MATCH(AE$1, regions[#Headers],0)),INDEX(lmic_raw[],MATCH($A51,lmic_raw[[setting]:[setting]],0), MATCH(AE$1, lmic_raw[#Headers],0)))</f>
        <v>2.753116865383637E-3</v>
      </c>
      <c r="AF51" s="33">
        <f>IF(INDEX(lmic_raw[],MATCH($A51,lmic_raw[[setting]:[setting]],0), MATCH(AF$1, lmic_raw[#Headers],0))=0, INDEX(regions[], MATCH($D51, regions[[setting]:[setting]],0), MATCH(AF$1, regions[#Headers],0)),INDEX(lmic_raw[],MATCH($A51,lmic_raw[[setting]:[setting]],0), MATCH(AF$1, lmic_raw[#Headers],0)))</f>
        <v>1.6220182461334277E-3</v>
      </c>
      <c r="AG51" s="33">
        <f>IF(INDEX(lmic_raw[],MATCH($A51,lmic_raw[[setting]:[setting]],0), MATCH(AG$1, lmic_raw[#Headers],0))=0, INDEX(regions[], MATCH($D51, regions[[setting]:[setting]],0), MATCH(AG$1, regions[#Headers],0)),INDEX(lmic_raw[],MATCH($A51,lmic_raw[[setting]:[setting]],0), MATCH(AG$1, lmic_raw[#Headers],0)))</f>
        <v>2.4728041518614608E-3</v>
      </c>
      <c r="AH51" s="33">
        <f>IF(INDEX(lmic_raw[],MATCH($A51,lmic_raw[[setting]:[setting]],0), MATCH(AH$1, lmic_raw[#Headers],0))=0, INDEX(regions[], MATCH($D51, regions[[setting]:[setting]],0), MATCH(AH$1, regions[#Headers],0)),INDEX(lmic_raw[],MATCH($A51,lmic_raw[[setting]:[setting]],0), MATCH(AH$1, lmic_raw[#Headers],0)))</f>
        <v>3.4650976904044128E-3</v>
      </c>
      <c r="AI51" s="33">
        <f>IF(INDEX(lmic_raw[],MATCH($A51,lmic_raw[[setting]:[setting]],0), MATCH(AI$1, lmic_raw[#Headers],0))=0, INDEX(regions[], MATCH($D51, regions[[setting]:[setting]],0), MATCH(AI$1, regions[#Headers],0)),INDEX(lmic_raw[],MATCH($A51,lmic_raw[[setting]:[setting]],0), MATCH(AI$1, lmic_raw[#Headers],0)))</f>
        <v>3.7158855391260254E-3</v>
      </c>
      <c r="AJ51" s="33">
        <f>IF(INDEX(lmic_raw[],MATCH($A51,lmic_raw[[setting]:[setting]],0), MATCH(AJ$1, lmic_raw[#Headers],0))=0, INDEX(regions[], MATCH($D51, regions[[setting]:[setting]],0), MATCH(AJ$1, regions[#Headers],0)),INDEX(lmic_raw[],MATCH($A51,lmic_raw[[setting]:[setting]],0), MATCH(AJ$1, lmic_raw[#Headers],0)))</f>
        <v>4.1006094147431607E-3</v>
      </c>
      <c r="AK51" s="33">
        <f>IF(INDEX(lmic_raw[],MATCH($A51,lmic_raw[[setting]:[setting]],0), MATCH(AK$1, lmic_raw[#Headers],0))=0, INDEX(regions[], MATCH($D51, regions[[setting]:[setting]],0), MATCH(AK$1, regions[#Headers],0)),INDEX(lmic_raw[],MATCH($A51,lmic_raw[[setting]:[setting]],0), MATCH(AK$1, lmic_raw[#Headers],0)))</f>
        <v>4.7097218029210465E-3</v>
      </c>
      <c r="AL51" s="33">
        <f>IF(INDEX(lmic_raw[],MATCH($A51,lmic_raw[[setting]:[setting]],0), MATCH(AL$1, lmic_raw[#Headers],0))=0, INDEX(regions[], MATCH($D51, regions[[setting]:[setting]],0), MATCH(AL$1, regions[#Headers],0)),INDEX(lmic_raw[],MATCH($A51,lmic_raw[[setting]:[setting]],0), MATCH(AL$1, lmic_raw[#Headers],0)))</f>
        <v>5.7317350908536787E-3</v>
      </c>
      <c r="AM51" s="33">
        <f>IF(INDEX(lmic_raw[],MATCH($A51,lmic_raw[[setting]:[setting]],0), MATCH(AM$1, lmic_raw[#Headers],0))=0, INDEX(regions[], MATCH($D51, regions[[setting]:[setting]],0), MATCH(AM$1, regions[#Headers],0)),INDEX(lmic_raw[],MATCH($A51,lmic_raw[[setting]:[setting]],0), MATCH(AM$1, lmic_raw[#Headers],0)))</f>
        <v>7.1089462516818339E-3</v>
      </c>
      <c r="AN51" s="33">
        <f>IF(INDEX(lmic_raw[],MATCH($A51,lmic_raw[[setting]:[setting]],0), MATCH(AN$1, lmic_raw[#Headers],0))=0, INDEX(regions[], MATCH($D51, regions[[setting]:[setting]],0), MATCH(AN$1, regions[#Headers],0)),INDEX(lmic_raw[],MATCH($A51,lmic_raw[[setting]:[setting]],0), MATCH(AN$1, lmic_raw[#Headers],0)))</f>
        <v>9.9864252053493852E-3</v>
      </c>
      <c r="AO51" s="33">
        <f>IF(INDEX(lmic_raw[],MATCH($A51,lmic_raw[[setting]:[setting]],0), MATCH(AO$1, lmic_raw[#Headers],0))=0, INDEX(regions[], MATCH($D51, regions[[setting]:[setting]],0), MATCH(AO$1, regions[#Headers],0)),INDEX(lmic_raw[],MATCH($A51,lmic_raw[[setting]:[setting]],0), MATCH(AO$1, lmic_raw[#Headers],0)))</f>
        <v>1.424243653612626E-2</v>
      </c>
      <c r="AP51" s="33">
        <f>IF(INDEX(lmic_raw[],MATCH($A51,lmic_raw[[setting]:[setting]],0), MATCH(AP$1, lmic_raw[#Headers],0))=0, INDEX(regions[], MATCH($D51, regions[[setting]:[setting]],0), MATCH(AP$1, regions[#Headers],0)),INDEX(lmic_raw[],MATCH($A51,lmic_raw[[setting]:[setting]],0), MATCH(AP$1, lmic_raw[#Headers],0)))</f>
        <v>2.2379907387419087E-2</v>
      </c>
      <c r="AQ51" s="33">
        <f>IF(INDEX(lmic_raw[],MATCH($A51,lmic_raw[[setting]:[setting]],0), MATCH(AQ$1, lmic_raw[#Headers],0))=0, INDEX(regions[], MATCH($D51, regions[[setting]:[setting]],0), MATCH(AQ$1, regions[#Headers],0)),INDEX(lmic_raw[],MATCH($A51,lmic_raw[[setting]:[setting]],0), MATCH(AQ$1, lmic_raw[#Headers],0)))</f>
        <v>3.4679884381574468E-2</v>
      </c>
      <c r="AR51" s="33">
        <f>IF(INDEX(lmic_raw[],MATCH($A51,lmic_raw[[setting]:[setting]],0), MATCH(AR$1, lmic_raw[#Headers],0))=0, INDEX(regions[], MATCH($D51, regions[[setting]:[setting]],0), MATCH(AR$1, regions[#Headers],0)),INDEX(lmic_raw[],MATCH($A51,lmic_raw[[setting]:[setting]],0), MATCH(AR$1, lmic_raw[#Headers],0)))</f>
        <v>5.5650893957264136E-2</v>
      </c>
      <c r="AS51" s="33">
        <f>IF(INDEX(lmic_raw[],MATCH($A51,lmic_raw[[setting]:[setting]],0), MATCH(AS$1, lmic_raw[#Headers],0))=0, INDEX(regions[], MATCH($D51, regions[[setting]:[setting]],0), MATCH(AS$1, regions[#Headers],0)),INDEX(lmic_raw[],MATCH($A51,lmic_raw[[setting]:[setting]],0), MATCH(AS$1, lmic_raw[#Headers],0)))</f>
        <v>8.5416908324498969E-2</v>
      </c>
      <c r="AT51" s="33">
        <f>IF(INDEX(lmic_raw[],MATCH($A51,lmic_raw[[setting]:[setting]],0), MATCH(AT$1, lmic_raw[#Headers],0))=0, INDEX(regions[], MATCH($D51, regions[[setting]:[setting]],0), MATCH(AT$1, regions[#Headers],0)),INDEX(lmic_raw[],MATCH($A51,lmic_raw[[setting]:[setting]],0), MATCH(AT$1, lmic_raw[#Headers],0)))</f>
        <v>0.12175749905273563</v>
      </c>
      <c r="AU51" s="33">
        <f>IF(INDEX(lmic_raw[],MATCH($A51,lmic_raw[[setting]:[setting]],0), MATCH(AU$1, lmic_raw[#Headers],0))=0, INDEX(regions[], MATCH($D51, regions[[setting]:[setting]],0), MATCH(AU$1, regions[#Headers],0)),INDEX(lmic_raw[],MATCH($A51,lmic_raw[[setting]:[setting]],0), MATCH(AU$1, lmic_raw[#Headers],0)))</f>
        <v>0.1547302136680318</v>
      </c>
      <c r="AV51" s="33">
        <f>IF(INDEX(lmic_raw[],MATCH($A51,lmic_raw[[setting]:[setting]],0), MATCH(AV$1, lmic_raw[#Headers],0))=0, INDEX(regions[], MATCH($D51, regions[[setting]:[setting]],0), MATCH(AV$1, regions[#Headers],0)),INDEX(lmic_raw[],MATCH($A51,lmic_raw[[setting]:[setting]],0), MATCH(AV$1, lmic_raw[#Headers],0)))</f>
        <v>0.17719636261075544</v>
      </c>
      <c r="AW51" s="33">
        <f>IF(INDEX(lmic_raw[],MATCH($A51,lmic_raw[[setting]:[setting]],0), MATCH(AW$1, lmic_raw[#Headers],0))=0, INDEX(regions[], MATCH($D51, regions[[setting]:[setting]],0), MATCH(AW$1, regions[#Headers],0)),INDEX(lmic_raw[],MATCH($A51,lmic_raw[[setting]:[setting]],0), MATCH(AW$1, lmic_raw[#Headers],0)))</f>
        <v>0.18801715411602082</v>
      </c>
      <c r="AX51" s="33">
        <f>IF(INDEX(lmic_raw[],MATCH($A51,lmic_raw[[setting]:[setting]],0), MATCH(AX$1, lmic_raw[#Headers],0))=0, INDEX(regions[], MATCH($D51, regions[[setting]:[setting]],0), MATCH(AX$1, regions[#Headers],0)),INDEX(lmic_raw[],MATCH($A51,lmic_raw[[setting]:[setting]],0), MATCH(AX$1, lmic_raw[#Headers],0)))</f>
        <v>61.043999999999997</v>
      </c>
      <c r="AY51" s="33" t="str">
        <f>IF(VLOOKUP($A51,lmic_raw[],11,FALSE)=0, "Yes", "No")</f>
        <v>Yes</v>
      </c>
    </row>
    <row r="52" spans="1:51" x14ac:dyDescent="0.25">
      <c r="A52" s="109" t="s">
        <v>145</v>
      </c>
      <c r="B52" s="101" t="s">
        <v>434</v>
      </c>
      <c r="C52" s="102">
        <v>624</v>
      </c>
      <c r="D52" s="82" t="s">
        <v>677</v>
      </c>
      <c r="E52" s="82" t="s">
        <v>591</v>
      </c>
      <c r="F52" s="82" t="s">
        <v>667</v>
      </c>
      <c r="G52" s="82" t="s">
        <v>674</v>
      </c>
      <c r="H52" s="33">
        <f>IF(INDEX(lmic_raw[],MATCH($A52,lmic_raw[[setting]:[setting]],0), MATCH(H$1, lmic_raw[#Headers],0))=0, INDEX(regions[], MATCH($D52, regions[[setting]:[setting]],0), MATCH(H$1, regions[#Headers],0)),INDEX(lmic_raw[],MATCH($A52,lmic_raw[[setting]:[setting]],0), MATCH(H$1, lmic_raw[#Headers],0)))</f>
        <v>1920917</v>
      </c>
      <c r="I52" s="33">
        <f>IF(INDEX(lmic_raw[],MATCH($A52,lmic_raw[[setting]:[setting]],0), MATCH(I$1, lmic_raw[#Headers],0))=0, INDEX(regions[], MATCH($D52, regions[[setting]:[setting]],0), MATCH(I$1, regions[#Headers],0)),INDEX(lmic_raw[],MATCH($A52,lmic_raw[[setting]:[setting]],0), MATCH(I$1, lmic_raw[#Headers],0)))</f>
        <v>67979.331713000007</v>
      </c>
      <c r="J52" s="33">
        <f>IF(INDEX(lmic_raw[],MATCH($A52,lmic_raw[[setting]:[setting]],0), MATCH(J$1, lmic_raw[#Headers],0))=0, INDEX(regions[], MATCH($D52, regions[[setting]:[setting]],0), MATCH(J$1, regions[#Headers],0)),INDEX(lmic_raw[],MATCH($A52,lmic_raw[[setting]:[setting]],0), MATCH(J$1, lmic_raw[#Headers],0)))</f>
        <v>0.44</v>
      </c>
      <c r="K52" s="33">
        <f>IF(INDEX(lmic_raw[],MATCH($A52,lmic_raw[[setting]:[setting]],0), MATCH(K$1, lmic_raw[#Headers],0))=0, INDEX(regions[], MATCH($D52, regions[[setting]:[setting]],0), MATCH(K$1, regions[#Headers],0)),INDEX(lmic_raw[],MATCH($A52,lmic_raw[[setting]:[setting]],0), MATCH(K$1, lmic_raw[#Headers],0)))</f>
        <v>0.69252604416320784</v>
      </c>
      <c r="L52" s="33">
        <f>IF(INDEX(lmic_raw[],MATCH($A52,lmic_raw[[setting]:[setting]],0), MATCH(L$1, lmic_raw[#Headers],0))=0, INDEX(regions[], MATCH($D52, regions[[setting]:[setting]],0), MATCH(L$1, regions[#Headers],0)),INDEX(lmic_raw[],MATCH($A52,lmic_raw[[setting]:[setting]],0), MATCH(L$1, lmic_raw[#Headers],0)))</f>
        <v>0.84</v>
      </c>
      <c r="M52" s="33">
        <f>IF(INDEX(lmic_raw[],MATCH($A52,lmic_raw[[setting]:[setting]],0), MATCH(M$1, lmic_raw[#Headers],0))=0, INDEX(regions[], MATCH($D52, regions[[setting]:[setting]],0), MATCH(M$1, regions[#Headers],0)),INDEX(lmic_raw[],MATCH($A52,lmic_raw[[setting]:[setting]],0), MATCH(M$1, lmic_raw[#Headers],0)))</f>
        <v>5.1100000000000007E-2</v>
      </c>
      <c r="N52" s="33">
        <f>IF(INDEX(lmic_raw[],MATCH($A52,lmic_raw[[setting]:[setting]],0), MATCH(N$1, lmic_raw[#Headers],0))=0, INDEX(regions[], MATCH($D52, regions[[setting]:[setting]],0), MATCH(N$1, regions[#Headers],0)),INDEX(lmic_raw[],MATCH($A52,lmic_raw[[setting]:[setting]],0), MATCH(N$1, lmic_raw[#Headers],0)))</f>
        <v>0.29135266850719183</v>
      </c>
      <c r="O52" s="33">
        <f>IF(INDEX(lmic_raw[],MATCH($A52,lmic_raw[[setting]:[setting]],0), MATCH(O$1, lmic_raw[#Headers],0))=0, INDEX(regions[], MATCH($D52, regions[[setting]:[setting]],0), MATCH(O$1, regions[#Headers],0)),INDEX(lmic_raw[],MATCH($A52,lmic_raw[[setting]:[setting]],0), MATCH(O$1, lmic_raw[#Headers],0)))</f>
        <v>0.38300000000000001</v>
      </c>
      <c r="P52" s="33">
        <f>IF(INDEX(lmic_raw[],MATCH($A52,lmic_raw[[setting]:[setting]],0), MATCH(P$1, lmic_raw[#Headers],0))=0, INDEX(regions[], MATCH($D52, regions[[setting]:[setting]],0), MATCH(P$1, regions[#Headers],0)),INDEX(lmic_raw[],MATCH($A52,lmic_raw[[setting]:[setting]],0), MATCH(P$1, lmic_raw[#Headers],0)))</f>
        <v>4.8000000000000001E-2</v>
      </c>
      <c r="Q52" s="33">
        <f>IF(INDEX(lmic_raw[],MATCH($A52,lmic_raw[[setting]:[setting]],0), MATCH(Q$1, lmic_raw[#Headers],0))=0, INDEX(regions[], MATCH($D52, regions[[setting]:[setting]],0), MATCH(Q$1, regions[#Headers],0)),INDEX(lmic_raw[],MATCH($A52,lmic_raw[[setting]:[setting]],0), MATCH(Q$1, lmic_raw[#Headers],0)))</f>
        <v>4.6578711530420058</v>
      </c>
      <c r="R52" s="33">
        <f>IF(INDEX(lmic_raw[],MATCH($A52,lmic_raw[[setting]:[setting]],0), MATCH(R$1, lmic_raw[#Headers],0))=0, INDEX(regions[], MATCH($D52, regions[[setting]:[setting]],0), MATCH(R$1, regions[#Headers],0)),INDEX(lmic_raw[],MATCH($A52,lmic_raw[[setting]:[setting]],0), MATCH(R$1, lmic_raw[#Headers],0)))</f>
        <v>29.920500000000001</v>
      </c>
      <c r="S52" s="33">
        <f>IF(INDEX(lmic_raw[],MATCH($A52,lmic_raw[[setting]:[setting]],0), MATCH(S$1, lmic_raw[#Headers],0))=0, INDEX(regions[], MATCH($D52, regions[[setting]:[setting]],0), MATCH(S$1, regions[#Headers],0)),INDEX(lmic_raw[],MATCH($A52,lmic_raw[[setting]:[setting]],0), MATCH(S$1, lmic_raw[#Headers],0)))</f>
        <v>77.662500000000009</v>
      </c>
      <c r="T52" s="33">
        <f>IF(INDEX(lmic_raw[],MATCH($A52,lmic_raw[[setting]:[setting]],0), MATCH(T$1, lmic_raw[#Headers],0))=0, INDEX(regions[], MATCH($D52, regions[[setting]:[setting]],0), MATCH(T$1, regions[#Headers],0)),INDEX(lmic_raw[],MATCH($A52,lmic_raw[[setting]:[setting]],0), MATCH(T$1, lmic_raw[#Headers],0)))</f>
        <v>77.662500000000009</v>
      </c>
      <c r="U52" s="33">
        <f>IF(INDEX(lmic_raw[],MATCH($A52,lmic_raw[[setting]:[setting]],0), MATCH(U$1, lmic_raw[#Headers],0))=0, INDEX(regions[], MATCH($D52, regions[[setting]:[setting]],0), MATCH(U$1, regions[#Headers],0)),INDEX(lmic_raw[],MATCH($A52,lmic_raw[[setting]:[setting]],0), MATCH(U$1, lmic_raw[#Headers],0)))</f>
        <v>77.662500000000009</v>
      </c>
      <c r="V52" s="33">
        <f>IF(INDEX(lmic_raw[],MATCH($A52,lmic_raw[[setting]:[setting]],0), MATCH(V$1, lmic_raw[#Headers],0))=0, INDEX(regions[], MATCH($D52, regions[[setting]:[setting]],0), MATCH(V$1, regions[#Headers],0)),INDEX(lmic_raw[],MATCH($A52,lmic_raw[[setting]:[setting]],0), MATCH(V$1, lmic_raw[#Headers],0)))</f>
        <v>3.6121625438521474</v>
      </c>
      <c r="W52" s="33">
        <f>IF(INDEX(lmic_raw[],MATCH($A52,lmic_raw[[setting]:[setting]],0), MATCH(W$1, lmic_raw[#Headers],0))=0, INDEX(regions[], MATCH($D52, regions[[setting]:[setting]],0), MATCH(W$1, regions[#Headers],0)),INDEX(lmic_raw[],MATCH($A52,lmic_raw[[setting]:[setting]],0), MATCH(W$1, lmic_raw[#Headers],0)))</f>
        <v>8.442162543852147</v>
      </c>
      <c r="X52" s="33">
        <f>IF(INDEX(lmic_raw[],MATCH($A52,lmic_raw[[setting]:[setting]],0), MATCH(X$1, lmic_raw[#Headers],0))=0, INDEX(regions[], MATCH($D52, regions[[setting]:[setting]],0), MATCH(X$1, regions[#Headers],0)),INDEX(lmic_raw[],MATCH($A52,lmic_raw[[setting]:[setting]],0), MATCH(X$1, lmic_raw[#Headers],0)))</f>
        <v>3.1881130895338297</v>
      </c>
      <c r="Y52" s="33">
        <f>IF(INDEX(lmic_raw[],MATCH($A52,lmic_raw[[setting]:[setting]],0), MATCH(Y$1, lmic_raw[#Headers],0))=0, INDEX(regions[], MATCH($D52, regions[[setting]:[setting]],0), MATCH(Y$1, regions[#Headers],0)),INDEX(lmic_raw[],MATCH($A52,lmic_raw[[setting]:[setting]],0), MATCH(Y$1, lmic_raw[#Headers],0)))</f>
        <v>8.0181130895338306</v>
      </c>
      <c r="Z52" s="33">
        <f>IF(INDEX(lmic_raw[],MATCH($A52,lmic_raw[[setting]:[setting]],0), MATCH(Z$1, lmic_raw[#Headers],0))=0, INDEX(regions[], MATCH($D52, regions[[setting]:[setting]],0), MATCH(Z$1, regions[#Headers],0)),INDEX(lmic_raw[],MATCH($A52,lmic_raw[[setting]:[setting]],0), MATCH(Z$1, lmic_raw[#Headers],0)))</f>
        <v>8.0157259156393845</v>
      </c>
      <c r="AA52" s="33">
        <f>IF(INDEX(lmic_raw[],MATCH($A52,lmic_raw[[setting]:[setting]],0), MATCH(AA$1, lmic_raw[#Headers],0))=0, INDEX(regions[], MATCH($D52, regions[[setting]:[setting]],0), MATCH(AA$1, regions[#Headers],0)),INDEX(lmic_raw[],MATCH($A52,lmic_raw[[setting]:[setting]],0), MATCH(AA$1, lmic_raw[#Headers],0)))</f>
        <v>3.8532436206436578</v>
      </c>
      <c r="AB52" s="33">
        <f>IF(INDEX(lmic_raw[],MATCH($A52,lmic_raw[[setting]:[setting]],0), MATCH(AB$1, lmic_raw[#Headers],0))=0, INDEX(regions[], MATCH($D52, regions[[setting]:[setting]],0), MATCH(AB$1, regions[#Headers],0)),INDEX(lmic_raw[],MATCH($A52,lmic_raw[[setting]:[setting]],0), MATCH(AB$1, lmic_raw[#Headers],0)))</f>
        <v>8.6832436206436583</v>
      </c>
      <c r="AC52" s="33">
        <f>IF(INDEX(lmic_raw[],MATCH($A52,lmic_raw[[setting]:[setting]],0), MATCH(AC$1, lmic_raw[#Headers],0))=0, INDEX(regions[], MATCH($D52, regions[[setting]:[setting]],0), MATCH(AC$1, regions[#Headers],0)),INDEX(lmic_raw[],MATCH($A52,lmic_raw[[setting]:[setting]],0), MATCH(AC$1, lmic_raw[#Headers],0)))</f>
        <v>5.7137039999999979E-2</v>
      </c>
      <c r="AD52" s="33">
        <f>IF(INDEX(lmic_raw[],MATCH($A52,lmic_raw[[setting]:[setting]],0), MATCH(AD$1, lmic_raw[#Headers],0))=0, INDEX(regions[], MATCH($D52, regions[[setting]:[setting]],0), MATCH(AD$1, regions[#Headers],0)),INDEX(lmic_raw[],MATCH($A52,lmic_raw[[setting]:[setting]],0), MATCH(AD$1, lmic_raw[#Headers],0)))</f>
        <v>6.7141676665291852E-3</v>
      </c>
      <c r="AE52" s="33">
        <f>IF(INDEX(lmic_raw[],MATCH($A52,lmic_raw[[setting]:[setting]],0), MATCH(AE$1, lmic_raw[#Headers],0))=0, INDEX(regions[], MATCH($D52, regions[[setting]:[setting]],0), MATCH(AE$1, regions[#Headers],0)),INDEX(lmic_raw[],MATCH($A52,lmic_raw[[setting]:[setting]],0), MATCH(AE$1, lmic_raw[#Headers],0)))</f>
        <v>2.6421517168500916E-3</v>
      </c>
      <c r="AF52" s="33">
        <f>IF(INDEX(lmic_raw[],MATCH($A52,lmic_raw[[setting]:[setting]],0), MATCH(AF$1, lmic_raw[#Headers],0))=0, INDEX(regions[], MATCH($D52, regions[[setting]:[setting]],0), MATCH(AF$1, regions[#Headers],0)),INDEX(lmic_raw[],MATCH($A52,lmic_raw[[setting]:[setting]],0), MATCH(AF$1, lmic_raw[#Headers],0)))</f>
        <v>1.8582747603848101E-3</v>
      </c>
      <c r="AG52" s="33">
        <f>IF(INDEX(lmic_raw[],MATCH($A52,lmic_raw[[setting]:[setting]],0), MATCH(AG$1, lmic_raw[#Headers],0))=0, INDEX(regions[], MATCH($D52, regions[[setting]:[setting]],0), MATCH(AG$1, regions[#Headers],0)),INDEX(lmic_raw[],MATCH($A52,lmic_raw[[setting]:[setting]],0), MATCH(AG$1, lmic_raw[#Headers],0)))</f>
        <v>2.7584406272059439E-3</v>
      </c>
      <c r="AH52" s="33">
        <f>IF(INDEX(lmic_raw[],MATCH($A52,lmic_raw[[setting]:[setting]],0), MATCH(AH$1, lmic_raw[#Headers],0))=0, INDEX(regions[], MATCH($D52, regions[[setting]:[setting]],0), MATCH(AH$1, regions[#Headers],0)),INDEX(lmic_raw[],MATCH($A52,lmic_raw[[setting]:[setting]],0), MATCH(AH$1, lmic_raw[#Headers],0)))</f>
        <v>4.0673561336193754E-3</v>
      </c>
      <c r="AI52" s="33">
        <f>IF(INDEX(lmic_raw[],MATCH($A52,lmic_raw[[setting]:[setting]],0), MATCH(AI$1, lmic_raw[#Headers],0))=0, INDEX(regions[], MATCH($D52, regions[[setting]:[setting]],0), MATCH(AI$1, regions[#Headers],0)),INDEX(lmic_raw[],MATCH($A52,lmic_raw[[setting]:[setting]],0), MATCH(AI$1, lmic_raw[#Headers],0)))</f>
        <v>5.1395770170898194E-3</v>
      </c>
      <c r="AJ52" s="33">
        <f>IF(INDEX(lmic_raw[],MATCH($A52,lmic_raw[[setting]:[setting]],0), MATCH(AJ$1, lmic_raw[#Headers],0))=0, INDEX(regions[], MATCH($D52, regions[[setting]:[setting]],0), MATCH(AJ$1, regions[#Headers],0)),INDEX(lmic_raw[],MATCH($A52,lmic_raw[[setting]:[setting]],0), MATCH(AJ$1, lmic_raw[#Headers],0)))</f>
        <v>6.2796946479398499E-3</v>
      </c>
      <c r="AK52" s="33">
        <f>IF(INDEX(lmic_raw[],MATCH($A52,lmic_raw[[setting]:[setting]],0), MATCH(AK$1, lmic_raw[#Headers],0))=0, INDEX(regions[], MATCH($D52, regions[[setting]:[setting]],0), MATCH(AK$1, regions[#Headers],0)),INDEX(lmic_raw[],MATCH($A52,lmic_raw[[setting]:[setting]],0), MATCH(AK$1, lmic_raw[#Headers],0)))</f>
        <v>7.8450079872936628E-3</v>
      </c>
      <c r="AL52" s="33">
        <f>IF(INDEX(lmic_raw[],MATCH($A52,lmic_raw[[setting]:[setting]],0), MATCH(AL$1, lmic_raw[#Headers],0))=0, INDEX(regions[], MATCH($D52, regions[[setting]:[setting]],0), MATCH(AL$1, regions[#Headers],0)),INDEX(lmic_raw[],MATCH($A52,lmic_raw[[setting]:[setting]],0), MATCH(AL$1, lmic_raw[#Headers],0)))</f>
        <v>9.5087937050133096E-3</v>
      </c>
      <c r="AM52" s="33">
        <f>IF(INDEX(lmic_raw[],MATCH($A52,lmic_raw[[setting]:[setting]],0), MATCH(AM$1, lmic_raw[#Headers],0))=0, INDEX(regions[], MATCH($D52, regions[[setting]:[setting]],0), MATCH(AM$1, regions[#Headers],0)),INDEX(lmic_raw[],MATCH($A52,lmic_raw[[setting]:[setting]],0), MATCH(AM$1, lmic_raw[#Headers],0)))</f>
        <v>1.1401948775644169E-2</v>
      </c>
      <c r="AN52" s="33">
        <f>IF(INDEX(lmic_raw[],MATCH($A52,lmic_raw[[setting]:[setting]],0), MATCH(AN$1, lmic_raw[#Headers],0))=0, INDEX(regions[], MATCH($D52, regions[[setting]:[setting]],0), MATCH(AN$1, regions[#Headers],0)),INDEX(lmic_raw[],MATCH($A52,lmic_raw[[setting]:[setting]],0), MATCH(AN$1, lmic_raw[#Headers],0)))</f>
        <v>1.4843682585434316E-2</v>
      </c>
      <c r="AO52" s="33">
        <f>IF(INDEX(lmic_raw[],MATCH($A52,lmic_raw[[setting]:[setting]],0), MATCH(AO$1, lmic_raw[#Headers],0))=0, INDEX(regions[], MATCH($D52, regions[[setting]:[setting]],0), MATCH(AO$1, regions[#Headers],0)),INDEX(lmic_raw[],MATCH($A52,lmic_raw[[setting]:[setting]],0), MATCH(AO$1, lmic_raw[#Headers],0)))</f>
        <v>1.8876475434659281E-2</v>
      </c>
      <c r="AP52" s="33">
        <f>IF(INDEX(lmic_raw[],MATCH($A52,lmic_raw[[setting]:[setting]],0), MATCH(AP$1, lmic_raw[#Headers],0))=0, INDEX(regions[], MATCH($D52, regions[[setting]:[setting]],0), MATCH(AP$1, regions[#Headers],0)),INDEX(lmic_raw[],MATCH($A52,lmic_raw[[setting]:[setting]],0), MATCH(AP$1, lmic_raw[#Headers],0)))</f>
        <v>2.6573087528500995E-2</v>
      </c>
      <c r="AQ52" s="33">
        <f>IF(INDEX(lmic_raw[],MATCH($A52,lmic_raw[[setting]:[setting]],0), MATCH(AQ$1, lmic_raw[#Headers],0))=0, INDEX(regions[], MATCH($D52, regions[[setting]:[setting]],0), MATCH(AQ$1, regions[#Headers],0)),INDEX(lmic_raw[],MATCH($A52,lmic_raw[[setting]:[setting]],0), MATCH(AQ$1, lmic_raw[#Headers],0)))</f>
        <v>3.8832694277057697E-2</v>
      </c>
      <c r="AR52" s="33">
        <f>IF(INDEX(lmic_raw[],MATCH($A52,lmic_raw[[setting]:[setting]],0), MATCH(AR$1, lmic_raw[#Headers],0))=0, INDEX(regions[], MATCH($D52, regions[[setting]:[setting]],0), MATCH(AR$1, regions[#Headers],0)),INDEX(lmic_raw[],MATCH($A52,lmic_raw[[setting]:[setting]],0), MATCH(AR$1, lmic_raw[#Headers],0)))</f>
        <v>5.7800470461217432E-2</v>
      </c>
      <c r="AS52" s="33">
        <f>IF(INDEX(lmic_raw[],MATCH($A52,lmic_raw[[setting]:[setting]],0), MATCH(AS$1, lmic_raw[#Headers],0))=0, INDEX(regions[], MATCH($D52, regions[[setting]:[setting]],0), MATCH(AS$1, regions[#Headers],0)),INDEX(lmic_raw[],MATCH($A52,lmic_raw[[setting]:[setting]],0), MATCH(AS$1, lmic_raw[#Headers],0)))</f>
        <v>8.4481990196540638E-2</v>
      </c>
      <c r="AT52" s="33">
        <f>IF(INDEX(lmic_raw[],MATCH($A52,lmic_raw[[setting]:[setting]],0), MATCH(AT$1, lmic_raw[#Headers],0))=0, INDEX(regions[], MATCH($D52, regions[[setting]:[setting]],0), MATCH(AT$1, regions[#Headers],0)),INDEX(lmic_raw[],MATCH($A52,lmic_raw[[setting]:[setting]],0), MATCH(AT$1, lmic_raw[#Headers],0)))</f>
        <v>0.12076751482202236</v>
      </c>
      <c r="AU52" s="33">
        <f>IF(INDEX(lmic_raw[],MATCH($A52,lmic_raw[[setting]:[setting]],0), MATCH(AU$1, lmic_raw[#Headers],0))=0, INDEX(regions[], MATCH($D52, regions[[setting]:[setting]],0), MATCH(AU$1, regions[#Headers],0)),INDEX(lmic_raw[],MATCH($A52,lmic_raw[[setting]:[setting]],0), MATCH(AU$1, lmic_raw[#Headers],0)))</f>
        <v>0.15842233373352008</v>
      </c>
      <c r="AV52" s="33">
        <f>IF(INDEX(lmic_raw[],MATCH($A52,lmic_raw[[setting]:[setting]],0), MATCH(AV$1, lmic_raw[#Headers],0))=0, INDEX(regions[], MATCH($D52, regions[[setting]:[setting]],0), MATCH(AV$1, regions[#Headers],0)),INDEX(lmic_raw[],MATCH($A52,lmic_raw[[setting]:[setting]],0), MATCH(AV$1, lmic_raw[#Headers],0)))</f>
        <v>0.184292046722796</v>
      </c>
      <c r="AW52" s="33">
        <f>IF(INDEX(lmic_raw[],MATCH($A52,lmic_raw[[setting]:[setting]],0), MATCH(AW$1, lmic_raw[#Headers],0))=0, INDEX(regions[], MATCH($D52, regions[[setting]:[setting]],0), MATCH(AW$1, regions[#Headers],0)),INDEX(lmic_raw[],MATCH($A52,lmic_raw[[setting]:[setting]],0), MATCH(AW$1, lmic_raw[#Headers],0)))</f>
        <v>0.18984142358814635</v>
      </c>
      <c r="AX52" s="33">
        <f>IF(INDEX(lmic_raw[],MATCH($A52,lmic_raw[[setting]:[setting]],0), MATCH(AX$1, lmic_raw[#Headers],0))=0, INDEX(regions[], MATCH($D52, regions[[setting]:[setting]],0), MATCH(AX$1, regions[#Headers],0)),INDEX(lmic_raw[],MATCH($A52,lmic_raw[[setting]:[setting]],0), MATCH(AX$1, lmic_raw[#Headers],0)))</f>
        <v>57.819000000000003</v>
      </c>
      <c r="AY52" s="33" t="str">
        <f>IF(VLOOKUP($A52,lmic_raw[],11,FALSE)=0, "Yes", "No")</f>
        <v>Yes</v>
      </c>
    </row>
    <row r="53" spans="1:51" x14ac:dyDescent="0.25">
      <c r="A53" s="110" t="s">
        <v>270</v>
      </c>
      <c r="B53" s="104" t="s">
        <v>435</v>
      </c>
      <c r="C53" s="105">
        <v>328</v>
      </c>
      <c r="D53" s="84" t="s">
        <v>679</v>
      </c>
      <c r="E53" s="84" t="s">
        <v>223</v>
      </c>
      <c r="F53" s="84" t="s">
        <v>665</v>
      </c>
      <c r="G53" s="84" t="s">
        <v>676</v>
      </c>
      <c r="H53" s="33">
        <f>IF(INDEX(lmic_raw[],MATCH($A53,lmic_raw[[setting]:[setting]],0), MATCH(H$1, lmic_raw[#Headers],0))=0, INDEX(regions[], MATCH($D53, regions[[setting]:[setting]],0), MATCH(H$1, regions[#Headers],0)),INDEX(lmic_raw[],MATCH($A53,lmic_raw[[setting]:[setting]],0), MATCH(H$1, lmic_raw[#Headers],0)))</f>
        <v>782775</v>
      </c>
      <c r="I53" s="33">
        <f>IF(INDEX(lmic_raw[],MATCH($A53,lmic_raw[[setting]:[setting]],0), MATCH(I$1, lmic_raw[#Headers],0))=0, INDEX(regions[], MATCH($D53, regions[[setting]:[setting]],0), MATCH(I$1, regions[#Headers],0)),INDEX(lmic_raw[],MATCH($A53,lmic_raw[[setting]:[setting]],0), MATCH(I$1, lmic_raw[#Headers],0)))</f>
        <v>15707.945925</v>
      </c>
      <c r="J53" s="33">
        <f>IF(INDEX(lmic_raw[],MATCH($A53,lmic_raw[[setting]:[setting]],0), MATCH(J$1, lmic_raw[#Headers],0))=0, INDEX(regions[], MATCH($D53, regions[[setting]:[setting]],0), MATCH(J$1, regions[#Headers],0)),INDEX(lmic_raw[],MATCH($A53,lmic_raw[[setting]:[setting]],0), MATCH(J$1, lmic_raw[#Headers],0)))</f>
        <v>0.92700000000000005</v>
      </c>
      <c r="K53" s="33">
        <f>IF(INDEX(lmic_raw[],MATCH($A53,lmic_raw[[setting]:[setting]],0), MATCH(K$1, lmic_raw[#Headers],0))=0, INDEX(regions[], MATCH($D53, regions[[setting]:[setting]],0), MATCH(K$1, regions[#Headers],0)),INDEX(lmic_raw[],MATCH($A53,lmic_raw[[setting]:[setting]],0), MATCH(K$1, lmic_raw[#Headers],0)))</f>
        <v>0.74567750031159119</v>
      </c>
      <c r="L53" s="33">
        <f>IF(INDEX(lmic_raw[],MATCH($A53,lmic_raw[[setting]:[setting]],0), MATCH(L$1, lmic_raw[#Headers],0))=0, INDEX(regions[], MATCH($D53, regions[[setting]:[setting]],0), MATCH(L$1, regions[#Headers],0)),INDEX(lmic_raw[],MATCH($A53,lmic_raw[[setting]:[setting]],0), MATCH(L$1, lmic_raw[#Headers],0)))</f>
        <v>0.99</v>
      </c>
      <c r="M53" s="33">
        <f>IF(INDEX(lmic_raw[],MATCH($A53,lmic_raw[[setting]:[setting]],0), MATCH(M$1, lmic_raw[#Headers],0))=0, INDEX(regions[], MATCH($D53, regions[[setting]:[setting]],0), MATCH(M$1, regions[#Headers],0)),INDEX(lmic_raw[],MATCH($A53,lmic_raw[[setting]:[setting]],0), MATCH(M$1, lmic_raw[#Headers],0)))</f>
        <v>2.7799999999999998E-2</v>
      </c>
      <c r="N53" s="33">
        <f>IF(INDEX(lmic_raw[],MATCH($A53,lmic_raw[[setting]:[setting]],0), MATCH(N$1, lmic_raw[#Headers],0))=0, INDEX(regions[], MATCH($D53, regions[[setting]:[setting]],0), MATCH(N$1, regions[#Headers],0)),INDEX(lmic_raw[],MATCH($A53,lmic_raw[[setting]:[setting]],0), MATCH(N$1, lmic_raw[#Headers],0)))</f>
        <v>0.31994720950218708</v>
      </c>
      <c r="O53" s="33">
        <f>IF(INDEX(lmic_raw[],MATCH($A53,lmic_raw[[setting]:[setting]],0), MATCH(O$1, lmic_raw[#Headers],0))=0, INDEX(regions[], MATCH($D53, regions[[setting]:[setting]],0), MATCH(O$1, regions[#Headers],0)),INDEX(lmic_raw[],MATCH($A53,lmic_raw[[setting]:[setting]],0), MATCH(O$1, lmic_raw[#Headers],0)))</f>
        <v>0.8</v>
      </c>
      <c r="P53" s="33">
        <f>IF(INDEX(lmic_raw[],MATCH($A53,lmic_raw[[setting]:[setting]],0), MATCH(P$1, lmic_raw[#Headers],0))=0, INDEX(regions[], MATCH($D53, regions[[setting]:[setting]],0), MATCH(P$1, regions[#Headers],0)),INDEX(lmic_raw[],MATCH($A53,lmic_raw[[setting]:[setting]],0), MATCH(P$1, lmic_raw[#Headers],0)))</f>
        <v>0.17499999999999999</v>
      </c>
      <c r="Q53" s="33">
        <f>IF(INDEX(lmic_raw[],MATCH($A53,lmic_raw[[setting]:[setting]],0), MATCH(Q$1, lmic_raw[#Headers],0))=0, INDEX(regions[], MATCH($D53, regions[[setting]:[setting]],0), MATCH(Q$1, regions[#Headers],0)),INDEX(lmic_raw[],MATCH($A53,lmic_raw[[setting]:[setting]],0), MATCH(Q$1, lmic_raw[#Headers],0)))</f>
        <v>7.405884292658695</v>
      </c>
      <c r="R53" s="33">
        <f>IF(INDEX(lmic_raw[],MATCH($A53,lmic_raw[[setting]:[setting]],0), MATCH(R$1, lmic_raw[#Headers],0))=0, INDEX(regions[], MATCH($D53, regions[[setting]:[setting]],0), MATCH(R$1, regions[#Headers],0)),INDEX(lmic_raw[],MATCH($A53,lmic_raw[[setting]:[setting]],0), MATCH(R$1, lmic_raw[#Headers],0)))</f>
        <v>86.883899999999997</v>
      </c>
      <c r="S53" s="33">
        <f>IF(INDEX(lmic_raw[],MATCH($A53,lmic_raw[[setting]:[setting]],0), MATCH(S$1, lmic_raw[#Headers],0))=0, INDEX(regions[], MATCH($D53, regions[[setting]:[setting]],0), MATCH(S$1, regions[#Headers],0)),INDEX(lmic_raw[],MATCH($A53,lmic_raw[[setting]:[setting]],0), MATCH(S$1, lmic_raw[#Headers],0)))</f>
        <v>134.6259</v>
      </c>
      <c r="T53" s="33">
        <f>IF(INDEX(lmic_raw[],MATCH($A53,lmic_raw[[setting]:[setting]],0), MATCH(T$1, lmic_raw[#Headers],0))=0, INDEX(regions[], MATCH($D53, regions[[setting]:[setting]],0), MATCH(T$1, regions[#Headers],0)),INDEX(lmic_raw[],MATCH($A53,lmic_raw[[setting]:[setting]],0), MATCH(T$1, lmic_raw[#Headers],0)))</f>
        <v>134.6259</v>
      </c>
      <c r="U53" s="33">
        <f>IF(INDEX(lmic_raw[],MATCH($A53,lmic_raw[[setting]:[setting]],0), MATCH(U$1, lmic_raw[#Headers],0))=0, INDEX(regions[], MATCH($D53, regions[[setting]:[setting]],0), MATCH(U$1, regions[#Headers],0)),INDEX(lmic_raw[],MATCH($A53,lmic_raw[[setting]:[setting]],0), MATCH(U$1, lmic_raw[#Headers],0)))</f>
        <v>134.6259</v>
      </c>
      <c r="V53" s="33">
        <f>IF(INDEX(lmic_raw[],MATCH($A53,lmic_raw[[setting]:[setting]],0), MATCH(V$1, lmic_raw[#Headers],0))=0, INDEX(regions[], MATCH($D53, regions[[setting]:[setting]],0), MATCH(V$1, regions[#Headers],0)),INDEX(lmic_raw[],MATCH($A53,lmic_raw[[setting]:[setting]],0), MATCH(V$1, lmic_raw[#Headers],0)))</f>
        <v>8.0901740784108647</v>
      </c>
      <c r="W53" s="33">
        <f>IF(INDEX(lmic_raw[],MATCH($A53,lmic_raw[[setting]:[setting]],0), MATCH(W$1, lmic_raw[#Headers],0))=0, INDEX(regions[], MATCH($D53, regions[[setting]:[setting]],0), MATCH(W$1, regions[#Headers],0)),INDEX(lmic_raw[],MATCH($A53,lmic_raw[[setting]:[setting]],0), MATCH(W$1, lmic_raw[#Headers],0)))</f>
        <v>8.1101740784108642</v>
      </c>
      <c r="X53" s="33">
        <f>IF(INDEX(lmic_raw[],MATCH($A53,lmic_raw[[setting]:[setting]],0), MATCH(X$1, lmic_raw[#Headers],0))=0, INDEX(regions[], MATCH($D53, regions[[setting]:[setting]],0), MATCH(X$1, regions[#Headers],0)),INDEX(lmic_raw[],MATCH($A53,lmic_raw[[setting]:[setting]],0), MATCH(X$1, lmic_raw[#Headers],0)))</f>
        <v>7.6510419575984132</v>
      </c>
      <c r="Y53" s="33">
        <f>IF(INDEX(lmic_raw[],MATCH($A53,lmic_raw[[setting]:[setting]],0), MATCH(Y$1, lmic_raw[#Headers],0))=0, INDEX(regions[], MATCH($D53, regions[[setting]:[setting]],0), MATCH(Y$1, regions[#Headers],0)),INDEX(lmic_raw[],MATCH($A53,lmic_raw[[setting]:[setting]],0), MATCH(Y$1, lmic_raw[#Headers],0)))</f>
        <v>7.6710419575984128</v>
      </c>
      <c r="Z53" s="33">
        <f>IF(INDEX(lmic_raw[],MATCH($A53,lmic_raw[[setting]:[setting]],0), MATCH(Z$1, lmic_raw[#Headers],0))=0, INDEX(regions[], MATCH($D53, regions[[setting]:[setting]],0), MATCH(Z$1, regions[#Headers],0)),INDEX(lmic_raw[],MATCH($A53,lmic_raw[[setting]:[setting]],0), MATCH(Z$1, lmic_raw[#Headers],0)))</f>
        <v>7.6623775793023663</v>
      </c>
      <c r="AA53" s="33">
        <f>IF(INDEX(lmic_raw[],MATCH($A53,lmic_raw[[setting]:[setting]],0), MATCH(AA$1, lmic_raw[#Headers],0))=0, INDEX(regions[], MATCH($D53, regions[[setting]:[setting]],0), MATCH(AA$1, regions[#Headers],0)),INDEX(lmic_raw[],MATCH($A53,lmic_raw[[setting]:[setting]],0), MATCH(AA$1, lmic_raw[#Headers],0)))</f>
        <v>8.3366919303339806</v>
      </c>
      <c r="AB53" s="33">
        <f>IF(INDEX(lmic_raw[],MATCH($A53,lmic_raw[[setting]:[setting]],0), MATCH(AB$1, lmic_raw[#Headers],0))=0, INDEX(regions[], MATCH($D53, regions[[setting]:[setting]],0), MATCH(AB$1, regions[#Headers],0)),INDEX(lmic_raw[],MATCH($A53,lmic_raw[[setting]:[setting]],0), MATCH(AB$1, lmic_raw[#Headers],0)))</f>
        <v>8.3566919303339802</v>
      </c>
      <c r="AC53" s="33">
        <f>IF(INDEX(lmic_raw[],MATCH($A53,lmic_raw[[setting]:[setting]],0), MATCH(AC$1, lmic_raw[#Headers],0))=0, INDEX(regions[], MATCH($D53, regions[[setting]:[setting]],0), MATCH(AC$1, regions[#Headers],0)),INDEX(lmic_raw[],MATCH($A53,lmic_raw[[setting]:[setting]],0), MATCH(AC$1, lmic_raw[#Headers],0)))</f>
        <v>2.6771110000000046E-2</v>
      </c>
      <c r="AD53" s="33">
        <f>IF(INDEX(lmic_raw[],MATCH($A53,lmic_raw[[setting]:[setting]],0), MATCH(AD$1, lmic_raw[#Headers],0))=0, INDEX(regions[], MATCH($D53, regions[[setting]:[setting]],0), MATCH(AD$1, regions[#Headers],0)),INDEX(lmic_raw[],MATCH($A53,lmic_raw[[setting]:[setting]],0), MATCH(AD$1, lmic_raw[#Headers],0)))</f>
        <v>1.4198715371057048E-3</v>
      </c>
      <c r="AE53" s="33">
        <f>IF(INDEX(lmic_raw[],MATCH($A53,lmic_raw[[setting]:[setting]],0), MATCH(AE$1, lmic_raw[#Headers],0))=0, INDEX(regions[], MATCH($D53, regions[[setting]:[setting]],0), MATCH(AE$1, regions[#Headers],0)),INDEX(lmic_raw[],MATCH($A53,lmic_raw[[setting]:[setting]],0), MATCH(AE$1, lmic_raw[#Headers],0)))</f>
        <v>9.4566769534137896E-4</v>
      </c>
      <c r="AF53" s="33">
        <f>IF(INDEX(lmic_raw[],MATCH($A53,lmic_raw[[setting]:[setting]],0), MATCH(AF$1, lmic_raw[#Headers],0))=0, INDEX(regions[], MATCH($D53, regions[[setting]:[setting]],0), MATCH(AF$1, regions[#Headers],0)),INDEX(lmic_raw[],MATCH($A53,lmic_raw[[setting]:[setting]],0), MATCH(AF$1, lmic_raw[#Headers],0)))</f>
        <v>7.7207149558016159E-4</v>
      </c>
      <c r="AG53" s="33">
        <f>IF(INDEX(lmic_raw[],MATCH($A53,lmic_raw[[setting]:[setting]],0), MATCH(AG$1, lmic_raw[#Headers],0))=0, INDEX(regions[], MATCH($D53, regions[[setting]:[setting]],0), MATCH(AG$1, regions[#Headers],0)),INDEX(lmic_raw[],MATCH($A53,lmic_raw[[setting]:[setting]],0), MATCH(AG$1, lmic_raw[#Headers],0)))</f>
        <v>1.7255706754610489E-3</v>
      </c>
      <c r="AH53" s="33">
        <f>IF(INDEX(lmic_raw[],MATCH($A53,lmic_raw[[setting]:[setting]],0), MATCH(AH$1, lmic_raw[#Headers],0))=0, INDEX(regions[], MATCH($D53, regions[[setting]:[setting]],0), MATCH(AH$1, regions[#Headers],0)),INDEX(lmic_raw[],MATCH($A53,lmic_raw[[setting]:[setting]],0), MATCH(AH$1, lmic_raw[#Headers],0)))</f>
        <v>2.81382930343111E-3</v>
      </c>
      <c r="AI53" s="33">
        <f>IF(INDEX(lmic_raw[],MATCH($A53,lmic_raw[[setting]:[setting]],0), MATCH(AI$1, lmic_raw[#Headers],0))=0, INDEX(regions[], MATCH($D53, regions[[setting]:[setting]],0), MATCH(AI$1, regions[#Headers],0)),INDEX(lmic_raw[],MATCH($A53,lmic_raw[[setting]:[setting]],0), MATCH(AI$1, lmic_raw[#Headers],0)))</f>
        <v>3.515961527428555E-3</v>
      </c>
      <c r="AJ53" s="33">
        <f>IF(INDEX(lmic_raw[],MATCH($A53,lmic_raw[[setting]:[setting]],0), MATCH(AJ$1, lmic_raw[#Headers],0))=0, INDEX(regions[], MATCH($D53, regions[[setting]:[setting]],0), MATCH(AJ$1, regions[#Headers],0)),INDEX(lmic_raw[],MATCH($A53,lmic_raw[[setting]:[setting]],0), MATCH(AJ$1, lmic_raw[#Headers],0)))</f>
        <v>3.7766081952088477E-3</v>
      </c>
      <c r="AK53" s="33">
        <f>IF(INDEX(lmic_raw[],MATCH($A53,lmic_raw[[setting]:[setting]],0), MATCH(AK$1, lmic_raw[#Headers],0))=0, INDEX(regions[], MATCH($D53, regions[[setting]:[setting]],0), MATCH(AK$1, regions[#Headers],0)),INDEX(lmic_raw[],MATCH($A53,lmic_raw[[setting]:[setting]],0), MATCH(AK$1, lmic_raw[#Headers],0)))</f>
        <v>4.3904317727484999E-3</v>
      </c>
      <c r="AL53" s="33">
        <f>IF(INDEX(lmic_raw[],MATCH($A53,lmic_raw[[setting]:[setting]],0), MATCH(AL$1, lmic_raw[#Headers],0))=0, INDEX(regions[], MATCH($D53, regions[[setting]:[setting]],0), MATCH(AL$1, regions[#Headers],0)),INDEX(lmic_raw[],MATCH($A53,lmic_raw[[setting]:[setting]],0), MATCH(AL$1, lmic_raw[#Headers],0)))</f>
        <v>5.0105637274453878E-3</v>
      </c>
      <c r="AM53" s="33">
        <f>IF(INDEX(lmic_raw[],MATCH($A53,lmic_raw[[setting]:[setting]],0), MATCH(AM$1, lmic_raw[#Headers],0))=0, INDEX(regions[], MATCH($D53, regions[[setting]:[setting]],0), MATCH(AM$1, regions[#Headers],0)),INDEX(lmic_raw[],MATCH($A53,lmic_raw[[setting]:[setting]],0), MATCH(AM$1, lmic_raw[#Headers],0)))</f>
        <v>5.9847837354568721E-3</v>
      </c>
      <c r="AN53" s="33">
        <f>IF(INDEX(lmic_raw[],MATCH($A53,lmic_raw[[setting]:[setting]],0), MATCH(AN$1, lmic_raw[#Headers],0))=0, INDEX(regions[], MATCH($D53, regions[[setting]:[setting]],0), MATCH(AN$1, regions[#Headers],0)),INDEX(lmic_raw[],MATCH($A53,lmic_raw[[setting]:[setting]],0), MATCH(AN$1, lmic_raw[#Headers],0)))</f>
        <v>1.0955838327829502E-2</v>
      </c>
      <c r="AO53" s="33">
        <f>IF(INDEX(lmic_raw[],MATCH($A53,lmic_raw[[setting]:[setting]],0), MATCH(AO$1, lmic_raw[#Headers],0))=0, INDEX(regions[], MATCH($D53, regions[[setting]:[setting]],0), MATCH(AO$1, regions[#Headers],0)),INDEX(lmic_raw[],MATCH($A53,lmic_raw[[setting]:[setting]],0), MATCH(AO$1, lmic_raw[#Headers],0)))</f>
        <v>1.253980659148783E-2</v>
      </c>
      <c r="AP53" s="33">
        <f>IF(INDEX(lmic_raw[],MATCH($A53,lmic_raw[[setting]:[setting]],0), MATCH(AP$1, lmic_raw[#Headers],0))=0, INDEX(regions[], MATCH($D53, regions[[setting]:[setting]],0), MATCH(AP$1, regions[#Headers],0)),INDEX(lmic_raw[],MATCH($A53,lmic_raw[[setting]:[setting]],0), MATCH(AP$1, lmic_raw[#Headers],0)))</f>
        <v>1.7388029464346286E-2</v>
      </c>
      <c r="AQ53" s="33">
        <f>IF(INDEX(lmic_raw[],MATCH($A53,lmic_raw[[setting]:[setting]],0), MATCH(AQ$1, lmic_raw[#Headers],0))=0, INDEX(regions[], MATCH($D53, regions[[setting]:[setting]],0), MATCH(AQ$1, regions[#Headers],0)),INDEX(lmic_raw[],MATCH($A53,lmic_raw[[setting]:[setting]],0), MATCH(AQ$1, lmic_raw[#Headers],0)))</f>
        <v>2.2959833950200511E-2</v>
      </c>
      <c r="AR53" s="33">
        <f>IF(INDEX(lmic_raw[],MATCH($A53,lmic_raw[[setting]:[setting]],0), MATCH(AR$1, lmic_raw[#Headers],0))=0, INDEX(regions[], MATCH($D53, regions[[setting]:[setting]],0), MATCH(AR$1, regions[#Headers],0)),INDEX(lmic_raw[],MATCH($A53,lmic_raw[[setting]:[setting]],0), MATCH(AR$1, lmic_raw[#Headers],0)))</f>
        <v>3.0883582504884172E-2</v>
      </c>
      <c r="AS53" s="33">
        <f>IF(INDEX(lmic_raw[],MATCH($A53,lmic_raw[[setting]:[setting]],0), MATCH(AS$1, lmic_raw[#Headers],0))=0, INDEX(regions[], MATCH($D53, regions[[setting]:[setting]],0), MATCH(AS$1, regions[#Headers],0)),INDEX(lmic_raw[],MATCH($A53,lmic_raw[[setting]:[setting]],0), MATCH(AS$1, lmic_raw[#Headers],0)))</f>
        <v>4.6713681331453642E-2</v>
      </c>
      <c r="AT53" s="33">
        <f>IF(INDEX(lmic_raw[],MATCH($A53,lmic_raw[[setting]:[setting]],0), MATCH(AT$1, lmic_raw[#Headers],0))=0, INDEX(regions[], MATCH($D53, regions[[setting]:[setting]],0), MATCH(AT$1, regions[#Headers],0)),INDEX(lmic_raw[],MATCH($A53,lmic_raw[[setting]:[setting]],0), MATCH(AT$1, lmic_raw[#Headers],0)))</f>
        <v>5.9747572996195611E-2</v>
      </c>
      <c r="AU53" s="33">
        <f>IF(INDEX(lmic_raw[],MATCH($A53,lmic_raw[[setting]:[setting]],0), MATCH(AU$1, lmic_raw[#Headers],0))=0, INDEX(regions[], MATCH($D53, regions[[setting]:[setting]],0), MATCH(AU$1, regions[#Headers],0)),INDEX(lmic_raw[],MATCH($A53,lmic_raw[[setting]:[setting]],0), MATCH(AU$1, lmic_raw[#Headers],0)))</f>
        <v>7.8704938447834924E-2</v>
      </c>
      <c r="AV53" s="33">
        <f>IF(INDEX(lmic_raw[],MATCH($A53,lmic_raw[[setting]:[setting]],0), MATCH(AV$1, lmic_raw[#Headers],0))=0, INDEX(regions[], MATCH($D53, regions[[setting]:[setting]],0), MATCH(AV$1, regions[#Headers],0)),INDEX(lmic_raw[],MATCH($A53,lmic_raw[[setting]:[setting]],0), MATCH(AV$1, lmic_raw[#Headers],0)))</f>
        <v>9.9134878394333367E-2</v>
      </c>
      <c r="AW53" s="33">
        <f>IF(INDEX(lmic_raw[],MATCH($A53,lmic_raw[[setting]:[setting]],0), MATCH(AW$1, lmic_raw[#Headers],0))=0, INDEX(regions[], MATCH($D53, regions[[setting]:[setting]],0), MATCH(AW$1, regions[#Headers],0)),INDEX(lmic_raw[],MATCH($A53,lmic_raw[[setting]:[setting]],0), MATCH(AW$1, lmic_raw[#Headers],0)))</f>
        <v>0.11975067867203804</v>
      </c>
      <c r="AX53" s="33">
        <f>IF(INDEX(lmic_raw[],MATCH($A53,lmic_raw[[setting]:[setting]],0), MATCH(AX$1, lmic_raw[#Headers],0))=0, INDEX(regions[], MATCH($D53, regions[[setting]:[setting]],0), MATCH(AX$1, regions[#Headers],0)),INDEX(lmic_raw[],MATCH($A53,lmic_raw[[setting]:[setting]],0), MATCH(AX$1, lmic_raw[#Headers],0)))</f>
        <v>69.712999999999994</v>
      </c>
      <c r="AY53" s="33" t="str">
        <f>IF(VLOOKUP($A53,lmic_raw[],11,FALSE)=0, "Yes", "No")</f>
        <v>Yes</v>
      </c>
    </row>
    <row r="54" spans="1:51" x14ac:dyDescent="0.25">
      <c r="A54" s="109" t="s">
        <v>238</v>
      </c>
      <c r="B54" s="101" t="s">
        <v>436</v>
      </c>
      <c r="C54" s="102">
        <v>332</v>
      </c>
      <c r="D54" s="82" t="s">
        <v>679</v>
      </c>
      <c r="E54" s="82" t="s">
        <v>223</v>
      </c>
      <c r="F54" s="82" t="s">
        <v>665</v>
      </c>
      <c r="G54" s="82" t="s">
        <v>674</v>
      </c>
      <c r="H54" s="33">
        <f>IF(INDEX(lmic_raw[],MATCH($A54,lmic_raw[[setting]:[setting]],0), MATCH(H$1, lmic_raw[#Headers],0))=0, INDEX(regions[], MATCH($D54, regions[[setting]:[setting]],0), MATCH(H$1, regions[#Headers],0)),INDEX(lmic_raw[],MATCH($A54,lmic_raw[[setting]:[setting]],0), MATCH(H$1, lmic_raw[#Headers],0)))</f>
        <v>11263079</v>
      </c>
      <c r="I54" s="33">
        <f>IF(INDEX(lmic_raw[],MATCH($A54,lmic_raw[[setting]:[setting]],0), MATCH(I$1, lmic_raw[#Headers],0))=0, INDEX(regions[], MATCH($D54, regions[[setting]:[setting]],0), MATCH(I$1, regions[#Headers],0)),INDEX(lmic_raw[],MATCH($A54,lmic_raw[[setting]:[setting]],0), MATCH(I$1, lmic_raw[#Headers],0)))</f>
        <v>276317.11710700003</v>
      </c>
      <c r="J54" s="33">
        <f>IF(INDEX(lmic_raw[],MATCH($A54,lmic_raw[[setting]:[setting]],0), MATCH(J$1, lmic_raw[#Headers],0))=0, INDEX(regions[], MATCH($D54, regions[[setting]:[setting]],0), MATCH(J$1, regions[#Headers],0)),INDEX(lmic_raw[],MATCH($A54,lmic_raw[[setting]:[setting]],0), MATCH(J$1, lmic_raw[#Headers],0)))</f>
        <v>0.39399999999999996</v>
      </c>
      <c r="K54" s="33">
        <f>IF(INDEX(lmic_raw[],MATCH($A54,lmic_raw[[setting]:[setting]],0), MATCH(K$1, lmic_raw[#Headers],0))=0, INDEX(regions[], MATCH($D54, regions[[setting]:[setting]],0), MATCH(K$1, regions[#Headers],0)),INDEX(lmic_raw[],MATCH($A54,lmic_raw[[setting]:[setting]],0), MATCH(K$1, lmic_raw[#Headers],0)))</f>
        <v>0.74567750031159119</v>
      </c>
      <c r="L54" s="33">
        <f>IF(INDEX(lmic_raw[],MATCH($A54,lmic_raw[[setting]:[setting]],0), MATCH(L$1, lmic_raw[#Headers],0))=0, INDEX(regions[], MATCH($D54, regions[[setting]:[setting]],0), MATCH(L$1, regions[#Headers],0)),INDEX(lmic_raw[],MATCH($A54,lmic_raw[[setting]:[setting]],0), MATCH(L$1, lmic_raw[#Headers],0)))</f>
        <v>0.51</v>
      </c>
      <c r="M54" s="33">
        <f>IF(INDEX(lmic_raw[],MATCH($A54,lmic_raw[[setting]:[setting]],0), MATCH(M$1, lmic_raw[#Headers],0))=0, INDEX(regions[], MATCH($D54, regions[[setting]:[setting]],0), MATCH(M$1, regions[#Headers],0)),INDEX(lmic_raw[],MATCH($A54,lmic_raw[[setting]:[setting]],0), MATCH(M$1, lmic_raw[#Headers],0)))</f>
        <v>3.0699999999999998E-2</v>
      </c>
      <c r="N54" s="33">
        <f>IF(INDEX(lmic_raw[],MATCH($A54,lmic_raw[[setting]:[setting]],0), MATCH(N$1, lmic_raw[#Headers],0))=0, INDEX(regions[], MATCH($D54, regions[[setting]:[setting]],0), MATCH(N$1, regions[#Headers],0)),INDEX(lmic_raw[],MATCH($A54,lmic_raw[[setting]:[setting]],0), MATCH(N$1, lmic_raw[#Headers],0)))</f>
        <v>0.29443792053442375</v>
      </c>
      <c r="O54" s="33">
        <f>IF(INDEX(lmic_raw[],MATCH($A54,lmic_raw[[setting]:[setting]],0), MATCH(O$1, lmic_raw[#Headers],0))=0, INDEX(regions[], MATCH($D54, regions[[setting]:[setting]],0), MATCH(O$1, regions[#Headers],0)),INDEX(lmic_raw[],MATCH($A54,lmic_raw[[setting]:[setting]],0), MATCH(O$1, lmic_raw[#Headers],0)))</f>
        <v>0.8</v>
      </c>
      <c r="P54" s="33">
        <f>IF(INDEX(lmic_raw[],MATCH($A54,lmic_raw[[setting]:[setting]],0), MATCH(P$1, lmic_raw[#Headers],0))=0, INDEX(regions[], MATCH($D54, regions[[setting]:[setting]],0), MATCH(P$1, regions[#Headers],0)),INDEX(lmic_raw[],MATCH($A54,lmic_raw[[setting]:[setting]],0), MATCH(P$1, lmic_raw[#Headers],0)))</f>
        <v>0.17499999999999999</v>
      </c>
      <c r="Q54" s="33">
        <f>IF(INDEX(lmic_raw[],MATCH($A54,lmic_raw[[setting]:[setting]],0), MATCH(Q$1, lmic_raw[#Headers],0))=0, INDEX(regions[], MATCH($D54, regions[[setting]:[setting]],0), MATCH(Q$1, regions[#Headers],0)),INDEX(lmic_raw[],MATCH($A54,lmic_raw[[setting]:[setting]],0), MATCH(Q$1, lmic_raw[#Headers],0)))</f>
        <v>3.299192938087649</v>
      </c>
      <c r="R54" s="33">
        <f>IF(INDEX(lmic_raw[],MATCH($A54,lmic_raw[[setting]:[setting]],0), MATCH(R$1, lmic_raw[#Headers],0))=0, INDEX(regions[], MATCH($D54, regions[[setting]:[setting]],0), MATCH(R$1, regions[#Headers],0)),INDEX(lmic_raw[],MATCH($A54,lmic_raw[[setting]:[setting]],0), MATCH(R$1, lmic_raw[#Headers],0)))</f>
        <v>86.883899999999997</v>
      </c>
      <c r="S54" s="33">
        <f>IF(INDEX(lmic_raw[],MATCH($A54,lmic_raw[[setting]:[setting]],0), MATCH(S$1, lmic_raw[#Headers],0))=0, INDEX(regions[], MATCH($D54, regions[[setting]:[setting]],0), MATCH(S$1, regions[#Headers],0)),INDEX(lmic_raw[],MATCH($A54,lmic_raw[[setting]:[setting]],0), MATCH(S$1, lmic_raw[#Headers],0)))</f>
        <v>134.6259</v>
      </c>
      <c r="T54" s="33">
        <f>IF(INDEX(lmic_raw[],MATCH($A54,lmic_raw[[setting]:[setting]],0), MATCH(T$1, lmic_raw[#Headers],0))=0, INDEX(regions[], MATCH($D54, regions[[setting]:[setting]],0), MATCH(T$1, regions[#Headers],0)),INDEX(lmic_raw[],MATCH($A54,lmic_raw[[setting]:[setting]],0), MATCH(T$1, lmic_raw[#Headers],0)))</f>
        <v>134.6259</v>
      </c>
      <c r="U54" s="33">
        <f>IF(INDEX(lmic_raw[],MATCH($A54,lmic_raw[[setting]:[setting]],0), MATCH(U$1, lmic_raw[#Headers],0))=0, INDEX(regions[], MATCH($D54, regions[[setting]:[setting]],0), MATCH(U$1, regions[#Headers],0)),INDEX(lmic_raw[],MATCH($A54,lmic_raw[[setting]:[setting]],0), MATCH(U$1, lmic_raw[#Headers],0)))</f>
        <v>134.6259</v>
      </c>
      <c r="V54" s="33">
        <f>IF(INDEX(lmic_raw[],MATCH($A54,lmic_raw[[setting]:[setting]],0), MATCH(V$1, lmic_raw[#Headers],0))=0, INDEX(regions[], MATCH($D54, regions[[setting]:[setting]],0), MATCH(V$1, regions[#Headers],0)),INDEX(lmic_raw[],MATCH($A54,lmic_raw[[setting]:[setting]],0), MATCH(V$1, lmic_raw[#Headers],0)))</f>
        <v>1.5106242007893309</v>
      </c>
      <c r="W54" s="33">
        <f>IF(INDEX(lmic_raw[],MATCH($A54,lmic_raw[[setting]:[setting]],0), MATCH(W$1, lmic_raw[#Headers],0))=0, INDEX(regions[], MATCH($D54, regions[[setting]:[setting]],0), MATCH(W$1, regions[#Headers],0)),INDEX(lmic_raw[],MATCH($A54,lmic_raw[[setting]:[setting]],0), MATCH(W$1, lmic_raw[#Headers],0)))</f>
        <v>1.5306242007893309</v>
      </c>
      <c r="X54" s="33">
        <f>IF(INDEX(lmic_raw[],MATCH($A54,lmic_raw[[setting]:[setting]],0), MATCH(X$1, lmic_raw[#Headers],0))=0, INDEX(regions[], MATCH($D54, regions[[setting]:[setting]],0), MATCH(X$1, regions[#Headers],0)),INDEX(lmic_raw[],MATCH($A54,lmic_raw[[setting]:[setting]],0), MATCH(X$1, lmic_raw[#Headers],0)))</f>
        <v>1.0812864594549774</v>
      </c>
      <c r="Y54" s="33">
        <f>IF(INDEX(lmic_raw[],MATCH($A54,lmic_raw[[setting]:[setting]],0), MATCH(Y$1, lmic_raw[#Headers],0))=0, INDEX(regions[], MATCH($D54, regions[[setting]:[setting]],0), MATCH(Y$1, regions[#Headers],0)),INDEX(lmic_raw[],MATCH($A54,lmic_raw[[setting]:[setting]],0), MATCH(Y$1, lmic_raw[#Headers],0)))</f>
        <v>1.1012864594549774</v>
      </c>
      <c r="Z54" s="33">
        <f>IF(INDEX(lmic_raw[],MATCH($A54,lmic_raw[[setting]:[setting]],0), MATCH(Z$1, lmic_raw[#Headers],0))=0, INDEX(regions[], MATCH($D54, regions[[setting]:[setting]],0), MATCH(Z$1, regions[#Headers],0)),INDEX(lmic_raw[],MATCH($A54,lmic_raw[[setting]:[setting]],0), MATCH(Z$1, lmic_raw[#Headers],0)))</f>
        <v>1.0967219822225027</v>
      </c>
      <c r="AA54" s="33">
        <f>IF(INDEX(lmic_raw[],MATCH($A54,lmic_raw[[setting]:[setting]],0), MATCH(AA$1, lmic_raw[#Headers],0))=0, INDEX(regions[], MATCH($D54, regions[[setting]:[setting]],0), MATCH(AA$1, regions[#Headers],0)),INDEX(lmic_raw[],MATCH($A54,lmic_raw[[setting]:[setting]],0), MATCH(AA$1, lmic_raw[#Headers],0)))</f>
        <v>1.7536115205749938</v>
      </c>
      <c r="AB54" s="33">
        <f>IF(INDEX(lmic_raw[],MATCH($A54,lmic_raw[[setting]:[setting]],0), MATCH(AB$1, lmic_raw[#Headers],0))=0, INDEX(regions[], MATCH($D54, regions[[setting]:[setting]],0), MATCH(AB$1, regions[#Headers],0)),INDEX(lmic_raw[],MATCH($A54,lmic_raw[[setting]:[setting]],0), MATCH(AB$1, lmic_raw[#Headers],0)))</f>
        <v>1.7736115205749938</v>
      </c>
      <c r="AC54" s="33">
        <f>IF(INDEX(lmic_raw[],MATCH($A54,lmic_raw[[setting]:[setting]],0), MATCH(AC$1, lmic_raw[#Headers],0))=0, INDEX(regions[], MATCH($D54, regions[[setting]:[setting]],0), MATCH(AC$1, regions[#Headers],0)),INDEX(lmic_raw[],MATCH($A54,lmic_raw[[setting]:[setting]],0), MATCH(AC$1, lmic_raw[#Headers],0)))</f>
        <v>5.4323950000000037E-2</v>
      </c>
      <c r="AD54" s="33">
        <f>IF(INDEX(lmic_raw[],MATCH($A54,lmic_raw[[setting]:[setting]],0), MATCH(AD$1, lmic_raw[#Headers],0))=0, INDEX(regions[], MATCH($D54, regions[[setting]:[setting]],0), MATCH(AD$1, regions[#Headers],0)),INDEX(lmic_raw[],MATCH($A54,lmic_raw[[setting]:[setting]],0), MATCH(AD$1, lmic_raw[#Headers],0)))</f>
        <v>7.0672060479907532E-3</v>
      </c>
      <c r="AE54" s="33">
        <f>IF(INDEX(lmic_raw[],MATCH($A54,lmic_raw[[setting]:[setting]],0), MATCH(AE$1, lmic_raw[#Headers],0))=0, INDEX(regions[], MATCH($D54, regions[[setting]:[setting]],0), MATCH(AE$1, regions[#Headers],0)),INDEX(lmic_raw[],MATCH($A54,lmic_raw[[setting]:[setting]],0), MATCH(AE$1, lmic_raw[#Headers],0)))</f>
        <v>2.5147090205495702E-3</v>
      </c>
      <c r="AF54" s="33">
        <f>IF(INDEX(lmic_raw[],MATCH($A54,lmic_raw[[setting]:[setting]],0), MATCH(AF$1, lmic_raw[#Headers],0))=0, INDEX(regions[], MATCH($D54, regions[[setting]:[setting]],0), MATCH(AF$1, regions[#Headers],0)),INDEX(lmic_raw[],MATCH($A54,lmic_raw[[setting]:[setting]],0), MATCH(AF$1, lmic_raw[#Headers],0)))</f>
        <v>2.0463406122182312E-3</v>
      </c>
      <c r="AG54" s="33">
        <f>IF(INDEX(lmic_raw[],MATCH($A54,lmic_raw[[setting]:[setting]],0), MATCH(AG$1, lmic_raw[#Headers],0))=0, INDEX(regions[], MATCH($D54, regions[[setting]:[setting]],0), MATCH(AG$1, regions[#Headers],0)),INDEX(lmic_raw[],MATCH($A54,lmic_raw[[setting]:[setting]],0), MATCH(AG$1, lmic_raw[#Headers],0)))</f>
        <v>2.5321978157550663E-3</v>
      </c>
      <c r="AH54" s="33">
        <f>IF(INDEX(lmic_raw[],MATCH($A54,lmic_raw[[setting]:[setting]],0), MATCH(AH$1, lmic_raw[#Headers],0))=0, INDEX(regions[], MATCH($D54, regions[[setting]:[setting]],0), MATCH(AH$1, regions[#Headers],0)),INDEX(lmic_raw[],MATCH($A54,lmic_raw[[setting]:[setting]],0), MATCH(AH$1, lmic_raw[#Headers],0)))</f>
        <v>3.1994076777362313E-3</v>
      </c>
      <c r="AI54" s="33">
        <f>IF(INDEX(lmic_raw[],MATCH($A54,lmic_raw[[setting]:[setting]],0), MATCH(AI$1, lmic_raw[#Headers],0))=0, INDEX(regions[], MATCH($D54, regions[[setting]:[setting]],0), MATCH(AI$1, regions[#Headers],0)),INDEX(lmic_raw[],MATCH($A54,lmic_raw[[setting]:[setting]],0), MATCH(AI$1, lmic_raw[#Headers],0)))</f>
        <v>3.8000275973229503E-3</v>
      </c>
      <c r="AJ54" s="33">
        <f>IF(INDEX(lmic_raw[],MATCH($A54,lmic_raw[[setting]:[setting]],0), MATCH(AJ$1, lmic_raw[#Headers],0))=0, INDEX(regions[], MATCH($D54, regions[[setting]:[setting]],0), MATCH(AJ$1, regions[#Headers],0)),INDEX(lmic_raw[],MATCH($A54,lmic_raw[[setting]:[setting]],0), MATCH(AJ$1, lmic_raw[#Headers],0)))</f>
        <v>4.3188296372958738E-3</v>
      </c>
      <c r="AK54" s="33">
        <f>IF(INDEX(lmic_raw[],MATCH($A54,lmic_raw[[setting]:[setting]],0), MATCH(AK$1, lmic_raw[#Headers],0))=0, INDEX(regions[], MATCH($D54, regions[[setting]:[setting]],0), MATCH(AK$1, regions[#Headers],0)),INDEX(lmic_raw[],MATCH($A54,lmic_raw[[setting]:[setting]],0), MATCH(AK$1, lmic_raw[#Headers],0)))</f>
        <v>4.8464719263578938E-3</v>
      </c>
      <c r="AL54" s="33">
        <f>IF(INDEX(lmic_raw[],MATCH($A54,lmic_raw[[setting]:[setting]],0), MATCH(AL$1, lmic_raw[#Headers],0))=0, INDEX(regions[], MATCH($D54, regions[[setting]:[setting]],0), MATCH(AL$1, regions[#Headers],0)),INDEX(lmic_raw[],MATCH($A54,lmic_raw[[setting]:[setting]],0), MATCH(AL$1, lmic_raw[#Headers],0)))</f>
        <v>5.5476557359873113E-3</v>
      </c>
      <c r="AM54" s="33">
        <f>IF(INDEX(lmic_raw[],MATCH($A54,lmic_raw[[setting]:[setting]],0), MATCH(AM$1, lmic_raw[#Headers],0))=0, INDEX(regions[], MATCH($D54, regions[[setting]:[setting]],0), MATCH(AM$1, regions[#Headers],0)),INDEX(lmic_raw[],MATCH($A54,lmic_raw[[setting]:[setting]],0), MATCH(AM$1, lmic_raw[#Headers],0)))</f>
        <v>6.6683811519541334E-3</v>
      </c>
      <c r="AN54" s="33">
        <f>IF(INDEX(lmic_raw[],MATCH($A54,lmic_raw[[setting]:[setting]],0), MATCH(AN$1, lmic_raw[#Headers],0))=0, INDEX(regions[], MATCH($D54, regions[[setting]:[setting]],0), MATCH(AN$1, regions[#Headers],0)),INDEX(lmic_raw[],MATCH($A54,lmic_raw[[setting]:[setting]],0), MATCH(AN$1, lmic_raw[#Headers],0)))</f>
        <v>8.5753634458676023E-3</v>
      </c>
      <c r="AO54" s="33">
        <f>IF(INDEX(lmic_raw[],MATCH($A54,lmic_raw[[setting]:[setting]],0), MATCH(AO$1, lmic_raw[#Headers],0))=0, INDEX(regions[], MATCH($D54, regions[[setting]:[setting]],0), MATCH(AO$1, regions[#Headers],0)),INDEX(lmic_raw[],MATCH($A54,lmic_raw[[setting]:[setting]],0), MATCH(AO$1, lmic_raw[#Headers],0)))</f>
        <v>1.1809821325573164E-2</v>
      </c>
      <c r="AP54" s="33">
        <f>IF(INDEX(lmic_raw[],MATCH($A54,lmic_raw[[setting]:[setting]],0), MATCH(AP$1, lmic_raw[#Headers],0))=0, INDEX(regions[], MATCH($D54, regions[[setting]:[setting]],0), MATCH(AP$1, regions[#Headers],0)),INDEX(lmic_raw[],MATCH($A54,lmic_raw[[setting]:[setting]],0), MATCH(AP$1, lmic_raw[#Headers],0)))</f>
        <v>1.7189555412017703E-2</v>
      </c>
      <c r="AQ54" s="33">
        <f>IF(INDEX(lmic_raw[],MATCH($A54,lmic_raw[[setting]:[setting]],0), MATCH(AQ$1, lmic_raw[#Headers],0))=0, INDEX(regions[], MATCH($D54, regions[[setting]:[setting]],0), MATCH(AQ$1, regions[#Headers],0)),INDEX(lmic_raw[],MATCH($A54,lmic_raw[[setting]:[setting]],0), MATCH(AQ$1, lmic_raw[#Headers],0)))</f>
        <v>2.5854649298542358E-2</v>
      </c>
      <c r="AR54" s="33">
        <f>IF(INDEX(lmic_raw[],MATCH($A54,lmic_raw[[setting]:[setting]],0), MATCH(AR$1, lmic_raw[#Headers],0))=0, INDEX(regions[], MATCH($D54, regions[[setting]:[setting]],0), MATCH(AR$1, regions[#Headers],0)),INDEX(lmic_raw[],MATCH($A54,lmic_raw[[setting]:[setting]],0), MATCH(AR$1, lmic_raw[#Headers],0)))</f>
        <v>3.9417013017763521E-2</v>
      </c>
      <c r="AS54" s="33">
        <f>IF(INDEX(lmic_raw[],MATCH($A54,lmic_raw[[setting]:[setting]],0), MATCH(AS$1, lmic_raw[#Headers],0))=0, INDEX(regions[], MATCH($D54, regions[[setting]:[setting]],0), MATCH(AS$1, regions[#Headers],0)),INDEX(lmic_raw[],MATCH($A54,lmic_raw[[setting]:[setting]],0), MATCH(AS$1, lmic_raw[#Headers],0)))</f>
        <v>5.940574491064482E-2</v>
      </c>
      <c r="AT54" s="33">
        <f>IF(INDEX(lmic_raw[],MATCH($A54,lmic_raw[[setting]:[setting]],0), MATCH(AT$1, lmic_raw[#Headers],0))=0, INDEX(regions[], MATCH($D54, regions[[setting]:[setting]],0), MATCH(AT$1, regions[#Headers],0)),INDEX(lmic_raw[],MATCH($A54,lmic_raw[[setting]:[setting]],0), MATCH(AT$1, lmic_raw[#Headers],0)))</f>
        <v>8.1802999388428346E-2</v>
      </c>
      <c r="AU54" s="33">
        <f>IF(INDEX(lmic_raw[],MATCH($A54,lmic_raw[[setting]:[setting]],0), MATCH(AU$1, lmic_raw[#Headers],0))=0, INDEX(regions[], MATCH($D54, regions[[setting]:[setting]],0), MATCH(AU$1, regions[#Headers],0)),INDEX(lmic_raw[],MATCH($A54,lmic_raw[[setting]:[setting]],0), MATCH(AU$1, lmic_raw[#Headers],0)))</f>
        <v>0.10584042768294169</v>
      </c>
      <c r="AV54" s="33">
        <f>IF(INDEX(lmic_raw[],MATCH($A54,lmic_raw[[setting]:[setting]],0), MATCH(AV$1, lmic_raw[#Headers],0))=0, INDEX(regions[], MATCH($D54, regions[[setting]:[setting]],0), MATCH(AV$1, regions[#Headers],0)),INDEX(lmic_raw[],MATCH($A54,lmic_raw[[setting]:[setting]],0), MATCH(AV$1, lmic_raw[#Headers],0)))</f>
        <v>0.12856894104263286</v>
      </c>
      <c r="AW54" s="33">
        <f>IF(INDEX(lmic_raw[],MATCH($A54,lmic_raw[[setting]:[setting]],0), MATCH(AW$1, lmic_raw[#Headers],0))=0, INDEX(regions[], MATCH($D54, regions[[setting]:[setting]],0), MATCH(AW$1, regions[#Headers],0)),INDEX(lmic_raw[],MATCH($A54,lmic_raw[[setting]:[setting]],0), MATCH(AW$1, lmic_raw[#Headers],0)))</f>
        <v>0.14823456044166194</v>
      </c>
      <c r="AX54" s="33">
        <f>IF(INDEX(lmic_raw[],MATCH($A54,lmic_raw[[setting]:[setting]],0), MATCH(AX$1, lmic_raw[#Headers],0))=0, INDEX(regions[], MATCH($D54, regions[[setting]:[setting]],0), MATCH(AX$1, regions[#Headers],0)),INDEX(lmic_raw[],MATCH($A54,lmic_raw[[setting]:[setting]],0), MATCH(AX$1, lmic_raw[#Headers],0)))</f>
        <v>63.518999999999998</v>
      </c>
      <c r="AY54" s="33" t="str">
        <f>IF(VLOOKUP($A54,lmic_raw[],11,FALSE)=0, "Yes", "No")</f>
        <v>Yes</v>
      </c>
    </row>
    <row r="55" spans="1:51" x14ac:dyDescent="0.25">
      <c r="A55" s="110" t="s">
        <v>257</v>
      </c>
      <c r="B55" s="104" t="s">
        <v>437</v>
      </c>
      <c r="C55" s="105">
        <v>340</v>
      </c>
      <c r="D55" s="84" t="s">
        <v>679</v>
      </c>
      <c r="E55" s="84" t="s">
        <v>604</v>
      </c>
      <c r="F55" s="84" t="s">
        <v>665</v>
      </c>
      <c r="G55" s="84" t="s">
        <v>678</v>
      </c>
      <c r="H55" s="33">
        <f>IF(INDEX(lmic_raw[],MATCH($A55,lmic_raw[[setting]:[setting]],0), MATCH(H$1, lmic_raw[#Headers],0))=0, INDEX(regions[], MATCH($D55, regions[[setting]:[setting]],0), MATCH(H$1, regions[#Headers],0)),INDEX(lmic_raw[],MATCH($A55,lmic_raw[[setting]:[setting]],0), MATCH(H$1, lmic_raw[#Headers],0)))</f>
        <v>9746115</v>
      </c>
      <c r="I55" s="33">
        <f>IF(INDEX(lmic_raw[],MATCH($A55,lmic_raw[[setting]:[setting]],0), MATCH(I$1, lmic_raw[#Headers],0))=0, INDEX(regions[], MATCH($D55, regions[[setting]:[setting]],0), MATCH(I$1, regions[#Headers],0)),INDEX(lmic_raw[],MATCH($A55,lmic_raw[[setting]:[setting]],0), MATCH(I$1, lmic_raw[#Headers],0)))</f>
        <v>212504.29145999998</v>
      </c>
      <c r="J55" s="33">
        <f>IF(INDEX(lmic_raw[],MATCH($A55,lmic_raw[[setting]:[setting]],0), MATCH(J$1, lmic_raw[#Headers],0))=0, INDEX(regions[], MATCH($D55, regions[[setting]:[setting]],0), MATCH(J$1, regions[#Headers],0)),INDEX(lmic_raw[],MATCH($A55,lmic_raw[[setting]:[setting]],0), MATCH(J$1, lmic_raw[#Headers],0)))</f>
        <v>0.82700000000000007</v>
      </c>
      <c r="K55" s="33">
        <f>IF(INDEX(lmic_raw[],MATCH($A55,lmic_raw[[setting]:[setting]],0), MATCH(K$1, lmic_raw[#Headers],0))=0, INDEX(regions[], MATCH($D55, regions[[setting]:[setting]],0), MATCH(K$1, regions[#Headers],0)),INDEX(lmic_raw[],MATCH($A55,lmic_raw[[setting]:[setting]],0), MATCH(K$1, lmic_raw[#Headers],0)))</f>
        <v>0.75</v>
      </c>
      <c r="L55" s="33">
        <f>IF(INDEX(lmic_raw[],MATCH($A55,lmic_raw[[setting]:[setting]],0), MATCH(L$1, lmic_raw[#Headers],0))=0, INDEX(regions[], MATCH($D55, regions[[setting]:[setting]],0), MATCH(L$1, regions[#Headers],0)),INDEX(lmic_raw[],MATCH($A55,lmic_raw[[setting]:[setting]],0), MATCH(L$1, lmic_raw[#Headers],0)))</f>
        <v>0.87</v>
      </c>
      <c r="M55" s="33">
        <f>IF(INDEX(lmic_raw[],MATCH($A55,lmic_raw[[setting]:[setting]],0), MATCH(M$1, lmic_raw[#Headers],0))=0, INDEX(regions[], MATCH($D55, regions[[setting]:[setting]],0), MATCH(M$1, regions[#Headers],0)),INDEX(lmic_raw[],MATCH($A55,lmic_raw[[setting]:[setting]],0), MATCH(M$1, lmic_raw[#Headers],0)))</f>
        <v>1.2500000000000001E-2</v>
      </c>
      <c r="N55" s="33">
        <f>IF(INDEX(lmic_raw[],MATCH($A55,lmic_raw[[setting]:[setting]],0), MATCH(N$1, lmic_raw[#Headers],0))=0, INDEX(regions[], MATCH($D55, regions[[setting]:[setting]],0), MATCH(N$1, regions[#Headers],0)),INDEX(lmic_raw[],MATCH($A55,lmic_raw[[setting]:[setting]],0), MATCH(N$1, lmic_raw[#Headers],0)))</f>
        <v>0.31422832861627031</v>
      </c>
      <c r="O55" s="33">
        <f>IF(INDEX(lmic_raw[],MATCH($A55,lmic_raw[[setting]:[setting]],0), MATCH(O$1, lmic_raw[#Headers],0))=0, INDEX(regions[], MATCH($D55, regions[[setting]:[setting]],0), MATCH(O$1, regions[#Headers],0)),INDEX(lmic_raw[],MATCH($A55,lmic_raw[[setting]:[setting]],0), MATCH(O$1, lmic_raw[#Headers],0)))</f>
        <v>0.8</v>
      </c>
      <c r="P55" s="33">
        <f>IF(INDEX(lmic_raw[],MATCH($A55,lmic_raw[[setting]:[setting]],0), MATCH(P$1, lmic_raw[#Headers],0))=0, INDEX(regions[], MATCH($D55, regions[[setting]:[setting]],0), MATCH(P$1, regions[#Headers],0)),INDEX(lmic_raw[],MATCH($A55,lmic_raw[[setting]:[setting]],0), MATCH(P$1, lmic_raw[#Headers],0)))</f>
        <v>0.17499999999999999</v>
      </c>
      <c r="Q55" s="33">
        <f>IF(INDEX(lmic_raw[],MATCH($A55,lmic_raw[[setting]:[setting]],0), MATCH(Q$1, lmic_raw[#Headers],0))=0, INDEX(regions[], MATCH($D55, regions[[setting]:[setting]],0), MATCH(Q$1, regions[#Headers],0)),INDEX(lmic_raw[],MATCH($A55,lmic_raw[[setting]:[setting]],0), MATCH(Q$1, lmic_raw[#Headers],0)))</f>
        <v>5.3762767156886113</v>
      </c>
      <c r="R55" s="33">
        <f>IF(INDEX(lmic_raw[],MATCH($A55,lmic_raw[[setting]:[setting]],0), MATCH(R$1, lmic_raw[#Headers],0))=0, INDEX(regions[], MATCH($D55, regions[[setting]:[setting]],0), MATCH(R$1, regions[#Headers],0)),INDEX(lmic_raw[],MATCH($A55,lmic_raw[[setting]:[setting]],0), MATCH(R$1, lmic_raw[#Headers],0)))</f>
        <v>86.883899999999997</v>
      </c>
      <c r="S55" s="33">
        <f>IF(INDEX(lmic_raw[],MATCH($A55,lmic_raw[[setting]:[setting]],0), MATCH(S$1, lmic_raw[#Headers],0))=0, INDEX(regions[], MATCH($D55, regions[[setting]:[setting]],0), MATCH(S$1, regions[#Headers],0)),INDEX(lmic_raw[],MATCH($A55,lmic_raw[[setting]:[setting]],0), MATCH(S$1, lmic_raw[#Headers],0)))</f>
        <v>134.6259</v>
      </c>
      <c r="T55" s="33">
        <f>IF(INDEX(lmic_raw[],MATCH($A55,lmic_raw[[setting]:[setting]],0), MATCH(T$1, lmic_raw[#Headers],0))=0, INDEX(regions[], MATCH($D55, regions[[setting]:[setting]],0), MATCH(T$1, regions[#Headers],0)),INDEX(lmic_raw[],MATCH($A55,lmic_raw[[setting]:[setting]],0), MATCH(T$1, lmic_raw[#Headers],0)))</f>
        <v>134.6259</v>
      </c>
      <c r="U55" s="33">
        <f>IF(INDEX(lmic_raw[],MATCH($A55,lmic_raw[[setting]:[setting]],0), MATCH(U$1, lmic_raw[#Headers],0))=0, INDEX(regions[], MATCH($D55, regions[[setting]:[setting]],0), MATCH(U$1, regions[#Headers],0)),INDEX(lmic_raw[],MATCH($A55,lmic_raw[[setting]:[setting]],0), MATCH(U$1, lmic_raw[#Headers],0)))</f>
        <v>134.6259</v>
      </c>
      <c r="V55" s="33">
        <f>IF(INDEX(lmic_raw[],MATCH($A55,lmic_raw[[setting]:[setting]],0), MATCH(V$1, lmic_raw[#Headers],0))=0, INDEX(regions[], MATCH($D55, regions[[setting]:[setting]],0), MATCH(V$1, regions[#Headers],0)),INDEX(lmic_raw[],MATCH($A55,lmic_raw[[setting]:[setting]],0), MATCH(V$1, lmic_raw[#Headers],0)))</f>
        <v>3.6190738115805074</v>
      </c>
      <c r="W55" s="33">
        <f>IF(INDEX(lmic_raw[],MATCH($A55,lmic_raw[[setting]:[setting]],0), MATCH(W$1, lmic_raw[#Headers],0))=0, INDEX(regions[], MATCH($D55, regions[[setting]:[setting]],0), MATCH(W$1, regions[#Headers],0)),INDEX(lmic_raw[],MATCH($A55,lmic_raw[[setting]:[setting]],0), MATCH(W$1, lmic_raw[#Headers],0)))</f>
        <v>3.6390738115805075</v>
      </c>
      <c r="X55" s="33">
        <f>IF(INDEX(lmic_raw[],MATCH($A55,lmic_raw[[setting]:[setting]],0), MATCH(X$1, lmic_raw[#Headers],0))=0, INDEX(regions[], MATCH($D55, regions[[setting]:[setting]],0), MATCH(X$1, regions[#Headers],0)),INDEX(lmic_raw[],MATCH($A55,lmic_raw[[setting]:[setting]],0), MATCH(X$1, lmic_raw[#Headers],0)))</f>
        <v>3.1858875114310852</v>
      </c>
      <c r="Y55" s="33">
        <f>IF(INDEX(lmic_raw[],MATCH($A55,lmic_raw[[setting]:[setting]],0), MATCH(Y$1, lmic_raw[#Headers],0))=0, INDEX(regions[], MATCH($D55, regions[[setting]:[setting]],0), MATCH(Y$1, regions[#Headers],0)),INDEX(lmic_raw[],MATCH($A55,lmic_raw[[setting]:[setting]],0), MATCH(Y$1, lmic_raw[#Headers],0)))</f>
        <v>3.2058875114310852</v>
      </c>
      <c r="Z55" s="33">
        <f>IF(INDEX(lmic_raw[],MATCH($A55,lmic_raw[[setting]:[setting]],0), MATCH(Z$1, lmic_raw[#Headers],0))=0, INDEX(regions[], MATCH($D55, regions[[setting]:[setting]],0), MATCH(Z$1, regions[#Headers],0)),INDEX(lmic_raw[],MATCH($A55,lmic_raw[[setting]:[setting]],0), MATCH(Z$1, lmic_raw[#Headers],0)))</f>
        <v>3.1996479009811578</v>
      </c>
      <c r="AA55" s="33">
        <f>IF(INDEX(lmic_raw[],MATCH($A55,lmic_raw[[setting]:[setting]],0), MATCH(AA$1, lmic_raw[#Headers],0))=0, INDEX(regions[], MATCH($D55, regions[[setting]:[setting]],0), MATCH(AA$1, regions[#Headers],0)),INDEX(lmic_raw[],MATCH($A55,lmic_raw[[setting]:[setting]],0), MATCH(AA$1, lmic_raw[#Headers],0)))</f>
        <v>3.8634484025669513</v>
      </c>
      <c r="AB55" s="33">
        <f>IF(INDEX(lmic_raw[],MATCH($A55,lmic_raw[[setting]:[setting]],0), MATCH(AB$1, lmic_raw[#Headers],0))=0, INDEX(regions[], MATCH($D55, regions[[setting]:[setting]],0), MATCH(AB$1, regions[#Headers],0)),INDEX(lmic_raw[],MATCH($A55,lmic_raw[[setting]:[setting]],0), MATCH(AB$1, lmic_raw[#Headers],0)))</f>
        <v>3.8834484025669513</v>
      </c>
      <c r="AC55" s="33">
        <f>IF(INDEX(lmic_raw[],MATCH($A55,lmic_raw[[setting]:[setting]],0), MATCH(AC$1, lmic_raw[#Headers],0))=0, INDEX(regions[], MATCH($D55, regions[[setting]:[setting]],0), MATCH(AC$1, regions[#Headers],0)),INDEX(lmic_raw[],MATCH($A55,lmic_raw[[setting]:[setting]],0), MATCH(AC$1, lmic_raw[#Headers],0)))</f>
        <v>1.5040069999999978E-2</v>
      </c>
      <c r="AD55" s="33">
        <f>IF(INDEX(lmic_raw[],MATCH($A55,lmic_raw[[setting]:[setting]],0), MATCH(AD$1, lmic_raw[#Headers],0))=0, INDEX(regions[], MATCH($D55, regions[[setting]:[setting]],0), MATCH(AD$1, regions[#Headers],0)),INDEX(lmic_raw[],MATCH($A55,lmic_raw[[setting]:[setting]],0), MATCH(AD$1, lmic_raw[#Headers],0)))</f>
        <v>1.592156139793422E-3</v>
      </c>
      <c r="AE55" s="33">
        <f>IF(INDEX(lmic_raw[],MATCH($A55,lmic_raw[[setting]:[setting]],0), MATCH(AE$1, lmic_raw[#Headers],0))=0, INDEX(regions[], MATCH($D55, regions[[setting]:[setting]],0), MATCH(AE$1, regions[#Headers],0)),INDEX(lmic_raw[],MATCH($A55,lmic_raw[[setting]:[setting]],0), MATCH(AE$1, lmic_raw[#Headers],0)))</f>
        <v>8.5894052204161684E-4</v>
      </c>
      <c r="AF55" s="33">
        <f>IF(INDEX(lmic_raw[],MATCH($A55,lmic_raw[[setting]:[setting]],0), MATCH(AF$1, lmic_raw[#Headers],0))=0, INDEX(regions[], MATCH($D55, regions[[setting]:[setting]],0), MATCH(AF$1, regions[#Headers],0)),INDEX(lmic_raw[],MATCH($A55,lmic_raw[[setting]:[setting]],0), MATCH(AF$1, lmic_raw[#Headers],0)))</f>
        <v>6.946384502681366E-4</v>
      </c>
      <c r="AG55" s="33">
        <f>IF(INDEX(lmic_raw[],MATCH($A55,lmic_raw[[setting]:[setting]],0), MATCH(AG$1, lmic_raw[#Headers],0))=0, INDEX(regions[], MATCH($D55, regions[[setting]:[setting]],0), MATCH(AG$1, regions[#Headers],0)),INDEX(lmic_raw[],MATCH($A55,lmic_raw[[setting]:[setting]],0), MATCH(AG$1, lmic_raw[#Headers],0)))</f>
        <v>9.9773107664010677E-4</v>
      </c>
      <c r="AH55" s="33">
        <f>IF(INDEX(lmic_raw[],MATCH($A55,lmic_raw[[setting]:[setting]],0), MATCH(AH$1, lmic_raw[#Headers],0))=0, INDEX(regions[], MATCH($D55, regions[[setting]:[setting]],0), MATCH(AH$1, regions[#Headers],0)),INDEX(lmic_raw[],MATCH($A55,lmic_raw[[setting]:[setting]],0), MATCH(AH$1, lmic_raw[#Headers],0)))</f>
        <v>1.4592485313942006E-3</v>
      </c>
      <c r="AI55" s="33">
        <f>IF(INDEX(lmic_raw[],MATCH($A55,lmic_raw[[setting]:[setting]],0), MATCH(AI$1, lmic_raw[#Headers],0))=0, INDEX(regions[], MATCH($D55, regions[[setting]:[setting]],0), MATCH(AI$1, regions[#Headers],0)),INDEX(lmic_raw[],MATCH($A55,lmic_raw[[setting]:[setting]],0), MATCH(AI$1, lmic_raw[#Headers],0)))</f>
        <v>1.9275132097957353E-3</v>
      </c>
      <c r="AJ55" s="33">
        <f>IF(INDEX(lmic_raw[],MATCH($A55,lmic_raw[[setting]:[setting]],0), MATCH(AJ$1, lmic_raw[#Headers],0))=0, INDEX(regions[], MATCH($D55, regions[[setting]:[setting]],0), MATCH(AJ$1, regions[#Headers],0)),INDEX(lmic_raw[],MATCH($A55,lmic_raw[[setting]:[setting]],0), MATCH(AJ$1, lmic_raw[#Headers],0)))</f>
        <v>2.3727893342589956E-3</v>
      </c>
      <c r="AK55" s="33">
        <f>IF(INDEX(lmic_raw[],MATCH($A55,lmic_raw[[setting]:[setting]],0), MATCH(AK$1, lmic_raw[#Headers],0))=0, INDEX(regions[], MATCH($D55, regions[[setting]:[setting]],0), MATCH(AK$1, regions[#Headers],0)),INDEX(lmic_raw[],MATCH($A55,lmic_raw[[setting]:[setting]],0), MATCH(AK$1, lmic_raw[#Headers],0)))</f>
        <v>2.8322039723949009E-3</v>
      </c>
      <c r="AL55" s="33">
        <f>IF(INDEX(lmic_raw[],MATCH($A55,lmic_raw[[setting]:[setting]],0), MATCH(AL$1, lmic_raw[#Headers],0))=0, INDEX(regions[], MATCH($D55, regions[[setting]:[setting]],0), MATCH(AL$1, regions[#Headers],0)),INDEX(lmic_raw[],MATCH($A55,lmic_raw[[setting]:[setting]],0), MATCH(AL$1, lmic_raw[#Headers],0)))</f>
        <v>3.4012113823321507E-3</v>
      </c>
      <c r="AM55" s="33">
        <f>IF(INDEX(lmic_raw[],MATCH($A55,lmic_raw[[setting]:[setting]],0), MATCH(AM$1, lmic_raw[#Headers],0))=0, INDEX(regions[], MATCH($D55, regions[[setting]:[setting]],0), MATCH(AM$1, regions[#Headers],0)),INDEX(lmic_raw[],MATCH($A55,lmic_raw[[setting]:[setting]],0), MATCH(AM$1, lmic_raw[#Headers],0)))</f>
        <v>4.2241871053381088E-3</v>
      </c>
      <c r="AN55" s="33">
        <f>IF(INDEX(lmic_raw[],MATCH($A55,lmic_raw[[setting]:[setting]],0), MATCH(AN$1, lmic_raw[#Headers],0))=0, INDEX(regions[], MATCH($D55, regions[[setting]:[setting]],0), MATCH(AN$1, regions[#Headers],0)),INDEX(lmic_raw[],MATCH($A55,lmic_raw[[setting]:[setting]],0), MATCH(AN$1, lmic_raw[#Headers],0)))</f>
        <v>5.5211588533185313E-3</v>
      </c>
      <c r="AO55" s="33">
        <f>IF(INDEX(lmic_raw[],MATCH($A55,lmic_raw[[setting]:[setting]],0), MATCH(AO$1, lmic_raw[#Headers],0))=0, INDEX(regions[], MATCH($D55, regions[[setting]:[setting]],0), MATCH(AO$1, regions[#Headers],0)),INDEX(lmic_raw[],MATCH($A55,lmic_raw[[setting]:[setting]],0), MATCH(AO$1, lmic_raw[#Headers],0)))</f>
        <v>7.6225523309263613E-3</v>
      </c>
      <c r="AP55" s="33">
        <f>IF(INDEX(lmic_raw[],MATCH($A55,lmic_raw[[setting]:[setting]],0), MATCH(AP$1, lmic_raw[#Headers],0))=0, INDEX(regions[], MATCH($D55, regions[[setting]:[setting]],0), MATCH(AP$1, regions[#Headers],0)),INDEX(lmic_raw[],MATCH($A55,lmic_raw[[setting]:[setting]],0), MATCH(AP$1, lmic_raw[#Headers],0)))</f>
        <v>1.1032521485562581E-2</v>
      </c>
      <c r="AQ55" s="33">
        <f>IF(INDEX(lmic_raw[],MATCH($A55,lmic_raw[[setting]:[setting]],0), MATCH(AQ$1, lmic_raw[#Headers],0))=0, INDEX(regions[], MATCH($D55, regions[[setting]:[setting]],0), MATCH(AQ$1, regions[#Headers],0)),INDEX(lmic_raw[],MATCH($A55,lmic_raw[[setting]:[setting]],0), MATCH(AQ$1, lmic_raw[#Headers],0)))</f>
        <v>1.6510135285567287E-2</v>
      </c>
      <c r="AR55" s="33">
        <f>IF(INDEX(lmic_raw[],MATCH($A55,lmic_raw[[setting]:[setting]],0), MATCH(AR$1, lmic_raw[#Headers],0))=0, INDEX(regions[], MATCH($D55, regions[[setting]:[setting]],0), MATCH(AR$1, regions[#Headers],0)),INDEX(lmic_raw[],MATCH($A55,lmic_raw[[setting]:[setting]],0), MATCH(AR$1, lmic_raw[#Headers],0)))</f>
        <v>2.5137394862241397E-2</v>
      </c>
      <c r="AS55" s="33">
        <f>IF(INDEX(lmic_raw[],MATCH($A55,lmic_raw[[setting]:[setting]],0), MATCH(AS$1, lmic_raw[#Headers],0))=0, INDEX(regions[], MATCH($D55, regions[[setting]:[setting]],0), MATCH(AS$1, regions[#Headers],0)),INDEX(lmic_raw[],MATCH($A55,lmic_raw[[setting]:[setting]],0), MATCH(AS$1, lmic_raw[#Headers],0)))</f>
        <v>3.8304070266972842E-2</v>
      </c>
      <c r="AT55" s="33">
        <f>IF(INDEX(lmic_raw[],MATCH($A55,lmic_raw[[setting]:[setting]],0), MATCH(AT$1, lmic_raw[#Headers],0))=0, INDEX(regions[], MATCH($D55, regions[[setting]:[setting]],0), MATCH(AT$1, regions[#Headers],0)),INDEX(lmic_raw[],MATCH($A55,lmic_raw[[setting]:[setting]],0), MATCH(AT$1, lmic_raw[#Headers],0)))</f>
        <v>5.7440275631066996E-2</v>
      </c>
      <c r="AU55" s="33">
        <f>IF(INDEX(lmic_raw[],MATCH($A55,lmic_raw[[setting]:[setting]],0), MATCH(AU$1, lmic_raw[#Headers],0))=0, INDEX(regions[], MATCH($D55, regions[[setting]:[setting]],0), MATCH(AU$1, regions[#Headers],0)),INDEX(lmic_raw[],MATCH($A55,lmic_raw[[setting]:[setting]],0), MATCH(AU$1, lmic_raw[#Headers],0)))</f>
        <v>8.3308930896146577E-2</v>
      </c>
      <c r="AV55" s="33">
        <f>IF(INDEX(lmic_raw[],MATCH($A55,lmic_raw[[setting]:[setting]],0), MATCH(AV$1, lmic_raw[#Headers],0))=0, INDEX(regions[], MATCH($D55, regions[[setting]:[setting]],0), MATCH(AV$1, regions[#Headers],0)),INDEX(lmic_raw[],MATCH($A55,lmic_raw[[setting]:[setting]],0), MATCH(AV$1, lmic_raw[#Headers],0)))</f>
        <v>0.11473305560186088</v>
      </c>
      <c r="AW55" s="33">
        <f>IF(INDEX(lmic_raw[],MATCH($A55,lmic_raw[[setting]:[setting]],0), MATCH(AW$1, lmic_raw[#Headers],0))=0, INDEX(regions[], MATCH($D55, regions[[setting]:[setting]],0), MATCH(AW$1, regions[#Headers],0)),INDEX(lmic_raw[],MATCH($A55,lmic_raw[[setting]:[setting]],0), MATCH(AW$1, lmic_raw[#Headers],0)))</f>
        <v>0.14934101990927171</v>
      </c>
      <c r="AX55" s="33">
        <f>IF(INDEX(lmic_raw[],MATCH($A55,lmic_raw[[setting]:[setting]],0), MATCH(AX$1, lmic_raw[#Headers],0))=0, INDEX(regions[], MATCH($D55, regions[[setting]:[setting]],0), MATCH(AX$1, regions[#Headers],0)),INDEX(lmic_raw[],MATCH($A55,lmic_raw[[setting]:[setting]],0), MATCH(AX$1, lmic_raw[#Headers],0)))</f>
        <v>74.992000000000004</v>
      </c>
      <c r="AY55" s="33" t="str">
        <f>IF(VLOOKUP($A55,lmic_raw[],11,FALSE)=0, "Yes", "No")</f>
        <v>No</v>
      </c>
    </row>
    <row r="56" spans="1:51" x14ac:dyDescent="0.25">
      <c r="A56" s="109" t="s">
        <v>194</v>
      </c>
      <c r="B56" s="101" t="s">
        <v>438</v>
      </c>
      <c r="C56" s="102">
        <v>356</v>
      </c>
      <c r="D56" s="82" t="s">
        <v>680</v>
      </c>
      <c r="E56" s="82" t="s">
        <v>589</v>
      </c>
      <c r="F56" s="82" t="s">
        <v>589</v>
      </c>
      <c r="G56" s="82" t="s">
        <v>678</v>
      </c>
      <c r="H56" s="33">
        <f>IF(INDEX(lmic_raw[],MATCH($A56,lmic_raw[[setting]:[setting]],0), MATCH(H$1, lmic_raw[#Headers],0))=0, INDEX(regions[], MATCH($D56, regions[[setting]:[setting]],0), MATCH(H$1, regions[#Headers],0)),INDEX(lmic_raw[],MATCH($A56,lmic_raw[[setting]:[setting]],0), MATCH(H$1, lmic_raw[#Headers],0)))</f>
        <v>1366417756</v>
      </c>
      <c r="I56" s="33">
        <f>IF(INDEX(lmic_raw[],MATCH($A56,lmic_raw[[setting]:[setting]],0), MATCH(I$1, lmic_raw[#Headers],0))=0, INDEX(regions[], MATCH($D56, regions[[setting]:[setting]],0), MATCH(I$1, regions[#Headers],0)),INDEX(lmic_raw[],MATCH($A56,lmic_raw[[setting]:[setting]],0), MATCH(I$1, lmic_raw[#Headers],0)))</f>
        <v>24622847.963119999</v>
      </c>
      <c r="J56" s="33">
        <f>IF(INDEX(lmic_raw[],MATCH($A56,lmic_raw[[setting]:[setting]],0), MATCH(J$1, lmic_raw[#Headers],0))=0, INDEX(regions[], MATCH($D56, regions[[setting]:[setting]],0), MATCH(J$1, regions[#Headers],0)),INDEX(lmic_raw[],MATCH($A56,lmic_raw[[setting]:[setting]],0), MATCH(J$1, lmic_raw[#Headers],0)))</f>
        <v>0.78900000000000003</v>
      </c>
      <c r="K56" s="33">
        <f>IF(INDEX(lmic_raw[],MATCH($A56,lmic_raw[[setting]:[setting]],0), MATCH(K$1, lmic_raw[#Headers],0))=0, INDEX(regions[], MATCH($D56, regions[[setting]:[setting]],0), MATCH(K$1, regions[#Headers],0)),INDEX(lmic_raw[],MATCH($A56,lmic_raw[[setting]:[setting]],0), MATCH(K$1, lmic_raw[#Headers],0)))</f>
        <v>0.56000000000000005</v>
      </c>
      <c r="L56" s="33">
        <f>IF(INDEX(lmic_raw[],MATCH($A56,lmic_raw[[setting]:[setting]],0), MATCH(L$1, lmic_raw[#Headers],0))=0, INDEX(regions[], MATCH($D56, regions[[setting]:[setting]],0), MATCH(L$1, regions[#Headers],0)),INDEX(lmic_raw[],MATCH($A56,lmic_raw[[setting]:[setting]],0), MATCH(L$1, lmic_raw[#Headers],0)))</f>
        <v>0.91</v>
      </c>
      <c r="M56" s="33">
        <f>IF(INDEX(lmic_raw[],MATCH($A56,lmic_raw[[setting]:[setting]],0), MATCH(M$1, lmic_raw[#Headers],0))=0, INDEX(regions[], MATCH($D56, regions[[setting]:[setting]],0), MATCH(M$1, regions[#Headers],0)),INDEX(lmic_raw[],MATCH($A56,lmic_raw[[setting]:[setting]],0), MATCH(M$1, lmic_raw[#Headers],0)))</f>
        <v>1.6500000000000001E-2</v>
      </c>
      <c r="N56" s="33">
        <f>IF(INDEX(lmic_raw[],MATCH($A56,lmic_raw[[setting]:[setting]],0), MATCH(N$1, lmic_raw[#Headers],0))=0, INDEX(regions[], MATCH($D56, regions[[setting]:[setting]],0), MATCH(N$1, regions[#Headers],0)),INDEX(lmic_raw[],MATCH($A56,lmic_raw[[setting]:[setting]],0), MATCH(N$1, lmic_raw[#Headers],0)))</f>
        <v>0.26726619107184962</v>
      </c>
      <c r="O56" s="33">
        <f>IF(INDEX(lmic_raw[],MATCH($A56,lmic_raw[[setting]:[setting]],0), MATCH(O$1, lmic_raw[#Headers],0))=0, INDEX(regions[], MATCH($D56, regions[[setting]:[setting]],0), MATCH(O$1, regions[#Headers],0)),INDEX(lmic_raw[],MATCH($A56,lmic_raw[[setting]:[setting]],0), MATCH(O$1, lmic_raw[#Headers],0)))</f>
        <v>0.8</v>
      </c>
      <c r="P56" s="33">
        <f>IF(INDEX(lmic_raw[],MATCH($A56,lmic_raw[[setting]:[setting]],0), MATCH(P$1, lmic_raw[#Headers],0))=0, INDEX(regions[], MATCH($D56, regions[[setting]:[setting]],0), MATCH(P$1, regions[#Headers],0)),INDEX(lmic_raw[],MATCH($A56,lmic_raw[[setting]:[setting]],0), MATCH(P$1, lmic_raw[#Headers],0)))</f>
        <v>0.17499999999999999</v>
      </c>
      <c r="Q56" s="33">
        <f>IF(INDEX(lmic_raw[],MATCH($A56,lmic_raw[[setting]:[setting]],0), MATCH(Q$1, lmic_raw[#Headers],0))=0, INDEX(regions[], MATCH($D56, regions[[setting]:[setting]],0), MATCH(Q$1, regions[#Headers],0)),INDEX(lmic_raw[],MATCH($A56,lmic_raw[[setting]:[setting]],0), MATCH(Q$1, lmic_raw[#Headers],0)))</f>
        <v>3.8570382955004794</v>
      </c>
      <c r="R56" s="33">
        <f>IF(INDEX(lmic_raw[],MATCH($A56,lmic_raw[[setting]:[setting]],0), MATCH(R$1, lmic_raw[#Headers],0))=0, INDEX(regions[], MATCH($D56, regions[[setting]:[setting]],0), MATCH(R$1, regions[#Headers],0)),INDEX(lmic_raw[],MATCH($A56,lmic_raw[[setting]:[setting]],0), MATCH(R$1, lmic_raw[#Headers],0)))</f>
        <v>45.899900000000002</v>
      </c>
      <c r="S56" s="33">
        <f>IF(INDEX(lmic_raw[],MATCH($A56,lmic_raw[[setting]:[setting]],0), MATCH(S$1, lmic_raw[#Headers],0))=0, INDEX(regions[], MATCH($D56, regions[[setting]:[setting]],0), MATCH(S$1, regions[#Headers],0)),INDEX(lmic_raw[],MATCH($A56,lmic_raw[[setting]:[setting]],0), MATCH(S$1, lmic_raw[#Headers],0)))</f>
        <v>93.641900000000007</v>
      </c>
      <c r="T56" s="33">
        <f>IF(INDEX(lmic_raw[],MATCH($A56,lmic_raw[[setting]:[setting]],0), MATCH(T$1, lmic_raw[#Headers],0))=0, INDEX(regions[], MATCH($D56, regions[[setting]:[setting]],0), MATCH(T$1, regions[#Headers],0)),INDEX(lmic_raw[],MATCH($A56,lmic_raw[[setting]:[setting]],0), MATCH(T$1, lmic_raw[#Headers],0)))</f>
        <v>93.641900000000007</v>
      </c>
      <c r="U56" s="33">
        <f>IF(INDEX(lmic_raw[],MATCH($A56,lmic_raw[[setting]:[setting]],0), MATCH(U$1, lmic_raw[#Headers],0))=0, INDEX(regions[], MATCH($D56, regions[[setting]:[setting]],0), MATCH(U$1, regions[#Headers],0)),INDEX(lmic_raw[],MATCH($A56,lmic_raw[[setting]:[setting]],0), MATCH(U$1, lmic_raw[#Headers],0)))</f>
        <v>93.641900000000007</v>
      </c>
      <c r="V56" s="33">
        <f>IF(INDEX(lmic_raw[],MATCH($A56,lmic_raw[[setting]:[setting]],0), MATCH(V$1, lmic_raw[#Headers],0))=0, INDEX(regions[], MATCH($D56, regions[[setting]:[setting]],0), MATCH(V$1, regions[#Headers],0)),INDEX(lmic_raw[],MATCH($A56,lmic_raw[[setting]:[setting]],0), MATCH(V$1, lmic_raw[#Headers],0)))</f>
        <v>1.5230366832041071</v>
      </c>
      <c r="W56" s="33">
        <f>IF(INDEX(lmic_raw[],MATCH($A56,lmic_raw[[setting]:[setting]],0), MATCH(W$1, lmic_raw[#Headers],0))=0, INDEX(regions[], MATCH($D56, regions[[setting]:[setting]],0), MATCH(W$1, regions[#Headers],0)),INDEX(lmic_raw[],MATCH($A56,lmic_raw[[setting]:[setting]],0), MATCH(W$1, lmic_raw[#Headers],0)))</f>
        <v>3.9730366832041071</v>
      </c>
      <c r="X56" s="33">
        <f>IF(INDEX(lmic_raw[],MATCH($A56,lmic_raw[[setting]:[setting]],0), MATCH(X$1, lmic_raw[#Headers],0))=0, INDEX(regions[], MATCH($D56, regions[[setting]:[setting]],0), MATCH(X$1, regions[#Headers],0)),INDEX(lmic_raw[],MATCH($A56,lmic_raw[[setting]:[setting]],0), MATCH(X$1, lmic_raw[#Headers],0)))</f>
        <v>1.0925775005878353</v>
      </c>
      <c r="Y56" s="33">
        <f>IF(INDEX(lmic_raw[],MATCH($A56,lmic_raw[[setting]:[setting]],0), MATCH(Y$1, lmic_raw[#Headers],0))=0, INDEX(regions[], MATCH($D56, regions[[setting]:[setting]],0), MATCH(Y$1, regions[#Headers],0)),INDEX(lmic_raw[],MATCH($A56,lmic_raw[[setting]:[setting]],0), MATCH(Y$1, lmic_raw[#Headers],0)))</f>
        <v>3.5425775005878357</v>
      </c>
      <c r="Z56" s="33">
        <f>IF(INDEX(lmic_raw[],MATCH($A56,lmic_raw[[setting]:[setting]],0), MATCH(Z$1, lmic_raw[#Headers],0))=0, INDEX(regions[], MATCH($D56, regions[[setting]:[setting]],0), MATCH(Z$1, regions[#Headers],0)),INDEX(lmic_raw[],MATCH($A56,lmic_raw[[setting]:[setting]],0), MATCH(Z$1, lmic_raw[#Headers],0)))</f>
        <v>3.5374099825057872</v>
      </c>
      <c r="AA56" s="33">
        <f>IF(INDEX(lmic_raw[],MATCH($A56,lmic_raw[[setting]:[setting]],0), MATCH(AA$1, lmic_raw[#Headers],0))=0, INDEX(regions[], MATCH($D56, regions[[setting]:[setting]],0), MATCH(AA$1, regions[#Headers],0)),INDEX(lmic_raw[],MATCH($A56,lmic_raw[[setting]:[setting]],0), MATCH(AA$1, lmic_raw[#Headers],0)))</f>
        <v>1.7664282434518568</v>
      </c>
      <c r="AB56" s="33">
        <f>IF(INDEX(lmic_raw[],MATCH($A56,lmic_raw[[setting]:[setting]],0), MATCH(AB$1, lmic_raw[#Headers],0))=0, INDEX(regions[], MATCH($D56, regions[[setting]:[setting]],0), MATCH(AB$1, regions[#Headers],0)),INDEX(lmic_raw[],MATCH($A56,lmic_raw[[setting]:[setting]],0), MATCH(AB$1, lmic_raw[#Headers],0)))</f>
        <v>4.2164282434518565</v>
      </c>
      <c r="AC56" s="33">
        <f>IF(INDEX(lmic_raw[],MATCH($A56,lmic_raw[[setting]:[setting]],0), MATCH(AC$1, lmic_raw[#Headers],0))=0, INDEX(regions[], MATCH($D56, regions[[setting]:[setting]],0), MATCH(AC$1, regions[#Headers],0)),INDEX(lmic_raw[],MATCH($A56,lmic_raw[[setting]:[setting]],0), MATCH(AC$1, lmic_raw[#Headers],0)))</f>
        <v>3.2000000000000001E-2</v>
      </c>
      <c r="AD56" s="33">
        <f>IF(INDEX(lmic_raw[],MATCH($A56,lmic_raw[[setting]:[setting]],0), MATCH(AD$1, lmic_raw[#Headers],0))=0, INDEX(regions[], MATCH($D56, regions[[setting]:[setting]],0), MATCH(AD$1, regions[#Headers],0)),INDEX(lmic_raw[],MATCH($A56,lmic_raw[[setting]:[setting]],0), MATCH(AD$1, lmic_raw[#Headers],0)))</f>
        <v>1.9125568181818215E-3</v>
      </c>
      <c r="AE56" s="33">
        <f>IF(INDEX(lmic_raw[],MATCH($A56,lmic_raw[[setting]:[setting]],0), MATCH(AE$1, lmic_raw[#Headers],0))=0, INDEX(regions[], MATCH($D56, regions[[setting]:[setting]],0), MATCH(AE$1, regions[#Headers],0)),INDEX(lmic_raw[],MATCH($A56,lmic_raw[[setting]:[setting]],0), MATCH(AE$1, lmic_raw[#Headers],0)))</f>
        <v>7.1535069456670386E-4</v>
      </c>
      <c r="AF56" s="33">
        <f>IF(INDEX(lmic_raw[],MATCH($A56,lmic_raw[[setting]:[setting]],0), MATCH(AF$1, lmic_raw[#Headers],0))=0, INDEX(regions[], MATCH($D56, regions[[setting]:[setting]],0), MATCH(AF$1, regions[#Headers],0)),INDEX(lmic_raw[],MATCH($A56,lmic_raw[[setting]:[setting]],0), MATCH(AF$1, lmic_raw[#Headers],0)))</f>
        <v>6.0160552047179691E-4</v>
      </c>
      <c r="AG56" s="33">
        <f>IF(INDEX(lmic_raw[],MATCH($A56,lmic_raw[[setting]:[setting]],0), MATCH(AG$1, lmic_raw[#Headers],0))=0, INDEX(regions[], MATCH($D56, regions[[setting]:[setting]],0), MATCH(AG$1, regions[#Headers],0)),INDEX(lmic_raw[],MATCH($A56,lmic_raw[[setting]:[setting]],0), MATCH(AG$1, lmic_raw[#Headers],0)))</f>
        <v>9.4642282045615737E-4</v>
      </c>
      <c r="AH56" s="33">
        <f>IF(INDEX(lmic_raw[],MATCH($A56,lmic_raw[[setting]:[setting]],0), MATCH(AH$1, lmic_raw[#Headers],0))=0, INDEX(regions[], MATCH($D56, regions[[setting]:[setting]],0), MATCH(AH$1, regions[#Headers],0)),INDEX(lmic_raw[],MATCH($A56,lmic_raw[[setting]:[setting]],0), MATCH(AH$1, lmic_raw[#Headers],0)))</f>
        <v>1.3732150365588049E-3</v>
      </c>
      <c r="AI56" s="33">
        <f>IF(INDEX(lmic_raw[],MATCH($A56,lmic_raw[[setting]:[setting]],0), MATCH(AI$1, lmic_raw[#Headers],0))=0, INDEX(regions[], MATCH($D56, regions[[setting]:[setting]],0), MATCH(AI$1, regions[#Headers],0)),INDEX(lmic_raw[],MATCH($A56,lmic_raw[[setting]:[setting]],0), MATCH(AI$1, lmic_raw[#Headers],0)))</f>
        <v>1.5526608369193016E-3</v>
      </c>
      <c r="AJ56" s="33">
        <f>IF(INDEX(lmic_raw[],MATCH($A56,lmic_raw[[setting]:[setting]],0), MATCH(AJ$1, lmic_raw[#Headers],0))=0, INDEX(regions[], MATCH($D56, regions[[setting]:[setting]],0), MATCH(AJ$1, regions[#Headers],0)),INDEX(lmic_raw[],MATCH($A56,lmic_raw[[setting]:[setting]],0), MATCH(AJ$1, lmic_raw[#Headers],0)))</f>
        <v>1.9815753059753876E-3</v>
      </c>
      <c r="AK56" s="33">
        <f>IF(INDEX(lmic_raw[],MATCH($A56,lmic_raw[[setting]:[setting]],0), MATCH(AK$1, lmic_raw[#Headers],0))=0, INDEX(regions[], MATCH($D56, regions[[setting]:[setting]],0), MATCH(AK$1, regions[#Headers],0)),INDEX(lmic_raw[],MATCH($A56,lmic_raw[[setting]:[setting]],0), MATCH(AK$1, lmic_raw[#Headers],0)))</f>
        <v>2.7437178237789267E-3</v>
      </c>
      <c r="AL56" s="33">
        <f>IF(INDEX(lmic_raw[],MATCH($A56,lmic_raw[[setting]:[setting]],0), MATCH(AL$1, lmic_raw[#Headers],0))=0, INDEX(regions[], MATCH($D56, regions[[setting]:[setting]],0), MATCH(AL$1, regions[#Headers],0)),INDEX(lmic_raw[],MATCH($A56,lmic_raw[[setting]:[setting]],0), MATCH(AL$1, lmic_raw[#Headers],0)))</f>
        <v>3.6892655629956312E-3</v>
      </c>
      <c r="AM56" s="33">
        <f>IF(INDEX(lmic_raw[],MATCH($A56,lmic_raw[[setting]:[setting]],0), MATCH(AM$1, lmic_raw[#Headers],0))=0, INDEX(regions[], MATCH($D56, regions[[setting]:[setting]],0), MATCH(AM$1, regions[#Headers],0)),INDEX(lmic_raw[],MATCH($A56,lmic_raw[[setting]:[setting]],0), MATCH(AM$1, lmic_raw[#Headers],0)))</f>
        <v>5.2984072107780398E-3</v>
      </c>
      <c r="AN56" s="33">
        <f>IF(INDEX(lmic_raw[],MATCH($A56,lmic_raw[[setting]:[setting]],0), MATCH(AN$1, lmic_raw[#Headers],0))=0, INDEX(regions[], MATCH($D56, regions[[setting]:[setting]],0), MATCH(AN$1, regions[#Headers],0)),INDEX(lmic_raw[],MATCH($A56,lmic_raw[[setting]:[setting]],0), MATCH(AN$1, lmic_raw[#Headers],0)))</f>
        <v>8.4786050471113063E-3</v>
      </c>
      <c r="AO56" s="33">
        <f>IF(INDEX(lmic_raw[],MATCH($A56,lmic_raw[[setting]:[setting]],0), MATCH(AO$1, lmic_raw[#Headers],0))=0, INDEX(regions[], MATCH($D56, regions[[setting]:[setting]],0), MATCH(AO$1, regions[#Headers],0)),INDEX(lmic_raw[],MATCH($A56,lmic_raw[[setting]:[setting]],0), MATCH(AO$1, lmic_raw[#Headers],0)))</f>
        <v>1.2597229022773913E-2</v>
      </c>
      <c r="AP56" s="33">
        <f>IF(INDEX(lmic_raw[],MATCH($A56,lmic_raw[[setting]:[setting]],0), MATCH(AP$1, lmic_raw[#Headers],0))=0, INDEX(regions[], MATCH($D56, regions[[setting]:[setting]],0), MATCH(AP$1, regions[#Headers],0)),INDEX(lmic_raw[],MATCH($A56,lmic_raw[[setting]:[setting]],0), MATCH(AP$1, lmic_raw[#Headers],0)))</f>
        <v>1.8597386074553211E-2</v>
      </c>
      <c r="AQ56" s="33">
        <f>IF(INDEX(lmic_raw[],MATCH($A56,lmic_raw[[setting]:[setting]],0), MATCH(AQ$1, lmic_raw[#Headers],0))=0, INDEX(regions[], MATCH($D56, regions[[setting]:[setting]],0), MATCH(AQ$1, regions[#Headers],0)),INDEX(lmic_raw[],MATCH($A56,lmic_raw[[setting]:[setting]],0), MATCH(AQ$1, lmic_raw[#Headers],0)))</f>
        <v>2.7897493448943371E-2</v>
      </c>
      <c r="AR56" s="33">
        <f>IF(INDEX(lmic_raw[],MATCH($A56,lmic_raw[[setting]:[setting]],0), MATCH(AR$1, lmic_raw[#Headers],0))=0, INDEX(regions[], MATCH($D56, regions[[setting]:[setting]],0), MATCH(AR$1, regions[#Headers],0)),INDEX(lmic_raw[],MATCH($A56,lmic_raw[[setting]:[setting]],0), MATCH(AR$1, lmic_raw[#Headers],0)))</f>
        <v>4.2849663503968405E-2</v>
      </c>
      <c r="AS56" s="33">
        <f>IF(INDEX(lmic_raw[],MATCH($A56,lmic_raw[[setting]:[setting]],0), MATCH(AS$1, lmic_raw[#Headers],0))=0, INDEX(regions[], MATCH($D56, regions[[setting]:[setting]],0), MATCH(AS$1, regions[#Headers],0)),INDEX(lmic_raw[],MATCH($A56,lmic_raw[[setting]:[setting]],0), MATCH(AS$1, lmic_raw[#Headers],0)))</f>
        <v>6.0679978133540674E-2</v>
      </c>
      <c r="AT56" s="33">
        <f>IF(INDEX(lmic_raw[],MATCH($A56,lmic_raw[[setting]:[setting]],0), MATCH(AT$1, lmic_raw[#Headers],0))=0, INDEX(regions[], MATCH($D56, regions[[setting]:[setting]],0), MATCH(AT$1, regions[#Headers],0)),INDEX(lmic_raw[],MATCH($A56,lmic_raw[[setting]:[setting]],0), MATCH(AT$1, lmic_raw[#Headers],0)))</f>
        <v>8.6620117768741622E-2</v>
      </c>
      <c r="AU56" s="33">
        <f>IF(INDEX(lmic_raw[],MATCH($A56,lmic_raw[[setting]:[setting]],0), MATCH(AU$1, lmic_raw[#Headers],0))=0, INDEX(regions[], MATCH($D56, regions[[setting]:[setting]],0), MATCH(AU$1, regions[#Headers],0)),INDEX(lmic_raw[],MATCH($A56,lmic_raw[[setting]:[setting]],0), MATCH(AU$1, lmic_raw[#Headers],0)))</f>
        <v>0.11600615643086354</v>
      </c>
      <c r="AV56" s="33">
        <f>IF(INDEX(lmic_raw[],MATCH($A56,lmic_raw[[setting]:[setting]],0), MATCH(AV$1, lmic_raw[#Headers],0))=0, INDEX(regions[], MATCH($D56, regions[[setting]:[setting]],0), MATCH(AV$1, regions[#Headers],0)),INDEX(lmic_raw[],MATCH($A56,lmic_raw[[setting]:[setting]],0), MATCH(AV$1, lmic_raw[#Headers],0)))</f>
        <v>0.14310718338796444</v>
      </c>
      <c r="AW56" s="33">
        <f>IF(INDEX(lmic_raw[],MATCH($A56,lmic_raw[[setting]:[setting]],0), MATCH(AW$1, lmic_raw[#Headers],0))=0, INDEX(regions[], MATCH($D56, regions[[setting]:[setting]],0), MATCH(AW$1, regions[#Headers],0)),INDEX(lmic_raw[],MATCH($A56,lmic_raw[[setting]:[setting]],0), MATCH(AW$1, lmic_raw[#Headers],0)))</f>
        <v>0.13800656426699495</v>
      </c>
      <c r="AX56" s="33">
        <f>IF(INDEX(lmic_raw[],MATCH($A56,lmic_raw[[setting]:[setting]],0), MATCH(AX$1, lmic_raw[#Headers],0))=0, INDEX(regions[], MATCH($D56, regions[[setting]:[setting]],0), MATCH(AX$1, regions[#Headers],0)),INDEX(lmic_raw[],MATCH($A56,lmic_raw[[setting]:[setting]],0), MATCH(AX$1, lmic_raw[#Headers],0)))</f>
        <v>69.272000000000006</v>
      </c>
      <c r="AY56" s="33" t="str">
        <f>IF(VLOOKUP($A56,lmic_raw[],11,FALSE)=0, "Yes", "No")</f>
        <v>No</v>
      </c>
    </row>
    <row r="57" spans="1:51" x14ac:dyDescent="0.25">
      <c r="A57" s="110" t="s">
        <v>213</v>
      </c>
      <c r="B57" s="104" t="s">
        <v>439</v>
      </c>
      <c r="C57" s="105">
        <v>360</v>
      </c>
      <c r="D57" s="84" t="s">
        <v>680</v>
      </c>
      <c r="E57" s="84" t="s">
        <v>598</v>
      </c>
      <c r="F57" s="84" t="s">
        <v>666</v>
      </c>
      <c r="G57" s="84" t="s">
        <v>678</v>
      </c>
      <c r="H57" s="33">
        <f>IF(INDEX(lmic_raw[],MATCH($A57,lmic_raw[[setting]:[setting]],0), MATCH(H$1, lmic_raw[#Headers],0))=0, INDEX(regions[], MATCH($D57, regions[[setting]:[setting]],0), MATCH(H$1, regions[#Headers],0)),INDEX(lmic_raw[],MATCH($A57,lmic_raw[[setting]:[setting]],0), MATCH(H$1, lmic_raw[#Headers],0)))</f>
        <v>270625567</v>
      </c>
      <c r="I57" s="33">
        <f>IF(INDEX(lmic_raw[],MATCH($A57,lmic_raw[[setting]:[setting]],0), MATCH(I$1, lmic_raw[#Headers],0))=0, INDEX(regions[], MATCH($D57, regions[[setting]:[setting]],0), MATCH(I$1, regions[#Headers],0)),INDEX(lmic_raw[],MATCH($A57,lmic_raw[[setting]:[setting]],0), MATCH(I$1, lmic_raw[#Headers],0)))</f>
        <v>4926738.4472349994</v>
      </c>
      <c r="J57" s="33">
        <f>IF(INDEX(lmic_raw[],MATCH($A57,lmic_raw[[setting]:[setting]],0), MATCH(J$1, lmic_raw[#Headers],0))=0, INDEX(regions[], MATCH($D57, regions[[setting]:[setting]],0), MATCH(J$1, regions[#Headers],0)),INDEX(lmic_raw[],MATCH($A57,lmic_raw[[setting]:[setting]],0), MATCH(J$1, lmic_raw[#Headers],0)))</f>
        <v>0.79</v>
      </c>
      <c r="K57" s="33">
        <f>IF(INDEX(lmic_raw[],MATCH($A57,lmic_raw[[setting]:[setting]],0), MATCH(K$1, lmic_raw[#Headers],0))=0, INDEX(regions[], MATCH($D57, regions[[setting]:[setting]],0), MATCH(K$1, regions[#Headers],0)),INDEX(lmic_raw[],MATCH($A57,lmic_raw[[setting]:[setting]],0), MATCH(K$1, lmic_raw[#Headers],0)))</f>
        <v>0.84</v>
      </c>
      <c r="L57" s="33">
        <f>IF(INDEX(lmic_raw[],MATCH($A57,lmic_raw[[setting]:[setting]],0), MATCH(L$1, lmic_raw[#Headers],0))=0, INDEX(regions[], MATCH($D57, regions[[setting]:[setting]],0), MATCH(L$1, regions[#Headers],0)),INDEX(lmic_raw[],MATCH($A57,lmic_raw[[setting]:[setting]],0), MATCH(L$1, lmic_raw[#Headers],0)))</f>
        <v>0.85</v>
      </c>
      <c r="M57" s="33">
        <f>IF(INDEX(lmic_raw[],MATCH($A57,lmic_raw[[setting]:[setting]],0), MATCH(M$1, lmic_raw[#Headers],0))=0, INDEX(regions[], MATCH($D57, regions[[setting]:[setting]],0), MATCH(M$1, regions[#Headers],0)),INDEX(lmic_raw[],MATCH($A57,lmic_raw[[setting]:[setting]],0), MATCH(M$1, lmic_raw[#Headers],0)))</f>
        <v>2.4300000000000002E-2</v>
      </c>
      <c r="N57" s="33">
        <f>IF(INDEX(lmic_raw[],MATCH($A57,lmic_raw[[setting]:[setting]],0), MATCH(N$1, lmic_raw[#Headers],0))=0, INDEX(regions[], MATCH($D57, regions[[setting]:[setting]],0), MATCH(N$1, regions[#Headers],0)),INDEX(lmic_raw[],MATCH($A57,lmic_raw[[setting]:[setting]],0), MATCH(N$1, lmic_raw[#Headers],0)))</f>
        <v>0.33277106999049344</v>
      </c>
      <c r="O57" s="33">
        <f>IF(INDEX(lmic_raw[],MATCH($A57,lmic_raw[[setting]:[setting]],0), MATCH(O$1, lmic_raw[#Headers],0))=0, INDEX(regions[], MATCH($D57, regions[[setting]:[setting]],0), MATCH(O$1, regions[#Headers],0)),INDEX(lmic_raw[],MATCH($A57,lmic_raw[[setting]:[setting]],0), MATCH(O$1, lmic_raw[#Headers],0)))</f>
        <v>0.8</v>
      </c>
      <c r="P57" s="33">
        <f>IF(INDEX(lmic_raw[],MATCH($A57,lmic_raw[[setting]:[setting]],0), MATCH(P$1, lmic_raw[#Headers],0))=0, INDEX(regions[], MATCH($D57, regions[[setting]:[setting]],0), MATCH(P$1, regions[#Headers],0)),INDEX(lmic_raw[],MATCH($A57,lmic_raw[[setting]:[setting]],0), MATCH(P$1, lmic_raw[#Headers],0)))</f>
        <v>0.17499999999999999</v>
      </c>
      <c r="Q57" s="33">
        <f>IF(INDEX(lmic_raw[],MATCH($A57,lmic_raw[[setting]:[setting]],0), MATCH(Q$1, lmic_raw[#Headers],0))=0, INDEX(regions[], MATCH($D57, regions[[setting]:[setting]],0), MATCH(Q$1, regions[#Headers],0)),INDEX(lmic_raw[],MATCH($A57,lmic_raw[[setting]:[setting]],0), MATCH(Q$1, lmic_raw[#Headers],0)))</f>
        <v>4.7946932579603416</v>
      </c>
      <c r="R57" s="33">
        <f>IF(INDEX(lmic_raw[],MATCH($A57,lmic_raw[[setting]:[setting]],0), MATCH(R$1, lmic_raw[#Headers],0))=0, INDEX(regions[], MATCH($D57, regions[[setting]:[setting]],0), MATCH(R$1, regions[#Headers],0)),INDEX(lmic_raw[],MATCH($A57,lmic_raw[[setting]:[setting]],0), MATCH(R$1, lmic_raw[#Headers],0)))</f>
        <v>73.084500000000006</v>
      </c>
      <c r="S57" s="33">
        <f>IF(INDEX(lmic_raw[],MATCH($A57,lmic_raw[[setting]:[setting]],0), MATCH(S$1, lmic_raw[#Headers],0))=0, INDEX(regions[], MATCH($D57, regions[[setting]:[setting]],0), MATCH(S$1, regions[#Headers],0)),INDEX(lmic_raw[],MATCH($A57,lmic_raw[[setting]:[setting]],0), MATCH(S$1, lmic_raw[#Headers],0)))</f>
        <v>120.8265</v>
      </c>
      <c r="T57" s="33">
        <f>IF(INDEX(lmic_raw[],MATCH($A57,lmic_raw[[setting]:[setting]],0), MATCH(T$1, lmic_raw[#Headers],0))=0, INDEX(regions[], MATCH($D57, regions[[setting]:[setting]],0), MATCH(T$1, regions[#Headers],0)),INDEX(lmic_raw[],MATCH($A57,lmic_raw[[setting]:[setting]],0), MATCH(T$1, lmic_raw[#Headers],0)))</f>
        <v>120.8265</v>
      </c>
      <c r="U57" s="33">
        <f>IF(INDEX(lmic_raw[],MATCH($A57,lmic_raw[[setting]:[setting]],0), MATCH(U$1, lmic_raw[#Headers],0))=0, INDEX(regions[], MATCH($D57, regions[[setting]:[setting]],0), MATCH(U$1, regions[#Headers],0)),INDEX(lmic_raw[],MATCH($A57,lmic_raw[[setting]:[setting]],0), MATCH(U$1, lmic_raw[#Headers],0)))</f>
        <v>120.8265</v>
      </c>
      <c r="V57" s="33">
        <f>IF(INDEX(lmic_raw[],MATCH($A57,lmic_raw[[setting]:[setting]],0), MATCH(V$1, lmic_raw[#Headers],0))=0, INDEX(regions[], MATCH($D57, regions[[setting]:[setting]],0), MATCH(V$1, regions[#Headers],0)),INDEX(lmic_raw[],MATCH($A57,lmic_raw[[setting]:[setting]],0), MATCH(V$1, lmic_raw[#Headers],0)))</f>
        <v>1.8017456399268974</v>
      </c>
      <c r="W57" s="33">
        <f>IF(INDEX(lmic_raw[],MATCH($A57,lmic_raw[[setting]:[setting]],0), MATCH(W$1, lmic_raw[#Headers],0))=0, INDEX(regions[], MATCH($D57, regions[[setting]:[setting]],0), MATCH(W$1, regions[#Headers],0)),INDEX(lmic_raw[],MATCH($A57,lmic_raw[[setting]:[setting]],0), MATCH(W$1, lmic_raw[#Headers],0)))</f>
        <v>2.4317456399268975</v>
      </c>
      <c r="X57" s="33">
        <f>IF(INDEX(lmic_raw[],MATCH($A57,lmic_raw[[setting]:[setting]],0), MATCH(X$1, lmic_raw[#Headers],0))=0, INDEX(regions[], MATCH($D57, regions[[setting]:[setting]],0), MATCH(X$1, regions[#Headers],0)),INDEX(lmic_raw[],MATCH($A57,lmic_raw[[setting]:[setting]],0), MATCH(X$1, lmic_raw[#Headers],0)))</f>
        <v>1.3600273815195147</v>
      </c>
      <c r="Y57" s="33">
        <f>IF(INDEX(lmic_raw[],MATCH($A57,lmic_raw[[setting]:[setting]],0), MATCH(Y$1, lmic_raw[#Headers],0))=0, INDEX(regions[], MATCH($D57, regions[[setting]:[setting]],0), MATCH(Y$1, regions[#Headers],0)),INDEX(lmic_raw[],MATCH($A57,lmic_raw[[setting]:[setting]],0), MATCH(Y$1, lmic_raw[#Headers],0)))</f>
        <v>1.9900273815195146</v>
      </c>
      <c r="Z57" s="33">
        <f>IF(INDEX(lmic_raw[],MATCH($A57,lmic_raw[[setting]:[setting]],0), MATCH(Z$1, lmic_raw[#Headers],0))=0, INDEX(regions[], MATCH($D57, regions[[setting]:[setting]],0), MATCH(Z$1, regions[#Headers],0)),INDEX(lmic_raw[],MATCH($A57,lmic_raw[[setting]:[setting]],0), MATCH(Z$1, lmic_raw[#Headers],0)))</f>
        <v>1.9806408616286659</v>
      </c>
      <c r="AA57" s="33">
        <f>IF(INDEX(lmic_raw[],MATCH($A57,lmic_raw[[setting]:[setting]],0), MATCH(AA$1, lmic_raw[#Headers],0))=0, INDEX(regions[], MATCH($D57, regions[[setting]:[setting]],0), MATCH(AA$1, regions[#Headers],0)),INDEX(lmic_raw[],MATCH($A57,lmic_raw[[setting]:[setting]],0), MATCH(AA$1, lmic_raw[#Headers],0)))</f>
        <v>2.0491957042388842</v>
      </c>
      <c r="AB57" s="33">
        <f>IF(INDEX(lmic_raw[],MATCH($A57,lmic_raw[[setting]:[setting]],0), MATCH(AB$1, lmic_raw[#Headers],0))=0, INDEX(regions[], MATCH($D57, regions[[setting]:[setting]],0), MATCH(AB$1, regions[#Headers],0)),INDEX(lmic_raw[],MATCH($A57,lmic_raw[[setting]:[setting]],0), MATCH(AB$1, lmic_raw[#Headers],0)))</f>
        <v>2.6791957042388841</v>
      </c>
      <c r="AC57" s="33">
        <f>IF(INDEX(lmic_raw[],MATCH($A57,lmic_raw[[setting]:[setting]],0), MATCH(AC$1, lmic_raw[#Headers],0))=0, INDEX(regions[], MATCH($D57, regions[[setting]:[setting]],0), MATCH(AC$1, regions[#Headers],0)),INDEX(lmic_raw[],MATCH($A57,lmic_raw[[setting]:[setting]],0), MATCH(AC$1, lmic_raw[#Headers],0)))</f>
        <v>1.8922880000000003E-2</v>
      </c>
      <c r="AD57" s="33">
        <f>IF(INDEX(lmic_raw[],MATCH($A57,lmic_raw[[setting]:[setting]],0), MATCH(AD$1, lmic_raw[#Headers],0))=0, INDEX(regions[], MATCH($D57, regions[[setting]:[setting]],0), MATCH(AD$1, regions[#Headers],0)),INDEX(lmic_raw[],MATCH($A57,lmic_raw[[setting]:[setting]],0), MATCH(AD$1, lmic_raw[#Headers],0)))</f>
        <v>1.5222172340539479E-3</v>
      </c>
      <c r="AE57" s="33">
        <f>IF(INDEX(lmic_raw[],MATCH($A57,lmic_raw[[setting]:[setting]],0), MATCH(AE$1, lmic_raw[#Headers],0))=0, INDEX(regions[], MATCH($D57, regions[[setting]:[setting]],0), MATCH(AE$1, regions[#Headers],0)),INDEX(lmic_raw[],MATCH($A57,lmic_raw[[setting]:[setting]],0), MATCH(AE$1, lmic_raw[#Headers],0)))</f>
        <v>5.0644471606688178E-4</v>
      </c>
      <c r="AF57" s="33">
        <f>IF(INDEX(lmic_raw[],MATCH($A57,lmic_raw[[setting]:[setting]],0), MATCH(AF$1, lmic_raw[#Headers],0))=0, INDEX(regions[], MATCH($D57, regions[[setting]:[setting]],0), MATCH(AF$1, regions[#Headers],0)),INDEX(lmic_raw[],MATCH($A57,lmic_raw[[setting]:[setting]],0), MATCH(AF$1, lmic_raw[#Headers],0)))</f>
        <v>4.4754539756151283E-4</v>
      </c>
      <c r="AG57" s="33">
        <f>IF(INDEX(lmic_raw[],MATCH($A57,lmic_raw[[setting]:[setting]],0), MATCH(AG$1, lmic_raw[#Headers],0))=0, INDEX(regions[], MATCH($D57, regions[[setting]:[setting]],0), MATCH(AG$1, regions[#Headers],0)),INDEX(lmic_raw[],MATCH($A57,lmic_raw[[setting]:[setting]],0), MATCH(AG$1, lmic_raw[#Headers],0)))</f>
        <v>9.3833652529765749E-4</v>
      </c>
      <c r="AH57" s="33">
        <f>IF(INDEX(lmic_raw[],MATCH($A57,lmic_raw[[setting]:[setting]],0), MATCH(AH$1, lmic_raw[#Headers],0))=0, INDEX(regions[], MATCH($D57, regions[[setting]:[setting]],0), MATCH(AH$1, regions[#Headers],0)),INDEX(lmic_raw[],MATCH($A57,lmic_raw[[setting]:[setting]],0), MATCH(AH$1, lmic_raw[#Headers],0)))</f>
        <v>1.2329000732080504E-3</v>
      </c>
      <c r="AI57" s="33">
        <f>IF(INDEX(lmic_raw[],MATCH($A57,lmic_raw[[setting]:[setting]],0), MATCH(AI$1, lmic_raw[#Headers],0))=0, INDEX(regions[], MATCH($D57, regions[[setting]:[setting]],0), MATCH(AI$1, regions[#Headers],0)),INDEX(lmic_raw[],MATCH($A57,lmic_raw[[setting]:[setting]],0), MATCH(AI$1, lmic_raw[#Headers],0)))</f>
        <v>1.3065425046960614E-3</v>
      </c>
      <c r="AJ57" s="33">
        <f>IF(INDEX(lmic_raw[],MATCH($A57,lmic_raw[[setting]:[setting]],0), MATCH(AJ$1, lmic_raw[#Headers],0))=0, INDEX(regions[], MATCH($D57, regions[[setting]:[setting]],0), MATCH(AJ$1, regions[#Headers],0)),INDEX(lmic_raw[],MATCH($A57,lmic_raw[[setting]:[setting]],0), MATCH(AJ$1, lmic_raw[#Headers],0)))</f>
        <v>1.5542100671743552E-3</v>
      </c>
      <c r="AK57" s="33">
        <f>IF(INDEX(lmic_raw[],MATCH($A57,lmic_raw[[setting]:[setting]],0), MATCH(AK$1, lmic_raw[#Headers],0))=0, INDEX(regions[], MATCH($D57, regions[[setting]:[setting]],0), MATCH(AK$1, regions[#Headers],0)),INDEX(lmic_raw[],MATCH($A57,lmic_raw[[setting]:[setting]],0), MATCH(AK$1, lmic_raw[#Headers],0)))</f>
        <v>2.0910096495578398E-3</v>
      </c>
      <c r="AL57" s="33">
        <f>IF(INDEX(lmic_raw[],MATCH($A57,lmic_raw[[setting]:[setting]],0), MATCH(AL$1, lmic_raw[#Headers],0))=0, INDEX(regions[], MATCH($D57, regions[[setting]:[setting]],0), MATCH(AL$1, regions[#Headers],0)),INDEX(lmic_raw[],MATCH($A57,lmic_raw[[setting]:[setting]],0), MATCH(AL$1, lmic_raw[#Headers],0)))</f>
        <v>2.9997705513160125E-3</v>
      </c>
      <c r="AM57" s="33">
        <f>IF(INDEX(lmic_raw[],MATCH($A57,lmic_raw[[setting]:[setting]],0), MATCH(AM$1, lmic_raw[#Headers],0))=0, INDEX(regions[], MATCH($D57, regions[[setting]:[setting]],0), MATCH(AM$1, regions[#Headers],0)),INDEX(lmic_raw[],MATCH($A57,lmic_raw[[setting]:[setting]],0), MATCH(AM$1, lmic_raw[#Headers],0)))</f>
        <v>4.5961967641964313E-3</v>
      </c>
      <c r="AN57" s="33">
        <f>IF(INDEX(lmic_raw[],MATCH($A57,lmic_raw[[setting]:[setting]],0), MATCH(AN$1, lmic_raw[#Headers],0))=0, INDEX(regions[], MATCH($D57, regions[[setting]:[setting]],0), MATCH(AN$1, regions[#Headers],0)),INDEX(lmic_raw[],MATCH($A57,lmic_raw[[setting]:[setting]],0), MATCH(AN$1, lmic_raw[#Headers],0)))</f>
        <v>7.1074352798496023E-3</v>
      </c>
      <c r="AO57" s="33">
        <f>IF(INDEX(lmic_raw[],MATCH($A57,lmic_raw[[setting]:[setting]],0), MATCH(AO$1, lmic_raw[#Headers],0))=0, INDEX(regions[], MATCH($D57, regions[[setting]:[setting]],0), MATCH(AO$1, regions[#Headers],0)),INDEX(lmic_raw[],MATCH($A57,lmic_raw[[setting]:[setting]],0), MATCH(AO$1, lmic_raw[#Headers],0)))</f>
        <v>1.103758984314274E-2</v>
      </c>
      <c r="AP57" s="33">
        <f>IF(INDEX(lmic_raw[],MATCH($A57,lmic_raw[[setting]:[setting]],0), MATCH(AP$1, lmic_raw[#Headers],0))=0, INDEX(regions[], MATCH($D57, regions[[setting]:[setting]],0), MATCH(AP$1, regions[#Headers],0)),INDEX(lmic_raw[],MATCH($A57,lmic_raw[[setting]:[setting]],0), MATCH(AP$1, lmic_raw[#Headers],0)))</f>
        <v>1.7008872501062953E-2</v>
      </c>
      <c r="AQ57" s="33">
        <f>IF(INDEX(lmic_raw[],MATCH($A57,lmic_raw[[setting]:[setting]],0), MATCH(AQ$1, lmic_raw[#Headers],0))=0, INDEX(regions[], MATCH($D57, regions[[setting]:[setting]],0), MATCH(AQ$1, regions[#Headers],0)),INDEX(lmic_raw[],MATCH($A57,lmic_raw[[setting]:[setting]],0), MATCH(AQ$1, lmic_raw[#Headers],0)))</f>
        <v>2.5792433130569472E-2</v>
      </c>
      <c r="AR57" s="33">
        <f>IF(INDEX(lmic_raw[],MATCH($A57,lmic_raw[[setting]:[setting]],0), MATCH(AR$1, lmic_raw[#Headers],0))=0, INDEX(regions[], MATCH($D57, regions[[setting]:[setting]],0), MATCH(AR$1, regions[#Headers],0)),INDEX(lmic_raw[],MATCH($A57,lmic_raw[[setting]:[setting]],0), MATCH(AR$1, lmic_raw[#Headers],0)))</f>
        <v>3.948314467635939E-2</v>
      </c>
      <c r="AS57" s="33">
        <f>IF(INDEX(lmic_raw[],MATCH($A57,lmic_raw[[setting]:[setting]],0), MATCH(AS$1, lmic_raw[#Headers],0))=0, INDEX(regions[], MATCH($D57, regions[[setting]:[setting]],0), MATCH(AS$1, regions[#Headers],0)),INDEX(lmic_raw[],MATCH($A57,lmic_raw[[setting]:[setting]],0), MATCH(AS$1, lmic_raw[#Headers],0)))</f>
        <v>6.1004167044676857E-2</v>
      </c>
      <c r="AT57" s="33">
        <f>IF(INDEX(lmic_raw[],MATCH($A57,lmic_raw[[setting]:[setting]],0), MATCH(AT$1, lmic_raw[#Headers],0))=0, INDEX(regions[], MATCH($D57, regions[[setting]:[setting]],0), MATCH(AT$1, regions[#Headers],0)),INDEX(lmic_raw[],MATCH($A57,lmic_raw[[setting]:[setting]],0), MATCH(AT$1, lmic_raw[#Headers],0)))</f>
        <v>8.9419563865003923E-2</v>
      </c>
      <c r="AU57" s="33">
        <f>IF(INDEX(lmic_raw[],MATCH($A57,lmic_raw[[setting]:[setting]],0), MATCH(AU$1, lmic_raw[#Headers],0))=0, INDEX(regions[], MATCH($D57, regions[[setting]:[setting]],0), MATCH(AU$1, regions[#Headers],0)),INDEX(lmic_raw[],MATCH($A57,lmic_raw[[setting]:[setting]],0), MATCH(AU$1, lmic_raw[#Headers],0)))</f>
        <v>0.12285940751319926</v>
      </c>
      <c r="AV57" s="33">
        <f>IF(INDEX(lmic_raw[],MATCH($A57,lmic_raw[[setting]:[setting]],0), MATCH(AV$1, lmic_raw[#Headers],0))=0, INDEX(regions[], MATCH($D57, regions[[setting]:[setting]],0), MATCH(AV$1, regions[#Headers],0)),INDEX(lmic_raw[],MATCH($A57,lmic_raw[[setting]:[setting]],0), MATCH(AV$1, lmic_raw[#Headers],0)))</f>
        <v>0.1523510213088739</v>
      </c>
      <c r="AW57" s="33">
        <f>IF(INDEX(lmic_raw[],MATCH($A57,lmic_raw[[setting]:[setting]],0), MATCH(AW$1, lmic_raw[#Headers],0))=0, INDEX(regions[], MATCH($D57, regions[[setting]:[setting]],0), MATCH(AW$1, regions[#Headers],0)),INDEX(lmic_raw[],MATCH($A57,lmic_raw[[setting]:[setting]],0), MATCH(AW$1, lmic_raw[#Headers],0)))</f>
        <v>0.17417010285041848</v>
      </c>
      <c r="AX57" s="33">
        <f>IF(INDEX(lmic_raw[],MATCH($A57,lmic_raw[[setting]:[setting]],0), MATCH(AX$1, lmic_raw[#Headers],0))=0, INDEX(regions[], MATCH($D57, regions[[setting]:[setting]],0), MATCH(AX$1, regions[#Headers],0)),INDEX(lmic_raw[],MATCH($A57,lmic_raw[[setting]:[setting]],0), MATCH(AX$1, lmic_raw[#Headers],0)))</f>
        <v>71.409000000000006</v>
      </c>
      <c r="AY57" s="33" t="str">
        <f>IF(VLOOKUP($A57,lmic_raw[],11,FALSE)=0, "Yes", "No")</f>
        <v>No</v>
      </c>
    </row>
    <row r="58" spans="1:51" x14ac:dyDescent="0.25">
      <c r="A58" s="82" t="s">
        <v>195</v>
      </c>
      <c r="B58" s="101" t="s">
        <v>440</v>
      </c>
      <c r="C58" s="102">
        <v>364</v>
      </c>
      <c r="D58" s="82" t="s">
        <v>673</v>
      </c>
      <c r="E58" s="82" t="s">
        <v>579</v>
      </c>
      <c r="F58" s="82" t="s">
        <v>579</v>
      </c>
      <c r="G58" s="82" t="s">
        <v>676</v>
      </c>
      <c r="H58" s="33">
        <f>IF(INDEX(lmic_raw[],MATCH($A58,lmic_raw[[setting]:[setting]],0), MATCH(H$1, lmic_raw[#Headers],0))=0, INDEX(regions[], MATCH($D58, regions[[setting]:[setting]],0), MATCH(H$1, regions[#Headers],0)),INDEX(lmic_raw[],MATCH($A58,lmic_raw[[setting]:[setting]],0), MATCH(H$1, lmic_raw[#Headers],0)))</f>
        <v>82913893</v>
      </c>
      <c r="I58" s="33">
        <f>IF(INDEX(lmic_raw[],MATCH($A58,lmic_raw[[setting]:[setting]],0), MATCH(I$1, lmic_raw[#Headers],0))=0, INDEX(regions[], MATCH($D58, regions[[setting]:[setting]],0), MATCH(I$1, regions[#Headers],0)),INDEX(lmic_raw[],MATCH($A58,lmic_raw[[setting]:[setting]],0), MATCH(I$1, lmic_raw[#Headers],0)))</f>
        <v>1583406.6146210001</v>
      </c>
      <c r="J58" s="33">
        <f>IF(INDEX(lmic_raw[],MATCH($A58,lmic_raw[[setting]:[setting]],0), MATCH(J$1, lmic_raw[#Headers],0))=0, INDEX(regions[], MATCH($D58, regions[[setting]:[setting]],0), MATCH(J$1, regions[#Headers],0)),INDEX(lmic_raw[],MATCH($A58,lmic_raw[[setting]:[setting]],0), MATCH(J$1, lmic_raw[#Headers],0)))</f>
        <v>0.95299999999999996</v>
      </c>
      <c r="K58" s="33">
        <f>IF(INDEX(lmic_raw[],MATCH($A58,lmic_raw[[setting]:[setting]],0), MATCH(K$1, lmic_raw[#Headers],0))=0, INDEX(regions[], MATCH($D58, regions[[setting]:[setting]],0), MATCH(K$1, regions[#Headers],0)),INDEX(lmic_raw[],MATCH($A58,lmic_raw[[setting]:[setting]],0), MATCH(K$1, lmic_raw[#Headers],0)))</f>
        <v>0.95</v>
      </c>
      <c r="L58" s="33">
        <f>IF(INDEX(lmic_raw[],MATCH($A58,lmic_raw[[setting]:[setting]],0), MATCH(L$1, lmic_raw[#Headers],0))=0, INDEX(regions[], MATCH($D58, regions[[setting]:[setting]],0), MATCH(L$1, regions[#Headers],0)),INDEX(lmic_raw[],MATCH($A58,lmic_raw[[setting]:[setting]],0), MATCH(L$1, lmic_raw[#Headers],0)))</f>
        <v>0.99</v>
      </c>
      <c r="M58" s="33">
        <f>IF(INDEX(lmic_raw[],MATCH($A58,lmic_raw[[setting]:[setting]],0), MATCH(M$1, lmic_raw[#Headers],0))=0, INDEX(regions[], MATCH($D58, regions[[setting]:[setting]],0), MATCH(M$1, regions[#Headers],0)),INDEX(lmic_raw[],MATCH($A58,lmic_raw[[setting]:[setting]],0), MATCH(M$1, lmic_raw[#Headers],0)))</f>
        <v>1.5E-3</v>
      </c>
      <c r="N58" s="33">
        <f>IF(INDEX(lmic_raw[],MATCH($A58,lmic_raw[[setting]:[setting]],0), MATCH(N$1, lmic_raw[#Headers],0))=0, INDEX(regions[], MATCH($D58, regions[[setting]:[setting]],0), MATCH(N$1, regions[#Headers],0)),INDEX(lmic_raw[],MATCH($A58,lmic_raw[[setting]:[setting]],0), MATCH(N$1, lmic_raw[#Headers],0)))</f>
        <v>0.25455968916822264</v>
      </c>
      <c r="O58" s="33">
        <f>IF(INDEX(lmic_raw[],MATCH($A58,lmic_raw[[setting]:[setting]],0), MATCH(O$1, lmic_raw[#Headers],0))=0, INDEX(regions[], MATCH($D58, regions[[setting]:[setting]],0), MATCH(O$1, regions[#Headers],0)),INDEX(lmic_raw[],MATCH($A58,lmic_raw[[setting]:[setting]],0), MATCH(O$1, lmic_raw[#Headers],0)))</f>
        <v>0.8</v>
      </c>
      <c r="P58" s="33">
        <f>IF(INDEX(lmic_raw[],MATCH($A58,lmic_raw[[setting]:[setting]],0), MATCH(P$1, lmic_raw[#Headers],0))=0, INDEX(regions[], MATCH($D58, regions[[setting]:[setting]],0), MATCH(P$1, regions[#Headers],0)),INDEX(lmic_raw[],MATCH($A58,lmic_raw[[setting]:[setting]],0), MATCH(P$1, lmic_raw[#Headers],0)))</f>
        <v>0.17499999999999999</v>
      </c>
      <c r="Q58" s="33">
        <f>IF(INDEX(lmic_raw[],MATCH($A58,lmic_raw[[setting]:[setting]],0), MATCH(Q$1, lmic_raw[#Headers],0))=0, INDEX(regions[], MATCH($D58, regions[[setting]:[setting]],0), MATCH(Q$1, regions[#Headers],0)),INDEX(lmic_raw[],MATCH($A58,lmic_raw[[setting]:[setting]],0), MATCH(Q$1, lmic_raw[#Headers],0)))</f>
        <v>10.515575433981278</v>
      </c>
      <c r="R58" s="33">
        <f>IF(INDEX(lmic_raw[],MATCH($A58,lmic_raw[[setting]:[setting]],0), MATCH(R$1, lmic_raw[#Headers],0))=0, INDEX(regions[], MATCH($D58, regions[[setting]:[setting]],0), MATCH(R$1, regions[#Headers],0)),INDEX(lmic_raw[],MATCH($A58,lmic_raw[[setting]:[setting]],0), MATCH(R$1, lmic_raw[#Headers],0)))</f>
        <v>46.335900000000002</v>
      </c>
      <c r="S58" s="33">
        <f>IF(INDEX(lmic_raw[],MATCH($A58,lmic_raw[[setting]:[setting]],0), MATCH(S$1, lmic_raw[#Headers],0))=0, INDEX(regions[], MATCH($D58, regions[[setting]:[setting]],0), MATCH(S$1, regions[#Headers],0)),INDEX(lmic_raw[],MATCH($A58,lmic_raw[[setting]:[setting]],0), MATCH(S$1, lmic_raw[#Headers],0)))</f>
        <v>94.077900000000014</v>
      </c>
      <c r="T58" s="33">
        <f>IF(INDEX(lmic_raw[],MATCH($A58,lmic_raw[[setting]:[setting]],0), MATCH(T$1, lmic_raw[#Headers],0))=0, INDEX(regions[], MATCH($D58, regions[[setting]:[setting]],0), MATCH(T$1, regions[#Headers],0)),INDEX(lmic_raw[],MATCH($A58,lmic_raw[[setting]:[setting]],0), MATCH(T$1, lmic_raw[#Headers],0)))</f>
        <v>94.077900000000014</v>
      </c>
      <c r="U58" s="33">
        <f>IF(INDEX(lmic_raw[],MATCH($A58,lmic_raw[[setting]:[setting]],0), MATCH(U$1, lmic_raw[#Headers],0))=0, INDEX(regions[], MATCH($D58, regions[[setting]:[setting]],0), MATCH(U$1, regions[#Headers],0)),INDEX(lmic_raw[],MATCH($A58,lmic_raw[[setting]:[setting]],0), MATCH(U$1, lmic_raw[#Headers],0)))</f>
        <v>94.077900000000014</v>
      </c>
      <c r="V58" s="33">
        <f>IF(INDEX(lmic_raw[],MATCH($A58,lmic_raw[[setting]:[setting]],0), MATCH(V$1, lmic_raw[#Headers],0))=0, INDEX(regions[], MATCH($D58, regions[[setting]:[setting]],0), MATCH(V$1, regions[#Headers],0)),INDEX(lmic_raw[],MATCH($A58,lmic_raw[[setting]:[setting]],0), MATCH(V$1, lmic_raw[#Headers],0)))</f>
        <v>3.6777708232529673</v>
      </c>
      <c r="W58" s="33">
        <f>IF(INDEX(lmic_raw[],MATCH($A58,lmic_raw[[setting]:[setting]],0), MATCH(W$1, lmic_raw[#Headers],0))=0, INDEX(regions[], MATCH($D58, regions[[setting]:[setting]],0), MATCH(W$1, regions[#Headers],0)),INDEX(lmic_raw[],MATCH($A58,lmic_raw[[setting]:[setting]],0), MATCH(W$1, lmic_raw[#Headers],0)))</f>
        <v>4.1577708232529673</v>
      </c>
      <c r="X58" s="33">
        <f>IF(INDEX(lmic_raw[],MATCH($A58,lmic_raw[[setting]:[setting]],0), MATCH(X$1, lmic_raw[#Headers],0))=0, INDEX(regions[], MATCH($D58, regions[[setting]:[setting]],0), MATCH(X$1, regions[#Headers],0)),INDEX(lmic_raw[],MATCH($A58,lmic_raw[[setting]:[setting]],0), MATCH(X$1, lmic_raw[#Headers],0)))</f>
        <v>3.2407638872774243</v>
      </c>
      <c r="Y58" s="33">
        <f>IF(INDEX(lmic_raw[],MATCH($A58,lmic_raw[[setting]:[setting]],0), MATCH(Y$1, lmic_raw[#Headers],0))=0, INDEX(regions[], MATCH($D58, regions[[setting]:[setting]],0), MATCH(Y$1, regions[#Headers],0)),INDEX(lmic_raw[],MATCH($A58,lmic_raw[[setting]:[setting]],0), MATCH(Y$1, lmic_raw[#Headers],0)))</f>
        <v>3.7207638872774242</v>
      </c>
      <c r="Z58" s="33">
        <f>IF(INDEX(lmic_raw[],MATCH($A58,lmic_raw[[setting]:[setting]],0), MATCH(Z$1, lmic_raw[#Headers],0))=0, INDEX(regions[], MATCH($D58, regions[[setting]:[setting]],0), MATCH(Z$1, regions[#Headers],0)),INDEX(lmic_raw[],MATCH($A58,lmic_raw[[setting]:[setting]],0), MATCH(Z$1, lmic_raw[#Headers],0)))</f>
        <v>3.7123621299776706</v>
      </c>
      <c r="AA58" s="33">
        <f>IF(INDEX(lmic_raw[],MATCH($A58,lmic_raw[[setting]:[setting]],0), MATCH(AA$1, lmic_raw[#Headers],0))=0, INDEX(regions[], MATCH($D58, regions[[setting]:[setting]],0), MATCH(AA$1, regions[#Headers],0)),INDEX(lmic_raw[],MATCH($A58,lmic_raw[[setting]:[setting]],0), MATCH(AA$1, lmic_raw[#Headers],0)))</f>
        <v>3.9235226201767337</v>
      </c>
      <c r="AB58" s="33">
        <f>IF(INDEX(lmic_raw[],MATCH($A58,lmic_raw[[setting]:[setting]],0), MATCH(AB$1, lmic_raw[#Headers],0))=0, INDEX(regions[], MATCH($D58, regions[[setting]:[setting]],0), MATCH(AB$1, regions[#Headers],0)),INDEX(lmic_raw[],MATCH($A58,lmic_raw[[setting]:[setting]],0), MATCH(AB$1, lmic_raw[#Headers],0)))</f>
        <v>4.4035226201767337</v>
      </c>
      <c r="AC58" s="33">
        <f>IF(INDEX(lmic_raw[],MATCH($A58,lmic_raw[[setting]:[setting]],0), MATCH(AC$1, lmic_raw[#Headers],0))=0, INDEX(regions[], MATCH($D58, regions[[setting]:[setting]],0), MATCH(AC$1, regions[#Headers],0)),INDEX(lmic_raw[],MATCH($A58,lmic_raw[[setting]:[setting]],0), MATCH(AC$1, lmic_raw[#Headers],0)))</f>
        <v>1.2817449999999954E-2</v>
      </c>
      <c r="AD58" s="33">
        <f>IF(INDEX(lmic_raw[],MATCH($A58,lmic_raw[[setting]:[setting]],0), MATCH(AD$1, lmic_raw[#Headers],0))=0, INDEX(regions[], MATCH($D58, regions[[setting]:[setting]],0), MATCH(AD$1, regions[#Headers],0)),INDEX(lmic_raw[],MATCH($A58,lmic_raw[[setting]:[setting]],0), MATCH(AD$1, lmic_raw[#Headers],0)))</f>
        <v>5.3182159672496157E-4</v>
      </c>
      <c r="AE58" s="33">
        <f>IF(INDEX(lmic_raw[],MATCH($A58,lmic_raw[[setting]:[setting]],0), MATCH(AE$1, lmic_raw[#Headers],0))=0, INDEX(regions[], MATCH($D58, regions[[setting]:[setting]],0), MATCH(AE$1, regions[#Headers],0)),INDEX(lmic_raw[],MATCH($A58,lmic_raw[[setting]:[setting]],0), MATCH(AE$1, lmic_raw[#Headers],0)))</f>
        <v>1.7592028558257154E-4</v>
      </c>
      <c r="AF58" s="33">
        <f>IF(INDEX(lmic_raw[],MATCH($A58,lmic_raw[[setting]:[setting]],0), MATCH(AF$1, lmic_raw[#Headers],0))=0, INDEX(regions[], MATCH($D58, regions[[setting]:[setting]],0), MATCH(AF$1, regions[#Headers],0)),INDEX(lmic_raw[],MATCH($A58,lmic_raw[[setting]:[setting]],0), MATCH(AF$1, lmic_raw[#Headers],0)))</f>
        <v>1.9594478265212644E-4</v>
      </c>
      <c r="AG58" s="33">
        <f>IF(INDEX(lmic_raw[],MATCH($A58,lmic_raw[[setting]:[setting]],0), MATCH(AG$1, lmic_raw[#Headers],0))=0, INDEX(regions[], MATCH($D58, regions[[setting]:[setting]],0), MATCH(AG$1, regions[#Headers],0)),INDEX(lmic_raw[],MATCH($A58,lmic_raw[[setting]:[setting]],0), MATCH(AG$1, lmic_raw[#Headers],0)))</f>
        <v>4.2671877566580852E-4</v>
      </c>
      <c r="AH58" s="33">
        <f>IF(INDEX(lmic_raw[],MATCH($A58,lmic_raw[[setting]:[setting]],0), MATCH(AH$1, lmic_raw[#Headers],0))=0, INDEX(regions[], MATCH($D58, regions[[setting]:[setting]],0), MATCH(AH$1, regions[#Headers],0)),INDEX(lmic_raw[],MATCH($A58,lmic_raw[[setting]:[setting]],0), MATCH(AH$1, lmic_raw[#Headers],0)))</f>
        <v>7.5940989198300228E-4</v>
      </c>
      <c r="AI58" s="33">
        <f>IF(INDEX(lmic_raw[],MATCH($A58,lmic_raw[[setting]:[setting]],0), MATCH(AI$1, lmic_raw[#Headers],0))=0, INDEX(regions[], MATCH($D58, regions[[setting]:[setting]],0), MATCH(AI$1, regions[#Headers],0)),INDEX(lmic_raw[],MATCH($A58,lmic_raw[[setting]:[setting]],0), MATCH(AI$1, lmic_raw[#Headers],0)))</f>
        <v>5.9178552242656799E-4</v>
      </c>
      <c r="AJ58" s="33">
        <f>IF(INDEX(lmic_raw[],MATCH($A58,lmic_raw[[setting]:[setting]],0), MATCH(AJ$1, lmic_raw[#Headers],0))=0, INDEX(regions[], MATCH($D58, regions[[setting]:[setting]],0), MATCH(AJ$1, regions[#Headers],0)),INDEX(lmic_raw[],MATCH($A58,lmic_raw[[setting]:[setting]],0), MATCH(AJ$1, lmic_raw[#Headers],0)))</f>
        <v>6.4505960424462386E-4</v>
      </c>
      <c r="AK58" s="33">
        <f>IF(INDEX(lmic_raw[],MATCH($A58,lmic_raw[[setting]:[setting]],0), MATCH(AK$1, lmic_raw[#Headers],0))=0, INDEX(regions[], MATCH($D58, regions[[setting]:[setting]],0), MATCH(AK$1, regions[#Headers],0)),INDEX(lmic_raw[],MATCH($A58,lmic_raw[[setting]:[setting]],0), MATCH(AK$1, lmic_raw[#Headers],0)))</f>
        <v>7.0583163378969431E-4</v>
      </c>
      <c r="AL58" s="33">
        <f>IF(INDEX(lmic_raw[],MATCH($A58,lmic_raw[[setting]:[setting]],0), MATCH(AL$1, lmic_raw[#Headers],0))=0, INDEX(regions[], MATCH($D58, regions[[setting]:[setting]],0), MATCH(AL$1, regions[#Headers],0)),INDEX(lmic_raw[],MATCH($A58,lmic_raw[[setting]:[setting]],0), MATCH(AL$1, lmic_raw[#Headers],0)))</f>
        <v>1.0396719641485451E-3</v>
      </c>
      <c r="AM58" s="33">
        <f>IF(INDEX(lmic_raw[],MATCH($A58,lmic_raw[[setting]:[setting]],0), MATCH(AM$1, lmic_raw[#Headers],0))=0, INDEX(regions[], MATCH($D58, regions[[setting]:[setting]],0), MATCH(AM$1, regions[#Headers],0)),INDEX(lmic_raw[],MATCH($A58,lmic_raw[[setting]:[setting]],0), MATCH(AM$1, lmic_raw[#Headers],0)))</f>
        <v>1.7397054894052362E-3</v>
      </c>
      <c r="AN58" s="33">
        <f>IF(INDEX(lmic_raw[],MATCH($A58,lmic_raw[[setting]:[setting]],0), MATCH(AN$1, lmic_raw[#Headers],0))=0, INDEX(regions[], MATCH($D58, regions[[setting]:[setting]],0), MATCH(AN$1, regions[#Headers],0)),INDEX(lmic_raw[],MATCH($A58,lmic_raw[[setting]:[setting]],0), MATCH(AN$1, lmic_raw[#Headers],0)))</f>
        <v>3.2391255839095967E-3</v>
      </c>
      <c r="AO58" s="33">
        <f>IF(INDEX(lmic_raw[],MATCH($A58,lmic_raw[[setting]:[setting]],0), MATCH(AO$1, lmic_raw[#Headers],0))=0, INDEX(regions[], MATCH($D58, regions[[setting]:[setting]],0), MATCH(AO$1, regions[#Headers],0)),INDEX(lmic_raw[],MATCH($A58,lmic_raw[[setting]:[setting]],0), MATCH(AO$1, lmic_raw[#Headers],0)))</f>
        <v>4.7982650573979374E-3</v>
      </c>
      <c r="AP58" s="33">
        <f>IF(INDEX(lmic_raw[],MATCH($A58,lmic_raw[[setting]:[setting]],0), MATCH(AP$1, lmic_raw[#Headers],0))=0, INDEX(regions[], MATCH($D58, regions[[setting]:[setting]],0), MATCH(AP$1, regions[#Headers],0)),INDEX(lmic_raw[],MATCH($A58,lmic_raw[[setting]:[setting]],0), MATCH(AP$1, lmic_raw[#Headers],0)))</f>
        <v>8.8699861339129743E-3</v>
      </c>
      <c r="AQ58" s="33">
        <f>IF(INDEX(lmic_raw[],MATCH($A58,lmic_raw[[setting]:[setting]],0), MATCH(AQ$1, lmic_raw[#Headers],0))=0, INDEX(regions[], MATCH($D58, regions[[setting]:[setting]],0), MATCH(AQ$1, regions[#Headers],0)),INDEX(lmic_raw[],MATCH($A58,lmic_raw[[setting]:[setting]],0), MATCH(AQ$1, lmic_raw[#Headers],0)))</f>
        <v>1.6162894890085929E-2</v>
      </c>
      <c r="AR58" s="33">
        <f>IF(INDEX(lmic_raw[],MATCH($A58,lmic_raw[[setting]:[setting]],0), MATCH(AR$1, lmic_raw[#Headers],0))=0, INDEX(regions[], MATCH($D58, regions[[setting]:[setting]],0), MATCH(AR$1, regions[#Headers],0)),INDEX(lmic_raw[],MATCH($A58,lmic_raw[[setting]:[setting]],0), MATCH(AR$1, lmic_raw[#Headers],0)))</f>
        <v>3.2220010103701673E-2</v>
      </c>
      <c r="AS58" s="33">
        <f>IF(INDEX(lmic_raw[],MATCH($A58,lmic_raw[[setting]:[setting]],0), MATCH(AS$1, lmic_raw[#Headers],0))=0, INDEX(regions[], MATCH($D58, regions[[setting]:[setting]],0), MATCH(AS$1, regions[#Headers],0)),INDEX(lmic_raw[],MATCH($A58,lmic_raw[[setting]:[setting]],0), MATCH(AS$1, lmic_raw[#Headers],0)))</f>
        <v>6.4028553202138627E-2</v>
      </c>
      <c r="AT58" s="33">
        <f>IF(INDEX(lmic_raw[],MATCH($A58,lmic_raw[[setting]:[setting]],0), MATCH(AT$1, lmic_raw[#Headers],0))=0, INDEX(regions[], MATCH($D58, regions[[setting]:[setting]],0), MATCH(AT$1, regions[#Headers],0)),INDEX(lmic_raw[],MATCH($A58,lmic_raw[[setting]:[setting]],0), MATCH(AT$1, lmic_raw[#Headers],0)))</f>
        <v>9.215112094519777E-2</v>
      </c>
      <c r="AU58" s="33">
        <f>IF(INDEX(lmic_raw[],MATCH($A58,lmic_raw[[setting]:[setting]],0), MATCH(AU$1, lmic_raw[#Headers],0))=0, INDEX(regions[], MATCH($D58, regions[[setting]:[setting]],0), MATCH(AU$1, regions[#Headers],0)),INDEX(lmic_raw[],MATCH($A58,lmic_raw[[setting]:[setting]],0), MATCH(AU$1, lmic_raw[#Headers],0)))</f>
        <v>0.12562970555941547</v>
      </c>
      <c r="AV58" s="33">
        <f>IF(INDEX(lmic_raw[],MATCH($A58,lmic_raw[[setting]:[setting]],0), MATCH(AV$1, lmic_raw[#Headers],0))=0, INDEX(regions[], MATCH($D58, regions[[setting]:[setting]],0), MATCH(AV$1, regions[#Headers],0)),INDEX(lmic_raw[],MATCH($A58,lmic_raw[[setting]:[setting]],0), MATCH(AV$1, lmic_raw[#Headers],0)))</f>
        <v>0.1577032486213901</v>
      </c>
      <c r="AW58" s="33">
        <f>IF(INDEX(lmic_raw[],MATCH($A58,lmic_raw[[setting]:[setting]],0), MATCH(AW$1, lmic_raw[#Headers],0))=0, INDEX(regions[], MATCH($D58, regions[[setting]:[setting]],0), MATCH(AW$1, regions[#Headers],0)),INDEX(lmic_raw[],MATCH($A58,lmic_raw[[setting]:[setting]],0), MATCH(AW$1, lmic_raw[#Headers],0)))</f>
        <v>0.17881396894351279</v>
      </c>
      <c r="AX58" s="33">
        <f>IF(INDEX(lmic_raw[],MATCH($A58,lmic_raw[[setting]:[setting]],0), MATCH(AX$1, lmic_raw[#Headers],0))=0, INDEX(regions[], MATCH($D58, regions[[setting]:[setting]],0), MATCH(AX$1, regions[#Headers],0)),INDEX(lmic_raw[],MATCH($A58,lmic_raw[[setting]:[setting]],0), MATCH(AX$1, lmic_raw[#Headers],0)))</f>
        <v>76.346000000000004</v>
      </c>
      <c r="AY58" s="33" t="str">
        <f>IF(VLOOKUP($A58,lmic_raw[],11,FALSE)=0, "Yes", "No")</f>
        <v>No</v>
      </c>
    </row>
    <row r="59" spans="1:51" x14ac:dyDescent="0.25">
      <c r="A59" s="110" t="s">
        <v>170</v>
      </c>
      <c r="B59" s="104" t="s">
        <v>441</v>
      </c>
      <c r="C59" s="105">
        <v>368</v>
      </c>
      <c r="D59" s="84" t="s">
        <v>673</v>
      </c>
      <c r="E59" s="84" t="s">
        <v>579</v>
      </c>
      <c r="F59" s="84" t="s">
        <v>579</v>
      </c>
      <c r="G59" s="84" t="s">
        <v>676</v>
      </c>
      <c r="H59" s="33">
        <f>IF(INDEX(lmic_raw[],MATCH($A59,lmic_raw[[setting]:[setting]],0), MATCH(H$1, lmic_raw[#Headers],0))=0, INDEX(regions[], MATCH($D59, regions[[setting]:[setting]],0), MATCH(H$1, regions[#Headers],0)),INDEX(lmic_raw[],MATCH($A59,lmic_raw[[setting]:[setting]],0), MATCH(H$1, lmic_raw[#Headers],0)))</f>
        <v>39309789</v>
      </c>
      <c r="I59" s="33">
        <f>IF(INDEX(lmic_raw[],MATCH($A59,lmic_raw[[setting]:[setting]],0), MATCH(I$1, lmic_raw[#Headers],0))=0, INDEX(regions[], MATCH($D59, regions[[setting]:[setting]],0), MATCH(I$1, regions[#Headers],0)),INDEX(lmic_raw[],MATCH($A59,lmic_raw[[setting]:[setting]],0), MATCH(I$1, lmic_raw[#Headers],0)))</f>
        <v>1145133.4633589999</v>
      </c>
      <c r="J59" s="33">
        <f>IF(INDEX(lmic_raw[],MATCH($A59,lmic_raw[[setting]:[setting]],0), MATCH(J$1, lmic_raw[#Headers],0))=0, INDEX(regions[], MATCH($D59, regions[[setting]:[setting]],0), MATCH(J$1, regions[#Headers],0)),INDEX(lmic_raw[],MATCH($A59,lmic_raw[[setting]:[setting]],0), MATCH(J$1, lmic_raw[#Headers],0)))</f>
        <v>0.86599999999999999</v>
      </c>
      <c r="K59" s="33">
        <f>IF(INDEX(lmic_raw[],MATCH($A59,lmic_raw[[setting]:[setting]],0), MATCH(K$1, lmic_raw[#Headers],0))=0, INDEX(regions[], MATCH($D59, regions[[setting]:[setting]],0), MATCH(K$1, regions[#Headers],0)),INDEX(lmic_raw[],MATCH($A59,lmic_raw[[setting]:[setting]],0), MATCH(K$1, lmic_raw[#Headers],0)))</f>
        <v>0.41</v>
      </c>
      <c r="L59" s="33">
        <f>IF(INDEX(lmic_raw[],MATCH($A59,lmic_raw[[setting]:[setting]],0), MATCH(L$1, lmic_raw[#Headers],0))=0, INDEX(regions[], MATCH($D59, regions[[setting]:[setting]],0), MATCH(L$1, regions[#Headers],0)),INDEX(lmic_raw[],MATCH($A59,lmic_raw[[setting]:[setting]],0), MATCH(L$1, lmic_raw[#Headers],0)))</f>
        <v>0.84</v>
      </c>
      <c r="M59" s="33">
        <f>IF(INDEX(lmic_raw[],MATCH($A59,lmic_raw[[setting]:[setting]],0), MATCH(M$1, lmic_raw[#Headers],0))=0, INDEX(regions[], MATCH($D59, regions[[setting]:[setting]],0), MATCH(M$1, regions[#Headers],0)),INDEX(lmic_raw[],MATCH($A59,lmic_raw[[setting]:[setting]],0), MATCH(M$1, lmic_raw[#Headers],0)))</f>
        <v>1.4000000000000002E-3</v>
      </c>
      <c r="N59" s="33">
        <f>IF(INDEX(lmic_raw[],MATCH($A59,lmic_raw[[setting]:[setting]],0), MATCH(N$1, lmic_raw[#Headers],0))=0, INDEX(regions[], MATCH($D59, regions[[setting]:[setting]],0), MATCH(N$1, regions[#Headers],0)),INDEX(lmic_raw[],MATCH($A59,lmic_raw[[setting]:[setting]],0), MATCH(N$1, lmic_raw[#Headers],0)))</f>
        <v>0.26929919897622001</v>
      </c>
      <c r="O59" s="33">
        <f>IF(INDEX(lmic_raw[],MATCH($A59,lmic_raw[[setting]:[setting]],0), MATCH(O$1, lmic_raw[#Headers],0))=0, INDEX(regions[], MATCH($D59, regions[[setting]:[setting]],0), MATCH(O$1, regions[#Headers],0)),INDEX(lmic_raw[],MATCH($A59,lmic_raw[[setting]:[setting]],0), MATCH(O$1, lmic_raw[#Headers],0)))</f>
        <v>0.8</v>
      </c>
      <c r="P59" s="33">
        <f>IF(INDEX(lmic_raw[],MATCH($A59,lmic_raw[[setting]:[setting]],0), MATCH(P$1, lmic_raw[#Headers],0))=0, INDEX(regions[], MATCH($D59, regions[[setting]:[setting]],0), MATCH(P$1, regions[#Headers],0)),INDEX(lmic_raw[],MATCH($A59,lmic_raw[[setting]:[setting]],0), MATCH(P$1, lmic_raw[#Headers],0)))</f>
        <v>0.17499999999999999</v>
      </c>
      <c r="Q59" s="33">
        <f>IF(INDEX(lmic_raw[],MATCH($A59,lmic_raw[[setting]:[setting]],0), MATCH(Q$1, lmic_raw[#Headers],0))=0, INDEX(regions[], MATCH($D59, regions[[setting]:[setting]],0), MATCH(Q$1, regions[#Headers],0)),INDEX(lmic_raw[],MATCH($A59,lmic_raw[[setting]:[setting]],0), MATCH(Q$1, lmic_raw[#Headers],0)))</f>
        <v>4.4148836529133089</v>
      </c>
      <c r="R59" s="33">
        <f>IF(INDEX(lmic_raw[],MATCH($A59,lmic_raw[[setting]:[setting]],0), MATCH(R$1, lmic_raw[#Headers],0))=0, INDEX(regions[], MATCH($D59, regions[[setting]:[setting]],0), MATCH(R$1, regions[#Headers],0)),INDEX(lmic_raw[],MATCH($A59,lmic_raw[[setting]:[setting]],0), MATCH(R$1, lmic_raw[#Headers],0)))</f>
        <v>46.335900000000002</v>
      </c>
      <c r="S59" s="33">
        <f>IF(INDEX(lmic_raw[],MATCH($A59,lmic_raw[[setting]:[setting]],0), MATCH(S$1, lmic_raw[#Headers],0))=0, INDEX(regions[], MATCH($D59, regions[[setting]:[setting]],0), MATCH(S$1, regions[#Headers],0)),INDEX(lmic_raw[],MATCH($A59,lmic_raw[[setting]:[setting]],0), MATCH(S$1, lmic_raw[#Headers],0)))</f>
        <v>94.077900000000014</v>
      </c>
      <c r="T59" s="33">
        <f>IF(INDEX(lmic_raw[],MATCH($A59,lmic_raw[[setting]:[setting]],0), MATCH(T$1, lmic_raw[#Headers],0))=0, INDEX(regions[], MATCH($D59, regions[[setting]:[setting]],0), MATCH(T$1, regions[#Headers],0)),INDEX(lmic_raw[],MATCH($A59,lmic_raw[[setting]:[setting]],0), MATCH(T$1, lmic_raw[#Headers],0)))</f>
        <v>94.077900000000014</v>
      </c>
      <c r="U59" s="33">
        <f>IF(INDEX(lmic_raw[],MATCH($A59,lmic_raw[[setting]:[setting]],0), MATCH(U$1, lmic_raw[#Headers],0))=0, INDEX(regions[], MATCH($D59, regions[[setting]:[setting]],0), MATCH(U$1, regions[#Headers],0)),INDEX(lmic_raw[],MATCH($A59,lmic_raw[[setting]:[setting]],0), MATCH(U$1, lmic_raw[#Headers],0)))</f>
        <v>94.077900000000014</v>
      </c>
      <c r="V59" s="33">
        <f>IF(INDEX(lmic_raw[],MATCH($A59,lmic_raw[[setting]:[setting]],0), MATCH(V$1, lmic_raw[#Headers],0))=0, INDEX(regions[], MATCH($D59, regions[[setting]:[setting]],0), MATCH(V$1, regions[#Headers],0)),INDEX(lmic_raw[],MATCH($A59,lmic_raw[[setting]:[setting]],0), MATCH(V$1, lmic_raw[#Headers],0)))</f>
        <v>2.9554915896649456</v>
      </c>
      <c r="W59" s="33">
        <f>IF(INDEX(lmic_raw[],MATCH($A59,lmic_raw[[setting]:[setting]],0), MATCH(W$1, lmic_raw[#Headers],0))=0, INDEX(regions[], MATCH($D59, regions[[setting]:[setting]],0), MATCH(W$1, regions[#Headers],0)),INDEX(lmic_raw[],MATCH($A59,lmic_raw[[setting]:[setting]],0), MATCH(W$1, lmic_raw[#Headers],0)))</f>
        <v>3.4354915896649456</v>
      </c>
      <c r="X59" s="33">
        <f>IF(INDEX(lmic_raw[],MATCH($A59,lmic_raw[[setting]:[setting]],0), MATCH(X$1, lmic_raw[#Headers],0))=0, INDEX(regions[], MATCH($D59, regions[[setting]:[setting]],0), MATCH(X$1, regions[#Headers],0)),INDEX(lmic_raw[],MATCH($A59,lmic_raw[[setting]:[setting]],0), MATCH(X$1, lmic_raw[#Headers],0)))</f>
        <v>2.5191637530015623</v>
      </c>
      <c r="Y59" s="33">
        <f>IF(INDEX(lmic_raw[],MATCH($A59,lmic_raw[[setting]:[setting]],0), MATCH(Y$1, lmic_raw[#Headers],0))=0, INDEX(regions[], MATCH($D59, regions[[setting]:[setting]],0), MATCH(Y$1, regions[#Headers],0)),INDEX(lmic_raw[],MATCH($A59,lmic_raw[[setting]:[setting]],0), MATCH(Y$1, lmic_raw[#Headers],0)))</f>
        <v>2.9991637530015622</v>
      </c>
      <c r="Z59" s="33">
        <f>IF(INDEX(lmic_raw[],MATCH($A59,lmic_raw[[setting]:[setting]],0), MATCH(Z$1, lmic_raw[#Headers],0))=0, INDEX(regions[], MATCH($D59, regions[[setting]:[setting]],0), MATCH(Z$1, regions[#Headers],0)),INDEX(lmic_raw[],MATCH($A59,lmic_raw[[setting]:[setting]],0), MATCH(Z$1, lmic_raw[#Headers],0)))</f>
        <v>2.9919797032442035</v>
      </c>
      <c r="AA59" s="33">
        <f>IF(INDEX(lmic_raw[],MATCH($A59,lmic_raw[[setting]:[setting]],0), MATCH(AA$1, lmic_raw[#Headers],0))=0, INDEX(regions[], MATCH($D59, regions[[setting]:[setting]],0), MATCH(AA$1, regions[#Headers],0)),INDEX(lmic_raw[],MATCH($A59,lmic_raw[[setting]:[setting]],0), MATCH(AA$1, lmic_raw[#Headers],0)))</f>
        <v>3.200998594976189</v>
      </c>
      <c r="AB59" s="33">
        <f>IF(INDEX(lmic_raw[],MATCH($A59,lmic_raw[[setting]:[setting]],0), MATCH(AB$1, lmic_raw[#Headers],0))=0, INDEX(regions[], MATCH($D59, regions[[setting]:[setting]],0), MATCH(AB$1, regions[#Headers],0)),INDEX(lmic_raw[],MATCH($A59,lmic_raw[[setting]:[setting]],0), MATCH(AB$1, lmic_raw[#Headers],0)))</f>
        <v>3.680998594976189</v>
      </c>
      <c r="AC59" s="33">
        <f>IF(INDEX(lmic_raw[],MATCH($A59,lmic_raw[[setting]:[setting]],0), MATCH(AC$1, lmic_raw[#Headers],0))=0, INDEX(regions[], MATCH($D59, regions[[setting]:[setting]],0), MATCH(AC$1, regions[#Headers],0)),INDEX(lmic_raw[],MATCH($A59,lmic_raw[[setting]:[setting]],0), MATCH(AC$1, lmic_raw[#Headers],0)))</f>
        <v>2.4110800000000019E-2</v>
      </c>
      <c r="AD59" s="33">
        <f>IF(INDEX(lmic_raw[],MATCH($A59,lmic_raw[[setting]:[setting]],0), MATCH(AD$1, lmic_raw[#Headers],0))=0, INDEX(regions[], MATCH($D59, regions[[setting]:[setting]],0), MATCH(AD$1, regions[#Headers],0)),INDEX(lmic_raw[],MATCH($A59,lmic_raw[[setting]:[setting]],0), MATCH(AD$1, lmic_raw[#Headers],0)))</f>
        <v>1.0799817233349974E-3</v>
      </c>
      <c r="AE59" s="33">
        <f>IF(INDEX(lmic_raw[],MATCH($A59,lmic_raw[[setting]:[setting]],0), MATCH(AE$1, lmic_raw[#Headers],0))=0, INDEX(regions[], MATCH($D59, regions[[setting]:[setting]],0), MATCH(AE$1, regions[#Headers],0)),INDEX(lmic_raw[],MATCH($A59,lmic_raw[[setting]:[setting]],0), MATCH(AE$1, lmic_raw[#Headers],0)))</f>
        <v>6.7821551938492984E-4</v>
      </c>
      <c r="AF59" s="33">
        <f>IF(INDEX(lmic_raw[],MATCH($A59,lmic_raw[[setting]:[setting]],0), MATCH(AF$1, lmic_raw[#Headers],0))=0, INDEX(regions[], MATCH($D59, regions[[setting]:[setting]],0), MATCH(AF$1, regions[#Headers],0)),INDEX(lmic_raw[],MATCH($A59,lmic_raw[[setting]:[setting]],0), MATCH(AF$1, lmic_raw[#Headers],0)))</f>
        <v>5.6557849116027745E-4</v>
      </c>
      <c r="AG59" s="33">
        <f>IF(INDEX(lmic_raw[],MATCH($A59,lmic_raw[[setting]:[setting]],0), MATCH(AG$1, lmic_raw[#Headers],0))=0, INDEX(regions[], MATCH($D59, regions[[setting]:[setting]],0), MATCH(AG$1, regions[#Headers],0)),INDEX(lmic_raw[],MATCH($A59,lmic_raw[[setting]:[setting]],0), MATCH(AG$1, lmic_raw[#Headers],0)))</f>
        <v>1.0004142952082203E-3</v>
      </c>
      <c r="AH59" s="33">
        <f>IF(INDEX(lmic_raw[],MATCH($A59,lmic_raw[[setting]:[setting]],0), MATCH(AH$1, lmic_raw[#Headers],0))=0, INDEX(regions[], MATCH($D59, regions[[setting]:[setting]],0), MATCH(AH$1, regions[#Headers],0)),INDEX(lmic_raw[],MATCH($A59,lmic_raw[[setting]:[setting]],0), MATCH(AH$1, lmic_raw[#Headers],0)))</f>
        <v>1.4151251214418346E-3</v>
      </c>
      <c r="AI59" s="33">
        <f>IF(INDEX(lmic_raw[],MATCH($A59,lmic_raw[[setting]:[setting]],0), MATCH(AI$1, lmic_raw[#Headers],0))=0, INDEX(regions[], MATCH($D59, regions[[setting]:[setting]],0), MATCH(AI$1, regions[#Headers],0)),INDEX(lmic_raw[],MATCH($A59,lmic_raw[[setting]:[setting]],0), MATCH(AI$1, lmic_raw[#Headers],0)))</f>
        <v>1.5242081853088043E-3</v>
      </c>
      <c r="AJ59" s="33">
        <f>IF(INDEX(lmic_raw[],MATCH($A59,lmic_raw[[setting]:[setting]],0), MATCH(AJ$1, lmic_raw[#Headers],0))=0, INDEX(regions[], MATCH($D59, regions[[setting]:[setting]],0), MATCH(AJ$1, regions[#Headers],0)),INDEX(lmic_raw[],MATCH($A59,lmic_raw[[setting]:[setting]],0), MATCH(AJ$1, lmic_raw[#Headers],0)))</f>
        <v>1.7479123246873808E-3</v>
      </c>
      <c r="AK59" s="33">
        <f>IF(INDEX(lmic_raw[],MATCH($A59,lmic_raw[[setting]:[setting]],0), MATCH(AK$1, lmic_raw[#Headers],0))=0, INDEX(regions[], MATCH($D59, regions[[setting]:[setting]],0), MATCH(AK$1, regions[#Headers],0)),INDEX(lmic_raw[],MATCH($A59,lmic_raw[[setting]:[setting]],0), MATCH(AK$1, lmic_raw[#Headers],0)))</f>
        <v>2.2037392374316925E-3</v>
      </c>
      <c r="AL59" s="33">
        <f>IF(INDEX(lmic_raw[],MATCH($A59,lmic_raw[[setting]:[setting]],0), MATCH(AL$1, lmic_raw[#Headers],0))=0, INDEX(regions[], MATCH($D59, regions[[setting]:[setting]],0), MATCH(AL$1, regions[#Headers],0)),INDEX(lmic_raw[],MATCH($A59,lmic_raw[[setting]:[setting]],0), MATCH(AL$1, lmic_raw[#Headers],0)))</f>
        <v>3.0908236420942241E-3</v>
      </c>
      <c r="AM59" s="33">
        <f>IF(INDEX(lmic_raw[],MATCH($A59,lmic_raw[[setting]:[setting]],0), MATCH(AM$1, lmic_raw[#Headers],0))=0, INDEX(regions[], MATCH($D59, regions[[setting]:[setting]],0), MATCH(AM$1, regions[#Headers],0)),INDEX(lmic_raw[],MATCH($A59,lmic_raw[[setting]:[setting]],0), MATCH(AM$1, lmic_raw[#Headers],0)))</f>
        <v>4.6923737995915194E-3</v>
      </c>
      <c r="AN59" s="33">
        <f>IF(INDEX(lmic_raw[],MATCH($A59,lmic_raw[[setting]:[setting]],0), MATCH(AN$1, lmic_raw[#Headers],0))=0, INDEX(regions[], MATCH($D59, regions[[setting]:[setting]],0), MATCH(AN$1, regions[#Headers],0)),INDEX(lmic_raw[],MATCH($A59,lmic_raw[[setting]:[setting]],0), MATCH(AN$1, lmic_raw[#Headers],0)))</f>
        <v>7.1647330039273649E-3</v>
      </c>
      <c r="AO59" s="33">
        <f>IF(INDEX(lmic_raw[],MATCH($A59,lmic_raw[[setting]:[setting]],0), MATCH(AO$1, lmic_raw[#Headers],0))=0, INDEX(regions[], MATCH($D59, regions[[setting]:[setting]],0), MATCH(AO$1, regions[#Headers],0)),INDEX(lmic_raw[],MATCH($A59,lmic_raw[[setting]:[setting]],0), MATCH(AO$1, lmic_raw[#Headers],0)))</f>
        <v>1.1076525869839116E-2</v>
      </c>
      <c r="AP59" s="33">
        <f>IF(INDEX(lmic_raw[],MATCH($A59,lmic_raw[[setting]:[setting]],0), MATCH(AP$1, lmic_raw[#Headers],0))=0, INDEX(regions[], MATCH($D59, regions[[setting]:[setting]],0), MATCH(AP$1, regions[#Headers],0)),INDEX(lmic_raw[],MATCH($A59,lmic_raw[[setting]:[setting]],0), MATCH(AP$1, lmic_raw[#Headers],0)))</f>
        <v>1.7215447490337803E-2</v>
      </c>
      <c r="AQ59" s="33">
        <f>IF(INDEX(lmic_raw[],MATCH($A59,lmic_raw[[setting]:[setting]],0), MATCH(AQ$1, lmic_raw[#Headers],0))=0, INDEX(regions[], MATCH($D59, regions[[setting]:[setting]],0), MATCH(AQ$1, regions[#Headers],0)),INDEX(lmic_raw[],MATCH($A59,lmic_raw[[setting]:[setting]],0), MATCH(AQ$1, lmic_raw[#Headers],0)))</f>
        <v>2.7241255375288469E-2</v>
      </c>
      <c r="AR59" s="33">
        <f>IF(INDEX(lmic_raw[],MATCH($A59,lmic_raw[[setting]:[setting]],0), MATCH(AR$1, lmic_raw[#Headers],0))=0, INDEX(regions[], MATCH($D59, regions[[setting]:[setting]],0), MATCH(AR$1, regions[#Headers],0)),INDEX(lmic_raw[],MATCH($A59,lmic_raw[[setting]:[setting]],0), MATCH(AR$1, lmic_raw[#Headers],0)))</f>
        <v>4.3058974571024498E-2</v>
      </c>
      <c r="AS59" s="33">
        <f>IF(INDEX(lmic_raw[],MATCH($A59,lmic_raw[[setting]:[setting]],0), MATCH(AS$1, lmic_raw[#Headers],0))=0, INDEX(regions[], MATCH($D59, regions[[setting]:[setting]],0), MATCH(AS$1, regions[#Headers],0)),INDEX(lmic_raw[],MATCH($A59,lmic_raw[[setting]:[setting]],0), MATCH(AS$1, lmic_raw[#Headers],0)))</f>
        <v>6.5942761472422159E-2</v>
      </c>
      <c r="AT59" s="33">
        <f>IF(INDEX(lmic_raw[],MATCH($A59,lmic_raw[[setting]:[setting]],0), MATCH(AT$1, lmic_raw[#Headers],0))=0, INDEX(regions[], MATCH($D59, regions[[setting]:[setting]],0), MATCH(AT$1, regions[#Headers],0)),INDEX(lmic_raw[],MATCH($A59,lmic_raw[[setting]:[setting]],0), MATCH(AT$1, lmic_raw[#Headers],0)))</f>
        <v>9.7172606369998721E-2</v>
      </c>
      <c r="AU59" s="33">
        <f>IF(INDEX(lmic_raw[],MATCH($A59,lmic_raw[[setting]:[setting]],0), MATCH(AU$1, lmic_raw[#Headers],0))=0, INDEX(regions[], MATCH($D59, regions[[setting]:[setting]],0), MATCH(AU$1, regions[#Headers],0)),INDEX(lmic_raw[],MATCH($A59,lmic_raw[[setting]:[setting]],0), MATCH(AU$1, lmic_raw[#Headers],0)))</f>
        <v>0.13079294681675191</v>
      </c>
      <c r="AV59" s="33">
        <f>IF(INDEX(lmic_raw[],MATCH($A59,lmic_raw[[setting]:[setting]],0), MATCH(AV$1, lmic_raw[#Headers],0))=0, INDEX(regions[], MATCH($D59, regions[[setting]:[setting]],0), MATCH(AV$1, regions[#Headers],0)),INDEX(lmic_raw[],MATCH($A59,lmic_raw[[setting]:[setting]],0), MATCH(AV$1, lmic_raw[#Headers],0)))</f>
        <v>0.15974497508907906</v>
      </c>
      <c r="AW59" s="33">
        <f>IF(INDEX(lmic_raw[],MATCH($A59,lmic_raw[[setting]:[setting]],0), MATCH(AW$1, lmic_raw[#Headers],0))=0, INDEX(regions[], MATCH($D59, regions[[setting]:[setting]],0), MATCH(AW$1, regions[#Headers],0)),INDEX(lmic_raw[],MATCH($A59,lmic_raw[[setting]:[setting]],0), MATCH(AW$1, lmic_raw[#Headers],0)))</f>
        <v>0.17784872588826692</v>
      </c>
      <c r="AX59" s="33">
        <f>IF(INDEX(lmic_raw[],MATCH($A59,lmic_raw[[setting]:[setting]],0), MATCH(AX$1, lmic_raw[#Headers],0))=0, INDEX(regions[], MATCH($D59, regions[[setting]:[setting]],0), MATCH(AX$1, regions[#Headers],0)),INDEX(lmic_raw[],MATCH($A59,lmic_raw[[setting]:[setting]],0), MATCH(AX$1, lmic_raw[#Headers],0)))</f>
        <v>70.367999999999995</v>
      </c>
      <c r="AY59" s="33" t="str">
        <f>IF(VLOOKUP($A59,lmic_raw[],11,FALSE)=0, "Yes", "No")</f>
        <v>No</v>
      </c>
    </row>
    <row r="60" spans="1:51" x14ac:dyDescent="0.25">
      <c r="A60" s="109" t="s">
        <v>239</v>
      </c>
      <c r="B60" s="101" t="s">
        <v>444</v>
      </c>
      <c r="C60" s="102">
        <v>388</v>
      </c>
      <c r="D60" s="82" t="s">
        <v>679</v>
      </c>
      <c r="E60" s="82" t="s">
        <v>223</v>
      </c>
      <c r="F60" s="82" t="s">
        <v>665</v>
      </c>
      <c r="G60" s="82" t="s">
        <v>676</v>
      </c>
      <c r="H60" s="33">
        <f>IF(INDEX(lmic_raw[],MATCH($A60,lmic_raw[[setting]:[setting]],0), MATCH(H$1, lmic_raw[#Headers],0))=0, INDEX(regions[], MATCH($D60, regions[[setting]:[setting]],0), MATCH(H$1, regions[#Headers],0)),INDEX(lmic_raw[],MATCH($A60,lmic_raw[[setting]:[setting]],0), MATCH(H$1, lmic_raw[#Headers],0)))</f>
        <v>2948277</v>
      </c>
      <c r="I60" s="33">
        <f>IF(INDEX(lmic_raw[],MATCH($A60,lmic_raw[[setting]:[setting]],0), MATCH(I$1, lmic_raw[#Headers],0))=0, INDEX(regions[], MATCH($D60, regions[[setting]:[setting]],0), MATCH(I$1, regions[#Headers],0)),INDEX(lmic_raw[],MATCH($A60,lmic_raw[[setting]:[setting]],0), MATCH(I$1, lmic_raw[#Headers],0)))</f>
        <v>47847.587433000001</v>
      </c>
      <c r="J60" s="33">
        <f>IF(INDEX(lmic_raw[],MATCH($A60,lmic_raw[[setting]:[setting]],0), MATCH(J$1, lmic_raw[#Headers],0))=0, INDEX(regions[], MATCH($D60, regions[[setting]:[setting]],0), MATCH(J$1, regions[#Headers],0)),INDEX(lmic_raw[],MATCH($A60,lmic_raw[[setting]:[setting]],0), MATCH(J$1, lmic_raw[#Headers],0)))</f>
        <v>0.98599999999999999</v>
      </c>
      <c r="K60" s="33">
        <f>IF(INDEX(lmic_raw[],MATCH($A60,lmic_raw[[setting]:[setting]],0), MATCH(K$1, lmic_raw[#Headers],0))=0, INDEX(regions[], MATCH($D60, regions[[setting]:[setting]],0), MATCH(K$1, regions[#Headers],0)),INDEX(lmic_raw[],MATCH($A60,lmic_raw[[setting]:[setting]],0), MATCH(K$1, lmic_raw[#Headers],0)))</f>
        <v>0.74567750031159119</v>
      </c>
      <c r="L60" s="33">
        <f>IF(INDEX(lmic_raw[],MATCH($A60,lmic_raw[[setting]:[setting]],0), MATCH(L$1, lmic_raw[#Headers],0))=0, INDEX(regions[], MATCH($D60, regions[[setting]:[setting]],0), MATCH(L$1, regions[#Headers],0)),INDEX(lmic_raw[],MATCH($A60,lmic_raw[[setting]:[setting]],0), MATCH(L$1, lmic_raw[#Headers],0)))</f>
        <v>0.96</v>
      </c>
      <c r="M60" s="33">
        <f>IF(INDEX(lmic_raw[],MATCH($A60,lmic_raw[[setting]:[setting]],0), MATCH(M$1, lmic_raw[#Headers],0))=0, INDEX(regions[], MATCH($D60, regions[[setting]:[setting]],0), MATCH(M$1, regions[#Headers],0)),INDEX(lmic_raw[],MATCH($A60,lmic_raw[[setting]:[setting]],0), MATCH(M$1, lmic_raw[#Headers],0)))</f>
        <v>4.8999999999999998E-3</v>
      </c>
      <c r="N60" s="33">
        <f>IF(INDEX(lmic_raw[],MATCH($A60,lmic_raw[[setting]:[setting]],0), MATCH(N$1, lmic_raw[#Headers],0))=0, INDEX(regions[], MATCH($D60, regions[[setting]:[setting]],0), MATCH(N$1, regions[#Headers],0)),INDEX(lmic_raw[],MATCH($A60,lmic_raw[[setting]:[setting]],0), MATCH(N$1, lmic_raw[#Headers],0)))</f>
        <v>0.307859973382413</v>
      </c>
      <c r="O60" s="33">
        <f>IF(INDEX(lmic_raw[],MATCH($A60,lmic_raw[[setting]:[setting]],0), MATCH(O$1, lmic_raw[#Headers],0))=0, INDEX(regions[], MATCH($D60, regions[[setting]:[setting]],0), MATCH(O$1, regions[#Headers],0)),INDEX(lmic_raw[],MATCH($A60,lmic_raw[[setting]:[setting]],0), MATCH(O$1, lmic_raw[#Headers],0)))</f>
        <v>0.8</v>
      </c>
      <c r="P60" s="33">
        <f>IF(INDEX(lmic_raw[],MATCH($A60,lmic_raw[[setting]:[setting]],0), MATCH(P$1, lmic_raw[#Headers],0))=0, INDEX(regions[], MATCH($D60, regions[[setting]:[setting]],0), MATCH(P$1, regions[#Headers],0)),INDEX(lmic_raw[],MATCH($A60,lmic_raw[[setting]:[setting]],0), MATCH(P$1, lmic_raw[#Headers],0)))</f>
        <v>0.17499999999999999</v>
      </c>
      <c r="Q60" s="33">
        <f>IF(INDEX(lmic_raw[],MATCH($A60,lmic_raw[[setting]:[setting]],0), MATCH(Q$1, lmic_raw[#Headers],0))=0, INDEX(regions[], MATCH($D60, regions[[setting]:[setting]],0), MATCH(Q$1, regions[#Headers],0)),INDEX(lmic_raw[],MATCH($A60,lmic_raw[[setting]:[setting]],0), MATCH(Q$1, lmic_raw[#Headers],0)))</f>
        <v>9.4592299699442179</v>
      </c>
      <c r="R60" s="33">
        <f>IF(INDEX(lmic_raw[],MATCH($A60,lmic_raw[[setting]:[setting]],0), MATCH(R$1, lmic_raw[#Headers],0))=0, INDEX(regions[], MATCH($D60, regions[[setting]:[setting]],0), MATCH(R$1, regions[#Headers],0)),INDEX(lmic_raw[],MATCH($A60,lmic_raw[[setting]:[setting]],0), MATCH(R$1, lmic_raw[#Headers],0)))</f>
        <v>86.883899999999997</v>
      </c>
      <c r="S60" s="33">
        <f>IF(INDEX(lmic_raw[],MATCH($A60,lmic_raw[[setting]:[setting]],0), MATCH(S$1, lmic_raw[#Headers],0))=0, INDEX(regions[], MATCH($D60, regions[[setting]:[setting]],0), MATCH(S$1, regions[#Headers],0)),INDEX(lmic_raw[],MATCH($A60,lmic_raw[[setting]:[setting]],0), MATCH(S$1, lmic_raw[#Headers],0)))</f>
        <v>134.6259</v>
      </c>
      <c r="T60" s="33">
        <f>IF(INDEX(lmic_raw[],MATCH($A60,lmic_raw[[setting]:[setting]],0), MATCH(T$1, lmic_raw[#Headers],0))=0, INDEX(regions[], MATCH($D60, regions[[setting]:[setting]],0), MATCH(T$1, regions[#Headers],0)),INDEX(lmic_raw[],MATCH($A60,lmic_raw[[setting]:[setting]],0), MATCH(T$1, lmic_raw[#Headers],0)))</f>
        <v>134.6259</v>
      </c>
      <c r="U60" s="33">
        <f>IF(INDEX(lmic_raw[],MATCH($A60,lmic_raw[[setting]:[setting]],0), MATCH(U$1, lmic_raw[#Headers],0))=0, INDEX(regions[], MATCH($D60, regions[[setting]:[setting]],0), MATCH(U$1, regions[#Headers],0)),INDEX(lmic_raw[],MATCH($A60,lmic_raw[[setting]:[setting]],0), MATCH(U$1, lmic_raw[#Headers],0)))</f>
        <v>134.6259</v>
      </c>
      <c r="V60" s="33">
        <f>IF(INDEX(lmic_raw[],MATCH($A60,lmic_raw[[setting]:[setting]],0), MATCH(V$1, lmic_raw[#Headers],0))=0, INDEX(regions[], MATCH($D60, regions[[setting]:[setting]],0), MATCH(V$1, regions[#Headers],0)),INDEX(lmic_raw[],MATCH($A60,lmic_raw[[setting]:[setting]],0), MATCH(V$1, lmic_raw[#Headers],0)))</f>
        <v>6.7050394138935978</v>
      </c>
      <c r="W60" s="33">
        <f>IF(INDEX(lmic_raw[],MATCH($A60,lmic_raw[[setting]:[setting]],0), MATCH(W$1, lmic_raw[#Headers],0))=0, INDEX(regions[], MATCH($D60, regions[[setting]:[setting]],0), MATCH(W$1, regions[#Headers],0)),INDEX(lmic_raw[],MATCH($A60,lmic_raw[[setting]:[setting]],0), MATCH(W$1, lmic_raw[#Headers],0)))</f>
        <v>6.7250394138935974</v>
      </c>
      <c r="X60" s="33">
        <f>IF(INDEX(lmic_raw[],MATCH($A60,lmic_raw[[setting]:[setting]],0), MATCH(X$1, lmic_raw[#Headers],0))=0, INDEX(regions[], MATCH($D60, regions[[setting]:[setting]],0), MATCH(X$1, regions[#Headers],0)),INDEX(lmic_raw[],MATCH($A60,lmic_raw[[setting]:[setting]],0), MATCH(X$1, lmic_raw[#Headers],0)))</f>
        <v>6.2685269298001893</v>
      </c>
      <c r="Y60" s="33">
        <f>IF(INDEX(lmic_raw[],MATCH($A60,lmic_raw[[setting]:[setting]],0), MATCH(Y$1, lmic_raw[#Headers],0))=0, INDEX(regions[], MATCH($D60, regions[[setting]:[setting]],0), MATCH(Y$1, regions[#Headers],0)),INDEX(lmic_raw[],MATCH($A60,lmic_raw[[setting]:[setting]],0), MATCH(Y$1, lmic_raw[#Headers],0)))</f>
        <v>6.2885269298001889</v>
      </c>
      <c r="Z60" s="33">
        <f>IF(INDEX(lmic_raw[],MATCH($A60,lmic_raw[[setting]:[setting]],0), MATCH(Z$1, lmic_raw[#Headers],0))=0, INDEX(regions[], MATCH($D60, regions[[setting]:[setting]],0), MATCH(Z$1, regions[#Headers],0)),INDEX(lmic_raw[],MATCH($A60,lmic_raw[[setting]:[setting]],0), MATCH(Z$1, lmic_raw[#Headers],0)))</f>
        <v>6.2806112293398479</v>
      </c>
      <c r="AA60" s="33">
        <f>IF(INDEX(lmic_raw[],MATCH($A60,lmic_raw[[setting]:[setting]],0), MATCH(AA$1, lmic_raw[#Headers],0))=0, INDEX(regions[], MATCH($D60, regions[[setting]:[setting]],0), MATCH(AA$1, regions[#Headers],0)),INDEX(lmic_raw[],MATCH($A60,lmic_raw[[setting]:[setting]],0), MATCH(AA$1, lmic_raw[#Headers],0)))</f>
        <v>6.9506129781621748</v>
      </c>
      <c r="AB60" s="33">
        <f>IF(INDEX(lmic_raw[],MATCH($A60,lmic_raw[[setting]:[setting]],0), MATCH(AB$1, lmic_raw[#Headers],0))=0, INDEX(regions[], MATCH($D60, regions[[setting]:[setting]],0), MATCH(AB$1, regions[#Headers],0)),INDEX(lmic_raw[],MATCH($A60,lmic_raw[[setting]:[setting]],0), MATCH(AB$1, lmic_raw[#Headers],0)))</f>
        <v>6.9706129781621744</v>
      </c>
      <c r="AC60" s="33">
        <f>IF(INDEX(lmic_raw[],MATCH($A60,lmic_raw[[setting]:[setting]],0), MATCH(AC$1, lmic_raw[#Headers],0))=0, INDEX(regions[], MATCH($D60, regions[[setting]:[setting]],0), MATCH(AC$1, regions[#Headers],0)),INDEX(lmic_raw[],MATCH($A60,lmic_raw[[setting]:[setting]],0), MATCH(AC$1, lmic_raw[#Headers],0)))</f>
        <v>1.1772590000000055E-2</v>
      </c>
      <c r="AD60" s="33">
        <f>IF(INDEX(lmic_raw[],MATCH($A60,lmic_raw[[setting]:[setting]],0), MATCH(AD$1, lmic_raw[#Headers],0))=0, INDEX(regions[], MATCH($D60, regions[[setting]:[setting]],0), MATCH(AD$1, regions[#Headers],0)),INDEX(lmic_raw[],MATCH($A60,lmic_raw[[setting]:[setting]],0), MATCH(AD$1, lmic_raw[#Headers],0)))</f>
        <v>8.0799974977416777E-4</v>
      </c>
      <c r="AE60" s="33">
        <f>IF(INDEX(lmic_raw[],MATCH($A60,lmic_raw[[setting]:[setting]],0), MATCH(AE$1, lmic_raw[#Headers],0))=0, INDEX(regions[], MATCH($D60, regions[[setting]:[setting]],0), MATCH(AE$1, regions[#Headers],0)),INDEX(lmic_raw[],MATCH($A60,lmic_raw[[setting]:[setting]],0), MATCH(AE$1, lmic_raw[#Headers],0)))</f>
        <v>3.4310915692144765E-4</v>
      </c>
      <c r="AF60" s="33">
        <f>IF(INDEX(lmic_raw[],MATCH($A60,lmic_raw[[setting]:[setting]],0), MATCH(AF$1, lmic_raw[#Headers],0))=0, INDEX(regions[], MATCH($D60, regions[[setting]:[setting]],0), MATCH(AF$1, regions[#Headers],0)),INDEX(lmic_raw[],MATCH($A60,lmic_raw[[setting]:[setting]],0), MATCH(AF$1, lmic_raw[#Headers],0)))</f>
        <v>3.2715319779528731E-4</v>
      </c>
      <c r="AG60" s="33">
        <f>IF(INDEX(lmic_raw[],MATCH($A60,lmic_raw[[setting]:[setting]],0), MATCH(AG$1, lmic_raw[#Headers],0))=0, INDEX(regions[], MATCH($D60, regions[[setting]:[setting]],0), MATCH(AG$1, regions[#Headers],0)),INDEX(lmic_raw[],MATCH($A60,lmic_raw[[setting]:[setting]],0), MATCH(AG$1, lmic_raw[#Headers],0)))</f>
        <v>7.8892363496803233E-4</v>
      </c>
      <c r="AH60" s="33">
        <f>IF(INDEX(lmic_raw[],MATCH($A60,lmic_raw[[setting]:[setting]],0), MATCH(AH$1, lmic_raw[#Headers],0))=0, INDEX(regions[], MATCH($D60, regions[[setting]:[setting]],0), MATCH(AH$1, regions[#Headers],0)),INDEX(lmic_raw[],MATCH($A60,lmic_raw[[setting]:[setting]],0), MATCH(AH$1, lmic_raw[#Headers],0)))</f>
        <v>1.0780534073041913E-3</v>
      </c>
      <c r="AI60" s="33">
        <f>IF(INDEX(lmic_raw[],MATCH($A60,lmic_raw[[setting]:[setting]],0), MATCH(AI$1, lmic_raw[#Headers],0))=0, INDEX(regions[], MATCH($D60, regions[[setting]:[setting]],0), MATCH(AI$1, regions[#Headers],0)),INDEX(lmic_raw[],MATCH($A60,lmic_raw[[setting]:[setting]],0), MATCH(AI$1, lmic_raw[#Headers],0)))</f>
        <v>1.1480297032394698E-3</v>
      </c>
      <c r="AJ60" s="33">
        <f>IF(INDEX(lmic_raw[],MATCH($A60,lmic_raw[[setting]:[setting]],0), MATCH(AJ$1, lmic_raw[#Headers],0))=0, INDEX(regions[], MATCH($D60, regions[[setting]:[setting]],0), MATCH(AJ$1, regions[#Headers],0)),INDEX(lmic_raw[],MATCH($A60,lmic_raw[[setting]:[setting]],0), MATCH(AJ$1, lmic_raw[#Headers],0)))</f>
        <v>1.3736876876624586E-3</v>
      </c>
      <c r="AK60" s="33">
        <f>IF(INDEX(lmic_raw[],MATCH($A60,lmic_raw[[setting]:[setting]],0), MATCH(AK$1, lmic_raw[#Headers],0))=0, INDEX(regions[], MATCH($D60, regions[[setting]:[setting]],0), MATCH(AK$1, regions[#Headers],0)),INDEX(lmic_raw[],MATCH($A60,lmic_raw[[setting]:[setting]],0), MATCH(AK$1, lmic_raw[#Headers],0)))</f>
        <v>1.8588291620629529E-3</v>
      </c>
      <c r="AL60" s="33">
        <f>IF(INDEX(lmic_raw[],MATCH($A60,lmic_raw[[setting]:[setting]],0), MATCH(AL$1, lmic_raw[#Headers],0))=0, INDEX(regions[], MATCH($D60, regions[[setting]:[setting]],0), MATCH(AL$1, regions[#Headers],0)),INDEX(lmic_raw[],MATCH($A60,lmic_raw[[setting]:[setting]],0), MATCH(AL$1, lmic_raw[#Headers],0)))</f>
        <v>2.71750082356649E-3</v>
      </c>
      <c r="AM60" s="33">
        <f>IF(INDEX(lmic_raw[],MATCH($A60,lmic_raw[[setting]:[setting]],0), MATCH(AM$1, lmic_raw[#Headers],0))=0, INDEX(regions[], MATCH($D60, regions[[setting]:[setting]],0), MATCH(AM$1, regions[#Headers],0)),INDEX(lmic_raw[],MATCH($A60,lmic_raw[[setting]:[setting]],0), MATCH(AM$1, lmic_raw[#Headers],0)))</f>
        <v>4.2168369679111565E-3</v>
      </c>
      <c r="AN60" s="33">
        <f>IF(INDEX(lmic_raw[],MATCH($A60,lmic_raw[[setting]:[setting]],0), MATCH(AN$1, lmic_raw[#Headers],0))=0, INDEX(regions[], MATCH($D60, regions[[setting]:[setting]],0), MATCH(AN$1, regions[#Headers],0)),INDEX(lmic_raw[],MATCH($A60,lmic_raw[[setting]:[setting]],0), MATCH(AN$1, lmic_raw[#Headers],0)))</f>
        <v>6.5686598199869517E-3</v>
      </c>
      <c r="AO60" s="33">
        <f>IF(INDEX(lmic_raw[],MATCH($A60,lmic_raw[[setting]:[setting]],0), MATCH(AO$1, lmic_raw[#Headers],0))=0, INDEX(regions[], MATCH($D60, regions[[setting]:[setting]],0), MATCH(AO$1, regions[#Headers],0)),INDEX(lmic_raw[],MATCH($A60,lmic_raw[[setting]:[setting]],0), MATCH(AO$1, lmic_raw[#Headers],0)))</f>
        <v>1.0107070536801569E-2</v>
      </c>
      <c r="AP60" s="33">
        <f>IF(INDEX(lmic_raw[],MATCH($A60,lmic_raw[[setting]:[setting]],0), MATCH(AP$1, lmic_raw[#Headers],0))=0, INDEX(regions[], MATCH($D60, regions[[setting]:[setting]],0), MATCH(AP$1, regions[#Headers],0)),INDEX(lmic_raw[],MATCH($A60,lmic_raw[[setting]:[setting]],0), MATCH(AP$1, lmic_raw[#Headers],0)))</f>
        <v>1.4161193888885175E-2</v>
      </c>
      <c r="AQ60" s="33">
        <f>IF(INDEX(lmic_raw[],MATCH($A60,lmic_raw[[setting]:[setting]],0), MATCH(AQ$1, lmic_raw[#Headers],0))=0, INDEX(regions[], MATCH($D60, regions[[setting]:[setting]],0), MATCH(AQ$1, regions[#Headers],0)),INDEX(lmic_raw[],MATCH($A60,lmic_raw[[setting]:[setting]],0), MATCH(AQ$1, lmic_raw[#Headers],0)))</f>
        <v>2.0022560666233091E-2</v>
      </c>
      <c r="AR60" s="33">
        <f>IF(INDEX(lmic_raw[],MATCH($A60,lmic_raw[[setting]:[setting]],0), MATCH(AR$1, lmic_raw[#Headers],0))=0, INDEX(regions[], MATCH($D60, regions[[setting]:[setting]],0), MATCH(AR$1, regions[#Headers],0)),INDEX(lmic_raw[],MATCH($A60,lmic_raw[[setting]:[setting]],0), MATCH(AR$1, lmic_raw[#Headers],0)))</f>
        <v>3.0245210004194729E-2</v>
      </c>
      <c r="AS60" s="33">
        <f>IF(INDEX(lmic_raw[],MATCH($A60,lmic_raw[[setting]:[setting]],0), MATCH(AS$1, lmic_raw[#Headers],0))=0, INDEX(regions[], MATCH($D60, regions[[setting]:[setting]],0), MATCH(AS$1, regions[#Headers],0)),INDEX(lmic_raw[],MATCH($A60,lmic_raw[[setting]:[setting]],0), MATCH(AS$1, lmic_raw[#Headers],0)))</f>
        <v>4.8588944964654886E-2</v>
      </c>
      <c r="AT60" s="33">
        <f>IF(INDEX(lmic_raw[],MATCH($A60,lmic_raw[[setting]:[setting]],0), MATCH(AT$1, lmic_raw[#Headers],0))=0, INDEX(regions[], MATCH($D60, regions[[setting]:[setting]],0), MATCH(AT$1, regions[#Headers],0)),INDEX(lmic_raw[],MATCH($A60,lmic_raw[[setting]:[setting]],0), MATCH(AT$1, lmic_raw[#Headers],0)))</f>
        <v>7.4875270638348451E-2</v>
      </c>
      <c r="AU60" s="33">
        <f>IF(INDEX(lmic_raw[],MATCH($A60,lmic_raw[[setting]:[setting]],0), MATCH(AU$1, lmic_raw[#Headers],0))=0, INDEX(regions[], MATCH($D60, regions[[setting]:[setting]],0), MATCH(AU$1, regions[#Headers],0)),INDEX(lmic_raw[],MATCH($A60,lmic_raw[[setting]:[setting]],0), MATCH(AU$1, lmic_raw[#Headers],0)))</f>
        <v>0.10766867269478904</v>
      </c>
      <c r="AV60" s="33">
        <f>IF(INDEX(lmic_raw[],MATCH($A60,lmic_raw[[setting]:[setting]],0), MATCH(AV$1, lmic_raw[#Headers],0))=0, INDEX(regions[], MATCH($D60, regions[[setting]:[setting]],0), MATCH(AV$1, regions[#Headers],0)),INDEX(lmic_raw[],MATCH($A60,lmic_raw[[setting]:[setting]],0), MATCH(AV$1, lmic_raw[#Headers],0)))</f>
        <v>0.13925038964471201</v>
      </c>
      <c r="AW60" s="33">
        <f>IF(INDEX(lmic_raw[],MATCH($A60,lmic_raw[[setting]:[setting]],0), MATCH(AW$1, lmic_raw[#Headers],0))=0, INDEX(regions[], MATCH($D60, regions[[setting]:[setting]],0), MATCH(AW$1, regions[#Headers],0)),INDEX(lmic_raw[],MATCH($A60,lmic_raw[[setting]:[setting]],0), MATCH(AW$1, lmic_raw[#Headers],0)))</f>
        <v>0.16398700606550246</v>
      </c>
      <c r="AX60" s="33">
        <f>IF(INDEX(lmic_raw[],MATCH($A60,lmic_raw[[setting]:[setting]],0), MATCH(AX$1, lmic_raw[#Headers],0))=0, INDEX(regions[], MATCH($D60, regions[[setting]:[setting]],0), MATCH(AX$1, regions[#Headers],0)),INDEX(lmic_raw[],MATCH($A60,lmic_raw[[setting]:[setting]],0), MATCH(AX$1, lmic_raw[#Headers],0)))</f>
        <v>74.331999999999994</v>
      </c>
      <c r="AY60" s="33" t="str">
        <f>IF(VLOOKUP($A60,lmic_raw[],11,FALSE)=0, "Yes", "No")</f>
        <v>Yes</v>
      </c>
    </row>
    <row r="61" spans="1:51" x14ac:dyDescent="0.25">
      <c r="A61" s="110" t="s">
        <v>172</v>
      </c>
      <c r="B61" s="104" t="s">
        <v>446</v>
      </c>
      <c r="C61" s="105">
        <v>400</v>
      </c>
      <c r="D61" s="84" t="s">
        <v>673</v>
      </c>
      <c r="E61" s="84" t="s">
        <v>579</v>
      </c>
      <c r="F61" s="84" t="s">
        <v>579</v>
      </c>
      <c r="G61" s="84" t="s">
        <v>676</v>
      </c>
      <c r="H61" s="33">
        <f>IF(INDEX(lmic_raw[],MATCH($A61,lmic_raw[[setting]:[setting]],0), MATCH(H$1, lmic_raw[#Headers],0))=0, INDEX(regions[], MATCH($D61, regions[[setting]:[setting]],0), MATCH(H$1, regions[#Headers],0)),INDEX(lmic_raw[],MATCH($A61,lmic_raw[[setting]:[setting]],0), MATCH(H$1, lmic_raw[#Headers],0)))</f>
        <v>10101697</v>
      </c>
      <c r="I61" s="33">
        <f>IF(INDEX(lmic_raw[],MATCH($A61,lmic_raw[[setting]:[setting]],0), MATCH(I$1, lmic_raw[#Headers],0))=0, INDEX(regions[], MATCH($D61, regions[[setting]:[setting]],0), MATCH(I$1, regions[#Headers],0)),INDEX(lmic_raw[],MATCH($A61,lmic_raw[[setting]:[setting]],0), MATCH(I$1, lmic_raw[#Headers],0)))</f>
        <v>222732.31715300001</v>
      </c>
      <c r="J61" s="33">
        <f>IF(INDEX(lmic_raw[],MATCH($A61,lmic_raw[[setting]:[setting]],0), MATCH(J$1, lmic_raw[#Headers],0))=0, INDEX(regions[], MATCH($D61, regions[[setting]:[setting]],0), MATCH(J$1, regions[#Headers],0)),INDEX(lmic_raw[],MATCH($A61,lmic_raw[[setting]:[setting]],0), MATCH(J$1, lmic_raw[#Headers],0)))</f>
        <v>0.98099999999999998</v>
      </c>
      <c r="K61" s="33">
        <f>IF(INDEX(lmic_raw[],MATCH($A61,lmic_raw[[setting]:[setting]],0), MATCH(K$1, lmic_raw[#Headers],0))=0, INDEX(regions[], MATCH($D61, regions[[setting]:[setting]],0), MATCH(K$1, regions[#Headers],0)),INDEX(lmic_raw[],MATCH($A61,lmic_raw[[setting]:[setting]],0), MATCH(K$1, lmic_raw[#Headers],0)))</f>
        <v>0.70987607132960939</v>
      </c>
      <c r="L61" s="33">
        <f>IF(INDEX(lmic_raw[],MATCH($A61,lmic_raw[[setting]:[setting]],0), MATCH(L$1, lmic_raw[#Headers],0))=0, INDEX(regions[], MATCH($D61, regions[[setting]:[setting]],0), MATCH(L$1, regions[#Headers],0)),INDEX(lmic_raw[],MATCH($A61,lmic_raw[[setting]:[setting]],0), MATCH(L$1, lmic_raw[#Headers],0)))</f>
        <v>0.89</v>
      </c>
      <c r="M61" s="33">
        <f>IF(INDEX(lmic_raw[],MATCH($A61,lmic_raw[[setting]:[setting]],0), MATCH(M$1, lmic_raw[#Headers],0))=0, INDEX(regions[], MATCH($D61, regions[[setting]:[setting]],0), MATCH(M$1, regions[#Headers],0)),INDEX(lmic_raw[],MATCH($A61,lmic_raw[[setting]:[setting]],0), MATCH(M$1, lmic_raw[#Headers],0)))</f>
        <v>2.5899999999999999E-2</v>
      </c>
      <c r="N61" s="33">
        <f>IF(INDEX(lmic_raw[],MATCH($A61,lmic_raw[[setting]:[setting]],0), MATCH(N$1, lmic_raw[#Headers],0))=0, INDEX(regions[], MATCH($D61, regions[[setting]:[setting]],0), MATCH(N$1, regions[#Headers],0)),INDEX(lmic_raw[],MATCH($A61,lmic_raw[[setting]:[setting]],0), MATCH(N$1, lmic_raw[#Headers],0)))</f>
        <v>0.25738483729519801</v>
      </c>
      <c r="O61" s="33">
        <f>IF(INDEX(lmic_raw[],MATCH($A61,lmic_raw[[setting]:[setting]],0), MATCH(O$1, lmic_raw[#Headers],0))=0, INDEX(regions[], MATCH($D61, regions[[setting]:[setting]],0), MATCH(O$1, regions[#Headers],0)),INDEX(lmic_raw[],MATCH($A61,lmic_raw[[setting]:[setting]],0), MATCH(O$1, lmic_raw[#Headers],0)))</f>
        <v>0.8</v>
      </c>
      <c r="P61" s="33">
        <f>IF(INDEX(lmic_raw[],MATCH($A61,lmic_raw[[setting]:[setting]],0), MATCH(P$1, lmic_raw[#Headers],0))=0, INDEX(regions[], MATCH($D61, regions[[setting]:[setting]],0), MATCH(P$1, regions[#Headers],0)),INDEX(lmic_raw[],MATCH($A61,lmic_raw[[setting]:[setting]],0), MATCH(P$1, lmic_raw[#Headers],0)))</f>
        <v>0.17499999999999999</v>
      </c>
      <c r="Q61" s="33">
        <f>IF(INDEX(lmic_raw[],MATCH($A61,lmic_raw[[setting]:[setting]],0), MATCH(Q$1, lmic_raw[#Headers],0))=0, INDEX(regions[], MATCH($D61, regions[[setting]:[setting]],0), MATCH(Q$1, regions[#Headers],0)),INDEX(lmic_raw[],MATCH($A61,lmic_raw[[setting]:[setting]],0), MATCH(Q$1, lmic_raw[#Headers],0)))</f>
        <v>6.5594837976176033</v>
      </c>
      <c r="R61" s="33">
        <f>IF(INDEX(lmic_raw[],MATCH($A61,lmic_raw[[setting]:[setting]],0), MATCH(R$1, lmic_raw[#Headers],0))=0, INDEX(regions[], MATCH($D61, regions[[setting]:[setting]],0), MATCH(R$1, regions[#Headers],0)),INDEX(lmic_raw[],MATCH($A61,lmic_raw[[setting]:[setting]],0), MATCH(R$1, lmic_raw[#Headers],0)))</f>
        <v>46.335900000000002</v>
      </c>
      <c r="S61" s="33">
        <f>IF(INDEX(lmic_raw[],MATCH($A61,lmic_raw[[setting]:[setting]],0), MATCH(S$1, lmic_raw[#Headers],0))=0, INDEX(regions[], MATCH($D61, regions[[setting]:[setting]],0), MATCH(S$1, regions[#Headers],0)),INDEX(lmic_raw[],MATCH($A61,lmic_raw[[setting]:[setting]],0), MATCH(S$1, lmic_raw[#Headers],0)))</f>
        <v>94.077900000000014</v>
      </c>
      <c r="T61" s="33">
        <f>IF(INDEX(lmic_raw[],MATCH($A61,lmic_raw[[setting]:[setting]],0), MATCH(T$1, lmic_raw[#Headers],0))=0, INDEX(regions[], MATCH($D61, regions[[setting]:[setting]],0), MATCH(T$1, regions[#Headers],0)),INDEX(lmic_raw[],MATCH($A61,lmic_raw[[setting]:[setting]],0), MATCH(T$1, lmic_raw[#Headers],0)))</f>
        <v>94.077900000000014</v>
      </c>
      <c r="U61" s="33">
        <f>IF(INDEX(lmic_raw[],MATCH($A61,lmic_raw[[setting]:[setting]],0), MATCH(U$1, lmic_raw[#Headers],0))=0, INDEX(regions[], MATCH($D61, regions[[setting]:[setting]],0), MATCH(U$1, regions[#Headers],0)),INDEX(lmic_raw[],MATCH($A61,lmic_raw[[setting]:[setting]],0), MATCH(U$1, lmic_raw[#Headers],0)))</f>
        <v>94.077900000000014</v>
      </c>
      <c r="V61" s="33">
        <f>IF(INDEX(lmic_raw[],MATCH($A61,lmic_raw[[setting]:[setting]],0), MATCH(V$1, lmic_raw[#Headers],0))=0, INDEX(regions[], MATCH($D61, regions[[setting]:[setting]],0), MATCH(V$1, regions[#Headers],0)),INDEX(lmic_raw[],MATCH($A61,lmic_raw[[setting]:[setting]],0), MATCH(V$1, lmic_raw[#Headers],0)))</f>
        <v>4.8530417550702749</v>
      </c>
      <c r="W61" s="33">
        <f>IF(INDEX(lmic_raw[],MATCH($A61,lmic_raw[[setting]:[setting]],0), MATCH(W$1, lmic_raw[#Headers],0))=0, INDEX(regions[], MATCH($D61, regions[[setting]:[setting]],0), MATCH(W$1, regions[#Headers],0)),INDEX(lmic_raw[],MATCH($A61,lmic_raw[[setting]:[setting]],0), MATCH(W$1, lmic_raw[#Headers],0)))</f>
        <v>5.3330417550702744</v>
      </c>
      <c r="X61" s="33">
        <f>IF(INDEX(lmic_raw[],MATCH($A61,lmic_raw[[setting]:[setting]],0), MATCH(X$1, lmic_raw[#Headers],0))=0, INDEX(regions[], MATCH($D61, regions[[setting]:[setting]],0), MATCH(X$1, regions[#Headers],0)),INDEX(lmic_raw[],MATCH($A61,lmic_raw[[setting]:[setting]],0), MATCH(X$1, lmic_raw[#Headers],0)))</f>
        <v>4.4209342009694943</v>
      </c>
      <c r="Y61" s="33">
        <f>IF(INDEX(lmic_raw[],MATCH($A61,lmic_raw[[setting]:[setting]],0), MATCH(Y$1, lmic_raw[#Headers],0))=0, INDEX(regions[], MATCH($D61, regions[[setting]:[setting]],0), MATCH(Y$1, regions[#Headers],0)),INDEX(lmic_raw[],MATCH($A61,lmic_raw[[setting]:[setting]],0), MATCH(Y$1, lmic_raw[#Headers],0)))</f>
        <v>4.9009342009694947</v>
      </c>
      <c r="Z61" s="33">
        <f>IF(INDEX(lmic_raw[],MATCH($A61,lmic_raw[[setting]:[setting]],0), MATCH(Z$1, lmic_raw[#Headers],0))=0, INDEX(regions[], MATCH($D61, regions[[setting]:[setting]],0), MATCH(Z$1, regions[#Headers],0)),INDEX(lmic_raw[],MATCH($A61,lmic_raw[[setting]:[setting]],0), MATCH(Z$1, lmic_raw[#Headers],0)))</f>
        <v>4.8951170101101251</v>
      </c>
      <c r="AA61" s="33">
        <f>IF(INDEX(lmic_raw[],MATCH($A61,lmic_raw[[setting]:[setting]],0), MATCH(AA$1, lmic_raw[#Headers],0))=0, INDEX(regions[], MATCH($D61, regions[[setting]:[setting]],0), MATCH(AA$1, regions[#Headers],0)),INDEX(lmic_raw[],MATCH($A61,lmic_raw[[setting]:[setting]],0), MATCH(AA$1, lmic_raw[#Headers],0)))</f>
        <v>5.0970274957368584</v>
      </c>
      <c r="AB61" s="33">
        <f>IF(INDEX(lmic_raw[],MATCH($A61,lmic_raw[[setting]:[setting]],0), MATCH(AB$1, lmic_raw[#Headers],0))=0, INDEX(regions[], MATCH($D61, regions[[setting]:[setting]],0), MATCH(AB$1, regions[#Headers],0)),INDEX(lmic_raw[],MATCH($A61,lmic_raw[[setting]:[setting]],0), MATCH(AB$1, lmic_raw[#Headers],0)))</f>
        <v>5.5770274957368589</v>
      </c>
      <c r="AC61" s="33">
        <f>IF(INDEX(lmic_raw[],MATCH($A61,lmic_raw[[setting]:[setting]],0), MATCH(AC$1, lmic_raw[#Headers],0))=0, INDEX(regions[], MATCH($D61, regions[[setting]:[setting]],0), MATCH(AC$1, regions[#Headers],0)),INDEX(lmic_raw[],MATCH($A61,lmic_raw[[setting]:[setting]],0), MATCH(AC$1, lmic_raw[#Headers],0)))</f>
        <v>1.4632749999999941E-2</v>
      </c>
      <c r="AD61" s="33">
        <f>IF(INDEX(lmic_raw[],MATCH($A61,lmic_raw[[setting]:[setting]],0), MATCH(AD$1, lmic_raw[#Headers],0))=0, INDEX(regions[], MATCH($D61, regions[[setting]:[setting]],0), MATCH(AD$1, regions[#Headers],0)),INDEX(lmic_raw[],MATCH($A61,lmic_raw[[setting]:[setting]],0), MATCH(AD$1, lmic_raw[#Headers],0)))</f>
        <v>6.0964833162461E-4</v>
      </c>
      <c r="AE61" s="33">
        <f>IF(INDEX(lmic_raw[],MATCH($A61,lmic_raw[[setting]:[setting]],0), MATCH(AE$1, lmic_raw[#Headers],0))=0, INDEX(regions[], MATCH($D61, regions[[setting]:[setting]],0), MATCH(AE$1, regions[#Headers],0)),INDEX(lmic_raw[],MATCH($A61,lmic_raw[[setting]:[setting]],0), MATCH(AE$1, lmic_raw[#Headers],0)))</f>
        <v>3.2828657853446503E-4</v>
      </c>
      <c r="AF61" s="33">
        <f>IF(INDEX(lmic_raw[],MATCH($A61,lmic_raw[[setting]:[setting]],0), MATCH(AF$1, lmic_raw[#Headers],0))=0, INDEX(regions[], MATCH($D61, regions[[setting]:[setting]],0), MATCH(AF$1, regions[#Headers],0)),INDEX(lmic_raw[],MATCH($A61,lmic_raw[[setting]:[setting]],0), MATCH(AF$1, lmic_raw[#Headers],0)))</f>
        <v>2.7577292513125776E-4</v>
      </c>
      <c r="AG61" s="33">
        <f>IF(INDEX(lmic_raw[],MATCH($A61,lmic_raw[[setting]:[setting]],0), MATCH(AG$1, lmic_raw[#Headers],0))=0, INDEX(regions[], MATCH($D61, regions[[setting]:[setting]],0), MATCH(AG$1, regions[#Headers],0)),INDEX(lmic_raw[],MATCH($A61,lmic_raw[[setting]:[setting]],0), MATCH(AG$1, lmic_raw[#Headers],0)))</f>
        <v>5.1201955857610687E-4</v>
      </c>
      <c r="AH61" s="33">
        <f>IF(INDEX(lmic_raw[],MATCH($A61,lmic_raw[[setting]:[setting]],0), MATCH(AH$1, lmic_raw[#Headers],0))=0, INDEX(regions[], MATCH($D61, regions[[setting]:[setting]],0), MATCH(AH$1, regions[#Headers],0)),INDEX(lmic_raw[],MATCH($A61,lmic_raw[[setting]:[setting]],0), MATCH(AH$1, lmic_raw[#Headers],0)))</f>
        <v>7.1612071515947645E-4</v>
      </c>
      <c r="AI61" s="33">
        <f>IF(INDEX(lmic_raw[],MATCH($A61,lmic_raw[[setting]:[setting]],0), MATCH(AI$1, lmic_raw[#Headers],0))=0, INDEX(regions[], MATCH($D61, regions[[setting]:[setting]],0), MATCH(AI$1, regions[#Headers],0)),INDEX(lmic_raw[],MATCH($A61,lmic_raw[[setting]:[setting]],0), MATCH(AI$1, lmic_raw[#Headers],0)))</f>
        <v>7.7178297825039046E-4</v>
      </c>
      <c r="AJ61" s="33">
        <f>IF(INDEX(lmic_raw[],MATCH($A61,lmic_raw[[setting]:[setting]],0), MATCH(AJ$1, lmic_raw[#Headers],0))=0, INDEX(regions[], MATCH($D61, regions[[setting]:[setting]],0), MATCH(AJ$1, regions[#Headers],0)),INDEX(lmic_raw[],MATCH($A61,lmic_raw[[setting]:[setting]],0), MATCH(AJ$1, lmic_raw[#Headers],0)))</f>
        <v>9.1062710482887714E-4</v>
      </c>
      <c r="AK61" s="33">
        <f>IF(INDEX(lmic_raw[],MATCH($A61,lmic_raw[[setting]:[setting]],0), MATCH(AK$1, lmic_raw[#Headers],0))=0, INDEX(regions[], MATCH($D61, regions[[setting]:[setting]],0), MATCH(AK$1, regions[#Headers],0)),INDEX(lmic_raw[],MATCH($A61,lmic_raw[[setting]:[setting]],0), MATCH(AK$1, lmic_raw[#Headers],0)))</f>
        <v>1.2224606282356869E-3</v>
      </c>
      <c r="AL61" s="33">
        <f>IF(INDEX(lmic_raw[],MATCH($A61,lmic_raw[[setting]:[setting]],0), MATCH(AL$1, lmic_raw[#Headers],0))=0, INDEX(regions[], MATCH($D61, regions[[setting]:[setting]],0), MATCH(AL$1, regions[#Headers],0)),INDEX(lmic_raw[],MATCH($A61,lmic_raw[[setting]:[setting]],0), MATCH(AL$1, lmic_raw[#Headers],0)))</f>
        <v>1.8512747911948806E-3</v>
      </c>
      <c r="AM61" s="33">
        <f>IF(INDEX(lmic_raw[],MATCH($A61,lmic_raw[[setting]:[setting]],0), MATCH(AM$1, lmic_raw[#Headers],0))=0, INDEX(regions[], MATCH($D61, regions[[setting]:[setting]],0), MATCH(AM$1, regions[#Headers],0)),INDEX(lmic_raw[],MATCH($A61,lmic_raw[[setting]:[setting]],0), MATCH(AM$1, lmic_raw[#Headers],0)))</f>
        <v>3.1122471683366691E-3</v>
      </c>
      <c r="AN61" s="33">
        <f>IF(INDEX(lmic_raw[],MATCH($A61,lmic_raw[[setting]:[setting]],0), MATCH(AN$1, lmic_raw[#Headers],0))=0, INDEX(regions[], MATCH($D61, regions[[setting]:[setting]],0), MATCH(AN$1, regions[#Headers],0)),INDEX(lmic_raw[],MATCH($A61,lmic_raw[[setting]:[setting]],0), MATCH(AN$1, lmic_raw[#Headers],0)))</f>
        <v>5.0729302808490678E-3</v>
      </c>
      <c r="AO61" s="33">
        <f>IF(INDEX(lmic_raw[],MATCH($A61,lmic_raw[[setting]:[setting]],0), MATCH(AO$1, lmic_raw[#Headers],0))=0, INDEX(regions[], MATCH($D61, regions[[setting]:[setting]],0), MATCH(AO$1, regions[#Headers],0)),INDEX(lmic_raw[],MATCH($A61,lmic_raw[[setting]:[setting]],0), MATCH(AO$1, lmic_raw[#Headers],0)))</f>
        <v>8.369964446812107E-3</v>
      </c>
      <c r="AP61" s="33">
        <f>IF(INDEX(lmic_raw[],MATCH($A61,lmic_raw[[setting]:[setting]],0), MATCH(AP$1, lmic_raw[#Headers],0))=0, INDEX(regions[], MATCH($D61, regions[[setting]:[setting]],0), MATCH(AP$1, regions[#Headers],0)),INDEX(lmic_raw[],MATCH($A61,lmic_raw[[setting]:[setting]],0), MATCH(AP$1, lmic_raw[#Headers],0)))</f>
        <v>1.3391899499446925E-2</v>
      </c>
      <c r="AQ61" s="33">
        <f>IF(INDEX(lmic_raw[],MATCH($A61,lmic_raw[[setting]:[setting]],0), MATCH(AQ$1, lmic_raw[#Headers],0))=0, INDEX(regions[], MATCH($D61, regions[[setting]:[setting]],0), MATCH(AQ$1, regions[#Headers],0)),INDEX(lmic_raw[],MATCH($A61,lmic_raw[[setting]:[setting]],0), MATCH(AQ$1, lmic_raw[#Headers],0)))</f>
        <v>2.212427567931665E-2</v>
      </c>
      <c r="AR61" s="33">
        <f>IF(INDEX(lmic_raw[],MATCH($A61,lmic_raw[[setting]:[setting]],0), MATCH(AR$1, lmic_raw[#Headers],0))=0, INDEX(regions[], MATCH($D61, regions[[setting]:[setting]],0), MATCH(AR$1, regions[#Headers],0)),INDEX(lmic_raw[],MATCH($A61,lmic_raw[[setting]:[setting]],0), MATCH(AR$1, lmic_raw[#Headers],0)))</f>
        <v>3.618751162717259E-2</v>
      </c>
      <c r="AS61" s="33">
        <f>IF(INDEX(lmic_raw[],MATCH($A61,lmic_raw[[setting]:[setting]],0), MATCH(AS$1, lmic_raw[#Headers],0))=0, INDEX(regions[], MATCH($D61, regions[[setting]:[setting]],0), MATCH(AS$1, regions[#Headers],0)),INDEX(lmic_raw[],MATCH($A61,lmic_raw[[setting]:[setting]],0), MATCH(AS$1, lmic_raw[#Headers],0)))</f>
        <v>5.7640347386947753E-2</v>
      </c>
      <c r="AT61" s="33">
        <f>IF(INDEX(lmic_raw[],MATCH($A61,lmic_raw[[setting]:[setting]],0), MATCH(AT$1, lmic_raw[#Headers],0))=0, INDEX(regions[], MATCH($D61, regions[[setting]:[setting]],0), MATCH(AT$1, regions[#Headers],0)),INDEX(lmic_raw[],MATCH($A61,lmic_raw[[setting]:[setting]],0), MATCH(AT$1, lmic_raw[#Headers],0)))</f>
        <v>8.8864944342642305E-2</v>
      </c>
      <c r="AU61" s="33">
        <f>IF(INDEX(lmic_raw[],MATCH($A61,lmic_raw[[setting]:[setting]],0), MATCH(AU$1, lmic_raw[#Headers],0))=0, INDEX(regions[], MATCH($D61, regions[[setting]:[setting]],0), MATCH(AU$1, regions[#Headers],0)),INDEX(lmic_raw[],MATCH($A61,lmic_raw[[setting]:[setting]],0), MATCH(AU$1, lmic_raw[#Headers],0)))</f>
        <v>0.1233822091096403</v>
      </c>
      <c r="AV61" s="33">
        <f>IF(INDEX(lmic_raw[],MATCH($A61,lmic_raw[[setting]:[setting]],0), MATCH(AV$1, lmic_raw[#Headers],0))=0, INDEX(regions[], MATCH($D61, regions[[setting]:[setting]],0), MATCH(AV$1, regions[#Headers],0)),INDEX(lmic_raw[],MATCH($A61,lmic_raw[[setting]:[setting]],0), MATCH(AV$1, lmic_raw[#Headers],0)))</f>
        <v>0.15471847178241849</v>
      </c>
      <c r="AW61" s="33">
        <f>IF(INDEX(lmic_raw[],MATCH($A61,lmic_raw[[setting]:[setting]],0), MATCH(AW$1, lmic_raw[#Headers],0))=0, INDEX(regions[], MATCH($D61, regions[[setting]:[setting]],0), MATCH(AW$1, regions[#Headers],0)),INDEX(lmic_raw[],MATCH($A61,lmic_raw[[setting]:[setting]],0), MATCH(AW$1, lmic_raw[#Headers],0)))</f>
        <v>0.17654961686173334</v>
      </c>
      <c r="AX61" s="33">
        <f>IF(INDEX(lmic_raw[],MATCH($A61,lmic_raw[[setting]:[setting]],0), MATCH(AX$1, lmic_raw[#Headers],0))=0, INDEX(regions[], MATCH($D61, regions[[setting]:[setting]],0), MATCH(AX$1, regions[#Headers],0)),INDEX(lmic_raw[],MATCH($A61,lmic_raw[[setting]:[setting]],0), MATCH(AX$1, lmic_raw[#Headers],0)))</f>
        <v>74.326999999999998</v>
      </c>
      <c r="AY61" s="33" t="str">
        <f>IF(VLOOKUP($A61,lmic_raw[],11,FALSE)=0, "Yes", "No")</f>
        <v>Yes</v>
      </c>
    </row>
    <row r="62" spans="1:51" x14ac:dyDescent="0.25">
      <c r="A62" s="109" t="s">
        <v>185</v>
      </c>
      <c r="B62" s="101" t="s">
        <v>447</v>
      </c>
      <c r="C62" s="102">
        <v>398</v>
      </c>
      <c r="D62" s="82" t="s">
        <v>675</v>
      </c>
      <c r="E62" s="82" t="s">
        <v>184</v>
      </c>
      <c r="F62" s="82" t="s">
        <v>663</v>
      </c>
      <c r="G62" s="82" t="s">
        <v>676</v>
      </c>
      <c r="H62" s="33">
        <f>IF(INDEX(lmic_raw[],MATCH($A62,lmic_raw[[setting]:[setting]],0), MATCH(H$1, lmic_raw[#Headers],0))=0, INDEX(regions[], MATCH($D62, regions[[setting]:[setting]],0), MATCH(H$1, regions[#Headers],0)),INDEX(lmic_raw[],MATCH($A62,lmic_raw[[setting]:[setting]],0), MATCH(H$1, lmic_raw[#Headers],0)))</f>
        <v>18551428</v>
      </c>
      <c r="I62" s="33">
        <f>IF(INDEX(lmic_raw[],MATCH($A62,lmic_raw[[setting]:[setting]],0), MATCH(I$1, lmic_raw[#Headers],0))=0, INDEX(regions[], MATCH($D62, regions[[setting]:[setting]],0), MATCH(I$1, regions[#Headers],0)),INDEX(lmic_raw[],MATCH($A62,lmic_raw[[setting]:[setting]],0), MATCH(I$1, lmic_raw[#Headers],0)))</f>
        <v>396573.87635599996</v>
      </c>
      <c r="J62" s="33">
        <f>IF(INDEX(lmic_raw[],MATCH($A62,lmic_raw[[setting]:[setting]],0), MATCH(J$1, lmic_raw[#Headers],0))=0, INDEX(regions[], MATCH($D62, regions[[setting]:[setting]],0), MATCH(J$1, regions[#Headers],0)),INDEX(lmic_raw[],MATCH($A62,lmic_raw[[setting]:[setting]],0), MATCH(J$1, lmic_raw[#Headers],0)))</f>
        <v>0.99299999999999999</v>
      </c>
      <c r="K62" s="33">
        <f>IF(INDEX(lmic_raw[],MATCH($A62,lmic_raw[[setting]:[setting]],0), MATCH(K$1, lmic_raw[#Headers],0))=0, INDEX(regions[], MATCH($D62, regions[[setting]:[setting]],0), MATCH(K$1, regions[#Headers],0)),INDEX(lmic_raw[],MATCH($A62,lmic_raw[[setting]:[setting]],0), MATCH(K$1, lmic_raw[#Headers],0)))</f>
        <v>0.93</v>
      </c>
      <c r="L62" s="33">
        <f>IF(INDEX(lmic_raw[],MATCH($A62,lmic_raw[[setting]:[setting]],0), MATCH(L$1, lmic_raw[#Headers],0))=0, INDEX(regions[], MATCH($D62, regions[[setting]:[setting]],0), MATCH(L$1, regions[#Headers],0)),INDEX(lmic_raw[],MATCH($A62,lmic_raw[[setting]:[setting]],0), MATCH(L$1, lmic_raw[#Headers],0)))</f>
        <v>0.97</v>
      </c>
      <c r="M62" s="33">
        <f>IF(INDEX(lmic_raw[],MATCH($A62,lmic_raw[[setting]:[setting]],0), MATCH(M$1, lmic_raw[#Headers],0))=0, INDEX(regions[], MATCH($D62, regions[[setting]:[setting]],0), MATCH(M$1, regions[#Headers],0)),INDEX(lmic_raw[],MATCH($A62,lmic_raw[[setting]:[setting]],0), MATCH(M$1, lmic_raw[#Headers],0)))</f>
        <v>1.5700000000000002E-2</v>
      </c>
      <c r="N62" s="33">
        <f>IF(INDEX(lmic_raw[],MATCH($A62,lmic_raw[[setting]:[setting]],0), MATCH(N$1, lmic_raw[#Headers],0))=0, INDEX(regions[], MATCH($D62, regions[[setting]:[setting]],0), MATCH(N$1, regions[#Headers],0)),INDEX(lmic_raw[],MATCH($A62,lmic_raw[[setting]:[setting]],0), MATCH(N$1, lmic_raw[#Headers],0)))</f>
        <v>0.29237590740285052</v>
      </c>
      <c r="O62" s="33">
        <f>IF(INDEX(lmic_raw[],MATCH($A62,lmic_raw[[setting]:[setting]],0), MATCH(O$1, lmic_raw[#Headers],0))=0, INDEX(regions[], MATCH($D62, regions[[setting]:[setting]],0), MATCH(O$1, regions[#Headers],0)),INDEX(lmic_raw[],MATCH($A62,lmic_raw[[setting]:[setting]],0), MATCH(O$1, lmic_raw[#Headers],0)))</f>
        <v>0.8</v>
      </c>
      <c r="P62" s="33">
        <f>IF(INDEX(lmic_raw[],MATCH($A62,lmic_raw[[setting]:[setting]],0), MATCH(P$1, lmic_raw[#Headers],0))=0, INDEX(regions[], MATCH($D62, regions[[setting]:[setting]],0), MATCH(P$1, regions[#Headers],0)),INDEX(lmic_raw[],MATCH($A62,lmic_raw[[setting]:[setting]],0), MATCH(P$1, lmic_raw[#Headers],0)))</f>
        <v>0.17499999999999999</v>
      </c>
      <c r="Q62" s="33">
        <f>IF(INDEX(lmic_raw[],MATCH($A62,lmic_raw[[setting]:[setting]],0), MATCH(Q$1, lmic_raw[#Headers],0))=0, INDEX(regions[], MATCH($D62, regions[[setting]:[setting]],0), MATCH(Q$1, regions[#Headers],0)),INDEX(lmic_raw[],MATCH($A62,lmic_raw[[setting]:[setting]],0), MATCH(Q$1, lmic_raw[#Headers],0)))</f>
        <v>11.239587493602185</v>
      </c>
      <c r="R62" s="33">
        <f>IF(INDEX(lmic_raw[],MATCH($A62,lmic_raw[[setting]:[setting]],0), MATCH(R$1, lmic_raw[#Headers],0))=0, INDEX(regions[], MATCH($D62, regions[[setting]:[setting]],0), MATCH(R$1, regions[#Headers],0)),INDEX(lmic_raw[],MATCH($A62,lmic_raw[[setting]:[setting]],0), MATCH(R$1, lmic_raw[#Headers],0)))</f>
        <v>44.537400000000005</v>
      </c>
      <c r="S62" s="33">
        <f>IF(INDEX(lmic_raw[],MATCH($A62,lmic_raw[[setting]:[setting]],0), MATCH(S$1, lmic_raw[#Headers],0))=0, INDEX(regions[], MATCH($D62, regions[[setting]:[setting]],0), MATCH(S$1, regions[#Headers],0)),INDEX(lmic_raw[],MATCH($A62,lmic_raw[[setting]:[setting]],0), MATCH(S$1, lmic_raw[#Headers],0)))</f>
        <v>92.27940000000001</v>
      </c>
      <c r="T62" s="33">
        <f>IF(INDEX(lmic_raw[],MATCH($A62,lmic_raw[[setting]:[setting]],0), MATCH(T$1, lmic_raw[#Headers],0))=0, INDEX(regions[], MATCH($D62, regions[[setting]:[setting]],0), MATCH(T$1, regions[#Headers],0)),INDEX(lmic_raw[],MATCH($A62,lmic_raw[[setting]:[setting]],0), MATCH(T$1, lmic_raw[#Headers],0)))</f>
        <v>92.27940000000001</v>
      </c>
      <c r="U62" s="33">
        <f>IF(INDEX(lmic_raw[],MATCH($A62,lmic_raw[[setting]:[setting]],0), MATCH(U$1, lmic_raw[#Headers],0))=0, INDEX(regions[], MATCH($D62, regions[[setting]:[setting]],0), MATCH(U$1, regions[#Headers],0)),INDEX(lmic_raw[],MATCH($A62,lmic_raw[[setting]:[setting]],0), MATCH(U$1, lmic_raw[#Headers],0)))</f>
        <v>92.27940000000001</v>
      </c>
      <c r="V62" s="33">
        <f>IF(INDEX(lmic_raw[],MATCH($A62,lmic_raw[[setting]:[setting]],0), MATCH(V$1, lmic_raw[#Headers],0))=0, INDEX(regions[], MATCH($D62, regions[[setting]:[setting]],0), MATCH(V$1, regions[#Headers],0)),INDEX(lmic_raw[],MATCH($A62,lmic_raw[[setting]:[setting]],0), MATCH(V$1, lmic_raw[#Headers],0)))</f>
        <v>5.6777222829324607</v>
      </c>
      <c r="W62" s="33">
        <f>IF(INDEX(lmic_raw[],MATCH($A62,lmic_raw[[setting]:[setting]],0), MATCH(W$1, lmic_raw[#Headers],0))=0, INDEX(regions[], MATCH($D62, regions[[setting]:[setting]],0), MATCH(W$1, regions[#Headers],0)),INDEX(lmic_raw[],MATCH($A62,lmic_raw[[setting]:[setting]],0), MATCH(W$1, lmic_raw[#Headers],0)))</f>
        <v>9.747722282932461</v>
      </c>
      <c r="X62" s="33">
        <f>IF(INDEX(lmic_raw[],MATCH($A62,lmic_raw[[setting]:[setting]],0), MATCH(X$1, lmic_raw[#Headers],0))=0, INDEX(regions[], MATCH($D62, regions[[setting]:[setting]],0), MATCH(X$1, regions[#Headers],0)),INDEX(lmic_raw[],MATCH($A62,lmic_raw[[setting]:[setting]],0), MATCH(X$1, lmic_raw[#Headers],0)))</f>
        <v>5.2288497572505195</v>
      </c>
      <c r="Y62" s="33">
        <f>IF(INDEX(lmic_raw[],MATCH($A62,lmic_raw[[setting]:[setting]],0), MATCH(Y$1, lmic_raw[#Headers],0))=0, INDEX(regions[], MATCH($D62, regions[[setting]:[setting]],0), MATCH(Y$1, regions[#Headers],0)),INDEX(lmic_raw[],MATCH($A62,lmic_raw[[setting]:[setting]],0), MATCH(Y$1, lmic_raw[#Headers],0)))</f>
        <v>9.2988497572505189</v>
      </c>
      <c r="Z62" s="33">
        <f>IF(INDEX(lmic_raw[],MATCH($A62,lmic_raw[[setting]:[setting]],0), MATCH(Z$1, lmic_raw[#Headers],0))=0, INDEX(regions[], MATCH($D62, regions[[setting]:[setting]],0), MATCH(Z$1, regions[#Headers],0)),INDEX(lmic_raw[],MATCH($A62,lmic_raw[[setting]:[setting]],0), MATCH(Z$1, lmic_raw[#Headers],0)))</f>
        <v>9.2864608668080635</v>
      </c>
      <c r="AA62" s="33">
        <f>IF(INDEX(lmic_raw[],MATCH($A62,lmic_raw[[setting]:[setting]],0), MATCH(AA$1, lmic_raw[#Headers],0))=0, INDEX(regions[], MATCH($D62, regions[[setting]:[setting]],0), MATCH(AA$1, regions[#Headers],0)),INDEX(lmic_raw[],MATCH($A62,lmic_raw[[setting]:[setting]],0), MATCH(AA$1, lmic_raw[#Headers],0)))</f>
        <v>5.927751211029463</v>
      </c>
      <c r="AB62" s="33">
        <f>IF(INDEX(lmic_raw[],MATCH($A62,lmic_raw[[setting]:[setting]],0), MATCH(AB$1, lmic_raw[#Headers],0))=0, INDEX(regions[], MATCH($D62, regions[[setting]:[setting]],0), MATCH(AB$1, regions[#Headers],0)),INDEX(lmic_raw[],MATCH($A62,lmic_raw[[setting]:[setting]],0), MATCH(AB$1, lmic_raw[#Headers],0)))</f>
        <v>9.9977512110294633</v>
      </c>
      <c r="AC62" s="33">
        <f>IF(INDEX(lmic_raw[],MATCH($A62,lmic_raw[[setting]:[setting]],0), MATCH(AC$1, lmic_raw[#Headers],0))=0, INDEX(regions[], MATCH($D62, regions[[setting]:[setting]],0), MATCH(AC$1, regions[#Headers],0)),INDEX(lmic_raw[],MATCH($A62,lmic_raw[[setting]:[setting]],0), MATCH(AC$1, lmic_raw[#Headers],0)))</f>
        <v>7.6736500000000527E-3</v>
      </c>
      <c r="AD62" s="33">
        <f>IF(INDEX(lmic_raw[],MATCH($A62,lmic_raw[[setting]:[setting]],0), MATCH(AD$1, lmic_raw[#Headers],0))=0, INDEX(regions[], MATCH($D62, regions[[setting]:[setting]],0), MATCH(AD$1, regions[#Headers],0)),INDEX(lmic_raw[],MATCH($A62,lmic_raw[[setting]:[setting]],0), MATCH(AD$1, lmic_raw[#Headers],0)))</f>
        <v>5.5877282710469801E-4</v>
      </c>
      <c r="AE62" s="33">
        <f>IF(INDEX(lmic_raw[],MATCH($A62,lmic_raw[[setting]:[setting]],0), MATCH(AE$1, lmic_raw[#Headers],0))=0, INDEX(regions[], MATCH($D62, regions[[setting]:[setting]],0), MATCH(AE$1, regions[#Headers],0)),INDEX(lmic_raw[],MATCH($A62,lmic_raw[[setting]:[setting]],0), MATCH(AE$1, lmic_raw[#Headers],0)))</f>
        <v>2.7353974298632871E-4</v>
      </c>
      <c r="AF62" s="33">
        <f>IF(INDEX(lmic_raw[],MATCH($A62,lmic_raw[[setting]:[setting]],0), MATCH(AF$1, lmic_raw[#Headers],0))=0, INDEX(regions[], MATCH($D62, regions[[setting]:[setting]],0), MATCH(AF$1, regions[#Headers],0)),INDEX(lmic_raw[],MATCH($A62,lmic_raw[[setting]:[setting]],0), MATCH(AF$1, lmic_raw[#Headers],0)))</f>
        <v>2.9288976803779922E-4</v>
      </c>
      <c r="AG62" s="33">
        <f>IF(INDEX(lmic_raw[],MATCH($A62,lmic_raw[[setting]:[setting]],0), MATCH(AG$1, lmic_raw[#Headers],0))=0, INDEX(regions[], MATCH($D62, regions[[setting]:[setting]],0), MATCH(AG$1, regions[#Headers],0)),INDEX(lmic_raw[],MATCH($A62,lmic_raw[[setting]:[setting]],0), MATCH(AG$1, lmic_raw[#Headers],0)))</f>
        <v>5.9057460042845128E-4</v>
      </c>
      <c r="AH62" s="33">
        <f>IF(INDEX(lmic_raw[],MATCH($A62,lmic_raw[[setting]:[setting]],0), MATCH(AH$1, lmic_raw[#Headers],0))=0, INDEX(regions[], MATCH($D62, regions[[setting]:[setting]],0), MATCH(AH$1, regions[#Headers],0)),INDEX(lmic_raw[],MATCH($A62,lmic_raw[[setting]:[setting]],0), MATCH(AH$1, lmic_raw[#Headers],0)))</f>
        <v>8.6802308517955622E-4</v>
      </c>
      <c r="AI62" s="33">
        <f>IF(INDEX(lmic_raw[],MATCH($A62,lmic_raw[[setting]:[setting]],0), MATCH(AI$1, lmic_raw[#Headers],0))=0, INDEX(regions[], MATCH($D62, regions[[setting]:[setting]],0), MATCH(AI$1, regions[#Headers],0)),INDEX(lmic_raw[],MATCH($A62,lmic_raw[[setting]:[setting]],0), MATCH(AI$1, lmic_raw[#Headers],0)))</f>
        <v>1.1322508451784348E-3</v>
      </c>
      <c r="AJ62" s="33">
        <f>IF(INDEX(lmic_raw[],MATCH($A62,lmic_raw[[setting]:[setting]],0), MATCH(AJ$1, lmic_raw[#Headers],0))=0, INDEX(regions[], MATCH($D62, regions[[setting]:[setting]],0), MATCH(AJ$1, regions[#Headers],0)),INDEX(lmic_raw[],MATCH($A62,lmic_raw[[setting]:[setting]],0), MATCH(AJ$1, lmic_raw[#Headers],0)))</f>
        <v>1.7362060675387271E-3</v>
      </c>
      <c r="AK62" s="33">
        <f>IF(INDEX(lmic_raw[],MATCH($A62,lmic_raw[[setting]:[setting]],0), MATCH(AK$1, lmic_raw[#Headers],0))=0, INDEX(regions[], MATCH($D62, regions[[setting]:[setting]],0), MATCH(AK$1, regions[#Headers],0)),INDEX(lmic_raw[],MATCH($A62,lmic_raw[[setting]:[setting]],0), MATCH(AK$1, lmic_raw[#Headers],0)))</f>
        <v>2.7651398905049469E-3</v>
      </c>
      <c r="AL62" s="33">
        <f>IF(INDEX(lmic_raw[],MATCH($A62,lmic_raw[[setting]:[setting]],0), MATCH(AL$1, lmic_raw[#Headers],0))=0, INDEX(regions[], MATCH($D62, regions[[setting]:[setting]],0), MATCH(AL$1, regions[#Headers],0)),INDEX(lmic_raw[],MATCH($A62,lmic_raw[[setting]:[setting]],0), MATCH(AL$1, lmic_raw[#Headers],0)))</f>
        <v>3.8116304279226295E-3</v>
      </c>
      <c r="AM62" s="33">
        <f>IF(INDEX(lmic_raw[],MATCH($A62,lmic_raw[[setting]:[setting]],0), MATCH(AM$1, lmic_raw[#Headers],0))=0, INDEX(regions[], MATCH($D62, regions[[setting]:[setting]],0), MATCH(AM$1, regions[#Headers],0)),INDEX(lmic_raw[],MATCH($A62,lmic_raw[[setting]:[setting]],0), MATCH(AM$1, lmic_raw[#Headers],0)))</f>
        <v>5.1108571994989476E-3</v>
      </c>
      <c r="AN62" s="33">
        <f>IF(INDEX(lmic_raw[],MATCH($A62,lmic_raw[[setting]:[setting]],0), MATCH(AN$1, lmic_raw[#Headers],0))=0, INDEX(regions[], MATCH($D62, regions[[setting]:[setting]],0), MATCH(AN$1, regions[#Headers],0)),INDEX(lmic_raw[],MATCH($A62,lmic_raw[[setting]:[setting]],0), MATCH(AN$1, lmic_raw[#Headers],0)))</f>
        <v>7.1501039862457566E-3</v>
      </c>
      <c r="AO62" s="33">
        <f>IF(INDEX(lmic_raw[],MATCH($A62,lmic_raw[[setting]:[setting]],0), MATCH(AO$1, lmic_raw[#Headers],0))=0, INDEX(regions[], MATCH($D62, regions[[setting]:[setting]],0), MATCH(AO$1, regions[#Headers],0)),INDEX(lmic_raw[],MATCH($A62,lmic_raw[[setting]:[setting]],0), MATCH(AO$1, lmic_raw[#Headers],0)))</f>
        <v>1.0725561526911859E-2</v>
      </c>
      <c r="AP62" s="33">
        <f>IF(INDEX(lmic_raw[],MATCH($A62,lmic_raw[[setting]:[setting]],0), MATCH(AP$1, lmic_raw[#Headers],0))=0, INDEX(regions[], MATCH($D62, regions[[setting]:[setting]],0), MATCH(AP$1, regions[#Headers],0)),INDEX(lmic_raw[],MATCH($A62,lmic_raw[[setting]:[setting]],0), MATCH(AP$1, lmic_raw[#Headers],0)))</f>
        <v>1.6538686927187084E-2</v>
      </c>
      <c r="AQ62" s="33">
        <f>IF(INDEX(lmic_raw[],MATCH($A62,lmic_raw[[setting]:[setting]],0), MATCH(AQ$1, lmic_raw[#Headers],0))=0, INDEX(regions[], MATCH($D62, regions[[setting]:[setting]],0), MATCH(AQ$1, regions[#Headers],0)),INDEX(lmic_raw[],MATCH($A62,lmic_raw[[setting]:[setting]],0), MATCH(AQ$1, lmic_raw[#Headers],0)))</f>
        <v>2.4728424144013106E-2</v>
      </c>
      <c r="AR62" s="33">
        <f>IF(INDEX(lmic_raw[],MATCH($A62,lmic_raw[[setting]:[setting]],0), MATCH(AR$1, lmic_raw[#Headers],0))=0, INDEX(regions[], MATCH($D62, regions[[setting]:[setting]],0), MATCH(AR$1, regions[#Headers],0)),INDEX(lmic_raw[],MATCH($A62,lmic_raw[[setting]:[setting]],0), MATCH(AR$1, lmic_raw[#Headers],0)))</f>
        <v>3.4583943415142905E-2</v>
      </c>
      <c r="AS62" s="33">
        <f>IF(INDEX(lmic_raw[],MATCH($A62,lmic_raw[[setting]:[setting]],0), MATCH(AS$1, lmic_raw[#Headers],0))=0, INDEX(regions[], MATCH($D62, regions[[setting]:[setting]],0), MATCH(AS$1, regions[#Headers],0)),INDEX(lmic_raw[],MATCH($A62,lmic_raw[[setting]:[setting]],0), MATCH(AS$1, lmic_raw[#Headers],0)))</f>
        <v>5.4274969562793166E-2</v>
      </c>
      <c r="AT62" s="33">
        <f>IF(INDEX(lmic_raw[],MATCH($A62,lmic_raw[[setting]:[setting]],0), MATCH(AT$1, lmic_raw[#Headers],0))=0, INDEX(regions[], MATCH($D62, regions[[setting]:[setting]],0), MATCH(AT$1, regions[#Headers],0)),INDEX(lmic_raw[],MATCH($A62,lmic_raw[[setting]:[setting]],0), MATCH(AT$1, lmic_raw[#Headers],0)))</f>
        <v>7.9683684738573041E-2</v>
      </c>
      <c r="AU62" s="33">
        <f>IF(INDEX(lmic_raw[],MATCH($A62,lmic_raw[[setting]:[setting]],0), MATCH(AU$1, lmic_raw[#Headers],0))=0, INDEX(regions[], MATCH($D62, regions[[setting]:[setting]],0), MATCH(AU$1, regions[#Headers],0)),INDEX(lmic_raw[],MATCH($A62,lmic_raw[[setting]:[setting]],0), MATCH(AU$1, lmic_raw[#Headers],0)))</f>
        <v>0.11119078253863507</v>
      </c>
      <c r="AV62" s="33">
        <f>IF(INDEX(lmic_raw[],MATCH($A62,lmic_raw[[setting]:[setting]],0), MATCH(AV$1, lmic_raw[#Headers],0))=0, INDEX(regions[], MATCH($D62, regions[[setting]:[setting]],0), MATCH(AV$1, regions[#Headers],0)),INDEX(lmic_raw[],MATCH($A62,lmic_raw[[setting]:[setting]],0), MATCH(AV$1, lmic_raw[#Headers],0)))</f>
        <v>0.14423617153627075</v>
      </c>
      <c r="AW62" s="33">
        <f>IF(INDEX(lmic_raw[],MATCH($A62,lmic_raw[[setting]:[setting]],0), MATCH(AW$1, lmic_raw[#Headers],0))=0, INDEX(regions[], MATCH($D62, regions[[setting]:[setting]],0), MATCH(AW$1, regions[#Headers],0)),INDEX(lmic_raw[],MATCH($A62,lmic_raw[[setting]:[setting]],0), MATCH(AW$1, lmic_raw[#Headers],0)))</f>
        <v>0.16970912047030279</v>
      </c>
      <c r="AX62" s="33">
        <f>IF(INDEX(lmic_raw[],MATCH($A62,lmic_raw[[setting]:[setting]],0), MATCH(AX$1, lmic_raw[#Headers],0))=0, INDEX(regions[], MATCH($D62, regions[[setting]:[setting]],0), MATCH(AX$1, regions[#Headers],0)),INDEX(lmic_raw[],MATCH($A62,lmic_raw[[setting]:[setting]],0), MATCH(AX$1, lmic_raw[#Headers],0)))</f>
        <v>73.224999999999994</v>
      </c>
      <c r="AY62" s="33" t="str">
        <f>IF(VLOOKUP($A62,lmic_raw[],11,FALSE)=0, "Yes", "No")</f>
        <v>No</v>
      </c>
    </row>
    <row r="63" spans="1:51" x14ac:dyDescent="0.25">
      <c r="A63" s="110" t="s">
        <v>106</v>
      </c>
      <c r="B63" s="104" t="s">
        <v>448</v>
      </c>
      <c r="C63" s="105">
        <v>404</v>
      </c>
      <c r="D63" s="84" t="s">
        <v>677</v>
      </c>
      <c r="E63" s="84" t="s">
        <v>597</v>
      </c>
      <c r="F63" s="84" t="s">
        <v>667</v>
      </c>
      <c r="G63" s="84" t="s">
        <v>678</v>
      </c>
      <c r="H63" s="33">
        <f>IF(INDEX(lmic_raw[],MATCH($A63,lmic_raw[[setting]:[setting]],0), MATCH(H$1, lmic_raw[#Headers],0))=0, INDEX(regions[], MATCH($D63, regions[[setting]:[setting]],0), MATCH(H$1, regions[#Headers],0)),INDEX(lmic_raw[],MATCH($A63,lmic_raw[[setting]:[setting]],0), MATCH(H$1, lmic_raw[#Headers],0)))</f>
        <v>52573967</v>
      </c>
      <c r="I63" s="33">
        <f>IF(INDEX(lmic_raw[],MATCH($A63,lmic_raw[[setting]:[setting]],0), MATCH(I$1, lmic_raw[#Headers],0))=0, INDEX(regions[], MATCH($D63, regions[[setting]:[setting]],0), MATCH(I$1, regions[#Headers],0)),INDEX(lmic_raw[],MATCH($A63,lmic_raw[[setting]:[setting]],0), MATCH(I$1, lmic_raw[#Headers],0)))</f>
        <v>1519650.5161349999</v>
      </c>
      <c r="J63" s="33">
        <f>IF(INDEX(lmic_raw[],MATCH($A63,lmic_raw[[setting]:[setting]],0), MATCH(J$1, lmic_raw[#Headers],0))=0, INDEX(regions[], MATCH($D63, regions[[setting]:[setting]],0), MATCH(J$1, regions[#Headers],0)),INDEX(lmic_raw[],MATCH($A63,lmic_raw[[setting]:[setting]],0), MATCH(J$1, lmic_raw[#Headers],0)))</f>
        <v>0.61199999999999999</v>
      </c>
      <c r="K63" s="33">
        <f>IF(INDEX(lmic_raw[],MATCH($A63,lmic_raw[[setting]:[setting]],0), MATCH(K$1, lmic_raw[#Headers],0))=0, INDEX(regions[], MATCH($D63, regions[[setting]:[setting]],0), MATCH(K$1, regions[#Headers],0)),INDEX(lmic_raw[],MATCH($A63,lmic_raw[[setting]:[setting]],0), MATCH(K$1, lmic_raw[#Headers],0)))</f>
        <v>0.69252604416320784</v>
      </c>
      <c r="L63" s="33">
        <f>IF(INDEX(lmic_raw[],MATCH($A63,lmic_raw[[setting]:[setting]],0), MATCH(L$1, lmic_raw[#Headers],0))=0, INDEX(regions[], MATCH($D63, regions[[setting]:[setting]],0), MATCH(L$1, regions[#Headers],0)),INDEX(lmic_raw[],MATCH($A63,lmic_raw[[setting]:[setting]],0), MATCH(L$1, lmic_raw[#Headers],0)))</f>
        <v>0.92</v>
      </c>
      <c r="M63" s="33">
        <f>IF(INDEX(lmic_raw[],MATCH($A63,lmic_raw[[setting]:[setting]],0), MATCH(M$1, lmic_raw[#Headers],0))=0, INDEX(regions[], MATCH($D63, regions[[setting]:[setting]],0), MATCH(M$1, regions[#Headers],0)),INDEX(lmic_raw[],MATCH($A63,lmic_raw[[setting]:[setting]],0), MATCH(M$1, lmic_raw[#Headers],0)))</f>
        <v>2.1700000000000001E-2</v>
      </c>
      <c r="N63" s="33">
        <f>IF(INDEX(lmic_raw[],MATCH($A63,lmic_raw[[setting]:[setting]],0), MATCH(N$1, lmic_raw[#Headers],0))=0, INDEX(regions[], MATCH($D63, regions[[setting]:[setting]],0), MATCH(N$1, regions[#Headers],0)),INDEX(lmic_raw[],MATCH($A63,lmic_raw[[setting]:[setting]],0), MATCH(N$1, lmic_raw[#Headers],0)))</f>
        <v>0.29029165014939401</v>
      </c>
      <c r="O63" s="33">
        <f>IF(INDEX(lmic_raw[],MATCH($A63,lmic_raw[[setting]:[setting]],0), MATCH(O$1, lmic_raw[#Headers],0))=0, INDEX(regions[], MATCH($D63, regions[[setting]:[setting]],0), MATCH(O$1, regions[#Headers],0)),INDEX(lmic_raw[],MATCH($A63,lmic_raw[[setting]:[setting]],0), MATCH(O$1, lmic_raw[#Headers],0)))</f>
        <v>0.38300000000000001</v>
      </c>
      <c r="P63" s="33">
        <f>IF(INDEX(lmic_raw[],MATCH($A63,lmic_raw[[setting]:[setting]],0), MATCH(P$1, lmic_raw[#Headers],0))=0, INDEX(regions[], MATCH($D63, regions[[setting]:[setting]],0), MATCH(P$1, regions[#Headers],0)),INDEX(lmic_raw[],MATCH($A63,lmic_raw[[setting]:[setting]],0), MATCH(P$1, lmic_raw[#Headers],0)))</f>
        <v>4.8000000000000001E-2</v>
      </c>
      <c r="Q63" s="33">
        <f>IF(INDEX(lmic_raw[],MATCH($A63,lmic_raw[[setting]:[setting]],0), MATCH(Q$1, lmic_raw[#Headers],0))=0, INDEX(regions[], MATCH($D63, regions[[setting]:[setting]],0), MATCH(Q$1, regions[#Headers],0)),INDEX(lmic_raw[],MATCH($A63,lmic_raw[[setting]:[setting]],0), MATCH(Q$1, lmic_raw[#Headers],0)))</f>
        <v>3.1448952860372916</v>
      </c>
      <c r="R63" s="33">
        <f>IF(INDEX(lmic_raw[],MATCH($A63,lmic_raw[[setting]:[setting]],0), MATCH(R$1, lmic_raw[#Headers],0))=0, INDEX(regions[], MATCH($D63, regions[[setting]:[setting]],0), MATCH(R$1, regions[#Headers],0)),INDEX(lmic_raw[],MATCH($A63,lmic_raw[[setting]:[setting]],0), MATCH(R$1, lmic_raw[#Headers],0)))</f>
        <v>29.920500000000001</v>
      </c>
      <c r="S63" s="33">
        <f>IF(INDEX(lmic_raw[],MATCH($A63,lmic_raw[[setting]:[setting]],0), MATCH(S$1, lmic_raw[#Headers],0))=0, INDEX(regions[], MATCH($D63, regions[[setting]:[setting]],0), MATCH(S$1, regions[#Headers],0)),INDEX(lmic_raw[],MATCH($A63,lmic_raw[[setting]:[setting]],0), MATCH(S$1, lmic_raw[#Headers],0)))</f>
        <v>77.662500000000009</v>
      </c>
      <c r="T63" s="33">
        <f>IF(INDEX(lmic_raw[],MATCH($A63,lmic_raw[[setting]:[setting]],0), MATCH(T$1, lmic_raw[#Headers],0))=0, INDEX(regions[], MATCH($D63, regions[[setting]:[setting]],0), MATCH(T$1, regions[#Headers],0)),INDEX(lmic_raw[],MATCH($A63,lmic_raw[[setting]:[setting]],0), MATCH(T$1, lmic_raw[#Headers],0)))</f>
        <v>77.662500000000009</v>
      </c>
      <c r="U63" s="33">
        <f>IF(INDEX(lmic_raw[],MATCH($A63,lmic_raw[[setting]:[setting]],0), MATCH(U$1, lmic_raw[#Headers],0))=0, INDEX(regions[], MATCH($D63, regions[[setting]:[setting]],0), MATCH(U$1, regions[#Headers],0)),INDEX(lmic_raw[],MATCH($A63,lmic_raw[[setting]:[setting]],0), MATCH(U$1, lmic_raw[#Headers],0)))</f>
        <v>77.662500000000009</v>
      </c>
      <c r="V63" s="33">
        <f>IF(INDEX(lmic_raw[],MATCH($A63,lmic_raw[[setting]:[setting]],0), MATCH(V$1, lmic_raw[#Headers],0))=0, INDEX(regions[], MATCH($D63, regions[[setting]:[setting]],0), MATCH(V$1, regions[#Headers],0)),INDEX(lmic_raw[],MATCH($A63,lmic_raw[[setting]:[setting]],0), MATCH(V$1, lmic_raw[#Headers],0)))</f>
        <v>2.6107828891683753</v>
      </c>
      <c r="W63" s="33">
        <f>IF(INDEX(lmic_raw[],MATCH($A63,lmic_raw[[setting]:[setting]],0), MATCH(W$1, lmic_raw[#Headers],0))=0, INDEX(regions[], MATCH($D63, regions[[setting]:[setting]],0), MATCH(W$1, regions[#Headers],0)),INDEX(lmic_raw[],MATCH($A63,lmic_raw[[setting]:[setting]],0), MATCH(W$1, lmic_raw[#Headers],0)))</f>
        <v>7.4407828891683749</v>
      </c>
      <c r="X63" s="33">
        <f>IF(INDEX(lmic_raw[],MATCH($A63,lmic_raw[[setting]:[setting]],0), MATCH(X$1, lmic_raw[#Headers],0))=0, INDEX(regions[], MATCH($D63, regions[[setting]:[setting]],0), MATCH(X$1, regions[#Headers],0)),INDEX(lmic_raw[],MATCH($A63,lmic_raw[[setting]:[setting]],0), MATCH(X$1, lmic_raw[#Headers],0)))</f>
        <v>2.1824757206698377</v>
      </c>
      <c r="Y63" s="33">
        <f>IF(INDEX(lmic_raw[],MATCH($A63,lmic_raw[[setting]:[setting]],0), MATCH(Y$1, lmic_raw[#Headers],0))=0, INDEX(regions[], MATCH($D63, regions[[setting]:[setting]],0), MATCH(Y$1, regions[#Headers],0)),INDEX(lmic_raw[],MATCH($A63,lmic_raw[[setting]:[setting]],0), MATCH(Y$1, lmic_raw[#Headers],0)))</f>
        <v>7.0124757206698378</v>
      </c>
      <c r="Z63" s="33">
        <f>IF(INDEX(lmic_raw[],MATCH($A63,lmic_raw[[setting]:[setting]],0), MATCH(Z$1, lmic_raw[#Headers],0))=0, INDEX(regions[], MATCH($D63, regions[[setting]:[setting]],0), MATCH(Z$1, regions[#Headers],0)),INDEX(lmic_raw[],MATCH($A63,lmic_raw[[setting]:[setting]],0), MATCH(Z$1, lmic_raw[#Headers],0)))</f>
        <v>7.0084132431721979</v>
      </c>
      <c r="AA63" s="33">
        <f>IF(INDEX(lmic_raw[],MATCH($A63,lmic_raw[[setting]:[setting]],0), MATCH(AA$1, lmic_raw[#Headers],0))=0, INDEX(regions[], MATCH($D63, regions[[setting]:[setting]],0), MATCH(AA$1, regions[#Headers],0)),INDEX(lmic_raw[],MATCH($A63,lmic_raw[[setting]:[setting]],0), MATCH(AA$1, lmic_raw[#Headers],0)))</f>
        <v>2.8533987233969422</v>
      </c>
      <c r="AB63" s="33">
        <f>IF(INDEX(lmic_raw[],MATCH($A63,lmic_raw[[setting]:[setting]],0), MATCH(AB$1, lmic_raw[#Headers],0))=0, INDEX(regions[], MATCH($D63, regions[[setting]:[setting]],0), MATCH(AB$1, regions[#Headers],0)),INDEX(lmic_raw[],MATCH($A63,lmic_raw[[setting]:[setting]],0), MATCH(AB$1, lmic_raw[#Headers],0)))</f>
        <v>7.6833987233969427</v>
      </c>
      <c r="AC63" s="33">
        <f>IF(INDEX(lmic_raw[],MATCH($A63,lmic_raw[[setting]:[setting]],0), MATCH(AC$1, lmic_raw[#Headers],0))=0, INDEX(regions[], MATCH($D63, regions[[setting]:[setting]],0), MATCH(AC$1, regions[#Headers],0)),INDEX(lmic_raw[],MATCH($A63,lmic_raw[[setting]:[setting]],0), MATCH(AC$1, lmic_raw[#Headers],0)))</f>
        <v>3.6371680000000052E-2</v>
      </c>
      <c r="AD63" s="33">
        <f>IF(INDEX(lmic_raw[],MATCH($A63,lmic_raw[[setting]:[setting]],0), MATCH(AD$1, lmic_raw[#Headers],0))=0, INDEX(regions[], MATCH($D63, regions[[setting]:[setting]],0), MATCH(AD$1, regions[#Headers],0)),INDEX(lmic_raw[],MATCH($A63,lmic_raw[[setting]:[setting]],0), MATCH(AD$1, lmic_raw[#Headers],0)))</f>
        <v>2.8778575125313626E-3</v>
      </c>
      <c r="AE63" s="33">
        <f>IF(INDEX(lmic_raw[],MATCH($A63,lmic_raw[[setting]:[setting]],0), MATCH(AE$1, lmic_raw[#Headers],0))=0, INDEX(regions[], MATCH($D63, regions[[setting]:[setting]],0), MATCH(AE$1, regions[#Headers],0)),INDEX(lmic_raw[],MATCH($A63,lmic_raw[[setting]:[setting]],0), MATCH(AE$1, lmic_raw[#Headers],0)))</f>
        <v>8.8878149832473396E-4</v>
      </c>
      <c r="AF63" s="33">
        <f>IF(INDEX(lmic_raw[],MATCH($A63,lmic_raw[[setting]:[setting]],0), MATCH(AF$1, lmic_raw[#Headers],0))=0, INDEX(regions[], MATCH($D63, regions[[setting]:[setting]],0), MATCH(AF$1, regions[#Headers],0)),INDEX(lmic_raw[],MATCH($A63,lmic_raw[[setting]:[setting]],0), MATCH(AF$1, lmic_raw[#Headers],0)))</f>
        <v>7.2191935359029714E-4</v>
      </c>
      <c r="AG63" s="33">
        <f>IF(INDEX(lmic_raw[],MATCH($A63,lmic_raw[[setting]:[setting]],0), MATCH(AG$1, lmic_raw[#Headers],0))=0, INDEX(regions[], MATCH($D63, regions[[setting]:[setting]],0), MATCH(AG$1, regions[#Headers],0)),INDEX(lmic_raw[],MATCH($A63,lmic_raw[[setting]:[setting]],0), MATCH(AG$1, lmic_raw[#Headers],0)))</f>
        <v>1.2535671078773741E-3</v>
      </c>
      <c r="AH63" s="33">
        <f>IF(INDEX(lmic_raw[],MATCH($A63,lmic_raw[[setting]:[setting]],0), MATCH(AH$1, lmic_raw[#Headers],0))=0, INDEX(regions[], MATCH($D63, regions[[setting]:[setting]],0), MATCH(AH$1, regions[#Headers],0)),INDEX(lmic_raw[],MATCH($A63,lmic_raw[[setting]:[setting]],0), MATCH(AH$1, lmic_raw[#Headers],0)))</f>
        <v>2.0151098251266352E-3</v>
      </c>
      <c r="AI63" s="33">
        <f>IF(INDEX(lmic_raw[],MATCH($A63,lmic_raw[[setting]:[setting]],0), MATCH(AI$1, lmic_raw[#Headers],0))=0, INDEX(regions[], MATCH($D63, regions[[setting]:[setting]],0), MATCH(AI$1, regions[#Headers],0)),INDEX(lmic_raw[],MATCH($A63,lmic_raw[[setting]:[setting]],0), MATCH(AI$1, lmic_raw[#Headers],0)))</f>
        <v>2.7743378338870063E-3</v>
      </c>
      <c r="AJ63" s="33">
        <f>IF(INDEX(lmic_raw[],MATCH($A63,lmic_raw[[setting]:[setting]],0), MATCH(AJ$1, lmic_raw[#Headers],0))=0, INDEX(regions[], MATCH($D63, regions[[setting]:[setting]],0), MATCH(AJ$1, regions[#Headers],0)),INDEX(lmic_raw[],MATCH($A63,lmic_raw[[setting]:[setting]],0), MATCH(AJ$1, lmic_raw[#Headers],0)))</f>
        <v>3.6171295347846425E-3</v>
      </c>
      <c r="AK63" s="33">
        <f>IF(INDEX(lmic_raw[],MATCH($A63,lmic_raw[[setting]:[setting]],0), MATCH(AK$1, lmic_raw[#Headers],0))=0, INDEX(regions[], MATCH($D63, regions[[setting]:[setting]],0), MATCH(AK$1, regions[#Headers],0)),INDEX(lmic_raw[],MATCH($A63,lmic_raw[[setting]:[setting]],0), MATCH(AK$1, lmic_raw[#Headers],0)))</f>
        <v>4.8349930451986167E-3</v>
      </c>
      <c r="AL63" s="33">
        <f>IF(INDEX(lmic_raw[],MATCH($A63,lmic_raw[[setting]:[setting]],0), MATCH(AL$1, lmic_raw[#Headers],0))=0, INDEX(regions[], MATCH($D63, regions[[setting]:[setting]],0), MATCH(AL$1, regions[#Headers],0)),INDEX(lmic_raw[],MATCH($A63,lmic_raw[[setting]:[setting]],0), MATCH(AL$1, lmic_raw[#Headers],0)))</f>
        <v>6.0774118722196563E-3</v>
      </c>
      <c r="AM63" s="33">
        <f>IF(INDEX(lmic_raw[],MATCH($A63,lmic_raw[[setting]:[setting]],0), MATCH(AM$1, lmic_raw[#Headers],0))=0, INDEX(regions[], MATCH($D63, regions[[setting]:[setting]],0), MATCH(AM$1, regions[#Headers],0)),INDEX(lmic_raw[],MATCH($A63,lmic_raw[[setting]:[setting]],0), MATCH(AM$1, lmic_raw[#Headers],0)))</f>
        <v>7.6402037982026281E-3</v>
      </c>
      <c r="AN63" s="33">
        <f>IF(INDEX(lmic_raw[],MATCH($A63,lmic_raw[[setting]:[setting]],0), MATCH(AN$1, lmic_raw[#Headers],0))=0, INDEX(regions[], MATCH($D63, regions[[setting]:[setting]],0), MATCH(AN$1, regions[#Headers],0)),INDEX(lmic_raw[],MATCH($A63,lmic_raw[[setting]:[setting]],0), MATCH(AN$1, lmic_raw[#Headers],0)))</f>
        <v>1.0285721443846717E-2</v>
      </c>
      <c r="AO63" s="33">
        <f>IF(INDEX(lmic_raw[],MATCH($A63,lmic_raw[[setting]:[setting]],0), MATCH(AO$1, lmic_raw[#Headers],0))=0, INDEX(regions[], MATCH($D63, regions[[setting]:[setting]],0), MATCH(AO$1, regions[#Headers],0)),INDEX(lmic_raw[],MATCH($A63,lmic_raw[[setting]:[setting]],0), MATCH(AO$1, lmic_raw[#Headers],0)))</f>
        <v>1.3317102527833061E-2</v>
      </c>
      <c r="AP63" s="33">
        <f>IF(INDEX(lmic_raw[],MATCH($A63,lmic_raw[[setting]:[setting]],0), MATCH(AP$1, lmic_raw[#Headers],0))=0, INDEX(regions[], MATCH($D63, regions[[setting]:[setting]],0), MATCH(AP$1, regions[#Headers],0)),INDEX(lmic_raw[],MATCH($A63,lmic_raw[[setting]:[setting]],0), MATCH(AP$1, lmic_raw[#Headers],0)))</f>
        <v>1.9017377283509957E-2</v>
      </c>
      <c r="AQ63" s="33">
        <f>IF(INDEX(lmic_raw[],MATCH($A63,lmic_raw[[setting]:[setting]],0), MATCH(AQ$1, lmic_raw[#Headers],0))=0, INDEX(regions[], MATCH($D63, regions[[setting]:[setting]],0), MATCH(AQ$1, regions[#Headers],0)),INDEX(lmic_raw[],MATCH($A63,lmic_raw[[setting]:[setting]],0), MATCH(AQ$1, lmic_raw[#Headers],0)))</f>
        <v>2.8329205279911861E-2</v>
      </c>
      <c r="AR63" s="33">
        <f>IF(INDEX(lmic_raw[],MATCH($A63,lmic_raw[[setting]:[setting]],0), MATCH(AR$1, lmic_raw[#Headers],0))=0, INDEX(regions[], MATCH($D63, regions[[setting]:[setting]],0), MATCH(AR$1, regions[#Headers],0)),INDEX(lmic_raw[],MATCH($A63,lmic_raw[[setting]:[setting]],0), MATCH(AR$1, lmic_raw[#Headers],0)))</f>
        <v>4.2834133912262096E-2</v>
      </c>
      <c r="AS63" s="33">
        <f>IF(INDEX(lmic_raw[],MATCH($A63,lmic_raw[[setting]:[setting]],0), MATCH(AS$1, lmic_raw[#Headers],0))=0, INDEX(regions[], MATCH($D63, regions[[setting]:[setting]],0), MATCH(AS$1, regions[#Headers],0)),INDEX(lmic_raw[],MATCH($A63,lmic_raw[[setting]:[setting]],0), MATCH(AS$1, lmic_raw[#Headers],0)))</f>
        <v>6.4664908087092451E-2</v>
      </c>
      <c r="AT63" s="33">
        <f>IF(INDEX(lmic_raw[],MATCH($A63,lmic_raw[[setting]:[setting]],0), MATCH(AT$1, lmic_raw[#Headers],0))=0, INDEX(regions[], MATCH($D63, regions[[setting]:[setting]],0), MATCH(AT$1, regions[#Headers],0)),INDEX(lmic_raw[],MATCH($A63,lmic_raw[[setting]:[setting]],0), MATCH(AT$1, lmic_raw[#Headers],0)))</f>
        <v>9.7217163228875234E-2</v>
      </c>
      <c r="AU63" s="33">
        <f>IF(INDEX(lmic_raw[],MATCH($A63,lmic_raw[[setting]:[setting]],0), MATCH(AU$1, lmic_raw[#Headers],0))=0, INDEX(regions[], MATCH($D63, regions[[setting]:[setting]],0), MATCH(AU$1, regions[#Headers],0)),INDEX(lmic_raw[],MATCH($A63,lmic_raw[[setting]:[setting]],0), MATCH(AU$1, lmic_raw[#Headers],0)))</f>
        <v>0.1368826401817643</v>
      </c>
      <c r="AV63" s="33">
        <f>IF(INDEX(lmic_raw[],MATCH($A63,lmic_raw[[setting]:[setting]],0), MATCH(AV$1, lmic_raw[#Headers],0))=0, INDEX(regions[], MATCH($D63, regions[[setting]:[setting]],0), MATCH(AV$1, regions[#Headers],0)),INDEX(lmic_raw[],MATCH($A63,lmic_raw[[setting]:[setting]],0), MATCH(AV$1, lmic_raw[#Headers],0)))</f>
        <v>0.17226761766858911</v>
      </c>
      <c r="AW63" s="33">
        <f>IF(INDEX(lmic_raw[],MATCH($A63,lmic_raw[[setting]:[setting]],0), MATCH(AW$1, lmic_raw[#Headers],0))=0, INDEX(regions[], MATCH($D63, regions[[setting]:[setting]],0), MATCH(AW$1, regions[#Headers],0)),INDEX(lmic_raw[],MATCH($A63,lmic_raw[[setting]:[setting]],0), MATCH(AW$1, lmic_raw[#Headers],0)))</f>
        <v>0.18675635071800664</v>
      </c>
      <c r="AX63" s="33">
        <f>IF(INDEX(lmic_raw[],MATCH($A63,lmic_raw[[setting]:[setting]],0), MATCH(AX$1, lmic_raw[#Headers],0))=0, INDEX(regions[], MATCH($D63, regions[[setting]:[setting]],0), MATCH(AX$1, regions[#Headers],0)),INDEX(lmic_raw[],MATCH($A63,lmic_raw[[setting]:[setting]],0), MATCH(AX$1, lmic_raw[#Headers],0)))</f>
        <v>66.177999999999997</v>
      </c>
      <c r="AY63" s="33" t="str">
        <f>IF(VLOOKUP($A63,lmic_raw[],11,FALSE)=0, "Yes", "No")</f>
        <v>Yes</v>
      </c>
    </row>
    <row r="64" spans="1:51" x14ac:dyDescent="0.25">
      <c r="A64" s="109" t="s">
        <v>288</v>
      </c>
      <c r="B64" s="101" t="s">
        <v>449</v>
      </c>
      <c r="C64" s="102">
        <v>296</v>
      </c>
      <c r="D64" s="82" t="s">
        <v>681</v>
      </c>
      <c r="E64" s="82" t="s">
        <v>98</v>
      </c>
      <c r="F64" s="82" t="s">
        <v>666</v>
      </c>
      <c r="G64" s="82" t="s">
        <v>678</v>
      </c>
      <c r="H64" s="33">
        <f>IF(INDEX(lmic_raw[],MATCH($A64,lmic_raw[[setting]:[setting]],0), MATCH(H$1, lmic_raw[#Headers],0))=0, INDEX(regions[], MATCH($D64, regions[[setting]:[setting]],0), MATCH(H$1, regions[#Headers],0)),INDEX(lmic_raw[],MATCH($A64,lmic_raw[[setting]:[setting]],0), MATCH(H$1, lmic_raw[#Headers],0)))</f>
        <v>117608</v>
      </c>
      <c r="I64" s="33">
        <f>IF(INDEX(lmic_raw[],MATCH($A64,lmic_raw[[setting]:[setting]],0), MATCH(I$1, lmic_raw[#Headers],0))=0, INDEX(regions[], MATCH($D64, regions[[setting]:[setting]],0), MATCH(I$1, regions[#Headers],0)),INDEX(lmic_raw[],MATCH($A64,lmic_raw[[setting]:[setting]],0), MATCH(I$1, lmic_raw[#Headers],0)))</f>
        <v>3301.6093840000003</v>
      </c>
      <c r="J64" s="33">
        <f>IF(INDEX(lmic_raw[],MATCH($A64,lmic_raw[[setting]:[setting]],0), MATCH(J$1, lmic_raw[#Headers],0))=0, INDEX(regions[], MATCH($D64, regions[[setting]:[setting]],0), MATCH(J$1, regions[#Headers],0)),INDEX(lmic_raw[],MATCH($A64,lmic_raw[[setting]:[setting]],0), MATCH(J$1, lmic_raw[#Headers],0)))</f>
        <v>0.86099999999999999</v>
      </c>
      <c r="K64" s="33">
        <f>IF(INDEX(lmic_raw[],MATCH($A64,lmic_raw[[setting]:[setting]],0), MATCH(K$1, lmic_raw[#Headers],0))=0, INDEX(regions[], MATCH($D64, regions[[setting]:[setting]],0), MATCH(K$1, regions[#Headers],0)),INDEX(lmic_raw[],MATCH($A64,lmic_raw[[setting]:[setting]],0), MATCH(K$1, lmic_raw[#Headers],0)))</f>
        <v>0.99</v>
      </c>
      <c r="L64" s="33">
        <f>IF(INDEX(lmic_raw[],MATCH($A64,lmic_raw[[setting]:[setting]],0), MATCH(L$1, lmic_raw[#Headers],0))=0, INDEX(regions[], MATCH($D64, regions[[setting]:[setting]],0), MATCH(L$1, regions[#Headers],0)),INDEX(lmic_raw[],MATCH($A64,lmic_raw[[setting]:[setting]],0), MATCH(L$1, lmic_raw[#Headers],0)))</f>
        <v>0.94</v>
      </c>
      <c r="M64" s="33">
        <f>IF(INDEX(lmic_raw[],MATCH($A64,lmic_raw[[setting]:[setting]],0), MATCH(M$1, lmic_raw[#Headers],0))=0, INDEX(regions[], MATCH($D64, regions[[setting]:[setting]],0), MATCH(M$1, regions[#Headers],0)),INDEX(lmic_raw[],MATCH($A64,lmic_raw[[setting]:[setting]],0), MATCH(M$1, lmic_raw[#Headers],0)))</f>
        <v>0.152</v>
      </c>
      <c r="N64" s="33">
        <f>IF(INDEX(lmic_raw[],MATCH($A64,lmic_raw[[setting]:[setting]],0), MATCH(N$1, lmic_raw[#Headers],0))=0, INDEX(regions[], MATCH($D64, regions[[setting]:[setting]],0), MATCH(N$1, regions[#Headers],0)),INDEX(lmic_raw[],MATCH($A64,lmic_raw[[setting]:[setting]],0), MATCH(N$1, lmic_raw[#Headers],0)))</f>
        <v>0.31472755890902343</v>
      </c>
      <c r="O64" s="33">
        <f>IF(INDEX(lmic_raw[],MATCH($A64,lmic_raw[[setting]:[setting]],0), MATCH(O$1, lmic_raw[#Headers],0))=0, INDEX(regions[], MATCH($D64, regions[[setting]:[setting]],0), MATCH(O$1, regions[#Headers],0)),INDEX(lmic_raw[],MATCH($A64,lmic_raw[[setting]:[setting]],0), MATCH(O$1, lmic_raw[#Headers],0)))</f>
        <v>0.8</v>
      </c>
      <c r="P64" s="33">
        <f>IF(INDEX(lmic_raw[],MATCH($A64,lmic_raw[[setting]:[setting]],0), MATCH(P$1, lmic_raw[#Headers],0))=0, INDEX(regions[], MATCH($D64, regions[[setting]:[setting]],0), MATCH(P$1, regions[#Headers],0)),INDEX(lmic_raw[],MATCH($A64,lmic_raw[[setting]:[setting]],0), MATCH(P$1, lmic_raw[#Headers],0)))</f>
        <v>0.17499999999999999</v>
      </c>
      <c r="Q64" s="33">
        <f>IF(INDEX(lmic_raw[],MATCH($A64,lmic_raw[[setting]:[setting]],0), MATCH(Q$1, lmic_raw[#Headers],0))=0, INDEX(regions[], MATCH($D64, regions[[setting]:[setting]],0), MATCH(Q$1, regions[#Headers],0)),INDEX(lmic_raw[],MATCH($A64,lmic_raw[[setting]:[setting]],0), MATCH(Q$1, lmic_raw[#Headers],0)))</f>
        <v>6.0528125746786392</v>
      </c>
      <c r="R64" s="33">
        <f>IF(INDEX(lmic_raw[],MATCH($A64,lmic_raw[[setting]:[setting]],0), MATCH(R$1, lmic_raw[#Headers],0))=0, INDEX(regions[], MATCH($D64, regions[[setting]:[setting]],0), MATCH(R$1, regions[#Headers],0)),INDEX(lmic_raw[],MATCH($A64,lmic_raw[[setting]:[setting]],0), MATCH(R$1, lmic_raw[#Headers],0)))</f>
        <v>73.084500000000006</v>
      </c>
      <c r="S64" s="33">
        <f>IF(INDEX(lmic_raw[],MATCH($A64,lmic_raw[[setting]:[setting]],0), MATCH(S$1, lmic_raw[#Headers],0))=0, INDEX(regions[], MATCH($D64, regions[[setting]:[setting]],0), MATCH(S$1, regions[#Headers],0)),INDEX(lmic_raw[],MATCH($A64,lmic_raw[[setting]:[setting]],0), MATCH(S$1, lmic_raw[#Headers],0)))</f>
        <v>120.8265</v>
      </c>
      <c r="T64" s="33">
        <f>IF(INDEX(lmic_raw[],MATCH($A64,lmic_raw[[setting]:[setting]],0), MATCH(T$1, lmic_raw[#Headers],0))=0, INDEX(regions[], MATCH($D64, regions[[setting]:[setting]],0), MATCH(T$1, regions[#Headers],0)),INDEX(lmic_raw[],MATCH($A64,lmic_raw[[setting]:[setting]],0), MATCH(T$1, lmic_raw[#Headers],0)))</f>
        <v>120.8265</v>
      </c>
      <c r="U64" s="33">
        <f>IF(INDEX(lmic_raw[],MATCH($A64,lmic_raw[[setting]:[setting]],0), MATCH(U$1, lmic_raw[#Headers],0))=0, INDEX(regions[], MATCH($D64, regions[[setting]:[setting]],0), MATCH(U$1, regions[#Headers],0)),INDEX(lmic_raw[],MATCH($A64,lmic_raw[[setting]:[setting]],0), MATCH(U$1, lmic_raw[#Headers],0)))</f>
        <v>120.8265</v>
      </c>
      <c r="V64" s="33">
        <f>IF(INDEX(lmic_raw[],MATCH($A64,lmic_raw[[setting]:[setting]],0), MATCH(V$1, lmic_raw[#Headers],0))=0, INDEX(regions[], MATCH($D64, regions[[setting]:[setting]],0), MATCH(V$1, regions[#Headers],0)),INDEX(lmic_raw[],MATCH($A64,lmic_raw[[setting]:[setting]],0), MATCH(V$1, lmic_raw[#Headers],0)))</f>
        <v>9.9011905770047139</v>
      </c>
      <c r="W64" s="33">
        <f>IF(INDEX(lmic_raw[],MATCH($A64,lmic_raw[[setting]:[setting]],0), MATCH(W$1, lmic_raw[#Headers],0))=0, INDEX(regions[], MATCH($D64, regions[[setting]:[setting]],0), MATCH(W$1, regions[#Headers],0)),INDEX(lmic_raw[],MATCH($A64,lmic_raw[[setting]:[setting]],0), MATCH(W$1, lmic_raw[#Headers],0)))</f>
        <v>10.531190577004715</v>
      </c>
      <c r="X64" s="33">
        <f>IF(INDEX(lmic_raw[],MATCH($A64,lmic_raw[[setting]:[setting]],0), MATCH(X$1, lmic_raw[#Headers],0))=0, INDEX(regions[], MATCH($D64, regions[[setting]:[setting]],0), MATCH(X$1, regions[#Headers],0)),INDEX(lmic_raw[],MATCH($A64,lmic_raw[[setting]:[setting]],0), MATCH(X$1, lmic_raw[#Headers],0)))</f>
        <v>9.4739410557041683</v>
      </c>
      <c r="Y64" s="33">
        <f>IF(INDEX(lmic_raw[],MATCH($A64,lmic_raw[[setting]:[setting]],0), MATCH(Y$1, lmic_raw[#Headers],0))=0, INDEX(regions[], MATCH($D64, regions[[setting]:[setting]],0), MATCH(Y$1, regions[#Headers],0)),INDEX(lmic_raw[],MATCH($A64,lmic_raw[[setting]:[setting]],0), MATCH(Y$1, lmic_raw[#Headers],0)))</f>
        <v>10.103941055704169</v>
      </c>
      <c r="Z64" s="33">
        <f>IF(INDEX(lmic_raw[],MATCH($A64,lmic_raw[[setting]:[setting]],0), MATCH(Z$1, lmic_raw[#Headers],0))=0, INDEX(regions[], MATCH($D64, regions[[setting]:[setting]],0), MATCH(Z$1, regions[#Headers],0)),INDEX(lmic_raw[],MATCH($A64,lmic_raw[[setting]:[setting]],0), MATCH(Z$1, lmic_raw[#Headers],0)))</f>
        <v>10.100358740435873</v>
      </c>
      <c r="AA64" s="33">
        <f>IF(INDEX(lmic_raw[],MATCH($A64,lmic_raw[[setting]:[setting]],0), MATCH(AA$1, lmic_raw[#Headers],0))=0, INDEX(regions[], MATCH($D64, regions[[setting]:[setting]],0), MATCH(AA$1, regions[#Headers],0)),INDEX(lmic_raw[],MATCH($A64,lmic_raw[[setting]:[setting]],0), MATCH(AA$1, lmic_raw[#Headers],0)))</f>
        <v>10.143425166313072</v>
      </c>
      <c r="AB64" s="33">
        <f>IF(INDEX(lmic_raw[],MATCH($A64,lmic_raw[[setting]:[setting]],0), MATCH(AB$1, lmic_raw[#Headers],0))=0, INDEX(regions[], MATCH($D64, regions[[setting]:[setting]],0), MATCH(AB$1, regions[#Headers],0)),INDEX(lmic_raw[],MATCH($A64,lmic_raw[[setting]:[setting]],0), MATCH(AB$1, lmic_raw[#Headers],0)))</f>
        <v>10.773425166313073</v>
      </c>
      <c r="AC64" s="33">
        <f>IF(INDEX(lmic_raw[],MATCH($A64,lmic_raw[[setting]:[setting]],0), MATCH(AC$1, lmic_raw[#Headers],0))=0, INDEX(regions[], MATCH($D64, regions[[setting]:[setting]],0), MATCH(AC$1, regions[#Headers],0)),INDEX(lmic_raw[],MATCH($A64,lmic_raw[[setting]:[setting]],0), MATCH(AC$1, lmic_raw[#Headers],0)))</f>
        <v>4.2810580000000042E-2</v>
      </c>
      <c r="AD64" s="33">
        <f>IF(INDEX(lmic_raw[],MATCH($A64,lmic_raw[[setting]:[setting]],0), MATCH(AD$1, lmic_raw[#Headers],0))=0, INDEX(regions[], MATCH($D64, regions[[setting]:[setting]],0), MATCH(AD$1, regions[#Headers],0)),INDEX(lmic_raw[],MATCH($A64,lmic_raw[[setting]:[setting]],0), MATCH(AD$1, lmic_raw[#Headers],0)))</f>
        <v>2.9734736307469594E-3</v>
      </c>
      <c r="AE64" s="33">
        <f>IF(INDEX(lmic_raw[],MATCH($A64,lmic_raw[[setting]:[setting]],0), MATCH(AE$1, lmic_raw[#Headers],0))=0, INDEX(regions[], MATCH($D64, regions[[setting]:[setting]],0), MATCH(AE$1, regions[#Headers],0)),INDEX(lmic_raw[],MATCH($A64,lmic_raw[[setting]:[setting]],0), MATCH(AE$1, lmic_raw[#Headers],0)))</f>
        <v>1.0102677539002773E-3</v>
      </c>
      <c r="AF64" s="33">
        <f>IF(INDEX(lmic_raw[],MATCH($A64,lmic_raw[[setting]:[setting]],0), MATCH(AF$1, lmic_raw[#Headers],0))=0, INDEX(regions[], MATCH($D64, regions[[setting]:[setting]],0), MATCH(AF$1, regions[#Headers],0)),INDEX(lmic_raw[],MATCH($A64,lmic_raw[[setting]:[setting]],0), MATCH(AF$1, lmic_raw[#Headers],0)))</f>
        <v>7.7028172397112474E-4</v>
      </c>
      <c r="AG64" s="33">
        <f>IF(INDEX(lmic_raw[],MATCH($A64,lmic_raw[[setting]:[setting]],0), MATCH(AG$1, lmic_raw[#Headers],0))=0, INDEX(regions[], MATCH($D64, regions[[setting]:[setting]],0), MATCH(AG$1, regions[#Headers],0)),INDEX(lmic_raw[],MATCH($A64,lmic_raw[[setting]:[setting]],0), MATCH(AG$1, lmic_raw[#Headers],0)))</f>
        <v>1.3611415838985282E-3</v>
      </c>
      <c r="AH64" s="33">
        <f>IF(INDEX(lmic_raw[],MATCH($A64,lmic_raw[[setting]:[setting]],0), MATCH(AH$1, lmic_raw[#Headers],0))=0, INDEX(regions[], MATCH($D64, regions[[setting]:[setting]],0), MATCH(AH$1, regions[#Headers],0)),INDEX(lmic_raw[],MATCH($A64,lmic_raw[[setting]:[setting]],0), MATCH(AH$1, lmic_raw[#Headers],0)))</f>
        <v>1.8087283671869372E-3</v>
      </c>
      <c r="AI64" s="33">
        <f>IF(INDEX(lmic_raw[],MATCH($A64,lmic_raw[[setting]:[setting]],0), MATCH(AI$1, lmic_raw[#Headers],0))=0, INDEX(regions[], MATCH($D64, regions[[setting]:[setting]],0), MATCH(AI$1, regions[#Headers],0)),INDEX(lmic_raw[],MATCH($A64,lmic_raw[[setting]:[setting]],0), MATCH(AI$1, lmic_raw[#Headers],0)))</f>
        <v>1.9320481092567449E-3</v>
      </c>
      <c r="AJ64" s="33">
        <f>IF(INDEX(lmic_raw[],MATCH($A64,lmic_raw[[setting]:[setting]],0), MATCH(AJ$1, lmic_raw[#Headers],0))=0, INDEX(regions[], MATCH($D64, regions[[setting]:[setting]],0), MATCH(AJ$1, regions[#Headers],0)),INDEX(lmic_raw[],MATCH($A64,lmic_raw[[setting]:[setting]],0), MATCH(AJ$1, lmic_raw[#Headers],0)))</f>
        <v>2.2648100574510369E-3</v>
      </c>
      <c r="AK64" s="33">
        <f>IF(INDEX(lmic_raw[],MATCH($A64,lmic_raw[[setting]:[setting]],0), MATCH(AK$1, lmic_raw[#Headers],0))=0, INDEX(regions[], MATCH($D64, regions[[setting]:[setting]],0), MATCH(AK$1, regions[#Headers],0)),INDEX(lmic_raw[],MATCH($A64,lmic_raw[[setting]:[setting]],0), MATCH(AK$1, lmic_raw[#Headers],0)))</f>
        <v>2.9664223068404175E-3</v>
      </c>
      <c r="AL64" s="33">
        <f>IF(INDEX(lmic_raw[],MATCH($A64,lmic_raw[[setting]:[setting]],0), MATCH(AL$1, lmic_raw[#Headers],0))=0, INDEX(regions[], MATCH($D64, regions[[setting]:[setting]],0), MATCH(AL$1, regions[#Headers],0)),INDEX(lmic_raw[],MATCH($A64,lmic_raw[[setting]:[setting]],0), MATCH(AL$1, lmic_raw[#Headers],0)))</f>
        <v>4.090306331880492E-3</v>
      </c>
      <c r="AM64" s="33">
        <f>IF(INDEX(lmic_raw[],MATCH($A64,lmic_raw[[setting]:[setting]],0), MATCH(AM$1, lmic_raw[#Headers],0))=0, INDEX(regions[], MATCH($D64, regions[[setting]:[setting]],0), MATCH(AM$1, regions[#Headers],0)),INDEX(lmic_raw[],MATCH($A64,lmic_raw[[setting]:[setting]],0), MATCH(AM$1, lmic_raw[#Headers],0)))</f>
        <v>5.9454738142292783E-3</v>
      </c>
      <c r="AN64" s="33">
        <f>IF(INDEX(lmic_raw[],MATCH($A64,lmic_raw[[setting]:[setting]],0), MATCH(AN$1, lmic_raw[#Headers],0))=0, INDEX(regions[], MATCH($D64, regions[[setting]:[setting]],0), MATCH(AN$1, regions[#Headers],0)),INDEX(lmic_raw[],MATCH($A64,lmic_raw[[setting]:[setting]],0), MATCH(AN$1, lmic_raw[#Headers],0)))</f>
        <v>8.8883732613264464E-3</v>
      </c>
      <c r="AO64" s="33">
        <f>IF(INDEX(lmic_raw[],MATCH($A64,lmic_raw[[setting]:[setting]],0), MATCH(AO$1, lmic_raw[#Headers],0))=0, INDEX(regions[], MATCH($D64, regions[[setting]:[setting]],0), MATCH(AO$1, regions[#Headers],0)),INDEX(lmic_raw[],MATCH($A64,lmic_raw[[setting]:[setting]],0), MATCH(AO$1, lmic_raw[#Headers],0)))</f>
        <v>1.3344731434740999E-2</v>
      </c>
      <c r="AP64" s="33">
        <f>IF(INDEX(lmic_raw[],MATCH($A64,lmic_raw[[setting]:[setting]],0), MATCH(AP$1, lmic_raw[#Headers],0))=0, INDEX(regions[], MATCH($D64, regions[[setting]:[setting]],0), MATCH(AP$1, regions[#Headers],0)),INDEX(lmic_raw[],MATCH($A64,lmic_raw[[setting]:[setting]],0), MATCH(AP$1, lmic_raw[#Headers],0)))</f>
        <v>1.8650319566401743E-2</v>
      </c>
      <c r="AQ64" s="33">
        <f>IF(INDEX(lmic_raw[],MATCH($A64,lmic_raw[[setting]:[setting]],0), MATCH(AQ$1, lmic_raw[#Headers],0))=0, INDEX(regions[], MATCH($D64, regions[[setting]:[setting]],0), MATCH(AQ$1, regions[#Headers],0)),INDEX(lmic_raw[],MATCH($A64,lmic_raw[[setting]:[setting]],0), MATCH(AQ$1, lmic_raw[#Headers],0)))</f>
        <v>2.5792278768542693E-2</v>
      </c>
      <c r="AR64" s="33">
        <f>IF(INDEX(lmic_raw[],MATCH($A64,lmic_raw[[setting]:[setting]],0), MATCH(AR$1, lmic_raw[#Headers],0))=0, INDEX(regions[], MATCH($D64, regions[[setting]:[setting]],0), MATCH(AR$1, regions[#Headers],0)),INDEX(lmic_raw[],MATCH($A64,lmic_raw[[setting]:[setting]],0), MATCH(AR$1, lmic_raw[#Headers],0)))</f>
        <v>3.7261687144411811E-2</v>
      </c>
      <c r="AS64" s="33">
        <f>IF(INDEX(lmic_raw[],MATCH($A64,lmic_raw[[setting]:[setting]],0), MATCH(AS$1, lmic_raw[#Headers],0))=0, INDEX(regions[], MATCH($D64, regions[[setting]:[setting]],0), MATCH(AS$1, regions[#Headers],0)),INDEX(lmic_raw[],MATCH($A64,lmic_raw[[setting]:[setting]],0), MATCH(AS$1, lmic_raw[#Headers],0)))</f>
        <v>5.6245524282747067E-2</v>
      </c>
      <c r="AT64" s="33">
        <f>IF(INDEX(lmic_raw[],MATCH($A64,lmic_raw[[setting]:[setting]],0), MATCH(AT$1, lmic_raw[#Headers],0))=0, INDEX(regions[], MATCH($D64, regions[[setting]:[setting]],0), MATCH(AT$1, regions[#Headers],0)),INDEX(lmic_raw[],MATCH($A64,lmic_raw[[setting]:[setting]],0), MATCH(AT$1, lmic_raw[#Headers],0)))</f>
        <v>8.1681558971999441E-2</v>
      </c>
      <c r="AU64" s="33">
        <f>IF(INDEX(lmic_raw[],MATCH($A64,lmic_raw[[setting]:[setting]],0), MATCH(AU$1, lmic_raw[#Headers],0))=0, INDEX(regions[], MATCH($D64, regions[[setting]:[setting]],0), MATCH(AU$1, regions[#Headers],0)),INDEX(lmic_raw[],MATCH($A64,lmic_raw[[setting]:[setting]],0), MATCH(AU$1, lmic_raw[#Headers],0)))</f>
        <v>0.10897725065418802</v>
      </c>
      <c r="AV64" s="33">
        <f>IF(INDEX(lmic_raw[],MATCH($A64,lmic_raw[[setting]:[setting]],0), MATCH(AV$1, lmic_raw[#Headers],0))=0, INDEX(regions[], MATCH($D64, regions[[setting]:[setting]],0), MATCH(AV$1, regions[#Headers],0)),INDEX(lmic_raw[],MATCH($A64,lmic_raw[[setting]:[setting]],0), MATCH(AV$1, lmic_raw[#Headers],0)))</f>
        <v>0.13173376074294296</v>
      </c>
      <c r="AW64" s="33">
        <f>IF(INDEX(lmic_raw[],MATCH($A64,lmic_raw[[setting]:[setting]],0), MATCH(AW$1, lmic_raw[#Headers],0))=0, INDEX(regions[], MATCH($D64, regions[[setting]:[setting]],0), MATCH(AW$1, regions[#Headers],0)),INDEX(lmic_raw[],MATCH($A64,lmic_raw[[setting]:[setting]],0), MATCH(AW$1, lmic_raw[#Headers],0)))</f>
        <v>0.15341759745752365</v>
      </c>
      <c r="AX64" s="33">
        <f>IF(INDEX(lmic_raw[],MATCH($A64,lmic_raw[[setting]:[setting]],0), MATCH(AX$1, lmic_raw[#Headers],0))=0, INDEX(regions[], MATCH($D64, regions[[setting]:[setting]],0), MATCH(AX$1, regions[#Headers],0)),INDEX(lmic_raw[],MATCH($A64,lmic_raw[[setting]:[setting]],0), MATCH(AX$1, lmic_raw[#Headers],0)))</f>
        <v>67.989999999999995</v>
      </c>
      <c r="AY64" s="33" t="str">
        <f>IF(VLOOKUP($A64,lmic_raw[],11,FALSE)=0, "Yes", "No")</f>
        <v>No</v>
      </c>
    </row>
    <row r="65" spans="1:51" x14ac:dyDescent="0.25">
      <c r="A65" s="82" t="s">
        <v>610</v>
      </c>
      <c r="B65" s="104" t="s">
        <v>410</v>
      </c>
      <c r="C65" s="105">
        <v>408</v>
      </c>
      <c r="D65" s="84" t="s">
        <v>680</v>
      </c>
      <c r="E65" s="84" t="s">
        <v>603</v>
      </c>
      <c r="F65" s="84" t="s">
        <v>666</v>
      </c>
      <c r="G65" s="84" t="s">
        <v>674</v>
      </c>
      <c r="H65" s="33">
        <f>IF(INDEX(lmic_raw[],MATCH($A65,lmic_raw[[setting]:[setting]],0), MATCH(H$1, lmic_raw[#Headers],0))=0, INDEX(regions[], MATCH($D65, regions[[setting]:[setting]],0), MATCH(H$1, regions[#Headers],0)),INDEX(lmic_raw[],MATCH($A65,lmic_raw[[setting]:[setting]],0), MATCH(H$1, lmic_raw[#Headers],0)))</f>
        <v>25666158</v>
      </c>
      <c r="I65" s="33">
        <f>IF(INDEX(lmic_raw[],MATCH($A65,lmic_raw[[setting]:[setting]],0), MATCH(I$1, lmic_raw[#Headers],0))=0, INDEX(regions[], MATCH($D65, regions[[setting]:[setting]],0), MATCH(I$1, regions[#Headers],0)),INDEX(lmic_raw[],MATCH($A65,lmic_raw[[setting]:[setting]],0), MATCH(I$1, lmic_raw[#Headers],0)))</f>
        <v>357760.57636200002</v>
      </c>
      <c r="J65" s="33">
        <f>IF(INDEX(lmic_raw[],MATCH($A65,lmic_raw[[setting]:[setting]],0), MATCH(J$1, lmic_raw[#Headers],0))=0, INDEX(regions[], MATCH($D65, regions[[setting]:[setting]],0), MATCH(J$1, regions[#Headers],0)),INDEX(lmic_raw[],MATCH($A65,lmic_raw[[setting]:[setting]],0), MATCH(J$1, lmic_raw[#Headers],0)))</f>
        <v>0.92200000000000004</v>
      </c>
      <c r="K65" s="33">
        <f>IF(INDEX(lmic_raw[],MATCH($A65,lmic_raw[[setting]:[setting]],0), MATCH(K$1, lmic_raw[#Headers],0))=0, INDEX(regions[], MATCH($D65, regions[[setting]:[setting]],0), MATCH(K$1, regions[#Headers],0)),INDEX(lmic_raw[],MATCH($A65,lmic_raw[[setting]:[setting]],0), MATCH(K$1, lmic_raw[#Headers],0)))</f>
        <v>0.98</v>
      </c>
      <c r="L65" s="33">
        <f>IF(INDEX(lmic_raw[],MATCH($A65,lmic_raw[[setting]:[setting]],0), MATCH(L$1, lmic_raw[#Headers],0))=0, INDEX(regions[], MATCH($D65, regions[[setting]:[setting]],0), MATCH(L$1, regions[#Headers],0)),INDEX(lmic_raw[],MATCH($A65,lmic_raw[[setting]:[setting]],0), MATCH(L$1, lmic_raw[#Headers],0)))</f>
        <v>0.97</v>
      </c>
      <c r="M65" s="33">
        <f>IF(INDEX(lmic_raw[],MATCH($A65,lmic_raw[[setting]:[setting]],0), MATCH(M$1, lmic_raw[#Headers],0))=0, INDEX(regions[], MATCH($D65, regions[[setting]:[setting]],0), MATCH(M$1, regions[#Headers],0)),INDEX(lmic_raw[],MATCH($A65,lmic_raw[[setting]:[setting]],0), MATCH(M$1, lmic_raw[#Headers],0)))</f>
        <v>4.4000000000000004E-2</v>
      </c>
      <c r="N65" s="33">
        <f>IF(INDEX(lmic_raw[],MATCH($A65,lmic_raw[[setting]:[setting]],0), MATCH(N$1, lmic_raw[#Headers],0))=0, INDEX(regions[], MATCH($D65, regions[[setting]:[setting]],0), MATCH(N$1, regions[#Headers],0)),INDEX(lmic_raw[],MATCH($A65,lmic_raw[[setting]:[setting]],0), MATCH(N$1, lmic_raw[#Headers],0)))</f>
        <v>0.328432494471814</v>
      </c>
      <c r="O65" s="33">
        <f>IF(INDEX(lmic_raw[],MATCH($A65,lmic_raw[[setting]:[setting]],0), MATCH(O$1, lmic_raw[#Headers],0))=0, INDEX(regions[], MATCH($D65, regions[[setting]:[setting]],0), MATCH(O$1, regions[#Headers],0)),INDEX(lmic_raw[],MATCH($A65,lmic_raw[[setting]:[setting]],0), MATCH(O$1, lmic_raw[#Headers],0)))</f>
        <v>0.8</v>
      </c>
      <c r="P65" s="33">
        <f>IF(INDEX(lmic_raw[],MATCH($A65,lmic_raw[[setting]:[setting]],0), MATCH(P$1, lmic_raw[#Headers],0))=0, INDEX(regions[], MATCH($D65, regions[[setting]:[setting]],0), MATCH(P$1, regions[#Headers],0)),INDEX(lmic_raw[],MATCH($A65,lmic_raw[[setting]:[setting]],0), MATCH(P$1, lmic_raw[#Headers],0)))</f>
        <v>0.17499999999999999</v>
      </c>
      <c r="Q65" s="33">
        <f>IF(INDEX(lmic_raw[],MATCH($A65,lmic_raw[[setting]:[setting]],0), MATCH(Q$1, lmic_raw[#Headers],0))=0, INDEX(regions[], MATCH($D65, regions[[setting]:[setting]],0), MATCH(Q$1, regions[#Headers],0)),INDEX(lmic_raw[],MATCH($A65,lmic_raw[[setting]:[setting]],0), MATCH(Q$1, lmic_raw[#Headers],0)))</f>
        <v>4.0664290368569871</v>
      </c>
      <c r="R65" s="33">
        <f>IF(INDEX(lmic_raw[],MATCH($A65,lmic_raw[[setting]:[setting]],0), MATCH(R$1, lmic_raw[#Headers],0))=0, INDEX(regions[], MATCH($D65, regions[[setting]:[setting]],0), MATCH(R$1, regions[#Headers],0)),INDEX(lmic_raw[],MATCH($A65,lmic_raw[[setting]:[setting]],0), MATCH(R$1, lmic_raw[#Headers],0)))</f>
        <v>73.084500000000006</v>
      </c>
      <c r="S65" s="33">
        <f>IF(INDEX(lmic_raw[],MATCH($A65,lmic_raw[[setting]:[setting]],0), MATCH(S$1, lmic_raw[#Headers],0))=0, INDEX(regions[], MATCH($D65, regions[[setting]:[setting]],0), MATCH(S$1, regions[#Headers],0)),INDEX(lmic_raw[],MATCH($A65,lmic_raw[[setting]:[setting]],0), MATCH(S$1, lmic_raw[#Headers],0)))</f>
        <v>120.8265</v>
      </c>
      <c r="T65" s="33">
        <f>IF(INDEX(lmic_raw[],MATCH($A65,lmic_raw[[setting]:[setting]],0), MATCH(T$1, lmic_raw[#Headers],0))=0, INDEX(regions[], MATCH($D65, regions[[setting]:[setting]],0), MATCH(T$1, regions[#Headers],0)),INDEX(lmic_raw[],MATCH($A65,lmic_raw[[setting]:[setting]],0), MATCH(T$1, lmic_raw[#Headers],0)))</f>
        <v>120.8265</v>
      </c>
      <c r="U65" s="33">
        <f>IF(INDEX(lmic_raw[],MATCH($A65,lmic_raw[[setting]:[setting]],0), MATCH(U$1, lmic_raw[#Headers],0))=0, INDEX(regions[], MATCH($D65, regions[[setting]:[setting]],0), MATCH(U$1, regions[#Headers],0)),INDEX(lmic_raw[],MATCH($A65,lmic_raw[[setting]:[setting]],0), MATCH(U$1, lmic_raw[#Headers],0)))</f>
        <v>120.8265</v>
      </c>
      <c r="V65" s="33">
        <f>IF(INDEX(lmic_raw[],MATCH($A65,lmic_raw[[setting]:[setting]],0), MATCH(V$1, lmic_raw[#Headers],0))=0, INDEX(regions[], MATCH($D65, regions[[setting]:[setting]],0), MATCH(V$1, regions[#Headers],0)),INDEX(lmic_raw[],MATCH($A65,lmic_raw[[setting]:[setting]],0), MATCH(V$1, lmic_raw[#Headers],0)))</f>
        <v>3.0547241161616161</v>
      </c>
      <c r="W65" s="33">
        <f>IF(INDEX(lmic_raw[],MATCH($A65,lmic_raw[[setting]:[setting]],0), MATCH(W$1, lmic_raw[#Headers],0))=0, INDEX(regions[], MATCH($D65, regions[[setting]:[setting]],0), MATCH(W$1, regions[#Headers],0)),INDEX(lmic_raw[],MATCH($A65,lmic_raw[[setting]:[setting]],0), MATCH(W$1, lmic_raw[#Headers],0)))</f>
        <v>3.684724116161616</v>
      </c>
      <c r="X65" s="33">
        <f>IF(INDEX(lmic_raw[],MATCH($A65,lmic_raw[[setting]:[setting]],0), MATCH(X$1, lmic_raw[#Headers],0))=0, INDEX(regions[], MATCH($D65, regions[[setting]:[setting]],0), MATCH(X$1, regions[#Headers],0)),INDEX(lmic_raw[],MATCH($A65,lmic_raw[[setting]:[setting]],0), MATCH(X$1, lmic_raw[#Headers],0)))</f>
        <v>2.6368</v>
      </c>
      <c r="Y65" s="33">
        <f>IF(INDEX(lmic_raw[],MATCH($A65,lmic_raw[[setting]:[setting]],0), MATCH(Y$1, lmic_raw[#Headers],0))=0, INDEX(regions[], MATCH($D65, regions[[setting]:[setting]],0), MATCH(Y$1, regions[#Headers],0)),INDEX(lmic_raw[],MATCH($A65,lmic_raw[[setting]:[setting]],0), MATCH(Y$1, lmic_raw[#Headers],0)))</f>
        <v>3.2667999999999999</v>
      </c>
      <c r="Z65" s="33">
        <f>IF(INDEX(lmic_raw[],MATCH($A65,lmic_raw[[setting]:[setting]],0), MATCH(Z$1, lmic_raw[#Headers],0))=0, INDEX(regions[], MATCH($D65, regions[[setting]:[setting]],0), MATCH(Z$1, regions[#Headers],0)),INDEX(lmic_raw[],MATCH($A65,lmic_raw[[setting]:[setting]],0), MATCH(Z$1, lmic_raw[#Headers],0)))</f>
        <v>3.2667999999999999</v>
      </c>
      <c r="AA65" s="33">
        <f>IF(INDEX(lmic_raw[],MATCH($A65,lmic_raw[[setting]:[setting]],0), MATCH(AA$1, lmic_raw[#Headers],0))=0, INDEX(regions[], MATCH($D65, regions[[setting]:[setting]],0), MATCH(AA$1, regions[#Headers],0)),INDEX(lmic_raw[],MATCH($A65,lmic_raw[[setting]:[setting]],0), MATCH(AA$1, lmic_raw[#Headers],0)))</f>
        <v>3.2935972222222225</v>
      </c>
      <c r="AB65" s="33">
        <f>IF(INDEX(lmic_raw[],MATCH($A65,lmic_raw[[setting]:[setting]],0), MATCH(AB$1, lmic_raw[#Headers],0))=0, INDEX(regions[], MATCH($D65, regions[[setting]:[setting]],0), MATCH(AB$1, regions[#Headers],0)),INDEX(lmic_raw[],MATCH($A65,lmic_raw[[setting]:[setting]],0), MATCH(AB$1, lmic_raw[#Headers],0)))</f>
        <v>3.9235972222222224</v>
      </c>
      <c r="AC65" s="33">
        <f>IF(INDEX(lmic_raw[],MATCH($A65,lmic_raw[[setting]:[setting]],0), MATCH(AC$1, lmic_raw[#Headers],0))=0, INDEX(regions[], MATCH($D65, regions[[setting]:[setting]],0), MATCH(AC$1, regions[#Headers],0)),INDEX(lmic_raw[],MATCH($A65,lmic_raw[[setting]:[setting]],0), MATCH(AC$1, lmic_raw[#Headers],0)))</f>
        <v>1.3898110000000016E-2</v>
      </c>
      <c r="AD65" s="33">
        <f>IF(INDEX(lmic_raw[],MATCH($A65,lmic_raw[[setting]:[setting]],0), MATCH(AD$1, lmic_raw[#Headers],0))=0, INDEX(regions[], MATCH($D65, regions[[setting]:[setting]],0), MATCH(AD$1, regions[#Headers],0)),INDEX(lmic_raw[],MATCH($A65,lmic_raw[[setting]:[setting]],0), MATCH(AD$1, lmic_raw[#Headers],0)))</f>
        <v>1.1525710593658816E-3</v>
      </c>
      <c r="AE65" s="33">
        <f>IF(INDEX(lmic_raw[],MATCH($A65,lmic_raw[[setting]:[setting]],0), MATCH(AE$1, lmic_raw[#Headers],0))=0, INDEX(regions[], MATCH($D65, regions[[setting]:[setting]],0), MATCH(AE$1, regions[#Headers],0)),INDEX(lmic_raw[],MATCH($A65,lmic_raw[[setting]:[setting]],0), MATCH(AE$1, lmic_raw[#Headers],0)))</f>
        <v>6.4473978694718382E-4</v>
      </c>
      <c r="AF65" s="33">
        <f>IF(INDEX(lmic_raw[],MATCH($A65,lmic_raw[[setting]:[setting]],0), MATCH(AF$1, lmic_raw[#Headers],0))=0, INDEX(regions[], MATCH($D65, regions[[setting]:[setting]],0), MATCH(AF$1, regions[#Headers],0)),INDEX(lmic_raw[],MATCH($A65,lmic_raw[[setting]:[setting]],0), MATCH(AF$1, lmic_raw[#Headers],0)))</f>
        <v>5.9891366179574187E-4</v>
      </c>
      <c r="AG65" s="33">
        <f>IF(INDEX(lmic_raw[],MATCH($A65,lmic_raw[[setting]:[setting]],0), MATCH(AG$1, lmic_raw[#Headers],0))=0, INDEX(regions[], MATCH($D65, regions[[setting]:[setting]],0), MATCH(AG$1, regions[#Headers],0)),INDEX(lmic_raw[],MATCH($A65,lmic_raw[[setting]:[setting]],0), MATCH(AG$1, lmic_raw[#Headers],0)))</f>
        <v>8.6491156320066926E-4</v>
      </c>
      <c r="AH65" s="33">
        <f>IF(INDEX(lmic_raw[],MATCH($A65,lmic_raw[[setting]:[setting]],0), MATCH(AH$1, lmic_raw[#Headers],0))=0, INDEX(regions[], MATCH($D65, regions[[setting]:[setting]],0), MATCH(AH$1, regions[#Headers],0)),INDEX(lmic_raw[],MATCH($A65,lmic_raw[[setting]:[setting]],0), MATCH(AH$1, lmic_raw[#Headers],0)))</f>
        <v>1.2403650027324735E-3</v>
      </c>
      <c r="AI65" s="33">
        <f>IF(INDEX(lmic_raw[],MATCH($A65,lmic_raw[[setting]:[setting]],0), MATCH(AI$1, lmic_raw[#Headers],0))=0, INDEX(regions[], MATCH($D65, regions[[setting]:[setting]],0), MATCH(AI$1, regions[#Headers],0)),INDEX(lmic_raw[],MATCH($A65,lmic_raw[[setting]:[setting]],0), MATCH(AI$1, lmic_raw[#Headers],0)))</f>
        <v>1.5396702549552246E-3</v>
      </c>
      <c r="AJ65" s="33">
        <f>IF(INDEX(lmic_raw[],MATCH($A65,lmic_raw[[setting]:[setting]],0), MATCH(AJ$1, lmic_raw[#Headers],0))=0, INDEX(regions[], MATCH($D65, regions[[setting]:[setting]],0), MATCH(AJ$1, regions[#Headers],0)),INDEX(lmic_raw[],MATCH($A65,lmic_raw[[setting]:[setting]],0), MATCH(AJ$1, lmic_raw[#Headers],0)))</f>
        <v>1.7486773131445052E-3</v>
      </c>
      <c r="AK65" s="33">
        <f>IF(INDEX(lmic_raw[],MATCH($A65,lmic_raw[[setting]:[setting]],0), MATCH(AK$1, lmic_raw[#Headers],0))=0, INDEX(regions[], MATCH($D65, regions[[setting]:[setting]],0), MATCH(AK$1, regions[#Headers],0)),INDEX(lmic_raw[],MATCH($A65,lmic_raw[[setting]:[setting]],0), MATCH(AK$1, lmic_raw[#Headers],0)))</f>
        <v>2.0164190836135585E-3</v>
      </c>
      <c r="AL65" s="33">
        <f>IF(INDEX(lmic_raw[],MATCH($A65,lmic_raw[[setting]:[setting]],0), MATCH(AL$1, lmic_raw[#Headers],0))=0, INDEX(regions[], MATCH($D65, regions[[setting]:[setting]],0), MATCH(AL$1, regions[#Headers],0)),INDEX(lmic_raw[],MATCH($A65,lmic_raw[[setting]:[setting]],0), MATCH(AL$1, lmic_raw[#Headers],0)))</f>
        <v>2.4495057763126563E-3</v>
      </c>
      <c r="AM65" s="33">
        <f>IF(INDEX(lmic_raw[],MATCH($A65,lmic_raw[[setting]:[setting]],0), MATCH(AM$1, lmic_raw[#Headers],0))=0, INDEX(regions[], MATCH($D65, regions[[setting]:[setting]],0), MATCH(AM$1, regions[#Headers],0)),INDEX(lmic_raw[],MATCH($A65,lmic_raw[[setting]:[setting]],0), MATCH(AM$1, lmic_raw[#Headers],0)))</f>
        <v>3.3431663826267301E-3</v>
      </c>
      <c r="AN65" s="33">
        <f>IF(INDEX(lmic_raw[],MATCH($A65,lmic_raw[[setting]:[setting]],0), MATCH(AN$1, lmic_raw[#Headers],0))=0, INDEX(regions[], MATCH($D65, regions[[setting]:[setting]],0), MATCH(AN$1, regions[#Headers],0)),INDEX(lmic_raw[],MATCH($A65,lmic_raw[[setting]:[setting]],0), MATCH(AN$1, lmic_raw[#Headers],0)))</f>
        <v>4.7975882404791299E-3</v>
      </c>
      <c r="AO65" s="33">
        <f>IF(INDEX(lmic_raw[],MATCH($A65,lmic_raw[[setting]:[setting]],0), MATCH(AO$1, lmic_raw[#Headers],0))=0, INDEX(regions[], MATCH($D65, regions[[setting]:[setting]],0), MATCH(AO$1, regions[#Headers],0)),INDEX(lmic_raw[],MATCH($A65,lmic_raw[[setting]:[setting]],0), MATCH(AO$1, lmic_raw[#Headers],0)))</f>
        <v>9.6814078851944693E-3</v>
      </c>
      <c r="AP65" s="33">
        <f>IF(INDEX(lmic_raw[],MATCH($A65,lmic_raw[[setting]:[setting]],0), MATCH(AP$1, lmic_raw[#Headers],0))=0, INDEX(regions[], MATCH($D65, regions[[setting]:[setting]],0), MATCH(AP$1, regions[#Headers],0)),INDEX(lmic_raw[],MATCH($A65,lmic_raw[[setting]:[setting]],0), MATCH(AP$1, lmic_raw[#Headers],0)))</f>
        <v>1.9800397704221529E-2</v>
      </c>
      <c r="AQ65" s="33">
        <f>IF(INDEX(lmic_raw[],MATCH($A65,lmic_raw[[setting]:[setting]],0), MATCH(AQ$1, lmic_raw[#Headers],0))=0, INDEX(regions[], MATCH($D65, regions[[setting]:[setting]],0), MATCH(AQ$1, regions[#Headers],0)),INDEX(lmic_raw[],MATCH($A65,lmic_raw[[setting]:[setting]],0), MATCH(AQ$1, lmic_raw[#Headers],0)))</f>
        <v>2.8866401546664689E-2</v>
      </c>
      <c r="AR65" s="33">
        <f>IF(INDEX(lmic_raw[],MATCH($A65,lmic_raw[[setting]:[setting]],0), MATCH(AR$1, lmic_raw[#Headers],0))=0, INDEX(regions[], MATCH($D65, regions[[setting]:[setting]],0), MATCH(AR$1, regions[#Headers],0)),INDEX(lmic_raw[],MATCH($A65,lmic_raw[[setting]:[setting]],0), MATCH(AR$1, lmic_raw[#Headers],0)))</f>
        <v>4.0468624095642045E-2</v>
      </c>
      <c r="AS65" s="33">
        <f>IF(INDEX(lmic_raw[],MATCH($A65,lmic_raw[[setting]:[setting]],0), MATCH(AS$1, lmic_raw[#Headers],0))=0, INDEX(regions[], MATCH($D65, regions[[setting]:[setting]],0), MATCH(AS$1, regions[#Headers],0)),INDEX(lmic_raw[],MATCH($A65,lmic_raw[[setting]:[setting]],0), MATCH(AS$1, lmic_raw[#Headers],0)))</f>
        <v>6.3035874753407231E-2</v>
      </c>
      <c r="AT65" s="33">
        <f>IF(INDEX(lmic_raw[],MATCH($A65,lmic_raw[[setting]:[setting]],0), MATCH(AT$1, lmic_raw[#Headers],0))=0, INDEX(regions[], MATCH($D65, regions[[setting]:[setting]],0), MATCH(AT$1, regions[#Headers],0)),INDEX(lmic_raw[],MATCH($A65,lmic_raw[[setting]:[setting]],0), MATCH(AT$1, lmic_raw[#Headers],0)))</f>
        <v>8.8046589269959522E-2</v>
      </c>
      <c r="AU65" s="33">
        <f>IF(INDEX(lmic_raw[],MATCH($A65,lmic_raw[[setting]:[setting]],0), MATCH(AU$1, lmic_raw[#Headers],0))=0, INDEX(regions[], MATCH($D65, regions[[setting]:[setting]],0), MATCH(AU$1, regions[#Headers],0)),INDEX(lmic_raw[],MATCH($A65,lmic_raw[[setting]:[setting]],0), MATCH(AU$1, lmic_raw[#Headers],0)))</f>
        <v>0.11891714167014793</v>
      </c>
      <c r="AV65" s="33">
        <f>IF(INDEX(lmic_raw[],MATCH($A65,lmic_raw[[setting]:[setting]],0), MATCH(AV$1, lmic_raw[#Headers],0))=0, INDEX(regions[], MATCH($D65, regions[[setting]:[setting]],0), MATCH(AV$1, regions[#Headers],0)),INDEX(lmic_raw[],MATCH($A65,lmic_raw[[setting]:[setting]],0), MATCH(AV$1, lmic_raw[#Headers],0)))</f>
        <v>0.14850683038408077</v>
      </c>
      <c r="AW65" s="33">
        <f>IF(INDEX(lmic_raw[],MATCH($A65,lmic_raw[[setting]:[setting]],0), MATCH(AW$1, lmic_raw[#Headers],0))=0, INDEX(regions[], MATCH($D65, regions[[setting]:[setting]],0), MATCH(AW$1, regions[#Headers],0)),INDEX(lmic_raw[],MATCH($A65,lmic_raw[[setting]:[setting]],0), MATCH(AW$1, lmic_raw[#Headers],0)))</f>
        <v>0.1703078733072366</v>
      </c>
      <c r="AX65" s="33">
        <f>IF(INDEX(lmic_raw[],MATCH($A65,lmic_raw[[setting]:[setting]],0), MATCH(AX$1, lmic_raw[#Headers],0))=0, INDEX(regions[], MATCH($D65, regions[[setting]:[setting]],0), MATCH(AX$1, regions[#Headers],0)),INDEX(lmic_raw[],MATCH($A65,lmic_raw[[setting]:[setting]],0), MATCH(AX$1, lmic_raw[#Headers],0)))</f>
        <v>71.963999999999999</v>
      </c>
      <c r="AY65" s="33" t="str">
        <f>IF(VLOOKUP($A65,lmic_raw[],11,FALSE)=0, "Yes", "No")</f>
        <v>No</v>
      </c>
    </row>
    <row r="66" spans="1:51" x14ac:dyDescent="0.25">
      <c r="A66" s="82" t="s">
        <v>186</v>
      </c>
      <c r="B66" s="101" t="s">
        <v>453</v>
      </c>
      <c r="C66" s="102">
        <v>417</v>
      </c>
      <c r="D66" s="82" t="s">
        <v>675</v>
      </c>
      <c r="E66" s="82" t="s">
        <v>184</v>
      </c>
      <c r="F66" s="82" t="s">
        <v>663</v>
      </c>
      <c r="G66" s="82" t="s">
        <v>678</v>
      </c>
      <c r="H66" s="33">
        <f>IF(INDEX(lmic_raw[],MATCH($A66,lmic_raw[[setting]:[setting]],0), MATCH(H$1, lmic_raw[#Headers],0))=0, INDEX(regions[], MATCH($D66, regions[[setting]:[setting]],0), MATCH(H$1, regions[#Headers],0)),INDEX(lmic_raw[],MATCH($A66,lmic_raw[[setting]:[setting]],0), MATCH(H$1, lmic_raw[#Headers],0)))</f>
        <v>6415851</v>
      </c>
      <c r="I66" s="33">
        <f>IF(INDEX(lmic_raw[],MATCH($A66,lmic_raw[[setting]:[setting]],0), MATCH(I$1, lmic_raw[#Headers],0))=0, INDEX(regions[], MATCH($D66, regions[[setting]:[setting]],0), MATCH(I$1, regions[#Headers],0)),INDEX(lmic_raw[],MATCH($A66,lmic_raw[[setting]:[setting]],0), MATCH(I$1, lmic_raw[#Headers],0)))</f>
        <v>159190.09501200001</v>
      </c>
      <c r="J66" s="33">
        <f>IF(INDEX(lmic_raw[],MATCH($A66,lmic_raw[[setting]:[setting]],0), MATCH(J$1, lmic_raw[#Headers],0))=0, INDEX(regions[], MATCH($D66, regions[[setting]:[setting]],0), MATCH(J$1, regions[#Headers],0)),INDEX(lmic_raw[],MATCH($A66,lmic_raw[[setting]:[setting]],0), MATCH(J$1, lmic_raw[#Headers],0)))</f>
        <v>0.996</v>
      </c>
      <c r="K66" s="33">
        <f>IF(INDEX(lmic_raw[],MATCH($A66,lmic_raw[[setting]:[setting]],0), MATCH(K$1, lmic_raw[#Headers],0))=0, INDEX(regions[], MATCH($D66, regions[[setting]:[setting]],0), MATCH(K$1, regions[#Headers],0)),INDEX(lmic_raw[],MATCH($A66,lmic_raw[[setting]:[setting]],0), MATCH(K$1, lmic_raw[#Headers],0)))</f>
        <v>0.96</v>
      </c>
      <c r="L66" s="33">
        <f>IF(INDEX(lmic_raw[],MATCH($A66,lmic_raw[[setting]:[setting]],0), MATCH(L$1, lmic_raw[#Headers],0))=0, INDEX(regions[], MATCH($D66, regions[[setting]:[setting]],0), MATCH(L$1, regions[#Headers],0)),INDEX(lmic_raw[],MATCH($A66,lmic_raw[[setting]:[setting]],0), MATCH(L$1, lmic_raw[#Headers],0)))</f>
        <v>0.95</v>
      </c>
      <c r="M66" s="33">
        <f>IF(INDEX(lmic_raw[],MATCH($A66,lmic_raw[[setting]:[setting]],0), MATCH(M$1, lmic_raw[#Headers],0))=0, INDEX(regions[], MATCH($D66, regions[[setting]:[setting]],0), MATCH(M$1, regions[#Headers],0)),INDEX(lmic_raw[],MATCH($A66,lmic_raw[[setting]:[setting]],0), MATCH(M$1, lmic_raw[#Headers],0)))</f>
        <v>3.39E-2</v>
      </c>
      <c r="N66" s="33">
        <f>IF(INDEX(lmic_raw[],MATCH($A66,lmic_raw[[setting]:[setting]],0), MATCH(N$1, lmic_raw[#Headers],0))=0, INDEX(regions[], MATCH($D66, regions[[setting]:[setting]],0), MATCH(N$1, regions[#Headers],0)),INDEX(lmic_raw[],MATCH($A66,lmic_raw[[setting]:[setting]],0), MATCH(N$1, lmic_raw[#Headers],0)))</f>
        <v>0.29813171303082237</v>
      </c>
      <c r="O66" s="33">
        <f>IF(INDEX(lmic_raw[],MATCH($A66,lmic_raw[[setting]:[setting]],0), MATCH(O$1, lmic_raw[#Headers],0))=0, INDEX(regions[], MATCH($D66, regions[[setting]:[setting]],0), MATCH(O$1, regions[#Headers],0)),INDEX(lmic_raw[],MATCH($A66,lmic_raw[[setting]:[setting]],0), MATCH(O$1, lmic_raw[#Headers],0)))</f>
        <v>0.8</v>
      </c>
      <c r="P66" s="33">
        <f>IF(INDEX(lmic_raw[],MATCH($A66,lmic_raw[[setting]:[setting]],0), MATCH(P$1, lmic_raw[#Headers],0))=0, INDEX(regions[], MATCH($D66, regions[[setting]:[setting]],0), MATCH(P$1, regions[#Headers],0)),INDEX(lmic_raw[],MATCH($A66,lmic_raw[[setting]:[setting]],0), MATCH(P$1, lmic_raw[#Headers],0)))</f>
        <v>0.17499999999999999</v>
      </c>
      <c r="Q66" s="33">
        <f>IF(INDEX(lmic_raw[],MATCH($A66,lmic_raw[[setting]:[setting]],0), MATCH(Q$1, lmic_raw[#Headers],0))=0, INDEX(regions[], MATCH($D66, regions[[setting]:[setting]],0), MATCH(Q$1, regions[#Headers],0)),INDEX(lmic_raw[],MATCH($A66,lmic_raw[[setting]:[setting]],0), MATCH(Q$1, lmic_raw[#Headers],0)))</f>
        <v>3.2873238879299294</v>
      </c>
      <c r="R66" s="33">
        <f>IF(INDEX(lmic_raw[],MATCH($A66,lmic_raw[[setting]:[setting]],0), MATCH(R$1, lmic_raw[#Headers],0))=0, INDEX(regions[], MATCH($D66, regions[[setting]:[setting]],0), MATCH(R$1, regions[#Headers],0)),INDEX(lmic_raw[],MATCH($A66,lmic_raw[[setting]:[setting]],0), MATCH(R$1, lmic_raw[#Headers],0)))</f>
        <v>44.537400000000005</v>
      </c>
      <c r="S66" s="33">
        <f>IF(INDEX(lmic_raw[],MATCH($A66,lmic_raw[[setting]:[setting]],0), MATCH(S$1, lmic_raw[#Headers],0))=0, INDEX(regions[], MATCH($D66, regions[[setting]:[setting]],0), MATCH(S$1, regions[#Headers],0)),INDEX(lmic_raw[],MATCH($A66,lmic_raw[[setting]:[setting]],0), MATCH(S$1, lmic_raw[#Headers],0)))</f>
        <v>92.27940000000001</v>
      </c>
      <c r="T66" s="33">
        <f>IF(INDEX(lmic_raw[],MATCH($A66,lmic_raw[[setting]:[setting]],0), MATCH(T$1, lmic_raw[#Headers],0))=0, INDEX(regions[], MATCH($D66, regions[[setting]:[setting]],0), MATCH(T$1, regions[#Headers],0)),INDEX(lmic_raw[],MATCH($A66,lmic_raw[[setting]:[setting]],0), MATCH(T$1, lmic_raw[#Headers],0)))</f>
        <v>92.27940000000001</v>
      </c>
      <c r="U66" s="33">
        <f>IF(INDEX(lmic_raw[],MATCH($A66,lmic_raw[[setting]:[setting]],0), MATCH(U$1, lmic_raw[#Headers],0))=0, INDEX(regions[], MATCH($D66, regions[[setting]:[setting]],0), MATCH(U$1, regions[#Headers],0)),INDEX(lmic_raw[],MATCH($A66,lmic_raw[[setting]:[setting]],0), MATCH(U$1, lmic_raw[#Headers],0)))</f>
        <v>92.27940000000001</v>
      </c>
      <c r="V66" s="33">
        <f>IF(INDEX(lmic_raw[],MATCH($A66,lmic_raw[[setting]:[setting]],0), MATCH(V$1, lmic_raw[#Headers],0))=0, INDEX(regions[], MATCH($D66, regions[[setting]:[setting]],0), MATCH(V$1, regions[#Headers],0)),INDEX(lmic_raw[],MATCH($A66,lmic_raw[[setting]:[setting]],0), MATCH(V$1, lmic_raw[#Headers],0)))</f>
        <v>3.769671932945863</v>
      </c>
      <c r="W66" s="33">
        <f>IF(INDEX(lmic_raw[],MATCH($A66,lmic_raw[[setting]:[setting]],0), MATCH(W$1, lmic_raw[#Headers],0))=0, INDEX(regions[], MATCH($D66, regions[[setting]:[setting]],0), MATCH(W$1, regions[#Headers],0)),INDEX(lmic_raw[],MATCH($A66,lmic_raw[[setting]:[setting]],0), MATCH(W$1, lmic_raw[#Headers],0)))</f>
        <v>7.8396719329458637</v>
      </c>
      <c r="X66" s="33">
        <f>IF(INDEX(lmic_raw[],MATCH($A66,lmic_raw[[setting]:[setting]],0), MATCH(X$1, lmic_raw[#Headers],0))=0, INDEX(regions[], MATCH($D66, regions[[setting]:[setting]],0), MATCH(X$1, regions[#Headers],0)),INDEX(lmic_raw[],MATCH($A66,lmic_raw[[setting]:[setting]],0), MATCH(X$1, lmic_raw[#Headers],0)))</f>
        <v>3.3440249017012516</v>
      </c>
      <c r="Y66" s="33">
        <f>IF(INDEX(lmic_raw[],MATCH($A66,lmic_raw[[setting]:[setting]],0), MATCH(Y$1, lmic_raw[#Headers],0))=0, INDEX(regions[], MATCH($D66, regions[[setting]:[setting]],0), MATCH(Y$1, regions[#Headers],0)),INDEX(lmic_raw[],MATCH($A66,lmic_raw[[setting]:[setting]],0), MATCH(Y$1, lmic_raw[#Headers],0)))</f>
        <v>7.4140249017012518</v>
      </c>
      <c r="Z66" s="33">
        <f>IF(INDEX(lmic_raw[],MATCH($A66,lmic_raw[[setting]:[setting]],0), MATCH(Z$1, lmic_raw[#Headers],0))=0, INDEX(regions[], MATCH($D66, regions[[setting]:[setting]],0), MATCH(Z$1, regions[#Headers],0)),INDEX(lmic_raw[],MATCH($A66,lmic_raw[[setting]:[setting]],0), MATCH(Z$1, lmic_raw[#Headers],0)))</f>
        <v>7.4108856987913256</v>
      </c>
      <c r="AA66" s="33">
        <f>IF(INDEX(lmic_raw[],MATCH($A66,lmic_raw[[setting]:[setting]],0), MATCH(AA$1, lmic_raw[#Headers],0))=0, INDEX(regions[], MATCH($D66, regions[[setting]:[setting]],0), MATCH(AA$1, regions[#Headers],0)),INDEX(lmic_raw[],MATCH($A66,lmic_raw[[setting]:[setting]],0), MATCH(AA$1, lmic_raw[#Headers],0)))</f>
        <v>4.0113288804898746</v>
      </c>
      <c r="AB66" s="33">
        <f>IF(INDEX(lmic_raw[],MATCH($A66,lmic_raw[[setting]:[setting]],0), MATCH(AB$1, lmic_raw[#Headers],0))=0, INDEX(regions[], MATCH($D66, regions[[setting]:[setting]],0), MATCH(AB$1, regions[#Headers],0)),INDEX(lmic_raw[],MATCH($A66,lmic_raw[[setting]:[setting]],0), MATCH(AB$1, lmic_raw[#Headers],0)))</f>
        <v>8.081328880489874</v>
      </c>
      <c r="AC66" s="33">
        <f>IF(INDEX(lmic_raw[],MATCH($A66,lmic_raw[[setting]:[setting]],0), MATCH(AC$1, lmic_raw[#Headers],0))=0, INDEX(regions[], MATCH($D66, regions[[setting]:[setting]],0), MATCH(AC$1, regions[#Headers],0)),INDEX(lmic_raw[],MATCH($A66,lmic_raw[[setting]:[setting]],0), MATCH(AC$1, lmic_raw[#Headers],0)))</f>
        <v>1.5506239999999961E-2</v>
      </c>
      <c r="AD66" s="33">
        <f>IF(INDEX(lmic_raw[],MATCH($A66,lmic_raw[[setting]:[setting]],0), MATCH(AD$1, lmic_raw[#Headers],0))=0, INDEX(regions[], MATCH($D66, regions[[setting]:[setting]],0), MATCH(AD$1, regions[#Headers],0)),INDEX(lmic_raw[],MATCH($A66,lmic_raw[[setting]:[setting]],0), MATCH(AD$1, lmic_raw[#Headers],0)))</f>
        <v>7.1685827648111742E-4</v>
      </c>
      <c r="AE66" s="33">
        <f>IF(INDEX(lmic_raw[],MATCH($A66,lmic_raw[[setting]:[setting]],0), MATCH(AE$1, lmic_raw[#Headers],0))=0, INDEX(regions[], MATCH($D66, regions[[setting]:[setting]],0), MATCH(AE$1, regions[#Headers],0)),INDEX(lmic_raw[],MATCH($A66,lmic_raw[[setting]:[setting]],0), MATCH(AE$1, lmic_raw[#Headers],0)))</f>
        <v>3.0037972302301221E-4</v>
      </c>
      <c r="AF66" s="33">
        <f>IF(INDEX(lmic_raw[],MATCH($A66,lmic_raw[[setting]:[setting]],0), MATCH(AF$1, lmic_raw[#Headers],0))=0, INDEX(regions[], MATCH($D66, regions[[setting]:[setting]],0), MATCH(AF$1, regions[#Headers],0)),INDEX(lmic_raw[],MATCH($A66,lmic_raw[[setting]:[setting]],0), MATCH(AF$1, lmic_raw[#Headers],0)))</f>
        <v>3.6101335689432674E-4</v>
      </c>
      <c r="AG66" s="33">
        <f>IF(INDEX(lmic_raw[],MATCH($A66,lmic_raw[[setting]:[setting]],0), MATCH(AG$1, lmic_raw[#Headers],0))=0, INDEX(regions[], MATCH($D66, regions[[setting]:[setting]],0), MATCH(AG$1, regions[#Headers],0)),INDEX(lmic_raw[],MATCH($A66,lmic_raw[[setting]:[setting]],0), MATCH(AG$1, lmic_raw[#Headers],0)))</f>
        <v>5.6671978934353512E-4</v>
      </c>
      <c r="AH66" s="33">
        <f>IF(INDEX(lmic_raw[],MATCH($A66,lmic_raw[[setting]:[setting]],0), MATCH(AH$1, lmic_raw[#Headers],0))=0, INDEX(regions[], MATCH($D66, regions[[setting]:[setting]],0), MATCH(AH$1, regions[#Headers],0)),INDEX(lmic_raw[],MATCH($A66,lmic_raw[[setting]:[setting]],0), MATCH(AH$1, lmic_raw[#Headers],0)))</f>
        <v>7.7358931817911216E-4</v>
      </c>
      <c r="AI66" s="33">
        <f>IF(INDEX(lmic_raw[],MATCH($A66,lmic_raw[[setting]:[setting]],0), MATCH(AI$1, lmic_raw[#Headers],0))=0, INDEX(regions[], MATCH($D66, regions[[setting]:[setting]],0), MATCH(AI$1, regions[#Headers],0)),INDEX(lmic_raw[],MATCH($A66,lmic_raw[[setting]:[setting]],0), MATCH(AI$1, lmic_raw[#Headers],0)))</f>
        <v>9.9358270100702176E-4</v>
      </c>
      <c r="AJ66" s="33">
        <f>IF(INDEX(lmic_raw[],MATCH($A66,lmic_raw[[setting]:[setting]],0), MATCH(AJ$1, lmic_raw[#Headers],0))=0, INDEX(regions[], MATCH($D66, regions[[setting]:[setting]],0), MATCH(AJ$1, regions[#Headers],0)),INDEX(lmic_raw[],MATCH($A66,lmic_raw[[setting]:[setting]],0), MATCH(AJ$1, lmic_raw[#Headers],0)))</f>
        <v>1.5947136196713724E-3</v>
      </c>
      <c r="AK66" s="33">
        <f>IF(INDEX(lmic_raw[],MATCH($A66,lmic_raw[[setting]:[setting]],0), MATCH(AK$1, lmic_raw[#Headers],0))=0, INDEX(regions[], MATCH($D66, regions[[setting]:[setting]],0), MATCH(AK$1, regions[#Headers],0)),INDEX(lmic_raw[],MATCH($A66,lmic_raw[[setting]:[setting]],0), MATCH(AK$1, lmic_raw[#Headers],0)))</f>
        <v>2.3740632079430881E-3</v>
      </c>
      <c r="AL66" s="33">
        <f>IF(INDEX(lmic_raw[],MATCH($A66,lmic_raw[[setting]:[setting]],0), MATCH(AL$1, lmic_raw[#Headers],0))=0, INDEX(regions[], MATCH($D66, regions[[setting]:[setting]],0), MATCH(AL$1, regions[#Headers],0)),INDEX(lmic_raw[],MATCH($A66,lmic_raw[[setting]:[setting]],0), MATCH(AL$1, lmic_raw[#Headers],0)))</f>
        <v>3.6025352620456053E-3</v>
      </c>
      <c r="AM66" s="33">
        <f>IF(INDEX(lmic_raw[],MATCH($A66,lmic_raw[[setting]:[setting]],0), MATCH(AM$1, lmic_raw[#Headers],0))=0, INDEX(regions[], MATCH($D66, regions[[setting]:[setting]],0), MATCH(AM$1, regions[#Headers],0)),INDEX(lmic_raw[],MATCH($A66,lmic_raw[[setting]:[setting]],0), MATCH(AM$1, lmic_raw[#Headers],0)))</f>
        <v>5.013988446982612E-3</v>
      </c>
      <c r="AN66" s="33">
        <f>IF(INDEX(lmic_raw[],MATCH($A66,lmic_raw[[setting]:[setting]],0), MATCH(AN$1, lmic_raw[#Headers],0))=0, INDEX(regions[], MATCH($D66, regions[[setting]:[setting]],0), MATCH(AN$1, regions[#Headers],0)),INDEX(lmic_raw[],MATCH($A66,lmic_raw[[setting]:[setting]],0), MATCH(AN$1, lmic_raw[#Headers],0)))</f>
        <v>7.2274466341115369E-3</v>
      </c>
      <c r="AO66" s="33">
        <f>IF(INDEX(lmic_raw[],MATCH($A66,lmic_raw[[setting]:[setting]],0), MATCH(AO$1, lmic_raw[#Headers],0))=0, INDEX(regions[], MATCH($D66, regions[[setting]:[setting]],0), MATCH(AO$1, regions[#Headers],0)),INDEX(lmic_raw[],MATCH($A66,lmic_raw[[setting]:[setting]],0), MATCH(AO$1, lmic_raw[#Headers],0)))</f>
        <v>1.0588233088434732E-2</v>
      </c>
      <c r="AP66" s="33">
        <f>IF(INDEX(lmic_raw[],MATCH($A66,lmic_raw[[setting]:[setting]],0), MATCH(AP$1, lmic_raw[#Headers],0))=0, INDEX(regions[], MATCH($D66, regions[[setting]:[setting]],0), MATCH(AP$1, regions[#Headers],0)),INDEX(lmic_raw[],MATCH($A66,lmic_raw[[setting]:[setting]],0), MATCH(AP$1, lmic_raw[#Headers],0)))</f>
        <v>1.6698751635160103E-2</v>
      </c>
      <c r="AQ66" s="33">
        <f>IF(INDEX(lmic_raw[],MATCH($A66,lmic_raw[[setting]:[setting]],0), MATCH(AQ$1, lmic_raw[#Headers],0))=0, INDEX(regions[], MATCH($D66, regions[[setting]:[setting]],0), MATCH(AQ$1, regions[#Headers],0)),INDEX(lmic_raw[],MATCH($A66,lmic_raw[[setting]:[setting]],0), MATCH(AQ$1, lmic_raw[#Headers],0)))</f>
        <v>2.4245073689476284E-2</v>
      </c>
      <c r="AR66" s="33">
        <f>IF(INDEX(lmic_raw[],MATCH($A66,lmic_raw[[setting]:[setting]],0), MATCH(AR$1, lmic_raw[#Headers],0))=0, INDEX(regions[], MATCH($D66, regions[[setting]:[setting]],0), MATCH(AR$1, regions[#Headers],0)),INDEX(lmic_raw[],MATCH($A66,lmic_raw[[setting]:[setting]],0), MATCH(AR$1, lmic_raw[#Headers],0)))</f>
        <v>4.8767202109432098E-2</v>
      </c>
      <c r="AS66" s="33">
        <f>IF(INDEX(lmic_raw[],MATCH($A66,lmic_raw[[setting]:[setting]],0), MATCH(AS$1, lmic_raw[#Headers],0))=0, INDEX(regions[], MATCH($D66, regions[[setting]:[setting]],0), MATCH(AS$1, regions[#Headers],0)),INDEX(lmic_raw[],MATCH($A66,lmic_raw[[setting]:[setting]],0), MATCH(AS$1, lmic_raw[#Headers],0)))</f>
        <v>8.2569526074183053E-2</v>
      </c>
      <c r="AT66" s="33">
        <f>IF(INDEX(lmic_raw[],MATCH($A66,lmic_raw[[setting]:[setting]],0), MATCH(AT$1, lmic_raw[#Headers],0))=0, INDEX(regions[], MATCH($D66, regions[[setting]:[setting]],0), MATCH(AT$1, regions[#Headers],0)),INDEX(lmic_raw[],MATCH($A66,lmic_raw[[setting]:[setting]],0), MATCH(AT$1, lmic_raw[#Headers],0)))</f>
        <v>0.10646327196220833</v>
      </c>
      <c r="AU66" s="33">
        <f>IF(INDEX(lmic_raw[],MATCH($A66,lmic_raw[[setting]:[setting]],0), MATCH(AU$1, lmic_raw[#Headers],0))=0, INDEX(regions[], MATCH($D66, regions[[setting]:[setting]],0), MATCH(AU$1, regions[#Headers],0)),INDEX(lmic_raw[],MATCH($A66,lmic_raw[[setting]:[setting]],0), MATCH(AU$1, lmic_raw[#Headers],0)))</f>
        <v>0.12628511928546515</v>
      </c>
      <c r="AV66" s="33">
        <f>IF(INDEX(lmic_raw[],MATCH($A66,lmic_raw[[setting]:[setting]],0), MATCH(AV$1, lmic_raw[#Headers],0))=0, INDEX(regions[], MATCH($D66, regions[[setting]:[setting]],0), MATCH(AV$1, regions[#Headers],0)),INDEX(lmic_raw[],MATCH($A66,lmic_raw[[setting]:[setting]],0), MATCH(AV$1, lmic_raw[#Headers],0)))</f>
        <v>0.14146019066301066</v>
      </c>
      <c r="AW66" s="33">
        <f>IF(INDEX(lmic_raw[],MATCH($A66,lmic_raw[[setting]:[setting]],0), MATCH(AW$1, lmic_raw[#Headers],0))=0, INDEX(regions[], MATCH($D66, regions[[setting]:[setting]],0), MATCH(AW$1, regions[#Headers],0)),INDEX(lmic_raw[],MATCH($A66,lmic_raw[[setting]:[setting]],0), MATCH(AW$1, lmic_raw[#Headers],0)))</f>
        <v>0.15891810353796404</v>
      </c>
      <c r="AX66" s="33">
        <f>IF(INDEX(lmic_raw[],MATCH($A66,lmic_raw[[setting]:[setting]],0), MATCH(AX$1, lmic_raw[#Headers],0))=0, INDEX(regions[], MATCH($D66, regions[[setting]:[setting]],0), MATCH(AX$1, regions[#Headers],0)),INDEX(lmic_raw[],MATCH($A66,lmic_raw[[setting]:[setting]],0), MATCH(AX$1, lmic_raw[#Headers],0)))</f>
        <v>71.182000000000002</v>
      </c>
      <c r="AY66" s="33" t="str">
        <f>IF(VLOOKUP($A66,lmic_raw[],11,FALSE)=0, "Yes", "No")</f>
        <v>No</v>
      </c>
    </row>
    <row r="67" spans="1:51" x14ac:dyDescent="0.25">
      <c r="A67" s="82" t="s">
        <v>628</v>
      </c>
      <c r="B67" s="104" t="s">
        <v>454</v>
      </c>
      <c r="C67" s="105">
        <v>418</v>
      </c>
      <c r="D67" s="84" t="s">
        <v>681</v>
      </c>
      <c r="E67" s="84" t="s">
        <v>598</v>
      </c>
      <c r="F67" s="84" t="s">
        <v>666</v>
      </c>
      <c r="G67" s="84" t="s">
        <v>678</v>
      </c>
      <c r="H67" s="33">
        <f>IF(INDEX(lmic_raw[],MATCH($A67,lmic_raw[[setting]:[setting]],0), MATCH(H$1, lmic_raw[#Headers],0))=0, INDEX(regions[], MATCH($D67, regions[[setting]:[setting]],0), MATCH(H$1, regions[#Headers],0)),INDEX(lmic_raw[],MATCH($A67,lmic_raw[[setting]:[setting]],0), MATCH(H$1, lmic_raw[#Headers],0)))</f>
        <v>7169456</v>
      </c>
      <c r="I67" s="33">
        <f>IF(INDEX(lmic_raw[],MATCH($A67,lmic_raw[[setting]:[setting]],0), MATCH(I$1, lmic_raw[#Headers],0))=0, INDEX(regions[], MATCH($D67, regions[[setting]:[setting]],0), MATCH(I$1, regions[#Headers],0)),INDEX(lmic_raw[],MATCH($A67,lmic_raw[[setting]:[setting]],0), MATCH(I$1, lmic_raw[#Headers],0)))</f>
        <v>170833.79756800001</v>
      </c>
      <c r="J67" s="33">
        <f>IF(INDEX(lmic_raw[],MATCH($A67,lmic_raw[[setting]:[setting]],0), MATCH(J$1, lmic_raw[#Headers],0))=0, INDEX(regions[], MATCH($D67, regions[[setting]:[setting]],0), MATCH(J$1, regions[#Headers],0)),INDEX(lmic_raw[],MATCH($A67,lmic_raw[[setting]:[setting]],0), MATCH(J$1, lmic_raw[#Headers],0)))</f>
        <v>0.64500000000000002</v>
      </c>
      <c r="K67" s="33">
        <f>IF(INDEX(lmic_raw[],MATCH($A67,lmic_raw[[setting]:[setting]],0), MATCH(K$1, lmic_raw[#Headers],0))=0, INDEX(regions[], MATCH($D67, regions[[setting]:[setting]],0), MATCH(K$1, regions[#Headers],0)),INDEX(lmic_raw[],MATCH($A67,lmic_raw[[setting]:[setting]],0), MATCH(K$1, lmic_raw[#Headers],0)))</f>
        <v>0.55000000000000004</v>
      </c>
      <c r="L67" s="33">
        <f>IF(INDEX(lmic_raw[],MATCH($A67,lmic_raw[[setting]:[setting]],0), MATCH(L$1, lmic_raw[#Headers],0))=0, INDEX(regions[], MATCH($D67, regions[[setting]:[setting]],0), MATCH(L$1, regions[#Headers],0)),INDEX(lmic_raw[],MATCH($A67,lmic_raw[[setting]:[setting]],0), MATCH(L$1, lmic_raw[#Headers],0)))</f>
        <v>0.68</v>
      </c>
      <c r="M67" s="33">
        <f>IF(INDEX(lmic_raw[],MATCH($A67,lmic_raw[[setting]:[setting]],0), MATCH(M$1, lmic_raw[#Headers],0))=0, INDEX(regions[], MATCH($D67, regions[[setting]:[setting]],0), MATCH(M$1, regions[#Headers],0)),INDEX(lmic_raw[],MATCH($A67,lmic_raw[[setting]:[setting]],0), MATCH(M$1, lmic_raw[#Headers],0)))</f>
        <v>4.8099999999999997E-2</v>
      </c>
      <c r="N67" s="33">
        <f>IF(INDEX(lmic_raw[],MATCH($A67,lmic_raw[[setting]:[setting]],0), MATCH(N$1, lmic_raw[#Headers],0))=0, INDEX(regions[], MATCH($D67, regions[[setting]:[setting]],0), MATCH(N$1, regions[#Headers],0)),INDEX(lmic_raw[],MATCH($A67,lmic_raw[[setting]:[setting]],0), MATCH(N$1, lmic_raw[#Headers],0)))</f>
        <v>0.34832736416125437</v>
      </c>
      <c r="O67" s="33">
        <f>IF(INDEX(lmic_raw[],MATCH($A67,lmic_raw[[setting]:[setting]],0), MATCH(O$1, lmic_raw[#Headers],0))=0, INDEX(regions[], MATCH($D67, regions[[setting]:[setting]],0), MATCH(O$1, regions[#Headers],0)),INDEX(lmic_raw[],MATCH($A67,lmic_raw[[setting]:[setting]],0), MATCH(O$1, lmic_raw[#Headers],0)))</f>
        <v>0.8</v>
      </c>
      <c r="P67" s="33">
        <f>IF(INDEX(lmic_raw[],MATCH($A67,lmic_raw[[setting]:[setting]],0), MATCH(P$1, lmic_raw[#Headers],0))=0, INDEX(regions[], MATCH($D67, regions[[setting]:[setting]],0), MATCH(P$1, regions[#Headers],0)),INDEX(lmic_raw[],MATCH($A67,lmic_raw[[setting]:[setting]],0), MATCH(P$1, lmic_raw[#Headers],0)))</f>
        <v>0.17499999999999999</v>
      </c>
      <c r="Q67" s="33">
        <f>IF(INDEX(lmic_raw[],MATCH($A67,lmic_raw[[setting]:[setting]],0), MATCH(Q$1, lmic_raw[#Headers],0))=0, INDEX(regions[], MATCH($D67, regions[[setting]:[setting]],0), MATCH(Q$1, regions[#Headers],0)),INDEX(lmic_raw[],MATCH($A67,lmic_raw[[setting]:[setting]],0), MATCH(Q$1, lmic_raw[#Headers],0)))</f>
        <v>7.3584077095565021</v>
      </c>
      <c r="R67" s="33">
        <f>IF(INDEX(lmic_raw[],MATCH($A67,lmic_raw[[setting]:[setting]],0), MATCH(R$1, lmic_raw[#Headers],0))=0, INDEX(regions[], MATCH($D67, regions[[setting]:[setting]],0), MATCH(R$1, regions[#Headers],0)),INDEX(lmic_raw[],MATCH($A67,lmic_raw[[setting]:[setting]],0), MATCH(R$1, lmic_raw[#Headers],0)))</f>
        <v>73.084500000000006</v>
      </c>
      <c r="S67" s="33">
        <f>IF(INDEX(lmic_raw[],MATCH($A67,lmic_raw[[setting]:[setting]],0), MATCH(S$1, lmic_raw[#Headers],0))=0, INDEX(regions[], MATCH($D67, regions[[setting]:[setting]],0), MATCH(S$1, regions[#Headers],0)),INDEX(lmic_raw[],MATCH($A67,lmic_raw[[setting]:[setting]],0), MATCH(S$1, lmic_raw[#Headers],0)))</f>
        <v>120.8265</v>
      </c>
      <c r="T67" s="33">
        <f>IF(INDEX(lmic_raw[],MATCH($A67,lmic_raw[[setting]:[setting]],0), MATCH(T$1, lmic_raw[#Headers],0))=0, INDEX(regions[], MATCH($D67, regions[[setting]:[setting]],0), MATCH(T$1, regions[#Headers],0)),INDEX(lmic_raw[],MATCH($A67,lmic_raw[[setting]:[setting]],0), MATCH(T$1, lmic_raw[#Headers],0)))</f>
        <v>120.8265</v>
      </c>
      <c r="U67" s="33">
        <f>IF(INDEX(lmic_raw[],MATCH($A67,lmic_raw[[setting]:[setting]],0), MATCH(U$1, lmic_raw[#Headers],0))=0, INDEX(regions[], MATCH($D67, regions[[setting]:[setting]],0), MATCH(U$1, regions[#Headers],0)),INDEX(lmic_raw[],MATCH($A67,lmic_raw[[setting]:[setting]],0), MATCH(U$1, lmic_raw[#Headers],0)))</f>
        <v>120.8265</v>
      </c>
      <c r="V67" s="33">
        <f>IF(INDEX(lmic_raw[],MATCH($A67,lmic_raw[[setting]:[setting]],0), MATCH(V$1, lmic_raw[#Headers],0))=0, INDEX(regions[], MATCH($D67, regions[[setting]:[setting]],0), MATCH(V$1, regions[#Headers],0)),INDEX(lmic_raw[],MATCH($A67,lmic_raw[[setting]:[setting]],0), MATCH(V$1, lmic_raw[#Headers],0)))</f>
        <v>2.2177461431055265</v>
      </c>
      <c r="W67" s="33">
        <f>IF(INDEX(lmic_raw[],MATCH($A67,lmic_raw[[setting]:[setting]],0), MATCH(W$1, lmic_raw[#Headers],0))=0, INDEX(regions[], MATCH($D67, regions[[setting]:[setting]],0), MATCH(W$1, regions[#Headers],0)),INDEX(lmic_raw[],MATCH($A67,lmic_raw[[setting]:[setting]],0), MATCH(W$1, lmic_raw[#Headers],0)))</f>
        <v>2.8477461431055264</v>
      </c>
      <c r="X67" s="33">
        <f>IF(INDEX(lmic_raw[],MATCH($A67,lmic_raw[[setting]:[setting]],0), MATCH(X$1, lmic_raw[#Headers],0))=0, INDEX(regions[], MATCH($D67, regions[[setting]:[setting]],0), MATCH(X$1, regions[#Headers],0)),INDEX(lmic_raw[],MATCH($A67,lmic_raw[[setting]:[setting]],0), MATCH(X$1, lmic_raw[#Headers],0)))</f>
        <v>1.7848399632576368</v>
      </c>
      <c r="Y67" s="33">
        <f>IF(INDEX(lmic_raw[],MATCH($A67,lmic_raw[[setting]:[setting]],0), MATCH(Y$1, lmic_raw[#Headers],0))=0, INDEX(regions[], MATCH($D67, regions[[setting]:[setting]],0), MATCH(Y$1, regions[#Headers],0)),INDEX(lmic_raw[],MATCH($A67,lmic_raw[[setting]:[setting]],0), MATCH(Y$1, lmic_raw[#Headers],0)))</f>
        <v>2.4148399632576369</v>
      </c>
      <c r="Z67" s="33">
        <f>IF(INDEX(lmic_raw[],MATCH($A67,lmic_raw[[setting]:[setting]],0), MATCH(Z$1, lmic_raw[#Headers],0))=0, INDEX(regions[], MATCH($D67, regions[[setting]:[setting]],0), MATCH(Z$1, regions[#Headers],0)),INDEX(lmic_raw[],MATCH($A67,lmic_raw[[setting]:[setting]],0), MATCH(Z$1, lmic_raw[#Headers],0)))</f>
        <v>2.4087352692323427</v>
      </c>
      <c r="AA67" s="33">
        <f>IF(INDEX(lmic_raw[],MATCH($A67,lmic_raw[[setting]:[setting]],0), MATCH(AA$1, lmic_raw[#Headers],0))=0, INDEX(regions[], MATCH($D67, regions[[setting]:[setting]],0), MATCH(AA$1, regions[#Headers],0)),INDEX(lmic_raw[],MATCH($A67,lmic_raw[[setting]:[setting]],0), MATCH(AA$1, lmic_raw[#Headers],0)))</f>
        <v>2.4620197604949055</v>
      </c>
      <c r="AB67" s="33">
        <f>IF(INDEX(lmic_raw[],MATCH($A67,lmic_raw[[setting]:[setting]],0), MATCH(AB$1, lmic_raw[#Headers],0))=0, INDEX(regions[], MATCH($D67, regions[[setting]:[setting]],0), MATCH(AB$1, regions[#Headers],0)),INDEX(lmic_raw[],MATCH($A67,lmic_raw[[setting]:[setting]],0), MATCH(AB$1, lmic_raw[#Headers],0)))</f>
        <v>3.0920197604949053</v>
      </c>
      <c r="AC67" s="33">
        <f>IF(INDEX(lmic_raw[],MATCH($A67,lmic_raw[[setting]:[setting]],0), MATCH(AC$1, lmic_raw[#Headers],0))=0, INDEX(regions[], MATCH($D67, regions[[setting]:[setting]],0), MATCH(AC$1, regions[#Headers],0)),INDEX(lmic_raw[],MATCH($A67,lmic_raw[[setting]:[setting]],0), MATCH(AC$1, lmic_raw[#Headers],0)))</f>
        <v>3.8777789999999951E-2</v>
      </c>
      <c r="AD67" s="33">
        <f>IF(INDEX(lmic_raw[],MATCH($A67,lmic_raw[[setting]:[setting]],0), MATCH(AD$1, lmic_raw[#Headers],0))=0, INDEX(regions[], MATCH($D67, regions[[setting]:[setting]],0), MATCH(AD$1, regions[#Headers],0)),INDEX(lmic_raw[],MATCH($A67,lmic_raw[[setting]:[setting]],0), MATCH(AD$1, lmic_raw[#Headers],0)))</f>
        <v>2.4870862066326935E-3</v>
      </c>
      <c r="AE67" s="33">
        <f>IF(INDEX(lmic_raw[],MATCH($A67,lmic_raw[[setting]:[setting]],0), MATCH(AE$1, lmic_raw[#Headers],0))=0, INDEX(regions[], MATCH($D67, regions[[setting]:[setting]],0), MATCH(AE$1, regions[#Headers],0)),INDEX(lmic_raw[],MATCH($A67,lmic_raw[[setting]:[setting]],0), MATCH(AE$1, lmic_raw[#Headers],0)))</f>
        <v>8.9982170516343662E-4</v>
      </c>
      <c r="AF67" s="33">
        <f>IF(INDEX(lmic_raw[],MATCH($A67,lmic_raw[[setting]:[setting]],0), MATCH(AF$1, lmic_raw[#Headers],0))=0, INDEX(regions[], MATCH($D67, regions[[setting]:[setting]],0), MATCH(AF$1, regions[#Headers],0)),INDEX(lmic_raw[],MATCH($A67,lmic_raw[[setting]:[setting]],0), MATCH(AF$1, lmic_raw[#Headers],0)))</f>
        <v>7.2067114244427197E-4</v>
      </c>
      <c r="AG67" s="33">
        <f>IF(INDEX(lmic_raw[],MATCH($A67,lmic_raw[[setting]:[setting]],0), MATCH(AG$1, lmic_raw[#Headers],0))=0, INDEX(regions[], MATCH($D67, regions[[setting]:[setting]],0), MATCH(AG$1, regions[#Headers],0)),INDEX(lmic_raw[],MATCH($A67,lmic_raw[[setting]:[setting]],0), MATCH(AG$1, lmic_raw[#Headers],0)))</f>
        <v>1.2190482461900062E-3</v>
      </c>
      <c r="AH67" s="33">
        <f>IF(INDEX(lmic_raw[],MATCH($A67,lmic_raw[[setting]:[setting]],0), MATCH(AH$1, lmic_raw[#Headers],0))=0, INDEX(regions[], MATCH($D67, regions[[setting]:[setting]],0), MATCH(AH$1, regions[#Headers],0)),INDEX(lmic_raw[],MATCH($A67,lmic_raw[[setting]:[setting]],0), MATCH(AH$1, lmic_raw[#Headers],0)))</f>
        <v>1.7133573391022912E-3</v>
      </c>
      <c r="AI67" s="33">
        <f>IF(INDEX(lmic_raw[],MATCH($A67,lmic_raw[[setting]:[setting]],0), MATCH(AI$1, lmic_raw[#Headers],0))=0, INDEX(regions[], MATCH($D67, regions[[setting]:[setting]],0), MATCH(AI$1, regions[#Headers],0)),INDEX(lmic_raw[],MATCH($A67,lmic_raw[[setting]:[setting]],0), MATCH(AI$1, lmic_raw[#Headers],0)))</f>
        <v>1.8585034609793296E-3</v>
      </c>
      <c r="AJ67" s="33">
        <f>IF(INDEX(lmic_raw[],MATCH($A67,lmic_raw[[setting]:[setting]],0), MATCH(AJ$1, lmic_raw[#Headers],0))=0, INDEX(regions[], MATCH($D67, regions[[setting]:[setting]],0), MATCH(AJ$1, regions[#Headers],0)),INDEX(lmic_raw[],MATCH($A67,lmic_raw[[setting]:[setting]],0), MATCH(AJ$1, lmic_raw[#Headers],0)))</f>
        <v>2.1439161974078557E-3</v>
      </c>
      <c r="AK67" s="33">
        <f>IF(INDEX(lmic_raw[],MATCH($A67,lmic_raw[[setting]:[setting]],0), MATCH(AK$1, lmic_raw[#Headers],0))=0, INDEX(regions[], MATCH($D67, regions[[setting]:[setting]],0), MATCH(AK$1, regions[#Headers],0)),INDEX(lmic_raw[],MATCH($A67,lmic_raw[[setting]:[setting]],0), MATCH(AK$1, lmic_raw[#Headers],0)))</f>
        <v>2.7328262475156515E-3</v>
      </c>
      <c r="AL67" s="33">
        <f>IF(INDEX(lmic_raw[],MATCH($A67,lmic_raw[[setting]:[setting]],0), MATCH(AL$1, lmic_raw[#Headers],0))=0, INDEX(regions[], MATCH($D67, regions[[setting]:[setting]],0), MATCH(AL$1, regions[#Headers],0)),INDEX(lmic_raw[],MATCH($A67,lmic_raw[[setting]:[setting]],0), MATCH(AL$1, lmic_raw[#Headers],0)))</f>
        <v>3.7683474278791974E-3</v>
      </c>
      <c r="AM67" s="33">
        <f>IF(INDEX(lmic_raw[],MATCH($A67,lmic_raw[[setting]:[setting]],0), MATCH(AM$1, lmic_raw[#Headers],0))=0, INDEX(regions[], MATCH($D67, regions[[setting]:[setting]],0), MATCH(AM$1, regions[#Headers],0)),INDEX(lmic_raw[],MATCH($A67,lmic_raw[[setting]:[setting]],0), MATCH(AM$1, lmic_raw[#Headers],0)))</f>
        <v>5.5663928498959694E-3</v>
      </c>
      <c r="AN67" s="33">
        <f>IF(INDEX(lmic_raw[],MATCH($A67,lmic_raw[[setting]:[setting]],0), MATCH(AN$1, lmic_raw[#Headers],0))=0, INDEX(regions[], MATCH($D67, regions[[setting]:[setting]],0), MATCH(AN$1, regions[#Headers],0)),INDEX(lmic_raw[],MATCH($A67,lmic_raw[[setting]:[setting]],0), MATCH(AN$1, lmic_raw[#Headers],0)))</f>
        <v>8.3716908971744435E-3</v>
      </c>
      <c r="AO67" s="33">
        <f>IF(INDEX(lmic_raw[],MATCH($A67,lmic_raw[[setting]:[setting]],0), MATCH(AO$1, lmic_raw[#Headers],0))=0, INDEX(regions[], MATCH($D67, regions[[setting]:[setting]],0), MATCH(AO$1, regions[#Headers],0)),INDEX(lmic_raw[],MATCH($A67,lmic_raw[[setting]:[setting]],0), MATCH(AO$1, lmic_raw[#Headers],0)))</f>
        <v>1.2747389066357426E-2</v>
      </c>
      <c r="AP67" s="33">
        <f>IF(INDEX(lmic_raw[],MATCH($A67,lmic_raw[[setting]:[setting]],0), MATCH(AP$1, lmic_raw[#Headers],0))=0, INDEX(regions[], MATCH($D67, regions[[setting]:[setting]],0), MATCH(AP$1, regions[#Headers],0)),INDEX(lmic_raw[],MATCH($A67,lmic_raw[[setting]:[setting]],0), MATCH(AP$1, lmic_raw[#Headers],0)))</f>
        <v>1.9536607225944226E-2</v>
      </c>
      <c r="AQ67" s="33">
        <f>IF(INDEX(lmic_raw[],MATCH($A67,lmic_raw[[setting]:[setting]],0), MATCH(AQ$1, lmic_raw[#Headers],0))=0, INDEX(regions[], MATCH($D67, regions[[setting]:[setting]],0), MATCH(AQ$1, regions[#Headers],0)),INDEX(lmic_raw[],MATCH($A67,lmic_raw[[setting]:[setting]],0), MATCH(AQ$1, lmic_raw[#Headers],0)))</f>
        <v>3.0001178093193585E-2</v>
      </c>
      <c r="AR67" s="33">
        <f>IF(INDEX(lmic_raw[],MATCH($A67,lmic_raw[[setting]:[setting]],0), MATCH(AR$1, lmic_raw[#Headers],0))=0, INDEX(regions[], MATCH($D67, regions[[setting]:[setting]],0), MATCH(AR$1, regions[#Headers],0)),INDEX(lmic_raw[],MATCH($A67,lmic_raw[[setting]:[setting]],0), MATCH(AR$1, lmic_raw[#Headers],0)))</f>
        <v>4.6408078320223686E-2</v>
      </c>
      <c r="AS67" s="33">
        <f>IF(INDEX(lmic_raw[],MATCH($A67,lmic_raw[[setting]:[setting]],0), MATCH(AS$1, lmic_raw[#Headers],0))=0, INDEX(regions[], MATCH($D67, regions[[setting]:[setting]],0), MATCH(AS$1, regions[#Headers],0)),INDEX(lmic_raw[],MATCH($A67,lmic_raw[[setting]:[setting]],0), MATCH(AS$1, lmic_raw[#Headers],0)))</f>
        <v>7.0293631090044384E-2</v>
      </c>
      <c r="AT67" s="33">
        <f>IF(INDEX(lmic_raw[],MATCH($A67,lmic_raw[[setting]:[setting]],0), MATCH(AT$1, lmic_raw[#Headers],0))=0, INDEX(regions[], MATCH($D67, regions[[setting]:[setting]],0), MATCH(AT$1, regions[#Headers],0)),INDEX(lmic_raw[],MATCH($A67,lmic_raw[[setting]:[setting]],0), MATCH(AT$1, lmic_raw[#Headers],0)))</f>
        <v>0.10184859739279212</v>
      </c>
      <c r="AU67" s="33">
        <f>IF(INDEX(lmic_raw[],MATCH($A67,lmic_raw[[setting]:[setting]],0), MATCH(AU$1, lmic_raw[#Headers],0))=0, INDEX(regions[], MATCH($D67, regions[[setting]:[setting]],0), MATCH(AU$1, regions[#Headers],0)),INDEX(lmic_raw[],MATCH($A67,lmic_raw[[setting]:[setting]],0), MATCH(AU$1, lmic_raw[#Headers],0)))</f>
        <v>0.13523986958288475</v>
      </c>
      <c r="AV67" s="33">
        <f>IF(INDEX(lmic_raw[],MATCH($A67,lmic_raw[[setting]:[setting]],0), MATCH(AV$1, lmic_raw[#Headers],0))=0, INDEX(regions[], MATCH($D67, regions[[setting]:[setting]],0), MATCH(AV$1, regions[#Headers],0)),INDEX(lmic_raw[],MATCH($A67,lmic_raw[[setting]:[setting]],0), MATCH(AV$1, lmic_raw[#Headers],0)))</f>
        <v>0.1623042397327624</v>
      </c>
      <c r="AW67" s="33">
        <f>IF(INDEX(lmic_raw[],MATCH($A67,lmic_raw[[setting]:[setting]],0), MATCH(AW$1, lmic_raw[#Headers],0))=0, INDEX(regions[], MATCH($D67, regions[[setting]:[setting]],0), MATCH(AW$1, regions[#Headers],0)),INDEX(lmic_raw[],MATCH($A67,lmic_raw[[setting]:[setting]],0), MATCH(AW$1, lmic_raw[#Headers],0)))</f>
        <v>0.17970482443827956</v>
      </c>
      <c r="AX67" s="33">
        <f>IF(INDEX(lmic_raw[],MATCH($A67,lmic_raw[[setting]:[setting]],0), MATCH(AX$1, lmic_raw[#Headers],0))=0, INDEX(regions[], MATCH($D67, regions[[setting]:[setting]],0), MATCH(AX$1, regions[#Headers],0)),INDEX(lmic_raw[],MATCH($A67,lmic_raw[[setting]:[setting]],0), MATCH(AX$1, lmic_raw[#Headers],0)))</f>
        <v>67.441000000000003</v>
      </c>
      <c r="AY67" s="33" t="str">
        <f>IF(VLOOKUP($A67,lmic_raw[],11,FALSE)=0, "Yes", "No")</f>
        <v>No</v>
      </c>
    </row>
    <row r="68" spans="1:51" x14ac:dyDescent="0.25">
      <c r="A68" s="109" t="s">
        <v>174</v>
      </c>
      <c r="B68" s="101" t="s">
        <v>456</v>
      </c>
      <c r="C68" s="102">
        <v>422</v>
      </c>
      <c r="D68" s="82" t="s">
        <v>673</v>
      </c>
      <c r="E68" s="82" t="s">
        <v>579</v>
      </c>
      <c r="F68" s="82" t="s">
        <v>579</v>
      </c>
      <c r="G68" s="82" t="s">
        <v>676</v>
      </c>
      <c r="H68" s="33">
        <f>IF(INDEX(lmic_raw[],MATCH($A68,lmic_raw[[setting]:[setting]],0), MATCH(H$1, lmic_raw[#Headers],0))=0, INDEX(regions[], MATCH($D68, regions[[setting]:[setting]],0), MATCH(H$1, regions[#Headers],0)),INDEX(lmic_raw[],MATCH($A68,lmic_raw[[setting]:[setting]],0), MATCH(H$1, lmic_raw[#Headers],0)))</f>
        <v>6855709</v>
      </c>
      <c r="I68" s="33">
        <f>IF(INDEX(lmic_raw[],MATCH($A68,lmic_raw[[setting]:[setting]],0), MATCH(I$1, lmic_raw[#Headers],0))=0, INDEX(regions[], MATCH($D68, regions[[setting]:[setting]],0), MATCH(I$1, regions[#Headers],0)),INDEX(lmic_raw[],MATCH($A68,lmic_raw[[setting]:[setting]],0), MATCH(I$1, lmic_raw[#Headers],0)))</f>
        <v>120441.09571200001</v>
      </c>
      <c r="J68" s="33">
        <f>IF(INDEX(lmic_raw[],MATCH($A68,lmic_raw[[setting]:[setting]],0), MATCH(J$1, lmic_raw[#Headers],0))=0, INDEX(regions[], MATCH($D68, regions[[setting]:[setting]],0), MATCH(J$1, regions[#Headers],0)),INDEX(lmic_raw[],MATCH($A68,lmic_raw[[setting]:[setting]],0), MATCH(J$1, lmic_raw[#Headers],0)))</f>
        <v>0.99900000000000011</v>
      </c>
      <c r="K68" s="33">
        <f>IF(INDEX(lmic_raw[],MATCH($A68,lmic_raw[[setting]:[setting]],0), MATCH(K$1, lmic_raw[#Headers],0))=0, INDEX(regions[], MATCH($D68, regions[[setting]:[setting]],0), MATCH(K$1, regions[#Headers],0)),INDEX(lmic_raw[],MATCH($A68,lmic_raw[[setting]:[setting]],0), MATCH(K$1, lmic_raw[#Headers],0)))</f>
        <v>0.8</v>
      </c>
      <c r="L68" s="33">
        <f>IF(INDEX(lmic_raw[],MATCH($A68,lmic_raw[[setting]:[setting]],0), MATCH(L$1, lmic_raw[#Headers],0))=0, INDEX(regions[], MATCH($D68, regions[[setting]:[setting]],0), MATCH(L$1, regions[#Headers],0)),INDEX(lmic_raw[],MATCH($A68,lmic_raw[[setting]:[setting]],0), MATCH(L$1, lmic_raw[#Headers],0)))</f>
        <v>0.8</v>
      </c>
      <c r="M68" s="33">
        <f>IF(INDEX(lmic_raw[],MATCH($A68,lmic_raw[[setting]:[setting]],0), MATCH(M$1, lmic_raw[#Headers],0))=0, INDEX(regions[], MATCH($D68, regions[[setting]:[setting]],0), MATCH(M$1, regions[#Headers],0)),INDEX(lmic_raw[],MATCH($A68,lmic_raw[[setting]:[setting]],0), MATCH(M$1, lmic_raw[#Headers],0)))</f>
        <v>1.3100000000000001E-2</v>
      </c>
      <c r="N68" s="33">
        <f>IF(INDEX(lmic_raw[],MATCH($A68,lmic_raw[[setting]:[setting]],0), MATCH(N$1, lmic_raw[#Headers],0))=0, INDEX(regions[], MATCH($D68, regions[[setting]:[setting]],0), MATCH(N$1, regions[#Headers],0)),INDEX(lmic_raw[],MATCH($A68,lmic_raw[[setting]:[setting]],0), MATCH(N$1, lmic_raw[#Headers],0)))</f>
        <v>0.25404672198349698</v>
      </c>
      <c r="O68" s="33">
        <f>IF(INDEX(lmic_raw[],MATCH($A68,lmic_raw[[setting]:[setting]],0), MATCH(O$1, lmic_raw[#Headers],0))=0, INDEX(regions[], MATCH($D68, regions[[setting]:[setting]],0), MATCH(O$1, regions[#Headers],0)),INDEX(lmic_raw[],MATCH($A68,lmic_raw[[setting]:[setting]],0), MATCH(O$1, lmic_raw[#Headers],0)))</f>
        <v>0.8</v>
      </c>
      <c r="P68" s="33">
        <f>IF(INDEX(lmic_raw[],MATCH($A68,lmic_raw[[setting]:[setting]],0), MATCH(P$1, lmic_raw[#Headers],0))=0, INDEX(regions[], MATCH($D68, regions[[setting]:[setting]],0), MATCH(P$1, regions[#Headers],0)),INDEX(lmic_raw[],MATCH($A68,lmic_raw[[setting]:[setting]],0), MATCH(P$1, lmic_raw[#Headers],0)))</f>
        <v>0.17499999999999999</v>
      </c>
      <c r="Q68" s="33">
        <f>IF(INDEX(lmic_raw[],MATCH($A68,lmic_raw[[setting]:[setting]],0), MATCH(Q$1, lmic_raw[#Headers],0))=0, INDEX(regions[], MATCH($D68, regions[[setting]:[setting]],0), MATCH(Q$1, regions[#Headers],0)),INDEX(lmic_raw[],MATCH($A68,lmic_raw[[setting]:[setting]],0), MATCH(Q$1, lmic_raw[#Headers],0)))</f>
        <v>13.7083499264079</v>
      </c>
      <c r="R68" s="33">
        <f>IF(INDEX(lmic_raw[],MATCH($A68,lmic_raw[[setting]:[setting]],0), MATCH(R$1, lmic_raw[#Headers],0))=0, INDEX(regions[], MATCH($D68, regions[[setting]:[setting]],0), MATCH(R$1, regions[#Headers],0)),INDEX(lmic_raw[],MATCH($A68,lmic_raw[[setting]:[setting]],0), MATCH(R$1, lmic_raw[#Headers],0)))</f>
        <v>46.335900000000002</v>
      </c>
      <c r="S68" s="33">
        <f>IF(INDEX(lmic_raw[],MATCH($A68,lmic_raw[[setting]:[setting]],0), MATCH(S$1, lmic_raw[#Headers],0))=0, INDEX(regions[], MATCH($D68, regions[[setting]:[setting]],0), MATCH(S$1, regions[#Headers],0)),INDEX(lmic_raw[],MATCH($A68,lmic_raw[[setting]:[setting]],0), MATCH(S$1, lmic_raw[#Headers],0)))</f>
        <v>94.077900000000014</v>
      </c>
      <c r="T68" s="33">
        <f>IF(INDEX(lmic_raw[],MATCH($A68,lmic_raw[[setting]:[setting]],0), MATCH(T$1, lmic_raw[#Headers],0))=0, INDEX(regions[], MATCH($D68, regions[[setting]:[setting]],0), MATCH(T$1, regions[#Headers],0)),INDEX(lmic_raw[],MATCH($A68,lmic_raw[[setting]:[setting]],0), MATCH(T$1, lmic_raw[#Headers],0)))</f>
        <v>94.077900000000014</v>
      </c>
      <c r="U68" s="33">
        <f>IF(INDEX(lmic_raw[],MATCH($A68,lmic_raw[[setting]:[setting]],0), MATCH(U$1, lmic_raw[#Headers],0))=0, INDEX(regions[], MATCH($D68, regions[[setting]:[setting]],0), MATCH(U$1, regions[#Headers],0)),INDEX(lmic_raw[],MATCH($A68,lmic_raw[[setting]:[setting]],0), MATCH(U$1, lmic_raw[#Headers],0)))</f>
        <v>94.077900000000014</v>
      </c>
      <c r="V68" s="33">
        <f>IF(INDEX(lmic_raw[],MATCH($A68,lmic_raw[[setting]:[setting]],0), MATCH(V$1, lmic_raw[#Headers],0))=0, INDEX(regions[], MATCH($D68, regions[[setting]:[setting]],0), MATCH(V$1, regions[#Headers],0)),INDEX(lmic_raw[],MATCH($A68,lmic_raw[[setting]:[setting]],0), MATCH(V$1, lmic_raw[#Headers],0)))</f>
        <v>4.3686137164105379</v>
      </c>
      <c r="W68" s="33">
        <f>IF(INDEX(lmic_raw[],MATCH($A68,lmic_raw[[setting]:[setting]],0), MATCH(W$1, lmic_raw[#Headers],0))=0, INDEX(regions[], MATCH($D68, regions[[setting]:[setting]],0), MATCH(W$1, regions[#Headers],0)),INDEX(lmic_raw[],MATCH($A68,lmic_raw[[setting]:[setting]],0), MATCH(W$1, lmic_raw[#Headers],0)))</f>
        <v>4.8486137164105383</v>
      </c>
      <c r="X68" s="33">
        <f>IF(INDEX(lmic_raw[],MATCH($A68,lmic_raw[[setting]:[setting]],0), MATCH(X$1, lmic_raw[#Headers],0))=0, INDEX(regions[], MATCH($D68, regions[[setting]:[setting]],0), MATCH(X$1, regions[#Headers],0)),INDEX(lmic_raw[],MATCH($A68,lmic_raw[[setting]:[setting]],0), MATCH(X$1, lmic_raw[#Headers],0)))</f>
        <v>3.9257445038204821</v>
      </c>
      <c r="Y68" s="33">
        <f>IF(INDEX(lmic_raw[],MATCH($A68,lmic_raw[[setting]:[setting]],0), MATCH(Y$1, lmic_raw[#Headers],0))=0, INDEX(regions[], MATCH($D68, regions[[setting]:[setting]],0), MATCH(Y$1, regions[#Headers],0)),INDEX(lmic_raw[],MATCH($A68,lmic_raw[[setting]:[setting]],0), MATCH(Y$1, lmic_raw[#Headers],0)))</f>
        <v>4.4057445038204825</v>
      </c>
      <c r="Z68" s="33">
        <f>IF(INDEX(lmic_raw[],MATCH($A68,lmic_raw[[setting]:[setting]],0), MATCH(Z$1, lmic_raw[#Headers],0))=0, INDEX(regions[], MATCH($D68, regions[[setting]:[setting]],0), MATCH(Z$1, regions[#Headers],0)),INDEX(lmic_raw[],MATCH($A68,lmic_raw[[setting]:[setting]],0), MATCH(Z$1, lmic_raw[#Headers],0)))</f>
        <v>4.3952627938040836</v>
      </c>
      <c r="AA68" s="33">
        <f>IF(INDEX(lmic_raw[],MATCH($A68,lmic_raw[[setting]:[setting]],0), MATCH(AA$1, lmic_raw[#Headers],0))=0, INDEX(regions[], MATCH($D68, regions[[setting]:[setting]],0), MATCH(AA$1, regions[#Headers],0)),INDEX(lmic_raw[],MATCH($A68,lmic_raw[[setting]:[setting]],0), MATCH(AA$1, lmic_raw[#Headers],0)))</f>
        <v>4.6164786595558152</v>
      </c>
      <c r="AB68" s="33">
        <f>IF(INDEX(lmic_raw[],MATCH($A68,lmic_raw[[setting]:[setting]],0), MATCH(AB$1, lmic_raw[#Headers],0))=0, INDEX(regions[], MATCH($D68, regions[[setting]:[setting]],0), MATCH(AB$1, regions[#Headers],0)),INDEX(lmic_raw[],MATCH($A68,lmic_raw[[setting]:[setting]],0), MATCH(AB$1, lmic_raw[#Headers],0)))</f>
        <v>5.0964786595558156</v>
      </c>
      <c r="AC68" s="33">
        <f>IF(INDEX(lmic_raw[],MATCH($A68,lmic_raw[[setting]:[setting]],0), MATCH(AC$1, lmic_raw[#Headers],0))=0, INDEX(regions[], MATCH($D68, regions[[setting]:[setting]],0), MATCH(AC$1, regions[#Headers],0)),INDEX(lmic_raw[],MATCH($A68,lmic_raw[[setting]:[setting]],0), MATCH(AC$1, lmic_raw[#Headers],0)))</f>
        <v>9.4147199999999424E-3</v>
      </c>
      <c r="AD68" s="33">
        <f>IF(INDEX(lmic_raw[],MATCH($A68,lmic_raw[[setting]:[setting]],0), MATCH(AD$1, lmic_raw[#Headers],0))=0, INDEX(regions[], MATCH($D68, regions[[setting]:[setting]],0), MATCH(AD$1, regions[#Headers],0)),INDEX(lmic_raw[],MATCH($A68,lmic_raw[[setting]:[setting]],0), MATCH(AD$1, lmic_raw[#Headers],0)))</f>
        <v>3.7654506636725825E-4</v>
      </c>
      <c r="AE68" s="33">
        <f>IF(INDEX(lmic_raw[],MATCH($A68,lmic_raw[[setting]:[setting]],0), MATCH(AE$1, lmic_raw[#Headers],0))=0, INDEX(regions[], MATCH($D68, regions[[setting]:[setting]],0), MATCH(AE$1, regions[#Headers],0)),INDEX(lmic_raw[],MATCH($A68,lmic_raw[[setting]:[setting]],0), MATCH(AE$1, lmic_raw[#Headers],0)))</f>
        <v>1.8321426670696398E-4</v>
      </c>
      <c r="AF68" s="33">
        <f>IF(INDEX(lmic_raw[],MATCH($A68,lmic_raw[[setting]:[setting]],0), MATCH(AF$1, lmic_raw[#Headers],0))=0, INDEX(regions[], MATCH($D68, regions[[setting]:[setting]],0), MATCH(AF$1, regions[#Headers],0)),INDEX(lmic_raw[],MATCH($A68,lmic_raw[[setting]:[setting]],0), MATCH(AF$1, lmic_raw[#Headers],0)))</f>
        <v>1.5346484957506218E-4</v>
      </c>
      <c r="AG68" s="33">
        <f>IF(INDEX(lmic_raw[],MATCH($A68,lmic_raw[[setting]:[setting]],0), MATCH(AG$1, lmic_raw[#Headers],0))=0, INDEX(regions[], MATCH($D68, regions[[setting]:[setting]],0), MATCH(AG$1, regions[#Headers],0)),INDEX(lmic_raw[],MATCH($A68,lmic_raw[[setting]:[setting]],0), MATCH(AG$1, lmic_raw[#Headers],0)))</f>
        <v>2.8772095741896333E-4</v>
      </c>
      <c r="AH68" s="33">
        <f>IF(INDEX(lmic_raw[],MATCH($A68,lmic_raw[[setting]:[setting]],0), MATCH(AH$1, lmic_raw[#Headers],0))=0, INDEX(regions[], MATCH($D68, regions[[setting]:[setting]],0), MATCH(AH$1, regions[#Headers],0)),INDEX(lmic_raw[],MATCH($A68,lmic_raw[[setting]:[setting]],0), MATCH(AH$1, lmic_raw[#Headers],0)))</f>
        <v>4.0111422172237402E-4</v>
      </c>
      <c r="AI68" s="33">
        <f>IF(INDEX(lmic_raw[],MATCH($A68,lmic_raw[[setting]:[setting]],0), MATCH(AI$1, lmic_raw[#Headers],0))=0, INDEX(regions[], MATCH($D68, regions[[setting]:[setting]],0), MATCH(AI$1, regions[#Headers],0)),INDEX(lmic_raw[],MATCH($A68,lmic_raw[[setting]:[setting]],0), MATCH(AI$1, lmic_raw[#Headers],0)))</f>
        <v>4.2937675606144276E-4</v>
      </c>
      <c r="AJ68" s="33">
        <f>IF(INDEX(lmic_raw[],MATCH($A68,lmic_raw[[setting]:[setting]],0), MATCH(AJ$1, lmic_raw[#Headers],0))=0, INDEX(regions[], MATCH($D68, regions[[setting]:[setting]],0), MATCH(AJ$1, regions[#Headers],0)),INDEX(lmic_raw[],MATCH($A68,lmic_raw[[setting]:[setting]],0), MATCH(AJ$1, lmic_raw[#Headers],0)))</f>
        <v>5.0556751508178588E-4</v>
      </c>
      <c r="AK68" s="33">
        <f>IF(INDEX(lmic_raw[],MATCH($A68,lmic_raw[[setting]:[setting]],0), MATCH(AK$1, lmic_raw[#Headers],0))=0, INDEX(regions[], MATCH($D68, regions[[setting]:[setting]],0), MATCH(AK$1, regions[#Headers],0)),INDEX(lmic_raw[],MATCH($A68,lmic_raw[[setting]:[setting]],0), MATCH(AK$1, lmic_raw[#Headers],0)))</f>
        <v>6.8056297450641372E-4</v>
      </c>
      <c r="AL68" s="33">
        <f>IF(INDEX(lmic_raw[],MATCH($A68,lmic_raw[[setting]:[setting]],0), MATCH(AL$1, lmic_raw[#Headers],0))=0, INDEX(regions[], MATCH($D68, regions[[setting]:[setting]],0), MATCH(AL$1, regions[#Headers],0)),INDEX(lmic_raw[],MATCH($A68,lmic_raw[[setting]:[setting]],0), MATCH(AL$1, lmic_raw[#Headers],0)))</f>
        <v>1.0466309847889622E-3</v>
      </c>
      <c r="AM68" s="33">
        <f>IF(INDEX(lmic_raw[],MATCH($A68,lmic_raw[[setting]:[setting]],0), MATCH(AM$1, lmic_raw[#Headers],0))=0, INDEX(regions[], MATCH($D68, regions[[setting]:[setting]],0), MATCH(AM$1, regions[#Headers],0)),INDEX(lmic_raw[],MATCH($A68,lmic_raw[[setting]:[setting]],0), MATCH(AM$1, lmic_raw[#Headers],0)))</f>
        <v>1.825483717098368E-3</v>
      </c>
      <c r="AN68" s="33">
        <f>IF(INDEX(lmic_raw[],MATCH($A68,lmic_raw[[setting]:[setting]],0), MATCH(AN$1, lmic_raw[#Headers],0))=0, INDEX(regions[], MATCH($D68, regions[[setting]:[setting]],0), MATCH(AN$1, regions[#Headers],0)),INDEX(lmic_raw[],MATCH($A68,lmic_raw[[setting]:[setting]],0), MATCH(AN$1, lmic_raw[#Headers],0)))</f>
        <v>3.1195015372933455E-3</v>
      </c>
      <c r="AO68" s="33">
        <f>IF(INDEX(lmic_raw[],MATCH($A68,lmic_raw[[setting]:[setting]],0), MATCH(AO$1, lmic_raw[#Headers],0))=0, INDEX(regions[], MATCH($D68, regions[[setting]:[setting]],0), MATCH(AO$1, regions[#Headers],0)),INDEX(lmic_raw[],MATCH($A68,lmic_raw[[setting]:[setting]],0), MATCH(AO$1, lmic_raw[#Headers],0)))</f>
        <v>5.4403402361517779E-3</v>
      </c>
      <c r="AP68" s="33">
        <f>IF(INDEX(lmic_raw[],MATCH($A68,lmic_raw[[setting]:[setting]],0), MATCH(AP$1, lmic_raw[#Headers],0))=0, INDEX(regions[], MATCH($D68, regions[[setting]:[setting]],0), MATCH(AP$1, regions[#Headers],0)),INDEX(lmic_raw[],MATCH($A68,lmic_raw[[setting]:[setting]],0), MATCH(AP$1, lmic_raw[#Headers],0)))</f>
        <v>8.641925489763367E-3</v>
      </c>
      <c r="AQ68" s="33">
        <f>IF(INDEX(lmic_raw[],MATCH($A68,lmic_raw[[setting]:[setting]],0), MATCH(AQ$1, lmic_raw[#Headers],0))=0, INDEX(regions[], MATCH($D68, regions[[setting]:[setting]],0), MATCH(AQ$1, regions[#Headers],0)),INDEX(lmic_raw[],MATCH($A68,lmic_raw[[setting]:[setting]],0), MATCH(AQ$1, lmic_raw[#Headers],0)))</f>
        <v>1.4734147857251618E-2</v>
      </c>
      <c r="AR68" s="33">
        <f>IF(INDEX(lmic_raw[],MATCH($A68,lmic_raw[[setting]:[setting]],0), MATCH(AR$1, lmic_raw[#Headers],0))=0, INDEX(regions[], MATCH($D68, regions[[setting]:[setting]],0), MATCH(AR$1, regions[#Headers],0)),INDEX(lmic_raw[],MATCH($A68,lmic_raw[[setting]:[setting]],0), MATCH(AR$1, lmic_raw[#Headers],0)))</f>
        <v>2.550437110398128E-2</v>
      </c>
      <c r="AS68" s="33">
        <f>IF(INDEX(lmic_raw[],MATCH($A68,lmic_raw[[setting]:[setting]],0), MATCH(AS$1, lmic_raw[#Headers],0))=0, INDEX(regions[], MATCH($D68, regions[[setting]:[setting]],0), MATCH(AS$1, regions[#Headers],0)),INDEX(lmic_raw[],MATCH($A68,lmic_raw[[setting]:[setting]],0), MATCH(AS$1, lmic_raw[#Headers],0)))</f>
        <v>4.216949255502267E-2</v>
      </c>
      <c r="AT68" s="33">
        <f>IF(INDEX(lmic_raw[],MATCH($A68,lmic_raw[[setting]:[setting]],0), MATCH(AT$1, lmic_raw[#Headers],0))=0, INDEX(regions[], MATCH($D68, regions[[setting]:[setting]],0), MATCH(AT$1, regions[#Headers],0)),INDEX(lmic_raw[],MATCH($A68,lmic_raw[[setting]:[setting]],0), MATCH(AT$1, lmic_raw[#Headers],0)))</f>
        <v>6.8128564206291431E-2</v>
      </c>
      <c r="AU68" s="33">
        <f>IF(INDEX(lmic_raw[],MATCH($A68,lmic_raw[[setting]:[setting]],0), MATCH(AU$1, lmic_raw[#Headers],0))=0, INDEX(regions[], MATCH($D68, regions[[setting]:[setting]],0), MATCH(AU$1, regions[#Headers],0)),INDEX(lmic_raw[],MATCH($A68,lmic_raw[[setting]:[setting]],0), MATCH(AU$1, lmic_raw[#Headers],0)))</f>
        <v>0.10198240505659194</v>
      </c>
      <c r="AV68" s="33">
        <f>IF(INDEX(lmic_raw[],MATCH($A68,lmic_raw[[setting]:[setting]],0), MATCH(AV$1, lmic_raw[#Headers],0))=0, INDEX(regions[], MATCH($D68, regions[[setting]:[setting]],0), MATCH(AV$1, regions[#Headers],0)),INDEX(lmic_raw[],MATCH($A68,lmic_raw[[setting]:[setting]],0), MATCH(AV$1, lmic_raw[#Headers],0)))</f>
        <v>0.13605351302737792</v>
      </c>
      <c r="AW68" s="33">
        <f>IF(INDEX(lmic_raw[],MATCH($A68,lmic_raw[[setting]:[setting]],0), MATCH(AW$1, lmic_raw[#Headers],0))=0, INDEX(regions[], MATCH($D68, regions[[setting]:[setting]],0), MATCH(AW$1, regions[#Headers],0)),INDEX(lmic_raw[],MATCH($A68,lmic_raw[[setting]:[setting]],0), MATCH(AW$1, lmic_raw[#Headers],0)))</f>
        <v>0.1630731895776322</v>
      </c>
      <c r="AX68" s="33">
        <f>IF(INDEX(lmic_raw[],MATCH($A68,lmic_raw[[setting]:[setting]],0), MATCH(AX$1, lmic_raw[#Headers],0))=0, INDEX(regions[], MATCH($D68, regions[[setting]:[setting]],0), MATCH(AX$1, regions[#Headers],0)),INDEX(lmic_raw[],MATCH($A68,lmic_raw[[setting]:[setting]],0), MATCH(AX$1, lmic_raw[#Headers],0)))</f>
        <v>78.822999999999993</v>
      </c>
      <c r="AY68" s="33" t="str">
        <f>IF(VLOOKUP($A68,lmic_raw[],11,FALSE)=0, "Yes", "No")</f>
        <v>No</v>
      </c>
    </row>
    <row r="69" spans="1:51" x14ac:dyDescent="0.25">
      <c r="A69" s="110" t="s">
        <v>134</v>
      </c>
      <c r="B69" s="104" t="s">
        <v>457</v>
      </c>
      <c r="C69" s="105">
        <v>426</v>
      </c>
      <c r="D69" s="84" t="s">
        <v>677</v>
      </c>
      <c r="E69" s="84" t="s">
        <v>594</v>
      </c>
      <c r="F69" s="84" t="s">
        <v>667</v>
      </c>
      <c r="G69" s="84" t="s">
        <v>678</v>
      </c>
      <c r="H69" s="33">
        <f>IF(INDEX(lmic_raw[],MATCH($A69,lmic_raw[[setting]:[setting]],0), MATCH(H$1, lmic_raw[#Headers],0))=0, INDEX(regions[], MATCH($D69, regions[[setting]:[setting]],0), MATCH(H$1, regions[#Headers],0)),INDEX(lmic_raw[],MATCH($A69,lmic_raw[[setting]:[setting]],0), MATCH(H$1, lmic_raw[#Headers],0)))</f>
        <v>2125267</v>
      </c>
      <c r="I69" s="33">
        <f>IF(INDEX(lmic_raw[],MATCH($A69,lmic_raw[[setting]:[setting]],0), MATCH(I$1, lmic_raw[#Headers],0))=0, INDEX(regions[], MATCH($D69, regions[[setting]:[setting]],0), MATCH(I$1, regions[#Headers],0)),INDEX(lmic_raw[],MATCH($A69,lmic_raw[[setting]:[setting]],0), MATCH(I$1, lmic_raw[#Headers],0)))</f>
        <v>57454.468077999991</v>
      </c>
      <c r="J69" s="33">
        <f>IF(INDEX(lmic_raw[],MATCH($A69,lmic_raw[[setting]:[setting]],0), MATCH(J$1, lmic_raw[#Headers],0))=0, INDEX(regions[], MATCH($D69, regions[[setting]:[setting]],0), MATCH(J$1, regions[#Headers],0)),INDEX(lmic_raw[],MATCH($A69,lmic_raw[[setting]:[setting]],0), MATCH(J$1, lmic_raw[#Headers],0)))</f>
        <v>0.89400000000000002</v>
      </c>
      <c r="K69" s="33">
        <f>IF(INDEX(lmic_raw[],MATCH($A69,lmic_raw[[setting]:[setting]],0), MATCH(K$1, lmic_raw[#Headers],0))=0, INDEX(regions[], MATCH($D69, regions[[setting]:[setting]],0), MATCH(K$1, regions[#Headers],0)),INDEX(lmic_raw[],MATCH($A69,lmic_raw[[setting]:[setting]],0), MATCH(K$1, lmic_raw[#Headers],0)))</f>
        <v>0.69252604416320784</v>
      </c>
      <c r="L69" s="33">
        <f>IF(INDEX(lmic_raw[],MATCH($A69,lmic_raw[[setting]:[setting]],0), MATCH(L$1, lmic_raw[#Headers],0))=0, INDEX(regions[], MATCH($D69, regions[[setting]:[setting]],0), MATCH(L$1, regions[#Headers],0)),INDEX(lmic_raw[],MATCH($A69,lmic_raw[[setting]:[setting]],0), MATCH(L$1, lmic_raw[#Headers],0)))</f>
        <v>0.87</v>
      </c>
      <c r="M69" s="33">
        <f>IF(INDEX(lmic_raw[],MATCH($A69,lmic_raw[[setting]:[setting]],0), MATCH(M$1, lmic_raw[#Headers],0))=0, INDEX(regions[], MATCH($D69, regions[[setting]:[setting]],0), MATCH(M$1, regions[#Headers],0)),INDEX(lmic_raw[],MATCH($A69,lmic_raw[[setting]:[setting]],0), MATCH(M$1, lmic_raw[#Headers],0)))</f>
        <v>4.4600000000000001E-2</v>
      </c>
      <c r="N69" s="33">
        <f>IF(INDEX(lmic_raw[],MATCH($A69,lmic_raw[[setting]:[setting]],0), MATCH(N$1, lmic_raw[#Headers],0))=0, INDEX(regions[], MATCH($D69, regions[[setting]:[setting]],0), MATCH(N$1, regions[#Headers],0)),INDEX(lmic_raw[],MATCH($A69,lmic_raw[[setting]:[setting]],0), MATCH(N$1, lmic_raw[#Headers],0)))</f>
        <v>0.26721730975121849</v>
      </c>
      <c r="O69" s="33">
        <f>IF(INDEX(lmic_raw[],MATCH($A69,lmic_raw[[setting]:[setting]],0), MATCH(O$1, lmic_raw[#Headers],0))=0, INDEX(regions[], MATCH($D69, regions[[setting]:[setting]],0), MATCH(O$1, regions[#Headers],0)),INDEX(lmic_raw[],MATCH($A69,lmic_raw[[setting]:[setting]],0), MATCH(O$1, lmic_raw[#Headers],0)))</f>
        <v>0.38300000000000001</v>
      </c>
      <c r="P69" s="33">
        <f>IF(INDEX(lmic_raw[],MATCH($A69,lmic_raw[[setting]:[setting]],0), MATCH(P$1, lmic_raw[#Headers],0))=0, INDEX(regions[], MATCH($D69, regions[[setting]:[setting]],0), MATCH(P$1, regions[#Headers],0)),INDEX(lmic_raw[],MATCH($A69,lmic_raw[[setting]:[setting]],0), MATCH(P$1, lmic_raw[#Headers],0)))</f>
        <v>4.8000000000000001E-2</v>
      </c>
      <c r="Q69" s="33">
        <f>IF(INDEX(lmic_raw[],MATCH($A69,lmic_raw[[setting]:[setting]],0), MATCH(Q$1, lmic_raw[#Headers],0))=0, INDEX(regions[], MATCH($D69, regions[[setting]:[setting]],0), MATCH(Q$1, regions[#Headers],0)),INDEX(lmic_raw[],MATCH($A69,lmic_raw[[setting]:[setting]],0), MATCH(Q$1, lmic_raw[#Headers],0)))</f>
        <v>3.6433953926615228</v>
      </c>
      <c r="R69" s="33">
        <f>IF(INDEX(lmic_raw[],MATCH($A69,lmic_raw[[setting]:[setting]],0), MATCH(R$1, lmic_raw[#Headers],0))=0, INDEX(regions[], MATCH($D69, regions[[setting]:[setting]],0), MATCH(R$1, regions[#Headers],0)),INDEX(lmic_raw[],MATCH($A69,lmic_raw[[setting]:[setting]],0), MATCH(R$1, lmic_raw[#Headers],0)))</f>
        <v>29.920500000000001</v>
      </c>
      <c r="S69" s="33">
        <f>IF(INDEX(lmic_raw[],MATCH($A69,lmic_raw[[setting]:[setting]],0), MATCH(S$1, lmic_raw[#Headers],0))=0, INDEX(regions[], MATCH($D69, regions[[setting]:[setting]],0), MATCH(S$1, regions[#Headers],0)),INDEX(lmic_raw[],MATCH($A69,lmic_raw[[setting]:[setting]],0), MATCH(S$1, lmic_raw[#Headers],0)))</f>
        <v>77.662500000000009</v>
      </c>
      <c r="T69" s="33">
        <f>IF(INDEX(lmic_raw[],MATCH($A69,lmic_raw[[setting]:[setting]],0), MATCH(T$1, lmic_raw[#Headers],0))=0, INDEX(regions[], MATCH($D69, regions[[setting]:[setting]],0), MATCH(T$1, regions[#Headers],0)),INDEX(lmic_raw[],MATCH($A69,lmic_raw[[setting]:[setting]],0), MATCH(T$1, lmic_raw[#Headers],0)))</f>
        <v>77.662500000000009</v>
      </c>
      <c r="U69" s="33">
        <f>IF(INDEX(lmic_raw[],MATCH($A69,lmic_raw[[setting]:[setting]],0), MATCH(U$1, lmic_raw[#Headers],0))=0, INDEX(regions[], MATCH($D69, regions[[setting]:[setting]],0), MATCH(U$1, regions[#Headers],0)),INDEX(lmic_raw[],MATCH($A69,lmic_raw[[setting]:[setting]],0), MATCH(U$1, lmic_raw[#Headers],0)))</f>
        <v>77.662500000000009</v>
      </c>
      <c r="V69" s="33">
        <f>IF(INDEX(lmic_raw[],MATCH($A69,lmic_raw[[setting]:[setting]],0), MATCH(V$1, lmic_raw[#Headers],0))=0, INDEX(regions[], MATCH($D69, regions[[setting]:[setting]],0), MATCH(V$1, regions[#Headers],0)),INDEX(lmic_raw[],MATCH($A69,lmic_raw[[setting]:[setting]],0), MATCH(V$1, lmic_raw[#Headers],0)))</f>
        <v>4.5703166864280105</v>
      </c>
      <c r="W69" s="33">
        <f>IF(INDEX(lmic_raw[],MATCH($A69,lmic_raw[[setting]:[setting]],0), MATCH(W$1, lmic_raw[#Headers],0))=0, INDEX(regions[], MATCH($D69, regions[[setting]:[setting]],0), MATCH(W$1, regions[#Headers],0)),INDEX(lmic_raw[],MATCH($A69,lmic_raw[[setting]:[setting]],0), MATCH(W$1, lmic_raw[#Headers],0)))</f>
        <v>9.4003166864280097</v>
      </c>
      <c r="X69" s="33">
        <f>IF(INDEX(lmic_raw[],MATCH($A69,lmic_raw[[setting]:[setting]],0), MATCH(X$1, lmic_raw[#Headers],0))=0, INDEX(regions[], MATCH($D69, regions[[setting]:[setting]],0), MATCH(X$1, regions[#Headers],0)),INDEX(lmic_raw[],MATCH($A69,lmic_raw[[setting]:[setting]],0), MATCH(X$1, lmic_raw[#Headers],0)))</f>
        <v>4.1461323169150983</v>
      </c>
      <c r="Y69" s="33">
        <f>IF(INDEX(lmic_raw[],MATCH($A69,lmic_raw[[setting]:[setting]],0), MATCH(Y$1, lmic_raw[#Headers],0))=0, INDEX(regions[], MATCH($D69, regions[[setting]:[setting]],0), MATCH(Y$1, regions[#Headers],0)),INDEX(lmic_raw[],MATCH($A69,lmic_raw[[setting]:[setting]],0), MATCH(Y$1, lmic_raw[#Headers],0)))</f>
        <v>8.9761323169150984</v>
      </c>
      <c r="Z69" s="33">
        <f>IF(INDEX(lmic_raw[],MATCH($A69,lmic_raw[[setting]:[setting]],0), MATCH(Z$1, lmic_raw[#Headers],0))=0, INDEX(regions[], MATCH($D69, regions[[setting]:[setting]],0), MATCH(Z$1, regions[#Headers],0)),INDEX(lmic_raw[],MATCH($A69,lmic_raw[[setting]:[setting]],0), MATCH(Z$1, lmic_raw[#Headers],0)))</f>
        <v>8.9737473325025547</v>
      </c>
      <c r="AA69" s="33">
        <f>IF(INDEX(lmic_raw[],MATCH($A69,lmic_raw[[setting]:[setting]],0), MATCH(AA$1, lmic_raw[#Headers],0))=0, INDEX(regions[], MATCH($D69, regions[[setting]:[setting]],0), MATCH(AA$1, regions[#Headers],0)),INDEX(lmic_raw[],MATCH($A69,lmic_raw[[setting]:[setting]],0), MATCH(AA$1, lmic_raw[#Headers],0)))</f>
        <v>4.8114463954408269</v>
      </c>
      <c r="AB69" s="33">
        <f>IF(INDEX(lmic_raw[],MATCH($A69,lmic_raw[[setting]:[setting]],0), MATCH(AB$1, lmic_raw[#Headers],0))=0, INDEX(regions[], MATCH($D69, regions[[setting]:[setting]],0), MATCH(AB$1, regions[#Headers],0)),INDEX(lmic_raw[],MATCH($A69,lmic_raw[[setting]:[setting]],0), MATCH(AB$1, lmic_raw[#Headers],0)))</f>
        <v>9.6414463954408269</v>
      </c>
      <c r="AC69" s="33">
        <f>IF(INDEX(lmic_raw[],MATCH($A69,lmic_raw[[setting]:[setting]],0), MATCH(AC$1, lmic_raw[#Headers],0))=0, INDEX(regions[], MATCH($D69, regions[[setting]:[setting]],0), MATCH(AC$1, regions[#Headers],0)),INDEX(lmic_raw[],MATCH($A69,lmic_raw[[setting]:[setting]],0), MATCH(AC$1, lmic_raw[#Headers],0)))</f>
        <v>6.2258699999999952E-2</v>
      </c>
      <c r="AD69" s="33">
        <f>IF(INDEX(lmic_raw[],MATCH($A69,lmic_raw[[setting]:[setting]],0), MATCH(AD$1, lmic_raw[#Headers],0))=0, INDEX(regions[], MATCH($D69, regions[[setting]:[setting]],0), MATCH(AD$1, regions[#Headers],0)),INDEX(lmic_raw[],MATCH($A69,lmic_raw[[setting]:[setting]],0), MATCH(AD$1, lmic_raw[#Headers],0)))</f>
        <v>6.6132311758051116E-3</v>
      </c>
      <c r="AE69" s="33">
        <f>IF(INDEX(lmic_raw[],MATCH($A69,lmic_raw[[setting]:[setting]],0), MATCH(AE$1, lmic_raw[#Headers],0))=0, INDEX(regions[], MATCH($D69, regions[[setting]:[setting]],0), MATCH(AE$1, regions[#Headers],0)),INDEX(lmic_raw[],MATCH($A69,lmic_raw[[setting]:[setting]],0), MATCH(AE$1, lmic_raw[#Headers],0)))</f>
        <v>1.7266721968139435E-3</v>
      </c>
      <c r="AF69" s="33">
        <f>IF(INDEX(lmic_raw[],MATCH($A69,lmic_raw[[setting]:[setting]],0), MATCH(AF$1, lmic_raw[#Headers],0))=0, INDEX(regions[], MATCH($D69, regions[[setting]:[setting]],0), MATCH(AF$1, regions[#Headers],0)),INDEX(lmic_raw[],MATCH($A69,lmic_raw[[setting]:[setting]],0), MATCH(AF$1, lmic_raw[#Headers],0)))</f>
        <v>1.4284612535655375E-3</v>
      </c>
      <c r="AG69" s="33">
        <f>IF(INDEX(lmic_raw[],MATCH($A69,lmic_raw[[setting]:[setting]],0), MATCH(AG$1, lmic_raw[#Headers],0))=0, INDEX(regions[], MATCH($D69, regions[[setting]:[setting]],0), MATCH(AG$1, regions[#Headers],0)),INDEX(lmic_raw[],MATCH($A69,lmic_raw[[setting]:[setting]],0), MATCH(AG$1, lmic_raw[#Headers],0)))</f>
        <v>2.1940209111963459E-3</v>
      </c>
      <c r="AH69" s="33">
        <f>IF(INDEX(lmic_raw[],MATCH($A69,lmic_raw[[setting]:[setting]],0), MATCH(AH$1, lmic_raw[#Headers],0))=0, INDEX(regions[], MATCH($D69, regions[[setting]:[setting]],0), MATCH(AH$1, regions[#Headers],0)),INDEX(lmic_raw[],MATCH($A69,lmic_raw[[setting]:[setting]],0), MATCH(AH$1, lmic_raw[#Headers],0)))</f>
        <v>4.0249037558360802E-3</v>
      </c>
      <c r="AI69" s="33">
        <f>IF(INDEX(lmic_raw[],MATCH($A69,lmic_raw[[setting]:[setting]],0), MATCH(AI$1, lmic_raw[#Headers],0))=0, INDEX(regions[], MATCH($D69, regions[[setting]:[setting]],0), MATCH(AI$1, regions[#Headers],0)),INDEX(lmic_raw[],MATCH($A69,lmic_raw[[setting]:[setting]],0), MATCH(AI$1, lmic_raw[#Headers],0)))</f>
        <v>7.4365963756345427E-3</v>
      </c>
      <c r="AJ69" s="33">
        <f>IF(INDEX(lmic_raw[],MATCH($A69,lmic_raw[[setting]:[setting]],0), MATCH(AJ$1, lmic_raw[#Headers],0))=0, INDEX(regions[], MATCH($D69, regions[[setting]:[setting]],0), MATCH(AJ$1, regions[#Headers],0)),INDEX(lmic_raw[],MATCH($A69,lmic_raw[[setting]:[setting]],0), MATCH(AJ$1, lmic_raw[#Headers],0)))</f>
        <v>1.1221237110864302E-2</v>
      </c>
      <c r="AK69" s="33">
        <f>IF(INDEX(lmic_raw[],MATCH($A69,lmic_raw[[setting]:[setting]],0), MATCH(AK$1, lmic_raw[#Headers],0))=0, INDEX(regions[], MATCH($D69, regions[[setting]:[setting]],0), MATCH(AK$1, regions[#Headers],0)),INDEX(lmic_raw[],MATCH($A69,lmic_raw[[setting]:[setting]],0), MATCH(AK$1, lmic_raw[#Headers],0)))</f>
        <v>1.6457366803924959E-2</v>
      </c>
      <c r="AL69" s="33">
        <f>IF(INDEX(lmic_raw[],MATCH($A69,lmic_raw[[setting]:[setting]],0), MATCH(AL$1, lmic_raw[#Headers],0))=0, INDEX(regions[], MATCH($D69, regions[[setting]:[setting]],0), MATCH(AL$1, regions[#Headers],0)),INDEX(lmic_raw[],MATCH($A69,lmic_raw[[setting]:[setting]],0), MATCH(AL$1, lmic_raw[#Headers],0)))</f>
        <v>1.8570149582324235E-2</v>
      </c>
      <c r="AM69" s="33">
        <f>IF(INDEX(lmic_raw[],MATCH($A69,lmic_raw[[setting]:[setting]],0), MATCH(AM$1, lmic_raw[#Headers],0))=0, INDEX(regions[], MATCH($D69, regions[[setting]:[setting]],0), MATCH(AM$1, regions[#Headers],0)),INDEX(lmic_raw[],MATCH($A69,lmic_raw[[setting]:[setting]],0), MATCH(AM$1, lmic_raw[#Headers],0)))</f>
        <v>2.0615706205023586E-2</v>
      </c>
      <c r="AN69" s="33">
        <f>IF(INDEX(lmic_raw[],MATCH($A69,lmic_raw[[setting]:[setting]],0), MATCH(AN$1, lmic_raw[#Headers],0))=0, INDEX(regions[], MATCH($D69, regions[[setting]:[setting]],0), MATCH(AN$1, regions[#Headers],0)),INDEX(lmic_raw[],MATCH($A69,lmic_raw[[setting]:[setting]],0), MATCH(AN$1, lmic_raw[#Headers],0)))</f>
        <v>2.2196201470808335E-2</v>
      </c>
      <c r="AO69" s="33">
        <f>IF(INDEX(lmic_raw[],MATCH($A69,lmic_raw[[setting]:[setting]],0), MATCH(AO$1, lmic_raw[#Headers],0))=0, INDEX(regions[], MATCH($D69, regions[[setting]:[setting]],0), MATCH(AO$1, regions[#Headers],0)),INDEX(lmic_raw[],MATCH($A69,lmic_raw[[setting]:[setting]],0), MATCH(AO$1, lmic_raw[#Headers],0)))</f>
        <v>2.4970791637420244E-2</v>
      </c>
      <c r="AP69" s="33">
        <f>IF(INDEX(lmic_raw[],MATCH($A69,lmic_raw[[setting]:[setting]],0), MATCH(AP$1, lmic_raw[#Headers],0))=0, INDEX(regions[], MATCH($D69, regions[[setting]:[setting]],0), MATCH(AP$1, regions[#Headers],0)),INDEX(lmic_raw[],MATCH($A69,lmic_raw[[setting]:[setting]],0), MATCH(AP$1, lmic_raw[#Headers],0)))</f>
        <v>3.0223653779950108E-2</v>
      </c>
      <c r="AQ69" s="33">
        <f>IF(INDEX(lmic_raw[],MATCH($A69,lmic_raw[[setting]:[setting]],0), MATCH(AQ$1, lmic_raw[#Headers],0))=0, INDEX(regions[], MATCH($D69, regions[[setting]:[setting]],0), MATCH(AQ$1, regions[#Headers],0)),INDEX(lmic_raw[],MATCH($A69,lmic_raw[[setting]:[setting]],0), MATCH(AQ$1, lmic_raw[#Headers],0)))</f>
        <v>3.964174022607498E-2</v>
      </c>
      <c r="AR69" s="33">
        <f>IF(INDEX(lmic_raw[],MATCH($A69,lmic_raw[[setting]:[setting]],0), MATCH(AR$1, lmic_raw[#Headers],0))=0, INDEX(regions[], MATCH($D69, regions[[setting]:[setting]],0), MATCH(AR$1, regions[#Headers],0)),INDEX(lmic_raw[],MATCH($A69,lmic_raw[[setting]:[setting]],0), MATCH(AR$1, lmic_raw[#Headers],0)))</f>
        <v>5.4468780684668913E-2</v>
      </c>
      <c r="AS69" s="33">
        <f>IF(INDEX(lmic_raw[],MATCH($A69,lmic_raw[[setting]:[setting]],0), MATCH(AS$1, lmic_raw[#Headers],0))=0, INDEX(regions[], MATCH($D69, regions[[setting]:[setting]],0), MATCH(AS$1, regions[#Headers],0)),INDEX(lmic_raw[],MATCH($A69,lmic_raw[[setting]:[setting]],0), MATCH(AS$1, lmic_raw[#Headers],0)))</f>
        <v>7.4592118098832871E-2</v>
      </c>
      <c r="AT69" s="33">
        <f>IF(INDEX(lmic_raw[],MATCH($A69,lmic_raw[[setting]:[setting]],0), MATCH(AT$1, lmic_raw[#Headers],0))=0, INDEX(regions[], MATCH($D69, regions[[setting]:[setting]],0), MATCH(AT$1, regions[#Headers],0)),INDEX(lmic_raw[],MATCH($A69,lmic_raw[[setting]:[setting]],0), MATCH(AT$1, lmic_raw[#Headers],0)))</f>
        <v>0.10574099679242542</v>
      </c>
      <c r="AU69" s="33">
        <f>IF(INDEX(lmic_raw[],MATCH($A69,lmic_raw[[setting]:[setting]],0), MATCH(AU$1, lmic_raw[#Headers],0))=0, INDEX(regions[], MATCH($D69, regions[[setting]:[setting]],0), MATCH(AU$1, regions[#Headers],0)),INDEX(lmic_raw[],MATCH($A69,lmic_raw[[setting]:[setting]],0), MATCH(AU$1, lmic_raw[#Headers],0)))</f>
        <v>0.14301837354200442</v>
      </c>
      <c r="AV69" s="33">
        <f>IF(INDEX(lmic_raw[],MATCH($A69,lmic_raw[[setting]:[setting]],0), MATCH(AV$1, lmic_raw[#Headers],0))=0, INDEX(regions[], MATCH($D69, regions[[setting]:[setting]],0), MATCH(AV$1, regions[#Headers],0)),INDEX(lmic_raw[],MATCH($A69,lmic_raw[[setting]:[setting]],0), MATCH(AV$1, lmic_raw[#Headers],0)))</f>
        <v>0.17102403238973332</v>
      </c>
      <c r="AW69" s="33">
        <f>IF(INDEX(lmic_raw[],MATCH($A69,lmic_raw[[setting]:[setting]],0), MATCH(AW$1, lmic_raw[#Headers],0))=0, INDEX(regions[], MATCH($D69, regions[[setting]:[setting]],0), MATCH(AW$1, regions[#Headers],0)),INDEX(lmic_raw[],MATCH($A69,lmic_raw[[setting]:[setting]],0), MATCH(AW$1, lmic_raw[#Headers],0)))</f>
        <v>0.18239025525443139</v>
      </c>
      <c r="AX69" s="33">
        <f>IF(INDEX(lmic_raw[],MATCH($A69,lmic_raw[[setting]:[setting]],0), MATCH(AX$1, lmic_raw[#Headers],0))=0, INDEX(regions[], MATCH($D69, regions[[setting]:[setting]],0), MATCH(AX$1, regions[#Headers],0)),INDEX(lmic_raw[],MATCH($A69,lmic_raw[[setting]:[setting]],0), MATCH(AX$1, lmic_raw[#Headers],0)))</f>
        <v>53.511000000000003</v>
      </c>
      <c r="AY69" s="33" t="str">
        <f>IF(VLOOKUP($A69,lmic_raw[],11,FALSE)=0, "Yes", "No")</f>
        <v>Yes</v>
      </c>
    </row>
    <row r="70" spans="1:51" x14ac:dyDescent="0.25">
      <c r="A70" s="109" t="s">
        <v>146</v>
      </c>
      <c r="B70" s="101" t="s">
        <v>458</v>
      </c>
      <c r="C70" s="102">
        <v>430</v>
      </c>
      <c r="D70" s="82" t="s">
        <v>677</v>
      </c>
      <c r="E70" s="82" t="s">
        <v>591</v>
      </c>
      <c r="F70" s="82" t="s">
        <v>667</v>
      </c>
      <c r="G70" s="82" t="s">
        <v>674</v>
      </c>
      <c r="H70" s="33">
        <f>IF(INDEX(lmic_raw[],MATCH($A70,lmic_raw[[setting]:[setting]],0), MATCH(H$1, lmic_raw[#Headers],0))=0, INDEX(regions[], MATCH($D70, regions[[setting]:[setting]],0), MATCH(H$1, regions[#Headers],0)),INDEX(lmic_raw[],MATCH($A70,lmic_raw[[setting]:[setting]],0), MATCH(H$1, lmic_raw[#Headers],0)))</f>
        <v>4937374</v>
      </c>
      <c r="I70" s="33">
        <f>IF(INDEX(lmic_raw[],MATCH($A70,lmic_raw[[setting]:[setting]],0), MATCH(I$1, lmic_raw[#Headers],0))=0, INDEX(regions[], MATCH($D70, regions[[setting]:[setting]],0), MATCH(I$1, regions[#Headers],0)),INDEX(lmic_raw[],MATCH($A70,lmic_raw[[setting]:[setting]],0), MATCH(I$1, lmic_raw[#Headers],0)))</f>
        <v>164024.50165399996</v>
      </c>
      <c r="J70" s="33">
        <f>IF(INDEX(lmic_raw[],MATCH($A70,lmic_raw[[setting]:[setting]],0), MATCH(J$1, lmic_raw[#Headers],0))=0, INDEX(regions[], MATCH($D70, regions[[setting]:[setting]],0), MATCH(J$1, regions[#Headers],0)),INDEX(lmic_raw[],MATCH($A70,lmic_raw[[setting]:[setting]],0), MATCH(J$1, lmic_raw[#Headers],0)))</f>
        <v>0.79799999999999993</v>
      </c>
      <c r="K70" s="33">
        <f>IF(INDEX(lmic_raw[],MATCH($A70,lmic_raw[[setting]:[setting]],0), MATCH(K$1, lmic_raw[#Headers],0))=0, INDEX(regions[], MATCH($D70, regions[[setting]:[setting]],0), MATCH(K$1, regions[#Headers],0)),INDEX(lmic_raw[],MATCH($A70,lmic_raw[[setting]:[setting]],0), MATCH(K$1, lmic_raw[#Headers],0)))</f>
        <v>0.69252604416320784</v>
      </c>
      <c r="L70" s="33">
        <f>IF(INDEX(lmic_raw[],MATCH($A70,lmic_raw[[setting]:[setting]],0), MATCH(L$1, lmic_raw[#Headers],0))=0, INDEX(regions[], MATCH($D70, regions[[setting]:[setting]],0), MATCH(L$1, regions[#Headers],0)),INDEX(lmic_raw[],MATCH($A70,lmic_raw[[setting]:[setting]],0), MATCH(L$1, lmic_raw[#Headers],0)))</f>
        <v>0.74</v>
      </c>
      <c r="M70" s="33">
        <f>IF(INDEX(lmic_raw[],MATCH($A70,lmic_raw[[setting]:[setting]],0), MATCH(M$1, lmic_raw[#Headers],0))=0, INDEX(regions[], MATCH($D70, regions[[setting]:[setting]],0), MATCH(M$1, regions[#Headers],0)),INDEX(lmic_raw[],MATCH($A70,lmic_raw[[setting]:[setting]],0), MATCH(M$1, lmic_raw[#Headers],0)))</f>
        <v>0.14899999999999999</v>
      </c>
      <c r="N70" s="33">
        <f>IF(INDEX(lmic_raw[],MATCH($A70,lmic_raw[[setting]:[setting]],0), MATCH(N$1, lmic_raw[#Headers],0))=0, INDEX(regions[], MATCH($D70, regions[[setting]:[setting]],0), MATCH(N$1, regions[#Headers],0)),INDEX(lmic_raw[],MATCH($A70,lmic_raw[[setting]:[setting]],0), MATCH(N$1, lmic_raw[#Headers],0)))</f>
        <v>0.30108171495787017</v>
      </c>
      <c r="O70" s="33">
        <f>IF(INDEX(lmic_raw[],MATCH($A70,lmic_raw[[setting]:[setting]],0), MATCH(O$1, lmic_raw[#Headers],0))=0, INDEX(regions[], MATCH($D70, regions[[setting]:[setting]],0), MATCH(O$1, regions[#Headers],0)),INDEX(lmic_raw[],MATCH($A70,lmic_raw[[setting]:[setting]],0), MATCH(O$1, lmic_raw[#Headers],0)))</f>
        <v>0.38300000000000001</v>
      </c>
      <c r="P70" s="33">
        <f>IF(INDEX(lmic_raw[],MATCH($A70,lmic_raw[[setting]:[setting]],0), MATCH(P$1, lmic_raw[#Headers],0))=0, INDEX(regions[], MATCH($D70, regions[[setting]:[setting]],0), MATCH(P$1, regions[#Headers],0)),INDEX(lmic_raw[],MATCH($A70,lmic_raw[[setting]:[setting]],0), MATCH(P$1, lmic_raw[#Headers],0)))</f>
        <v>4.8000000000000001E-2</v>
      </c>
      <c r="Q70" s="33">
        <f>IF(INDEX(lmic_raw[],MATCH($A70,lmic_raw[[setting]:[setting]],0), MATCH(Q$1, lmic_raw[#Headers],0))=0, INDEX(regions[], MATCH($D70, regions[[setting]:[setting]],0), MATCH(Q$1, regions[#Headers],0)),INDEX(lmic_raw[],MATCH($A70,lmic_raw[[setting]:[setting]],0), MATCH(Q$1, lmic_raw[#Headers],0)))</f>
        <v>2.4564903768895445</v>
      </c>
      <c r="R70" s="33">
        <f>IF(INDEX(lmic_raw[],MATCH($A70,lmic_raw[[setting]:[setting]],0), MATCH(R$1, lmic_raw[#Headers],0))=0, INDEX(regions[], MATCH($D70, regions[[setting]:[setting]],0), MATCH(R$1, regions[#Headers],0)),INDEX(lmic_raw[],MATCH($A70,lmic_raw[[setting]:[setting]],0), MATCH(R$1, lmic_raw[#Headers],0)))</f>
        <v>29.920500000000001</v>
      </c>
      <c r="S70" s="33">
        <f>IF(INDEX(lmic_raw[],MATCH($A70,lmic_raw[[setting]:[setting]],0), MATCH(S$1, lmic_raw[#Headers],0))=0, INDEX(regions[], MATCH($D70, regions[[setting]:[setting]],0), MATCH(S$1, regions[#Headers],0)),INDEX(lmic_raw[],MATCH($A70,lmic_raw[[setting]:[setting]],0), MATCH(S$1, lmic_raw[#Headers],0)))</f>
        <v>77.662500000000009</v>
      </c>
      <c r="T70" s="33">
        <f>IF(INDEX(lmic_raw[],MATCH($A70,lmic_raw[[setting]:[setting]],0), MATCH(T$1, lmic_raw[#Headers],0))=0, INDEX(regions[], MATCH($D70, regions[[setting]:[setting]],0), MATCH(T$1, regions[#Headers],0)),INDEX(lmic_raw[],MATCH($A70,lmic_raw[[setting]:[setting]],0), MATCH(T$1, lmic_raw[#Headers],0)))</f>
        <v>77.662500000000009</v>
      </c>
      <c r="U70" s="33">
        <f>IF(INDEX(lmic_raw[],MATCH($A70,lmic_raw[[setting]:[setting]],0), MATCH(U$1, lmic_raw[#Headers],0))=0, INDEX(regions[], MATCH($D70, regions[[setting]:[setting]],0), MATCH(U$1, regions[#Headers],0)),INDEX(lmic_raw[],MATCH($A70,lmic_raw[[setting]:[setting]],0), MATCH(U$1, lmic_raw[#Headers],0)))</f>
        <v>77.662500000000009</v>
      </c>
      <c r="V70" s="33">
        <f>IF(INDEX(lmic_raw[],MATCH($A70,lmic_raw[[setting]:[setting]],0), MATCH(V$1, lmic_raw[#Headers],0))=0, INDEX(regions[], MATCH($D70, regions[[setting]:[setting]],0), MATCH(V$1, regions[#Headers],0)),INDEX(lmic_raw[],MATCH($A70,lmic_raw[[setting]:[setting]],0), MATCH(V$1, lmic_raw[#Headers],0)))</f>
        <v>2.6116195117754248</v>
      </c>
      <c r="W70" s="33">
        <f>IF(INDEX(lmic_raw[],MATCH($A70,lmic_raw[[setting]:[setting]],0), MATCH(W$1, lmic_raw[#Headers],0))=0, INDEX(regions[], MATCH($D70, regions[[setting]:[setting]],0), MATCH(W$1, regions[#Headers],0)),INDEX(lmic_raw[],MATCH($A70,lmic_raw[[setting]:[setting]],0), MATCH(W$1, lmic_raw[#Headers],0)))</f>
        <v>7.4416195117754249</v>
      </c>
      <c r="X70" s="33">
        <f>IF(INDEX(lmic_raw[],MATCH($A70,lmic_raw[[setting]:[setting]],0), MATCH(X$1, lmic_raw[#Headers],0))=0, INDEX(regions[], MATCH($D70, regions[[setting]:[setting]],0), MATCH(X$1, regions[#Headers],0)),INDEX(lmic_raw[],MATCH($A70,lmic_raw[[setting]:[setting]],0), MATCH(X$1, lmic_raw[#Headers],0)))</f>
        <v>2.1883361115225277</v>
      </c>
      <c r="Y70" s="33">
        <f>IF(INDEX(lmic_raw[],MATCH($A70,lmic_raw[[setting]:[setting]],0), MATCH(Y$1, lmic_raw[#Headers],0))=0, INDEX(regions[], MATCH($D70, regions[[setting]:[setting]],0), MATCH(Y$1, regions[#Headers],0)),INDEX(lmic_raw[],MATCH($A70,lmic_raw[[setting]:[setting]],0), MATCH(Y$1, lmic_raw[#Headers],0)))</f>
        <v>7.0183361115225278</v>
      </c>
      <c r="Z70" s="33">
        <f>IF(INDEX(lmic_raw[],MATCH($A70,lmic_raw[[setting]:[setting]],0), MATCH(Z$1, lmic_raw[#Headers],0))=0, INDEX(regions[], MATCH($D70, regions[[setting]:[setting]],0), MATCH(Z$1, regions[#Headers],0)),INDEX(lmic_raw[],MATCH($A70,lmic_raw[[setting]:[setting]],0), MATCH(Z$1, lmic_raw[#Headers],0)))</f>
        <v>7.0162987083110915</v>
      </c>
      <c r="AA70" s="33">
        <f>IF(INDEX(lmic_raw[],MATCH($A70,lmic_raw[[setting]:[setting]],0), MATCH(AA$1, lmic_raw[#Headers],0))=0, INDEX(regions[], MATCH($D70, regions[[setting]:[setting]],0), MATCH(AA$1, regions[#Headers],0)),INDEX(lmic_raw[],MATCH($A70,lmic_raw[[setting]:[setting]],0), MATCH(AA$1, lmic_raw[#Headers],0)))</f>
        <v>2.8524244527991676</v>
      </c>
      <c r="AB70" s="33">
        <f>IF(INDEX(lmic_raw[],MATCH($A70,lmic_raw[[setting]:[setting]],0), MATCH(AB$1, lmic_raw[#Headers],0))=0, INDEX(regions[], MATCH($D70, regions[[setting]:[setting]],0), MATCH(AB$1, regions[#Headers],0)),INDEX(lmic_raw[],MATCH($A70,lmic_raw[[setting]:[setting]],0), MATCH(AB$1, lmic_raw[#Headers],0)))</f>
        <v>7.6824244527991681</v>
      </c>
      <c r="AC70" s="33">
        <f>IF(INDEX(lmic_raw[],MATCH($A70,lmic_raw[[setting]:[setting]],0), MATCH(AC$1, lmic_raw[#Headers],0))=0, INDEX(regions[], MATCH($D70, regions[[setting]:[setting]],0), MATCH(AC$1, regions[#Headers],0)),INDEX(lmic_raw[],MATCH($A70,lmic_raw[[setting]:[setting]],0), MATCH(AC$1, lmic_raw[#Headers],0)))</f>
        <v>5.4073959999999935E-2</v>
      </c>
      <c r="AD70" s="33">
        <f>IF(INDEX(lmic_raw[],MATCH($A70,lmic_raw[[setting]:[setting]],0), MATCH(AD$1, lmic_raw[#Headers],0))=0, INDEX(regions[], MATCH($D70, regions[[setting]:[setting]],0), MATCH(AD$1, regions[#Headers],0)),INDEX(lmic_raw[],MATCH($A70,lmic_raw[[setting]:[setting]],0), MATCH(AD$1, lmic_raw[#Headers],0)))</f>
        <v>5.2957549408408616E-3</v>
      </c>
      <c r="AE70" s="33">
        <f>IF(INDEX(lmic_raw[],MATCH($A70,lmic_raw[[setting]:[setting]],0), MATCH(AE$1, lmic_raw[#Headers],0))=0, INDEX(regions[], MATCH($D70, regions[[setting]:[setting]],0), MATCH(AE$1, regions[#Headers],0)),INDEX(lmic_raw[],MATCH($A70,lmic_raw[[setting]:[setting]],0), MATCH(AE$1, lmic_raw[#Headers],0)))</f>
        <v>1.52445790798108E-3</v>
      </c>
      <c r="AF70" s="33">
        <f>IF(INDEX(lmic_raw[],MATCH($A70,lmic_raw[[setting]:[setting]],0), MATCH(AF$1, lmic_raw[#Headers],0))=0, INDEX(regions[], MATCH($D70, regions[[setting]:[setting]],0), MATCH(AF$1, regions[#Headers],0)),INDEX(lmic_raw[],MATCH($A70,lmic_raw[[setting]:[setting]],0), MATCH(AF$1, lmic_raw[#Headers],0)))</f>
        <v>1.0831044156668853E-3</v>
      </c>
      <c r="AG70" s="33">
        <f>IF(INDEX(lmic_raw[],MATCH($A70,lmic_raw[[setting]:[setting]],0), MATCH(AG$1, lmic_raw[#Headers],0))=0, INDEX(regions[], MATCH($D70, regions[[setting]:[setting]],0), MATCH(AG$1, regions[#Headers],0)),INDEX(lmic_raw[],MATCH($A70,lmic_raw[[setting]:[setting]],0), MATCH(AG$1, lmic_raw[#Headers],0)))</f>
        <v>1.7024033119997914E-3</v>
      </c>
      <c r="AH70" s="33">
        <f>IF(INDEX(lmic_raw[],MATCH($A70,lmic_raw[[setting]:[setting]],0), MATCH(AH$1, lmic_raw[#Headers],0))=0, INDEX(regions[], MATCH($D70, regions[[setting]:[setting]],0), MATCH(AH$1, regions[#Headers],0)),INDEX(lmic_raw[],MATCH($A70,lmic_raw[[setting]:[setting]],0), MATCH(AH$1, lmic_raw[#Headers],0)))</f>
        <v>2.505124347243223E-3</v>
      </c>
      <c r="AI70" s="33">
        <f>IF(INDEX(lmic_raw[],MATCH($A70,lmic_raw[[setting]:[setting]],0), MATCH(AI$1, lmic_raw[#Headers],0))=0, INDEX(regions[], MATCH($D70, regions[[setting]:[setting]],0), MATCH(AI$1, regions[#Headers],0)),INDEX(lmic_raw[],MATCH($A70,lmic_raw[[setting]:[setting]],0), MATCH(AI$1, lmic_raw[#Headers],0)))</f>
        <v>3.0446352469821686E-3</v>
      </c>
      <c r="AJ70" s="33">
        <f>IF(INDEX(lmic_raw[],MATCH($A70,lmic_raw[[setting]:[setting]],0), MATCH(AJ$1, lmic_raw[#Headers],0))=0, INDEX(regions[], MATCH($D70, regions[[setting]:[setting]],0), MATCH(AJ$1, regions[#Headers],0)),INDEX(lmic_raw[],MATCH($A70,lmic_raw[[setting]:[setting]],0), MATCH(AJ$1, lmic_raw[#Headers],0)))</f>
        <v>3.6660693798895804E-3</v>
      </c>
      <c r="AK70" s="33">
        <f>IF(INDEX(lmic_raw[],MATCH($A70,lmic_raw[[setting]:[setting]],0), MATCH(AK$1, lmic_raw[#Headers],0))=0, INDEX(regions[], MATCH($D70, regions[[setting]:[setting]],0), MATCH(AK$1, regions[#Headers],0)),INDEX(lmic_raw[],MATCH($A70,lmic_raw[[setting]:[setting]],0), MATCH(AK$1, lmic_raw[#Headers],0)))</f>
        <v>4.5674204120736001E-3</v>
      </c>
      <c r="AL70" s="33">
        <f>IF(INDEX(lmic_raw[],MATCH($A70,lmic_raw[[setting]:[setting]],0), MATCH(AL$1, lmic_raw[#Headers],0))=0, INDEX(regions[], MATCH($D70, regions[[setting]:[setting]],0), MATCH(AL$1, regions[#Headers],0)),INDEX(lmic_raw[],MATCH($A70,lmic_raw[[setting]:[setting]],0), MATCH(AL$1, lmic_raw[#Headers],0)))</f>
        <v>5.7264048718262961E-3</v>
      </c>
      <c r="AM70" s="33">
        <f>IF(INDEX(lmic_raw[],MATCH($A70,lmic_raw[[setting]:[setting]],0), MATCH(AM$1, lmic_raw[#Headers],0))=0, INDEX(regions[], MATCH($D70, regions[[setting]:[setting]],0), MATCH(AM$1, regions[#Headers],0)),INDEX(lmic_raw[],MATCH($A70,lmic_raw[[setting]:[setting]],0), MATCH(AM$1, lmic_raw[#Headers],0)))</f>
        <v>7.1244541232867295E-3</v>
      </c>
      <c r="AN70" s="33">
        <f>IF(INDEX(lmic_raw[],MATCH($A70,lmic_raw[[setting]:[setting]],0), MATCH(AN$1, lmic_raw[#Headers],0))=0, INDEX(regions[], MATCH($D70, regions[[setting]:[setting]],0), MATCH(AN$1, regions[#Headers],0)),INDEX(lmic_raw[],MATCH($A70,lmic_raw[[setting]:[setting]],0), MATCH(AN$1, lmic_raw[#Headers],0)))</f>
        <v>9.8491366116745579E-3</v>
      </c>
      <c r="AO70" s="33">
        <f>IF(INDEX(lmic_raw[],MATCH($A70,lmic_raw[[setting]:[setting]],0), MATCH(AO$1, lmic_raw[#Headers],0))=0, INDEX(regions[], MATCH($D70, regions[[setting]:[setting]],0), MATCH(AO$1, regions[#Headers],0)),INDEX(lmic_raw[],MATCH($A70,lmic_raw[[setting]:[setting]],0), MATCH(AO$1, lmic_raw[#Headers],0)))</f>
        <v>1.3062631100648247E-2</v>
      </c>
      <c r="AP70" s="33">
        <f>IF(INDEX(lmic_raw[],MATCH($A70,lmic_raw[[setting]:[setting]],0), MATCH(AP$1, lmic_raw[#Headers],0))=0, INDEX(regions[], MATCH($D70, regions[[setting]:[setting]],0), MATCH(AP$1, regions[#Headers],0)),INDEX(lmic_raw[],MATCH($A70,lmic_raw[[setting]:[setting]],0), MATCH(AP$1, lmic_raw[#Headers],0)))</f>
        <v>1.9392439955066558E-2</v>
      </c>
      <c r="AQ70" s="33">
        <f>IF(INDEX(lmic_raw[],MATCH($A70,lmic_raw[[setting]:[setting]],0), MATCH(AQ$1, lmic_raw[#Headers],0))=0, INDEX(regions[], MATCH($D70, regions[[setting]:[setting]],0), MATCH(AQ$1, regions[#Headers],0)),INDEX(lmic_raw[],MATCH($A70,lmic_raw[[setting]:[setting]],0), MATCH(AQ$1, lmic_raw[#Headers],0)))</f>
        <v>2.9772070140555093E-2</v>
      </c>
      <c r="AR70" s="33">
        <f>IF(INDEX(lmic_raw[],MATCH($A70,lmic_raw[[setting]:[setting]],0), MATCH(AR$1, lmic_raw[#Headers],0))=0, INDEX(regions[], MATCH($D70, regions[[setting]:[setting]],0), MATCH(AR$1, regions[#Headers],0)),INDEX(lmic_raw[],MATCH($A70,lmic_raw[[setting]:[setting]],0), MATCH(AR$1, lmic_raw[#Headers],0)))</f>
        <v>4.6267125748531791E-2</v>
      </c>
      <c r="AS70" s="33">
        <f>IF(INDEX(lmic_raw[],MATCH($A70,lmic_raw[[setting]:[setting]],0), MATCH(AS$1, lmic_raw[#Headers],0))=0, INDEX(regions[], MATCH($D70, regions[[setting]:[setting]],0), MATCH(AS$1, regions[#Headers],0)),INDEX(lmic_raw[],MATCH($A70,lmic_raw[[setting]:[setting]],0), MATCH(AS$1, lmic_raw[#Headers],0)))</f>
        <v>7.0807722608555682E-2</v>
      </c>
      <c r="AT70" s="33">
        <f>IF(INDEX(lmic_raw[],MATCH($A70,lmic_raw[[setting]:[setting]],0), MATCH(AT$1, lmic_raw[#Headers],0))=0, INDEX(regions[], MATCH($D70, regions[[setting]:[setting]],0), MATCH(AT$1, regions[#Headers],0)),INDEX(lmic_raw[],MATCH($A70,lmic_raw[[setting]:[setting]],0), MATCH(AT$1, lmic_raw[#Headers],0)))</f>
        <v>0.10575373670824074</v>
      </c>
      <c r="AU70" s="33">
        <f>IF(INDEX(lmic_raw[],MATCH($A70,lmic_raw[[setting]:[setting]],0), MATCH(AU$1, lmic_raw[#Headers],0))=0, INDEX(regions[], MATCH($D70, regions[[setting]:[setting]],0), MATCH(AU$1, regions[#Headers],0)),INDEX(lmic_raw[],MATCH($A70,lmic_raw[[setting]:[setting]],0), MATCH(AU$1, lmic_raw[#Headers],0)))</f>
        <v>0.14561767613240678</v>
      </c>
      <c r="AV70" s="33">
        <f>IF(INDEX(lmic_raw[],MATCH($A70,lmic_raw[[setting]:[setting]],0), MATCH(AV$1, lmic_raw[#Headers],0))=0, INDEX(regions[], MATCH($D70, regions[[setting]:[setting]],0), MATCH(AV$1, regions[#Headers],0)),INDEX(lmic_raw[],MATCH($A70,lmic_raw[[setting]:[setting]],0), MATCH(AV$1, lmic_raw[#Headers],0)))</f>
        <v>0.17837986369653361</v>
      </c>
      <c r="AW70" s="33">
        <f>IF(INDEX(lmic_raw[],MATCH($A70,lmic_raw[[setting]:[setting]],0), MATCH(AW$1, lmic_raw[#Headers],0))=0, INDEX(regions[], MATCH($D70, regions[[setting]:[setting]],0), MATCH(AW$1, regions[#Headers],0)),INDEX(lmic_raw[],MATCH($A70,lmic_raw[[setting]:[setting]],0), MATCH(AW$1, lmic_raw[#Headers],0)))</f>
        <v>0.18904660956397684</v>
      </c>
      <c r="AX70" s="33">
        <f>IF(INDEX(lmic_raw[],MATCH($A70,lmic_raw[[setting]:[setting]],0), MATCH(AX$1, lmic_raw[#Headers],0))=0, INDEX(regions[], MATCH($D70, regions[[setting]:[setting]],0), MATCH(AX$1, regions[#Headers],0)),INDEX(lmic_raw[],MATCH($A70,lmic_raw[[setting]:[setting]],0), MATCH(AX$1, lmic_raw[#Headers],0)))</f>
        <v>63.595999999999997</v>
      </c>
      <c r="AY70" s="33" t="str">
        <f>IF(VLOOKUP($A70,lmic_raw[],11,FALSE)=0, "Yes", "No")</f>
        <v>Yes</v>
      </c>
    </row>
    <row r="71" spans="1:51" x14ac:dyDescent="0.25">
      <c r="A71" s="110" t="s">
        <v>159</v>
      </c>
      <c r="B71" s="104" t="s">
        <v>459</v>
      </c>
      <c r="C71" s="105">
        <v>434</v>
      </c>
      <c r="D71" s="84" t="s">
        <v>673</v>
      </c>
      <c r="E71" s="84" t="s">
        <v>579</v>
      </c>
      <c r="F71" s="84" t="s">
        <v>579</v>
      </c>
      <c r="G71" s="84" t="s">
        <v>676</v>
      </c>
      <c r="H71" s="33">
        <f>IF(INDEX(lmic_raw[],MATCH($A71,lmic_raw[[setting]:[setting]],0), MATCH(H$1, lmic_raw[#Headers],0))=0, INDEX(regions[], MATCH($D71, regions[[setting]:[setting]],0), MATCH(H$1, regions[#Headers],0)),INDEX(lmic_raw[],MATCH($A71,lmic_raw[[setting]:[setting]],0), MATCH(H$1, lmic_raw[#Headers],0)))</f>
        <v>6777453</v>
      </c>
      <c r="I71" s="33">
        <f>IF(INDEX(lmic_raw[],MATCH($A71,lmic_raw[[setting]:[setting]],0), MATCH(I$1, lmic_raw[#Headers],0))=0, INDEX(regions[], MATCH($D71, regions[[setting]:[setting]],0), MATCH(I$1, regions[#Headers],0)),INDEX(lmic_raw[],MATCH($A71,lmic_raw[[setting]:[setting]],0), MATCH(I$1, lmic_raw[#Headers],0)))</f>
        <v>128805.494265</v>
      </c>
      <c r="J71" s="33">
        <f>IF(INDEX(lmic_raw[],MATCH($A71,lmic_raw[[setting]:[setting]],0), MATCH(J$1, lmic_raw[#Headers],0))=0, INDEX(regions[], MATCH($D71, regions[[setting]:[setting]],0), MATCH(J$1, regions[#Headers],0)),INDEX(lmic_raw[],MATCH($A71,lmic_raw[[setting]:[setting]],0), MATCH(J$1, lmic_raw[#Headers],0)))</f>
        <v>0.99900000000000011</v>
      </c>
      <c r="K71" s="33">
        <f>IF(INDEX(lmic_raw[],MATCH($A71,lmic_raw[[setting]:[setting]],0), MATCH(K$1, lmic_raw[#Headers],0))=0, INDEX(regions[], MATCH($D71, regions[[setting]:[setting]],0), MATCH(K$1, regions[#Headers],0)),INDEX(lmic_raw[],MATCH($A71,lmic_raw[[setting]:[setting]],0), MATCH(K$1, lmic_raw[#Headers],0)))</f>
        <v>0.70987607132960939</v>
      </c>
      <c r="L71" s="33">
        <f>IF(INDEX(lmic_raw[],MATCH($A71,lmic_raw[[setting]:[setting]],0), MATCH(L$1, lmic_raw[#Headers],0))=0, INDEX(regions[], MATCH($D71, regions[[setting]:[setting]],0), MATCH(L$1, regions[#Headers],0)),INDEX(lmic_raw[],MATCH($A71,lmic_raw[[setting]:[setting]],0), MATCH(L$1, lmic_raw[#Headers],0)))</f>
        <v>0.73</v>
      </c>
      <c r="M71" s="33">
        <f>IF(INDEX(lmic_raw[],MATCH($A71,lmic_raw[[setting]:[setting]],0), MATCH(M$1, lmic_raw[#Headers],0))=0, INDEX(regions[], MATCH($D71, regions[[setting]:[setting]],0), MATCH(M$1, regions[#Headers],0)),INDEX(lmic_raw[],MATCH($A71,lmic_raw[[setting]:[setting]],0), MATCH(M$1, lmic_raw[#Headers],0)))</f>
        <v>1.84E-2</v>
      </c>
      <c r="N71" s="33">
        <f>IF(INDEX(lmic_raw[],MATCH($A71,lmic_raw[[setting]:[setting]],0), MATCH(N$1, lmic_raw[#Headers],0))=0, INDEX(regions[], MATCH($D71, regions[[setting]:[setting]],0), MATCH(N$1, regions[#Headers],0)),INDEX(lmic_raw[],MATCH($A71,lmic_raw[[setting]:[setting]],0), MATCH(N$1, lmic_raw[#Headers],0)))</f>
        <v>0.23149406092069991</v>
      </c>
      <c r="O71" s="33">
        <f>IF(INDEX(lmic_raw[],MATCH($A71,lmic_raw[[setting]:[setting]],0), MATCH(O$1, lmic_raw[#Headers],0))=0, INDEX(regions[], MATCH($D71, regions[[setting]:[setting]],0), MATCH(O$1, regions[#Headers],0)),INDEX(lmic_raw[],MATCH($A71,lmic_raw[[setting]:[setting]],0), MATCH(O$1, lmic_raw[#Headers],0)))</f>
        <v>0.8</v>
      </c>
      <c r="P71" s="33">
        <f>IF(INDEX(lmic_raw[],MATCH($A71,lmic_raw[[setting]:[setting]],0), MATCH(P$1, lmic_raw[#Headers],0))=0, INDEX(regions[], MATCH($D71, regions[[setting]:[setting]],0), MATCH(P$1, regions[#Headers],0)),INDEX(lmic_raw[],MATCH($A71,lmic_raw[[setting]:[setting]],0), MATCH(P$1, lmic_raw[#Headers],0)))</f>
        <v>0.17499999999999999</v>
      </c>
      <c r="Q71" s="33">
        <f>IF(INDEX(lmic_raw[],MATCH($A71,lmic_raw[[setting]:[setting]],0), MATCH(Q$1, lmic_raw[#Headers],0))=0, INDEX(regions[], MATCH($D71, regions[[setting]:[setting]],0), MATCH(Q$1, regions[#Headers],0)),INDEX(lmic_raw[],MATCH($A71,lmic_raw[[setting]:[setting]],0), MATCH(Q$1, lmic_raw[#Headers],0)))</f>
        <v>12.972468816629274</v>
      </c>
      <c r="R71" s="33">
        <f>IF(INDEX(lmic_raw[],MATCH($A71,lmic_raw[[setting]:[setting]],0), MATCH(R$1, lmic_raw[#Headers],0))=0, INDEX(regions[], MATCH($D71, regions[[setting]:[setting]],0), MATCH(R$1, regions[#Headers],0)),INDEX(lmic_raw[],MATCH($A71,lmic_raw[[setting]:[setting]],0), MATCH(R$1, lmic_raw[#Headers],0)))</f>
        <v>46.335900000000002</v>
      </c>
      <c r="S71" s="33">
        <f>IF(INDEX(lmic_raw[],MATCH($A71,lmic_raw[[setting]:[setting]],0), MATCH(S$1, lmic_raw[#Headers],0))=0, INDEX(regions[], MATCH($D71, regions[[setting]:[setting]],0), MATCH(S$1, regions[#Headers],0)),INDEX(lmic_raw[],MATCH($A71,lmic_raw[[setting]:[setting]],0), MATCH(S$1, lmic_raw[#Headers],0)))</f>
        <v>94.077900000000014</v>
      </c>
      <c r="T71" s="33">
        <f>IF(INDEX(lmic_raw[],MATCH($A71,lmic_raw[[setting]:[setting]],0), MATCH(T$1, lmic_raw[#Headers],0))=0, INDEX(regions[], MATCH($D71, regions[[setting]:[setting]],0), MATCH(T$1, regions[#Headers],0)),INDEX(lmic_raw[],MATCH($A71,lmic_raw[[setting]:[setting]],0), MATCH(T$1, lmic_raw[#Headers],0)))</f>
        <v>94.077900000000014</v>
      </c>
      <c r="U71" s="33">
        <f>IF(INDEX(lmic_raw[],MATCH($A71,lmic_raw[[setting]:[setting]],0), MATCH(U$1, lmic_raw[#Headers],0))=0, INDEX(regions[], MATCH($D71, regions[[setting]:[setting]],0), MATCH(U$1, regions[#Headers],0)),INDEX(lmic_raw[],MATCH($A71,lmic_raw[[setting]:[setting]],0), MATCH(U$1, lmic_raw[#Headers],0)))</f>
        <v>94.077900000000014</v>
      </c>
      <c r="V71" s="33">
        <f>IF(INDEX(lmic_raw[],MATCH($A71,lmic_raw[[setting]:[setting]],0), MATCH(V$1, lmic_raw[#Headers],0))=0, INDEX(regions[], MATCH($D71, regions[[setting]:[setting]],0), MATCH(V$1, regions[#Headers],0)),INDEX(lmic_raw[],MATCH($A71,lmic_raw[[setting]:[setting]],0), MATCH(V$1, lmic_raw[#Headers],0)))</f>
        <v>6.240826824357339</v>
      </c>
      <c r="W71" s="33">
        <f>IF(INDEX(lmic_raw[],MATCH($A71,lmic_raw[[setting]:[setting]],0), MATCH(W$1, lmic_raw[#Headers],0))=0, INDEX(regions[], MATCH($D71, regions[[setting]:[setting]],0), MATCH(W$1, regions[#Headers],0)),INDEX(lmic_raw[],MATCH($A71,lmic_raw[[setting]:[setting]],0), MATCH(W$1, lmic_raw[#Headers],0)))</f>
        <v>6.7208268243573386</v>
      </c>
      <c r="X71" s="33">
        <f>IF(INDEX(lmic_raw[],MATCH($A71,lmic_raw[[setting]:[setting]],0), MATCH(X$1, lmic_raw[#Headers],0))=0, INDEX(regions[], MATCH($D71, regions[[setting]:[setting]],0), MATCH(X$1, regions[#Headers],0)),INDEX(lmic_raw[],MATCH($A71,lmic_raw[[setting]:[setting]],0), MATCH(X$1, lmic_raw[#Headers],0)))</f>
        <v>5.7992247273016977</v>
      </c>
      <c r="Y71" s="33">
        <f>IF(INDEX(lmic_raw[],MATCH($A71,lmic_raw[[setting]:[setting]],0), MATCH(Y$1, lmic_raw[#Headers],0))=0, INDEX(regions[], MATCH($D71, regions[[setting]:[setting]],0), MATCH(Y$1, regions[#Headers],0)),INDEX(lmic_raw[],MATCH($A71,lmic_raw[[setting]:[setting]],0), MATCH(Y$1, lmic_raw[#Headers],0)))</f>
        <v>6.2792247273016972</v>
      </c>
      <c r="Z71" s="33">
        <f>IF(INDEX(lmic_raw[],MATCH($A71,lmic_raw[[setting]:[setting]],0), MATCH(Z$1, lmic_raw[#Headers],0))=0, INDEX(regions[], MATCH($D71, regions[[setting]:[setting]],0), MATCH(Z$1, regions[#Headers],0)),INDEX(lmic_raw[],MATCH($A71,lmic_raw[[setting]:[setting]],0), MATCH(Z$1, lmic_raw[#Headers],0)))</f>
        <v>6.2700187004248953</v>
      </c>
      <c r="AA71" s="33">
        <f>IF(INDEX(lmic_raw[],MATCH($A71,lmic_raw[[setting]:[setting]],0), MATCH(AA$1, lmic_raw[#Headers],0))=0, INDEX(regions[], MATCH($D71, regions[[setting]:[setting]],0), MATCH(AA$1, regions[#Headers],0)),INDEX(lmic_raw[],MATCH($A71,lmic_raw[[setting]:[setting]],0), MATCH(AA$1, lmic_raw[#Headers],0)))</f>
        <v>6.4882350165541629</v>
      </c>
      <c r="AB71" s="33">
        <f>IF(INDEX(lmic_raw[],MATCH($A71,lmic_raw[[setting]:[setting]],0), MATCH(AB$1, lmic_raw[#Headers],0))=0, INDEX(regions[], MATCH($D71, regions[[setting]:[setting]],0), MATCH(AB$1, regions[#Headers],0)),INDEX(lmic_raw[],MATCH($A71,lmic_raw[[setting]:[setting]],0), MATCH(AB$1, lmic_raw[#Headers],0)))</f>
        <v>6.9682350165541624</v>
      </c>
      <c r="AC71" s="33">
        <f>IF(INDEX(lmic_raw[],MATCH($A71,lmic_raw[[setting]:[setting]],0), MATCH(AC$1, lmic_raw[#Headers],0))=0, INDEX(regions[], MATCH($D71, regions[[setting]:[setting]],0), MATCH(AC$1, regions[#Headers],0)),INDEX(lmic_raw[],MATCH($A71,lmic_raw[[setting]:[setting]],0), MATCH(AC$1, lmic_raw[#Headers],0)))</f>
        <v>1.0531420000000071E-2</v>
      </c>
      <c r="AD71" s="33">
        <f>IF(INDEX(lmic_raw[],MATCH($A71,lmic_raw[[setting]:[setting]],0), MATCH(AD$1, lmic_raw[#Headers],0))=0, INDEX(regions[], MATCH($D71, regions[[setting]:[setting]],0), MATCH(AD$1, regions[#Headers],0)),INDEX(lmic_raw[],MATCH($A71,lmic_raw[[setting]:[setting]],0), MATCH(AD$1, lmic_raw[#Headers],0)))</f>
        <v>5.4867836227803454E-4</v>
      </c>
      <c r="AE71" s="33">
        <f>IF(INDEX(lmic_raw[],MATCH($A71,lmic_raw[[setting]:[setting]],0), MATCH(AE$1, lmic_raw[#Headers],0))=0, INDEX(regions[], MATCH($D71, regions[[setting]:[setting]],0), MATCH(AE$1, regions[#Headers],0)),INDEX(lmic_raw[],MATCH($A71,lmic_raw[[setting]:[setting]],0), MATCH(AE$1, lmic_raw[#Headers],0)))</f>
        <v>3.8625662564065156E-4</v>
      </c>
      <c r="AF71" s="33">
        <f>IF(INDEX(lmic_raw[],MATCH($A71,lmic_raw[[setting]:[setting]],0), MATCH(AF$1, lmic_raw[#Headers],0))=0, INDEX(regions[], MATCH($D71, regions[[setting]:[setting]],0), MATCH(AF$1, regions[#Headers],0)),INDEX(lmic_raw[],MATCH($A71,lmic_raw[[setting]:[setting]],0), MATCH(AF$1, lmic_raw[#Headers],0)))</f>
        <v>3.9330408218071127E-4</v>
      </c>
      <c r="AG71" s="33">
        <f>IF(INDEX(lmic_raw[],MATCH($A71,lmic_raw[[setting]:[setting]],0), MATCH(AG$1, lmic_raw[#Headers],0))=0, INDEX(regions[], MATCH($D71, regions[[setting]:[setting]],0), MATCH(AG$1, regions[#Headers],0)),INDEX(lmic_raw[],MATCH($A71,lmic_raw[[setting]:[setting]],0), MATCH(AG$1, lmic_raw[#Headers],0)))</f>
        <v>9.9041495082366417E-4</v>
      </c>
      <c r="AH71" s="33">
        <f>IF(INDEX(lmic_raw[],MATCH($A71,lmic_raw[[setting]:[setting]],0), MATCH(AH$1, lmic_raw[#Headers],0))=0, INDEX(regions[], MATCH($D71, regions[[setting]:[setting]],0), MATCH(AH$1, regions[#Headers],0)),INDEX(lmic_raw[],MATCH($A71,lmic_raw[[setting]:[setting]],0), MATCH(AH$1, lmic_raw[#Headers],0)))</f>
        <v>1.3402306444718099E-3</v>
      </c>
      <c r="AI71" s="33">
        <f>IF(INDEX(lmic_raw[],MATCH($A71,lmic_raw[[setting]:[setting]],0), MATCH(AI$1, lmic_raw[#Headers],0))=0, INDEX(regions[], MATCH($D71, regions[[setting]:[setting]],0), MATCH(AI$1, regions[#Headers],0)),INDEX(lmic_raw[],MATCH($A71,lmic_raw[[setting]:[setting]],0), MATCH(AI$1, lmic_raw[#Headers],0)))</f>
        <v>1.4241984061556954E-3</v>
      </c>
      <c r="AJ71" s="33">
        <f>IF(INDEX(lmic_raw[],MATCH($A71,lmic_raw[[setting]:[setting]],0), MATCH(AJ$1, lmic_raw[#Headers],0))=0, INDEX(regions[], MATCH($D71, regions[[setting]:[setting]],0), MATCH(AJ$1, regions[#Headers],0)),INDEX(lmic_raw[],MATCH($A71,lmic_raw[[setting]:[setting]],0), MATCH(AJ$1, lmic_raw[#Headers],0)))</f>
        <v>1.5695632040894076E-3</v>
      </c>
      <c r="AK71" s="33">
        <f>IF(INDEX(lmic_raw[],MATCH($A71,lmic_raw[[setting]:[setting]],0), MATCH(AK$1, lmic_raw[#Headers],0))=0, INDEX(regions[], MATCH($D71, regions[[setting]:[setting]],0), MATCH(AK$1, regions[#Headers],0)),INDEX(lmic_raw[],MATCH($A71,lmic_raw[[setting]:[setting]],0), MATCH(AK$1, lmic_raw[#Headers],0)))</f>
        <v>1.9703487816216912E-3</v>
      </c>
      <c r="AL71" s="33">
        <f>IF(INDEX(lmic_raw[],MATCH($A71,lmic_raw[[setting]:[setting]],0), MATCH(AL$1, lmic_raw[#Headers],0))=0, INDEX(regions[], MATCH($D71, regions[[setting]:[setting]],0), MATCH(AL$1, regions[#Headers],0)),INDEX(lmic_raw[],MATCH($A71,lmic_raw[[setting]:[setting]],0), MATCH(AL$1, lmic_raw[#Headers],0)))</f>
        <v>2.7760638742324495E-3</v>
      </c>
      <c r="AM71" s="33">
        <f>IF(INDEX(lmic_raw[],MATCH($A71,lmic_raw[[setting]:[setting]],0), MATCH(AM$1, lmic_raw[#Headers],0))=0, INDEX(regions[], MATCH($D71, regions[[setting]:[setting]],0), MATCH(AM$1, regions[#Headers],0)),INDEX(lmic_raw[],MATCH($A71,lmic_raw[[setting]:[setting]],0), MATCH(AM$1, lmic_raw[#Headers],0)))</f>
        <v>3.9573649847061505E-3</v>
      </c>
      <c r="AN71" s="33">
        <f>IF(INDEX(lmic_raw[],MATCH($A71,lmic_raw[[setting]:[setting]],0), MATCH(AN$1, lmic_raw[#Headers],0))=0, INDEX(regions[], MATCH($D71, regions[[setting]:[setting]],0), MATCH(AN$1, regions[#Headers],0)),INDEX(lmic_raw[],MATCH($A71,lmic_raw[[setting]:[setting]],0), MATCH(AN$1, lmic_raw[#Headers],0)))</f>
        <v>6.2185748766793924E-3</v>
      </c>
      <c r="AO71" s="33">
        <f>IF(INDEX(lmic_raw[],MATCH($A71,lmic_raw[[setting]:[setting]],0), MATCH(AO$1, lmic_raw[#Headers],0))=0, INDEX(regions[], MATCH($D71, regions[[setting]:[setting]],0), MATCH(AO$1, regions[#Headers],0)),INDEX(lmic_raw[],MATCH($A71,lmic_raw[[setting]:[setting]],0), MATCH(AO$1, lmic_raw[#Headers],0)))</f>
        <v>9.9276112384405254E-3</v>
      </c>
      <c r="AP71" s="33">
        <f>IF(INDEX(lmic_raw[],MATCH($A71,lmic_raw[[setting]:[setting]],0), MATCH(AP$1, lmic_raw[#Headers],0))=0, INDEX(regions[], MATCH($D71, regions[[setting]:[setting]],0), MATCH(AP$1, regions[#Headers],0)),INDEX(lmic_raw[],MATCH($A71,lmic_raw[[setting]:[setting]],0), MATCH(AP$1, lmic_raw[#Headers],0)))</f>
        <v>1.565021934762157E-2</v>
      </c>
      <c r="AQ71" s="33">
        <f>IF(INDEX(lmic_raw[],MATCH($A71,lmic_raw[[setting]:[setting]],0), MATCH(AQ$1, lmic_raw[#Headers],0))=0, INDEX(regions[], MATCH($D71, regions[[setting]:[setting]],0), MATCH(AQ$1, regions[#Headers],0)),INDEX(lmic_raw[],MATCH($A71,lmic_raw[[setting]:[setting]],0), MATCH(AQ$1, lmic_raw[#Headers],0)))</f>
        <v>2.5204190475132573E-2</v>
      </c>
      <c r="AR71" s="33">
        <f>IF(INDEX(lmic_raw[],MATCH($A71,lmic_raw[[setting]:[setting]],0), MATCH(AR$1, lmic_raw[#Headers],0))=0, INDEX(regions[], MATCH($D71, regions[[setting]:[setting]],0), MATCH(AR$1, regions[#Headers],0)),INDEX(lmic_raw[],MATCH($A71,lmic_raw[[setting]:[setting]],0), MATCH(AR$1, lmic_raw[#Headers],0)))</f>
        <v>3.8848447158774044E-2</v>
      </c>
      <c r="AS71" s="33">
        <f>IF(INDEX(lmic_raw[],MATCH($A71,lmic_raw[[setting]:[setting]],0), MATCH(AS$1, lmic_raw[#Headers],0))=0, INDEX(regions[], MATCH($D71, regions[[setting]:[setting]],0), MATCH(AS$1, regions[#Headers],0)),INDEX(lmic_raw[],MATCH($A71,lmic_raw[[setting]:[setting]],0), MATCH(AS$1, lmic_raw[#Headers],0)))</f>
        <v>6.0941664647692489E-2</v>
      </c>
      <c r="AT71" s="33">
        <f>IF(INDEX(lmic_raw[],MATCH($A71,lmic_raw[[setting]:[setting]],0), MATCH(AT$1, lmic_raw[#Headers],0))=0, INDEX(regions[], MATCH($D71, regions[[setting]:[setting]],0), MATCH(AT$1, regions[#Headers],0)),INDEX(lmic_raw[],MATCH($A71,lmic_raw[[setting]:[setting]],0), MATCH(AT$1, lmic_raw[#Headers],0)))</f>
        <v>9.2200239498518771E-2</v>
      </c>
      <c r="AU71" s="33">
        <f>IF(INDEX(lmic_raw[],MATCH($A71,lmic_raw[[setting]:[setting]],0), MATCH(AU$1, lmic_raw[#Headers],0))=0, INDEX(regions[], MATCH($D71, regions[[setting]:[setting]],0), MATCH(AU$1, regions[#Headers],0)),INDEX(lmic_raw[],MATCH($A71,lmic_raw[[setting]:[setting]],0), MATCH(AU$1, lmic_raw[#Headers],0)))</f>
        <v>0.12696757676055212</v>
      </c>
      <c r="AV71" s="33">
        <f>IF(INDEX(lmic_raw[],MATCH($A71,lmic_raw[[setting]:[setting]],0), MATCH(AV$1, lmic_raw[#Headers],0))=0, INDEX(regions[], MATCH($D71, regions[[setting]:[setting]],0), MATCH(AV$1, regions[#Headers],0)),INDEX(lmic_raw[],MATCH($A71,lmic_raw[[setting]:[setting]],0), MATCH(AV$1, lmic_raw[#Headers],0)))</f>
        <v>0.15770097164571453</v>
      </c>
      <c r="AW71" s="33">
        <f>IF(INDEX(lmic_raw[],MATCH($A71,lmic_raw[[setting]:[setting]],0), MATCH(AW$1, lmic_raw[#Headers],0))=0, INDEX(regions[], MATCH($D71, regions[[setting]:[setting]],0), MATCH(AW$1, regions[#Headers],0)),INDEX(lmic_raw[],MATCH($A71,lmic_raw[[setting]:[setting]],0), MATCH(AW$1, lmic_raw[#Headers],0)))</f>
        <v>0.17638925653713555</v>
      </c>
      <c r="AX71" s="33">
        <f>IF(INDEX(lmic_raw[],MATCH($A71,lmic_raw[[setting]:[setting]],0), MATCH(AX$1, lmic_raw[#Headers],0))=0, INDEX(regions[], MATCH($D71, regions[[setting]:[setting]],0), MATCH(AX$1, regions[#Headers],0)),INDEX(lmic_raw[],MATCH($A71,lmic_raw[[setting]:[setting]],0), MATCH(AX$1, lmic_raw[#Headers],0)))</f>
        <v>72.700999999999993</v>
      </c>
      <c r="AY71" s="33" t="str">
        <f>IF(VLOOKUP($A71,lmic_raw[],11,FALSE)=0, "Yes", "No")</f>
        <v>Yes</v>
      </c>
    </row>
    <row r="72" spans="1:51" x14ac:dyDescent="0.25">
      <c r="A72" s="109" t="s">
        <v>107</v>
      </c>
      <c r="B72" s="101" t="s">
        <v>461</v>
      </c>
      <c r="C72" s="102">
        <v>450</v>
      </c>
      <c r="D72" s="82" t="s">
        <v>677</v>
      </c>
      <c r="E72" s="82" t="s">
        <v>597</v>
      </c>
      <c r="F72" s="82" t="s">
        <v>667</v>
      </c>
      <c r="G72" s="82" t="s">
        <v>674</v>
      </c>
      <c r="H72" s="33">
        <f>IF(INDEX(lmic_raw[],MATCH($A72,lmic_raw[[setting]:[setting]],0), MATCH(H$1, lmic_raw[#Headers],0))=0, INDEX(regions[], MATCH($D72, regions[[setting]:[setting]],0), MATCH(H$1, regions[#Headers],0)),INDEX(lmic_raw[],MATCH($A72,lmic_raw[[setting]:[setting]],0), MATCH(H$1, lmic_raw[#Headers],0)))</f>
        <v>26969306</v>
      </c>
      <c r="I72" s="33">
        <f>IF(INDEX(lmic_raw[],MATCH($A72,lmic_raw[[setting]:[setting]],0), MATCH(I$1, lmic_raw[#Headers],0))=0, INDEX(regions[], MATCH($D72, regions[[setting]:[setting]],0), MATCH(I$1, regions[#Headers],0)),INDEX(lmic_raw[],MATCH($A72,lmic_raw[[setting]:[setting]],0), MATCH(I$1, lmic_raw[#Headers],0)))</f>
        <v>885024.74569600006</v>
      </c>
      <c r="J72" s="33">
        <f>IF(INDEX(lmic_raw[],MATCH($A72,lmic_raw[[setting]:[setting]],0), MATCH(J$1, lmic_raw[#Headers],0))=0, INDEX(regions[], MATCH($D72, regions[[setting]:[setting]],0), MATCH(J$1, regions[#Headers],0)),INDEX(lmic_raw[],MATCH($A72,lmic_raw[[setting]:[setting]],0), MATCH(J$1, lmic_raw[#Headers],0)))</f>
        <v>0.38700000000000001</v>
      </c>
      <c r="K72" s="33">
        <f>IF(INDEX(lmic_raw[],MATCH($A72,lmic_raw[[setting]:[setting]],0), MATCH(K$1, lmic_raw[#Headers],0))=0, INDEX(regions[], MATCH($D72, regions[[setting]:[setting]],0), MATCH(K$1, regions[#Headers],0)),INDEX(lmic_raw[],MATCH($A72,lmic_raw[[setting]:[setting]],0), MATCH(K$1, lmic_raw[#Headers],0)))</f>
        <v>0.69252604416320784</v>
      </c>
      <c r="L72" s="33">
        <f>IF(INDEX(lmic_raw[],MATCH($A72,lmic_raw[[setting]:[setting]],0), MATCH(L$1, lmic_raw[#Headers],0))=0, INDEX(regions[], MATCH($D72, regions[[setting]:[setting]],0), MATCH(L$1, regions[#Headers],0)),INDEX(lmic_raw[],MATCH($A72,lmic_raw[[setting]:[setting]],0), MATCH(L$1, lmic_raw[#Headers],0)))</f>
        <v>0.79</v>
      </c>
      <c r="M72" s="33">
        <f>IF(INDEX(lmic_raw[],MATCH($A72,lmic_raw[[setting]:[setting]],0), MATCH(M$1, lmic_raw[#Headers],0))=0, INDEX(regions[], MATCH($D72, regions[[setting]:[setting]],0), MATCH(M$1, regions[#Headers],0)),INDEX(lmic_raw[],MATCH($A72,lmic_raw[[setting]:[setting]],0), MATCH(M$1, lmic_raw[#Headers],0)))</f>
        <v>8.1600000000000006E-2</v>
      </c>
      <c r="N72" s="33">
        <f>IF(INDEX(lmic_raw[],MATCH($A72,lmic_raw[[setting]:[setting]],0), MATCH(N$1, lmic_raw[#Headers],0))=0, INDEX(regions[], MATCH($D72, regions[[setting]:[setting]],0), MATCH(N$1, regions[#Headers],0)),INDEX(lmic_raw[],MATCH($A72,lmic_raw[[setting]:[setting]],0), MATCH(N$1, lmic_raw[#Headers],0)))</f>
        <v>0.29788552997961965</v>
      </c>
      <c r="O72" s="33">
        <f>IF(INDEX(lmic_raw[],MATCH($A72,lmic_raw[[setting]:[setting]],0), MATCH(O$1, lmic_raw[#Headers],0))=0, INDEX(regions[], MATCH($D72, regions[[setting]:[setting]],0), MATCH(O$1, regions[#Headers],0)),INDEX(lmic_raw[],MATCH($A72,lmic_raw[[setting]:[setting]],0), MATCH(O$1, lmic_raw[#Headers],0)))</f>
        <v>0.38300000000000001</v>
      </c>
      <c r="P72" s="33">
        <f>IF(INDEX(lmic_raw[],MATCH($A72,lmic_raw[[setting]:[setting]],0), MATCH(P$1, lmic_raw[#Headers],0))=0, INDEX(regions[], MATCH($D72, regions[[setting]:[setting]],0), MATCH(P$1, regions[#Headers],0)),INDEX(lmic_raw[],MATCH($A72,lmic_raw[[setting]:[setting]],0), MATCH(P$1, lmic_raw[#Headers],0)))</f>
        <v>4.8000000000000001E-2</v>
      </c>
      <c r="Q72" s="33">
        <f>IF(INDEX(lmic_raw[],MATCH($A72,lmic_raw[[setting]:[setting]],0), MATCH(Q$1, lmic_raw[#Headers],0))=0, INDEX(regions[], MATCH($D72, regions[[setting]:[setting]],0), MATCH(Q$1, regions[#Headers],0)),INDEX(lmic_raw[],MATCH($A72,lmic_raw[[setting]:[setting]],0), MATCH(Q$1, lmic_raw[#Headers],0)))</f>
        <v>2.4446213267318244</v>
      </c>
      <c r="R72" s="33">
        <f>IF(INDEX(lmic_raw[],MATCH($A72,lmic_raw[[setting]:[setting]],0), MATCH(R$1, lmic_raw[#Headers],0))=0, INDEX(regions[], MATCH($D72, regions[[setting]:[setting]],0), MATCH(R$1, regions[#Headers],0)),INDEX(lmic_raw[],MATCH($A72,lmic_raw[[setting]:[setting]],0), MATCH(R$1, lmic_raw[#Headers],0)))</f>
        <v>29.920500000000001</v>
      </c>
      <c r="S72" s="33">
        <f>IF(INDEX(lmic_raw[],MATCH($A72,lmic_raw[[setting]:[setting]],0), MATCH(S$1, lmic_raw[#Headers],0))=0, INDEX(regions[], MATCH($D72, regions[[setting]:[setting]],0), MATCH(S$1, regions[#Headers],0)),INDEX(lmic_raw[],MATCH($A72,lmic_raw[[setting]:[setting]],0), MATCH(S$1, lmic_raw[#Headers],0)))</f>
        <v>77.662500000000009</v>
      </c>
      <c r="T72" s="33">
        <f>IF(INDEX(lmic_raw[],MATCH($A72,lmic_raw[[setting]:[setting]],0), MATCH(T$1, lmic_raw[#Headers],0))=0, INDEX(regions[], MATCH($D72, regions[[setting]:[setting]],0), MATCH(T$1, regions[#Headers],0)),INDEX(lmic_raw[],MATCH($A72,lmic_raw[[setting]:[setting]],0), MATCH(T$1, lmic_raw[#Headers],0)))</f>
        <v>77.662500000000009</v>
      </c>
      <c r="U72" s="33">
        <f>IF(INDEX(lmic_raw[],MATCH($A72,lmic_raw[[setting]:[setting]],0), MATCH(U$1, lmic_raw[#Headers],0))=0, INDEX(regions[], MATCH($D72, regions[[setting]:[setting]],0), MATCH(U$1, regions[#Headers],0)),INDEX(lmic_raw[],MATCH($A72,lmic_raw[[setting]:[setting]],0), MATCH(U$1, lmic_raw[#Headers],0)))</f>
        <v>77.662500000000009</v>
      </c>
      <c r="V72" s="33">
        <f>IF(INDEX(lmic_raw[],MATCH($A72,lmic_raw[[setting]:[setting]],0), MATCH(V$1, lmic_raw[#Headers],0))=0, INDEX(regions[], MATCH($D72, regions[[setting]:[setting]],0), MATCH(V$1, regions[#Headers],0)),INDEX(lmic_raw[],MATCH($A72,lmic_raw[[setting]:[setting]],0), MATCH(V$1, lmic_raw[#Headers],0)))</f>
        <v>1.4779117693499806</v>
      </c>
      <c r="W72" s="33">
        <f>IF(INDEX(lmic_raw[],MATCH($A72,lmic_raw[[setting]:[setting]],0), MATCH(W$1, lmic_raw[#Headers],0))=0, INDEX(regions[], MATCH($D72, regions[[setting]:[setting]],0), MATCH(W$1, regions[#Headers],0)),INDEX(lmic_raw[],MATCH($A72,lmic_raw[[setting]:[setting]],0), MATCH(W$1, lmic_raw[#Headers],0)))</f>
        <v>6.3079117693499809</v>
      </c>
      <c r="X72" s="33">
        <f>IF(INDEX(lmic_raw[],MATCH($A72,lmic_raw[[setting]:[setting]],0), MATCH(X$1, lmic_raw[#Headers],0))=0, INDEX(regions[], MATCH($D72, regions[[setting]:[setting]],0), MATCH(X$1, regions[#Headers],0)),INDEX(lmic_raw[],MATCH($A72,lmic_raw[[setting]:[setting]],0), MATCH(X$1, lmic_raw[#Headers],0)))</f>
        <v>1.0550040842118251</v>
      </c>
      <c r="Y72" s="33">
        <f>IF(INDEX(lmic_raw[],MATCH($A72,lmic_raw[[setting]:[setting]],0), MATCH(Y$1, lmic_raw[#Headers],0))=0, INDEX(regions[], MATCH($D72, regions[[setting]:[setting]],0), MATCH(Y$1, regions[#Headers],0)),INDEX(lmic_raw[],MATCH($A72,lmic_raw[[setting]:[setting]],0), MATCH(Y$1, lmic_raw[#Headers],0)))</f>
        <v>5.8850040842118254</v>
      </c>
      <c r="Z72" s="33">
        <f>IF(INDEX(lmic_raw[],MATCH($A72,lmic_raw[[setting]:[setting]],0), MATCH(Z$1, lmic_raw[#Headers],0))=0, INDEX(regions[], MATCH($D72, regions[[setting]:[setting]],0), MATCH(Z$1, regions[#Headers],0)),INDEX(lmic_raw[],MATCH($A72,lmic_raw[[setting]:[setting]],0), MATCH(Z$1, lmic_raw[#Headers],0)))</f>
        <v>5.8828711198908392</v>
      </c>
      <c r="AA72" s="33">
        <f>IF(INDEX(lmic_raw[],MATCH($A72,lmic_raw[[setting]:[setting]],0), MATCH(AA$1, lmic_raw[#Headers],0))=0, INDEX(regions[], MATCH($D72, regions[[setting]:[setting]],0), MATCH(AA$1, regions[#Headers],0)),INDEX(lmic_raw[],MATCH($A72,lmic_raw[[setting]:[setting]],0), MATCH(AA$1, lmic_raw[#Headers],0)))</f>
        <v>1.7185812781811993</v>
      </c>
      <c r="AB72" s="33">
        <f>IF(INDEX(lmic_raw[],MATCH($A72,lmic_raw[[setting]:[setting]],0), MATCH(AB$1, lmic_raw[#Headers],0))=0, INDEX(regions[], MATCH($D72, regions[[setting]:[setting]],0), MATCH(AB$1, regions[#Headers],0)),INDEX(lmic_raw[],MATCH($A72,lmic_raw[[setting]:[setting]],0), MATCH(AB$1, lmic_raw[#Headers],0)))</f>
        <v>6.5485812781811994</v>
      </c>
      <c r="AC72" s="33">
        <f>IF(INDEX(lmic_raw[],MATCH($A72,lmic_raw[[setting]:[setting]],0), MATCH(AC$1, lmic_raw[#Headers],0))=0, INDEX(regions[], MATCH($D72, regions[[setting]:[setting]],0), MATCH(AC$1, regions[#Headers],0)),INDEX(lmic_raw[],MATCH($A72,lmic_raw[[setting]:[setting]],0), MATCH(AC$1, lmic_raw[#Headers],0)))</f>
        <v>2.9042229999999981E-2</v>
      </c>
      <c r="AD72" s="33">
        <f>IF(INDEX(lmic_raw[],MATCH($A72,lmic_raw[[setting]:[setting]],0), MATCH(AD$1, lmic_raw[#Headers],0))=0, INDEX(regions[], MATCH($D72, regions[[setting]:[setting]],0), MATCH(AD$1, regions[#Headers],0)),INDEX(lmic_raw[],MATCH($A72,lmic_raw[[setting]:[setting]],0), MATCH(AD$1, lmic_raw[#Headers],0)))</f>
        <v>3.6439664106091983E-3</v>
      </c>
      <c r="AE72" s="33">
        <f>IF(INDEX(lmic_raw[],MATCH($A72,lmic_raw[[setting]:[setting]],0), MATCH(AE$1, lmic_raw[#Headers],0))=0, INDEX(regions[], MATCH($D72, regions[[setting]:[setting]],0), MATCH(AE$1, regions[#Headers],0)),INDEX(lmic_raw[],MATCH($A72,lmic_raw[[setting]:[setting]],0), MATCH(AE$1, lmic_raw[#Headers],0)))</f>
        <v>1.6834523540747452E-3</v>
      </c>
      <c r="AF72" s="33">
        <f>IF(INDEX(lmic_raw[],MATCH($A72,lmic_raw[[setting]:[setting]],0), MATCH(AF$1, lmic_raw[#Headers],0))=0, INDEX(regions[], MATCH($D72, regions[[setting]:[setting]],0), MATCH(AF$1, regions[#Headers],0)),INDEX(lmic_raw[],MATCH($A72,lmic_raw[[setting]:[setting]],0), MATCH(AF$1, lmic_raw[#Headers],0)))</f>
        <v>1.3235498937898972E-3</v>
      </c>
      <c r="AG72" s="33">
        <f>IF(INDEX(lmic_raw[],MATCH($A72,lmic_raw[[setting]:[setting]],0), MATCH(AG$1, lmic_raw[#Headers],0))=0, INDEX(regions[], MATCH($D72, regions[[setting]:[setting]],0), MATCH(AG$1, regions[#Headers],0)),INDEX(lmic_raw[],MATCH($A72,lmic_raw[[setting]:[setting]],0), MATCH(AG$1, lmic_raw[#Headers],0)))</f>
        <v>1.8405557617388985E-3</v>
      </c>
      <c r="AH72" s="33">
        <f>IF(INDEX(lmic_raw[],MATCH($A72,lmic_raw[[setting]:[setting]],0), MATCH(AH$1, lmic_raw[#Headers],0))=0, INDEX(regions[], MATCH($D72, regions[[setting]:[setting]],0), MATCH(AH$1, regions[#Headers],0)),INDEX(lmic_raw[],MATCH($A72,lmic_raw[[setting]:[setting]],0), MATCH(AH$1, lmic_raw[#Headers],0)))</f>
        <v>2.1297075559801354E-3</v>
      </c>
      <c r="AI72" s="33">
        <f>IF(INDEX(lmic_raw[],MATCH($A72,lmic_raw[[setting]:[setting]],0), MATCH(AI$1, lmic_raw[#Headers],0))=0, INDEX(regions[], MATCH($D72, regions[[setting]:[setting]],0), MATCH(AI$1, regions[#Headers],0)),INDEX(lmic_raw[],MATCH($A72,lmic_raw[[setting]:[setting]],0), MATCH(AI$1, lmic_raw[#Headers],0)))</f>
        <v>2.3597552765719457E-3</v>
      </c>
      <c r="AJ72" s="33">
        <f>IF(INDEX(lmic_raw[],MATCH($A72,lmic_raw[[setting]:[setting]],0), MATCH(AJ$1, lmic_raw[#Headers],0))=0, INDEX(regions[], MATCH($D72, regions[[setting]:[setting]],0), MATCH(AJ$1, regions[#Headers],0)),INDEX(lmic_raw[],MATCH($A72,lmic_raw[[setting]:[setting]],0), MATCH(AJ$1, lmic_raw[#Headers],0)))</f>
        <v>3.0462817687957611E-3</v>
      </c>
      <c r="AK72" s="33">
        <f>IF(INDEX(lmic_raw[],MATCH($A72,lmic_raw[[setting]:[setting]],0), MATCH(AK$1, lmic_raw[#Headers],0))=0, INDEX(regions[], MATCH($D72, regions[[setting]:[setting]],0), MATCH(AK$1, regions[#Headers],0)),INDEX(lmic_raw[],MATCH($A72,lmic_raw[[setting]:[setting]],0), MATCH(AK$1, lmic_raw[#Headers],0)))</f>
        <v>3.9158378288193249E-3</v>
      </c>
      <c r="AL72" s="33">
        <f>IF(INDEX(lmic_raw[],MATCH($A72,lmic_raw[[setting]:[setting]],0), MATCH(AL$1, lmic_raw[#Headers],0))=0, INDEX(regions[], MATCH($D72, regions[[setting]:[setting]],0), MATCH(AL$1, regions[#Headers],0)),INDEX(lmic_raw[],MATCH($A72,lmic_raw[[setting]:[setting]],0), MATCH(AL$1, lmic_raw[#Headers],0)))</f>
        <v>5.0560933686190791E-3</v>
      </c>
      <c r="AM72" s="33">
        <f>IF(INDEX(lmic_raw[],MATCH($A72,lmic_raw[[setting]:[setting]],0), MATCH(AM$1, lmic_raw[#Headers],0))=0, INDEX(regions[], MATCH($D72, regions[[setting]:[setting]],0), MATCH(AM$1, regions[#Headers],0)),INDEX(lmic_raw[],MATCH($A72,lmic_raw[[setting]:[setting]],0), MATCH(AM$1, lmic_raw[#Headers],0)))</f>
        <v>6.6609453681324626E-3</v>
      </c>
      <c r="AN72" s="33">
        <f>IF(INDEX(lmic_raw[],MATCH($A72,lmic_raw[[setting]:[setting]],0), MATCH(AN$1, lmic_raw[#Headers],0))=0, INDEX(regions[], MATCH($D72, regions[[setting]:[setting]],0), MATCH(AN$1, regions[#Headers],0)),INDEX(lmic_raw[],MATCH($A72,lmic_raw[[setting]:[setting]],0), MATCH(AN$1, lmic_raw[#Headers],0)))</f>
        <v>8.909147653546251E-3</v>
      </c>
      <c r="AO72" s="33">
        <f>IF(INDEX(lmic_raw[],MATCH($A72,lmic_raw[[setting]:[setting]],0), MATCH(AO$1, lmic_raw[#Headers],0))=0, INDEX(regions[], MATCH($D72, regions[[setting]:[setting]],0), MATCH(AO$1, regions[#Headers],0)),INDEX(lmic_raw[],MATCH($A72,lmic_raw[[setting]:[setting]],0), MATCH(AO$1, lmic_raw[#Headers],0)))</f>
        <v>1.2539945384315312E-2</v>
      </c>
      <c r="AP72" s="33">
        <f>IF(INDEX(lmic_raw[],MATCH($A72,lmic_raw[[setting]:[setting]],0), MATCH(AP$1, lmic_raw[#Headers],0))=0, INDEX(regions[], MATCH($D72, regions[[setting]:[setting]],0), MATCH(AP$1, regions[#Headers],0)),INDEX(lmic_raw[],MATCH($A72,lmic_raw[[setting]:[setting]],0), MATCH(AP$1, lmic_raw[#Headers],0)))</f>
        <v>1.9163802476953571E-2</v>
      </c>
      <c r="AQ72" s="33">
        <f>IF(INDEX(lmic_raw[],MATCH($A72,lmic_raw[[setting]:[setting]],0), MATCH(AQ$1, lmic_raw[#Headers],0))=0, INDEX(regions[], MATCH($D72, regions[[setting]:[setting]],0), MATCH(AQ$1, regions[#Headers],0)),INDEX(lmic_raw[],MATCH($A72,lmic_raw[[setting]:[setting]],0), MATCH(AQ$1, lmic_raw[#Headers],0)))</f>
        <v>3.0868734941865806E-2</v>
      </c>
      <c r="AR72" s="33">
        <f>IF(INDEX(lmic_raw[],MATCH($A72,lmic_raw[[setting]:[setting]],0), MATCH(AR$1, lmic_raw[#Headers],0))=0, INDEX(regions[], MATCH($D72, regions[[setting]:[setting]],0), MATCH(AR$1, regions[#Headers],0)),INDEX(lmic_raw[],MATCH($A72,lmic_raw[[setting]:[setting]],0), MATCH(AR$1, lmic_raw[#Headers],0)))</f>
        <v>4.7153798553579193E-2</v>
      </c>
      <c r="AS72" s="33">
        <f>IF(INDEX(lmic_raw[],MATCH($A72,lmic_raw[[setting]:[setting]],0), MATCH(AS$1, lmic_raw[#Headers],0))=0, INDEX(regions[], MATCH($D72, regions[[setting]:[setting]],0), MATCH(AS$1, regions[#Headers],0)),INDEX(lmic_raw[],MATCH($A72,lmic_raw[[setting]:[setting]],0), MATCH(AS$1, lmic_raw[#Headers],0)))</f>
        <v>6.8597014102592987E-2</v>
      </c>
      <c r="AT72" s="33">
        <f>IF(INDEX(lmic_raw[],MATCH($A72,lmic_raw[[setting]:[setting]],0), MATCH(AT$1, lmic_raw[#Headers],0))=0, INDEX(regions[], MATCH($D72, regions[[setting]:[setting]],0), MATCH(AT$1, regions[#Headers],0)),INDEX(lmic_raw[],MATCH($A72,lmic_raw[[setting]:[setting]],0), MATCH(AT$1, lmic_raw[#Headers],0)))</f>
        <v>9.4966000440041484E-2</v>
      </c>
      <c r="AU72" s="33">
        <f>IF(INDEX(lmic_raw[],MATCH($A72,lmic_raw[[setting]:[setting]],0), MATCH(AU$1, lmic_raw[#Headers],0))=0, INDEX(regions[], MATCH($D72, regions[[setting]:[setting]],0), MATCH(AU$1, regions[#Headers],0)),INDEX(lmic_raw[],MATCH($A72,lmic_raw[[setting]:[setting]],0), MATCH(AU$1, lmic_raw[#Headers],0)))</f>
        <v>0.1235420902524004</v>
      </c>
      <c r="AV72" s="33">
        <f>IF(INDEX(lmic_raw[],MATCH($A72,lmic_raw[[setting]:[setting]],0), MATCH(AV$1, lmic_raw[#Headers],0))=0, INDEX(regions[], MATCH($D72, regions[[setting]:[setting]],0), MATCH(AV$1, regions[#Headers],0)),INDEX(lmic_raw[],MATCH($A72,lmic_raw[[setting]:[setting]],0), MATCH(AV$1, lmic_raw[#Headers],0)))</f>
        <v>0.14990314803508961</v>
      </c>
      <c r="AW72" s="33">
        <f>IF(INDEX(lmic_raw[],MATCH($A72,lmic_raw[[setting]:[setting]],0), MATCH(AW$1, lmic_raw[#Headers],0))=0, INDEX(regions[], MATCH($D72, regions[[setting]:[setting]],0), MATCH(AW$1, regions[#Headers],0)),INDEX(lmic_raw[],MATCH($A72,lmic_raw[[setting]:[setting]],0), MATCH(AW$1, lmic_raw[#Headers],0)))</f>
        <v>0.16978520436301245</v>
      </c>
      <c r="AX72" s="33">
        <f>IF(INDEX(lmic_raw[],MATCH($A72,lmic_raw[[setting]:[setting]],0), MATCH(AX$1, lmic_raw[#Headers],0))=0, INDEX(regions[], MATCH($D72, regions[[setting]:[setting]],0), MATCH(AX$1, regions[#Headers],0)),INDEX(lmic_raw[],MATCH($A72,lmic_raw[[setting]:[setting]],0), MATCH(AX$1, lmic_raw[#Headers],0)))</f>
        <v>66.486999999999995</v>
      </c>
      <c r="AY72" s="33" t="str">
        <f>IF(VLOOKUP($A72,lmic_raw[],11,FALSE)=0, "Yes", "No")</f>
        <v>Yes</v>
      </c>
    </row>
    <row r="73" spans="1:51" x14ac:dyDescent="0.25">
      <c r="A73" s="110" t="s">
        <v>108</v>
      </c>
      <c r="B73" s="104" t="s">
        <v>462</v>
      </c>
      <c r="C73" s="105">
        <v>454</v>
      </c>
      <c r="D73" s="84" t="s">
        <v>677</v>
      </c>
      <c r="E73" s="84" t="s">
        <v>597</v>
      </c>
      <c r="F73" s="84" t="s">
        <v>667</v>
      </c>
      <c r="G73" s="84" t="s">
        <v>674</v>
      </c>
      <c r="H73" s="33">
        <f>IF(INDEX(lmic_raw[],MATCH($A73,lmic_raw[[setting]:[setting]],0), MATCH(H$1, lmic_raw[#Headers],0))=0, INDEX(regions[], MATCH($D73, regions[[setting]:[setting]],0), MATCH(H$1, regions[#Headers],0)),INDEX(lmic_raw[],MATCH($A73,lmic_raw[[setting]:[setting]],0), MATCH(H$1, lmic_raw[#Headers],0)))</f>
        <v>18628749</v>
      </c>
      <c r="I73" s="33">
        <f>IF(INDEX(lmic_raw[],MATCH($A73,lmic_raw[[setting]:[setting]],0), MATCH(I$1, lmic_raw[#Headers],0))=0, INDEX(regions[], MATCH($D73, regions[[setting]:[setting]],0), MATCH(I$1, regions[#Headers],0)),INDEX(lmic_raw[],MATCH($A73,lmic_raw[[setting]:[setting]],0), MATCH(I$1, lmic_raw[#Headers],0)))</f>
        <v>638127.7969950001</v>
      </c>
      <c r="J73" s="33">
        <f>IF(INDEX(lmic_raw[],MATCH($A73,lmic_raw[[setting]:[setting]],0), MATCH(J$1, lmic_raw[#Headers],0))=0, INDEX(regions[], MATCH($D73, regions[[setting]:[setting]],0), MATCH(J$1, regions[#Headers],0)),INDEX(lmic_raw[],MATCH($A73,lmic_raw[[setting]:[setting]],0), MATCH(J$1, lmic_raw[#Headers],0)))</f>
        <v>0.91400000000000003</v>
      </c>
      <c r="K73" s="33">
        <f>IF(INDEX(lmic_raw[],MATCH($A73,lmic_raw[[setting]:[setting]],0), MATCH(K$1, lmic_raw[#Headers],0))=0, INDEX(regions[], MATCH($D73, regions[[setting]:[setting]],0), MATCH(K$1, regions[#Headers],0)),INDEX(lmic_raw[],MATCH($A73,lmic_raw[[setting]:[setting]],0), MATCH(K$1, lmic_raw[#Headers],0)))</f>
        <v>0.69252604416320784</v>
      </c>
      <c r="L73" s="33">
        <f>IF(INDEX(lmic_raw[],MATCH($A73,lmic_raw[[setting]:[setting]],0), MATCH(L$1, lmic_raw[#Headers],0))=0, INDEX(regions[], MATCH($D73, regions[[setting]:[setting]],0), MATCH(L$1, regions[#Headers],0)),INDEX(lmic_raw[],MATCH($A73,lmic_raw[[setting]:[setting]],0), MATCH(L$1, lmic_raw[#Headers],0)))</f>
        <v>0.95</v>
      </c>
      <c r="M73" s="33">
        <f>IF(INDEX(lmic_raw[],MATCH($A73,lmic_raw[[setting]:[setting]],0), MATCH(M$1, lmic_raw[#Headers],0))=0, INDEX(regions[], MATCH($D73, regions[[setting]:[setting]],0), MATCH(M$1, regions[#Headers],0)),INDEX(lmic_raw[],MATCH($A73,lmic_raw[[setting]:[setting]],0), MATCH(M$1, lmic_raw[#Headers],0)))</f>
        <v>6.9099999999999995E-2</v>
      </c>
      <c r="N73" s="33">
        <f>IF(INDEX(lmic_raw[],MATCH($A73,lmic_raw[[setting]:[setting]],0), MATCH(N$1, lmic_raw[#Headers],0))=0, INDEX(regions[], MATCH($D73, regions[[setting]:[setting]],0), MATCH(N$1, regions[#Headers],0)),INDEX(lmic_raw[],MATCH($A73,lmic_raw[[setting]:[setting]],0), MATCH(N$1, lmic_raw[#Headers],0)))</f>
        <v>0.30116230649348613</v>
      </c>
      <c r="O73" s="33">
        <f>IF(INDEX(lmic_raw[],MATCH($A73,lmic_raw[[setting]:[setting]],0), MATCH(O$1, lmic_raw[#Headers],0))=0, INDEX(regions[], MATCH($D73, regions[[setting]:[setting]],0), MATCH(O$1, regions[#Headers],0)),INDEX(lmic_raw[],MATCH($A73,lmic_raw[[setting]:[setting]],0), MATCH(O$1, lmic_raw[#Headers],0)))</f>
        <v>0.38300000000000001</v>
      </c>
      <c r="P73" s="33">
        <f>IF(INDEX(lmic_raw[],MATCH($A73,lmic_raw[[setting]:[setting]],0), MATCH(P$1, lmic_raw[#Headers],0))=0, INDEX(regions[], MATCH($D73, regions[[setting]:[setting]],0), MATCH(P$1, regions[#Headers],0)),INDEX(lmic_raw[],MATCH($A73,lmic_raw[[setting]:[setting]],0), MATCH(P$1, lmic_raw[#Headers],0)))</f>
        <v>4.8000000000000001E-2</v>
      </c>
      <c r="Q73" s="33">
        <f>IF(INDEX(lmic_raw[],MATCH($A73,lmic_raw[[setting]:[setting]],0), MATCH(Q$1, lmic_raw[#Headers],0))=0, INDEX(regions[], MATCH($D73, regions[[setting]:[setting]],0), MATCH(Q$1, regions[#Headers],0)),INDEX(lmic_raw[],MATCH($A73,lmic_raw[[setting]:[setting]],0), MATCH(Q$1, lmic_raw[#Headers],0)))</f>
        <v>2.7888237813056982</v>
      </c>
      <c r="R73" s="33">
        <f>IF(INDEX(lmic_raw[],MATCH($A73,lmic_raw[[setting]:[setting]],0), MATCH(R$1, lmic_raw[#Headers],0))=0, INDEX(regions[], MATCH($D73, regions[[setting]:[setting]],0), MATCH(R$1, regions[#Headers],0)),INDEX(lmic_raw[],MATCH($A73,lmic_raw[[setting]:[setting]],0), MATCH(R$1, lmic_raw[#Headers],0)))</f>
        <v>29.920500000000001</v>
      </c>
      <c r="S73" s="33">
        <f>IF(INDEX(lmic_raw[],MATCH($A73,lmic_raw[[setting]:[setting]],0), MATCH(S$1, lmic_raw[#Headers],0))=0, INDEX(regions[], MATCH($D73, regions[[setting]:[setting]],0), MATCH(S$1, regions[#Headers],0)),INDEX(lmic_raw[],MATCH($A73,lmic_raw[[setting]:[setting]],0), MATCH(S$1, lmic_raw[#Headers],0)))</f>
        <v>77.662500000000009</v>
      </c>
      <c r="T73" s="33">
        <f>IF(INDEX(lmic_raw[],MATCH($A73,lmic_raw[[setting]:[setting]],0), MATCH(T$1, lmic_raw[#Headers],0))=0, INDEX(regions[], MATCH($D73, regions[[setting]:[setting]],0), MATCH(T$1, regions[#Headers],0)),INDEX(lmic_raw[],MATCH($A73,lmic_raw[[setting]:[setting]],0), MATCH(T$1, lmic_raw[#Headers],0)))</f>
        <v>77.662500000000009</v>
      </c>
      <c r="U73" s="33">
        <f>IF(INDEX(lmic_raw[],MATCH($A73,lmic_raw[[setting]:[setting]],0), MATCH(U$1, lmic_raw[#Headers],0))=0, INDEX(regions[], MATCH($D73, regions[[setting]:[setting]],0), MATCH(U$1, regions[#Headers],0)),INDEX(lmic_raw[],MATCH($A73,lmic_raw[[setting]:[setting]],0), MATCH(U$1, lmic_raw[#Headers],0)))</f>
        <v>77.662500000000009</v>
      </c>
      <c r="V73" s="33">
        <f>IF(INDEX(lmic_raw[],MATCH($A73,lmic_raw[[setting]:[setting]],0), MATCH(V$1, lmic_raw[#Headers],0))=0, INDEX(regions[], MATCH($D73, regions[[setting]:[setting]],0), MATCH(V$1, regions[#Headers],0)),INDEX(lmic_raw[],MATCH($A73,lmic_raw[[setting]:[setting]],0), MATCH(V$1, lmic_raw[#Headers],0)))</f>
        <v>2.3507181232818537</v>
      </c>
      <c r="W73" s="33">
        <f>IF(INDEX(lmic_raw[],MATCH($A73,lmic_raw[[setting]:[setting]],0), MATCH(W$1, lmic_raw[#Headers],0))=0, INDEX(regions[], MATCH($D73, regions[[setting]:[setting]],0), MATCH(W$1, regions[#Headers],0)),INDEX(lmic_raw[],MATCH($A73,lmic_raw[[setting]:[setting]],0), MATCH(W$1, lmic_raw[#Headers],0)))</f>
        <v>7.1807181232818538</v>
      </c>
      <c r="X73" s="33">
        <f>IF(INDEX(lmic_raw[],MATCH($A73,lmic_raw[[setting]:[setting]],0), MATCH(X$1, lmic_raw[#Headers],0))=0, INDEX(regions[], MATCH($D73, regions[[setting]:[setting]],0), MATCH(X$1, regions[#Headers],0)),INDEX(lmic_raw[],MATCH($A73,lmic_raw[[setting]:[setting]],0), MATCH(X$1, lmic_raw[#Headers],0)))</f>
        <v>1.9292403984020867</v>
      </c>
      <c r="Y73" s="33">
        <f>IF(INDEX(lmic_raw[],MATCH($A73,lmic_raw[[setting]:[setting]],0), MATCH(Y$1, lmic_raw[#Headers],0))=0, INDEX(regions[], MATCH($D73, regions[[setting]:[setting]],0), MATCH(Y$1, regions[#Headers],0)),INDEX(lmic_raw[],MATCH($A73,lmic_raw[[setting]:[setting]],0), MATCH(Y$1, lmic_raw[#Headers],0)))</f>
        <v>6.7592403984020866</v>
      </c>
      <c r="Z73" s="33">
        <f>IF(INDEX(lmic_raw[],MATCH($A73,lmic_raw[[setting]:[setting]],0), MATCH(Z$1, lmic_raw[#Headers],0))=0, INDEX(regions[], MATCH($D73, regions[[setting]:[setting]],0), MATCH(Z$1, regions[#Headers],0)),INDEX(lmic_raw[],MATCH($A73,lmic_raw[[setting]:[setting]],0), MATCH(Z$1, lmic_raw[#Headers],0)))</f>
        <v>6.757885933921715</v>
      </c>
      <c r="AA73" s="33">
        <f>IF(INDEX(lmic_raw[],MATCH($A73,lmic_raw[[setting]:[setting]],0), MATCH(AA$1, lmic_raw[#Headers],0))=0, INDEX(regions[], MATCH($D73, regions[[setting]:[setting]],0), MATCH(AA$1, regions[#Headers],0)),INDEX(lmic_raw[],MATCH($A73,lmic_raw[[setting]:[setting]],0), MATCH(AA$1, lmic_raw[#Headers],0)))</f>
        <v>2.5908721813222582</v>
      </c>
      <c r="AB73" s="33">
        <f>IF(INDEX(lmic_raw[],MATCH($A73,lmic_raw[[setting]:[setting]],0), MATCH(AB$1, lmic_raw[#Headers],0))=0, INDEX(regions[], MATCH($D73, regions[[setting]:[setting]],0), MATCH(AB$1, regions[#Headers],0)),INDEX(lmic_raw[],MATCH($A73,lmic_raw[[setting]:[setting]],0), MATCH(AB$1, lmic_raw[#Headers],0)))</f>
        <v>7.4208721813222578</v>
      </c>
      <c r="AC73" s="33">
        <f>IF(INDEX(lmic_raw[],MATCH($A73,lmic_raw[[setting]:[setting]],0), MATCH(AC$1, lmic_raw[#Headers],0))=0, INDEX(regions[], MATCH($D73, regions[[setting]:[setting]],0), MATCH(AC$1, regions[#Headers],0)),INDEX(lmic_raw[],MATCH($A73,lmic_raw[[setting]:[setting]],0), MATCH(AC$1, lmic_raw[#Headers],0)))</f>
        <v>4.1335470000000062E-2</v>
      </c>
      <c r="AD73" s="33">
        <f>IF(INDEX(lmic_raw[],MATCH($A73,lmic_raw[[setting]:[setting]],0), MATCH(AD$1, lmic_raw[#Headers],0))=0, INDEX(regions[], MATCH($D73, regions[[setting]:[setting]],0), MATCH(AD$1, regions[#Headers],0)),INDEX(lmic_raw[],MATCH($A73,lmic_raw[[setting]:[setting]],0), MATCH(AD$1, lmic_raw[#Headers],0)))</f>
        <v>3.6814390118303196E-3</v>
      </c>
      <c r="AE73" s="33">
        <f>IF(INDEX(lmic_raw[],MATCH($A73,lmic_raw[[setting]:[setting]],0), MATCH(AE$1, lmic_raw[#Headers],0))=0, INDEX(regions[], MATCH($D73, regions[[setting]:[setting]],0), MATCH(AE$1, regions[#Headers],0)),INDEX(lmic_raw[],MATCH($A73,lmic_raw[[setting]:[setting]],0), MATCH(AE$1, lmic_raw[#Headers],0)))</f>
        <v>1.2469653854453703E-3</v>
      </c>
      <c r="AF73" s="33">
        <f>IF(INDEX(lmic_raw[],MATCH($A73,lmic_raw[[setting]:[setting]],0), MATCH(AF$1, lmic_raw[#Headers],0))=0, INDEX(regions[], MATCH($D73, regions[[setting]:[setting]],0), MATCH(AF$1, regions[#Headers],0)),INDEX(lmic_raw[],MATCH($A73,lmic_raw[[setting]:[setting]],0), MATCH(AF$1, lmic_raw[#Headers],0)))</f>
        <v>9.7263713769861254E-4</v>
      </c>
      <c r="AG73" s="33">
        <f>IF(INDEX(lmic_raw[],MATCH($A73,lmic_raw[[setting]:[setting]],0), MATCH(AG$1, lmic_raw[#Headers],0))=0, INDEX(regions[], MATCH($D73, regions[[setting]:[setting]],0), MATCH(AG$1, regions[#Headers],0)),INDEX(lmic_raw[],MATCH($A73,lmic_raw[[setting]:[setting]],0), MATCH(AG$1, lmic_raw[#Headers],0)))</f>
        <v>1.5993880527014931E-3</v>
      </c>
      <c r="AH73" s="33">
        <f>IF(INDEX(lmic_raw[],MATCH($A73,lmic_raw[[setting]:[setting]],0), MATCH(AH$1, lmic_raw[#Headers],0))=0, INDEX(regions[], MATCH($D73, regions[[setting]:[setting]],0), MATCH(AH$1, regions[#Headers],0)),INDEX(lmic_raw[],MATCH($A73,lmic_raw[[setting]:[setting]],0), MATCH(AH$1, lmic_raw[#Headers],0)))</f>
        <v>2.5275224475715141E-3</v>
      </c>
      <c r="AI73" s="33">
        <f>IF(INDEX(lmic_raw[],MATCH($A73,lmic_raw[[setting]:[setting]],0), MATCH(AI$1, lmic_raw[#Headers],0))=0, INDEX(regions[], MATCH($D73, regions[[setting]:[setting]],0), MATCH(AI$1, regions[#Headers],0)),INDEX(lmic_raw[],MATCH($A73,lmic_raw[[setting]:[setting]],0), MATCH(AI$1, lmic_raw[#Headers],0)))</f>
        <v>3.4714392776732262E-3</v>
      </c>
      <c r="AJ73" s="33">
        <f>IF(INDEX(lmic_raw[],MATCH($A73,lmic_raw[[setting]:[setting]],0), MATCH(AJ$1, lmic_raw[#Headers],0))=0, INDEX(regions[], MATCH($D73, regions[[setting]:[setting]],0), MATCH(AJ$1, regions[#Headers],0)),INDEX(lmic_raw[],MATCH($A73,lmic_raw[[setting]:[setting]],0), MATCH(AJ$1, lmic_raw[#Headers],0)))</f>
        <v>4.5261698853361057E-3</v>
      </c>
      <c r="AK73" s="33">
        <f>IF(INDEX(lmic_raw[],MATCH($A73,lmic_raw[[setting]:[setting]],0), MATCH(AK$1, lmic_raw[#Headers],0))=0, INDEX(regions[], MATCH($D73, regions[[setting]:[setting]],0), MATCH(AK$1, regions[#Headers],0)),INDEX(lmic_raw[],MATCH($A73,lmic_raw[[setting]:[setting]],0), MATCH(AK$1, lmic_raw[#Headers],0)))</f>
        <v>6.0382154238977888E-3</v>
      </c>
      <c r="AL73" s="33">
        <f>IF(INDEX(lmic_raw[],MATCH($A73,lmic_raw[[setting]:[setting]],0), MATCH(AL$1, lmic_raw[#Headers],0))=0, INDEX(regions[], MATCH($D73, regions[[setting]:[setting]],0), MATCH(AL$1, regions[#Headers],0)),INDEX(lmic_raw[],MATCH($A73,lmic_raw[[setting]:[setting]],0), MATCH(AL$1, lmic_raw[#Headers],0)))</f>
        <v>7.4980385986603525E-3</v>
      </c>
      <c r="AM73" s="33">
        <f>IF(INDEX(lmic_raw[],MATCH($A73,lmic_raw[[setting]:[setting]],0), MATCH(AM$1, lmic_raw[#Headers],0))=0, INDEX(regions[], MATCH($D73, regions[[setting]:[setting]],0), MATCH(AM$1, regions[#Headers],0)),INDEX(lmic_raw[],MATCH($A73,lmic_raw[[setting]:[setting]],0), MATCH(AM$1, lmic_raw[#Headers],0)))</f>
        <v>9.2345457449363785E-3</v>
      </c>
      <c r="AN73" s="33">
        <f>IF(INDEX(lmic_raw[],MATCH($A73,lmic_raw[[setting]:[setting]],0), MATCH(AN$1, lmic_raw[#Headers],0))=0, INDEX(regions[], MATCH($D73, regions[[setting]:[setting]],0), MATCH(AN$1, regions[#Headers],0)),INDEX(lmic_raw[],MATCH($A73,lmic_raw[[setting]:[setting]],0), MATCH(AN$1, lmic_raw[#Headers],0)))</f>
        <v>1.2100708896732088E-2</v>
      </c>
      <c r="AO73" s="33">
        <f>IF(INDEX(lmic_raw[],MATCH($A73,lmic_raw[[setting]:[setting]],0), MATCH(AO$1, lmic_raw[#Headers],0))=0, INDEX(regions[], MATCH($D73, regions[[setting]:[setting]],0), MATCH(AO$1, regions[#Headers],0)),INDEX(lmic_raw[],MATCH($A73,lmic_raw[[setting]:[setting]],0), MATCH(AO$1, lmic_raw[#Headers],0)))</f>
        <v>1.5460726609726467E-2</v>
      </c>
      <c r="AP73" s="33">
        <f>IF(INDEX(lmic_raw[],MATCH($A73,lmic_raw[[setting]:[setting]],0), MATCH(AP$1, lmic_raw[#Headers],0))=0, INDEX(regions[], MATCH($D73, regions[[setting]:[setting]],0), MATCH(AP$1, regions[#Headers],0)),INDEX(lmic_raw[],MATCH($A73,lmic_raw[[setting]:[setting]],0), MATCH(AP$1, lmic_raw[#Headers],0)))</f>
        <v>2.1799763345410259E-2</v>
      </c>
      <c r="AQ73" s="33">
        <f>IF(INDEX(lmic_raw[],MATCH($A73,lmic_raw[[setting]:[setting]],0), MATCH(AQ$1, lmic_raw[#Headers],0))=0, INDEX(regions[], MATCH($D73, regions[[setting]:[setting]],0), MATCH(AQ$1, regions[#Headers],0)),INDEX(lmic_raw[],MATCH($A73,lmic_raw[[setting]:[setting]],0), MATCH(AQ$1, lmic_raw[#Headers],0)))</f>
        <v>3.2008626279088702E-2</v>
      </c>
      <c r="AR73" s="33">
        <f>IF(INDEX(lmic_raw[],MATCH($A73,lmic_raw[[setting]:[setting]],0), MATCH(AR$1, lmic_raw[#Headers],0))=0, INDEX(regions[], MATCH($D73, regions[[setting]:[setting]],0), MATCH(AR$1, regions[#Headers],0)),INDEX(lmic_raw[],MATCH($A73,lmic_raw[[setting]:[setting]],0), MATCH(AR$1, lmic_raw[#Headers],0)))</f>
        <v>4.7779408597282184E-2</v>
      </c>
      <c r="AS73" s="33">
        <f>IF(INDEX(lmic_raw[],MATCH($A73,lmic_raw[[setting]:[setting]],0), MATCH(AS$1, lmic_raw[#Headers],0))=0, INDEX(regions[], MATCH($D73, regions[[setting]:[setting]],0), MATCH(AS$1, regions[#Headers],0)),INDEX(lmic_raw[],MATCH($A73,lmic_raw[[setting]:[setting]],0), MATCH(AS$1, lmic_raw[#Headers],0)))</f>
        <v>7.1035709828626961E-2</v>
      </c>
      <c r="AT73" s="33">
        <f>IF(INDEX(lmic_raw[],MATCH($A73,lmic_raw[[setting]:[setting]],0), MATCH(AT$1, lmic_raw[#Headers],0))=0, INDEX(regions[], MATCH($D73, regions[[setting]:[setting]],0), MATCH(AT$1, regions[#Headers],0)),INDEX(lmic_raw[],MATCH($A73,lmic_raw[[setting]:[setting]],0), MATCH(AT$1, lmic_raw[#Headers],0)))</f>
        <v>0.10510650114198765</v>
      </c>
      <c r="AU73" s="33">
        <f>IF(INDEX(lmic_raw[],MATCH($A73,lmic_raw[[setting]:[setting]],0), MATCH(AU$1, lmic_raw[#Headers],0))=0, INDEX(regions[], MATCH($D73, regions[[setting]:[setting]],0), MATCH(AU$1, regions[#Headers],0)),INDEX(lmic_raw[],MATCH($A73,lmic_raw[[setting]:[setting]],0), MATCH(AU$1, lmic_raw[#Headers],0)))</f>
        <v>0.1447171061326458</v>
      </c>
      <c r="AV73" s="33">
        <f>IF(INDEX(lmic_raw[],MATCH($A73,lmic_raw[[setting]:[setting]],0), MATCH(AV$1, lmic_raw[#Headers],0))=0, INDEX(regions[], MATCH($D73, regions[[setting]:[setting]],0), MATCH(AV$1, regions[#Headers],0)),INDEX(lmic_raw[],MATCH($A73,lmic_raw[[setting]:[setting]],0), MATCH(AV$1, lmic_raw[#Headers],0)))</f>
        <v>0.17720147949830714</v>
      </c>
      <c r="AW73" s="33">
        <f>IF(INDEX(lmic_raw[],MATCH($A73,lmic_raw[[setting]:[setting]],0), MATCH(AW$1, lmic_raw[#Headers],0))=0, INDEX(regions[], MATCH($D73, regions[[setting]:[setting]],0), MATCH(AW$1, regions[#Headers],0)),INDEX(lmic_raw[],MATCH($A73,lmic_raw[[setting]:[setting]],0), MATCH(AW$1, lmic_raw[#Headers],0)))</f>
        <v>0.18855382590770395</v>
      </c>
      <c r="AX73" s="33">
        <f>IF(INDEX(lmic_raw[],MATCH($A73,lmic_raw[[setting]:[setting]],0), MATCH(AX$1, lmic_raw[#Headers],0))=0, INDEX(regions[], MATCH($D73, regions[[setting]:[setting]],0), MATCH(AX$1, regions[#Headers],0)),INDEX(lmic_raw[],MATCH($A73,lmic_raw[[setting]:[setting]],0), MATCH(AX$1, lmic_raw[#Headers],0)))</f>
        <v>63.432000000000002</v>
      </c>
      <c r="AY73" s="33" t="str">
        <f>IF(VLOOKUP($A73,lmic_raw[],11,FALSE)=0, "Yes", "No")</f>
        <v>Yes</v>
      </c>
    </row>
    <row r="74" spans="1:51" x14ac:dyDescent="0.25">
      <c r="A74" s="109" t="s">
        <v>215</v>
      </c>
      <c r="B74" s="101" t="s">
        <v>463</v>
      </c>
      <c r="C74" s="102">
        <v>458</v>
      </c>
      <c r="D74" s="82" t="s">
        <v>681</v>
      </c>
      <c r="E74" s="82" t="s">
        <v>598</v>
      </c>
      <c r="F74" s="82" t="s">
        <v>666</v>
      </c>
      <c r="G74" s="82" t="s">
        <v>676</v>
      </c>
      <c r="H74" s="33">
        <f>IF(INDEX(lmic_raw[],MATCH($A74,lmic_raw[[setting]:[setting]],0), MATCH(H$1, lmic_raw[#Headers],0))=0, INDEX(regions[], MATCH($D74, regions[[setting]:[setting]],0), MATCH(H$1, regions[#Headers],0)),INDEX(lmic_raw[],MATCH($A74,lmic_raw[[setting]:[setting]],0), MATCH(H$1, lmic_raw[#Headers],0)))</f>
        <v>31949789</v>
      </c>
      <c r="I74" s="33">
        <f>IF(INDEX(lmic_raw[],MATCH($A74,lmic_raw[[setting]:[setting]],0), MATCH(I$1, lmic_raw[#Headers],0))=0, INDEX(regions[], MATCH($D74, regions[[setting]:[setting]],0), MATCH(I$1, regions[#Headers],0)),INDEX(lmic_raw[],MATCH($A74,lmic_raw[[setting]:[setting]],0), MATCH(I$1, lmic_raw[#Headers],0)))</f>
        <v>537906.64760399994</v>
      </c>
      <c r="J74" s="33">
        <f>IF(INDEX(lmic_raw[],MATCH($A74,lmic_raw[[setting]:[setting]],0), MATCH(J$1, lmic_raw[#Headers],0))=0, INDEX(regions[], MATCH($D74, regions[[setting]:[setting]],0), MATCH(J$1, regions[#Headers],0)),INDEX(lmic_raw[],MATCH($A74,lmic_raw[[setting]:[setting]],0), MATCH(J$1, lmic_raw[#Headers],0)))</f>
        <v>0.9890000000000001</v>
      </c>
      <c r="K74" s="33">
        <f>IF(INDEX(lmic_raw[],MATCH($A74,lmic_raw[[setting]:[setting]],0), MATCH(K$1, lmic_raw[#Headers],0))=0, INDEX(regions[], MATCH($D74, regions[[setting]:[setting]],0), MATCH(K$1, regions[#Headers],0)),INDEX(lmic_raw[],MATCH($A74,lmic_raw[[setting]:[setting]],0), MATCH(K$1, lmic_raw[#Headers],0)))</f>
        <v>0.99</v>
      </c>
      <c r="L74" s="33">
        <f>IF(INDEX(lmic_raw[],MATCH($A74,lmic_raw[[setting]:[setting]],0), MATCH(L$1, lmic_raw[#Headers],0))=0, INDEX(regions[], MATCH($D74, regions[[setting]:[setting]],0), MATCH(L$1, regions[#Headers],0)),INDEX(lmic_raw[],MATCH($A74,lmic_raw[[setting]:[setting]],0), MATCH(L$1, lmic_raw[#Headers],0)))</f>
        <v>0.97</v>
      </c>
      <c r="M74" s="33">
        <f>IF(INDEX(lmic_raw[],MATCH($A74,lmic_raw[[setting]:[setting]],0), MATCH(M$1, lmic_raw[#Headers],0))=0, INDEX(regions[], MATCH($D74, regions[[setting]:[setting]],0), MATCH(M$1, regions[#Headers],0)),INDEX(lmic_raw[],MATCH($A74,lmic_raw[[setting]:[setting]],0), MATCH(M$1, lmic_raw[#Headers],0)))</f>
        <v>1.0800000000000001E-2</v>
      </c>
      <c r="N74" s="33">
        <f>IF(INDEX(lmic_raw[],MATCH($A74,lmic_raw[[setting]:[setting]],0), MATCH(N$1, lmic_raw[#Headers],0))=0, INDEX(regions[], MATCH($D74, regions[[setting]:[setting]],0), MATCH(N$1, regions[#Headers],0)),INDEX(lmic_raw[],MATCH($A74,lmic_raw[[setting]:[setting]],0), MATCH(N$1, lmic_raw[#Headers],0)))</f>
        <v>0.30970485984598067</v>
      </c>
      <c r="O74" s="33">
        <f>IF(INDEX(lmic_raw[],MATCH($A74,lmic_raw[[setting]:[setting]],0), MATCH(O$1, lmic_raw[#Headers],0))=0, INDEX(regions[], MATCH($D74, regions[[setting]:[setting]],0), MATCH(O$1, regions[#Headers],0)),INDEX(lmic_raw[],MATCH($A74,lmic_raw[[setting]:[setting]],0), MATCH(O$1, lmic_raw[#Headers],0)))</f>
        <v>0.8</v>
      </c>
      <c r="P74" s="33">
        <f>IF(INDEX(lmic_raw[],MATCH($A74,lmic_raw[[setting]:[setting]],0), MATCH(P$1, lmic_raw[#Headers],0))=0, INDEX(regions[], MATCH($D74, regions[[setting]:[setting]],0), MATCH(P$1, regions[#Headers],0)),INDEX(lmic_raw[],MATCH($A74,lmic_raw[[setting]:[setting]],0), MATCH(P$1, lmic_raw[#Headers],0)))</f>
        <v>0.17499999999999999</v>
      </c>
      <c r="Q74" s="33">
        <f>IF(INDEX(lmic_raw[],MATCH($A74,lmic_raw[[setting]:[setting]],0), MATCH(Q$1, lmic_raw[#Headers],0))=0, INDEX(regions[], MATCH($D74, regions[[setting]:[setting]],0), MATCH(Q$1, regions[#Headers],0)),INDEX(lmic_raw[],MATCH($A74,lmic_raw[[setting]:[setting]],0), MATCH(Q$1, lmic_raw[#Headers],0)))</f>
        <v>12.272194857323807</v>
      </c>
      <c r="R74" s="33">
        <f>IF(INDEX(lmic_raw[],MATCH($A74,lmic_raw[[setting]:[setting]],0), MATCH(R$1, lmic_raw[#Headers],0))=0, INDEX(regions[], MATCH($D74, regions[[setting]:[setting]],0), MATCH(R$1, regions[#Headers],0)),INDEX(lmic_raw[],MATCH($A74,lmic_raw[[setting]:[setting]],0), MATCH(R$1, lmic_raw[#Headers],0)))</f>
        <v>73.084500000000006</v>
      </c>
      <c r="S74" s="33">
        <f>IF(INDEX(lmic_raw[],MATCH($A74,lmic_raw[[setting]:[setting]],0), MATCH(S$1, lmic_raw[#Headers],0))=0, INDEX(regions[], MATCH($D74, regions[[setting]:[setting]],0), MATCH(S$1, regions[#Headers],0)),INDEX(lmic_raw[],MATCH($A74,lmic_raw[[setting]:[setting]],0), MATCH(S$1, lmic_raw[#Headers],0)))</f>
        <v>120.8265</v>
      </c>
      <c r="T74" s="33">
        <f>IF(INDEX(lmic_raw[],MATCH($A74,lmic_raw[[setting]:[setting]],0), MATCH(T$1, lmic_raw[#Headers],0))=0, INDEX(regions[], MATCH($D74, regions[[setting]:[setting]],0), MATCH(T$1, regions[#Headers],0)),INDEX(lmic_raw[],MATCH($A74,lmic_raw[[setting]:[setting]],0), MATCH(T$1, lmic_raw[#Headers],0)))</f>
        <v>120.8265</v>
      </c>
      <c r="U74" s="33">
        <f>IF(INDEX(lmic_raw[],MATCH($A74,lmic_raw[[setting]:[setting]],0), MATCH(U$1, lmic_raw[#Headers],0))=0, INDEX(regions[], MATCH($D74, regions[[setting]:[setting]],0), MATCH(U$1, regions[#Headers],0)),INDEX(lmic_raw[],MATCH($A74,lmic_raw[[setting]:[setting]],0), MATCH(U$1, lmic_raw[#Headers],0)))</f>
        <v>120.8265</v>
      </c>
      <c r="V74" s="33">
        <f>IF(INDEX(lmic_raw[],MATCH($A74,lmic_raw[[setting]:[setting]],0), MATCH(V$1, lmic_raw[#Headers],0))=0, INDEX(regions[], MATCH($D74, regions[[setting]:[setting]],0), MATCH(V$1, regions[#Headers],0)),INDEX(lmic_raw[],MATCH($A74,lmic_raw[[setting]:[setting]],0), MATCH(V$1, lmic_raw[#Headers],0)))</f>
        <v>5.5526818063699945</v>
      </c>
      <c r="W74" s="33">
        <f>IF(INDEX(lmic_raw[],MATCH($A74,lmic_raw[[setting]:[setting]],0), MATCH(W$1, lmic_raw[#Headers],0))=0, INDEX(regions[], MATCH($D74, regions[[setting]:[setting]],0), MATCH(W$1, regions[#Headers],0)),INDEX(lmic_raw[],MATCH($A74,lmic_raw[[setting]:[setting]],0), MATCH(W$1, lmic_raw[#Headers],0)))</f>
        <v>6.1826818063699944</v>
      </c>
      <c r="X74" s="33">
        <f>IF(INDEX(lmic_raw[],MATCH($A74,lmic_raw[[setting]:[setting]],0), MATCH(X$1, lmic_raw[#Headers],0))=0, INDEX(regions[], MATCH($D74, regions[[setting]:[setting]],0), MATCH(X$1, regions[#Headers],0)),INDEX(lmic_raw[],MATCH($A74,lmic_raw[[setting]:[setting]],0), MATCH(X$1, lmic_raw[#Headers],0)))</f>
        <v>5.0991060768878809</v>
      </c>
      <c r="Y74" s="33">
        <f>IF(INDEX(lmic_raw[],MATCH($A74,lmic_raw[[setting]:[setting]],0), MATCH(Y$1, lmic_raw[#Headers],0))=0, INDEX(regions[], MATCH($D74, regions[[setting]:[setting]],0), MATCH(Y$1, regions[#Headers],0)),INDEX(lmic_raw[],MATCH($A74,lmic_raw[[setting]:[setting]],0), MATCH(Y$1, lmic_raw[#Headers],0)))</f>
        <v>5.7291060768878808</v>
      </c>
      <c r="Z74" s="33">
        <f>IF(INDEX(lmic_raw[],MATCH($A74,lmic_raw[[setting]:[setting]],0), MATCH(Z$1, lmic_raw[#Headers],0))=0, INDEX(regions[], MATCH($D74, regions[[setting]:[setting]],0), MATCH(Z$1, regions[#Headers],0)),INDEX(lmic_raw[],MATCH($A74,lmic_raw[[setting]:[setting]],0), MATCH(Z$1, lmic_raw[#Headers],0)))</f>
        <v>5.7150031427358057</v>
      </c>
      <c r="AA74" s="33">
        <f>IF(INDEX(lmic_raw[],MATCH($A74,lmic_raw[[setting]:[setting]],0), MATCH(AA$1, lmic_raw[#Headers],0))=0, INDEX(regions[], MATCH($D74, regions[[setting]:[setting]],0), MATCH(AA$1, regions[#Headers],0)),INDEX(lmic_raw[],MATCH($A74,lmic_raw[[setting]:[setting]],0), MATCH(AA$1, lmic_raw[#Headers],0)))</f>
        <v>5.8044060753717099</v>
      </c>
      <c r="AB74" s="33">
        <f>IF(INDEX(lmic_raw[],MATCH($A74,lmic_raw[[setting]:[setting]],0), MATCH(AB$1, lmic_raw[#Headers],0))=0, INDEX(regions[], MATCH($D74, regions[[setting]:[setting]],0), MATCH(AB$1, regions[#Headers],0)),INDEX(lmic_raw[],MATCH($A74,lmic_raw[[setting]:[setting]],0), MATCH(AB$1, lmic_raw[#Headers],0)))</f>
        <v>6.4344060753717098</v>
      </c>
      <c r="AC74" s="33">
        <f>IF(INDEX(lmic_raw[],MATCH($A74,lmic_raw[[setting]:[setting]],0), MATCH(AC$1, lmic_raw[#Headers],0))=0, INDEX(regions[], MATCH($D74, regions[[setting]:[setting]],0), MATCH(AC$1, regions[#Headers],0)),INDEX(lmic_raw[],MATCH($A74,lmic_raw[[setting]:[setting]],0), MATCH(AC$1, lmic_raw[#Headers],0)))</f>
        <v>5.8979700000000596E-3</v>
      </c>
      <c r="AD74" s="33">
        <f>IF(INDEX(lmic_raw[],MATCH($A74,lmic_raw[[setting]:[setting]],0), MATCH(AD$1, lmic_raw[#Headers],0))=0, INDEX(regions[], MATCH($D74, regions[[setting]:[setting]],0), MATCH(AD$1, regions[#Headers],0)),INDEX(lmic_raw[],MATCH($A74,lmic_raw[[setting]:[setting]],0), MATCH(AD$1, lmic_raw[#Headers],0)))</f>
        <v>2.6909712678084167E-4</v>
      </c>
      <c r="AE74" s="33">
        <f>IF(INDEX(lmic_raw[],MATCH($A74,lmic_raw[[setting]:[setting]],0), MATCH(AE$1, lmic_raw[#Headers],0))=0, INDEX(regions[], MATCH($D74, regions[[setting]:[setting]],0), MATCH(AE$1, regions[#Headers],0)),INDEX(lmic_raw[],MATCH($A74,lmic_raw[[setting]:[setting]],0), MATCH(AE$1, lmic_raw[#Headers],0)))</f>
        <v>1.7400849291871552E-4</v>
      </c>
      <c r="AF74" s="33">
        <f>IF(INDEX(lmic_raw[],MATCH($A74,lmic_raw[[setting]:[setting]],0), MATCH(AF$1, lmic_raw[#Headers],0))=0, INDEX(regions[], MATCH($D74, regions[[setting]:[setting]],0), MATCH(AF$1, regions[#Headers],0)),INDEX(lmic_raw[],MATCH($A74,lmic_raw[[setting]:[setting]],0), MATCH(AF$1, lmic_raw[#Headers],0)))</f>
        <v>2.4153772101562508E-4</v>
      </c>
      <c r="AG74" s="33">
        <f>IF(INDEX(lmic_raw[],MATCH($A74,lmic_raw[[setting]:[setting]],0), MATCH(AG$1, lmic_raw[#Headers],0))=0, INDEX(regions[], MATCH($D74, regions[[setting]:[setting]],0), MATCH(AG$1, regions[#Headers],0)),INDEX(lmic_raw[],MATCH($A74,lmic_raw[[setting]:[setting]],0), MATCH(AG$1, lmic_raw[#Headers],0)))</f>
        <v>5.646226668990904E-4</v>
      </c>
      <c r="AH74" s="33">
        <f>IF(INDEX(lmic_raw[],MATCH($A74,lmic_raw[[setting]:[setting]],0), MATCH(AH$1, lmic_raw[#Headers],0))=0, INDEX(regions[], MATCH($D74, regions[[setting]:[setting]],0), MATCH(AH$1, regions[#Headers],0)),INDEX(lmic_raw[],MATCH($A74,lmic_raw[[setting]:[setting]],0), MATCH(AH$1, lmic_raw[#Headers],0)))</f>
        <v>5.9202841739643076E-4</v>
      </c>
      <c r="AI74" s="33">
        <f>IF(INDEX(lmic_raw[],MATCH($A74,lmic_raw[[setting]:[setting]],0), MATCH(AI$1, lmic_raw[#Headers],0))=0, INDEX(regions[], MATCH($D74, regions[[setting]:[setting]],0), MATCH(AI$1, regions[#Headers],0)),INDEX(lmic_raw[],MATCH($A74,lmic_raw[[setting]:[setting]],0), MATCH(AI$1, lmic_raw[#Headers],0)))</f>
        <v>6.2242664157026385E-4</v>
      </c>
      <c r="AJ74" s="33">
        <f>IF(INDEX(lmic_raw[],MATCH($A74,lmic_raw[[setting]:[setting]],0), MATCH(AJ$1, lmic_raw[#Headers],0))=0, INDEX(regions[], MATCH($D74, regions[[setting]:[setting]],0), MATCH(AJ$1, regions[#Headers],0)),INDEX(lmic_raw[],MATCH($A74,lmic_raw[[setting]:[setting]],0), MATCH(AJ$1, lmic_raw[#Headers],0)))</f>
        <v>1.0762478651970475E-3</v>
      </c>
      <c r="AK74" s="33">
        <f>IF(INDEX(lmic_raw[],MATCH($A74,lmic_raw[[setting]:[setting]],0), MATCH(AK$1, lmic_raw[#Headers],0))=0, INDEX(regions[], MATCH($D74, regions[[setting]:[setting]],0), MATCH(AK$1, regions[#Headers],0)),INDEX(lmic_raw[],MATCH($A74,lmic_raw[[setting]:[setting]],0), MATCH(AK$1, lmic_raw[#Headers],0)))</f>
        <v>1.6023413600468642E-3</v>
      </c>
      <c r="AL74" s="33">
        <f>IF(INDEX(lmic_raw[],MATCH($A74,lmic_raw[[setting]:[setting]],0), MATCH(AL$1, lmic_raw[#Headers],0))=0, INDEX(regions[], MATCH($D74, regions[[setting]:[setting]],0), MATCH(AL$1, regions[#Headers],0)),INDEX(lmic_raw[],MATCH($A74,lmic_raw[[setting]:[setting]],0), MATCH(AL$1, lmic_raw[#Headers],0)))</f>
        <v>2.3803138200106798E-3</v>
      </c>
      <c r="AM74" s="33">
        <f>IF(INDEX(lmic_raw[],MATCH($A74,lmic_raw[[setting]:[setting]],0), MATCH(AM$1, lmic_raw[#Headers],0))=0, INDEX(regions[], MATCH($D74, regions[[setting]:[setting]],0), MATCH(AM$1, regions[#Headers],0)),INDEX(lmic_raw[],MATCH($A74,lmic_raw[[setting]:[setting]],0), MATCH(AM$1, lmic_raw[#Headers],0)))</f>
        <v>4.156809154903132E-3</v>
      </c>
      <c r="AN74" s="33">
        <f>IF(INDEX(lmic_raw[],MATCH($A74,lmic_raw[[setting]:[setting]],0), MATCH(AN$1, lmic_raw[#Headers],0))=0, INDEX(regions[], MATCH($D74, regions[[setting]:[setting]],0), MATCH(AN$1, regions[#Headers],0)),INDEX(lmic_raw[],MATCH($A74,lmic_raw[[setting]:[setting]],0), MATCH(AN$1, lmic_raw[#Headers],0)))</f>
        <v>6.3012350789853847E-3</v>
      </c>
      <c r="AO74" s="33">
        <f>IF(INDEX(lmic_raw[],MATCH($A74,lmic_raw[[setting]:[setting]],0), MATCH(AO$1, lmic_raw[#Headers],0))=0, INDEX(regions[], MATCH($D74, regions[[setting]:[setting]],0), MATCH(AO$1, regions[#Headers],0)),INDEX(lmic_raw[],MATCH($A74,lmic_raw[[setting]:[setting]],0), MATCH(AO$1, lmic_raw[#Headers],0)))</f>
        <v>9.1705967903937639E-3</v>
      </c>
      <c r="AP74" s="33">
        <f>IF(INDEX(lmic_raw[],MATCH($A74,lmic_raw[[setting]:[setting]],0), MATCH(AP$1, lmic_raw[#Headers],0))=0, INDEX(regions[], MATCH($D74, regions[[setting]:[setting]],0), MATCH(AP$1, regions[#Headers],0)),INDEX(lmic_raw[],MATCH($A74,lmic_raw[[setting]:[setting]],0), MATCH(AP$1, lmic_raw[#Headers],0)))</f>
        <v>1.2626792371675308E-2</v>
      </c>
      <c r="AQ74" s="33">
        <f>IF(INDEX(lmic_raw[],MATCH($A74,lmic_raw[[setting]:[setting]],0), MATCH(AQ$1, lmic_raw[#Headers],0))=0, INDEX(regions[], MATCH($D74, regions[[setting]:[setting]],0), MATCH(AQ$1, regions[#Headers],0)),INDEX(lmic_raw[],MATCH($A74,lmic_raw[[setting]:[setting]],0), MATCH(AQ$1, lmic_raw[#Headers],0)))</f>
        <v>2.027641545913441E-2</v>
      </c>
      <c r="AR74" s="33">
        <f>IF(INDEX(lmic_raw[],MATCH($A74,lmic_raw[[setting]:[setting]],0), MATCH(AR$1, lmic_raw[#Headers],0))=0, INDEX(regions[], MATCH($D74, regions[[setting]:[setting]],0), MATCH(AR$1, regions[#Headers],0)),INDEX(lmic_raw[],MATCH($A74,lmic_raw[[setting]:[setting]],0), MATCH(AR$1, lmic_raw[#Headers],0)))</f>
        <v>3.4072207188760729E-2</v>
      </c>
      <c r="AS74" s="33">
        <f>IF(INDEX(lmic_raw[],MATCH($A74,lmic_raw[[setting]:[setting]],0), MATCH(AS$1, lmic_raw[#Headers],0))=0, INDEX(regions[], MATCH($D74, regions[[setting]:[setting]],0), MATCH(AS$1, regions[#Headers],0)),INDEX(lmic_raw[],MATCH($A74,lmic_raw[[setting]:[setting]],0), MATCH(AS$1, lmic_raw[#Headers],0)))</f>
        <v>4.8375820325353806E-2</v>
      </c>
      <c r="AT74" s="33">
        <f>IF(INDEX(lmic_raw[],MATCH($A74,lmic_raw[[setting]:[setting]],0), MATCH(AT$1, lmic_raw[#Headers],0))=0, INDEX(regions[], MATCH($D74, regions[[setting]:[setting]],0), MATCH(AT$1, regions[#Headers],0)),INDEX(lmic_raw[],MATCH($A74,lmic_raw[[setting]:[setting]],0), MATCH(AT$1, lmic_raw[#Headers],0)))</f>
        <v>7.0341666492662908E-2</v>
      </c>
      <c r="AU74" s="33">
        <f>IF(INDEX(lmic_raw[],MATCH($A74,lmic_raw[[setting]:[setting]],0), MATCH(AU$1, lmic_raw[#Headers],0))=0, INDEX(regions[], MATCH($D74, regions[[setting]:[setting]],0), MATCH(AU$1, regions[#Headers],0)),INDEX(lmic_raw[],MATCH($A74,lmic_raw[[setting]:[setting]],0), MATCH(AU$1, lmic_raw[#Headers],0)))</f>
        <v>9.6056109352087651E-2</v>
      </c>
      <c r="AV74" s="33">
        <f>IF(INDEX(lmic_raw[],MATCH($A74,lmic_raw[[setting]:[setting]],0), MATCH(AV$1, lmic_raw[#Headers],0))=0, INDEX(regions[], MATCH($D74, regions[[setting]:[setting]],0), MATCH(AV$1, regions[#Headers],0)),INDEX(lmic_raw[],MATCH($A74,lmic_raw[[setting]:[setting]],0), MATCH(AV$1, lmic_raw[#Headers],0)))</f>
        <v>0.1214232580964457</v>
      </c>
      <c r="AW74" s="33">
        <f>IF(INDEX(lmic_raw[],MATCH($A74,lmic_raw[[setting]:[setting]],0), MATCH(AW$1, lmic_raw[#Headers],0))=0, INDEX(regions[], MATCH($D74, regions[[setting]:[setting]],0), MATCH(AW$1, regions[#Headers],0)),INDEX(lmic_raw[],MATCH($A74,lmic_raw[[setting]:[setting]],0), MATCH(AW$1, lmic_raw[#Headers],0)))</f>
        <v>0.14118617022765484</v>
      </c>
      <c r="AX74" s="33">
        <f>IF(INDEX(lmic_raw[],MATCH($A74,lmic_raw[[setting]:[setting]],0), MATCH(AX$1, lmic_raw[#Headers],0))=0, INDEX(regions[], MATCH($D74, regions[[setting]:[setting]],0), MATCH(AX$1, regions[#Headers],0)),INDEX(lmic_raw[],MATCH($A74,lmic_raw[[setting]:[setting]],0), MATCH(AX$1, lmic_raw[#Headers],0)))</f>
        <v>75.927000000000007</v>
      </c>
      <c r="AY74" s="33" t="str">
        <f>IF(VLOOKUP($A74,lmic_raw[],11,FALSE)=0, "Yes", "No")</f>
        <v>No</v>
      </c>
    </row>
    <row r="75" spans="1:51" x14ac:dyDescent="0.25">
      <c r="A75" s="110" t="s">
        <v>196</v>
      </c>
      <c r="B75" s="104" t="s">
        <v>464</v>
      </c>
      <c r="C75" s="105">
        <v>462</v>
      </c>
      <c r="D75" s="84" t="s">
        <v>680</v>
      </c>
      <c r="E75" s="84" t="s">
        <v>598</v>
      </c>
      <c r="F75" s="84" t="s">
        <v>666</v>
      </c>
      <c r="G75" s="84" t="s">
        <v>676</v>
      </c>
      <c r="H75" s="33">
        <f>IF(INDEX(lmic_raw[],MATCH($A75,lmic_raw[[setting]:[setting]],0), MATCH(H$1, lmic_raw[#Headers],0))=0, INDEX(regions[], MATCH($D75, regions[[setting]:[setting]],0), MATCH(H$1, regions[#Headers],0)),INDEX(lmic_raw[],MATCH($A75,lmic_raw[[setting]:[setting]],0), MATCH(H$1, lmic_raw[#Headers],0)))</f>
        <v>530957</v>
      </c>
      <c r="I75" s="33">
        <f>IF(INDEX(lmic_raw[],MATCH($A75,lmic_raw[[setting]:[setting]],0), MATCH(I$1, lmic_raw[#Headers],0))=0, INDEX(regions[], MATCH($D75, regions[[setting]:[setting]],0), MATCH(I$1, regions[#Headers],0)),INDEX(lmic_raw[],MATCH($A75,lmic_raw[[setting]:[setting]],0), MATCH(I$1, lmic_raw[#Headers],0)))</f>
        <v>7646.3117569999995</v>
      </c>
      <c r="J75" s="33">
        <f>IF(INDEX(lmic_raw[],MATCH($A75,lmic_raw[[setting]:[setting]],0), MATCH(J$1, lmic_raw[#Headers],0))=0, INDEX(regions[], MATCH($D75, regions[[setting]:[setting]],0), MATCH(J$1, regions[#Headers],0)),INDEX(lmic_raw[],MATCH($A75,lmic_raw[[setting]:[setting]],0), MATCH(J$1, lmic_raw[#Headers],0)))</f>
        <v>0.94499999999999995</v>
      </c>
      <c r="K75" s="33">
        <f>IF(INDEX(lmic_raw[],MATCH($A75,lmic_raw[[setting]:[setting]],0), MATCH(K$1, lmic_raw[#Headers],0))=0, INDEX(regions[], MATCH($D75, regions[[setting]:[setting]],0), MATCH(K$1, regions[#Headers],0)),INDEX(lmic_raw[],MATCH($A75,lmic_raw[[setting]:[setting]],0), MATCH(K$1, lmic_raw[#Headers],0)))</f>
        <v>0.99</v>
      </c>
      <c r="L75" s="33">
        <f>IF(INDEX(lmic_raw[],MATCH($A75,lmic_raw[[setting]:[setting]],0), MATCH(L$1, lmic_raw[#Headers],0))=0, INDEX(regions[], MATCH($D75, regions[[setting]:[setting]],0), MATCH(L$1, regions[#Headers],0)),INDEX(lmic_raw[],MATCH($A75,lmic_raw[[setting]:[setting]],0), MATCH(L$1, lmic_raw[#Headers],0)))</f>
        <v>0.99</v>
      </c>
      <c r="M75" s="33">
        <f>IF(INDEX(lmic_raw[],MATCH($A75,lmic_raw[[setting]:[setting]],0), MATCH(M$1, lmic_raw[#Headers],0))=0, INDEX(regions[], MATCH($D75, regions[[setting]:[setting]],0), MATCH(M$1, regions[#Headers],0)),INDEX(lmic_raw[],MATCH($A75,lmic_raw[[setting]:[setting]],0), MATCH(M$1, lmic_raw[#Headers],0)))</f>
        <v>1.43E-2</v>
      </c>
      <c r="N75" s="33">
        <f>IF(INDEX(lmic_raw[],MATCH($A75,lmic_raw[[setting]:[setting]],0), MATCH(N$1, lmic_raw[#Headers],0))=0, INDEX(regions[], MATCH($D75, regions[[setting]:[setting]],0), MATCH(N$1, regions[#Headers],0)),INDEX(lmic_raw[],MATCH($A75,lmic_raw[[setting]:[setting]],0), MATCH(N$1, lmic_raw[#Headers],0)))</f>
        <v>0.31966093082954322</v>
      </c>
      <c r="O75" s="33">
        <f>IF(INDEX(lmic_raw[],MATCH($A75,lmic_raw[[setting]:[setting]],0), MATCH(O$1, lmic_raw[#Headers],0))=0, INDEX(regions[], MATCH($D75, regions[[setting]:[setting]],0), MATCH(O$1, regions[#Headers],0)),INDEX(lmic_raw[],MATCH($A75,lmic_raw[[setting]:[setting]],0), MATCH(O$1, lmic_raw[#Headers],0)))</f>
        <v>0.8</v>
      </c>
      <c r="P75" s="33">
        <f>IF(INDEX(lmic_raw[],MATCH($A75,lmic_raw[[setting]:[setting]],0), MATCH(P$1, lmic_raw[#Headers],0))=0, INDEX(regions[], MATCH($D75, regions[[setting]:[setting]],0), MATCH(P$1, regions[#Headers],0)),INDEX(lmic_raw[],MATCH($A75,lmic_raw[[setting]:[setting]],0), MATCH(P$1, lmic_raw[#Headers],0)))</f>
        <v>0.17499999999999999</v>
      </c>
      <c r="Q75" s="33">
        <f>IF(INDEX(lmic_raw[],MATCH($A75,lmic_raw[[setting]:[setting]],0), MATCH(Q$1, lmic_raw[#Headers],0))=0, INDEX(regions[], MATCH($D75, regions[[setting]:[setting]],0), MATCH(Q$1, regions[#Headers],0)),INDEX(lmic_raw[],MATCH($A75,lmic_raw[[setting]:[setting]],0), MATCH(Q$1, lmic_raw[#Headers],0)))</f>
        <v>4.0664290368569871</v>
      </c>
      <c r="R75" s="33">
        <f>IF(INDEX(lmic_raw[],MATCH($A75,lmic_raw[[setting]:[setting]],0), MATCH(R$1, lmic_raw[#Headers],0))=0, INDEX(regions[], MATCH($D75, regions[[setting]:[setting]],0), MATCH(R$1, regions[#Headers],0)),INDEX(lmic_raw[],MATCH($A75,lmic_raw[[setting]:[setting]],0), MATCH(R$1, lmic_raw[#Headers],0)))</f>
        <v>73.084500000000006</v>
      </c>
      <c r="S75" s="33">
        <f>IF(INDEX(lmic_raw[],MATCH($A75,lmic_raw[[setting]:[setting]],0), MATCH(S$1, lmic_raw[#Headers],0))=0, INDEX(regions[], MATCH($D75, regions[[setting]:[setting]],0), MATCH(S$1, regions[#Headers],0)),INDEX(lmic_raw[],MATCH($A75,lmic_raw[[setting]:[setting]],0), MATCH(S$1, lmic_raw[#Headers],0)))</f>
        <v>120.8265</v>
      </c>
      <c r="T75" s="33">
        <f>IF(INDEX(lmic_raw[],MATCH($A75,lmic_raw[[setting]:[setting]],0), MATCH(T$1, lmic_raw[#Headers],0))=0, INDEX(regions[], MATCH($D75, regions[[setting]:[setting]],0), MATCH(T$1, regions[#Headers],0)),INDEX(lmic_raw[],MATCH($A75,lmic_raw[[setting]:[setting]],0), MATCH(T$1, lmic_raw[#Headers],0)))</f>
        <v>120.8265</v>
      </c>
      <c r="U75" s="33">
        <f>IF(INDEX(lmic_raw[],MATCH($A75,lmic_raw[[setting]:[setting]],0), MATCH(U$1, lmic_raw[#Headers],0))=0, INDEX(regions[], MATCH($D75, regions[[setting]:[setting]],0), MATCH(U$1, regions[#Headers],0)),INDEX(lmic_raw[],MATCH($A75,lmic_raw[[setting]:[setting]],0), MATCH(U$1, lmic_raw[#Headers],0)))</f>
        <v>120.8265</v>
      </c>
      <c r="V75" s="33">
        <f>IF(INDEX(lmic_raw[],MATCH($A75,lmic_raw[[setting]:[setting]],0), MATCH(V$1, lmic_raw[#Headers],0))=0, INDEX(regions[], MATCH($D75, regions[[setting]:[setting]],0), MATCH(V$1, regions[#Headers],0)),INDEX(lmic_raw[],MATCH($A75,lmic_raw[[setting]:[setting]],0), MATCH(V$1, lmic_raw[#Headers],0)))</f>
        <v>12.491684540530652</v>
      </c>
      <c r="W75" s="33">
        <f>IF(INDEX(lmic_raw[],MATCH($A75,lmic_raw[[setting]:[setting]],0), MATCH(W$1, lmic_raw[#Headers],0))=0, INDEX(regions[], MATCH($D75, regions[[setting]:[setting]],0), MATCH(W$1, regions[#Headers],0)),INDEX(lmic_raw[],MATCH($A75,lmic_raw[[setting]:[setting]],0), MATCH(W$1, lmic_raw[#Headers],0)))</f>
        <v>13.121684540530653</v>
      </c>
      <c r="X75" s="33">
        <f>IF(INDEX(lmic_raw[],MATCH($A75,lmic_raw[[setting]:[setting]],0), MATCH(X$1, lmic_raw[#Headers],0))=0, INDEX(regions[], MATCH($D75, regions[[setting]:[setting]],0), MATCH(X$1, regions[#Headers],0)),INDEX(lmic_raw[],MATCH($A75,lmic_raw[[setting]:[setting]],0), MATCH(X$1, lmic_raw[#Headers],0)))</f>
        <v>12.039806125012634</v>
      </c>
      <c r="Y75" s="33">
        <f>IF(INDEX(lmic_raw[],MATCH($A75,lmic_raw[[setting]:[setting]],0), MATCH(Y$1, lmic_raw[#Headers],0))=0, INDEX(regions[], MATCH($D75, regions[[setting]:[setting]],0), MATCH(Y$1, regions[#Headers],0)),INDEX(lmic_raw[],MATCH($A75,lmic_raw[[setting]:[setting]],0), MATCH(Y$1, lmic_raw[#Headers],0)))</f>
        <v>12.669806125012634</v>
      </c>
      <c r="Z75" s="33">
        <f>IF(INDEX(lmic_raw[],MATCH($A75,lmic_raw[[setting]:[setting]],0), MATCH(Z$1, lmic_raw[#Headers],0))=0, INDEX(regions[], MATCH($D75, regions[[setting]:[setting]],0), MATCH(Z$1, regions[#Headers],0)),INDEX(lmic_raw[],MATCH($A75,lmic_raw[[setting]:[setting]],0), MATCH(Z$1, lmic_raw[#Headers],0)))</f>
        <v>12.656002153150329</v>
      </c>
      <c r="AA75" s="33">
        <f>IF(INDEX(lmic_raw[],MATCH($A75,lmic_raw[[setting]:[setting]],0), MATCH(AA$1, lmic_raw[#Headers],0))=0, INDEX(regions[], MATCH($D75, regions[[setting]:[setting]],0), MATCH(AA$1, regions[#Headers],0)),INDEX(lmic_raw[],MATCH($A75,lmic_raw[[setting]:[setting]],0), MATCH(AA$1, lmic_raw[#Headers],0)))</f>
        <v>12.742796987056938</v>
      </c>
      <c r="AB75" s="33">
        <f>IF(INDEX(lmic_raw[],MATCH($A75,lmic_raw[[setting]:[setting]],0), MATCH(AB$1, lmic_raw[#Headers],0))=0, INDEX(regions[], MATCH($D75, regions[[setting]:[setting]],0), MATCH(AB$1, regions[#Headers],0)),INDEX(lmic_raw[],MATCH($A75,lmic_raw[[setting]:[setting]],0), MATCH(AB$1, lmic_raw[#Headers],0)))</f>
        <v>13.372796987056939</v>
      </c>
      <c r="AC75" s="33">
        <f>IF(INDEX(lmic_raw[],MATCH($A75,lmic_raw[[setting]:[setting]],0), MATCH(AC$1, lmic_raw[#Headers],0))=0, INDEX(regions[], MATCH($D75, regions[[setting]:[setting]],0), MATCH(AC$1, regions[#Headers],0)),INDEX(lmic_raw[],MATCH($A75,lmic_raw[[setting]:[setting]],0), MATCH(AC$1, lmic_raw[#Headers],0)))</f>
        <v>6.7649199999999833E-3</v>
      </c>
      <c r="AD75" s="33">
        <f>IF(INDEX(lmic_raw[],MATCH($A75,lmic_raw[[setting]:[setting]],0), MATCH(AD$1, lmic_raw[#Headers],0))=0, INDEX(regions[], MATCH($D75, regions[[setting]:[setting]],0), MATCH(AD$1, regions[#Headers],0)),INDEX(lmic_raw[],MATCH($A75,lmic_raw[[setting]:[setting]],0), MATCH(AD$1, lmic_raw[#Headers],0)))</f>
        <v>2.9123014865724918E-4</v>
      </c>
      <c r="AE75" s="33">
        <f>IF(INDEX(lmic_raw[],MATCH($A75,lmic_raw[[setting]:[setting]],0), MATCH(AE$1, lmic_raw[#Headers],0))=0, INDEX(regions[], MATCH($D75, regions[[setting]:[setting]],0), MATCH(AE$1, regions[#Headers],0)),INDEX(lmic_raw[],MATCH($A75,lmic_raw[[setting]:[setting]],0), MATCH(AE$1, lmic_raw[#Headers],0)))</f>
        <v>2.5260512771759484E-4</v>
      </c>
      <c r="AF75" s="33">
        <f>IF(INDEX(lmic_raw[],MATCH($A75,lmic_raw[[setting]:[setting]],0), MATCH(AF$1, lmic_raw[#Headers],0))=0, INDEX(regions[], MATCH($D75, regions[[setting]:[setting]],0), MATCH(AF$1, regions[#Headers],0)),INDEX(lmic_raw[],MATCH($A75,lmic_raw[[setting]:[setting]],0), MATCH(AF$1, lmic_raw[#Headers],0)))</f>
        <v>3.3917391387631318E-4</v>
      </c>
      <c r="AG75" s="33">
        <f>IF(INDEX(lmic_raw[],MATCH($A75,lmic_raw[[setting]:[setting]],0), MATCH(AG$1, lmic_raw[#Headers],0))=0, INDEX(regions[], MATCH($D75, regions[[setting]:[setting]],0), MATCH(AG$1, regions[#Headers],0)),INDEX(lmic_raw[],MATCH($A75,lmic_raw[[setting]:[setting]],0), MATCH(AG$1, lmic_raw[#Headers],0)))</f>
        <v>3.4635377062271487E-4</v>
      </c>
      <c r="AH75" s="33">
        <f>IF(INDEX(lmic_raw[],MATCH($A75,lmic_raw[[setting]:[setting]],0), MATCH(AH$1, lmic_raw[#Headers],0))=0, INDEX(regions[], MATCH($D75, regions[[setting]:[setting]],0), MATCH(AH$1, regions[#Headers],0)),INDEX(lmic_raw[],MATCH($A75,lmic_raw[[setting]:[setting]],0), MATCH(AH$1, lmic_raw[#Headers],0)))</f>
        <v>5.0681376719770885E-4</v>
      </c>
      <c r="AI75" s="33">
        <f>IF(INDEX(lmic_raw[],MATCH($A75,lmic_raw[[setting]:[setting]],0), MATCH(AI$1, lmic_raw[#Headers],0))=0, INDEX(regions[], MATCH($D75, regions[[setting]:[setting]],0), MATCH(AI$1, regions[#Headers],0)),INDEX(lmic_raw[],MATCH($A75,lmic_raw[[setting]:[setting]],0), MATCH(AI$1, lmic_raw[#Headers],0)))</f>
        <v>4.7059813985474115E-4</v>
      </c>
      <c r="AJ75" s="33">
        <f>IF(INDEX(lmic_raw[],MATCH($A75,lmic_raw[[setting]:[setting]],0), MATCH(AJ$1, lmic_raw[#Headers],0))=0, INDEX(regions[], MATCH($D75, regions[[setting]:[setting]],0), MATCH(AJ$1, regions[#Headers],0)),INDEX(lmic_raw[],MATCH($A75,lmic_raw[[setting]:[setting]],0), MATCH(AJ$1, lmic_raw[#Headers],0)))</f>
        <v>5.2614053691732215E-4</v>
      </c>
      <c r="AK75" s="33">
        <f>IF(INDEX(lmic_raw[],MATCH($A75,lmic_raw[[setting]:[setting]],0), MATCH(AK$1, lmic_raw[#Headers],0))=0, INDEX(regions[], MATCH($D75, regions[[setting]:[setting]],0), MATCH(AK$1, regions[#Headers],0)),INDEX(lmic_raw[],MATCH($A75,lmic_raw[[setting]:[setting]],0), MATCH(AK$1, lmic_raw[#Headers],0)))</f>
        <v>5.8598587836906652E-4</v>
      </c>
      <c r="AL75" s="33">
        <f>IF(INDEX(lmic_raw[],MATCH($A75,lmic_raw[[setting]:[setting]],0), MATCH(AL$1, lmic_raw[#Headers],0))=0, INDEX(regions[], MATCH($D75, regions[[setting]:[setting]],0), MATCH(AL$1, regions[#Headers],0)),INDEX(lmic_raw[],MATCH($A75,lmic_raw[[setting]:[setting]],0), MATCH(AL$1, lmic_raw[#Headers],0)))</f>
        <v>9.3398019856857613E-4</v>
      </c>
      <c r="AM75" s="33">
        <f>IF(INDEX(lmic_raw[],MATCH($A75,lmic_raw[[setting]:[setting]],0), MATCH(AM$1, lmic_raw[#Headers],0))=0, INDEX(regions[], MATCH($D75, regions[[setting]:[setting]],0), MATCH(AM$1, regions[#Headers],0)),INDEX(lmic_raw[],MATCH($A75,lmic_raw[[setting]:[setting]],0), MATCH(AM$1, lmic_raw[#Headers],0)))</f>
        <v>1.6451496022383042E-3</v>
      </c>
      <c r="AN75" s="33">
        <f>IF(INDEX(lmic_raw[],MATCH($A75,lmic_raw[[setting]:[setting]],0), MATCH(AN$1, lmic_raw[#Headers],0))=0, INDEX(regions[], MATCH($D75, regions[[setting]:[setting]],0), MATCH(AN$1, regions[#Headers],0)),INDEX(lmic_raw[],MATCH($A75,lmic_raw[[setting]:[setting]],0), MATCH(AN$1, lmic_raw[#Headers],0)))</f>
        <v>2.391987245178574E-3</v>
      </c>
      <c r="AO75" s="33">
        <f>IF(INDEX(lmic_raw[],MATCH($A75,lmic_raw[[setting]:[setting]],0), MATCH(AO$1, lmic_raw[#Headers],0))=0, INDEX(regions[], MATCH($D75, regions[[setting]:[setting]],0), MATCH(AO$1, regions[#Headers],0)),INDEX(lmic_raw[],MATCH($A75,lmic_raw[[setting]:[setting]],0), MATCH(AO$1, lmic_raw[#Headers],0)))</f>
        <v>4.6062935003459019E-3</v>
      </c>
      <c r="AP75" s="33">
        <f>IF(INDEX(lmic_raw[],MATCH($A75,lmic_raw[[setting]:[setting]],0), MATCH(AP$1, lmic_raw[#Headers],0))=0, INDEX(regions[], MATCH($D75, regions[[setting]:[setting]],0), MATCH(AP$1, regions[#Headers],0)),INDEX(lmic_raw[],MATCH($A75,lmic_raw[[setting]:[setting]],0), MATCH(AP$1, lmic_raw[#Headers],0)))</f>
        <v>8.6002253429168663E-3</v>
      </c>
      <c r="AQ75" s="33">
        <f>IF(INDEX(lmic_raw[],MATCH($A75,lmic_raw[[setting]:[setting]],0), MATCH(AQ$1, lmic_raw[#Headers],0))=0, INDEX(regions[], MATCH($D75, regions[[setting]:[setting]],0), MATCH(AQ$1, regions[#Headers],0)),INDEX(lmic_raw[],MATCH($A75,lmic_raw[[setting]:[setting]],0), MATCH(AQ$1, lmic_raw[#Headers],0)))</f>
        <v>1.6108011387115002E-2</v>
      </c>
      <c r="AR75" s="33">
        <f>IF(INDEX(lmic_raw[],MATCH($A75,lmic_raw[[setting]:[setting]],0), MATCH(AR$1, lmic_raw[#Headers],0))=0, INDEX(regions[], MATCH($D75, regions[[setting]:[setting]],0), MATCH(AR$1, regions[#Headers],0)),INDEX(lmic_raw[],MATCH($A75,lmic_raw[[setting]:[setting]],0), MATCH(AR$1, lmic_raw[#Headers],0)))</f>
        <v>2.9711186944390157E-2</v>
      </c>
      <c r="AS75" s="33">
        <f>IF(INDEX(lmic_raw[],MATCH($A75,lmic_raw[[setting]:[setting]],0), MATCH(AS$1, lmic_raw[#Headers],0))=0, INDEX(regions[], MATCH($D75, regions[[setting]:[setting]],0), MATCH(AS$1, regions[#Headers],0)),INDEX(lmic_raw[],MATCH($A75,lmic_raw[[setting]:[setting]],0), MATCH(AS$1, lmic_raw[#Headers],0)))</f>
        <v>5.3190452689782043E-2</v>
      </c>
      <c r="AT75" s="33">
        <f>IF(INDEX(lmic_raw[],MATCH($A75,lmic_raw[[setting]:[setting]],0), MATCH(AT$1, lmic_raw[#Headers],0))=0, INDEX(regions[], MATCH($D75, regions[[setting]:[setting]],0), MATCH(AT$1, regions[#Headers],0)),INDEX(lmic_raw[],MATCH($A75,lmic_raw[[setting]:[setting]],0), MATCH(AT$1, lmic_raw[#Headers],0)))</f>
        <v>7.2476092400483749E-2</v>
      </c>
      <c r="AU75" s="33">
        <f>IF(INDEX(lmic_raw[],MATCH($A75,lmic_raw[[setting]:[setting]],0), MATCH(AU$1, lmic_raw[#Headers],0))=0, INDEX(regions[], MATCH($D75, regions[[setting]:[setting]],0), MATCH(AU$1, regions[#Headers],0)),INDEX(lmic_raw[],MATCH($A75,lmic_raw[[setting]:[setting]],0), MATCH(AU$1, lmic_raw[#Headers],0)))</f>
        <v>9.8242350837951881E-2</v>
      </c>
      <c r="AV75" s="33">
        <f>IF(INDEX(lmic_raw[],MATCH($A75,lmic_raw[[setting]:[setting]],0), MATCH(AV$1, lmic_raw[#Headers],0))=0, INDEX(regions[], MATCH($D75, regions[[setting]:[setting]],0), MATCH(AV$1, regions[#Headers],0)),INDEX(lmic_raw[],MATCH($A75,lmic_raw[[setting]:[setting]],0), MATCH(AV$1, lmic_raw[#Headers],0)))</f>
        <v>0.12436013823733552</v>
      </c>
      <c r="AW75" s="33">
        <f>IF(INDEX(lmic_raw[],MATCH($A75,lmic_raw[[setting]:[setting]],0), MATCH(AW$1, lmic_raw[#Headers],0))=0, INDEX(regions[], MATCH($D75, regions[[setting]:[setting]],0), MATCH(AW$1, regions[#Headers],0)),INDEX(lmic_raw[],MATCH($A75,lmic_raw[[setting]:[setting]],0), MATCH(AW$1, lmic_raw[#Headers],0)))</f>
        <v>0.14743768263290524</v>
      </c>
      <c r="AX75" s="33">
        <f>IF(INDEX(lmic_raw[],MATCH($A75,lmic_raw[[setting]:[setting]],0), MATCH(AX$1, lmic_raw[#Headers],0))=0, INDEX(regions[], MATCH($D75, regions[[setting]:[setting]],0), MATCH(AX$1, regions[#Headers],0)),INDEX(lmic_raw[],MATCH($A75,lmic_raw[[setting]:[setting]],0), MATCH(AX$1, lmic_raw[#Headers],0)))</f>
        <v>78.465999999999994</v>
      </c>
      <c r="AY75" s="33" t="str">
        <f>IF(VLOOKUP($A75,lmic_raw[],11,FALSE)=0, "Yes", "No")</f>
        <v>No</v>
      </c>
    </row>
    <row r="76" spans="1:51" x14ac:dyDescent="0.25">
      <c r="A76" s="109" t="s">
        <v>147</v>
      </c>
      <c r="B76" s="101" t="s">
        <v>465</v>
      </c>
      <c r="C76" s="102">
        <v>466</v>
      </c>
      <c r="D76" s="82" t="s">
        <v>677</v>
      </c>
      <c r="E76" s="82" t="s">
        <v>591</v>
      </c>
      <c r="F76" s="82" t="s">
        <v>667</v>
      </c>
      <c r="G76" s="82" t="s">
        <v>674</v>
      </c>
      <c r="H76" s="33">
        <f>IF(INDEX(lmic_raw[],MATCH($A76,lmic_raw[[setting]:[setting]],0), MATCH(H$1, lmic_raw[#Headers],0))=0, INDEX(regions[], MATCH($D76, regions[[setting]:[setting]],0), MATCH(H$1, regions[#Headers],0)),INDEX(lmic_raw[],MATCH($A76,lmic_raw[[setting]:[setting]],0), MATCH(H$1, lmic_raw[#Headers],0)))</f>
        <v>19658023</v>
      </c>
      <c r="I76" s="33">
        <f>IF(INDEX(lmic_raw[],MATCH($A76,lmic_raw[[setting]:[setting]],0), MATCH(I$1, lmic_raw[#Headers],0))=0, INDEX(regions[], MATCH($D76, regions[[setting]:[setting]],0), MATCH(I$1, regions[#Headers],0)),INDEX(lmic_raw[],MATCH($A76,lmic_raw[[setting]:[setting]],0), MATCH(I$1, lmic_raw[#Headers],0)))</f>
        <v>821469.46512399998</v>
      </c>
      <c r="J76" s="33">
        <f>IF(INDEX(lmic_raw[],MATCH($A76,lmic_raw[[setting]:[setting]],0), MATCH(J$1, lmic_raw[#Headers],0))=0, INDEX(regions[], MATCH($D76, regions[[setting]:[setting]],0), MATCH(J$1, regions[#Headers],0)),INDEX(lmic_raw[],MATCH($A76,lmic_raw[[setting]:[setting]],0), MATCH(J$1, lmic_raw[#Headers],0)))</f>
        <v>0.66799999999999993</v>
      </c>
      <c r="K76" s="33">
        <f>IF(INDEX(lmic_raw[],MATCH($A76,lmic_raw[[setting]:[setting]],0), MATCH(K$1, lmic_raw[#Headers],0))=0, INDEX(regions[], MATCH($D76, regions[[setting]:[setting]],0), MATCH(K$1, regions[#Headers],0)),INDEX(lmic_raw[],MATCH($A76,lmic_raw[[setting]:[setting]],0), MATCH(K$1, lmic_raw[#Headers],0)))</f>
        <v>0.69252604416320784</v>
      </c>
      <c r="L76" s="33">
        <f>IF(INDEX(lmic_raw[],MATCH($A76,lmic_raw[[setting]:[setting]],0), MATCH(L$1, lmic_raw[#Headers],0))=0, INDEX(regions[], MATCH($D76, regions[[setting]:[setting]],0), MATCH(L$1, regions[#Headers],0)),INDEX(lmic_raw[],MATCH($A76,lmic_raw[[setting]:[setting]],0), MATCH(L$1, lmic_raw[#Headers],0)))</f>
        <v>0.77</v>
      </c>
      <c r="M76" s="33">
        <f>IF(INDEX(lmic_raw[],MATCH($A76,lmic_raw[[setting]:[setting]],0), MATCH(M$1, lmic_raw[#Headers],0))=0, INDEX(regions[], MATCH($D76, regions[[setting]:[setting]],0), MATCH(M$1, regions[#Headers],0)),INDEX(lmic_raw[],MATCH($A76,lmic_raw[[setting]:[setting]],0), MATCH(M$1, lmic_raw[#Headers],0)))</f>
        <v>8.539999999999999E-2</v>
      </c>
      <c r="N76" s="33">
        <f>IF(INDEX(lmic_raw[],MATCH($A76,lmic_raw[[setting]:[setting]],0), MATCH(N$1, lmic_raw[#Headers],0))=0, INDEX(regions[], MATCH($D76, regions[[setting]:[setting]],0), MATCH(N$1, regions[#Headers],0)),INDEX(lmic_raw[],MATCH($A76,lmic_raw[[setting]:[setting]],0), MATCH(N$1, lmic_raw[#Headers],0)))</f>
        <v>0.3018127770078266</v>
      </c>
      <c r="O76" s="33">
        <f>IF(INDEX(lmic_raw[],MATCH($A76,lmic_raw[[setting]:[setting]],0), MATCH(O$1, lmic_raw[#Headers],0))=0, INDEX(regions[], MATCH($D76, regions[[setting]:[setting]],0), MATCH(O$1, regions[#Headers],0)),INDEX(lmic_raw[],MATCH($A76,lmic_raw[[setting]:[setting]],0), MATCH(O$1, lmic_raw[#Headers],0)))</f>
        <v>0.38300000000000001</v>
      </c>
      <c r="P76" s="33">
        <f>IF(INDEX(lmic_raw[],MATCH($A76,lmic_raw[[setting]:[setting]],0), MATCH(P$1, lmic_raw[#Headers],0))=0, INDEX(regions[], MATCH($D76, regions[[setting]:[setting]],0), MATCH(P$1, regions[#Headers],0)),INDEX(lmic_raw[],MATCH($A76,lmic_raw[[setting]:[setting]],0), MATCH(P$1, lmic_raw[#Headers],0)))</f>
        <v>4.8000000000000001E-2</v>
      </c>
      <c r="Q76" s="33">
        <f>IF(INDEX(lmic_raw[],MATCH($A76,lmic_raw[[setting]:[setting]],0), MATCH(Q$1, lmic_raw[#Headers],0))=0, INDEX(regions[], MATCH($D76, regions[[setting]:[setting]],0), MATCH(Q$1, regions[#Headers],0)),INDEX(lmic_raw[],MATCH($A76,lmic_raw[[setting]:[setting]],0), MATCH(Q$1, lmic_raw[#Headers],0)))</f>
        <v>2.9075142828828962</v>
      </c>
      <c r="R76" s="33">
        <f>IF(INDEX(lmic_raw[],MATCH($A76,lmic_raw[[setting]:[setting]],0), MATCH(R$1, lmic_raw[#Headers],0))=0, INDEX(regions[], MATCH($D76, regions[[setting]:[setting]],0), MATCH(R$1, regions[#Headers],0)),INDEX(lmic_raw[],MATCH($A76,lmic_raw[[setting]:[setting]],0), MATCH(R$1, lmic_raw[#Headers],0)))</f>
        <v>29.920500000000001</v>
      </c>
      <c r="S76" s="33">
        <f>IF(INDEX(lmic_raw[],MATCH($A76,lmic_raw[[setting]:[setting]],0), MATCH(S$1, lmic_raw[#Headers],0))=0, INDEX(regions[], MATCH($D76, regions[[setting]:[setting]],0), MATCH(S$1, regions[#Headers],0)),INDEX(lmic_raw[],MATCH($A76,lmic_raw[[setting]:[setting]],0), MATCH(S$1, lmic_raw[#Headers],0)))</f>
        <v>77.662500000000009</v>
      </c>
      <c r="T76" s="33">
        <f>IF(INDEX(lmic_raw[],MATCH($A76,lmic_raw[[setting]:[setting]],0), MATCH(T$1, lmic_raw[#Headers],0))=0, INDEX(regions[], MATCH($D76, regions[[setting]:[setting]],0), MATCH(T$1, regions[#Headers],0)),INDEX(lmic_raw[],MATCH($A76,lmic_raw[[setting]:[setting]],0), MATCH(T$1, lmic_raw[#Headers],0)))</f>
        <v>77.662500000000009</v>
      </c>
      <c r="U76" s="33">
        <f>IF(INDEX(lmic_raw[],MATCH($A76,lmic_raw[[setting]:[setting]],0), MATCH(U$1, lmic_raw[#Headers],0))=0, INDEX(regions[], MATCH($D76, regions[[setting]:[setting]],0), MATCH(U$1, regions[#Headers],0)),INDEX(lmic_raw[],MATCH($A76,lmic_raw[[setting]:[setting]],0), MATCH(U$1, lmic_raw[#Headers],0)))</f>
        <v>77.662500000000009</v>
      </c>
      <c r="V76" s="33">
        <f>IF(INDEX(lmic_raw[],MATCH($A76,lmic_raw[[setting]:[setting]],0), MATCH(V$1, lmic_raw[#Headers],0))=0, INDEX(regions[], MATCH($D76, regions[[setting]:[setting]],0), MATCH(V$1, regions[#Headers],0)),INDEX(lmic_raw[],MATCH($A76,lmic_raw[[setting]:[setting]],0), MATCH(V$1, lmic_raw[#Headers],0)))</f>
        <v>1.5967015068630179</v>
      </c>
      <c r="W76" s="33">
        <f>IF(INDEX(lmic_raw[],MATCH($A76,lmic_raw[[setting]:[setting]],0), MATCH(W$1, lmic_raw[#Headers],0))=0, INDEX(regions[], MATCH($D76, regions[[setting]:[setting]],0), MATCH(W$1, regions[#Headers],0)),INDEX(lmic_raw[],MATCH($A76,lmic_raw[[setting]:[setting]],0), MATCH(W$1, lmic_raw[#Headers],0)))</f>
        <v>6.4267015068630178</v>
      </c>
      <c r="X76" s="33">
        <f>IF(INDEX(lmic_raw[],MATCH($A76,lmic_raw[[setting]:[setting]],0), MATCH(X$1, lmic_raw[#Headers],0))=0, INDEX(regions[], MATCH($D76, regions[[setting]:[setting]],0), MATCH(X$1, regions[#Headers],0)),INDEX(lmic_raw[],MATCH($A76,lmic_raw[[setting]:[setting]],0), MATCH(X$1, lmic_raw[#Headers],0)))</f>
        <v>1.1708795166253489</v>
      </c>
      <c r="Y76" s="33">
        <f>IF(INDEX(lmic_raw[],MATCH($A76,lmic_raw[[setting]:[setting]],0), MATCH(Y$1, lmic_raw[#Headers],0))=0, INDEX(regions[], MATCH($D76, regions[[setting]:[setting]],0), MATCH(Y$1, regions[#Headers],0)),INDEX(lmic_raw[],MATCH($A76,lmic_raw[[setting]:[setting]],0), MATCH(Y$1, lmic_raw[#Headers],0)))</f>
        <v>6.000879516625349</v>
      </c>
      <c r="Z76" s="33">
        <f>IF(INDEX(lmic_raw[],MATCH($A76,lmic_raw[[setting]:[setting]],0), MATCH(Z$1, lmic_raw[#Headers],0))=0, INDEX(regions[], MATCH($D76, regions[[setting]:[setting]],0), MATCH(Z$1, regions[#Headers],0)),INDEX(lmic_raw[],MATCH($A76,lmic_raw[[setting]:[setting]],0), MATCH(Z$1, lmic_raw[#Headers],0)))</f>
        <v>5.997714460687309</v>
      </c>
      <c r="AA76" s="33">
        <f>IF(INDEX(lmic_raw[],MATCH($A76,lmic_raw[[setting]:[setting]],0), MATCH(AA$1, lmic_raw[#Headers],0))=0, INDEX(regions[], MATCH($D76, regions[[setting]:[setting]],0), MATCH(AA$1, regions[#Headers],0)),INDEX(lmic_raw[],MATCH($A76,lmic_raw[[setting]:[setting]],0), MATCH(AA$1, lmic_raw[#Headers],0)))</f>
        <v>1.8384215210208061</v>
      </c>
      <c r="AB76" s="33">
        <f>IF(INDEX(lmic_raw[],MATCH($A76,lmic_raw[[setting]:[setting]],0), MATCH(AB$1, lmic_raw[#Headers],0))=0, INDEX(regions[], MATCH($D76, regions[[setting]:[setting]],0), MATCH(AB$1, regions[#Headers],0)),INDEX(lmic_raw[],MATCH($A76,lmic_raw[[setting]:[setting]],0), MATCH(AB$1, lmic_raw[#Headers],0)))</f>
        <v>6.6684215210208064</v>
      </c>
      <c r="AC76" s="33">
        <f>IF(INDEX(lmic_raw[],MATCH($A76,lmic_raw[[setting]:[setting]],0), MATCH(AC$1, lmic_raw[#Headers],0))=0, INDEX(regions[], MATCH($D76, regions[[setting]:[setting]],0), MATCH(AC$1, regions[#Headers],0)),INDEX(lmic_raw[],MATCH($A76,lmic_raw[[setting]:[setting]],0), MATCH(AC$1, lmic_raw[#Headers],0)))</f>
        <v>6.5820209999999935E-2</v>
      </c>
      <c r="AD76" s="33">
        <f>IF(INDEX(lmic_raw[],MATCH($A76,lmic_raw[[setting]:[setting]],0), MATCH(AD$1, lmic_raw[#Headers],0))=0, INDEX(regions[], MATCH($D76, regions[[setting]:[setting]],0), MATCH(AD$1, regions[#Headers],0)),INDEX(lmic_raw[],MATCH($A76,lmic_raw[[setting]:[setting]],0), MATCH(AD$1, lmic_raw[#Headers],0)))</f>
        <v>1.0607112363242202E-2</v>
      </c>
      <c r="AE76" s="33">
        <f>IF(INDEX(lmic_raw[],MATCH($A76,lmic_raw[[setting]:[setting]],0), MATCH(AE$1, lmic_raw[#Headers],0))=0, INDEX(regions[], MATCH($D76, regions[[setting]:[setting]],0), MATCH(AE$1, regions[#Headers],0)),INDEX(lmic_raw[],MATCH($A76,lmic_raw[[setting]:[setting]],0), MATCH(AE$1, lmic_raw[#Headers],0)))</f>
        <v>3.4703022262773438E-3</v>
      </c>
      <c r="AF76" s="33">
        <f>IF(INDEX(lmic_raw[],MATCH($A76,lmic_raw[[setting]:[setting]],0), MATCH(AF$1, lmic_raw[#Headers],0))=0, INDEX(regions[], MATCH($D76, regions[[setting]:[setting]],0), MATCH(AF$1, regions[#Headers],0)),INDEX(lmic_raw[],MATCH($A76,lmic_raw[[setting]:[setting]],0), MATCH(AF$1, lmic_raw[#Headers],0)))</f>
        <v>1.9653858610867866E-3</v>
      </c>
      <c r="AG76" s="33">
        <f>IF(INDEX(lmic_raw[],MATCH($A76,lmic_raw[[setting]:[setting]],0), MATCH(AG$1, lmic_raw[#Headers],0))=0, INDEX(regions[], MATCH($D76, regions[[setting]:[setting]],0), MATCH(AG$1, regions[#Headers],0)),INDEX(lmic_raw[],MATCH($A76,lmic_raw[[setting]:[setting]],0), MATCH(AG$1, lmic_raw[#Headers],0)))</f>
        <v>2.9691163629910031E-3</v>
      </c>
      <c r="AH76" s="33">
        <f>IF(INDEX(lmic_raw[],MATCH($A76,lmic_raw[[setting]:[setting]],0), MATCH(AH$1, lmic_raw[#Headers],0))=0, INDEX(regions[], MATCH($D76, regions[[setting]:[setting]],0), MATCH(AH$1, regions[#Headers],0)),INDEX(lmic_raw[],MATCH($A76,lmic_raw[[setting]:[setting]],0), MATCH(AH$1, lmic_raw[#Headers],0)))</f>
        <v>3.8241260248184535E-3</v>
      </c>
      <c r="AI76" s="33">
        <f>IF(INDEX(lmic_raw[],MATCH($A76,lmic_raw[[setting]:[setting]],0), MATCH(AI$1, lmic_raw[#Headers],0))=0, INDEX(regions[], MATCH($D76, regions[[setting]:[setting]],0), MATCH(AI$1, regions[#Headers],0)),INDEX(lmic_raw[],MATCH($A76,lmic_raw[[setting]:[setting]],0), MATCH(AI$1, lmic_raw[#Headers],0)))</f>
        <v>4.2938973206458871E-3</v>
      </c>
      <c r="AJ76" s="33">
        <f>IF(INDEX(lmic_raw[],MATCH($A76,lmic_raw[[setting]:[setting]],0), MATCH(AJ$1, lmic_raw[#Headers],0))=0, INDEX(regions[], MATCH($D76, regions[[setting]:[setting]],0), MATCH(AJ$1, regions[#Headers],0)),INDEX(lmic_raw[],MATCH($A76,lmic_raw[[setting]:[setting]],0), MATCH(AJ$1, lmic_raw[#Headers],0)))</f>
        <v>4.5580472847770673E-3</v>
      </c>
      <c r="AK76" s="33">
        <f>IF(INDEX(lmic_raw[],MATCH($A76,lmic_raw[[setting]:[setting]],0), MATCH(AK$1, lmic_raw[#Headers],0))=0, INDEX(regions[], MATCH($D76, regions[[setting]:[setting]],0), MATCH(AK$1, regions[#Headers],0)),INDEX(lmic_raw[],MATCH($A76,lmic_raw[[setting]:[setting]],0), MATCH(AK$1, lmic_raw[#Headers],0)))</f>
        <v>5.1152115887606936E-3</v>
      </c>
      <c r="AL76" s="33">
        <f>IF(INDEX(lmic_raw[],MATCH($A76,lmic_raw[[setting]:[setting]],0), MATCH(AL$1, lmic_raw[#Headers],0))=0, INDEX(regions[], MATCH($D76, regions[[setting]:[setting]],0), MATCH(AL$1, regions[#Headers],0)),INDEX(lmic_raw[],MATCH($A76,lmic_raw[[setting]:[setting]],0), MATCH(AL$1, lmic_raw[#Headers],0)))</f>
        <v>6.0793858913226109E-3</v>
      </c>
      <c r="AM76" s="33">
        <f>IF(INDEX(lmic_raw[],MATCH($A76,lmic_raw[[setting]:[setting]],0), MATCH(AM$1, lmic_raw[#Headers],0))=0, INDEX(regions[], MATCH($D76, regions[[setting]:[setting]],0), MATCH(AM$1, regions[#Headers],0)),INDEX(lmic_raw[],MATCH($A76,lmic_raw[[setting]:[setting]],0), MATCH(AM$1, lmic_raw[#Headers],0)))</f>
        <v>7.1063830627251783E-3</v>
      </c>
      <c r="AN76" s="33">
        <f>IF(INDEX(lmic_raw[],MATCH($A76,lmic_raw[[setting]:[setting]],0), MATCH(AN$1, lmic_raw[#Headers],0))=0, INDEX(regions[], MATCH($D76, regions[[setting]:[setting]],0), MATCH(AN$1, regions[#Headers],0)),INDEX(lmic_raw[],MATCH($A76,lmic_raw[[setting]:[setting]],0), MATCH(AN$1, lmic_raw[#Headers],0)))</f>
        <v>1.0012216060043849E-2</v>
      </c>
      <c r="AO76" s="33">
        <f>IF(INDEX(lmic_raw[],MATCH($A76,lmic_raw[[setting]:[setting]],0), MATCH(AO$1, lmic_raw[#Headers],0))=0, INDEX(regions[], MATCH($D76, regions[[setting]:[setting]],0), MATCH(AO$1, regions[#Headers],0)),INDEX(lmic_raw[],MATCH($A76,lmic_raw[[setting]:[setting]],0), MATCH(AO$1, lmic_raw[#Headers],0)))</f>
        <v>1.4303370555237076E-2</v>
      </c>
      <c r="AP76" s="33">
        <f>IF(INDEX(lmic_raw[],MATCH($A76,lmic_raw[[setting]:[setting]],0), MATCH(AP$1, lmic_raw[#Headers],0))=0, INDEX(regions[], MATCH($D76, regions[[setting]:[setting]],0), MATCH(AP$1, regions[#Headers],0)),INDEX(lmic_raw[],MATCH($A76,lmic_raw[[setting]:[setting]],0), MATCH(AP$1, lmic_raw[#Headers],0)))</f>
        <v>2.2385161086559677E-2</v>
      </c>
      <c r="AQ76" s="33">
        <f>IF(INDEX(lmic_raw[],MATCH($A76,lmic_raw[[setting]:[setting]],0), MATCH(AQ$1, lmic_raw[#Headers],0))=0, INDEX(regions[], MATCH($D76, regions[[setting]:[setting]],0), MATCH(AQ$1, regions[#Headers],0)),INDEX(lmic_raw[],MATCH($A76,lmic_raw[[setting]:[setting]],0), MATCH(AQ$1, lmic_raw[#Headers],0)))</f>
        <v>3.4614265354564314E-2</v>
      </c>
      <c r="AR76" s="33">
        <f>IF(INDEX(lmic_raw[],MATCH($A76,lmic_raw[[setting]:[setting]],0), MATCH(AR$1, lmic_raw[#Headers],0))=0, INDEX(regions[], MATCH($D76, regions[[setting]:[setting]],0), MATCH(AR$1, regions[#Headers],0)),INDEX(lmic_raw[],MATCH($A76,lmic_raw[[setting]:[setting]],0), MATCH(AR$1, lmic_raw[#Headers],0)))</f>
        <v>5.5505357625352705E-2</v>
      </c>
      <c r="AS76" s="33">
        <f>IF(INDEX(lmic_raw[],MATCH($A76,lmic_raw[[setting]:[setting]],0), MATCH(AS$1, lmic_raw[#Headers],0))=0, INDEX(regions[], MATCH($D76, regions[[setting]:[setting]],0), MATCH(AS$1, regions[#Headers],0)),INDEX(lmic_raw[],MATCH($A76,lmic_raw[[setting]:[setting]],0), MATCH(AS$1, lmic_raw[#Headers],0)))</f>
        <v>8.530363770997372E-2</v>
      </c>
      <c r="AT76" s="33">
        <f>IF(INDEX(lmic_raw[],MATCH($A76,lmic_raw[[setting]:[setting]],0), MATCH(AT$1, lmic_raw[#Headers],0))=0, INDEX(regions[], MATCH($D76, regions[[setting]:[setting]],0), MATCH(AT$1, regions[#Headers],0)),INDEX(lmic_raw[],MATCH($A76,lmic_raw[[setting]:[setting]],0), MATCH(AT$1, lmic_raw[#Headers],0)))</f>
        <v>0.12167185659091227</v>
      </c>
      <c r="AU76" s="33">
        <f>IF(INDEX(lmic_raw[],MATCH($A76,lmic_raw[[setting]:[setting]],0), MATCH(AU$1, lmic_raw[#Headers],0))=0, INDEX(regions[], MATCH($D76, regions[[setting]:[setting]],0), MATCH(AU$1, regions[#Headers],0)),INDEX(lmic_raw[],MATCH($A76,lmic_raw[[setting]:[setting]],0), MATCH(AU$1, lmic_raw[#Headers],0)))</f>
        <v>0.15478682778459321</v>
      </c>
      <c r="AV76" s="33">
        <f>IF(INDEX(lmic_raw[],MATCH($A76,lmic_raw[[setting]:[setting]],0), MATCH(AV$1, lmic_raw[#Headers],0))=0, INDEX(regions[], MATCH($D76, regions[[setting]:[setting]],0), MATCH(AV$1, regions[#Headers],0)),INDEX(lmic_raw[],MATCH($A76,lmic_raw[[setting]:[setting]],0), MATCH(AV$1, lmic_raw[#Headers],0)))</f>
        <v>0.17749594498829036</v>
      </c>
      <c r="AW76" s="33">
        <f>IF(INDEX(lmic_raw[],MATCH($A76,lmic_raw[[setting]:[setting]],0), MATCH(AW$1, lmic_raw[#Headers],0))=0, INDEX(regions[], MATCH($D76, regions[[setting]:[setting]],0), MATCH(AW$1, regions[#Headers],0)),INDEX(lmic_raw[],MATCH($A76,lmic_raw[[setting]:[setting]],0), MATCH(AW$1, lmic_raw[#Headers],0)))</f>
        <v>0.1879903301036718</v>
      </c>
      <c r="AX76" s="33">
        <f>IF(INDEX(lmic_raw[],MATCH($A76,lmic_raw[[setting]:[setting]],0), MATCH(AX$1, lmic_raw[#Headers],0))=0, INDEX(regions[], MATCH($D76, regions[[setting]:[setting]],0), MATCH(AX$1, regions[#Headers],0)),INDEX(lmic_raw[],MATCH($A76,lmic_raw[[setting]:[setting]],0), MATCH(AX$1, lmic_raw[#Headers],0)))</f>
        <v>58.71</v>
      </c>
      <c r="AY76" s="33" t="str">
        <f>IF(VLOOKUP($A76,lmic_raw[],11,FALSE)=0, "Yes", "No")</f>
        <v>Yes</v>
      </c>
    </row>
    <row r="77" spans="1:51" x14ac:dyDescent="0.25">
      <c r="A77" s="110" t="s">
        <v>682</v>
      </c>
      <c r="B77" s="104" t="s">
        <v>467</v>
      </c>
      <c r="C77" s="105">
        <v>584</v>
      </c>
      <c r="D77" s="84" t="s">
        <v>681</v>
      </c>
      <c r="E77" s="84" t="s">
        <v>98</v>
      </c>
      <c r="F77" s="84" t="s">
        <v>666</v>
      </c>
      <c r="G77" s="84" t="s">
        <v>676</v>
      </c>
      <c r="H77" s="33">
        <f>IF(INDEX(lmic_raw[],MATCH($A77,lmic_raw[[setting]:[setting]],0), MATCH(H$1, lmic_raw[#Headers],0))=0, INDEX(regions[], MATCH($D77, regions[[setting]:[setting]],0), MATCH(H$1, regions[#Headers],0)),INDEX(lmic_raw[],MATCH($A77,lmic_raw[[setting]:[setting]],0), MATCH(H$1, lmic_raw[#Headers],0)))</f>
        <v>58791</v>
      </c>
      <c r="I77" s="33">
        <f>IF(INDEX(lmic_raw[],MATCH($A77,lmic_raw[[setting]:[setting]],0), MATCH(I$1, lmic_raw[#Headers],0))=0, INDEX(regions[], MATCH($D77, regions[[setting]:[setting]],0), MATCH(I$1, regions[#Headers],0)),INDEX(lmic_raw[],MATCH($A77,lmic_raw[[setting]:[setting]],0), MATCH(I$1, lmic_raw[#Headers],0)))</f>
        <v>1706.70273</v>
      </c>
      <c r="J77" s="33">
        <f>IF(INDEX(lmic_raw[],MATCH($A77,lmic_raw[[setting]:[setting]],0), MATCH(J$1, lmic_raw[#Headers],0))=0, INDEX(regions[], MATCH($D77, regions[[setting]:[setting]],0), MATCH(J$1, regions[#Headers],0)),INDEX(lmic_raw[],MATCH($A77,lmic_raw[[setting]:[setting]],0), MATCH(J$1, lmic_raw[#Headers],0)))</f>
        <v>0.85099999999999998</v>
      </c>
      <c r="K77" s="33">
        <f>IF(INDEX(lmic_raw[],MATCH($A77,lmic_raw[[setting]:[setting]],0), MATCH(K$1, lmic_raw[#Headers],0))=0, INDEX(regions[], MATCH($D77, regions[[setting]:[setting]],0), MATCH(K$1, regions[#Headers],0)),INDEX(lmic_raw[],MATCH($A77,lmic_raw[[setting]:[setting]],0), MATCH(K$1, lmic_raw[#Headers],0)))</f>
        <v>0.98</v>
      </c>
      <c r="L77" s="33">
        <f>IF(INDEX(lmic_raw[],MATCH($A77,lmic_raw[[setting]:[setting]],0), MATCH(L$1, lmic_raw[#Headers],0))=0, INDEX(regions[], MATCH($D77, regions[[setting]:[setting]],0), MATCH(L$1, regions[#Headers],0)),INDEX(lmic_raw[],MATCH($A77,lmic_raw[[setting]:[setting]],0), MATCH(L$1, lmic_raw[#Headers],0)))</f>
        <v>0.82</v>
      </c>
      <c r="M77" s="33">
        <f>IF(INDEX(lmic_raw[],MATCH($A77,lmic_raw[[setting]:[setting]],0), MATCH(M$1, lmic_raw[#Headers],0))=0, INDEX(regions[], MATCH($D77, regions[[setting]:[setting]],0), MATCH(M$1, regions[#Headers],0)),INDEX(lmic_raw[],MATCH($A77,lmic_raw[[setting]:[setting]],0), MATCH(M$1, lmic_raw[#Headers],0)))</f>
        <v>8.8200000000000001E-2</v>
      </c>
      <c r="N77" s="33">
        <f>IF(INDEX(lmic_raw[],MATCH($A77,lmic_raw[[setting]:[setting]],0), MATCH(N$1, lmic_raw[#Headers],0))=0, INDEX(regions[], MATCH($D77, regions[[setting]:[setting]],0), MATCH(N$1, regions[#Headers],0)),INDEX(lmic_raw[],MATCH($A77,lmic_raw[[setting]:[setting]],0), MATCH(N$1, lmic_raw[#Headers],0)))</f>
        <v>0.33321530304356067</v>
      </c>
      <c r="O77" s="33">
        <f>IF(INDEX(lmic_raw[],MATCH($A77,lmic_raw[[setting]:[setting]],0), MATCH(O$1, lmic_raw[#Headers],0))=0, INDEX(regions[], MATCH($D77, regions[[setting]:[setting]],0), MATCH(O$1, regions[#Headers],0)),INDEX(lmic_raw[],MATCH($A77,lmic_raw[[setting]:[setting]],0), MATCH(O$1, lmic_raw[#Headers],0)))</f>
        <v>0.8</v>
      </c>
      <c r="P77" s="33">
        <f>IF(INDEX(lmic_raw[],MATCH($A77,lmic_raw[[setting]:[setting]],0), MATCH(P$1, lmic_raw[#Headers],0))=0, INDEX(regions[], MATCH($D77, regions[[setting]:[setting]],0), MATCH(P$1, regions[#Headers],0)),INDEX(lmic_raw[],MATCH($A77,lmic_raw[[setting]:[setting]],0), MATCH(P$1, lmic_raw[#Headers],0)))</f>
        <v>0.17499999999999999</v>
      </c>
      <c r="Q77" s="33">
        <f>IF(INDEX(lmic_raw[],MATCH($A77,lmic_raw[[setting]:[setting]],0), MATCH(Q$1, lmic_raw[#Headers],0))=0, INDEX(regions[], MATCH($D77, regions[[setting]:[setting]],0), MATCH(Q$1, regions[#Headers],0)),INDEX(lmic_raw[],MATCH($A77,lmic_raw[[setting]:[setting]],0), MATCH(Q$1, lmic_raw[#Headers],0)))</f>
        <v>6.3376697784639138</v>
      </c>
      <c r="R77" s="33">
        <f>IF(INDEX(lmic_raw[],MATCH($A77,lmic_raw[[setting]:[setting]],0), MATCH(R$1, lmic_raw[#Headers],0))=0, INDEX(regions[], MATCH($D77, regions[[setting]:[setting]],0), MATCH(R$1, regions[#Headers],0)),INDEX(lmic_raw[],MATCH($A77,lmic_raw[[setting]:[setting]],0), MATCH(R$1, lmic_raw[#Headers],0)))</f>
        <v>73.084500000000006</v>
      </c>
      <c r="S77" s="33">
        <f>IF(INDEX(lmic_raw[],MATCH($A77,lmic_raw[[setting]:[setting]],0), MATCH(S$1, lmic_raw[#Headers],0))=0, INDEX(regions[], MATCH($D77, regions[[setting]:[setting]],0), MATCH(S$1, regions[#Headers],0)),INDEX(lmic_raw[],MATCH($A77,lmic_raw[[setting]:[setting]],0), MATCH(S$1, lmic_raw[#Headers],0)))</f>
        <v>120.8265</v>
      </c>
      <c r="T77" s="33">
        <f>IF(INDEX(lmic_raw[],MATCH($A77,lmic_raw[[setting]:[setting]],0), MATCH(T$1, lmic_raw[#Headers],0))=0, INDEX(regions[], MATCH($D77, regions[[setting]:[setting]],0), MATCH(T$1, regions[#Headers],0)),INDEX(lmic_raw[],MATCH($A77,lmic_raw[[setting]:[setting]],0), MATCH(T$1, lmic_raw[#Headers],0)))</f>
        <v>120.8265</v>
      </c>
      <c r="U77" s="33">
        <f>IF(INDEX(lmic_raw[],MATCH($A77,lmic_raw[[setting]:[setting]],0), MATCH(U$1, lmic_raw[#Headers],0))=0, INDEX(regions[], MATCH($D77, regions[[setting]:[setting]],0), MATCH(U$1, regions[#Headers],0)),INDEX(lmic_raw[],MATCH($A77,lmic_raw[[setting]:[setting]],0), MATCH(U$1, lmic_raw[#Headers],0)))</f>
        <v>120.8265</v>
      </c>
      <c r="V77" s="33">
        <f>IF(INDEX(lmic_raw[],MATCH($A77,lmic_raw[[setting]:[setting]],0), MATCH(V$1, lmic_raw[#Headers],0))=0, INDEX(regions[], MATCH($D77, regions[[setting]:[setting]],0), MATCH(V$1, regions[#Headers],0)),INDEX(lmic_raw[],MATCH($A77,lmic_raw[[setting]:[setting]],0), MATCH(V$1, lmic_raw[#Headers],0)))</f>
        <v>9.0603914432264361</v>
      </c>
      <c r="W77" s="33">
        <f>IF(INDEX(lmic_raw[],MATCH($A77,lmic_raw[[setting]:[setting]],0), MATCH(W$1, lmic_raw[#Headers],0))=0, INDEX(regions[], MATCH($D77, regions[[setting]:[setting]],0), MATCH(W$1, regions[#Headers],0)),INDEX(lmic_raw[],MATCH($A77,lmic_raw[[setting]:[setting]],0), MATCH(W$1, lmic_raw[#Headers],0)))</f>
        <v>9.6903914432264369</v>
      </c>
      <c r="X77" s="33">
        <f>IF(INDEX(lmic_raw[],MATCH($A77,lmic_raw[[setting]:[setting]],0), MATCH(X$1, lmic_raw[#Headers],0))=0, INDEX(regions[], MATCH($D77, regions[[setting]:[setting]],0), MATCH(X$1, regions[#Headers],0)),INDEX(lmic_raw[],MATCH($A77,lmic_raw[[setting]:[setting]],0), MATCH(X$1, lmic_raw[#Headers],0)))</f>
        <v>8.6311241781291752</v>
      </c>
      <c r="Y77" s="33">
        <f>IF(INDEX(lmic_raw[],MATCH($A77,lmic_raw[[setting]:[setting]],0), MATCH(Y$1, lmic_raw[#Headers],0))=0, INDEX(regions[], MATCH($D77, regions[[setting]:[setting]],0), MATCH(Y$1, regions[#Headers],0)),INDEX(lmic_raw[],MATCH($A77,lmic_raw[[setting]:[setting]],0), MATCH(Y$1, lmic_raw[#Headers],0)))</f>
        <v>9.261124178129176</v>
      </c>
      <c r="Z77" s="33">
        <f>IF(INDEX(lmic_raw[],MATCH($A77,lmic_raw[[setting]:[setting]],0), MATCH(Z$1, lmic_raw[#Headers],0))=0, INDEX(regions[], MATCH($D77, regions[[setting]:[setting]],0), MATCH(Z$1, regions[#Headers],0)),INDEX(lmic_raw[],MATCH($A77,lmic_raw[[setting]:[setting]],0), MATCH(Z$1, lmic_raw[#Headers],0)))</f>
        <v>9.2568757802941306</v>
      </c>
      <c r="AA77" s="33">
        <f>IF(INDEX(lmic_raw[],MATCH($A77,lmic_raw[[setting]:[setting]],0), MATCH(AA$1, lmic_raw[#Headers],0))=0, INDEX(regions[], MATCH($D77, regions[[setting]:[setting]],0), MATCH(AA$1, regions[#Headers],0)),INDEX(lmic_raw[],MATCH($A77,lmic_raw[[setting]:[setting]],0), MATCH(AA$1, lmic_raw[#Headers],0)))</f>
        <v>9.3033533587871009</v>
      </c>
      <c r="AB77" s="33">
        <f>IF(INDEX(lmic_raw[],MATCH($A77,lmic_raw[[setting]:[setting]],0), MATCH(AB$1, lmic_raw[#Headers],0))=0, INDEX(regions[], MATCH($D77, regions[[setting]:[setting]],0), MATCH(AB$1, regions[#Headers],0)),INDEX(lmic_raw[],MATCH($A77,lmic_raw[[setting]:[setting]],0), MATCH(AB$1, lmic_raw[#Headers],0)))</f>
        <v>9.9333533587871017</v>
      </c>
      <c r="AC77" s="33">
        <f>IF(INDEX(lmic_raw[],MATCH($A77,lmic_raw[[setting]:[setting]],0), MATCH(AC$1, lmic_raw[#Headers],0))=0, INDEX(regions[], MATCH($D77, regions[[setting]:[setting]],0), MATCH(AC$1, regions[#Headers],0)),INDEX(lmic_raw[],MATCH($A77,lmic_raw[[setting]:[setting]],0), MATCH(AC$1, lmic_raw[#Headers],0)))</f>
        <v>1.2113043019348933E-2</v>
      </c>
      <c r="AD77" s="33">
        <f>IF(INDEX(lmic_raw[],MATCH($A77,lmic_raw[[setting]:[setting]],0), MATCH(AD$1, lmic_raw[#Headers],0))=0, INDEX(regions[], MATCH($D77, regions[[setting]:[setting]],0), MATCH(AD$1, regions[#Headers],0)),INDEX(lmic_raw[],MATCH($A77,lmic_raw[[setting]:[setting]],0), MATCH(AD$1, lmic_raw[#Headers],0)))</f>
        <v>6.7609930209456214E-4</v>
      </c>
      <c r="AE77" s="33">
        <f>IF(INDEX(lmic_raw[],MATCH($A77,lmic_raw[[setting]:[setting]],0), MATCH(AE$1, lmic_raw[#Headers],0))=0, INDEX(regions[], MATCH($D77, regions[[setting]:[setting]],0), MATCH(AE$1, regions[#Headers],0)),INDEX(lmic_raw[],MATCH($A77,lmic_raw[[setting]:[setting]],0), MATCH(AE$1, lmic_raw[#Headers],0)))</f>
        <v>3.9081483963144945E-4</v>
      </c>
      <c r="AF77" s="33">
        <f>IF(INDEX(lmic_raw[],MATCH($A77,lmic_raw[[setting]:[setting]],0), MATCH(AF$1, lmic_raw[#Headers],0))=0, INDEX(regions[], MATCH($D77, regions[[setting]:[setting]],0), MATCH(AF$1, regions[#Headers],0)),INDEX(lmic_raw[],MATCH($A77,lmic_raw[[setting]:[setting]],0), MATCH(AF$1, lmic_raw[#Headers],0)))</f>
        <v>3.0782172099554035E-4</v>
      </c>
      <c r="AG77" s="33">
        <f>IF(INDEX(lmic_raw[],MATCH($A77,lmic_raw[[setting]:[setting]],0), MATCH(AG$1, lmic_raw[#Headers],0))=0, INDEX(regions[], MATCH($D77, regions[[setting]:[setting]],0), MATCH(AG$1, regions[#Headers],0)),INDEX(lmic_raw[],MATCH($A77,lmic_raw[[setting]:[setting]],0), MATCH(AG$1, lmic_raw[#Headers],0)))</f>
        <v>4.8944350359139937E-4</v>
      </c>
      <c r="AH77" s="33">
        <f>IF(INDEX(lmic_raw[],MATCH($A77,lmic_raw[[setting]:[setting]],0), MATCH(AH$1, lmic_raw[#Headers],0))=0, INDEX(regions[], MATCH($D77, regions[[setting]:[setting]],0), MATCH(AH$1, regions[#Headers],0)),INDEX(lmic_raw[],MATCH($A77,lmic_raw[[setting]:[setting]],0), MATCH(AH$1, lmic_raw[#Headers],0)))</f>
        <v>6.8096472237868307E-4</v>
      </c>
      <c r="AI77" s="33">
        <f>IF(INDEX(lmic_raw[],MATCH($A77,lmic_raw[[setting]:[setting]],0), MATCH(AI$1, lmic_raw[#Headers],0))=0, INDEX(regions[], MATCH($D77, regions[[setting]:[setting]],0), MATCH(AI$1, regions[#Headers],0)),INDEX(lmic_raw[],MATCH($A77,lmic_raw[[setting]:[setting]],0), MATCH(AI$1, lmic_raw[#Headers],0)))</f>
        <v>8.5023885699048749E-4</v>
      </c>
      <c r="AJ77" s="33">
        <f>IF(INDEX(lmic_raw[],MATCH($A77,lmic_raw[[setting]:[setting]],0), MATCH(AJ$1, lmic_raw[#Headers],0))=0, INDEX(regions[], MATCH($D77, regions[[setting]:[setting]],0), MATCH(AJ$1, regions[#Headers],0)),INDEX(lmic_raw[],MATCH($A77,lmic_raw[[setting]:[setting]],0), MATCH(AJ$1, lmic_raw[#Headers],0)))</f>
        <v>1.0584115094525045E-3</v>
      </c>
      <c r="AK77" s="33">
        <f>IF(INDEX(lmic_raw[],MATCH($A77,lmic_raw[[setting]:[setting]],0), MATCH(AK$1, lmic_raw[#Headers],0))=0, INDEX(regions[], MATCH($D77, regions[[setting]:[setting]],0), MATCH(AK$1, regions[#Headers],0)),INDEX(lmic_raw[],MATCH($A77,lmic_raw[[setting]:[setting]],0), MATCH(AK$1, lmic_raw[#Headers],0)))</f>
        <v>1.3595292919632098E-3</v>
      </c>
      <c r="AL77" s="33">
        <f>IF(INDEX(lmic_raw[],MATCH($A77,lmic_raw[[setting]:[setting]],0), MATCH(AL$1, lmic_raw[#Headers],0))=0, INDEX(regions[], MATCH($D77, regions[[setting]:[setting]],0), MATCH(AL$1, regions[#Headers],0)),INDEX(lmic_raw[],MATCH($A77,lmic_raw[[setting]:[setting]],0), MATCH(AL$1, lmic_raw[#Headers],0)))</f>
        <v>1.913684162559916E-3</v>
      </c>
      <c r="AM77" s="33">
        <f>IF(INDEX(lmic_raw[],MATCH($A77,lmic_raw[[setting]:[setting]],0), MATCH(AM$1, lmic_raw[#Headers],0))=0, INDEX(regions[], MATCH($D77, regions[[setting]:[setting]],0), MATCH(AM$1, regions[#Headers],0)),INDEX(lmic_raw[],MATCH($A77,lmic_raw[[setting]:[setting]],0), MATCH(AM$1, lmic_raw[#Headers],0)))</f>
        <v>2.8048927139820382E-3</v>
      </c>
      <c r="AN77" s="33">
        <f>IF(INDEX(lmic_raw[],MATCH($A77,lmic_raw[[setting]:[setting]],0), MATCH(AN$1, lmic_raw[#Headers],0))=0, INDEX(regions[], MATCH($D77, regions[[setting]:[setting]],0), MATCH(AN$1, regions[#Headers],0)),INDEX(lmic_raw[],MATCH($A77,lmic_raw[[setting]:[setting]],0), MATCH(AN$1, lmic_raw[#Headers],0)))</f>
        <v>4.4671883657492542E-3</v>
      </c>
      <c r="AO77" s="33">
        <f>IF(INDEX(lmic_raw[],MATCH($A77,lmic_raw[[setting]:[setting]],0), MATCH(AO$1, lmic_raw[#Headers],0))=0, INDEX(regions[], MATCH($D77, regions[[setting]:[setting]],0), MATCH(AO$1, regions[#Headers],0)),INDEX(lmic_raw[],MATCH($A77,lmic_raw[[setting]:[setting]],0), MATCH(AO$1, lmic_raw[#Headers],0)))</f>
        <v>7.1493659984186823E-3</v>
      </c>
      <c r="AP77" s="33">
        <f>IF(INDEX(lmic_raw[],MATCH($A77,lmic_raw[[setting]:[setting]],0), MATCH(AP$1, lmic_raw[#Headers],0))=0, INDEX(regions[], MATCH($D77, regions[[setting]:[setting]],0), MATCH(AP$1, regions[#Headers],0)),INDEX(lmic_raw[],MATCH($A77,lmic_raw[[setting]:[setting]],0), MATCH(AP$1, lmic_raw[#Headers],0)))</f>
        <v>1.2122839216961992E-2</v>
      </c>
      <c r="AQ77" s="33">
        <f>IF(INDEX(lmic_raw[],MATCH($A77,lmic_raw[[setting]:[setting]],0), MATCH(AQ$1, lmic_raw[#Headers],0))=0, INDEX(regions[], MATCH($D77, regions[[setting]:[setting]],0), MATCH(AQ$1, regions[#Headers],0)),INDEX(lmic_raw[],MATCH($A77,lmic_raw[[setting]:[setting]],0), MATCH(AQ$1, lmic_raw[#Headers],0)))</f>
        <v>2.0383567531551045E-2</v>
      </c>
      <c r="AR77" s="33">
        <f>IF(INDEX(lmic_raw[],MATCH($A77,lmic_raw[[setting]:[setting]],0), MATCH(AR$1, lmic_raw[#Headers],0))=0, INDEX(regions[], MATCH($D77, regions[[setting]:[setting]],0), MATCH(AR$1, regions[#Headers],0)),INDEX(lmic_raw[],MATCH($A77,lmic_raw[[setting]:[setting]],0), MATCH(AR$1, lmic_raw[#Headers],0)))</f>
        <v>3.4419302343702933E-2</v>
      </c>
      <c r="AS77" s="33">
        <f>IF(INDEX(lmic_raw[],MATCH($A77,lmic_raw[[setting]:[setting]],0), MATCH(AS$1, lmic_raw[#Headers],0))=0, INDEX(regions[], MATCH($D77, regions[[setting]:[setting]],0), MATCH(AS$1, regions[#Headers],0)),INDEX(lmic_raw[],MATCH($A77,lmic_raw[[setting]:[setting]],0), MATCH(AS$1, lmic_raw[#Headers],0)))</f>
        <v>5.3865001524097247E-2</v>
      </c>
      <c r="AT77" s="33">
        <f>IF(INDEX(lmic_raw[],MATCH($A77,lmic_raw[[setting]:[setting]],0), MATCH(AT$1, lmic_raw[#Headers],0))=0, INDEX(regions[], MATCH($D77, regions[[setting]:[setting]],0), MATCH(AT$1, regions[#Headers],0)),INDEX(lmic_raw[],MATCH($A77,lmic_raw[[setting]:[setting]],0), MATCH(AT$1, lmic_raw[#Headers],0)))</f>
        <v>7.6821618366979399E-2</v>
      </c>
      <c r="AU77" s="33">
        <f>IF(INDEX(lmic_raw[],MATCH($A77,lmic_raw[[setting]:[setting]],0), MATCH(AU$1, lmic_raw[#Headers],0))=0, INDEX(regions[], MATCH($D77, regions[[setting]:[setting]],0), MATCH(AU$1, regions[#Headers],0)),INDEX(lmic_raw[],MATCH($A77,lmic_raw[[setting]:[setting]],0), MATCH(AU$1, lmic_raw[#Headers],0)))</f>
        <v>0.10590462633893205</v>
      </c>
      <c r="AV77" s="33">
        <f>IF(INDEX(lmic_raw[],MATCH($A77,lmic_raw[[setting]:[setting]],0), MATCH(AV$1, lmic_raw[#Headers],0))=0, INDEX(regions[], MATCH($D77, regions[[setting]:[setting]],0), MATCH(AV$1, regions[#Headers],0)),INDEX(lmic_raw[],MATCH($A77,lmic_raw[[setting]:[setting]],0), MATCH(AV$1, lmic_raw[#Headers],0)))</f>
        <v>0.13211014586527225</v>
      </c>
      <c r="AW77" s="33">
        <f>IF(INDEX(lmic_raw[],MATCH($A77,lmic_raw[[setting]:[setting]],0), MATCH(AW$1, lmic_raw[#Headers],0))=0, INDEX(regions[], MATCH($D77, regions[[setting]:[setting]],0), MATCH(AW$1, regions[#Headers],0)),INDEX(lmic_raw[],MATCH($A77,lmic_raw[[setting]:[setting]],0), MATCH(AW$1, lmic_raw[#Headers],0)))</f>
        <v>0.15412931043049904</v>
      </c>
      <c r="AX77" s="33">
        <f>IF(INDEX(lmic_raw[],MATCH($A77,lmic_raw[[setting]:[setting]],0), MATCH(AX$1, lmic_raw[#Headers],0))=0, INDEX(regions[], MATCH($D77, regions[[setting]:[setting]],0), MATCH(AX$1, regions[#Headers],0)),INDEX(lmic_raw[],MATCH($A77,lmic_raw[[setting]:[setting]],0), MATCH(AX$1, lmic_raw[#Headers],0)))</f>
        <v>75.587990106299117</v>
      </c>
      <c r="AY77" s="33" t="str">
        <f>IF(VLOOKUP($A77,lmic_raw[],11,FALSE)=0, "Yes", "No")</f>
        <v>No</v>
      </c>
    </row>
    <row r="78" spans="1:51" x14ac:dyDescent="0.25">
      <c r="A78" s="109" t="s">
        <v>148</v>
      </c>
      <c r="B78" s="101" t="s">
        <v>468</v>
      </c>
      <c r="C78" s="102">
        <v>478</v>
      </c>
      <c r="D78" s="82" t="s">
        <v>677</v>
      </c>
      <c r="E78" s="82" t="s">
        <v>591</v>
      </c>
      <c r="F78" s="82" t="s">
        <v>667</v>
      </c>
      <c r="G78" s="82" t="s">
        <v>678</v>
      </c>
      <c r="H78" s="33">
        <f>IF(INDEX(lmic_raw[],MATCH($A78,lmic_raw[[setting]:[setting]],0), MATCH(H$1, lmic_raw[#Headers],0))=0, INDEX(regions[], MATCH($D78, regions[[setting]:[setting]],0), MATCH(H$1, regions[#Headers],0)),INDEX(lmic_raw[],MATCH($A78,lmic_raw[[setting]:[setting]],0), MATCH(H$1, lmic_raw[#Headers],0)))</f>
        <v>4525698</v>
      </c>
      <c r="I78" s="33">
        <f>IF(INDEX(lmic_raw[],MATCH($A78,lmic_raw[[setting]:[setting]],0), MATCH(I$1, lmic_raw[#Headers],0))=0, INDEX(regions[], MATCH($D78, regions[[setting]:[setting]],0), MATCH(I$1, regions[#Headers],0)),INDEX(lmic_raw[],MATCH($A78,lmic_raw[[setting]:[setting]],0), MATCH(I$1, lmic_raw[#Headers],0)))</f>
        <v>153294.442656</v>
      </c>
      <c r="J78" s="33">
        <f>IF(INDEX(lmic_raw[],MATCH($A78,lmic_raw[[setting]:[setting]],0), MATCH(J$1, lmic_raw[#Headers],0))=0, INDEX(regions[], MATCH($D78, regions[[setting]:[setting]],0), MATCH(J$1, regions[#Headers],0)),INDEX(lmic_raw[],MATCH($A78,lmic_raw[[setting]:[setting]],0), MATCH(J$1, lmic_raw[#Headers],0)))</f>
        <v>0.69299999999999995</v>
      </c>
      <c r="K78" s="33">
        <f>IF(INDEX(lmic_raw[],MATCH($A78,lmic_raw[[setting]:[setting]],0), MATCH(K$1, lmic_raw[#Headers],0))=0, INDEX(regions[], MATCH($D78, regions[[setting]:[setting]],0), MATCH(K$1, regions[#Headers],0)),INDEX(lmic_raw[],MATCH($A78,lmic_raw[[setting]:[setting]],0), MATCH(K$1, lmic_raw[#Headers],0)))</f>
        <v>0.69252604416320784</v>
      </c>
      <c r="L78" s="33">
        <f>IF(INDEX(lmic_raw[],MATCH($A78,lmic_raw[[setting]:[setting]],0), MATCH(L$1, lmic_raw[#Headers],0))=0, INDEX(regions[], MATCH($D78, regions[[setting]:[setting]],0), MATCH(L$1, regions[#Headers],0)),INDEX(lmic_raw[],MATCH($A78,lmic_raw[[setting]:[setting]],0), MATCH(L$1, lmic_raw[#Headers],0)))</f>
        <v>0.81</v>
      </c>
      <c r="M78" s="33">
        <f>IF(INDEX(lmic_raw[],MATCH($A78,lmic_raw[[setting]:[setting]],0), MATCH(M$1, lmic_raw[#Headers],0))=0, INDEX(regions[], MATCH($D78, regions[[setting]:[setting]],0), MATCH(M$1, regions[#Headers],0)),INDEX(lmic_raw[],MATCH($A78,lmic_raw[[setting]:[setting]],0), MATCH(M$1, lmic_raw[#Headers],0)))</f>
        <v>0.10220000000000001</v>
      </c>
      <c r="N78" s="33">
        <f>IF(INDEX(lmic_raw[],MATCH($A78,lmic_raw[[setting]:[setting]],0), MATCH(N$1, lmic_raw[#Headers],0))=0, INDEX(regions[], MATCH($D78, regions[[setting]:[setting]],0), MATCH(N$1, regions[#Headers],0)),INDEX(lmic_raw[],MATCH($A78,lmic_raw[[setting]:[setting]],0), MATCH(N$1, lmic_raw[#Headers],0)))</f>
        <v>0.27954724098923228</v>
      </c>
      <c r="O78" s="33">
        <f>IF(INDEX(lmic_raw[],MATCH($A78,lmic_raw[[setting]:[setting]],0), MATCH(O$1, lmic_raw[#Headers],0))=0, INDEX(regions[], MATCH($D78, regions[[setting]:[setting]],0), MATCH(O$1, regions[#Headers],0)),INDEX(lmic_raw[],MATCH($A78,lmic_raw[[setting]:[setting]],0), MATCH(O$1, lmic_raw[#Headers],0)))</f>
        <v>0.38300000000000001</v>
      </c>
      <c r="P78" s="33">
        <f>IF(INDEX(lmic_raw[],MATCH($A78,lmic_raw[[setting]:[setting]],0), MATCH(P$1, lmic_raw[#Headers],0))=0, INDEX(regions[], MATCH($D78, regions[[setting]:[setting]],0), MATCH(P$1, regions[#Headers],0)),INDEX(lmic_raw[],MATCH($A78,lmic_raw[[setting]:[setting]],0), MATCH(P$1, lmic_raw[#Headers],0)))</f>
        <v>4.8000000000000001E-2</v>
      </c>
      <c r="Q78" s="33">
        <f>IF(INDEX(lmic_raw[],MATCH($A78,lmic_raw[[setting]:[setting]],0), MATCH(Q$1, lmic_raw[#Headers],0))=0, INDEX(regions[], MATCH($D78, regions[[setting]:[setting]],0), MATCH(Q$1, regions[#Headers],0)),INDEX(lmic_raw[],MATCH($A78,lmic_raw[[setting]:[setting]],0), MATCH(Q$1, lmic_raw[#Headers],0)))</f>
        <v>3.4890977406111654</v>
      </c>
      <c r="R78" s="33">
        <f>IF(INDEX(lmic_raw[],MATCH($A78,lmic_raw[[setting]:[setting]],0), MATCH(R$1, lmic_raw[#Headers],0))=0, INDEX(regions[], MATCH($D78, regions[[setting]:[setting]],0), MATCH(R$1, regions[#Headers],0)),INDEX(lmic_raw[],MATCH($A78,lmic_raw[[setting]:[setting]],0), MATCH(R$1, lmic_raw[#Headers],0)))</f>
        <v>29.920500000000001</v>
      </c>
      <c r="S78" s="33">
        <f>IF(INDEX(lmic_raw[],MATCH($A78,lmic_raw[[setting]:[setting]],0), MATCH(S$1, lmic_raw[#Headers],0))=0, INDEX(regions[], MATCH($D78, regions[[setting]:[setting]],0), MATCH(S$1, regions[#Headers],0)),INDEX(lmic_raw[],MATCH($A78,lmic_raw[[setting]:[setting]],0), MATCH(S$1, lmic_raw[#Headers],0)))</f>
        <v>77.662500000000009</v>
      </c>
      <c r="T78" s="33">
        <f>IF(INDEX(lmic_raw[],MATCH($A78,lmic_raw[[setting]:[setting]],0), MATCH(T$1, lmic_raw[#Headers],0))=0, INDEX(regions[], MATCH($D78, regions[[setting]:[setting]],0), MATCH(T$1, regions[#Headers],0)),INDEX(lmic_raw[],MATCH($A78,lmic_raw[[setting]:[setting]],0), MATCH(T$1, lmic_raw[#Headers],0)))</f>
        <v>77.662500000000009</v>
      </c>
      <c r="U78" s="33">
        <f>IF(INDEX(lmic_raw[],MATCH($A78,lmic_raw[[setting]:[setting]],0), MATCH(U$1, lmic_raw[#Headers],0))=0, INDEX(regions[], MATCH($D78, regions[[setting]:[setting]],0), MATCH(U$1, regions[#Headers],0)),INDEX(lmic_raw[],MATCH($A78,lmic_raw[[setting]:[setting]],0), MATCH(U$1, lmic_raw[#Headers],0)))</f>
        <v>77.662500000000009</v>
      </c>
      <c r="V78" s="33">
        <f>IF(INDEX(lmic_raw[],MATCH($A78,lmic_raw[[setting]:[setting]],0), MATCH(V$1, lmic_raw[#Headers],0))=0, INDEX(regions[], MATCH($D78, regions[[setting]:[setting]],0), MATCH(V$1, regions[#Headers],0)),INDEX(lmic_raw[],MATCH($A78,lmic_raw[[setting]:[setting]],0), MATCH(V$1, lmic_raw[#Headers],0)))</f>
        <v>2.8051937427511051</v>
      </c>
      <c r="W78" s="33">
        <f>IF(INDEX(lmic_raw[],MATCH($A78,lmic_raw[[setting]:[setting]],0), MATCH(W$1, lmic_raw[#Headers],0))=0, INDEX(regions[], MATCH($D78, regions[[setting]:[setting]],0), MATCH(W$1, regions[#Headers],0)),INDEX(lmic_raw[],MATCH($A78,lmic_raw[[setting]:[setting]],0), MATCH(W$1, lmic_raw[#Headers],0)))</f>
        <v>7.6351937427511052</v>
      </c>
      <c r="X78" s="33">
        <f>IF(INDEX(lmic_raw[],MATCH($A78,lmic_raw[[setting]:[setting]],0), MATCH(X$1, lmic_raw[#Headers],0))=0, INDEX(regions[], MATCH($D78, regions[[setting]:[setting]],0), MATCH(X$1, regions[#Headers],0)),INDEX(lmic_raw[],MATCH($A78,lmic_raw[[setting]:[setting]],0), MATCH(X$1, lmic_raw[#Headers],0)))</f>
        <v>2.3775709359308714</v>
      </c>
      <c r="Y78" s="33">
        <f>IF(INDEX(lmic_raw[],MATCH($A78,lmic_raw[[setting]:[setting]],0), MATCH(Y$1, lmic_raw[#Headers],0))=0, INDEX(regions[], MATCH($D78, regions[[setting]:[setting]],0), MATCH(Y$1, regions[#Headers],0)),INDEX(lmic_raw[],MATCH($A78,lmic_raw[[setting]:[setting]],0), MATCH(Y$1, lmic_raw[#Headers],0)))</f>
        <v>7.2075709359308711</v>
      </c>
      <c r="Z78" s="33">
        <f>IF(INDEX(lmic_raw[],MATCH($A78,lmic_raw[[setting]:[setting]],0), MATCH(Z$1, lmic_raw[#Headers],0))=0, INDEX(regions[], MATCH($D78, regions[[setting]:[setting]],0), MATCH(Z$1, regions[#Headers],0)),INDEX(lmic_raw[],MATCH($A78,lmic_raw[[setting]:[setting]],0), MATCH(Z$1, lmic_raw[#Headers],0)))</f>
        <v>7.2037273263091963</v>
      </c>
      <c r="AA78" s="33">
        <f>IF(INDEX(lmic_raw[],MATCH($A78,lmic_raw[[setting]:[setting]],0), MATCH(AA$1, lmic_raw[#Headers],0))=0, INDEX(regions[], MATCH($D78, regions[[setting]:[setting]],0), MATCH(AA$1, regions[#Headers],0)),INDEX(lmic_raw[],MATCH($A78,lmic_raw[[setting]:[setting]],0), MATCH(AA$1, lmic_raw[#Headers],0)))</f>
        <v>3.0475628884677248</v>
      </c>
      <c r="AB78" s="33">
        <f>IF(INDEX(lmic_raw[],MATCH($A78,lmic_raw[[setting]:[setting]],0), MATCH(AB$1, lmic_raw[#Headers],0))=0, INDEX(regions[], MATCH($D78, regions[[setting]:[setting]],0), MATCH(AB$1, regions[#Headers],0)),INDEX(lmic_raw[],MATCH($A78,lmic_raw[[setting]:[setting]],0), MATCH(AB$1, lmic_raw[#Headers],0)))</f>
        <v>7.8775628884677253</v>
      </c>
      <c r="AC78" s="33">
        <f>IF(INDEX(lmic_raw[],MATCH($A78,lmic_raw[[setting]:[setting]],0), MATCH(AC$1, lmic_raw[#Headers],0))=0, INDEX(regions[], MATCH($D78, regions[[setting]:[setting]],0), MATCH(AC$1, regions[#Headers],0)),INDEX(lmic_raw[],MATCH($A78,lmic_raw[[setting]:[setting]],0), MATCH(AC$1, lmic_raw[#Headers],0)))</f>
        <v>5.3461619999999967E-2</v>
      </c>
      <c r="AD78" s="33">
        <f>IF(INDEX(lmic_raw[],MATCH($A78,lmic_raw[[setting]:[setting]],0), MATCH(AD$1, lmic_raw[#Headers],0))=0, INDEX(regions[], MATCH($D78, regions[[setting]:[setting]],0), MATCH(AD$1, regions[#Headers],0)),INDEX(lmic_raw[],MATCH($A78,lmic_raw[[setting]:[setting]],0), MATCH(AD$1, lmic_raw[#Headers],0)))</f>
        <v>6.7054280461400981E-3</v>
      </c>
      <c r="AE78" s="33">
        <f>IF(INDEX(lmic_raw[],MATCH($A78,lmic_raw[[setting]:[setting]],0), MATCH(AE$1, lmic_raw[#Headers],0))=0, INDEX(regions[], MATCH($D78, regions[[setting]:[setting]],0), MATCH(AE$1, regions[#Headers],0)),INDEX(lmic_raw[],MATCH($A78,lmic_raw[[setting]:[setting]],0), MATCH(AE$1, lmic_raw[#Headers],0)))</f>
        <v>1.0852579371928835E-3</v>
      </c>
      <c r="AF78" s="33">
        <f>IF(INDEX(lmic_raw[],MATCH($A78,lmic_raw[[setting]:[setting]],0), MATCH(AF$1, lmic_raw[#Headers],0))=0, INDEX(regions[], MATCH($D78, regions[[setting]:[setting]],0), MATCH(AF$1, regions[#Headers],0)),INDEX(lmic_raw[],MATCH($A78,lmic_raw[[setting]:[setting]],0), MATCH(AF$1, lmic_raw[#Headers],0)))</f>
        <v>8.5631189412564181E-4</v>
      </c>
      <c r="AG78" s="33">
        <f>IF(INDEX(lmic_raw[],MATCH($A78,lmic_raw[[setting]:[setting]],0), MATCH(AG$1, lmic_raw[#Headers],0))=0, INDEX(regions[], MATCH($D78, regions[[setting]:[setting]],0), MATCH(AG$1, regions[#Headers],0)),INDEX(lmic_raw[],MATCH($A78,lmic_raw[[setting]:[setting]],0), MATCH(AG$1, lmic_raw[#Headers],0)))</f>
        <v>1.4103050217806428E-3</v>
      </c>
      <c r="AH78" s="33">
        <f>IF(INDEX(lmic_raw[],MATCH($A78,lmic_raw[[setting]:[setting]],0), MATCH(AH$1, lmic_raw[#Headers],0))=0, INDEX(regions[], MATCH($D78, regions[[setting]:[setting]],0), MATCH(AH$1, regions[#Headers],0)),INDEX(lmic_raw[],MATCH($A78,lmic_raw[[setting]:[setting]],0), MATCH(AH$1, lmic_raw[#Headers],0)))</f>
        <v>1.9744181091348187E-3</v>
      </c>
      <c r="AI78" s="33">
        <f>IF(INDEX(lmic_raw[],MATCH($A78,lmic_raw[[setting]:[setting]],0), MATCH(AI$1, lmic_raw[#Headers],0))=0, INDEX(regions[], MATCH($D78, regions[[setting]:[setting]],0), MATCH(AI$1, regions[#Headers],0)),INDEX(lmic_raw[],MATCH($A78,lmic_raw[[setting]:[setting]],0), MATCH(AI$1, lmic_raw[#Headers],0)))</f>
        <v>2.1424246234527287E-3</v>
      </c>
      <c r="AJ78" s="33">
        <f>IF(INDEX(lmic_raw[],MATCH($A78,lmic_raw[[setting]:[setting]],0), MATCH(AJ$1, lmic_raw[#Headers],0))=0, INDEX(regions[], MATCH($D78, regions[[setting]:[setting]],0), MATCH(AJ$1, regions[#Headers],0)),INDEX(lmic_raw[],MATCH($A78,lmic_raw[[setting]:[setting]],0), MATCH(AJ$1, lmic_raw[#Headers],0)))</f>
        <v>2.4583011866348469E-3</v>
      </c>
      <c r="AK78" s="33">
        <f>IF(INDEX(lmic_raw[],MATCH($A78,lmic_raw[[setting]:[setting]],0), MATCH(AK$1, lmic_raw[#Headers],0))=0, INDEX(regions[], MATCH($D78, regions[[setting]:[setting]],0), MATCH(AK$1, regions[#Headers],0)),INDEX(lmic_raw[],MATCH($A78,lmic_raw[[setting]:[setting]],0), MATCH(AK$1, lmic_raw[#Headers],0)))</f>
        <v>3.0904941387841366E-3</v>
      </c>
      <c r="AL78" s="33">
        <f>IF(INDEX(lmic_raw[],MATCH($A78,lmic_raw[[setting]:[setting]],0), MATCH(AL$1, lmic_raw[#Headers],0))=0, INDEX(regions[], MATCH($D78, regions[[setting]:[setting]],0), MATCH(AL$1, regions[#Headers],0)),INDEX(lmic_raw[],MATCH($A78,lmic_raw[[setting]:[setting]],0), MATCH(AL$1, lmic_raw[#Headers],0)))</f>
        <v>4.1692771101024245E-3</v>
      </c>
      <c r="AM78" s="33">
        <f>IF(INDEX(lmic_raw[],MATCH($A78,lmic_raw[[setting]:[setting]],0), MATCH(AM$1, lmic_raw[#Headers],0))=0, INDEX(regions[], MATCH($D78, regions[[setting]:[setting]],0), MATCH(AM$1, regions[#Headers],0)),INDEX(lmic_raw[],MATCH($A78,lmic_raw[[setting]:[setting]],0), MATCH(AM$1, lmic_raw[#Headers],0)))</f>
        <v>6.0061991860126812E-3</v>
      </c>
      <c r="AN78" s="33">
        <f>IF(INDEX(lmic_raw[],MATCH($A78,lmic_raw[[setting]:[setting]],0), MATCH(AN$1, lmic_raw[#Headers],0))=0, INDEX(regions[], MATCH($D78, regions[[setting]:[setting]],0), MATCH(AN$1, regions[#Headers],0)),INDEX(lmic_raw[],MATCH($A78,lmic_raw[[setting]:[setting]],0), MATCH(AN$1, lmic_raw[#Headers],0)))</f>
        <v>8.8874458499904312E-3</v>
      </c>
      <c r="AO78" s="33">
        <f>IF(INDEX(lmic_raw[],MATCH($A78,lmic_raw[[setting]:[setting]],0), MATCH(AO$1, lmic_raw[#Headers],0))=0, INDEX(regions[], MATCH($D78, regions[[setting]:[setting]],0), MATCH(AO$1, regions[#Headers],0)),INDEX(lmic_raw[],MATCH($A78,lmic_raw[[setting]:[setting]],0), MATCH(AO$1, lmic_raw[#Headers],0)))</f>
        <v>1.3311420499959795E-2</v>
      </c>
      <c r="AP78" s="33">
        <f>IF(INDEX(lmic_raw[],MATCH($A78,lmic_raw[[setting]:[setting]],0), MATCH(AP$1, lmic_raw[#Headers],0))=0, INDEX(regions[], MATCH($D78, regions[[setting]:[setting]],0), MATCH(AP$1, regions[#Headers],0)),INDEX(lmic_raw[],MATCH($A78,lmic_raw[[setting]:[setting]],0), MATCH(AP$1, lmic_raw[#Headers],0)))</f>
        <v>2.026088885971385E-2</v>
      </c>
      <c r="AQ78" s="33">
        <f>IF(INDEX(lmic_raw[],MATCH($A78,lmic_raw[[setting]:[setting]],0), MATCH(AQ$1, lmic_raw[#Headers],0))=0, INDEX(regions[], MATCH($D78, regions[[setting]:[setting]],0), MATCH(AQ$1, regions[#Headers],0)),INDEX(lmic_raw[],MATCH($A78,lmic_raw[[setting]:[setting]],0), MATCH(AQ$1, lmic_raw[#Headers],0)))</f>
        <v>3.0943043035614036E-2</v>
      </c>
      <c r="AR78" s="33">
        <f>IF(INDEX(lmic_raw[],MATCH($A78,lmic_raw[[setting]:[setting]],0), MATCH(AR$1, lmic_raw[#Headers],0))=0, INDEX(regions[], MATCH($D78, regions[[setting]:[setting]],0), MATCH(AR$1, regions[#Headers],0)),INDEX(lmic_raw[],MATCH($A78,lmic_raw[[setting]:[setting]],0), MATCH(AR$1, lmic_raw[#Headers],0)))</f>
        <v>4.758385707572544E-2</v>
      </c>
      <c r="AS78" s="33">
        <f>IF(INDEX(lmic_raw[],MATCH($A78,lmic_raw[[setting]:[setting]],0), MATCH(AS$1, lmic_raw[#Headers],0))=0, INDEX(regions[], MATCH($D78, regions[[setting]:[setting]],0), MATCH(AS$1, regions[#Headers],0)),INDEX(lmic_raw[],MATCH($A78,lmic_raw[[setting]:[setting]],0), MATCH(AS$1, lmic_raw[#Headers],0)))</f>
        <v>7.1525134862436793E-2</v>
      </c>
      <c r="AT78" s="33">
        <f>IF(INDEX(lmic_raw[],MATCH($A78,lmic_raw[[setting]:[setting]],0), MATCH(AT$1, lmic_raw[#Headers],0))=0, INDEX(regions[], MATCH($D78, regions[[setting]:[setting]],0), MATCH(AT$1, regions[#Headers],0)),INDEX(lmic_raw[],MATCH($A78,lmic_raw[[setting]:[setting]],0), MATCH(AT$1, lmic_raw[#Headers],0)))</f>
        <v>0.10295590327127407</v>
      </c>
      <c r="AU78" s="33">
        <f>IF(INDEX(lmic_raw[],MATCH($A78,lmic_raw[[setting]:[setting]],0), MATCH(AU$1, lmic_raw[#Headers],0))=0, INDEX(regions[], MATCH($D78, regions[[setting]:[setting]],0), MATCH(AU$1, regions[#Headers],0)),INDEX(lmic_raw[],MATCH($A78,lmic_raw[[setting]:[setting]],0), MATCH(AU$1, lmic_raw[#Headers],0)))</f>
        <v>0.13599244093972368</v>
      </c>
      <c r="AV78" s="33">
        <f>IF(INDEX(lmic_raw[],MATCH($A78,lmic_raw[[setting]:[setting]],0), MATCH(AV$1, lmic_raw[#Headers],0))=0, INDEX(regions[], MATCH($D78, regions[[setting]:[setting]],0), MATCH(AV$1, regions[#Headers],0)),INDEX(lmic_raw[],MATCH($A78,lmic_raw[[setting]:[setting]],0), MATCH(AV$1, lmic_raw[#Headers],0)))</f>
        <v>0.16264165996755808</v>
      </c>
      <c r="AW78" s="33">
        <f>IF(INDEX(lmic_raw[],MATCH($A78,lmic_raw[[setting]:[setting]],0), MATCH(AW$1, lmic_raw[#Headers],0))=0, INDEX(regions[], MATCH($D78, regions[[setting]:[setting]],0), MATCH(AW$1, regions[#Headers],0)),INDEX(lmic_raw[],MATCH($A78,lmic_raw[[setting]:[setting]],0), MATCH(AW$1, lmic_raw[#Headers],0)))</f>
        <v>0.17975411502979896</v>
      </c>
      <c r="AX78" s="33">
        <f>IF(INDEX(lmic_raw[],MATCH($A78,lmic_raw[[setting]:[setting]],0), MATCH(AX$1, lmic_raw[#Headers],0))=0, INDEX(regions[], MATCH($D78, regions[[setting]:[setting]],0), MATCH(AX$1, regions[#Headers],0)),INDEX(lmic_raw[],MATCH($A78,lmic_raw[[setting]:[setting]],0), MATCH(AX$1, lmic_raw[#Headers],0)))</f>
        <v>64.606999999999999</v>
      </c>
      <c r="AY78" s="33" t="str">
        <f>IF(VLOOKUP($A78,lmic_raw[],11,FALSE)=0, "Yes", "No")</f>
        <v>Yes</v>
      </c>
    </row>
    <row r="79" spans="1:51" x14ac:dyDescent="0.25">
      <c r="A79" s="110" t="s">
        <v>109</v>
      </c>
      <c r="B79" s="104" t="s">
        <v>469</v>
      </c>
      <c r="C79" s="105">
        <v>480</v>
      </c>
      <c r="D79" s="84" t="s">
        <v>677</v>
      </c>
      <c r="E79" s="84" t="s">
        <v>598</v>
      </c>
      <c r="F79" s="84" t="s">
        <v>666</v>
      </c>
      <c r="G79" s="84" t="s">
        <v>676</v>
      </c>
      <c r="H79" s="33">
        <f>IF(INDEX(lmic_raw[],MATCH($A79,lmic_raw[[setting]:[setting]],0), MATCH(H$1, lmic_raw[#Headers],0))=0, INDEX(regions[], MATCH($D79, regions[[setting]:[setting]],0), MATCH(H$1, regions[#Headers],0)),INDEX(lmic_raw[],MATCH($A79,lmic_raw[[setting]:[setting]],0), MATCH(H$1, lmic_raw[#Headers],0)))</f>
        <v>1269670</v>
      </c>
      <c r="I79" s="33">
        <f>IF(INDEX(lmic_raw[],MATCH($A79,lmic_raw[[setting]:[setting]],0), MATCH(I$1, lmic_raw[#Headers],0))=0, INDEX(regions[], MATCH($D79, regions[[setting]:[setting]],0), MATCH(I$1, regions[#Headers],0)),INDEX(lmic_raw[],MATCH($A79,lmic_raw[[setting]:[setting]],0), MATCH(I$1, lmic_raw[#Headers],0)))</f>
        <v>13006.49948</v>
      </c>
      <c r="J79" s="33">
        <f>IF(INDEX(lmic_raw[],MATCH($A79,lmic_raw[[setting]:[setting]],0), MATCH(J$1, lmic_raw[#Headers],0))=0, INDEX(regions[], MATCH($D79, regions[[setting]:[setting]],0), MATCH(J$1, regions[#Headers],0)),INDEX(lmic_raw[],MATCH($A79,lmic_raw[[setting]:[setting]],0), MATCH(J$1, lmic_raw[#Headers],0)))</f>
        <v>0.9840000000000001</v>
      </c>
      <c r="K79" s="33">
        <f>IF(INDEX(lmic_raw[],MATCH($A79,lmic_raw[[setting]:[setting]],0), MATCH(K$1, lmic_raw[#Headers],0))=0, INDEX(regions[], MATCH($D79, regions[[setting]:[setting]],0), MATCH(K$1, regions[#Headers],0)),INDEX(lmic_raw[],MATCH($A79,lmic_raw[[setting]:[setting]],0), MATCH(K$1, lmic_raw[#Headers],0)))</f>
        <v>0.69252604416320784</v>
      </c>
      <c r="L79" s="33">
        <f>IF(INDEX(lmic_raw[],MATCH($A79,lmic_raw[[setting]:[setting]],0), MATCH(L$1, lmic_raw[#Headers],0))=0, INDEX(regions[], MATCH($D79, regions[[setting]:[setting]],0), MATCH(L$1, regions[#Headers],0)),INDEX(lmic_raw[],MATCH($A79,lmic_raw[[setting]:[setting]],0), MATCH(L$1, lmic_raw[#Headers],0)))</f>
        <v>0.97</v>
      </c>
      <c r="M79" s="33">
        <f>IF(INDEX(lmic_raw[],MATCH($A79,lmic_raw[[setting]:[setting]],0), MATCH(M$1, lmic_raw[#Headers],0))=0, INDEX(regions[], MATCH($D79, regions[[setting]:[setting]],0), MATCH(M$1, regions[#Headers],0)),INDEX(lmic_raw[],MATCH($A79,lmic_raw[[setting]:[setting]],0), MATCH(M$1, lmic_raw[#Headers],0)))</f>
        <v>1.8600000000000002E-2</v>
      </c>
      <c r="N79" s="33">
        <f>IF(INDEX(lmic_raw[],MATCH($A79,lmic_raw[[setting]:[setting]],0), MATCH(N$1, lmic_raw[#Headers],0))=0, INDEX(regions[], MATCH($D79, regions[[setting]:[setting]],0), MATCH(N$1, regions[#Headers],0)),INDEX(lmic_raw[],MATCH($A79,lmic_raw[[setting]:[setting]],0), MATCH(N$1, lmic_raw[#Headers],0)))</f>
        <v>0.33273537315274737</v>
      </c>
      <c r="O79" s="33">
        <f>IF(INDEX(lmic_raw[],MATCH($A79,lmic_raw[[setting]:[setting]],0), MATCH(O$1, lmic_raw[#Headers],0))=0, INDEX(regions[], MATCH($D79, regions[[setting]:[setting]],0), MATCH(O$1, regions[#Headers],0)),INDEX(lmic_raw[],MATCH($A79,lmic_raw[[setting]:[setting]],0), MATCH(O$1, lmic_raw[#Headers],0)))</f>
        <v>0.8</v>
      </c>
      <c r="P79" s="33">
        <f>IF(INDEX(lmic_raw[],MATCH($A79,lmic_raw[[setting]:[setting]],0), MATCH(P$1, lmic_raw[#Headers],0))=0, INDEX(regions[], MATCH($D79, regions[[setting]:[setting]],0), MATCH(P$1, regions[#Headers],0)),INDEX(lmic_raw[],MATCH($A79,lmic_raw[[setting]:[setting]],0), MATCH(P$1, lmic_raw[#Headers],0)))</f>
        <v>0.17499999999999999</v>
      </c>
      <c r="Q79" s="33">
        <f>IF(INDEX(lmic_raw[],MATCH($A79,lmic_raw[[setting]:[setting]],0), MATCH(Q$1, lmic_raw[#Headers],0))=0, INDEX(regions[], MATCH($D79, regions[[setting]:[setting]],0), MATCH(Q$1, regions[#Headers],0)),INDEX(lmic_raw[],MATCH($A79,lmic_raw[[setting]:[setting]],0), MATCH(Q$1, lmic_raw[#Headers],0)))</f>
        <v>4.6578711530420058</v>
      </c>
      <c r="R79" s="33">
        <f>IF(INDEX(lmic_raw[],MATCH($A79,lmic_raw[[setting]:[setting]],0), MATCH(R$1, lmic_raw[#Headers],0))=0, INDEX(regions[], MATCH($D79, regions[[setting]:[setting]],0), MATCH(R$1, regions[#Headers],0)),INDEX(lmic_raw[],MATCH($A79,lmic_raw[[setting]:[setting]],0), MATCH(R$1, lmic_raw[#Headers],0)))</f>
        <v>73.084500000000006</v>
      </c>
      <c r="S79" s="33">
        <f>IF(INDEX(lmic_raw[],MATCH($A79,lmic_raw[[setting]:[setting]],0), MATCH(S$1, lmic_raw[#Headers],0))=0, INDEX(regions[], MATCH($D79, regions[[setting]:[setting]],0), MATCH(S$1, regions[#Headers],0)),INDEX(lmic_raw[],MATCH($A79,lmic_raw[[setting]:[setting]],0), MATCH(S$1, lmic_raw[#Headers],0)))</f>
        <v>120.8265</v>
      </c>
      <c r="T79" s="33">
        <f>IF(INDEX(lmic_raw[],MATCH($A79,lmic_raw[[setting]:[setting]],0), MATCH(T$1, lmic_raw[#Headers],0))=0, INDEX(regions[], MATCH($D79, regions[[setting]:[setting]],0), MATCH(T$1, regions[#Headers],0)),INDEX(lmic_raw[],MATCH($A79,lmic_raw[[setting]:[setting]],0), MATCH(T$1, lmic_raw[#Headers],0)))</f>
        <v>120.8265</v>
      </c>
      <c r="U79" s="33">
        <f>IF(INDEX(lmic_raw[],MATCH($A79,lmic_raw[[setting]:[setting]],0), MATCH(U$1, lmic_raw[#Headers],0))=0, INDEX(regions[], MATCH($D79, regions[[setting]:[setting]],0), MATCH(U$1, regions[#Headers],0)),INDEX(lmic_raw[],MATCH($A79,lmic_raw[[setting]:[setting]],0), MATCH(U$1, lmic_raw[#Headers],0)))</f>
        <v>120.8265</v>
      </c>
      <c r="V79" s="33">
        <f>IF(INDEX(lmic_raw[],MATCH($A79,lmic_raw[[setting]:[setting]],0), MATCH(V$1, lmic_raw[#Headers],0))=0, INDEX(regions[], MATCH($D79, regions[[setting]:[setting]],0), MATCH(V$1, regions[#Headers],0)),INDEX(lmic_raw[],MATCH($A79,lmic_raw[[setting]:[setting]],0), MATCH(V$1, lmic_raw[#Headers],0)))</f>
        <v>9.8165806139030991</v>
      </c>
      <c r="W79" s="33">
        <f>IF(INDEX(lmic_raw[],MATCH($A79,lmic_raw[[setting]:[setting]],0), MATCH(W$1, lmic_raw[#Headers],0))=0, INDEX(regions[], MATCH($D79, regions[[setting]:[setting]],0), MATCH(W$1, regions[#Headers],0)),INDEX(lmic_raw[],MATCH($A79,lmic_raw[[setting]:[setting]],0), MATCH(W$1, lmic_raw[#Headers],0)))</f>
        <v>10.4465806139031</v>
      </c>
      <c r="X79" s="33">
        <f>IF(INDEX(lmic_raw[],MATCH($A79,lmic_raw[[setting]:[setting]],0), MATCH(X$1, lmic_raw[#Headers],0))=0, INDEX(regions[], MATCH($D79, regions[[setting]:[setting]],0), MATCH(X$1, regions[#Headers],0)),INDEX(lmic_raw[],MATCH($A79,lmic_raw[[setting]:[setting]],0), MATCH(X$1, lmic_raw[#Headers],0)))</f>
        <v>9.3631647767182269</v>
      </c>
      <c r="Y79" s="33">
        <f>IF(INDEX(lmic_raw[],MATCH($A79,lmic_raw[[setting]:[setting]],0), MATCH(Y$1, lmic_raw[#Headers],0))=0, INDEX(regions[], MATCH($D79, regions[[setting]:[setting]],0), MATCH(Y$1, regions[#Headers],0)),INDEX(lmic_raw[],MATCH($A79,lmic_raw[[setting]:[setting]],0), MATCH(Y$1, lmic_raw[#Headers],0)))</f>
        <v>9.9931647767182277</v>
      </c>
      <c r="Z79" s="33">
        <f>IF(INDEX(lmic_raw[],MATCH($A79,lmic_raw[[setting]:[setting]],0), MATCH(Z$1, lmic_raw[#Headers],0))=0, INDEX(regions[], MATCH($D79, regions[[setting]:[setting]],0), MATCH(Z$1, regions[#Headers],0)),INDEX(lmic_raw[],MATCH($A79,lmic_raw[[setting]:[setting]],0), MATCH(Z$1, lmic_raw[#Headers],0)))</f>
        <v>9.9787229157409989</v>
      </c>
      <c r="AA79" s="33">
        <f>IF(INDEX(lmic_raw[],MATCH($A79,lmic_raw[[setting]:[setting]],0), MATCH(AA$1, lmic_raw[#Headers],0))=0, INDEX(regions[], MATCH($D79, regions[[setting]:[setting]],0), MATCH(AA$1, regions[#Headers],0)),INDEX(lmic_raw[],MATCH($A79,lmic_raw[[setting]:[setting]],0), MATCH(AA$1, lmic_raw[#Headers],0)))</f>
        <v>10.068247247309298</v>
      </c>
      <c r="AB79" s="33">
        <f>IF(INDEX(lmic_raw[],MATCH($A79,lmic_raw[[setting]:[setting]],0), MATCH(AB$1, lmic_raw[#Headers],0))=0, INDEX(regions[], MATCH($D79, regions[[setting]:[setting]],0), MATCH(AB$1, regions[#Headers],0)),INDEX(lmic_raw[],MATCH($A79,lmic_raw[[setting]:[setting]],0), MATCH(AB$1, lmic_raw[#Headers],0)))</f>
        <v>10.698247247309299</v>
      </c>
      <c r="AC79" s="33">
        <f>IF(INDEX(lmic_raw[],MATCH($A79,lmic_raw[[setting]:[setting]],0), MATCH(AC$1, lmic_raw[#Headers],0))=0, INDEX(regions[], MATCH($D79, regions[[setting]:[setting]],0), MATCH(AC$1, regions[#Headers],0)),INDEX(lmic_raw[],MATCH($A79,lmic_raw[[setting]:[setting]],0), MATCH(AC$1, lmic_raw[#Headers],0)))</f>
        <v>1.1219750000000058E-2</v>
      </c>
      <c r="AD79" s="33">
        <f>IF(INDEX(lmic_raw[],MATCH($A79,lmic_raw[[setting]:[setting]],0), MATCH(AD$1, lmic_raw[#Headers],0))=0, INDEX(regions[], MATCH($D79, regions[[setting]:[setting]],0), MATCH(AD$1, regions[#Headers],0)),INDEX(lmic_raw[],MATCH($A79,lmic_raw[[setting]:[setting]],0), MATCH(AD$1, lmic_raw[#Headers],0)))</f>
        <v>4.9551202099758717E-4</v>
      </c>
      <c r="AE79" s="33">
        <f>IF(INDEX(lmic_raw[],MATCH($A79,lmic_raw[[setting]:[setting]],0), MATCH(AE$1, lmic_raw[#Headers],0))=0, INDEX(regions[], MATCH($D79, regions[[setting]:[setting]],0), MATCH(AE$1, regions[#Headers],0)),INDEX(lmic_raw[],MATCH($A79,lmic_raw[[setting]:[setting]],0), MATCH(AE$1, lmic_raw[#Headers],0)))</f>
        <v>1.4383974454358547E-4</v>
      </c>
      <c r="AF79" s="33">
        <f>IF(INDEX(lmic_raw[],MATCH($A79,lmic_raw[[setting]:[setting]],0), MATCH(AF$1, lmic_raw[#Headers],0))=0, INDEX(regions[], MATCH($D79, regions[[setting]:[setting]],0), MATCH(AF$1, regions[#Headers],0)),INDEX(lmic_raw[],MATCH($A79,lmic_raw[[setting]:[setting]],0), MATCH(AF$1, lmic_raw[#Headers],0)))</f>
        <v>1.9375106276098254E-4</v>
      </c>
      <c r="AG79" s="33">
        <f>IF(INDEX(lmic_raw[],MATCH($A79,lmic_raw[[setting]:[setting]],0), MATCH(AG$1, lmic_raw[#Headers],0))=0, INDEX(regions[], MATCH($D79, regions[[setting]:[setting]],0), MATCH(AG$1, regions[#Headers],0)),INDEX(lmic_raw[],MATCH($A79,lmic_raw[[setting]:[setting]],0), MATCH(AG$1, lmic_raw[#Headers],0)))</f>
        <v>5.5103995672075288E-4</v>
      </c>
      <c r="AH79" s="33">
        <f>IF(INDEX(lmic_raw[],MATCH($A79,lmic_raw[[setting]:[setting]],0), MATCH(AH$1, lmic_raw[#Headers],0))=0, INDEX(regions[], MATCH($D79, regions[[setting]:[setting]],0), MATCH(AH$1, regions[#Headers],0)),INDEX(lmic_raw[],MATCH($A79,lmic_raw[[setting]:[setting]],0), MATCH(AH$1, lmic_raw[#Headers],0)))</f>
        <v>8.8368451027373129E-4</v>
      </c>
      <c r="AI79" s="33">
        <f>IF(INDEX(lmic_raw[],MATCH($A79,lmic_raw[[setting]:[setting]],0), MATCH(AI$1, lmic_raw[#Headers],0))=0, INDEX(regions[], MATCH($D79, regions[[setting]:[setting]],0), MATCH(AI$1, regions[#Headers],0)),INDEX(lmic_raw[],MATCH($A79,lmic_raw[[setting]:[setting]],0), MATCH(AI$1, lmic_raw[#Headers],0)))</f>
        <v>1.2165092111005393E-3</v>
      </c>
      <c r="AJ79" s="33">
        <f>IF(INDEX(lmic_raw[],MATCH($A79,lmic_raw[[setting]:[setting]],0), MATCH(AJ$1, lmic_raw[#Headers],0))=0, INDEX(regions[], MATCH($D79, regions[[setting]:[setting]],0), MATCH(AJ$1, regions[#Headers],0)),INDEX(lmic_raw[],MATCH($A79,lmic_raw[[setting]:[setting]],0), MATCH(AJ$1, lmic_raw[#Headers],0)))</f>
        <v>1.5102263852154534E-3</v>
      </c>
      <c r="AK79" s="33">
        <f>IF(INDEX(lmic_raw[],MATCH($A79,lmic_raw[[setting]:[setting]],0), MATCH(AK$1, lmic_raw[#Headers],0))=0, INDEX(regions[], MATCH($D79, regions[[setting]:[setting]],0), MATCH(AK$1, regions[#Headers],0)),INDEX(lmic_raw[],MATCH($A79,lmic_raw[[setting]:[setting]],0), MATCH(AK$1, lmic_raw[#Headers],0)))</f>
        <v>2.2255136010703083E-3</v>
      </c>
      <c r="AL79" s="33">
        <f>IF(INDEX(lmic_raw[],MATCH($A79,lmic_raw[[setting]:[setting]],0), MATCH(AL$1, lmic_raw[#Headers],0))=0, INDEX(regions[], MATCH($D79, regions[[setting]:[setting]],0), MATCH(AL$1, regions[#Headers],0)),INDEX(lmic_raw[],MATCH($A79,lmic_raw[[setting]:[setting]],0), MATCH(AL$1, lmic_raw[#Headers],0)))</f>
        <v>3.1821406410451622E-3</v>
      </c>
      <c r="AM79" s="33">
        <f>IF(INDEX(lmic_raw[],MATCH($A79,lmic_raw[[setting]:[setting]],0), MATCH(AM$1, lmic_raw[#Headers],0))=0, INDEX(regions[], MATCH($D79, regions[[setting]:[setting]],0), MATCH(AM$1, regions[#Headers],0)),INDEX(lmic_raw[],MATCH($A79,lmic_raw[[setting]:[setting]],0), MATCH(AM$1, lmic_raw[#Headers],0)))</f>
        <v>4.6283429701317168E-3</v>
      </c>
      <c r="AN79" s="33">
        <f>IF(INDEX(lmic_raw[],MATCH($A79,lmic_raw[[setting]:[setting]],0), MATCH(AN$1, lmic_raw[#Headers],0))=0, INDEX(regions[], MATCH($D79, regions[[setting]:[setting]],0), MATCH(AN$1, regions[#Headers],0)),INDEX(lmic_raw[],MATCH($A79,lmic_raw[[setting]:[setting]],0), MATCH(AN$1, lmic_raw[#Headers],0)))</f>
        <v>6.8349836152977669E-3</v>
      </c>
      <c r="AO79" s="33">
        <f>IF(INDEX(lmic_raw[],MATCH($A79,lmic_raw[[setting]:[setting]],0), MATCH(AO$1, lmic_raw[#Headers],0))=0, INDEX(regions[], MATCH($D79, regions[[setting]:[setting]],0), MATCH(AO$1, regions[#Headers],0)),INDEX(lmic_raw[],MATCH($A79,lmic_raw[[setting]:[setting]],0), MATCH(AO$1, lmic_raw[#Headers],0)))</f>
        <v>9.5098542381649477E-3</v>
      </c>
      <c r="AP79" s="33">
        <f>IF(INDEX(lmic_raw[],MATCH($A79,lmic_raw[[setting]:[setting]],0), MATCH(AP$1, lmic_raw[#Headers],0))=0, INDEX(regions[], MATCH($D79, regions[[setting]:[setting]],0), MATCH(AP$1, regions[#Headers],0)),INDEX(lmic_raw[],MATCH($A79,lmic_raw[[setting]:[setting]],0), MATCH(AP$1, lmic_raw[#Headers],0)))</f>
        <v>1.4750863515586436E-2</v>
      </c>
      <c r="AQ79" s="33">
        <f>IF(INDEX(lmic_raw[],MATCH($A79,lmic_raw[[setting]:[setting]],0), MATCH(AQ$1, lmic_raw[#Headers],0))=0, INDEX(regions[], MATCH($D79, regions[[setting]:[setting]],0), MATCH(AQ$1, regions[#Headers],0)),INDEX(lmic_raw[],MATCH($A79,lmic_raw[[setting]:[setting]],0), MATCH(AQ$1, lmic_raw[#Headers],0)))</f>
        <v>2.1124357164764424E-2</v>
      </c>
      <c r="AR79" s="33">
        <f>IF(INDEX(lmic_raw[],MATCH($A79,lmic_raw[[setting]:[setting]],0), MATCH(AR$1, lmic_raw[#Headers],0))=0, INDEX(regions[], MATCH($D79, regions[[setting]:[setting]],0), MATCH(AR$1, regions[#Headers],0)),INDEX(lmic_raw[],MATCH($A79,lmic_raw[[setting]:[setting]],0), MATCH(AR$1, lmic_raw[#Headers],0)))</f>
        <v>3.1919984282365248E-2</v>
      </c>
      <c r="AS79" s="33">
        <f>IF(INDEX(lmic_raw[],MATCH($A79,lmic_raw[[setting]:[setting]],0), MATCH(AS$1, lmic_raw[#Headers],0))=0, INDEX(regions[], MATCH($D79, regions[[setting]:[setting]],0), MATCH(AS$1, regions[#Headers],0)),INDEX(lmic_raw[],MATCH($A79,lmic_raw[[setting]:[setting]],0), MATCH(AS$1, lmic_raw[#Headers],0)))</f>
        <v>4.5199317054123091E-2</v>
      </c>
      <c r="AT79" s="33">
        <f>IF(INDEX(lmic_raw[],MATCH($A79,lmic_raw[[setting]:[setting]],0), MATCH(AT$1, lmic_raw[#Headers],0))=0, INDEX(regions[], MATCH($D79, regions[[setting]:[setting]],0), MATCH(AT$1, regions[#Headers],0)),INDEX(lmic_raw[],MATCH($A79,lmic_raw[[setting]:[setting]],0), MATCH(AT$1, lmic_raw[#Headers],0)))</f>
        <v>6.7566756051371968E-2</v>
      </c>
      <c r="AU79" s="33">
        <f>IF(INDEX(lmic_raw[],MATCH($A79,lmic_raw[[setting]:[setting]],0), MATCH(AU$1, lmic_raw[#Headers],0))=0, INDEX(regions[], MATCH($D79, regions[[setting]:[setting]],0), MATCH(AU$1, regions[#Headers],0)),INDEX(lmic_raw[],MATCH($A79,lmic_raw[[setting]:[setting]],0), MATCH(AU$1, lmic_raw[#Headers],0)))</f>
        <v>9.4718066154717978E-2</v>
      </c>
      <c r="AV79" s="33">
        <f>IF(INDEX(lmic_raw[],MATCH($A79,lmic_raw[[setting]:[setting]],0), MATCH(AV$1, lmic_raw[#Headers],0))=0, INDEX(regions[], MATCH($D79, regions[[setting]:[setting]],0), MATCH(AV$1, regions[#Headers],0)),INDEX(lmic_raw[],MATCH($A79,lmic_raw[[setting]:[setting]],0), MATCH(AV$1, lmic_raw[#Headers],0)))</f>
        <v>0.12235017582128284</v>
      </c>
      <c r="AW79" s="33">
        <f>IF(INDEX(lmic_raw[],MATCH($A79,lmic_raw[[setting]:[setting]],0), MATCH(AW$1, lmic_raw[#Headers],0))=0, INDEX(regions[], MATCH($D79, regions[[setting]:[setting]],0), MATCH(AW$1, regions[#Headers],0)),INDEX(lmic_raw[],MATCH($A79,lmic_raw[[setting]:[setting]],0), MATCH(AW$1, lmic_raw[#Headers],0)))</f>
        <v>0.14773933517431959</v>
      </c>
      <c r="AX79" s="33">
        <f>IF(INDEX(lmic_raw[],MATCH($A79,lmic_raw[[setting]:[setting]],0), MATCH(AX$1, lmic_raw[#Headers],0))=0, INDEX(regions[], MATCH($D79, regions[[setting]:[setting]],0), MATCH(AX$1, regions[#Headers],0)),INDEX(lmic_raw[],MATCH($A79,lmic_raw[[setting]:[setting]],0), MATCH(AX$1, lmic_raw[#Headers],0)))</f>
        <v>74.763000000000005</v>
      </c>
      <c r="AY79" s="33" t="str">
        <f>IF(VLOOKUP($A79,lmic_raw[],11,FALSE)=0, "Yes", "No")</f>
        <v>Yes</v>
      </c>
    </row>
    <row r="80" spans="1:51" x14ac:dyDescent="0.25">
      <c r="A80" s="109" t="s">
        <v>258</v>
      </c>
      <c r="B80" s="101" t="s">
        <v>470</v>
      </c>
      <c r="C80" s="102">
        <v>484</v>
      </c>
      <c r="D80" s="82" t="s">
        <v>679</v>
      </c>
      <c r="E80" s="82" t="s">
        <v>604</v>
      </c>
      <c r="F80" s="82" t="s">
        <v>665</v>
      </c>
      <c r="G80" s="82" t="s">
        <v>676</v>
      </c>
      <c r="H80" s="33">
        <f>IF(INDEX(lmic_raw[],MATCH($A80,lmic_raw[[setting]:[setting]],0), MATCH(H$1, lmic_raw[#Headers],0))=0, INDEX(regions[], MATCH($D80, regions[[setting]:[setting]],0), MATCH(H$1, regions[#Headers],0)),INDEX(lmic_raw[],MATCH($A80,lmic_raw[[setting]:[setting]],0), MATCH(H$1, lmic_raw[#Headers],0)))</f>
        <v>127575529</v>
      </c>
      <c r="I80" s="33">
        <f>IF(INDEX(lmic_raw[],MATCH($A80,lmic_raw[[setting]:[setting]],0), MATCH(I$1, lmic_raw[#Headers],0))=0, INDEX(regions[], MATCH($D80, regions[[setting]:[setting]],0), MATCH(I$1, regions[#Headers],0)),INDEX(lmic_raw[],MATCH($A80,lmic_raw[[setting]:[setting]],0), MATCH(I$1, lmic_raw[#Headers],0)))</f>
        <v>2262679.5823439998</v>
      </c>
      <c r="J80" s="33">
        <f>IF(INDEX(lmic_raw[],MATCH($A80,lmic_raw[[setting]:[setting]],0), MATCH(J$1, lmic_raw[#Headers],0))=0, INDEX(regions[], MATCH($D80, regions[[setting]:[setting]],0), MATCH(J$1, regions[#Headers],0)),INDEX(lmic_raw[],MATCH($A80,lmic_raw[[setting]:[setting]],0), MATCH(J$1, lmic_raw[#Headers],0)))</f>
        <v>0.96900000000000008</v>
      </c>
      <c r="K80" s="33">
        <f>IF(INDEX(lmic_raw[],MATCH($A80,lmic_raw[[setting]:[setting]],0), MATCH(K$1, lmic_raw[#Headers],0))=0, INDEX(regions[], MATCH($D80, regions[[setting]:[setting]],0), MATCH(K$1, regions[#Headers],0)),INDEX(lmic_raw[],MATCH($A80,lmic_raw[[setting]:[setting]],0), MATCH(K$1, lmic_raw[#Headers],0)))</f>
        <v>0.74567750031159119</v>
      </c>
      <c r="L80" s="33">
        <f>IF(INDEX(lmic_raw[],MATCH($A80,lmic_raw[[setting]:[setting]],0), MATCH(L$1, lmic_raw[#Headers],0))=0, INDEX(regions[], MATCH($D80, regions[[setting]:[setting]],0), MATCH(L$1, regions[#Headers],0)),INDEX(lmic_raw[],MATCH($A80,lmic_raw[[setting]:[setting]],0), MATCH(L$1, lmic_raw[#Headers],0)))</f>
        <v>0.56000000000000005</v>
      </c>
      <c r="M80" s="33">
        <f>IF(INDEX(lmic_raw[],MATCH($A80,lmic_raw[[setting]:[setting]],0), MATCH(M$1, lmic_raw[#Headers],0))=0, INDEX(regions[], MATCH($D80, regions[[setting]:[setting]],0), MATCH(M$1, regions[#Headers],0)),INDEX(lmic_raw[],MATCH($A80,lmic_raw[[setting]:[setting]],0), MATCH(M$1, lmic_raw[#Headers],0)))</f>
        <v>2.8000000000000004E-3</v>
      </c>
      <c r="N80" s="33">
        <f>IF(INDEX(lmic_raw[],MATCH($A80,lmic_raw[[setting]:[setting]],0), MATCH(N$1, lmic_raw[#Headers],0))=0, INDEX(regions[], MATCH($D80, regions[[setting]:[setting]],0), MATCH(N$1, regions[#Headers],0)),INDEX(lmic_raw[],MATCH($A80,lmic_raw[[setting]:[setting]],0), MATCH(N$1, lmic_raw[#Headers],0)))</f>
        <v>0.31318377193893543</v>
      </c>
      <c r="O80" s="33">
        <f>IF(INDEX(lmic_raw[],MATCH($A80,lmic_raw[[setting]:[setting]],0), MATCH(O$1, lmic_raw[#Headers],0))=0, INDEX(regions[], MATCH($D80, regions[[setting]:[setting]],0), MATCH(O$1, regions[#Headers],0)),INDEX(lmic_raw[],MATCH($A80,lmic_raw[[setting]:[setting]],0), MATCH(O$1, lmic_raw[#Headers],0)))</f>
        <v>0.8</v>
      </c>
      <c r="P80" s="33">
        <f>IF(INDEX(lmic_raw[],MATCH($A80,lmic_raw[[setting]:[setting]],0), MATCH(P$1, lmic_raw[#Headers],0))=0, INDEX(regions[], MATCH($D80, regions[[setting]:[setting]],0), MATCH(P$1, regions[#Headers],0)),INDEX(lmic_raw[],MATCH($A80,lmic_raw[[setting]:[setting]],0), MATCH(P$1, lmic_raw[#Headers],0)))</f>
        <v>0.17499999999999999</v>
      </c>
      <c r="Q80" s="33">
        <f>IF(INDEX(lmic_raw[],MATCH($A80,lmic_raw[[setting]:[setting]],0), MATCH(Q$1, lmic_raw[#Headers],0))=0, INDEX(regions[], MATCH($D80, regions[[setting]:[setting]],0), MATCH(Q$1, regions[#Headers],0)),INDEX(lmic_raw[],MATCH($A80,lmic_raw[[setting]:[setting]],0), MATCH(Q$1, lmic_raw[#Headers],0)))</f>
        <v>16.651874365522406</v>
      </c>
      <c r="R80" s="33">
        <f>IF(INDEX(lmic_raw[],MATCH($A80,lmic_raw[[setting]:[setting]],0), MATCH(R$1, lmic_raw[#Headers],0))=0, INDEX(regions[], MATCH($D80, regions[[setting]:[setting]],0), MATCH(R$1, regions[#Headers],0)),INDEX(lmic_raw[],MATCH($A80,lmic_raw[[setting]:[setting]],0), MATCH(R$1, lmic_raw[#Headers],0)))</f>
        <v>86.883899999999997</v>
      </c>
      <c r="S80" s="33">
        <f>IF(INDEX(lmic_raw[],MATCH($A80,lmic_raw[[setting]:[setting]],0), MATCH(S$1, lmic_raw[#Headers],0))=0, INDEX(regions[], MATCH($D80, regions[[setting]:[setting]],0), MATCH(S$1, regions[#Headers],0)),INDEX(lmic_raw[],MATCH($A80,lmic_raw[[setting]:[setting]],0), MATCH(S$1, lmic_raw[#Headers],0)))</f>
        <v>134.6259</v>
      </c>
      <c r="T80" s="33">
        <f>IF(INDEX(lmic_raw[],MATCH($A80,lmic_raw[[setting]:[setting]],0), MATCH(T$1, lmic_raw[#Headers],0))=0, INDEX(regions[], MATCH($D80, regions[[setting]:[setting]],0), MATCH(T$1, regions[#Headers],0)),INDEX(lmic_raw[],MATCH($A80,lmic_raw[[setting]:[setting]],0), MATCH(T$1, lmic_raw[#Headers],0)))</f>
        <v>134.6259</v>
      </c>
      <c r="U80" s="33">
        <f>IF(INDEX(lmic_raw[],MATCH($A80,lmic_raw[[setting]:[setting]],0), MATCH(U$1, lmic_raw[#Headers],0))=0, INDEX(regions[], MATCH($D80, regions[[setting]:[setting]],0), MATCH(U$1, regions[#Headers],0)),INDEX(lmic_raw[],MATCH($A80,lmic_raw[[setting]:[setting]],0), MATCH(U$1, lmic_raw[#Headers],0)))</f>
        <v>134.6259</v>
      </c>
      <c r="V80" s="33">
        <f>IF(INDEX(lmic_raw[],MATCH($A80,lmic_raw[[setting]:[setting]],0), MATCH(V$1, lmic_raw[#Headers],0))=0, INDEX(regions[], MATCH($D80, regions[[setting]:[setting]],0), MATCH(V$1, regions[#Headers],0)),INDEX(lmic_raw[],MATCH($A80,lmic_raw[[setting]:[setting]],0), MATCH(V$1, lmic_raw[#Headers],0)))</f>
        <v>3.0744266636486213</v>
      </c>
      <c r="W80" s="33">
        <f>IF(INDEX(lmic_raw[],MATCH($A80,lmic_raw[[setting]:[setting]],0), MATCH(W$1, lmic_raw[#Headers],0))=0, INDEX(regions[], MATCH($D80, regions[[setting]:[setting]],0), MATCH(W$1, regions[#Headers],0)),INDEX(lmic_raw[],MATCH($A80,lmic_raw[[setting]:[setting]],0), MATCH(W$1, lmic_raw[#Headers],0)))</f>
        <v>3.0944266636486213</v>
      </c>
      <c r="X80" s="33">
        <f>IF(INDEX(lmic_raw[],MATCH($A80,lmic_raw[[setting]:[setting]],0), MATCH(X$1, lmic_raw[#Headers],0))=0, INDEX(regions[], MATCH($D80, regions[[setting]:[setting]],0), MATCH(X$1, regions[#Headers],0)),INDEX(lmic_raw[],MATCH($A80,lmic_raw[[setting]:[setting]],0), MATCH(X$1, lmic_raw[#Headers],0)))</f>
        <v>2.6241715654877309</v>
      </c>
      <c r="Y80" s="33">
        <f>IF(INDEX(lmic_raw[],MATCH($A80,lmic_raw[[setting]:[setting]],0), MATCH(Y$1, lmic_raw[#Headers],0))=0, INDEX(regions[], MATCH($D80, regions[[setting]:[setting]],0), MATCH(Y$1, regions[#Headers],0)),INDEX(lmic_raw[],MATCH($A80,lmic_raw[[setting]:[setting]],0), MATCH(Y$1, lmic_raw[#Headers],0)))</f>
        <v>2.6441715654877309</v>
      </c>
      <c r="Z80" s="33">
        <f>IF(INDEX(lmic_raw[],MATCH($A80,lmic_raw[[setting]:[setting]],0), MATCH(Z$1, lmic_raw[#Headers],0))=0, INDEX(regions[], MATCH($D80, regions[[setting]:[setting]],0), MATCH(Z$1, regions[#Headers],0)),INDEX(lmic_raw[],MATCH($A80,lmic_raw[[setting]:[setting]],0), MATCH(Z$1, lmic_raw[#Headers],0)))</f>
        <v>2.6307646318253806</v>
      </c>
      <c r="AA80" s="33">
        <f>IF(INDEX(lmic_raw[],MATCH($A80,lmic_raw[[setting]:[setting]],0), MATCH(AA$1, lmic_raw[#Headers],0))=0, INDEX(regions[], MATCH($D80, regions[[setting]:[setting]],0), MATCH(AA$1, regions[#Headers],0)),INDEX(lmic_raw[],MATCH($A80,lmic_raw[[setting]:[setting]],0), MATCH(AA$1, lmic_raw[#Headers],0)))</f>
        <v>3.3249539608950127</v>
      </c>
      <c r="AB80" s="33">
        <f>IF(INDEX(lmic_raw[],MATCH($A80,lmic_raw[[setting]:[setting]],0), MATCH(AB$1, lmic_raw[#Headers],0))=0, INDEX(regions[], MATCH($D80, regions[[setting]:[setting]],0), MATCH(AB$1, regions[#Headers],0)),INDEX(lmic_raw[],MATCH($A80,lmic_raw[[setting]:[setting]],0), MATCH(AB$1, lmic_raw[#Headers],0)))</f>
        <v>3.3449539608950127</v>
      </c>
      <c r="AC80" s="33">
        <f>IF(INDEX(lmic_raw[],MATCH($A80,lmic_raw[[setting]:[setting]],0), MATCH(AC$1, lmic_raw[#Headers],0))=0, INDEX(regions[], MATCH($D80, regions[[setting]:[setting]],0), MATCH(AC$1, regions[#Headers],0)),INDEX(lmic_raw[],MATCH($A80,lmic_raw[[setting]:[setting]],0), MATCH(AC$1, lmic_raw[#Headers],0)))</f>
        <v>1.3512949999999982E-2</v>
      </c>
      <c r="AD80" s="33">
        <f>IF(INDEX(lmic_raw[],MATCH($A80,lmic_raw[[setting]:[setting]],0), MATCH(AD$1, lmic_raw[#Headers],0))=0, INDEX(regions[], MATCH($D80, regions[[setting]:[setting]],0), MATCH(AD$1, regions[#Headers],0)),INDEX(lmic_raw[],MATCH($A80,lmic_raw[[setting]:[setting]],0), MATCH(AD$1, lmic_raw[#Headers],0)))</f>
        <v>5.2048326432669505E-4</v>
      </c>
      <c r="AE80" s="33">
        <f>IF(INDEX(lmic_raw[],MATCH($A80,lmic_raw[[setting]:[setting]],0), MATCH(AE$1, lmic_raw[#Headers],0))=0, INDEX(regions[], MATCH($D80, regions[[setting]:[setting]],0), MATCH(AE$1, regions[#Headers],0)),INDEX(lmic_raw[],MATCH($A80,lmic_raw[[setting]:[setting]],0), MATCH(AE$1, lmic_raw[#Headers],0)))</f>
        <v>2.5512141122823124E-4</v>
      </c>
      <c r="AF80" s="33">
        <f>IF(INDEX(lmic_raw[],MATCH($A80,lmic_raw[[setting]:[setting]],0), MATCH(AF$1, lmic_raw[#Headers],0))=0, INDEX(regions[], MATCH($D80, regions[[setting]:[setting]],0), MATCH(AF$1, regions[#Headers],0)),INDEX(lmic_raw[],MATCH($A80,lmic_raw[[setting]:[setting]],0), MATCH(AF$1, lmic_raw[#Headers],0)))</f>
        <v>3.6238420834488225E-4</v>
      </c>
      <c r="AG80" s="33">
        <f>IF(INDEX(lmic_raw[],MATCH($A80,lmic_raw[[setting]:[setting]],0), MATCH(AG$1, lmic_raw[#Headers],0))=0, INDEX(regions[], MATCH($D80, regions[[setting]:[setting]],0), MATCH(AG$1, regions[#Headers],0)),INDEX(lmic_raw[],MATCH($A80,lmic_raw[[setting]:[setting]],0), MATCH(AG$1, lmic_raw[#Headers],0)))</f>
        <v>7.665508663240487E-4</v>
      </c>
      <c r="AH80" s="33">
        <f>IF(INDEX(lmic_raw[],MATCH($A80,lmic_raw[[setting]:[setting]],0), MATCH(AH$1, lmic_raw[#Headers],0))=0, INDEX(regions[], MATCH($D80, regions[[setting]:[setting]],0), MATCH(AH$1, regions[#Headers],0)),INDEX(lmic_raw[],MATCH($A80,lmic_raw[[setting]:[setting]],0), MATCH(AH$1, lmic_raw[#Headers],0)))</f>
        <v>1.2482475431183713E-3</v>
      </c>
      <c r="AI80" s="33">
        <f>IF(INDEX(lmic_raw[],MATCH($A80,lmic_raw[[setting]:[setting]],0), MATCH(AI$1, lmic_raw[#Headers],0))=0, INDEX(regions[], MATCH($D80, regions[[setting]:[setting]],0), MATCH(AI$1, regions[#Headers],0)),INDEX(lmic_raw[],MATCH($A80,lmic_raw[[setting]:[setting]],0), MATCH(AI$1, lmic_raw[#Headers],0)))</f>
        <v>1.5675062635033927E-3</v>
      </c>
      <c r="AJ80" s="33">
        <f>IF(INDEX(lmic_raw[],MATCH($A80,lmic_raw[[setting]:[setting]],0), MATCH(AJ$1, lmic_raw[#Headers],0))=0, INDEX(regions[], MATCH($D80, regions[[setting]:[setting]],0), MATCH(AJ$1, regions[#Headers],0)),INDEX(lmic_raw[],MATCH($A80,lmic_raw[[setting]:[setting]],0), MATCH(AJ$1, lmic_raw[#Headers],0)))</f>
        <v>1.805884966171544E-3</v>
      </c>
      <c r="AK80" s="33">
        <f>IF(INDEX(lmic_raw[],MATCH($A80,lmic_raw[[setting]:[setting]],0), MATCH(AK$1, lmic_raw[#Headers],0))=0, INDEX(regions[], MATCH($D80, regions[[setting]:[setting]],0), MATCH(AK$1, regions[#Headers],0)),INDEX(lmic_raw[],MATCH($A80,lmic_raw[[setting]:[setting]],0), MATCH(AK$1, lmic_raw[#Headers],0)))</f>
        <v>2.1867916613655036E-3</v>
      </c>
      <c r="AL80" s="33">
        <f>IF(INDEX(lmic_raw[],MATCH($A80,lmic_raw[[setting]:[setting]],0), MATCH(AL$1, lmic_raw[#Headers],0))=0, INDEX(regions[], MATCH($D80, regions[[setting]:[setting]],0), MATCH(AL$1, regions[#Headers],0)),INDEX(lmic_raw[],MATCH($A80,lmic_raw[[setting]:[setting]],0), MATCH(AL$1, lmic_raw[#Headers],0)))</f>
        <v>2.9009136323384387E-3</v>
      </c>
      <c r="AM80" s="33">
        <f>IF(INDEX(lmic_raw[],MATCH($A80,lmic_raw[[setting]:[setting]],0), MATCH(AM$1, lmic_raw[#Headers],0))=0, INDEX(regions[], MATCH($D80, regions[[setting]:[setting]],0), MATCH(AM$1, regions[#Headers],0)),INDEX(lmic_raw[],MATCH($A80,lmic_raw[[setting]:[setting]],0), MATCH(AM$1, lmic_raw[#Headers],0)))</f>
        <v>4.1225920614060153E-3</v>
      </c>
      <c r="AN80" s="33">
        <f>IF(INDEX(lmic_raw[],MATCH($A80,lmic_raw[[setting]:[setting]],0), MATCH(AN$1, lmic_raw[#Headers],0))=0, INDEX(regions[], MATCH($D80, regions[[setting]:[setting]],0), MATCH(AN$1, regions[#Headers],0)),INDEX(lmic_raw[],MATCH($A80,lmic_raw[[setting]:[setting]],0), MATCH(AN$1, lmic_raw[#Headers],0)))</f>
        <v>6.0784860347484725E-3</v>
      </c>
      <c r="AO80" s="33">
        <f>IF(INDEX(lmic_raw[],MATCH($A80,lmic_raw[[setting]:[setting]],0), MATCH(AO$1, lmic_raw[#Headers],0))=0, INDEX(regions[], MATCH($D80, regions[[setting]:[setting]],0), MATCH(AO$1, regions[#Headers],0)),INDEX(lmic_raw[],MATCH($A80,lmic_raw[[setting]:[setting]],0), MATCH(AO$1, lmic_raw[#Headers],0)))</f>
        <v>9.0887769205922671E-3</v>
      </c>
      <c r="AP80" s="33">
        <f>IF(INDEX(lmic_raw[],MATCH($A80,lmic_raw[[setting]:[setting]],0), MATCH(AP$1, lmic_raw[#Headers],0))=0, INDEX(regions[], MATCH($D80, regions[[setting]:[setting]],0), MATCH(AP$1, regions[#Headers],0)),INDEX(lmic_raw[],MATCH($A80,lmic_raw[[setting]:[setting]],0), MATCH(AP$1, lmic_raw[#Headers],0)))</f>
        <v>1.3602529193538508E-2</v>
      </c>
      <c r="AQ80" s="33">
        <f>IF(INDEX(lmic_raw[],MATCH($A80,lmic_raw[[setting]:[setting]],0), MATCH(AQ$1, lmic_raw[#Headers],0))=0, INDEX(regions[], MATCH($D80, regions[[setting]:[setting]],0), MATCH(AQ$1, regions[#Headers],0)),INDEX(lmic_raw[],MATCH($A80,lmic_raw[[setting]:[setting]],0), MATCH(AQ$1, lmic_raw[#Headers],0)))</f>
        <v>2.0289766374395436E-2</v>
      </c>
      <c r="AR80" s="33">
        <f>IF(INDEX(lmic_raw[],MATCH($A80,lmic_raw[[setting]:[setting]],0), MATCH(AR$1, lmic_raw[#Headers],0))=0, INDEX(regions[], MATCH($D80, regions[[setting]:[setting]],0), MATCH(AR$1, regions[#Headers],0)),INDEX(lmic_raw[],MATCH($A80,lmic_raw[[setting]:[setting]],0), MATCH(AR$1, lmic_raw[#Headers],0)))</f>
        <v>2.999065893376187E-2</v>
      </c>
      <c r="AS80" s="33">
        <f>IF(INDEX(lmic_raw[],MATCH($A80,lmic_raw[[setting]:[setting]],0), MATCH(AS$1, lmic_raw[#Headers],0))=0, INDEX(regions[], MATCH($D80, regions[[setting]:[setting]],0), MATCH(AS$1, regions[#Headers],0)),INDEX(lmic_raw[],MATCH($A80,lmic_raw[[setting]:[setting]],0), MATCH(AS$1, lmic_raw[#Headers],0)))</f>
        <v>4.3632283426271401E-2</v>
      </c>
      <c r="AT80" s="33">
        <f>IF(INDEX(lmic_raw[],MATCH($A80,lmic_raw[[setting]:[setting]],0), MATCH(AT$1, lmic_raw[#Headers],0))=0, INDEX(regions[], MATCH($D80, regions[[setting]:[setting]],0), MATCH(AT$1, regions[#Headers],0)),INDEX(lmic_raw[],MATCH($A80,lmic_raw[[setting]:[setting]],0), MATCH(AT$1, lmic_raw[#Headers],0)))</f>
        <v>6.2085984793593195E-2</v>
      </c>
      <c r="AU80" s="33">
        <f>IF(INDEX(lmic_raw[],MATCH($A80,lmic_raw[[setting]:[setting]],0), MATCH(AU$1, lmic_raw[#Headers],0))=0, INDEX(regions[], MATCH($D80, regions[[setting]:[setting]],0), MATCH(AU$1, regions[#Headers],0)),INDEX(lmic_raw[],MATCH($A80,lmic_raw[[setting]:[setting]],0), MATCH(AU$1, lmic_raw[#Headers],0)))</f>
        <v>8.625858645970115E-2</v>
      </c>
      <c r="AV80" s="33">
        <f>IF(INDEX(lmic_raw[],MATCH($A80,lmic_raw[[setting]:[setting]],0), MATCH(AV$1, lmic_raw[#Headers],0))=0, INDEX(regions[], MATCH($D80, regions[[setting]:[setting]],0), MATCH(AV$1, regions[#Headers],0)),INDEX(lmic_raw[],MATCH($A80,lmic_raw[[setting]:[setting]],0), MATCH(AV$1, lmic_raw[#Headers],0)))</f>
        <v>0.11671433425367923</v>
      </c>
      <c r="AW80" s="33">
        <f>IF(INDEX(lmic_raw[],MATCH($A80,lmic_raw[[setting]:[setting]],0), MATCH(AW$1, lmic_raw[#Headers],0))=0, INDEX(regions[], MATCH($D80, regions[[setting]:[setting]],0), MATCH(AW$1, regions[#Headers],0)),INDEX(lmic_raw[],MATCH($A80,lmic_raw[[setting]:[setting]],0), MATCH(AW$1, lmic_raw[#Headers],0)))</f>
        <v>0.15014208419615915</v>
      </c>
      <c r="AX80" s="33">
        <f>IF(INDEX(lmic_raw[],MATCH($A80,lmic_raw[[setting]:[setting]],0), MATCH(AX$1, lmic_raw[#Headers],0))=0, INDEX(regions[], MATCH($D80, regions[[setting]:[setting]],0), MATCH(AX$1, regions[#Headers],0)),INDEX(lmic_raw[],MATCH($A80,lmic_raw[[setting]:[setting]],0), MATCH(AX$1, lmic_raw[#Headers],0)))</f>
        <v>74.977000000000004</v>
      </c>
      <c r="AY80" s="33" t="str">
        <f>IF(VLOOKUP($A80,lmic_raw[],11,FALSE)=0, "Yes", "No")</f>
        <v>Yes</v>
      </c>
    </row>
    <row r="81" spans="1:51" x14ac:dyDescent="0.25">
      <c r="A81" s="82" t="s">
        <v>472</v>
      </c>
      <c r="B81" s="104" t="s">
        <v>471</v>
      </c>
      <c r="C81" s="105">
        <v>583</v>
      </c>
      <c r="D81" s="84" t="s">
        <v>681</v>
      </c>
      <c r="E81" s="84" t="s">
        <v>98</v>
      </c>
      <c r="F81" s="84" t="s">
        <v>666</v>
      </c>
      <c r="G81" s="84" t="s">
        <v>678</v>
      </c>
      <c r="H81" s="33">
        <f>IF(INDEX(lmic_raw[],MATCH($A81,lmic_raw[[setting]:[setting]],0), MATCH(H$1, lmic_raw[#Headers],0))=0, INDEX(regions[], MATCH($D81, regions[[setting]:[setting]],0), MATCH(H$1, regions[#Headers],0)),INDEX(lmic_raw[],MATCH($A81,lmic_raw[[setting]:[setting]],0), MATCH(H$1, lmic_raw[#Headers],0)))</f>
        <v>113811</v>
      </c>
      <c r="I81" s="33">
        <f>IF(INDEX(lmic_raw[],MATCH($A81,lmic_raw[[setting]:[setting]],0), MATCH(I$1, lmic_raw[#Headers],0))=0, INDEX(regions[], MATCH($D81, regions[[setting]:[setting]],0), MATCH(I$1, regions[#Headers],0)),INDEX(lmic_raw[],MATCH($A81,lmic_raw[[setting]:[setting]],0), MATCH(I$1, lmic_raw[#Headers],0)))</f>
        <v>2601.3780270000002</v>
      </c>
      <c r="J81" s="33">
        <f>IF(INDEX(lmic_raw[],MATCH($A81,lmic_raw[[setting]:[setting]],0), MATCH(J$1, lmic_raw[#Headers],0))=0, INDEX(regions[], MATCH($D81, regions[[setting]:[setting]],0), MATCH(J$1, regions[#Headers],0)),INDEX(lmic_raw[],MATCH($A81,lmic_raw[[setting]:[setting]],0), MATCH(J$1, lmic_raw[#Headers],0)))</f>
        <v>0.87</v>
      </c>
      <c r="K81" s="33">
        <f>IF(INDEX(lmic_raw[],MATCH($A81,lmic_raw[[setting]:[setting]],0), MATCH(K$1, lmic_raw[#Headers],0))=0, INDEX(regions[], MATCH($D81, regions[[setting]:[setting]],0), MATCH(K$1, regions[#Headers],0)),INDEX(lmic_raw[],MATCH($A81,lmic_raw[[setting]:[setting]],0), MATCH(K$1, lmic_raw[#Headers],0)))</f>
        <v>0.7</v>
      </c>
      <c r="L81" s="33">
        <f>IF(INDEX(lmic_raw[],MATCH($A81,lmic_raw[[setting]:[setting]],0), MATCH(L$1, lmic_raw[#Headers],0))=0, INDEX(regions[], MATCH($D81, regions[[setting]:[setting]],0), MATCH(L$1, regions[#Headers],0)),INDEX(lmic_raw[],MATCH($A81,lmic_raw[[setting]:[setting]],0), MATCH(L$1, lmic_raw[#Headers],0)))</f>
        <v>0.84</v>
      </c>
      <c r="M81" s="33">
        <f>IF(INDEX(lmic_raw[],MATCH($A81,lmic_raw[[setting]:[setting]],0), MATCH(M$1, lmic_raw[#Headers],0))=0, INDEX(regions[], MATCH($D81, regions[[setting]:[setting]],0), MATCH(M$1, regions[#Headers],0)),INDEX(lmic_raw[],MATCH($A81,lmic_raw[[setting]:[setting]],0), MATCH(M$1, lmic_raw[#Headers],0)))</f>
        <v>3.5200000000000002E-2</v>
      </c>
      <c r="N81" s="33">
        <f>IF(INDEX(lmic_raw[],MATCH($A81,lmic_raw[[setting]:[setting]],0), MATCH(N$1, lmic_raw[#Headers],0))=0, INDEX(regions[], MATCH($D81, regions[[setting]:[setting]],0), MATCH(N$1, regions[#Headers],0)),INDEX(lmic_raw[],MATCH($A81,lmic_raw[[setting]:[setting]],0), MATCH(N$1, lmic_raw[#Headers],0)))</f>
        <v>0.3179561234857366</v>
      </c>
      <c r="O81" s="33">
        <f>IF(INDEX(lmic_raw[],MATCH($A81,lmic_raw[[setting]:[setting]],0), MATCH(O$1, lmic_raw[#Headers],0))=0, INDEX(regions[], MATCH($D81, regions[[setting]:[setting]],0), MATCH(O$1, regions[#Headers],0)),INDEX(lmic_raw[],MATCH($A81,lmic_raw[[setting]:[setting]],0), MATCH(O$1, lmic_raw[#Headers],0)))</f>
        <v>0.8</v>
      </c>
      <c r="P81" s="33">
        <f>IF(INDEX(lmic_raw[],MATCH($A81,lmic_raw[[setting]:[setting]],0), MATCH(P$1, lmic_raw[#Headers],0))=0, INDEX(regions[], MATCH($D81, regions[[setting]:[setting]],0), MATCH(P$1, regions[#Headers],0)),INDEX(lmic_raw[],MATCH($A81,lmic_raw[[setting]:[setting]],0), MATCH(P$1, lmic_raw[#Headers],0)))</f>
        <v>0.17499999999999999</v>
      </c>
      <c r="Q81" s="33">
        <f>IF(INDEX(lmic_raw[],MATCH($A81,lmic_raw[[setting]:[setting]],0), MATCH(Q$1, lmic_raw[#Headers],0))=0, INDEX(regions[], MATCH($D81, regions[[setting]:[setting]],0), MATCH(Q$1, regions[#Headers],0)),INDEX(lmic_raw[],MATCH($A81,lmic_raw[[setting]:[setting]],0), MATCH(Q$1, lmic_raw[#Headers],0)))</f>
        <v>7.6432652958130909</v>
      </c>
      <c r="R81" s="33">
        <f>IF(INDEX(lmic_raw[],MATCH($A81,lmic_raw[[setting]:[setting]],0), MATCH(R$1, lmic_raw[#Headers],0))=0, INDEX(regions[], MATCH($D81, regions[[setting]:[setting]],0), MATCH(R$1, regions[#Headers],0)),INDEX(lmic_raw[],MATCH($A81,lmic_raw[[setting]:[setting]],0), MATCH(R$1, lmic_raw[#Headers],0)))</f>
        <v>73.084500000000006</v>
      </c>
      <c r="S81" s="33">
        <f>IF(INDEX(lmic_raw[],MATCH($A81,lmic_raw[[setting]:[setting]],0), MATCH(S$1, lmic_raw[#Headers],0))=0, INDEX(regions[], MATCH($D81, regions[[setting]:[setting]],0), MATCH(S$1, regions[#Headers],0)),INDEX(lmic_raw[],MATCH($A81,lmic_raw[[setting]:[setting]],0), MATCH(S$1, lmic_raw[#Headers],0)))</f>
        <v>120.8265</v>
      </c>
      <c r="T81" s="33">
        <f>IF(INDEX(lmic_raw[],MATCH($A81,lmic_raw[[setting]:[setting]],0), MATCH(T$1, lmic_raw[#Headers],0))=0, INDEX(regions[], MATCH($D81, regions[[setting]:[setting]],0), MATCH(T$1, regions[#Headers],0)),INDEX(lmic_raw[],MATCH($A81,lmic_raw[[setting]:[setting]],0), MATCH(T$1, lmic_raw[#Headers],0)))</f>
        <v>120.8265</v>
      </c>
      <c r="U81" s="33">
        <f>IF(INDEX(lmic_raw[],MATCH($A81,lmic_raw[[setting]:[setting]],0), MATCH(U$1, lmic_raw[#Headers],0))=0, INDEX(regions[], MATCH($D81, regions[[setting]:[setting]],0), MATCH(U$1, regions[#Headers],0)),INDEX(lmic_raw[],MATCH($A81,lmic_raw[[setting]:[setting]],0), MATCH(U$1, lmic_raw[#Headers],0)))</f>
        <v>120.8265</v>
      </c>
      <c r="V81" s="33">
        <f>IF(INDEX(lmic_raw[],MATCH($A81,lmic_raw[[setting]:[setting]],0), MATCH(V$1, lmic_raw[#Headers],0))=0, INDEX(regions[], MATCH($D81, regions[[setting]:[setting]],0), MATCH(V$1, regions[#Headers],0)),INDEX(lmic_raw[],MATCH($A81,lmic_raw[[setting]:[setting]],0), MATCH(V$1, lmic_raw[#Headers],0)))</f>
        <v>6.2858874431838911</v>
      </c>
      <c r="W81" s="33">
        <f>IF(INDEX(lmic_raw[],MATCH($A81,lmic_raw[[setting]:[setting]],0), MATCH(W$1, lmic_raw[#Headers],0))=0, INDEX(regions[], MATCH($D81, regions[[setting]:[setting]],0), MATCH(W$1, regions[#Headers],0)),INDEX(lmic_raw[],MATCH($A81,lmic_raw[[setting]:[setting]],0), MATCH(W$1, lmic_raw[#Headers],0)))</f>
        <v>6.915887443183891</v>
      </c>
      <c r="X81" s="33">
        <f>IF(INDEX(lmic_raw[],MATCH($A81,lmic_raw[[setting]:[setting]],0), MATCH(X$1, lmic_raw[#Headers],0))=0, INDEX(regions[], MATCH($D81, regions[[setting]:[setting]],0), MATCH(X$1, regions[#Headers],0)),INDEX(lmic_raw[],MATCH($A81,lmic_raw[[setting]:[setting]],0), MATCH(X$1, lmic_raw[#Headers],0)))</f>
        <v>5.8477037830474874</v>
      </c>
      <c r="Y81" s="33">
        <f>IF(INDEX(lmic_raw[],MATCH($A81,lmic_raw[[setting]:[setting]],0), MATCH(Y$1, lmic_raw[#Headers],0))=0, INDEX(regions[], MATCH($D81, regions[[setting]:[setting]],0), MATCH(Y$1, regions[#Headers],0)),INDEX(lmic_raw[],MATCH($A81,lmic_raw[[setting]:[setting]],0), MATCH(Y$1, lmic_raw[#Headers],0)))</f>
        <v>6.4777037830474873</v>
      </c>
      <c r="Z81" s="33">
        <f>IF(INDEX(lmic_raw[],MATCH($A81,lmic_raw[[setting]:[setting]],0), MATCH(Z$1, lmic_raw[#Headers],0))=0, INDEX(regions[], MATCH($D81, regions[[setting]:[setting]],0), MATCH(Z$1, regions[#Headers],0)),INDEX(lmic_raw[],MATCH($A81,lmic_raw[[setting]:[setting]],0), MATCH(Z$1, lmic_raw[#Headers],0)))</f>
        <v>6.4698440784143525</v>
      </c>
      <c r="AA81" s="33">
        <f>IF(INDEX(lmic_raw[],MATCH($A81,lmic_raw[[setting]:[setting]],0), MATCH(AA$1, lmic_raw[#Headers],0))=0, INDEX(regions[], MATCH($D81, regions[[setting]:[setting]],0), MATCH(AA$1, regions[#Headers],0)),INDEX(lmic_raw[],MATCH($A81,lmic_raw[[setting]:[setting]],0), MATCH(AA$1, lmic_raw[#Headers],0)))</f>
        <v>6.5320634081191296</v>
      </c>
      <c r="AB81" s="33">
        <f>IF(INDEX(lmic_raw[],MATCH($A81,lmic_raw[[setting]:[setting]],0), MATCH(AB$1, lmic_raw[#Headers],0))=0, INDEX(regions[], MATCH($D81, regions[[setting]:[setting]],0), MATCH(AB$1, regions[#Headers],0)),INDEX(lmic_raw[],MATCH($A81,lmic_raw[[setting]:[setting]],0), MATCH(AB$1, lmic_raw[#Headers],0)))</f>
        <v>7.1620634081191294</v>
      </c>
      <c r="AC81" s="33">
        <f>IF(INDEX(lmic_raw[],MATCH($A81,lmic_raw[[setting]:[setting]],0), MATCH(AC$1, lmic_raw[#Headers],0))=0, INDEX(regions[], MATCH($D81, regions[[setting]:[setting]],0), MATCH(AC$1, regions[#Headers],0)),INDEX(lmic_raw[],MATCH($A81,lmic_raw[[setting]:[setting]],0), MATCH(AC$1, lmic_raw[#Headers],0)))</f>
        <v>2.3440869999999996E-2</v>
      </c>
      <c r="AD81" s="33">
        <f>IF(INDEX(lmic_raw[],MATCH($A81,lmic_raw[[setting]:[setting]],0), MATCH(AD$1, lmic_raw[#Headers],0))=0, INDEX(regions[], MATCH($D81, regions[[setting]:[setting]],0), MATCH(AD$1, regions[#Headers],0)),INDEX(lmic_raw[],MATCH($A81,lmic_raw[[setting]:[setting]],0), MATCH(AD$1, lmic_raw[#Headers],0)))</f>
        <v>2.1648868307646732E-3</v>
      </c>
      <c r="AE81" s="33">
        <f>IF(INDEX(lmic_raw[],MATCH($A81,lmic_raw[[setting]:[setting]],0), MATCH(AE$1, lmic_raw[#Headers],0))=0, INDEX(regions[], MATCH($D81, regions[[setting]:[setting]],0), MATCH(AE$1, regions[#Headers],0)),INDEX(lmic_raw[],MATCH($A81,lmic_raw[[setting]:[setting]],0), MATCH(AE$1, lmic_raw[#Headers],0)))</f>
        <v>6.4018629761514146E-4</v>
      </c>
      <c r="AF81" s="33">
        <f>IF(INDEX(lmic_raw[],MATCH($A81,lmic_raw[[setting]:[setting]],0), MATCH(AF$1, lmic_raw[#Headers],0))=0, INDEX(regions[], MATCH($D81, regions[[setting]:[setting]],0), MATCH(AF$1, regions[#Headers],0)),INDEX(lmic_raw[],MATCH($A81,lmic_raw[[setting]:[setting]],0), MATCH(AF$1, lmic_raw[#Headers],0)))</f>
        <v>5.4743414776815629E-4</v>
      </c>
      <c r="AG81" s="33">
        <f>IF(INDEX(lmic_raw[],MATCH($A81,lmic_raw[[setting]:[setting]],0), MATCH(AG$1, lmic_raw[#Headers],0))=0, INDEX(regions[], MATCH($D81, regions[[setting]:[setting]],0), MATCH(AG$1, regions[#Headers],0)),INDEX(lmic_raw[],MATCH($A81,lmic_raw[[setting]:[setting]],0), MATCH(AG$1, lmic_raw[#Headers],0)))</f>
        <v>1.0747219997257551E-3</v>
      </c>
      <c r="AH81" s="33">
        <f>IF(INDEX(lmic_raw[],MATCH($A81,lmic_raw[[setting]:[setting]],0), MATCH(AH$1, lmic_raw[#Headers],0))=0, INDEX(regions[], MATCH($D81, regions[[setting]:[setting]],0), MATCH(AH$1, regions[#Headers],0)),INDEX(lmic_raw[],MATCH($A81,lmic_raw[[setting]:[setting]],0), MATCH(AH$1, lmic_raw[#Headers],0)))</f>
        <v>1.3907297498618539E-3</v>
      </c>
      <c r="AI81" s="33">
        <f>IF(INDEX(lmic_raw[],MATCH($A81,lmic_raw[[setting]:[setting]],0), MATCH(AI$1, lmic_raw[#Headers],0))=0, INDEX(regions[], MATCH($D81, regions[[setting]:[setting]],0), MATCH(AI$1, regions[#Headers],0)),INDEX(lmic_raw[],MATCH($A81,lmic_raw[[setting]:[setting]],0), MATCH(AI$1, lmic_raw[#Headers],0)))</f>
        <v>1.4766862405901995E-3</v>
      </c>
      <c r="AJ81" s="33">
        <f>IF(INDEX(lmic_raw[],MATCH($A81,lmic_raw[[setting]:[setting]],0), MATCH(AJ$1, lmic_raw[#Headers],0))=0, INDEX(regions[], MATCH($D81, regions[[setting]:[setting]],0), MATCH(AJ$1, regions[#Headers],0)),INDEX(lmic_raw[],MATCH($A81,lmic_raw[[setting]:[setting]],0), MATCH(AJ$1, lmic_raw[#Headers],0)))</f>
        <v>1.7383537476311204E-3</v>
      </c>
      <c r="AK81" s="33">
        <f>IF(INDEX(lmic_raw[],MATCH($A81,lmic_raw[[setting]:[setting]],0), MATCH(AK$1, lmic_raw[#Headers],0))=0, INDEX(regions[], MATCH($D81, regions[[setting]:[setting]],0), MATCH(AK$1, regions[#Headers],0)),INDEX(lmic_raw[],MATCH($A81,lmic_raw[[setting]:[setting]],0), MATCH(AK$1, lmic_raw[#Headers],0)))</f>
        <v>2.3014617765703032E-3</v>
      </c>
      <c r="AL81" s="33">
        <f>IF(INDEX(lmic_raw[],MATCH($A81,lmic_raw[[setting]:[setting]],0), MATCH(AL$1, lmic_raw[#Headers],0))=0, INDEX(regions[], MATCH($D81, regions[[setting]:[setting]],0), MATCH(AL$1, regions[#Headers],0)),INDEX(lmic_raw[],MATCH($A81,lmic_raw[[setting]:[setting]],0), MATCH(AL$1, lmic_raw[#Headers],0)))</f>
        <v>3.2324636179329146E-3</v>
      </c>
      <c r="AM81" s="33">
        <f>IF(INDEX(lmic_raw[],MATCH($A81,lmic_raw[[setting]:[setting]],0), MATCH(AM$1, lmic_raw[#Headers],0))=0, INDEX(regions[], MATCH($D81, regions[[setting]:[setting]],0), MATCH(AM$1, regions[#Headers],0)),INDEX(lmic_raw[],MATCH($A81,lmic_raw[[setting]:[setting]],0), MATCH(AM$1, lmic_raw[#Headers],0)))</f>
        <v>4.8579253902303852E-3</v>
      </c>
      <c r="AN81" s="33">
        <f>IF(INDEX(lmic_raw[],MATCH($A81,lmic_raw[[setting]:[setting]],0), MATCH(AN$1, lmic_raw[#Headers],0))=0, INDEX(regions[], MATCH($D81, regions[[setting]:[setting]],0), MATCH(AN$1, regions[#Headers],0)),INDEX(lmic_raw[],MATCH($A81,lmic_raw[[setting]:[setting]],0), MATCH(AN$1, lmic_raw[#Headers],0)))</f>
        <v>7.4483614104042797E-3</v>
      </c>
      <c r="AO81" s="33">
        <f>IF(INDEX(lmic_raw[],MATCH($A81,lmic_raw[[setting]:[setting]],0), MATCH(AO$1, lmic_raw[#Headers],0))=0, INDEX(regions[], MATCH($D81, regions[[setting]:[setting]],0), MATCH(AO$1, regions[#Headers],0)),INDEX(lmic_raw[],MATCH($A81,lmic_raw[[setting]:[setting]],0), MATCH(AO$1, lmic_raw[#Headers],0)))</f>
        <v>1.1546852725601551E-2</v>
      </c>
      <c r="AP81" s="33">
        <f>IF(INDEX(lmic_raw[],MATCH($A81,lmic_raw[[setting]:[setting]],0), MATCH(AP$1, lmic_raw[#Headers],0))=0, INDEX(regions[], MATCH($D81, regions[[setting]:[setting]],0), MATCH(AP$1, regions[#Headers],0)),INDEX(lmic_raw[],MATCH($A81,lmic_raw[[setting]:[setting]],0), MATCH(AP$1, lmic_raw[#Headers],0)))</f>
        <v>2.1899808913202371E-2</v>
      </c>
      <c r="AQ81" s="33">
        <f>IF(INDEX(lmic_raw[],MATCH($A81,lmic_raw[[setting]:[setting]],0), MATCH(AQ$1, lmic_raw[#Headers],0))=0, INDEX(regions[], MATCH($D81, regions[[setting]:[setting]],0), MATCH(AQ$1, regions[#Headers],0)),INDEX(lmic_raw[],MATCH($A81,lmic_raw[[setting]:[setting]],0), MATCH(AQ$1, lmic_raw[#Headers],0)))</f>
        <v>4.0487706625867939E-2</v>
      </c>
      <c r="AR81" s="33">
        <f>IF(INDEX(lmic_raw[],MATCH($A81,lmic_raw[[setting]:[setting]],0), MATCH(AR$1, lmic_raw[#Headers],0))=0, INDEX(regions[], MATCH($D81, regions[[setting]:[setting]],0), MATCH(AR$1, regions[#Headers],0)),INDEX(lmic_raw[],MATCH($A81,lmic_raw[[setting]:[setting]],0), MATCH(AR$1, lmic_raw[#Headers],0)))</f>
        <v>6.4035401977734774E-2</v>
      </c>
      <c r="AS81" s="33">
        <f>IF(INDEX(lmic_raw[],MATCH($A81,lmic_raw[[setting]:[setting]],0), MATCH(AS$1, lmic_raw[#Headers],0))=0, INDEX(regions[], MATCH($D81, regions[[setting]:[setting]],0), MATCH(AS$1, regions[#Headers],0)),INDEX(lmic_raw[],MATCH($A81,lmic_raw[[setting]:[setting]],0), MATCH(AS$1, lmic_raw[#Headers],0)))</f>
        <v>9.1371027832408427E-2</v>
      </c>
      <c r="AT81" s="33">
        <f>IF(INDEX(lmic_raw[],MATCH($A81,lmic_raw[[setting]:[setting]],0), MATCH(AT$1, lmic_raw[#Headers],0))=0, INDEX(regions[], MATCH($D81, regions[[setting]:[setting]],0), MATCH(AT$1, regions[#Headers],0)),INDEX(lmic_raw[],MATCH($A81,lmic_raw[[setting]:[setting]],0), MATCH(AT$1, lmic_raw[#Headers],0)))</f>
        <v>0.12448796858623369</v>
      </c>
      <c r="AU81" s="33">
        <f>IF(INDEX(lmic_raw[],MATCH($A81,lmic_raw[[setting]:[setting]],0), MATCH(AU$1, lmic_raw[#Headers],0))=0, INDEX(regions[], MATCH($D81, regions[[setting]:[setting]],0), MATCH(AU$1, regions[#Headers],0)),INDEX(lmic_raw[],MATCH($A81,lmic_raw[[setting]:[setting]],0), MATCH(AU$1, lmic_raw[#Headers],0)))</f>
        <v>0.15754479641058214</v>
      </c>
      <c r="AV81" s="33">
        <f>IF(INDEX(lmic_raw[],MATCH($A81,lmic_raw[[setting]:[setting]],0), MATCH(AV$1, lmic_raw[#Headers],0))=0, INDEX(regions[], MATCH($D81, regions[[setting]:[setting]],0), MATCH(AV$1, regions[#Headers],0)),INDEX(lmic_raw[],MATCH($A81,lmic_raw[[setting]:[setting]],0), MATCH(AV$1, lmic_raw[#Headers],0)))</f>
        <v>0.17929461044094072</v>
      </c>
      <c r="AW81" s="33">
        <f>IF(INDEX(lmic_raw[],MATCH($A81,lmic_raw[[setting]:[setting]],0), MATCH(AW$1, lmic_raw[#Headers],0))=0, INDEX(regions[], MATCH($D81, regions[[setting]:[setting]],0), MATCH(AW$1, regions[#Headers],0)),INDEX(lmic_raw[],MATCH($A81,lmic_raw[[setting]:[setting]],0), MATCH(AW$1, lmic_raw[#Headers],0)))</f>
        <v>0.18928679973190748</v>
      </c>
      <c r="AX81" s="33">
        <f>IF(INDEX(lmic_raw[],MATCH($A81,lmic_raw[[setting]:[setting]],0), MATCH(AX$1, lmic_raw[#Headers],0))=0, INDEX(regions[], MATCH($D81, regions[[setting]:[setting]],0), MATCH(AX$1, regions[#Headers],0)),INDEX(lmic_raw[],MATCH($A81,lmic_raw[[setting]:[setting]],0), MATCH(AX$1, lmic_raw[#Headers],0)))</f>
        <v>67.695999999999998</v>
      </c>
      <c r="AY81" s="33" t="str">
        <f>IF(VLOOKUP($A81,lmic_raw[],11,FALSE)=0, "Yes", "No")</f>
        <v>No</v>
      </c>
    </row>
    <row r="82" spans="1:51" x14ac:dyDescent="0.25">
      <c r="A82" s="82" t="s">
        <v>639</v>
      </c>
      <c r="B82" s="101" t="s">
        <v>499</v>
      </c>
      <c r="C82" s="102">
        <v>498</v>
      </c>
      <c r="D82" s="82" t="s">
        <v>675</v>
      </c>
      <c r="E82" s="82" t="s">
        <v>306</v>
      </c>
      <c r="F82" s="82" t="s">
        <v>663</v>
      </c>
      <c r="G82" s="82" t="s">
        <v>678</v>
      </c>
      <c r="H82" s="33">
        <f>IF(INDEX(lmic_raw[],MATCH($A82,lmic_raw[[setting]:[setting]],0), MATCH(H$1, lmic_raw[#Headers],0))=0, INDEX(regions[], MATCH($D82, regions[[setting]:[setting]],0), MATCH(H$1, regions[#Headers],0)),INDEX(lmic_raw[],MATCH($A82,lmic_raw[[setting]:[setting]],0), MATCH(H$1, lmic_raw[#Headers],0)))</f>
        <v>4043258</v>
      </c>
      <c r="I82" s="33">
        <f>IF(INDEX(lmic_raw[],MATCH($A82,lmic_raw[[setting]:[setting]],0), MATCH(I$1, lmic_raw[#Headers],0))=0, INDEX(regions[], MATCH($D82, regions[[setting]:[setting]],0), MATCH(I$1, regions[#Headers],0)),INDEX(lmic_raw[],MATCH($A82,lmic_raw[[setting]:[setting]],0), MATCH(I$1, lmic_raw[#Headers],0)))</f>
        <v>41039.068699999996</v>
      </c>
      <c r="J82" s="33">
        <f>IF(INDEX(lmic_raw[],MATCH($A82,lmic_raw[[setting]:[setting]],0), MATCH(J$1, lmic_raw[#Headers],0))=0, INDEX(regions[], MATCH($D82, regions[[setting]:[setting]],0), MATCH(J$1, regions[#Headers],0)),INDEX(lmic_raw[],MATCH($A82,lmic_raw[[setting]:[setting]],0), MATCH(J$1, lmic_raw[#Headers],0)))</f>
        <v>0.99400000000000011</v>
      </c>
      <c r="K82" s="33">
        <f>IF(INDEX(lmic_raw[],MATCH($A82,lmic_raw[[setting]:[setting]],0), MATCH(K$1, lmic_raw[#Headers],0))=0, INDEX(regions[], MATCH($D82, regions[[setting]:[setting]],0), MATCH(K$1, regions[#Headers],0)),INDEX(lmic_raw[],MATCH($A82,lmic_raw[[setting]:[setting]],0), MATCH(K$1, lmic_raw[#Headers],0)))</f>
        <v>0.93</v>
      </c>
      <c r="L82" s="33">
        <f>IF(INDEX(lmic_raw[],MATCH($A82,lmic_raw[[setting]:[setting]],0), MATCH(L$1, lmic_raw[#Headers],0))=0, INDEX(regions[], MATCH($D82, regions[[setting]:[setting]],0), MATCH(L$1, regions[#Headers],0)),INDEX(lmic_raw[],MATCH($A82,lmic_raw[[setting]:[setting]],0), MATCH(L$1, lmic_raw[#Headers],0)))</f>
        <v>0.94</v>
      </c>
      <c r="M82" s="33">
        <f>IF(INDEX(lmic_raw[],MATCH($A82,lmic_raw[[setting]:[setting]],0), MATCH(M$1, lmic_raw[#Headers],0))=0, INDEX(regions[], MATCH($D82, regions[[setting]:[setting]],0), MATCH(M$1, regions[#Headers],0)),INDEX(lmic_raw[],MATCH($A82,lmic_raw[[setting]:[setting]],0), MATCH(M$1, lmic_raw[#Headers],0)))</f>
        <v>4.9100000000000005E-2</v>
      </c>
      <c r="N82" s="33">
        <f>IF(INDEX(lmic_raw[],MATCH($A82,lmic_raw[[setting]:[setting]],0), MATCH(N$1, lmic_raw[#Headers],0))=0, INDEX(regions[], MATCH($D82, regions[[setting]:[setting]],0), MATCH(N$1, regions[#Headers],0)),INDEX(lmic_raw[],MATCH($A82,lmic_raw[[setting]:[setting]],0), MATCH(N$1, lmic_raw[#Headers],0)))</f>
        <v>0.29822610488439383</v>
      </c>
      <c r="O82" s="33">
        <f>IF(INDEX(lmic_raw[],MATCH($A82,lmic_raw[[setting]:[setting]],0), MATCH(O$1, lmic_raw[#Headers],0))=0, INDEX(regions[], MATCH($D82, regions[[setting]:[setting]],0), MATCH(O$1, regions[#Headers],0)),INDEX(lmic_raw[],MATCH($A82,lmic_raw[[setting]:[setting]],0), MATCH(O$1, lmic_raw[#Headers],0)))</f>
        <v>0.8</v>
      </c>
      <c r="P82" s="33">
        <f>IF(INDEX(lmic_raw[],MATCH($A82,lmic_raw[[setting]:[setting]],0), MATCH(P$1, lmic_raw[#Headers],0))=0, INDEX(regions[], MATCH($D82, regions[[setting]:[setting]],0), MATCH(P$1, regions[#Headers],0)),INDEX(lmic_raw[],MATCH($A82,lmic_raw[[setting]:[setting]],0), MATCH(P$1, lmic_raw[#Headers],0)))</f>
        <v>0.17499999999999999</v>
      </c>
      <c r="Q82" s="33">
        <f>IF(INDEX(lmic_raw[],MATCH($A82,lmic_raw[[setting]:[setting]],0), MATCH(Q$1, lmic_raw[#Headers],0))=0, INDEX(regions[], MATCH($D82, regions[[setting]:[setting]],0), MATCH(Q$1, regions[#Headers],0)),INDEX(lmic_raw[],MATCH($A82,lmic_raw[[setting]:[setting]],0), MATCH(Q$1, lmic_raw[#Headers],0)))</f>
        <v>10.329323479947563</v>
      </c>
      <c r="R82" s="33">
        <f>IF(INDEX(lmic_raw[],MATCH($A82,lmic_raw[[setting]:[setting]],0), MATCH(R$1, lmic_raw[#Headers],0))=0, INDEX(regions[], MATCH($D82, regions[[setting]:[setting]],0), MATCH(R$1, regions[#Headers],0)),INDEX(lmic_raw[],MATCH($A82,lmic_raw[[setting]:[setting]],0), MATCH(R$1, lmic_raw[#Headers],0)))</f>
        <v>44.537400000000005</v>
      </c>
      <c r="S82" s="33">
        <f>IF(INDEX(lmic_raw[],MATCH($A82,lmic_raw[[setting]:[setting]],0), MATCH(S$1, lmic_raw[#Headers],0))=0, INDEX(regions[], MATCH($D82, regions[[setting]:[setting]],0), MATCH(S$1, regions[#Headers],0)),INDEX(lmic_raw[],MATCH($A82,lmic_raw[[setting]:[setting]],0), MATCH(S$1, lmic_raw[#Headers],0)))</f>
        <v>92.27940000000001</v>
      </c>
      <c r="T82" s="33">
        <f>IF(INDEX(lmic_raw[],MATCH($A82,lmic_raw[[setting]:[setting]],0), MATCH(T$1, lmic_raw[#Headers],0))=0, INDEX(regions[], MATCH($D82, regions[[setting]:[setting]],0), MATCH(T$1, regions[#Headers],0)),INDEX(lmic_raw[],MATCH($A82,lmic_raw[[setting]:[setting]],0), MATCH(T$1, lmic_raw[#Headers],0)))</f>
        <v>92.27940000000001</v>
      </c>
      <c r="U82" s="33">
        <f>IF(INDEX(lmic_raw[],MATCH($A82,lmic_raw[[setting]:[setting]],0), MATCH(U$1, lmic_raw[#Headers],0))=0, INDEX(regions[], MATCH($D82, regions[[setting]:[setting]],0), MATCH(U$1, regions[#Headers],0)),INDEX(lmic_raw[],MATCH($A82,lmic_raw[[setting]:[setting]],0), MATCH(U$1, lmic_raw[#Headers],0)))</f>
        <v>92.27940000000001</v>
      </c>
      <c r="V82" s="33">
        <f>IF(INDEX(lmic_raw[],MATCH($A82,lmic_raw[[setting]:[setting]],0), MATCH(V$1, lmic_raw[#Headers],0))=0, INDEX(regions[], MATCH($D82, regions[[setting]:[setting]],0), MATCH(V$1, regions[#Headers],0)),INDEX(lmic_raw[],MATCH($A82,lmic_raw[[setting]:[setting]],0), MATCH(V$1, lmic_raw[#Headers],0)))</f>
        <v>5.1351076319743525</v>
      </c>
      <c r="W82" s="33">
        <f>IF(INDEX(lmic_raw[],MATCH($A82,lmic_raw[[setting]:[setting]],0), MATCH(W$1, lmic_raw[#Headers],0))=0, INDEX(regions[], MATCH($D82, regions[[setting]:[setting]],0), MATCH(W$1, regions[#Headers],0)),INDEX(lmic_raw[],MATCH($A82,lmic_raw[[setting]:[setting]],0), MATCH(W$1, lmic_raw[#Headers],0)))</f>
        <v>9.2051076319743537</v>
      </c>
      <c r="X82" s="33">
        <f>IF(INDEX(lmic_raw[],MATCH($A82,lmic_raw[[setting]:[setting]],0), MATCH(X$1, lmic_raw[#Headers],0))=0, INDEX(regions[], MATCH($D82, regions[[setting]:[setting]],0), MATCH(X$1, regions[#Headers],0)),INDEX(lmic_raw[],MATCH($A82,lmic_raw[[setting]:[setting]],0), MATCH(X$1, lmic_raw[#Headers],0)))</f>
        <v>4.6899589333442471</v>
      </c>
      <c r="Y82" s="33">
        <f>IF(INDEX(lmic_raw[],MATCH($A82,lmic_raw[[setting]:[setting]],0), MATCH(Y$1, lmic_raw[#Headers],0))=0, INDEX(regions[], MATCH($D82, regions[[setting]:[setting]],0), MATCH(Y$1, regions[#Headers],0)),INDEX(lmic_raw[],MATCH($A82,lmic_raw[[setting]:[setting]],0), MATCH(Y$1, lmic_raw[#Headers],0)))</f>
        <v>8.7599589333442474</v>
      </c>
      <c r="Z82" s="33">
        <f>IF(INDEX(lmic_raw[],MATCH($A82,lmic_raw[[setting]:[setting]],0), MATCH(Z$1, lmic_raw[#Headers],0))=0, INDEX(regions[], MATCH($D82, regions[[setting]:[setting]],0), MATCH(Z$1, regions[#Headers],0)),INDEX(lmic_raw[],MATCH($A82,lmic_raw[[setting]:[setting]],0), MATCH(Z$1, lmic_raw[#Headers],0)))</f>
        <v>8.7485765663292412</v>
      </c>
      <c r="AA82" s="33">
        <f>IF(INDEX(lmic_raw[],MATCH($A82,lmic_raw[[setting]:[setting]],0), MATCH(AA$1, lmic_raw[#Headers],0))=0, INDEX(regions[], MATCH($D82, regions[[setting]:[setting]],0), MATCH(AA$1, regions[#Headers],0)),INDEX(lmic_raw[],MATCH($A82,lmic_raw[[setting]:[setting]],0), MATCH(AA$1, lmic_raw[#Headers],0)))</f>
        <v>5.3837942503201113</v>
      </c>
      <c r="AB82" s="33">
        <f>IF(INDEX(lmic_raw[],MATCH($A82,lmic_raw[[setting]:[setting]],0), MATCH(AB$1, lmic_raw[#Headers],0))=0, INDEX(regions[], MATCH($D82, regions[[setting]:[setting]],0), MATCH(AB$1, regions[#Headers],0)),INDEX(lmic_raw[],MATCH($A82,lmic_raw[[setting]:[setting]],0), MATCH(AB$1, lmic_raw[#Headers],0)))</f>
        <v>9.4537942503201116</v>
      </c>
      <c r="AC82" s="33">
        <f>IF(INDEX(lmic_raw[],MATCH($A82,lmic_raw[[setting]:[setting]],0), MATCH(AC$1, lmic_raw[#Headers],0))=0, INDEX(regions[], MATCH($D82, regions[[setting]:[setting]],0), MATCH(AC$1, regions[#Headers],0)),INDEX(lmic_raw[],MATCH($A82,lmic_raw[[setting]:[setting]],0), MATCH(AC$1, lmic_raw[#Headers],0)))</f>
        <v>1.2356070000000037E-2</v>
      </c>
      <c r="AD82" s="33">
        <f>IF(INDEX(lmic_raw[],MATCH($A82,lmic_raw[[setting]:[setting]],0), MATCH(AD$1, lmic_raw[#Headers],0))=0, INDEX(regions[], MATCH($D82, regions[[setting]:[setting]],0), MATCH(AD$1, regions[#Headers],0)),INDEX(lmic_raw[],MATCH($A82,lmic_raw[[setting]:[setting]],0), MATCH(AD$1, lmic_raw[#Headers],0)))</f>
        <v>5.1653230937185452E-4</v>
      </c>
      <c r="AE82" s="33">
        <f>IF(INDEX(lmic_raw[],MATCH($A82,lmic_raw[[setting]:[setting]],0), MATCH(AE$1, lmic_raw[#Headers],0))=0, INDEX(regions[], MATCH($D82, regions[[setting]:[setting]],0), MATCH(AE$1, regions[#Headers],0)),INDEX(lmic_raw[],MATCH($A82,lmic_raw[[setting]:[setting]],0), MATCH(AE$1, lmic_raw[#Headers],0)))</f>
        <v>2.2573381524593341E-4</v>
      </c>
      <c r="AF82" s="33">
        <f>IF(INDEX(lmic_raw[],MATCH($A82,lmic_raw[[setting]:[setting]],0), MATCH(AF$1, lmic_raw[#Headers],0))=0, INDEX(regions[], MATCH($D82, regions[[setting]:[setting]],0), MATCH(AF$1, regions[#Headers],0)),INDEX(lmic_raw[],MATCH($A82,lmic_raw[[setting]:[setting]],0), MATCH(AF$1, lmic_raw[#Headers],0)))</f>
        <v>1.7649731270754883E-4</v>
      </c>
      <c r="AG82" s="33">
        <f>IF(INDEX(lmic_raw[],MATCH($A82,lmic_raw[[setting]:[setting]],0), MATCH(AG$1, lmic_raw[#Headers],0))=0, INDEX(regions[], MATCH($D82, regions[[setting]:[setting]],0), MATCH(AG$1, regions[#Headers],0)),INDEX(lmic_raw[],MATCH($A82,lmic_raw[[setting]:[setting]],0), MATCH(AG$1, lmic_raw[#Headers],0)))</f>
        <v>4.1222334865976097E-4</v>
      </c>
      <c r="AH82" s="33">
        <f>IF(INDEX(lmic_raw[],MATCH($A82,lmic_raw[[setting]:[setting]],0), MATCH(AH$1, lmic_raw[#Headers],0))=0, INDEX(regions[], MATCH($D82, regions[[setting]:[setting]],0), MATCH(AH$1, regions[#Headers],0)),INDEX(lmic_raw[],MATCH($A82,lmic_raw[[setting]:[setting]],0), MATCH(AH$1, lmic_raw[#Headers],0)))</f>
        <v>5.5838521956235755E-4</v>
      </c>
      <c r="AI82" s="33">
        <f>IF(INDEX(lmic_raw[],MATCH($A82,lmic_raw[[setting]:[setting]],0), MATCH(AI$1, lmic_raw[#Headers],0))=0, INDEX(regions[], MATCH($D82, regions[[setting]:[setting]],0), MATCH(AI$1, regions[#Headers],0)),INDEX(lmic_raw[],MATCH($A82,lmic_raw[[setting]:[setting]],0), MATCH(AI$1, lmic_raw[#Headers],0)))</f>
        <v>8.3978185065986986E-4</v>
      </c>
      <c r="AJ82" s="33">
        <f>IF(INDEX(lmic_raw[],MATCH($A82,lmic_raw[[setting]:[setting]],0), MATCH(AJ$1, lmic_raw[#Headers],0))=0, INDEX(regions[], MATCH($D82, regions[[setting]:[setting]],0), MATCH(AJ$1, regions[#Headers],0)),INDEX(lmic_raw[],MATCH($A82,lmic_raw[[setting]:[setting]],0), MATCH(AJ$1, lmic_raw[#Headers],0)))</f>
        <v>1.2911409393618447E-3</v>
      </c>
      <c r="AK82" s="33">
        <f>IF(INDEX(lmic_raw[],MATCH($A82,lmic_raw[[setting]:[setting]],0), MATCH(AK$1, lmic_raw[#Headers],0))=0, INDEX(regions[], MATCH($D82, regions[[setting]:[setting]],0), MATCH(AK$1, regions[#Headers],0)),INDEX(lmic_raw[],MATCH($A82,lmic_raw[[setting]:[setting]],0), MATCH(AK$1, lmic_raw[#Headers],0)))</f>
        <v>2.3089872457516974E-3</v>
      </c>
      <c r="AL82" s="33">
        <f>IF(INDEX(lmic_raw[],MATCH($A82,lmic_raw[[setting]:[setting]],0), MATCH(AL$1, lmic_raw[#Headers],0))=0, INDEX(regions[], MATCH($D82, regions[[setting]:[setting]],0), MATCH(AL$1, regions[#Headers],0)),INDEX(lmic_raw[],MATCH($A82,lmic_raw[[setting]:[setting]],0), MATCH(AL$1, lmic_raw[#Headers],0)))</f>
        <v>3.2472068089578732E-3</v>
      </c>
      <c r="AM82" s="33">
        <f>IF(INDEX(lmic_raw[],MATCH($A82,lmic_raw[[setting]:[setting]],0), MATCH(AM$1, lmic_raw[#Headers],0))=0, INDEX(regions[], MATCH($D82, regions[[setting]:[setting]],0), MATCH(AM$1, regions[#Headers],0)),INDEX(lmic_raw[],MATCH($A82,lmic_raw[[setting]:[setting]],0), MATCH(AM$1, lmic_raw[#Headers],0)))</f>
        <v>5.7588767309607655E-3</v>
      </c>
      <c r="AN82" s="33">
        <f>IF(INDEX(lmic_raw[],MATCH($A82,lmic_raw[[setting]:[setting]],0), MATCH(AN$1, lmic_raw[#Headers],0))=0, INDEX(regions[], MATCH($D82, regions[[setting]:[setting]],0), MATCH(AN$1, regions[#Headers],0)),INDEX(lmic_raw[],MATCH($A82,lmic_raw[[setting]:[setting]],0), MATCH(AN$1, lmic_raw[#Headers],0)))</f>
        <v>8.5519787927547056E-3</v>
      </c>
      <c r="AO82" s="33">
        <f>IF(INDEX(lmic_raw[],MATCH($A82,lmic_raw[[setting]:[setting]],0), MATCH(AO$1, lmic_raw[#Headers],0))=0, INDEX(regions[], MATCH($D82, regions[[setting]:[setting]],0), MATCH(AO$1, regions[#Headers],0)),INDEX(lmic_raw[],MATCH($A82,lmic_raw[[setting]:[setting]],0), MATCH(AO$1, lmic_raw[#Headers],0)))</f>
        <v>1.2821928563051331E-2</v>
      </c>
      <c r="AP82" s="33">
        <f>IF(INDEX(lmic_raw[],MATCH($A82,lmic_raw[[setting]:[setting]],0), MATCH(AP$1, lmic_raw[#Headers],0))=0, INDEX(regions[], MATCH($D82, regions[[setting]:[setting]],0), MATCH(AP$1, regions[#Headers],0)),INDEX(lmic_raw[],MATCH($A82,lmic_raw[[setting]:[setting]],0), MATCH(AP$1, lmic_raw[#Headers],0)))</f>
        <v>2.1091767696511721E-2</v>
      </c>
      <c r="AQ82" s="33">
        <f>IF(INDEX(lmic_raw[],MATCH($A82,lmic_raw[[setting]:[setting]],0), MATCH(AQ$1, lmic_raw[#Headers],0))=0, INDEX(regions[], MATCH($D82, regions[[setting]:[setting]],0), MATCH(AQ$1, regions[#Headers],0)),INDEX(lmic_raw[],MATCH($A82,lmic_raw[[setting]:[setting]],0), MATCH(AQ$1, lmic_raw[#Headers],0)))</f>
        <v>2.7372341396522927E-2</v>
      </c>
      <c r="AR82" s="33">
        <f>IF(INDEX(lmic_raw[],MATCH($A82,lmic_raw[[setting]:[setting]],0), MATCH(AR$1, lmic_raw[#Headers],0))=0, INDEX(regions[], MATCH($D82, regions[[setting]:[setting]],0), MATCH(AR$1, regions[#Headers],0)),INDEX(lmic_raw[],MATCH($A82,lmic_raw[[setting]:[setting]],0), MATCH(AR$1, lmic_raw[#Headers],0)))</f>
        <v>4.2432166669116665E-2</v>
      </c>
      <c r="AS82" s="33">
        <f>IF(INDEX(lmic_raw[],MATCH($A82,lmic_raw[[setting]:[setting]],0), MATCH(AS$1, lmic_raw[#Headers],0))=0, INDEX(regions[], MATCH($D82, regions[[setting]:[setting]],0), MATCH(AS$1, regions[#Headers],0)),INDEX(lmic_raw[],MATCH($A82,lmic_raw[[setting]:[setting]],0), MATCH(AS$1, lmic_raw[#Headers],0)))</f>
        <v>6.3749925590814951E-2</v>
      </c>
      <c r="AT82" s="33">
        <f>IF(INDEX(lmic_raw[],MATCH($A82,lmic_raw[[setting]:[setting]],0), MATCH(AT$1, lmic_raw[#Headers],0))=0, INDEX(regions[], MATCH($D82, regions[[setting]:[setting]],0), MATCH(AT$1, regions[#Headers],0)),INDEX(lmic_raw[],MATCH($A82,lmic_raw[[setting]:[setting]],0), MATCH(AT$1, lmic_raw[#Headers],0)))</f>
        <v>9.2125842449112899E-2</v>
      </c>
      <c r="AU82" s="33">
        <f>IF(INDEX(lmic_raw[],MATCH($A82,lmic_raw[[setting]:[setting]],0), MATCH(AU$1, lmic_raw[#Headers],0))=0, INDEX(regions[], MATCH($D82, regions[[setting]:[setting]],0), MATCH(AU$1, regions[#Headers],0)),INDEX(lmic_raw[],MATCH($A82,lmic_raw[[setting]:[setting]],0), MATCH(AU$1, lmic_raw[#Headers],0)))</f>
        <v>0.12388987526553405</v>
      </c>
      <c r="AV82" s="33">
        <f>IF(INDEX(lmic_raw[],MATCH($A82,lmic_raw[[setting]:[setting]],0), MATCH(AV$1, lmic_raw[#Headers],0))=0, INDEX(regions[], MATCH($D82, regions[[setting]:[setting]],0), MATCH(AV$1, regions[#Headers],0)),INDEX(lmic_raw[],MATCH($A82,lmic_raw[[setting]:[setting]],0), MATCH(AV$1, lmic_raw[#Headers],0)))</f>
        <v>0.15013067830054949</v>
      </c>
      <c r="AW82" s="33">
        <f>IF(INDEX(lmic_raw[],MATCH($A82,lmic_raw[[setting]:[setting]],0), MATCH(AW$1, lmic_raw[#Headers],0))=0, INDEX(regions[], MATCH($D82, regions[[setting]:[setting]],0), MATCH(AW$1, regions[#Headers],0)),INDEX(lmic_raw[],MATCH($A82,lmic_raw[[setting]:[setting]],0), MATCH(AW$1, lmic_raw[#Headers],0)))</f>
        <v>0.17315483450424698</v>
      </c>
      <c r="AX82" s="33">
        <f>IF(INDEX(lmic_raw[],MATCH($A82,lmic_raw[[setting]:[setting]],0), MATCH(AX$1, lmic_raw[#Headers],0))=0, INDEX(regions[], MATCH($D82, regions[[setting]:[setting]],0), MATCH(AX$1, regions[#Headers],0)),INDEX(lmic_raw[],MATCH($A82,lmic_raw[[setting]:[setting]],0), MATCH(AX$1, lmic_raw[#Headers],0)))</f>
        <v>71.683999999999997</v>
      </c>
      <c r="AY82" s="33" t="str">
        <f>IF(VLOOKUP($A82,lmic_raw[],11,FALSE)=0, "Yes", "No")</f>
        <v>No</v>
      </c>
    </row>
    <row r="83" spans="1:51" x14ac:dyDescent="0.25">
      <c r="A83" s="110" t="s">
        <v>208</v>
      </c>
      <c r="B83" s="104" t="s">
        <v>473</v>
      </c>
      <c r="C83" s="105">
        <v>496</v>
      </c>
      <c r="D83" s="84" t="s">
        <v>681</v>
      </c>
      <c r="E83" s="84" t="s">
        <v>184</v>
      </c>
      <c r="F83" s="84" t="s">
        <v>663</v>
      </c>
      <c r="G83" s="84" t="s">
        <v>678</v>
      </c>
      <c r="H83" s="33">
        <f>IF(INDEX(lmic_raw[],MATCH($A83,lmic_raw[[setting]:[setting]],0), MATCH(H$1, lmic_raw[#Headers],0))=0, INDEX(regions[], MATCH($D83, regions[[setting]:[setting]],0), MATCH(H$1, regions[#Headers],0)),INDEX(lmic_raw[],MATCH($A83,lmic_raw[[setting]:[setting]],0), MATCH(H$1, lmic_raw[#Headers],0)))</f>
        <v>3225166</v>
      </c>
      <c r="I83" s="33">
        <f>IF(INDEX(lmic_raw[],MATCH($A83,lmic_raw[[setting]:[setting]],0), MATCH(I$1, lmic_raw[#Headers],0))=0, INDEX(regions[], MATCH($D83, regions[[setting]:[setting]],0), MATCH(I$1, regions[#Headers],0)),INDEX(lmic_raw[],MATCH($A83,lmic_raw[[setting]:[setting]],0), MATCH(I$1, lmic_raw[#Headers],0)))</f>
        <v>78826.282206000003</v>
      </c>
      <c r="J83" s="33">
        <f>IF(INDEX(lmic_raw[],MATCH($A83,lmic_raw[[setting]:[setting]],0), MATCH(J$1, lmic_raw[#Headers],0))=0, INDEX(regions[], MATCH($D83, regions[[setting]:[setting]],0), MATCH(J$1, regions[#Headers],0)),INDEX(lmic_raw[],MATCH($A83,lmic_raw[[setting]:[setting]],0), MATCH(J$1, lmic_raw[#Headers],0)))</f>
        <v>0.9840000000000001</v>
      </c>
      <c r="K83" s="33">
        <f>IF(INDEX(lmic_raw[],MATCH($A83,lmic_raw[[setting]:[setting]],0), MATCH(K$1, lmic_raw[#Headers],0))=0, INDEX(regions[], MATCH($D83, regions[[setting]:[setting]],0), MATCH(K$1, regions[#Headers],0)),INDEX(lmic_raw[],MATCH($A83,lmic_raw[[setting]:[setting]],0), MATCH(K$1, lmic_raw[#Headers],0)))</f>
        <v>0.98</v>
      </c>
      <c r="L83" s="33">
        <f>IF(INDEX(lmic_raw[],MATCH($A83,lmic_raw[[setting]:[setting]],0), MATCH(L$1, lmic_raw[#Headers],0))=0, INDEX(regions[], MATCH($D83, regions[[setting]:[setting]],0), MATCH(L$1, regions[#Headers],0)),INDEX(lmic_raw[],MATCH($A83,lmic_raw[[setting]:[setting]],0), MATCH(L$1, lmic_raw[#Headers],0)))</f>
        <v>0.98</v>
      </c>
      <c r="M83" s="33">
        <f>IF(INDEX(lmic_raw[],MATCH($A83,lmic_raw[[setting]:[setting]],0), MATCH(M$1, lmic_raw[#Headers],0))=0, INDEX(regions[], MATCH($D83, regions[[setting]:[setting]],0), MATCH(M$1, regions[#Headers],0)),INDEX(lmic_raw[],MATCH($A83,lmic_raw[[setting]:[setting]],0), MATCH(M$1, lmic_raw[#Headers],0)))</f>
        <v>0.10800000000000001</v>
      </c>
      <c r="N83" s="33">
        <f>IF(INDEX(lmic_raw[],MATCH($A83,lmic_raw[[setting]:[setting]],0), MATCH(N$1, lmic_raw[#Headers],0))=0, INDEX(regions[], MATCH($D83, regions[[setting]:[setting]],0), MATCH(N$1, regions[#Headers],0)),INDEX(lmic_raw[],MATCH($A83,lmic_raw[[setting]:[setting]],0), MATCH(N$1, lmic_raw[#Headers],0)))</f>
        <v>0.28953580197018131</v>
      </c>
      <c r="O83" s="33">
        <f>IF(INDEX(lmic_raw[],MATCH($A83,lmic_raw[[setting]:[setting]],0), MATCH(O$1, lmic_raw[#Headers],0))=0, INDEX(regions[], MATCH($D83, regions[[setting]:[setting]],0), MATCH(O$1, regions[#Headers],0)),INDEX(lmic_raw[],MATCH($A83,lmic_raw[[setting]:[setting]],0), MATCH(O$1, lmic_raw[#Headers],0)))</f>
        <v>0.8</v>
      </c>
      <c r="P83" s="33">
        <f>IF(INDEX(lmic_raw[],MATCH($A83,lmic_raw[[setting]:[setting]],0), MATCH(P$1, lmic_raw[#Headers],0))=0, INDEX(regions[], MATCH($D83, regions[[setting]:[setting]],0), MATCH(P$1, regions[#Headers],0)),INDEX(lmic_raw[],MATCH($A83,lmic_raw[[setting]:[setting]],0), MATCH(P$1, lmic_raw[#Headers],0)))</f>
        <v>0.17499999999999999</v>
      </c>
      <c r="Q83" s="33">
        <f>IF(INDEX(lmic_raw[],MATCH($A83,lmic_raw[[setting]:[setting]],0), MATCH(Q$1, lmic_raw[#Headers],0))=0, INDEX(regions[], MATCH($D83, regions[[setting]:[setting]],0), MATCH(Q$1, regions[#Headers],0)),INDEX(lmic_raw[],MATCH($A83,lmic_raw[[setting]:[setting]],0), MATCH(Q$1, lmic_raw[#Headers],0)))</f>
        <v>4.5454432046482269</v>
      </c>
      <c r="R83" s="33">
        <f>IF(INDEX(lmic_raw[],MATCH($A83,lmic_raw[[setting]:[setting]],0), MATCH(R$1, lmic_raw[#Headers],0))=0, INDEX(regions[], MATCH($D83, regions[[setting]:[setting]],0), MATCH(R$1, regions[#Headers],0)),INDEX(lmic_raw[],MATCH($A83,lmic_raw[[setting]:[setting]],0), MATCH(R$1, lmic_raw[#Headers],0)))</f>
        <v>44.537400000000005</v>
      </c>
      <c r="S83" s="33">
        <f>IF(INDEX(lmic_raw[],MATCH($A83,lmic_raw[[setting]:[setting]],0), MATCH(S$1, lmic_raw[#Headers],0))=0, INDEX(regions[], MATCH($D83, regions[[setting]:[setting]],0), MATCH(S$1, regions[#Headers],0)),INDEX(lmic_raw[],MATCH($A83,lmic_raw[[setting]:[setting]],0), MATCH(S$1, lmic_raw[#Headers],0)))</f>
        <v>92.27940000000001</v>
      </c>
      <c r="T83" s="33">
        <f>IF(INDEX(lmic_raw[],MATCH($A83,lmic_raw[[setting]:[setting]],0), MATCH(T$1, lmic_raw[#Headers],0))=0, INDEX(regions[], MATCH($D83, regions[[setting]:[setting]],0), MATCH(T$1, regions[#Headers],0)),INDEX(lmic_raw[],MATCH($A83,lmic_raw[[setting]:[setting]],0), MATCH(T$1, lmic_raw[#Headers],0)))</f>
        <v>92.27940000000001</v>
      </c>
      <c r="U83" s="33">
        <f>IF(INDEX(lmic_raw[],MATCH($A83,lmic_raw[[setting]:[setting]],0), MATCH(U$1, lmic_raw[#Headers],0))=0, INDEX(regions[], MATCH($D83, regions[[setting]:[setting]],0), MATCH(U$1, regions[#Headers],0)),INDEX(lmic_raw[],MATCH($A83,lmic_raw[[setting]:[setting]],0), MATCH(U$1, lmic_raw[#Headers],0)))</f>
        <v>92.27940000000001</v>
      </c>
      <c r="V83" s="33">
        <f>IF(INDEX(lmic_raw[],MATCH($A83,lmic_raw[[setting]:[setting]],0), MATCH(V$1, lmic_raw[#Headers],0))=0, INDEX(regions[], MATCH($D83, regions[[setting]:[setting]],0), MATCH(V$1, regions[#Headers],0)),INDEX(lmic_raw[],MATCH($A83,lmic_raw[[setting]:[setting]],0), MATCH(V$1, lmic_raw[#Headers],0)))</f>
        <v>6.6785265038907387</v>
      </c>
      <c r="W83" s="33">
        <f>IF(INDEX(lmic_raw[],MATCH($A83,lmic_raw[[setting]:[setting]],0), MATCH(W$1, lmic_raw[#Headers],0))=0, INDEX(regions[], MATCH($D83, regions[[setting]:[setting]],0), MATCH(W$1, regions[#Headers],0)),INDEX(lmic_raw[],MATCH($A83,lmic_raw[[setting]:[setting]],0), MATCH(W$1, lmic_raw[#Headers],0)))</f>
        <v>10.748526503890739</v>
      </c>
      <c r="X83" s="33">
        <f>IF(INDEX(lmic_raw[],MATCH($A83,lmic_raw[[setting]:[setting]],0), MATCH(X$1, lmic_raw[#Headers],0))=0, INDEX(regions[], MATCH($D83, regions[[setting]:[setting]],0), MATCH(X$1, regions[#Headers],0)),INDEX(lmic_raw[],MATCH($A83,lmic_raw[[setting]:[setting]],0), MATCH(X$1, lmic_raw[#Headers],0)))</f>
        <v>6.2342171695519344</v>
      </c>
      <c r="Y83" s="33">
        <f>IF(INDEX(lmic_raw[],MATCH($A83,lmic_raw[[setting]:[setting]],0), MATCH(Y$1, lmic_raw[#Headers],0))=0, INDEX(regions[], MATCH($D83, regions[[setting]:[setting]],0), MATCH(Y$1, regions[#Headers],0)),INDEX(lmic_raw[],MATCH($A83,lmic_raw[[setting]:[setting]],0), MATCH(Y$1, lmic_raw[#Headers],0)))</f>
        <v>10.304217169551935</v>
      </c>
      <c r="Z83" s="33">
        <f>IF(INDEX(lmic_raw[],MATCH($A83,lmic_raw[[setting]:[setting]],0), MATCH(Z$1, lmic_raw[#Headers],0))=0, INDEX(regions[], MATCH($D83, regions[[setting]:[setting]],0), MATCH(Z$1, regions[#Headers],0)),INDEX(lmic_raw[],MATCH($A83,lmic_raw[[setting]:[setting]],0), MATCH(Z$1, lmic_raw[#Headers],0)))</f>
        <v>10.293115855156408</v>
      </c>
      <c r="AA83" s="33">
        <f>IF(INDEX(lmic_raw[],MATCH($A83,lmic_raw[[setting]:[setting]],0), MATCH(AA$1, lmic_raw[#Headers],0))=0, INDEX(regions[], MATCH($D83, regions[[setting]:[setting]],0), MATCH(AA$1, regions[#Headers],0)),INDEX(lmic_raw[],MATCH($A83,lmic_raw[[setting]:[setting]],0), MATCH(AA$1, lmic_raw[#Headers],0)))</f>
        <v>6.9269105606896328</v>
      </c>
      <c r="AB83" s="33">
        <f>IF(INDEX(lmic_raw[],MATCH($A83,lmic_raw[[setting]:[setting]],0), MATCH(AB$1, lmic_raw[#Headers],0))=0, INDEX(regions[], MATCH($D83, regions[[setting]:[setting]],0), MATCH(AB$1, regions[#Headers],0)),INDEX(lmic_raw[],MATCH($A83,lmic_raw[[setting]:[setting]],0), MATCH(AB$1, lmic_raw[#Headers],0)))</f>
        <v>10.996910560689633</v>
      </c>
      <c r="AC83" s="33">
        <f>IF(INDEX(lmic_raw[],MATCH($A83,lmic_raw[[setting]:[setting]],0), MATCH(AC$1, lmic_raw[#Headers],0))=0, INDEX(regions[], MATCH($D83, regions[[setting]:[setting]],0), MATCH(AC$1, regions[#Headers],0)),INDEX(lmic_raw[],MATCH($A83,lmic_raw[[setting]:[setting]],0), MATCH(AC$1, lmic_raw[#Headers],0)))</f>
        <v>1.8091659999999975E-2</v>
      </c>
      <c r="AD83" s="33">
        <f>IF(INDEX(lmic_raw[],MATCH($A83,lmic_raw[[setting]:[setting]],0), MATCH(AD$1, lmic_raw[#Headers],0))=0, INDEX(regions[], MATCH($D83, regions[[setting]:[setting]],0), MATCH(AD$1, regions[#Headers],0)),INDEX(lmic_raw[],MATCH($A83,lmic_raw[[setting]:[setting]],0), MATCH(AD$1, lmic_raw[#Headers],0)))</f>
        <v>1.089134246481696E-3</v>
      </c>
      <c r="AE83" s="33">
        <f>IF(INDEX(lmic_raw[],MATCH($A83,lmic_raw[[setting]:[setting]],0), MATCH(AE$1, lmic_raw[#Headers],0))=0, INDEX(regions[], MATCH($D83, regions[[setting]:[setting]],0), MATCH(AE$1, regions[#Headers],0)),INDEX(lmic_raw[],MATCH($A83,lmic_raw[[setting]:[setting]],0), MATCH(AE$1, lmic_raw[#Headers],0)))</f>
        <v>3.6072929057807485E-4</v>
      </c>
      <c r="AF83" s="33">
        <f>IF(INDEX(lmic_raw[],MATCH($A83,lmic_raw[[setting]:[setting]],0), MATCH(AF$1, lmic_raw[#Headers],0))=0, INDEX(regions[], MATCH($D83, regions[[setting]:[setting]],0), MATCH(AF$1, regions[#Headers],0)),INDEX(lmic_raw[],MATCH($A83,lmic_raw[[setting]:[setting]],0), MATCH(AF$1, lmic_raw[#Headers],0)))</f>
        <v>3.3589812188814335E-4</v>
      </c>
      <c r="AG83" s="33">
        <f>IF(INDEX(lmic_raw[],MATCH($A83,lmic_raw[[setting]:[setting]],0), MATCH(AG$1, lmic_raw[#Headers],0))=0, INDEX(regions[], MATCH($D83, regions[[setting]:[setting]],0), MATCH(AG$1, regions[#Headers],0)),INDEX(lmic_raw[],MATCH($A83,lmic_raw[[setting]:[setting]],0), MATCH(AG$1, lmic_raw[#Headers],0)))</f>
        <v>5.2098873409926738E-4</v>
      </c>
      <c r="AH83" s="33">
        <f>IF(INDEX(lmic_raw[],MATCH($A83,lmic_raw[[setting]:[setting]],0), MATCH(AH$1, lmic_raw[#Headers],0))=0, INDEX(regions[], MATCH($D83, regions[[setting]:[setting]],0), MATCH(AH$1, regions[#Headers],0)),INDEX(lmic_raw[],MATCH($A83,lmic_raw[[setting]:[setting]],0), MATCH(AH$1, lmic_raw[#Headers],0)))</f>
        <v>9.0125812173430834E-4</v>
      </c>
      <c r="AI83" s="33">
        <f>IF(INDEX(lmic_raw[],MATCH($A83,lmic_raw[[setting]:[setting]],0), MATCH(AI$1, lmic_raw[#Headers],0))=0, INDEX(regions[], MATCH($D83, regions[[setting]:[setting]],0), MATCH(AI$1, regions[#Headers],0)),INDEX(lmic_raw[],MATCH($A83,lmic_raw[[setting]:[setting]],0), MATCH(AI$1, lmic_raw[#Headers],0)))</f>
        <v>1.2885255419651149E-3</v>
      </c>
      <c r="AJ83" s="33">
        <f>IF(INDEX(lmic_raw[],MATCH($A83,lmic_raw[[setting]:[setting]],0), MATCH(AJ$1, lmic_raw[#Headers],0))=0, INDEX(regions[], MATCH($D83, regions[[setting]:[setting]],0), MATCH(AJ$1, regions[#Headers],0)),INDEX(lmic_raw[],MATCH($A83,lmic_raw[[setting]:[setting]],0), MATCH(AJ$1, lmic_raw[#Headers],0)))</f>
        <v>1.9471744177746583E-3</v>
      </c>
      <c r="AK83" s="33">
        <f>IF(INDEX(lmic_raw[],MATCH($A83,lmic_raw[[setting]:[setting]],0), MATCH(AK$1, lmic_raw[#Headers],0))=0, INDEX(regions[], MATCH($D83, regions[[setting]:[setting]],0), MATCH(AK$1, regions[#Headers],0)),INDEX(lmic_raw[],MATCH($A83,lmic_raw[[setting]:[setting]],0), MATCH(AK$1, lmic_raw[#Headers],0)))</f>
        <v>2.8349576770170136E-3</v>
      </c>
      <c r="AL83" s="33">
        <f>IF(INDEX(lmic_raw[],MATCH($A83,lmic_raw[[setting]:[setting]],0), MATCH(AL$1, lmic_raw[#Headers],0))=0, INDEX(regions[], MATCH($D83, regions[[setting]:[setting]],0), MATCH(AL$1, regions[#Headers],0)),INDEX(lmic_raw[],MATCH($A83,lmic_raw[[setting]:[setting]],0), MATCH(AL$1, lmic_raw[#Headers],0)))</f>
        <v>4.345514061239268E-3</v>
      </c>
      <c r="AM83" s="33">
        <f>IF(INDEX(lmic_raw[],MATCH($A83,lmic_raw[[setting]:[setting]],0), MATCH(AM$1, lmic_raw[#Headers],0))=0, INDEX(regions[], MATCH($D83, regions[[setting]:[setting]],0), MATCH(AM$1, regions[#Headers],0)),INDEX(lmic_raw[],MATCH($A83,lmic_raw[[setting]:[setting]],0), MATCH(AM$1, lmic_raw[#Headers],0)))</f>
        <v>7.4750551799561129E-3</v>
      </c>
      <c r="AN83" s="33">
        <f>IF(INDEX(lmic_raw[],MATCH($A83,lmic_raw[[setting]:[setting]],0), MATCH(AN$1, lmic_raw[#Headers],0))=0, INDEX(regions[], MATCH($D83, regions[[setting]:[setting]],0), MATCH(AN$1, regions[#Headers],0)),INDEX(lmic_raw[],MATCH($A83,lmic_raw[[setting]:[setting]],0), MATCH(AN$1, lmic_raw[#Headers],0)))</f>
        <v>1.117685746018055E-2</v>
      </c>
      <c r="AO83" s="33">
        <f>IF(INDEX(lmic_raw[],MATCH($A83,lmic_raw[[setting]:[setting]],0), MATCH(AO$1, lmic_raw[#Headers],0))=0, INDEX(regions[], MATCH($D83, regions[[setting]:[setting]],0), MATCH(AO$1, regions[#Headers],0)),INDEX(lmic_raw[],MATCH($A83,lmic_raw[[setting]:[setting]],0), MATCH(AO$1, lmic_raw[#Headers],0)))</f>
        <v>1.5155314954888392E-2</v>
      </c>
      <c r="AP83" s="33">
        <f>IF(INDEX(lmic_raw[],MATCH($A83,lmic_raw[[setting]:[setting]],0), MATCH(AP$1, lmic_raw[#Headers],0))=0, INDEX(regions[], MATCH($D83, regions[[setting]:[setting]],0), MATCH(AP$1, regions[#Headers],0)),INDEX(lmic_raw[],MATCH($A83,lmic_raw[[setting]:[setting]],0), MATCH(AP$1, lmic_raw[#Headers],0)))</f>
        <v>2.128058637037436E-2</v>
      </c>
      <c r="AQ83" s="33">
        <f>IF(INDEX(lmic_raw[],MATCH($A83,lmic_raw[[setting]:[setting]],0), MATCH(AQ$1, lmic_raw[#Headers],0))=0, INDEX(regions[], MATCH($D83, regions[[setting]:[setting]],0), MATCH(AQ$1, regions[#Headers],0)),INDEX(lmic_raw[],MATCH($A83,lmic_raw[[setting]:[setting]],0), MATCH(AQ$1, lmic_raw[#Headers],0)))</f>
        <v>2.9015889101694226E-2</v>
      </c>
      <c r="AR83" s="33">
        <f>IF(INDEX(lmic_raw[],MATCH($A83,lmic_raw[[setting]:[setting]],0), MATCH(AR$1, lmic_raw[#Headers],0))=0, INDEX(regions[], MATCH($D83, regions[[setting]:[setting]],0), MATCH(AR$1, regions[#Headers],0)),INDEX(lmic_raw[],MATCH($A83,lmic_raw[[setting]:[setting]],0), MATCH(AR$1, lmic_raw[#Headers],0)))</f>
        <v>4.6152979981666467E-2</v>
      </c>
      <c r="AS83" s="33">
        <f>IF(INDEX(lmic_raw[],MATCH($A83,lmic_raw[[setting]:[setting]],0), MATCH(AS$1, lmic_raw[#Headers],0))=0, INDEX(regions[], MATCH($D83, regions[[setting]:[setting]],0), MATCH(AS$1, regions[#Headers],0)),INDEX(lmic_raw[],MATCH($A83,lmic_raw[[setting]:[setting]],0), MATCH(AS$1, lmic_raw[#Headers],0)))</f>
        <v>6.588315657394142E-2</v>
      </c>
      <c r="AT83" s="33">
        <f>IF(INDEX(lmic_raw[],MATCH($A83,lmic_raw[[setting]:[setting]],0), MATCH(AT$1, lmic_raw[#Headers],0))=0, INDEX(regions[], MATCH($D83, regions[[setting]:[setting]],0), MATCH(AT$1, regions[#Headers],0)),INDEX(lmic_raw[],MATCH($A83,lmic_raw[[setting]:[setting]],0), MATCH(AT$1, lmic_raw[#Headers],0)))</f>
        <v>9.0022095675955552E-2</v>
      </c>
      <c r="AU83" s="33">
        <f>IF(INDEX(lmic_raw[],MATCH($A83,lmic_raw[[setting]:[setting]],0), MATCH(AU$1, lmic_raw[#Headers],0))=0, INDEX(regions[], MATCH($D83, regions[[setting]:[setting]],0), MATCH(AU$1, regions[#Headers],0)),INDEX(lmic_raw[],MATCH($A83,lmic_raw[[setting]:[setting]],0), MATCH(AU$1, lmic_raw[#Headers],0)))</f>
        <v>0.11735601180715931</v>
      </c>
      <c r="AV83" s="33">
        <f>IF(INDEX(lmic_raw[],MATCH($A83,lmic_raw[[setting]:[setting]],0), MATCH(AV$1, lmic_raw[#Headers],0))=0, INDEX(regions[], MATCH($D83, regions[[setting]:[setting]],0), MATCH(AV$1, regions[#Headers],0)),INDEX(lmic_raw[],MATCH($A83,lmic_raw[[setting]:[setting]],0), MATCH(AV$1, lmic_raw[#Headers],0)))</f>
        <v>0.1436109653144062</v>
      </c>
      <c r="AW83" s="33">
        <f>IF(INDEX(lmic_raw[],MATCH($A83,lmic_raw[[setting]:[setting]],0), MATCH(AW$1, lmic_raw[#Headers],0))=0, INDEX(regions[], MATCH($D83, regions[[setting]:[setting]],0), MATCH(AW$1, regions[#Headers],0)),INDEX(lmic_raw[],MATCH($A83,lmic_raw[[setting]:[setting]],0), MATCH(AW$1, lmic_raw[#Headers],0)))</f>
        <v>0.16511405527935535</v>
      </c>
      <c r="AX83" s="33">
        <f>IF(INDEX(lmic_raw[],MATCH($A83,lmic_raw[[setting]:[setting]],0), MATCH(AX$1, lmic_raw[#Headers],0))=0, INDEX(regions[], MATCH($D83, regions[[setting]:[setting]],0), MATCH(AX$1, regions[#Headers],0)),INDEX(lmic_raw[],MATCH($A83,lmic_raw[[setting]:[setting]],0), MATCH(AX$1, lmic_raw[#Headers],0)))</f>
        <v>69.549000000000007</v>
      </c>
      <c r="AY83" s="33" t="str">
        <f>IF(VLOOKUP($A83,lmic_raw[],11,FALSE)=0, "Yes", "No")</f>
        <v>No</v>
      </c>
    </row>
    <row r="84" spans="1:51" x14ac:dyDescent="0.25">
      <c r="A84" s="109" t="s">
        <v>341</v>
      </c>
      <c r="B84" s="101" t="s">
        <v>474</v>
      </c>
      <c r="C84" s="102">
        <v>499</v>
      </c>
      <c r="D84" s="82" t="s">
        <v>675</v>
      </c>
      <c r="E84" s="82" t="s">
        <v>580</v>
      </c>
      <c r="F84" s="82" t="s">
        <v>663</v>
      </c>
      <c r="G84" s="82" t="s">
        <v>676</v>
      </c>
      <c r="H84" s="33">
        <f>IF(INDEX(lmic_raw[],MATCH($A84,lmic_raw[[setting]:[setting]],0), MATCH(H$1, lmic_raw[#Headers],0))=0, INDEX(regions[], MATCH($D84, regions[[setting]:[setting]],0), MATCH(H$1, regions[#Headers],0)),INDEX(lmic_raw[],MATCH($A84,lmic_raw[[setting]:[setting]],0), MATCH(H$1, lmic_raw[#Headers],0)))</f>
        <v>627988</v>
      </c>
      <c r="I84" s="33">
        <f>IF(INDEX(lmic_raw[],MATCH($A84,lmic_raw[[setting]:[setting]],0), MATCH(I$1, lmic_raw[#Headers],0))=0, INDEX(regions[], MATCH($D84, regions[[setting]:[setting]],0), MATCH(I$1, regions[#Headers],0)),INDEX(lmic_raw[],MATCH($A84,lmic_raw[[setting]:[setting]],0), MATCH(I$1, lmic_raw[#Headers],0)))</f>
        <v>7423.4461480000009</v>
      </c>
      <c r="J84" s="33">
        <f>IF(INDEX(lmic_raw[],MATCH($A84,lmic_raw[[setting]:[setting]],0), MATCH(J$1, lmic_raw[#Headers],0))=0, INDEX(regions[], MATCH($D84, regions[[setting]:[setting]],0), MATCH(J$1, regions[#Headers],0)),INDEX(lmic_raw[],MATCH($A84,lmic_raw[[setting]:[setting]],0), MATCH(J$1, lmic_raw[#Headers],0)))</f>
        <v>0.98599999999999999</v>
      </c>
      <c r="K84" s="33">
        <f>IF(INDEX(lmic_raw[],MATCH($A84,lmic_raw[[setting]:[setting]],0), MATCH(K$1, lmic_raw[#Headers],0))=0, INDEX(regions[], MATCH($D84, regions[[setting]:[setting]],0), MATCH(K$1, regions[#Headers],0)),INDEX(lmic_raw[],MATCH($A84,lmic_raw[[setting]:[setting]],0), MATCH(K$1, lmic_raw[#Headers],0)))</f>
        <v>0.94232220105184217</v>
      </c>
      <c r="L84" s="33">
        <f>IF(INDEX(lmic_raw[],MATCH($A84,lmic_raw[[setting]:[setting]],0), MATCH(L$1, lmic_raw[#Headers],0))=0, INDEX(regions[], MATCH($D84, regions[[setting]:[setting]],0), MATCH(L$1, regions[#Headers],0)),INDEX(lmic_raw[],MATCH($A84,lmic_raw[[setting]:[setting]],0), MATCH(L$1, lmic_raw[#Headers],0)))</f>
        <v>0.72</v>
      </c>
      <c r="M84" s="33">
        <f>IF(INDEX(lmic_raw[],MATCH($A84,lmic_raw[[setting]:[setting]],0), MATCH(M$1, lmic_raw[#Headers],0))=0, INDEX(regions[], MATCH($D84, regions[[setting]:[setting]],0), MATCH(M$1, regions[#Headers],0)),INDEX(lmic_raw[],MATCH($A84,lmic_raw[[setting]:[setting]],0), MATCH(M$1, lmic_raw[#Headers],0)))</f>
        <v>1.8700000000000001E-2</v>
      </c>
      <c r="N84" s="33">
        <f>IF(INDEX(lmic_raw[],MATCH($A84,lmic_raw[[setting]:[setting]],0), MATCH(N$1, lmic_raw[#Headers],0))=0, INDEX(regions[], MATCH($D84, regions[[setting]:[setting]],0), MATCH(N$1, regions[#Headers],0)),INDEX(lmic_raw[],MATCH($A84,lmic_raw[[setting]:[setting]],0), MATCH(N$1, lmic_raw[#Headers],0)))</f>
        <v>0.28213738136324418</v>
      </c>
      <c r="O84" s="33">
        <f>IF(INDEX(lmic_raw[],MATCH($A84,lmic_raw[[setting]:[setting]],0), MATCH(O$1, lmic_raw[#Headers],0))=0, INDEX(regions[], MATCH($D84, regions[[setting]:[setting]],0), MATCH(O$1, regions[#Headers],0)),INDEX(lmic_raw[],MATCH($A84,lmic_raw[[setting]:[setting]],0), MATCH(O$1, lmic_raw[#Headers],0)))</f>
        <v>0.8</v>
      </c>
      <c r="P84" s="33">
        <f>IF(INDEX(lmic_raw[],MATCH($A84,lmic_raw[[setting]:[setting]],0), MATCH(P$1, lmic_raw[#Headers],0))=0, INDEX(regions[], MATCH($D84, regions[[setting]:[setting]],0), MATCH(P$1, regions[#Headers],0)),INDEX(lmic_raw[],MATCH($A84,lmic_raw[[setting]:[setting]],0), MATCH(P$1, lmic_raw[#Headers],0)))</f>
        <v>0.17499999999999999</v>
      </c>
      <c r="Q84" s="33">
        <f>IF(INDEX(lmic_raw[],MATCH($A84,lmic_raw[[setting]:[setting]],0), MATCH(Q$1, lmic_raw[#Headers],0))=0, INDEX(regions[], MATCH($D84, regions[[setting]:[setting]],0), MATCH(Q$1, regions[#Headers],0)),INDEX(lmic_raw[],MATCH($A84,lmic_raw[[setting]:[setting]],0), MATCH(Q$1, lmic_raw[#Headers],0)))</f>
        <v>10.329323479947563</v>
      </c>
      <c r="R84" s="33">
        <f>IF(INDEX(lmic_raw[],MATCH($A84,lmic_raw[[setting]:[setting]],0), MATCH(R$1, lmic_raw[#Headers],0))=0, INDEX(regions[], MATCH($D84, regions[[setting]:[setting]],0), MATCH(R$1, regions[#Headers],0)),INDEX(lmic_raw[],MATCH($A84,lmic_raw[[setting]:[setting]],0), MATCH(R$1, lmic_raw[#Headers],0)))</f>
        <v>44.537400000000005</v>
      </c>
      <c r="S84" s="33">
        <f>IF(INDEX(lmic_raw[],MATCH($A84,lmic_raw[[setting]:[setting]],0), MATCH(S$1, lmic_raw[#Headers],0))=0, INDEX(regions[], MATCH($D84, regions[[setting]:[setting]],0), MATCH(S$1, regions[#Headers],0)),INDEX(lmic_raw[],MATCH($A84,lmic_raw[[setting]:[setting]],0), MATCH(S$1, lmic_raw[#Headers],0)))</f>
        <v>92.27940000000001</v>
      </c>
      <c r="T84" s="33">
        <f>IF(INDEX(lmic_raw[],MATCH($A84,lmic_raw[[setting]:[setting]],0), MATCH(T$1, lmic_raw[#Headers],0))=0, INDEX(regions[], MATCH($D84, regions[[setting]:[setting]],0), MATCH(T$1, regions[#Headers],0)),INDEX(lmic_raw[],MATCH($A84,lmic_raw[[setting]:[setting]],0), MATCH(T$1, lmic_raw[#Headers],0)))</f>
        <v>92.27940000000001</v>
      </c>
      <c r="U84" s="33">
        <f>IF(INDEX(lmic_raw[],MATCH($A84,lmic_raw[[setting]:[setting]],0), MATCH(U$1, lmic_raw[#Headers],0))=0, INDEX(regions[], MATCH($D84, regions[[setting]:[setting]],0), MATCH(U$1, regions[#Headers],0)),INDEX(lmic_raw[],MATCH($A84,lmic_raw[[setting]:[setting]],0), MATCH(U$1, lmic_raw[#Headers],0)))</f>
        <v>92.27940000000001</v>
      </c>
      <c r="V84" s="33">
        <f>IF(INDEX(lmic_raw[],MATCH($A84,lmic_raw[[setting]:[setting]],0), MATCH(V$1, lmic_raw[#Headers],0))=0, INDEX(regions[], MATCH($D84, regions[[setting]:[setting]],0), MATCH(V$1, regions[#Headers],0)),INDEX(lmic_raw[],MATCH($A84,lmic_raw[[setting]:[setting]],0), MATCH(V$1, lmic_raw[#Headers],0)))</f>
        <v>8.0309668743467455</v>
      </c>
      <c r="W84" s="33">
        <f>IF(INDEX(lmic_raw[],MATCH($A84,lmic_raw[[setting]:[setting]],0), MATCH(W$1, lmic_raw[#Headers],0))=0, INDEX(regions[], MATCH($D84, regions[[setting]:[setting]],0), MATCH(W$1, regions[#Headers],0)),INDEX(lmic_raw[],MATCH($A84,lmic_raw[[setting]:[setting]],0), MATCH(W$1, lmic_raw[#Headers],0)))</f>
        <v>12.100966874346746</v>
      </c>
      <c r="X84" s="33">
        <f>IF(INDEX(lmic_raw[],MATCH($A84,lmic_raw[[setting]:[setting]],0), MATCH(X$1, lmic_raw[#Headers],0))=0, INDEX(regions[], MATCH($D84, regions[[setting]:[setting]],0), MATCH(X$1, regions[#Headers],0)),INDEX(lmic_raw[],MATCH($A84,lmic_raw[[setting]:[setting]],0), MATCH(X$1, lmic_raw[#Headers],0)))</f>
        <v>7.5849904297658624</v>
      </c>
      <c r="Y84" s="33">
        <f>IF(INDEX(lmic_raw[],MATCH($A84,lmic_raw[[setting]:[setting]],0), MATCH(Y$1, lmic_raw[#Headers],0))=0, INDEX(regions[], MATCH($D84, regions[[setting]:[setting]],0), MATCH(Y$1, regions[#Headers],0)),INDEX(lmic_raw[],MATCH($A84,lmic_raw[[setting]:[setting]],0), MATCH(Y$1, lmic_raw[#Headers],0)))</f>
        <v>11.654990429765864</v>
      </c>
      <c r="Z84" s="33">
        <f>IF(INDEX(lmic_raw[],MATCH($A84,lmic_raw[[setting]:[setting]],0), MATCH(Z$1, lmic_raw[#Headers],0))=0, INDEX(regions[], MATCH($D84, regions[[setting]:[setting]],0), MATCH(Z$1, regions[#Headers],0)),INDEX(lmic_raw[],MATCH($A84,lmic_raw[[setting]:[setting]],0), MATCH(Z$1, lmic_raw[#Headers],0)))</f>
        <v>11.643783375887281</v>
      </c>
      <c r="AA84" s="33">
        <f>IF(INDEX(lmic_raw[],MATCH($A84,lmic_raw[[setting]:[setting]],0), MATCH(AA$1, lmic_raw[#Headers],0))=0, INDEX(regions[], MATCH($D84, regions[[setting]:[setting]],0), MATCH(AA$1, regions[#Headers],0)),INDEX(lmic_raw[],MATCH($A84,lmic_raw[[setting]:[setting]],0), MATCH(AA$1, lmic_raw[#Headers],0)))</f>
        <v>8.2799518662328992</v>
      </c>
      <c r="AB84" s="33">
        <f>IF(INDEX(lmic_raw[],MATCH($A84,lmic_raw[[setting]:[setting]],0), MATCH(AB$1, lmic_raw[#Headers],0))=0, INDEX(regions[], MATCH($D84, regions[[setting]:[setting]],0), MATCH(AB$1, regions[#Headers],0)),INDEX(lmic_raw[],MATCH($A84,lmic_raw[[setting]:[setting]],0), MATCH(AB$1, lmic_raw[#Headers],0)))</f>
        <v>12.3499518662329</v>
      </c>
      <c r="AC84" s="33">
        <f>IF(INDEX(lmic_raw[],MATCH($A84,lmic_raw[[setting]:[setting]],0), MATCH(AC$1, lmic_raw[#Headers],0))=0, INDEX(regions[], MATCH($D84, regions[[setting]:[setting]],0), MATCH(AC$1, regions[#Headers],0)),INDEX(lmic_raw[],MATCH($A84,lmic_raw[[setting]:[setting]],0), MATCH(AC$1, lmic_raw[#Headers],0)))</f>
        <v>2.7589900000000488E-3</v>
      </c>
      <c r="AD84" s="33">
        <f>IF(INDEX(lmic_raw[],MATCH($A84,lmic_raw[[setting]:[setting]],0), MATCH(AD$1, lmic_raw[#Headers],0))=0, INDEX(regions[], MATCH($D84, regions[[setting]:[setting]],0), MATCH(AD$1, regions[#Headers],0)),INDEX(lmic_raw[],MATCH($A84,lmic_raw[[setting]:[setting]],0), MATCH(AD$1, lmic_raw[#Headers],0)))</f>
        <v>1.0978288989539571E-4</v>
      </c>
      <c r="AE84" s="33">
        <f>IF(INDEX(lmic_raw[],MATCH($A84,lmic_raw[[setting]:[setting]],0), MATCH(AE$1, lmic_raw[#Headers],0))=0, INDEX(regions[], MATCH($D84, regions[[setting]:[setting]],0), MATCH(AE$1, regions[#Headers],0)),INDEX(lmic_raw[],MATCH($A84,lmic_raw[[setting]:[setting]],0), MATCH(AE$1, lmic_raw[#Headers],0)))</f>
        <v>1.2963041677568015E-4</v>
      </c>
      <c r="AF84" s="33">
        <f>IF(INDEX(lmic_raw[],MATCH($A84,lmic_raw[[setting]:[setting]],0), MATCH(AF$1, lmic_raw[#Headers],0))=0, INDEX(regions[], MATCH($D84, regions[[setting]:[setting]],0), MATCH(AF$1, regions[#Headers],0)),INDEX(lmic_raw[],MATCH($A84,lmic_raw[[setting]:[setting]],0), MATCH(AF$1, lmic_raw[#Headers],0)))</f>
        <v>1.4090750613701859E-4</v>
      </c>
      <c r="AG84" s="33">
        <f>IF(INDEX(lmic_raw[],MATCH($A84,lmic_raw[[setting]:[setting]],0), MATCH(AG$1, lmic_raw[#Headers],0))=0, INDEX(regions[], MATCH($D84, regions[[setting]:[setting]],0), MATCH(AG$1, regions[#Headers],0)),INDEX(lmic_raw[],MATCH($A84,lmic_raw[[setting]:[setting]],0), MATCH(AG$1, lmic_raw[#Headers],0)))</f>
        <v>2.598449485189175E-4</v>
      </c>
      <c r="AH84" s="33">
        <f>IF(INDEX(lmic_raw[],MATCH($A84,lmic_raw[[setting]:[setting]],0), MATCH(AH$1, lmic_raw[#Headers],0))=0, INDEX(regions[], MATCH($D84, regions[[setting]:[setting]],0), MATCH(AH$1, regions[#Headers],0)),INDEX(lmic_raw[],MATCH($A84,lmic_raw[[setting]:[setting]],0), MATCH(AH$1, lmic_raw[#Headers],0)))</f>
        <v>3.8511837498975804E-4</v>
      </c>
      <c r="AI84" s="33">
        <f>IF(INDEX(lmic_raw[],MATCH($A84,lmic_raw[[setting]:[setting]],0), MATCH(AI$1, lmic_raw[#Headers],0))=0, INDEX(regions[], MATCH($D84, regions[[setting]:[setting]],0), MATCH(AI$1, regions[#Headers],0)),INDEX(lmic_raw[],MATCH($A84,lmic_raw[[setting]:[setting]],0), MATCH(AI$1, lmic_raw[#Headers],0)))</f>
        <v>5.8594049785019419E-4</v>
      </c>
      <c r="AJ84" s="33">
        <f>IF(INDEX(lmic_raw[],MATCH($A84,lmic_raw[[setting]:[setting]],0), MATCH(AJ$1, lmic_raw[#Headers],0))=0, INDEX(regions[], MATCH($D84, regions[[setting]:[setting]],0), MATCH(AJ$1, regions[#Headers],0)),INDEX(lmic_raw[],MATCH($A84,lmic_raw[[setting]:[setting]],0), MATCH(AJ$1, lmic_raw[#Headers],0)))</f>
        <v>5.8344926577957336E-4</v>
      </c>
      <c r="AK84" s="33">
        <f>IF(INDEX(lmic_raw[],MATCH($A84,lmic_raw[[setting]:[setting]],0), MATCH(AK$1, lmic_raw[#Headers],0))=0, INDEX(regions[], MATCH($D84, regions[[setting]:[setting]],0), MATCH(AK$1, regions[#Headers],0)),INDEX(lmic_raw[],MATCH($A84,lmic_raw[[setting]:[setting]],0), MATCH(AK$1, lmic_raw[#Headers],0)))</f>
        <v>9.7097040585871115E-4</v>
      </c>
      <c r="AL84" s="33">
        <f>IF(INDEX(lmic_raw[],MATCH($A84,lmic_raw[[setting]:[setting]],0), MATCH(AL$1, lmic_raw[#Headers],0))=0, INDEX(regions[], MATCH($D84, regions[[setting]:[setting]],0), MATCH(AL$1, regions[#Headers],0)),INDEX(lmic_raw[],MATCH($A84,lmic_raw[[setting]:[setting]],0), MATCH(AL$1, lmic_raw[#Headers],0)))</f>
        <v>1.506992281523925E-3</v>
      </c>
      <c r="AM84" s="33">
        <f>IF(INDEX(lmic_raw[],MATCH($A84,lmic_raw[[setting]:[setting]],0), MATCH(AM$1, lmic_raw[#Headers],0))=0, INDEX(regions[], MATCH($D84, regions[[setting]:[setting]],0), MATCH(AM$1, regions[#Headers],0)),INDEX(lmic_raw[],MATCH($A84,lmic_raw[[setting]:[setting]],0), MATCH(AM$1, lmic_raw[#Headers],0)))</f>
        <v>2.5610333053270123E-3</v>
      </c>
      <c r="AN84" s="33">
        <f>IF(INDEX(lmic_raw[],MATCH($A84,lmic_raw[[setting]:[setting]],0), MATCH(AN$1, lmic_raw[#Headers],0))=0, INDEX(regions[], MATCH($D84, regions[[setting]:[setting]],0), MATCH(AN$1, regions[#Headers],0)),INDEX(lmic_raw[],MATCH($A84,lmic_raw[[setting]:[setting]],0), MATCH(AN$1, lmic_raw[#Headers],0)))</f>
        <v>4.7821152331354623E-3</v>
      </c>
      <c r="AO84" s="33">
        <f>IF(INDEX(lmic_raw[],MATCH($A84,lmic_raw[[setting]:[setting]],0), MATCH(AO$1, lmic_raw[#Headers],0))=0, INDEX(regions[], MATCH($D84, regions[[setting]:[setting]],0), MATCH(AO$1, regions[#Headers],0)),INDEX(lmic_raw[],MATCH($A84,lmic_raw[[setting]:[setting]],0), MATCH(AO$1, lmic_raw[#Headers],0)))</f>
        <v>8.5308074137273905E-3</v>
      </c>
      <c r="AP84" s="33">
        <f>IF(INDEX(lmic_raw[],MATCH($A84,lmic_raw[[setting]:[setting]],0), MATCH(AP$1, lmic_raw[#Headers],0))=0, INDEX(regions[], MATCH($D84, regions[[setting]:[setting]],0), MATCH(AP$1, regions[#Headers],0)),INDEX(lmic_raw[],MATCH($A84,lmic_raw[[setting]:[setting]],0), MATCH(AP$1, lmic_raw[#Headers],0)))</f>
        <v>1.2795081982261316E-2</v>
      </c>
      <c r="AQ84" s="33">
        <f>IF(INDEX(lmic_raw[],MATCH($A84,lmic_raw[[setting]:[setting]],0), MATCH(AQ$1, lmic_raw[#Headers],0))=0, INDEX(regions[], MATCH($D84, regions[[setting]:[setting]],0), MATCH(AQ$1, regions[#Headers],0)),INDEX(lmic_raw[],MATCH($A84,lmic_raw[[setting]:[setting]],0), MATCH(AQ$1, lmic_raw[#Headers],0)))</f>
        <v>2.1186155006874843E-2</v>
      </c>
      <c r="AR84" s="33">
        <f>IF(INDEX(lmic_raw[],MATCH($A84,lmic_raw[[setting]:[setting]],0), MATCH(AR$1, lmic_raw[#Headers],0))=0, INDEX(regions[], MATCH($D84, regions[[setting]:[setting]],0), MATCH(AR$1, regions[#Headers],0)),INDEX(lmic_raw[],MATCH($A84,lmic_raw[[setting]:[setting]],0), MATCH(AR$1, lmic_raw[#Headers],0)))</f>
        <v>3.0975367630566662E-2</v>
      </c>
      <c r="AS84" s="33">
        <f>IF(INDEX(lmic_raw[],MATCH($A84,lmic_raw[[setting]:[setting]],0), MATCH(AS$1, lmic_raw[#Headers],0))=0, INDEX(regions[], MATCH($D84, regions[[setting]:[setting]],0), MATCH(AS$1, regions[#Headers],0)),INDEX(lmic_raw[],MATCH($A84,lmic_raw[[setting]:[setting]],0), MATCH(AS$1, lmic_raw[#Headers],0)))</f>
        <v>5.1451402750234264E-2</v>
      </c>
      <c r="AT84" s="33">
        <f>IF(INDEX(lmic_raw[],MATCH($A84,lmic_raw[[setting]:[setting]],0), MATCH(AT$1, lmic_raw[#Headers],0))=0, INDEX(regions[], MATCH($D84, regions[[setting]:[setting]],0), MATCH(AT$1, regions[#Headers],0)),INDEX(lmic_raw[],MATCH($A84,lmic_raw[[setting]:[setting]],0), MATCH(AT$1, lmic_raw[#Headers],0)))</f>
        <v>8.1119943211650655E-2</v>
      </c>
      <c r="AU84" s="33">
        <f>IF(INDEX(lmic_raw[],MATCH($A84,lmic_raw[[setting]:[setting]],0), MATCH(AU$1, lmic_raw[#Headers],0))=0, INDEX(regions[], MATCH($D84, regions[[setting]:[setting]],0), MATCH(AU$1, regions[#Headers],0)),INDEX(lmic_raw[],MATCH($A84,lmic_raw[[setting]:[setting]],0), MATCH(AU$1, lmic_raw[#Headers],0)))</f>
        <v>0.11760632921694675</v>
      </c>
      <c r="AV84" s="33">
        <f>IF(INDEX(lmic_raw[],MATCH($A84,lmic_raw[[setting]:[setting]],0), MATCH(AV$1, lmic_raw[#Headers],0))=0, INDEX(regions[], MATCH($D84, regions[[setting]:[setting]],0), MATCH(AV$1, regions[#Headers],0)),INDEX(lmic_raw[],MATCH($A84,lmic_raw[[setting]:[setting]],0), MATCH(AV$1, lmic_raw[#Headers],0)))</f>
        <v>0.15578243420900695</v>
      </c>
      <c r="AW84" s="33">
        <f>IF(INDEX(lmic_raw[],MATCH($A84,lmic_raw[[setting]:[setting]],0), MATCH(AW$1, lmic_raw[#Headers],0))=0, INDEX(regions[], MATCH($D84, regions[[setting]:[setting]],0), MATCH(AW$1, regions[#Headers],0)),INDEX(lmic_raw[],MATCH($A84,lmic_raw[[setting]:[setting]],0), MATCH(AW$1, lmic_raw[#Headers],0)))</f>
        <v>0.17912229417993825</v>
      </c>
      <c r="AX84" s="33">
        <f>IF(INDEX(lmic_raw[],MATCH($A84,lmic_raw[[setting]:[setting]],0), MATCH(AX$1, lmic_raw[#Headers],0))=0, INDEX(regions[], MATCH($D84, regions[[setting]:[setting]],0), MATCH(AX$1, regions[#Headers],0)),INDEX(lmic_raw[],MATCH($A84,lmic_raw[[setting]:[setting]],0), MATCH(AX$1, lmic_raw[#Headers],0)))</f>
        <v>76.652000000000001</v>
      </c>
      <c r="AY84" s="33" t="str">
        <f>IF(VLOOKUP($A84,lmic_raw[],11,FALSE)=0, "Yes", "No")</f>
        <v>Yes</v>
      </c>
    </row>
    <row r="85" spans="1:51" x14ac:dyDescent="0.25">
      <c r="A85" s="110" t="s">
        <v>160</v>
      </c>
      <c r="B85" s="104" t="s">
        <v>475</v>
      </c>
      <c r="C85" s="105">
        <v>504</v>
      </c>
      <c r="D85" s="84" t="s">
        <v>673</v>
      </c>
      <c r="E85" s="84" t="s">
        <v>579</v>
      </c>
      <c r="F85" s="84" t="s">
        <v>579</v>
      </c>
      <c r="G85" s="84" t="s">
        <v>678</v>
      </c>
      <c r="H85" s="33">
        <f>IF(INDEX(lmic_raw[],MATCH($A85,lmic_raw[[setting]:[setting]],0), MATCH(H$1, lmic_raw[#Headers],0))=0, INDEX(regions[], MATCH($D85, regions[[setting]:[setting]],0), MATCH(H$1, regions[#Headers],0)),INDEX(lmic_raw[],MATCH($A85,lmic_raw[[setting]:[setting]],0), MATCH(H$1, lmic_raw[#Headers],0)))</f>
        <v>36471766</v>
      </c>
      <c r="I85" s="33">
        <f>IF(INDEX(lmic_raw[],MATCH($A85,lmic_raw[[setting]:[setting]],0), MATCH(I$1, lmic_raw[#Headers],0))=0, INDEX(regions[], MATCH($D85, regions[[setting]:[setting]],0), MATCH(I$1, regions[#Headers],0)),INDEX(lmic_raw[],MATCH($A85,lmic_raw[[setting]:[setting]],0), MATCH(I$1, lmic_raw[#Headers],0)))</f>
        <v>694896.55759800004</v>
      </c>
      <c r="J85" s="33">
        <f>IF(INDEX(lmic_raw[],MATCH($A85,lmic_raw[[setting]:[setting]],0), MATCH(J$1, lmic_raw[#Headers],0))=0, INDEX(regions[], MATCH($D85, regions[[setting]:[setting]],0), MATCH(J$1, regions[#Headers],0)),INDEX(lmic_raw[],MATCH($A85,lmic_raw[[setting]:[setting]],0), MATCH(J$1, lmic_raw[#Headers],0)))</f>
        <v>0.86099999999999999</v>
      </c>
      <c r="K85" s="33">
        <f>IF(INDEX(lmic_raw[],MATCH($A85,lmic_raw[[setting]:[setting]],0), MATCH(K$1, lmic_raw[#Headers],0))=0, INDEX(regions[], MATCH($D85, regions[[setting]:[setting]],0), MATCH(K$1, regions[#Headers],0)),INDEX(lmic_raw[],MATCH($A85,lmic_raw[[setting]:[setting]],0), MATCH(K$1, lmic_raw[#Headers],0)))</f>
        <v>0.41</v>
      </c>
      <c r="L85" s="33">
        <f>IF(INDEX(lmic_raw[],MATCH($A85,lmic_raw[[setting]:[setting]],0), MATCH(L$1, lmic_raw[#Headers],0))=0, INDEX(regions[], MATCH($D85, regions[[setting]:[setting]],0), MATCH(L$1, regions[#Headers],0)),INDEX(lmic_raw[],MATCH($A85,lmic_raw[[setting]:[setting]],0), MATCH(L$1, lmic_raw[#Headers],0)))</f>
        <v>0.99</v>
      </c>
      <c r="M85" s="33">
        <f>IF(INDEX(lmic_raw[],MATCH($A85,lmic_raw[[setting]:[setting]],0), MATCH(M$1, lmic_raw[#Headers],0))=0, INDEX(regions[], MATCH($D85, regions[[setting]:[setting]],0), MATCH(M$1, regions[#Headers],0)),INDEX(lmic_raw[],MATCH($A85,lmic_raw[[setting]:[setting]],0), MATCH(M$1, lmic_raw[#Headers],0)))</f>
        <v>1.52E-2</v>
      </c>
      <c r="N85" s="33">
        <f>IF(INDEX(lmic_raw[],MATCH($A85,lmic_raw[[setting]:[setting]],0), MATCH(N$1, lmic_raw[#Headers],0))=0, INDEX(regions[], MATCH($D85, regions[[setting]:[setting]],0), MATCH(N$1, regions[#Headers],0)),INDEX(lmic_raw[],MATCH($A85,lmic_raw[[setting]:[setting]],0), MATCH(N$1, lmic_raw[#Headers],0)))</f>
        <v>0.25084579049460559</v>
      </c>
      <c r="O85" s="33">
        <f>IF(INDEX(lmic_raw[],MATCH($A85,lmic_raw[[setting]:[setting]],0), MATCH(O$1, lmic_raw[#Headers],0))=0, INDEX(regions[], MATCH($D85, regions[[setting]:[setting]],0), MATCH(O$1, regions[#Headers],0)),INDEX(lmic_raw[],MATCH($A85,lmic_raw[[setting]:[setting]],0), MATCH(O$1, lmic_raw[#Headers],0)))</f>
        <v>0.8</v>
      </c>
      <c r="P85" s="33">
        <f>IF(INDEX(lmic_raw[],MATCH($A85,lmic_raw[[setting]:[setting]],0), MATCH(P$1, lmic_raw[#Headers],0))=0, INDEX(regions[], MATCH($D85, regions[[setting]:[setting]],0), MATCH(P$1, regions[#Headers],0)),INDEX(lmic_raw[],MATCH($A85,lmic_raw[[setting]:[setting]],0), MATCH(P$1, lmic_raw[#Headers],0)))</f>
        <v>0.17499999999999999</v>
      </c>
      <c r="Q85" s="33">
        <f>IF(INDEX(lmic_raw[],MATCH($A85,lmic_raw[[setting]:[setting]],0), MATCH(Q$1, lmic_raw[#Headers],0))=0, INDEX(regions[], MATCH($D85, regions[[setting]:[setting]],0), MATCH(Q$1, regions[#Headers],0)),INDEX(lmic_raw[],MATCH($A85,lmic_raw[[setting]:[setting]],0), MATCH(Q$1, lmic_raw[#Headers],0)))</f>
        <v>7.0498127879271015</v>
      </c>
      <c r="R85" s="33">
        <f>IF(INDEX(lmic_raw[],MATCH($A85,lmic_raw[[setting]:[setting]],0), MATCH(R$1, lmic_raw[#Headers],0))=0, INDEX(regions[], MATCH($D85, regions[[setting]:[setting]],0), MATCH(R$1, regions[#Headers],0)),INDEX(lmic_raw[],MATCH($A85,lmic_raw[[setting]:[setting]],0), MATCH(R$1, lmic_raw[#Headers],0)))</f>
        <v>46.335900000000002</v>
      </c>
      <c r="S85" s="33">
        <f>IF(INDEX(lmic_raw[],MATCH($A85,lmic_raw[[setting]:[setting]],0), MATCH(S$1, lmic_raw[#Headers],0))=0, INDEX(regions[], MATCH($D85, regions[[setting]:[setting]],0), MATCH(S$1, regions[#Headers],0)),INDEX(lmic_raw[],MATCH($A85,lmic_raw[[setting]:[setting]],0), MATCH(S$1, lmic_raw[#Headers],0)))</f>
        <v>94.077900000000014</v>
      </c>
      <c r="T85" s="33">
        <f>IF(INDEX(lmic_raw[],MATCH($A85,lmic_raw[[setting]:[setting]],0), MATCH(T$1, lmic_raw[#Headers],0))=0, INDEX(regions[], MATCH($D85, regions[[setting]:[setting]],0), MATCH(T$1, regions[#Headers],0)),INDEX(lmic_raw[],MATCH($A85,lmic_raw[[setting]:[setting]],0), MATCH(T$1, lmic_raw[#Headers],0)))</f>
        <v>94.077900000000014</v>
      </c>
      <c r="U85" s="33">
        <f>IF(INDEX(lmic_raw[],MATCH($A85,lmic_raw[[setting]:[setting]],0), MATCH(U$1, lmic_raw[#Headers],0))=0, INDEX(regions[], MATCH($D85, regions[[setting]:[setting]],0), MATCH(U$1, regions[#Headers],0)),INDEX(lmic_raw[],MATCH($A85,lmic_raw[[setting]:[setting]],0), MATCH(U$1, lmic_raw[#Headers],0)))</f>
        <v>94.077900000000014</v>
      </c>
      <c r="V85" s="33">
        <f>IF(INDEX(lmic_raw[],MATCH($A85,lmic_raw[[setting]:[setting]],0), MATCH(V$1, lmic_raw[#Headers],0))=0, INDEX(regions[], MATCH($D85, regions[[setting]:[setting]],0), MATCH(V$1, regions[#Headers],0)),INDEX(lmic_raw[],MATCH($A85,lmic_raw[[setting]:[setting]],0), MATCH(V$1, lmic_raw[#Headers],0)))</f>
        <v>3.9045529322116841</v>
      </c>
      <c r="W85" s="33">
        <f>IF(INDEX(lmic_raw[],MATCH($A85,lmic_raw[[setting]:[setting]],0), MATCH(W$1, lmic_raw[#Headers],0))=0, INDEX(regions[], MATCH($D85, regions[[setting]:[setting]],0), MATCH(W$1, regions[#Headers],0)),INDEX(lmic_raw[],MATCH($A85,lmic_raw[[setting]:[setting]],0), MATCH(W$1, lmic_raw[#Headers],0)))</f>
        <v>4.3845529322116841</v>
      </c>
      <c r="X85" s="33">
        <f>IF(INDEX(lmic_raw[],MATCH($A85,lmic_raw[[setting]:[setting]],0), MATCH(X$1, lmic_raw[#Headers],0))=0, INDEX(regions[], MATCH($D85, regions[[setting]:[setting]],0), MATCH(X$1, regions[#Headers],0)),INDEX(lmic_raw[],MATCH($A85,lmic_raw[[setting]:[setting]],0), MATCH(X$1, lmic_raw[#Headers],0)))</f>
        <v>3.4674493211099087</v>
      </c>
      <c r="Y85" s="33">
        <f>IF(INDEX(lmic_raw[],MATCH($A85,lmic_raw[[setting]:[setting]],0), MATCH(Y$1, lmic_raw[#Headers],0))=0, INDEX(regions[], MATCH($D85, regions[[setting]:[setting]],0), MATCH(Y$1, regions[#Headers],0)),INDEX(lmic_raw[],MATCH($A85,lmic_raw[[setting]:[setting]],0), MATCH(Y$1, lmic_raw[#Headers],0)))</f>
        <v>3.9474493211099086</v>
      </c>
      <c r="Z85" s="33">
        <f>IF(INDEX(lmic_raw[],MATCH($A85,lmic_raw[[setting]:[setting]],0), MATCH(Z$1, lmic_raw[#Headers],0))=0, INDEX(regions[], MATCH($D85, regions[[setting]:[setting]],0), MATCH(Z$1, regions[#Headers],0)),INDEX(lmic_raw[],MATCH($A85,lmic_raw[[setting]:[setting]],0), MATCH(Z$1, lmic_raw[#Headers],0)))</f>
        <v>3.9395189340828933</v>
      </c>
      <c r="AA85" s="33">
        <f>IF(INDEX(lmic_raw[],MATCH($A85,lmic_raw[[setting]:[setting]],0), MATCH(AA$1, lmic_raw[#Headers],0))=0, INDEX(regions[], MATCH($D85, regions[[setting]:[setting]],0), MATCH(AA$1, regions[#Headers],0)),INDEX(lmic_raw[],MATCH($A85,lmic_raw[[setting]:[setting]],0), MATCH(AA$1, lmic_raw[#Headers],0)))</f>
        <v>4.1503395771460685</v>
      </c>
      <c r="AB85" s="33">
        <f>IF(INDEX(lmic_raw[],MATCH($A85,lmic_raw[[setting]:[setting]],0), MATCH(AB$1, lmic_raw[#Headers],0))=0, INDEX(regions[], MATCH($D85, regions[[setting]:[setting]],0), MATCH(AB$1, regions[#Headers],0)),INDEX(lmic_raw[],MATCH($A85,lmic_raw[[setting]:[setting]],0), MATCH(AB$1, lmic_raw[#Headers],0)))</f>
        <v>4.6303395771460689</v>
      </c>
      <c r="AC85" s="33">
        <f>IF(INDEX(lmic_raw[],MATCH($A85,lmic_raw[[setting]:[setting]],0), MATCH(AC$1, lmic_raw[#Headers],0))=0, INDEX(regions[], MATCH($D85, regions[[setting]:[setting]],0), MATCH(AC$1, regions[#Headers],0)),INDEX(lmic_raw[],MATCH($A85,lmic_raw[[setting]:[setting]],0), MATCH(AC$1, lmic_raw[#Headers],0)))</f>
        <v>1.9868730000000067E-2</v>
      </c>
      <c r="AD85" s="33">
        <f>IF(INDEX(lmic_raw[],MATCH($A85,lmic_raw[[setting]:[setting]],0), MATCH(AD$1, lmic_raw[#Headers],0))=0, INDEX(regions[], MATCH($D85, regions[[setting]:[setting]],0), MATCH(AD$1, regions[#Headers],0)),INDEX(lmic_raw[],MATCH($A85,lmic_raw[[setting]:[setting]],0), MATCH(AD$1, lmic_raw[#Headers],0)))</f>
        <v>9.0158331546751264E-4</v>
      </c>
      <c r="AE85" s="33">
        <f>IF(INDEX(lmic_raw[],MATCH($A85,lmic_raw[[setting]:[setting]],0), MATCH(AE$1, lmic_raw[#Headers],0))=0, INDEX(regions[], MATCH($D85, regions[[setting]:[setting]],0), MATCH(AE$1, regions[#Headers],0)),INDEX(lmic_raw[],MATCH($A85,lmic_raw[[setting]:[setting]],0), MATCH(AE$1, lmic_raw[#Headers],0)))</f>
        <v>4.2089231542369684E-4</v>
      </c>
      <c r="AF85" s="33">
        <f>IF(INDEX(lmic_raw[],MATCH($A85,lmic_raw[[setting]:[setting]],0), MATCH(AF$1, lmic_raw[#Headers],0))=0, INDEX(regions[], MATCH($D85, regions[[setting]:[setting]],0), MATCH(AF$1, regions[#Headers],0)),INDEX(lmic_raw[],MATCH($A85,lmic_raw[[setting]:[setting]],0), MATCH(AF$1, lmic_raw[#Headers],0)))</f>
        <v>2.557510692876066E-4</v>
      </c>
      <c r="AG85" s="33">
        <f>IF(INDEX(lmic_raw[],MATCH($A85,lmic_raw[[setting]:[setting]],0), MATCH(AG$1, lmic_raw[#Headers],0))=0, INDEX(regions[], MATCH($D85, regions[[setting]:[setting]],0), MATCH(AG$1, regions[#Headers],0)),INDEX(lmic_raw[],MATCH($A85,lmic_raw[[setting]:[setting]],0), MATCH(AG$1, lmic_raw[#Headers],0)))</f>
        <v>4.1495325190041841E-4</v>
      </c>
      <c r="AH85" s="33">
        <f>IF(INDEX(lmic_raw[],MATCH($A85,lmic_raw[[setting]:[setting]],0), MATCH(AH$1, lmic_raw[#Headers],0))=0, INDEX(regions[], MATCH($D85, regions[[setting]:[setting]],0), MATCH(AH$1, regions[#Headers],0)),INDEX(lmic_raw[],MATCH($A85,lmic_raw[[setting]:[setting]],0), MATCH(AH$1, lmic_raw[#Headers],0)))</f>
        <v>6.0455741603860887E-4</v>
      </c>
      <c r="AI85" s="33">
        <f>IF(INDEX(lmic_raw[],MATCH($A85,lmic_raw[[setting]:[setting]],0), MATCH(AI$1, lmic_raw[#Headers],0))=0, INDEX(regions[], MATCH($D85, regions[[setting]:[setting]],0), MATCH(AI$1, regions[#Headers],0)),INDEX(lmic_raw[],MATCH($A85,lmic_raw[[setting]:[setting]],0), MATCH(AI$1, lmic_raw[#Headers],0)))</f>
        <v>6.6897173890994818E-4</v>
      </c>
      <c r="AJ85" s="33">
        <f>IF(INDEX(lmic_raw[],MATCH($A85,lmic_raw[[setting]:[setting]],0), MATCH(AJ$1, lmic_raw[#Headers],0))=0, INDEX(regions[], MATCH($D85, regions[[setting]:[setting]],0), MATCH(AJ$1, regions[#Headers],0)),INDEX(lmic_raw[],MATCH($A85,lmic_raw[[setting]:[setting]],0), MATCH(AJ$1, lmic_raw[#Headers],0)))</f>
        <v>7.4289019935636503E-4</v>
      </c>
      <c r="AK85" s="33">
        <f>IF(INDEX(lmic_raw[],MATCH($A85,lmic_raw[[setting]:[setting]],0), MATCH(AK$1, lmic_raw[#Headers],0))=0, INDEX(regions[], MATCH($D85, regions[[setting]:[setting]],0), MATCH(AK$1, regions[#Headers],0)),INDEX(lmic_raw[],MATCH($A85,lmic_raw[[setting]:[setting]],0), MATCH(AK$1, lmic_raw[#Headers],0)))</f>
        <v>1.0014434703993515E-3</v>
      </c>
      <c r="AL85" s="33">
        <f>IF(INDEX(lmic_raw[],MATCH($A85,lmic_raw[[setting]:[setting]],0), MATCH(AL$1, lmic_raw[#Headers],0))=0, INDEX(regions[], MATCH($D85, regions[[setting]:[setting]],0), MATCH(AL$1, regions[#Headers],0)),INDEX(lmic_raw[],MATCH($A85,lmic_raw[[setting]:[setting]],0), MATCH(AL$1, lmic_raw[#Headers],0)))</f>
        <v>1.330799544217336E-3</v>
      </c>
      <c r="AM85" s="33">
        <f>IF(INDEX(lmic_raw[],MATCH($A85,lmic_raw[[setting]:[setting]],0), MATCH(AM$1, lmic_raw[#Headers],0))=0, INDEX(regions[], MATCH($D85, regions[[setting]:[setting]],0), MATCH(AM$1, regions[#Headers],0)),INDEX(lmic_raw[],MATCH($A85,lmic_raw[[setting]:[setting]],0), MATCH(AM$1, lmic_raw[#Headers],0)))</f>
        <v>1.9004295608519065E-3</v>
      </c>
      <c r="AN85" s="33">
        <f>IF(INDEX(lmic_raw[],MATCH($A85,lmic_raw[[setting]:[setting]],0), MATCH(AN$1, lmic_raw[#Headers],0))=0, INDEX(regions[], MATCH($D85, regions[[setting]:[setting]],0), MATCH(AN$1, regions[#Headers],0)),INDEX(lmic_raw[],MATCH($A85,lmic_raw[[setting]:[setting]],0), MATCH(AN$1, lmic_raw[#Headers],0)))</f>
        <v>2.9029344608908036E-3</v>
      </c>
      <c r="AO85" s="33">
        <f>IF(INDEX(lmic_raw[],MATCH($A85,lmic_raw[[setting]:[setting]],0), MATCH(AO$1, lmic_raw[#Headers],0))=0, INDEX(regions[], MATCH($D85, regions[[setting]:[setting]],0), MATCH(AO$1, regions[#Headers],0)),INDEX(lmic_raw[],MATCH($A85,lmic_raw[[setting]:[setting]],0), MATCH(AO$1, lmic_raw[#Headers],0)))</f>
        <v>4.509322393201615E-3</v>
      </c>
      <c r="AP85" s="33">
        <f>IF(INDEX(lmic_raw[],MATCH($A85,lmic_raw[[setting]:[setting]],0), MATCH(AP$1, lmic_raw[#Headers],0))=0, INDEX(regions[], MATCH($D85, regions[[setting]:[setting]],0), MATCH(AP$1, regions[#Headers],0)),INDEX(lmic_raw[],MATCH($A85,lmic_raw[[setting]:[setting]],0), MATCH(AP$1, lmic_raw[#Headers],0)))</f>
        <v>7.8232346542924831E-3</v>
      </c>
      <c r="AQ85" s="33">
        <f>IF(INDEX(lmic_raw[],MATCH($A85,lmic_raw[[setting]:[setting]],0), MATCH(AQ$1, lmic_raw[#Headers],0))=0, INDEX(regions[], MATCH($D85, regions[[setting]:[setting]],0), MATCH(AQ$1, regions[#Headers],0)),INDEX(lmic_raw[],MATCH($A85,lmic_raw[[setting]:[setting]],0), MATCH(AQ$1, lmic_raw[#Headers],0)))</f>
        <v>1.3908841127627395E-2</v>
      </c>
      <c r="AR85" s="33">
        <f>IF(INDEX(lmic_raw[],MATCH($A85,lmic_raw[[setting]:[setting]],0), MATCH(AR$1, lmic_raw[#Headers],0))=0, INDEX(regions[], MATCH($D85, regions[[setting]:[setting]],0), MATCH(AR$1, regions[#Headers],0)),INDEX(lmic_raw[],MATCH($A85,lmic_raw[[setting]:[setting]],0), MATCH(AR$1, lmic_raw[#Headers],0)))</f>
        <v>2.7730057229789273E-2</v>
      </c>
      <c r="AS85" s="33">
        <f>IF(INDEX(lmic_raw[],MATCH($A85,lmic_raw[[setting]:[setting]],0), MATCH(AS$1, lmic_raw[#Headers],0))=0, INDEX(regions[], MATCH($D85, regions[[setting]:[setting]],0), MATCH(AS$1, regions[#Headers],0)),INDEX(lmic_raw[],MATCH($A85,lmic_raw[[setting]:[setting]],0), MATCH(AS$1, lmic_raw[#Headers],0)))</f>
        <v>4.7021934675716137E-2</v>
      </c>
      <c r="AT85" s="33">
        <f>IF(INDEX(lmic_raw[],MATCH($A85,lmic_raw[[setting]:[setting]],0), MATCH(AT$1, lmic_raw[#Headers],0))=0, INDEX(regions[], MATCH($D85, regions[[setting]:[setting]],0), MATCH(AT$1, regions[#Headers],0)),INDEX(lmic_raw[],MATCH($A85,lmic_raw[[setting]:[setting]],0), MATCH(AT$1, lmic_raw[#Headers],0)))</f>
        <v>9.1999086836662095E-2</v>
      </c>
      <c r="AU85" s="33">
        <f>IF(INDEX(lmic_raw[],MATCH($A85,lmic_raw[[setting]:[setting]],0), MATCH(AU$1, lmic_raw[#Headers],0))=0, INDEX(regions[], MATCH($D85, regions[[setting]:[setting]],0), MATCH(AU$1, regions[#Headers],0)),INDEX(lmic_raw[],MATCH($A85,lmic_raw[[setting]:[setting]],0), MATCH(AU$1, lmic_raw[#Headers],0)))</f>
        <v>0.13935901987725235</v>
      </c>
      <c r="AV85" s="33">
        <f>IF(INDEX(lmic_raw[],MATCH($A85,lmic_raw[[setting]:[setting]],0), MATCH(AV$1, lmic_raw[#Headers],0))=0, INDEX(regions[], MATCH($D85, regions[[setting]:[setting]],0), MATCH(AV$1, regions[#Headers],0)),INDEX(lmic_raw[],MATCH($A85,lmic_raw[[setting]:[setting]],0), MATCH(AV$1, lmic_raw[#Headers],0)))</f>
        <v>0.17321863769084356</v>
      </c>
      <c r="AW85" s="33">
        <f>IF(INDEX(lmic_raw[],MATCH($A85,lmic_raw[[setting]:[setting]],0), MATCH(AW$1, lmic_raw[#Headers],0))=0, INDEX(regions[], MATCH($D85, regions[[setting]:[setting]],0), MATCH(AW$1, regions[#Headers],0)),INDEX(lmic_raw[],MATCH($A85,lmic_raw[[setting]:[setting]],0), MATCH(AW$1, lmic_raw[#Headers],0)))</f>
        <v>0.18438535373189555</v>
      </c>
      <c r="AX85" s="33">
        <f>IF(INDEX(lmic_raw[],MATCH($A85,lmic_raw[[setting]:[setting]],0), MATCH(AX$1, lmic_raw[#Headers],0))=0, INDEX(regions[], MATCH($D85, regions[[setting]:[setting]],0), MATCH(AX$1, regions[#Headers],0)),INDEX(lmic_raw[],MATCH($A85,lmic_raw[[setting]:[setting]],0), MATCH(AX$1, lmic_raw[#Headers],0)))</f>
        <v>76.33</v>
      </c>
      <c r="AY85" s="33" t="str">
        <f>IF(VLOOKUP($A85,lmic_raw[],11,FALSE)=0, "Yes", "No")</f>
        <v>No</v>
      </c>
    </row>
    <row r="86" spans="1:51" x14ac:dyDescent="0.25">
      <c r="A86" s="109" t="s">
        <v>111</v>
      </c>
      <c r="B86" s="101" t="s">
        <v>476</v>
      </c>
      <c r="C86" s="102">
        <v>508</v>
      </c>
      <c r="D86" s="82" t="s">
        <v>677</v>
      </c>
      <c r="E86" s="82" t="s">
        <v>597</v>
      </c>
      <c r="F86" s="82" t="s">
        <v>667</v>
      </c>
      <c r="G86" s="82" t="s">
        <v>674</v>
      </c>
      <c r="H86" s="33">
        <f>IF(INDEX(lmic_raw[],MATCH($A86,lmic_raw[[setting]:[setting]],0), MATCH(H$1, lmic_raw[#Headers],0))=0, INDEX(regions[], MATCH($D86, regions[[setting]:[setting]],0), MATCH(H$1, regions[#Headers],0)),INDEX(lmic_raw[],MATCH($A86,lmic_raw[[setting]:[setting]],0), MATCH(H$1, lmic_raw[#Headers],0)))</f>
        <v>30366043</v>
      </c>
      <c r="I86" s="33">
        <f>IF(INDEX(lmic_raw[],MATCH($A86,lmic_raw[[setting]:[setting]],0), MATCH(I$1, lmic_raw[#Headers],0))=0, INDEX(regions[], MATCH($D86, regions[[setting]:[setting]],0), MATCH(I$1, regions[#Headers],0)),INDEX(lmic_raw[],MATCH($A86,lmic_raw[[setting]:[setting]],0), MATCH(I$1, lmic_raw[#Headers],0)))</f>
        <v>1144921.2852720001</v>
      </c>
      <c r="J86" s="33">
        <f>IF(INDEX(lmic_raw[],MATCH($A86,lmic_raw[[setting]:[setting]],0), MATCH(J$1, lmic_raw[#Headers],0))=0, INDEX(regions[], MATCH($D86, regions[[setting]:[setting]],0), MATCH(J$1, regions[#Headers],0)),INDEX(lmic_raw[],MATCH($A86,lmic_raw[[setting]:[setting]],0), MATCH(J$1, lmic_raw[#Headers],0)))</f>
        <v>0.54799999999999993</v>
      </c>
      <c r="K86" s="33">
        <f>IF(INDEX(lmic_raw[],MATCH($A86,lmic_raw[[setting]:[setting]],0), MATCH(K$1, lmic_raw[#Headers],0))=0, INDEX(regions[], MATCH($D86, regions[[setting]:[setting]],0), MATCH(K$1, regions[#Headers],0)),INDEX(lmic_raw[],MATCH($A86,lmic_raw[[setting]:[setting]],0), MATCH(K$1, lmic_raw[#Headers],0)))</f>
        <v>0.69252604416320784</v>
      </c>
      <c r="L86" s="33">
        <f>IF(INDEX(lmic_raw[],MATCH($A86,lmic_raw[[setting]:[setting]],0), MATCH(L$1, lmic_raw[#Headers],0))=0, INDEX(regions[], MATCH($D86, regions[[setting]:[setting]],0), MATCH(L$1, regions[#Headers],0)),INDEX(lmic_raw[],MATCH($A86,lmic_raw[[setting]:[setting]],0), MATCH(L$1, lmic_raw[#Headers],0)))</f>
        <v>0.88</v>
      </c>
      <c r="M86" s="33">
        <f>IF(INDEX(lmic_raw[],MATCH($A86,lmic_raw[[setting]:[setting]],0), MATCH(M$1, lmic_raw[#Headers],0))=0, INDEX(regions[], MATCH($D86, regions[[setting]:[setting]],0), MATCH(M$1, regions[#Headers],0)),INDEX(lmic_raw[],MATCH($A86,lmic_raw[[setting]:[setting]],0), MATCH(M$1, lmic_raw[#Headers],0)))</f>
        <v>7.2400000000000006E-2</v>
      </c>
      <c r="N86" s="33">
        <f>IF(INDEX(lmic_raw[],MATCH($A86,lmic_raw[[setting]:[setting]],0), MATCH(N$1, lmic_raw[#Headers],0))=0, INDEX(regions[], MATCH($D86, regions[[setting]:[setting]],0), MATCH(N$1, regions[#Headers],0)),INDEX(lmic_raw[],MATCH($A86,lmic_raw[[setting]:[setting]],0), MATCH(N$1, lmic_raw[#Headers],0)))</f>
        <v>0.29825928137599328</v>
      </c>
      <c r="O86" s="33">
        <f>IF(INDEX(lmic_raw[],MATCH($A86,lmic_raw[[setting]:[setting]],0), MATCH(O$1, lmic_raw[#Headers],0))=0, INDEX(regions[], MATCH($D86, regions[[setting]:[setting]],0), MATCH(O$1, regions[#Headers],0)),INDEX(lmic_raw[],MATCH($A86,lmic_raw[[setting]:[setting]],0), MATCH(O$1, lmic_raw[#Headers],0)))</f>
        <v>0.38300000000000001</v>
      </c>
      <c r="P86" s="33">
        <f>IF(INDEX(lmic_raw[],MATCH($A86,lmic_raw[[setting]:[setting]],0), MATCH(P$1, lmic_raw[#Headers],0))=0, INDEX(regions[], MATCH($D86, regions[[setting]:[setting]],0), MATCH(P$1, regions[#Headers],0)),INDEX(lmic_raw[],MATCH($A86,lmic_raw[[setting]:[setting]],0), MATCH(P$1, lmic_raw[#Headers],0)))</f>
        <v>4.8000000000000001E-2</v>
      </c>
      <c r="Q86" s="33">
        <f>IF(INDEX(lmic_raw[],MATCH($A86,lmic_raw[[setting]:[setting]],0), MATCH(Q$1, lmic_raw[#Headers],0))=0, INDEX(regions[], MATCH($D86, regions[[setting]:[setting]],0), MATCH(Q$1, regions[#Headers],0)),INDEX(lmic_raw[],MATCH($A86,lmic_raw[[setting]:[setting]],0), MATCH(Q$1, lmic_raw[#Headers],0)))</f>
        <v>2.7176094803593798</v>
      </c>
      <c r="R86" s="33">
        <f>IF(INDEX(lmic_raw[],MATCH($A86,lmic_raw[[setting]:[setting]],0), MATCH(R$1, lmic_raw[#Headers],0))=0, INDEX(regions[], MATCH($D86, regions[[setting]:[setting]],0), MATCH(R$1, regions[#Headers],0)),INDEX(lmic_raw[],MATCH($A86,lmic_raw[[setting]:[setting]],0), MATCH(R$1, lmic_raw[#Headers],0)))</f>
        <v>29.920500000000001</v>
      </c>
      <c r="S86" s="33">
        <f>IF(INDEX(lmic_raw[],MATCH($A86,lmic_raw[[setting]:[setting]],0), MATCH(S$1, lmic_raw[#Headers],0))=0, INDEX(regions[], MATCH($D86, regions[[setting]:[setting]],0), MATCH(S$1, regions[#Headers],0)),INDEX(lmic_raw[],MATCH($A86,lmic_raw[[setting]:[setting]],0), MATCH(S$1, lmic_raw[#Headers],0)))</f>
        <v>77.662500000000009</v>
      </c>
      <c r="T86" s="33">
        <f>IF(INDEX(lmic_raw[],MATCH($A86,lmic_raw[[setting]:[setting]],0), MATCH(T$1, lmic_raw[#Headers],0))=0, INDEX(regions[], MATCH($D86, regions[[setting]:[setting]],0), MATCH(T$1, regions[#Headers],0)),INDEX(lmic_raw[],MATCH($A86,lmic_raw[[setting]:[setting]],0), MATCH(T$1, lmic_raw[#Headers],0)))</f>
        <v>77.662500000000009</v>
      </c>
      <c r="U86" s="33">
        <f>IF(INDEX(lmic_raw[],MATCH($A86,lmic_raw[[setting]:[setting]],0), MATCH(U$1, lmic_raw[#Headers],0))=0, INDEX(regions[], MATCH($D86, regions[[setting]:[setting]],0), MATCH(U$1, regions[#Headers],0)),INDEX(lmic_raw[],MATCH($A86,lmic_raw[[setting]:[setting]],0), MATCH(U$1, lmic_raw[#Headers],0)))</f>
        <v>77.662500000000009</v>
      </c>
      <c r="V86" s="33">
        <f>IF(INDEX(lmic_raw[],MATCH($A86,lmic_raw[[setting]:[setting]],0), MATCH(V$1, lmic_raw[#Headers],0))=0, INDEX(regions[], MATCH($D86, regions[[setting]:[setting]],0), MATCH(V$1, regions[#Headers],0)),INDEX(lmic_raw[],MATCH($A86,lmic_raw[[setting]:[setting]],0), MATCH(V$1, lmic_raw[#Headers],0)))</f>
        <v>1.6312737710304879</v>
      </c>
      <c r="W86" s="33">
        <f>IF(INDEX(lmic_raw[],MATCH($A86,lmic_raw[[setting]:[setting]],0), MATCH(W$1, lmic_raw[#Headers],0))=0, INDEX(regions[], MATCH($D86, regions[[setting]:[setting]],0), MATCH(W$1, regions[#Headers],0)),INDEX(lmic_raw[],MATCH($A86,lmic_raw[[setting]:[setting]],0), MATCH(W$1, lmic_raw[#Headers],0)))</f>
        <v>6.4612737710304877</v>
      </c>
      <c r="X86" s="33">
        <f>IF(INDEX(lmic_raw[],MATCH($A86,lmic_raw[[setting]:[setting]],0), MATCH(X$1, lmic_raw[#Headers],0))=0, INDEX(regions[], MATCH($D86, regions[[setting]:[setting]],0), MATCH(X$1, regions[#Headers],0)),INDEX(lmic_raw[],MATCH($A86,lmic_raw[[setting]:[setting]],0), MATCH(X$1, lmic_raw[#Headers],0)))</f>
        <v>1.2089702084570015</v>
      </c>
      <c r="Y86" s="33">
        <f>IF(INDEX(lmic_raw[],MATCH($A86,lmic_raw[[setting]:[setting]],0), MATCH(Y$1, lmic_raw[#Headers],0))=0, INDEX(regions[], MATCH($D86, regions[[setting]:[setting]],0), MATCH(Y$1, regions[#Headers],0)),INDEX(lmic_raw[],MATCH($A86,lmic_raw[[setting]:[setting]],0), MATCH(Y$1, lmic_raw[#Headers],0)))</f>
        <v>6.0389702084570018</v>
      </c>
      <c r="Z86" s="33">
        <f>IF(INDEX(lmic_raw[],MATCH($A86,lmic_raw[[setting]:[setting]],0), MATCH(Z$1, lmic_raw[#Headers],0))=0, INDEX(regions[], MATCH($D86, regions[[setting]:[setting]],0), MATCH(Z$1, regions[#Headers],0)),INDEX(lmic_raw[],MATCH($A86,lmic_raw[[setting]:[setting]],0), MATCH(Z$1, lmic_raw[#Headers],0)))</f>
        <v>6.0372852484764854</v>
      </c>
      <c r="AA86" s="33">
        <f>IF(INDEX(lmic_raw[],MATCH($A86,lmic_raw[[setting]:[setting]],0), MATCH(AA$1, lmic_raw[#Headers],0))=0, INDEX(regions[], MATCH($D86, regions[[setting]:[setting]],0), MATCH(AA$1, regions[#Headers],0)),INDEX(lmic_raw[],MATCH($A86,lmic_raw[[setting]:[setting]],0), MATCH(AA$1, lmic_raw[#Headers],0)))</f>
        <v>1.8717255147511864</v>
      </c>
      <c r="AB86" s="33">
        <f>IF(INDEX(lmic_raw[],MATCH($A86,lmic_raw[[setting]:[setting]],0), MATCH(AB$1, lmic_raw[#Headers],0))=0, INDEX(regions[], MATCH($D86, regions[[setting]:[setting]],0), MATCH(AB$1, regions[#Headers],0)),INDEX(lmic_raw[],MATCH($A86,lmic_raw[[setting]:[setting]],0), MATCH(AB$1, lmic_raw[#Headers],0)))</f>
        <v>6.7017255147511863</v>
      </c>
      <c r="AC86" s="33">
        <f>IF(INDEX(lmic_raw[],MATCH($A86,lmic_raw[[setting]:[setting]],0), MATCH(AC$1, lmic_raw[#Headers],0))=0, INDEX(regions[], MATCH($D86, regions[[setting]:[setting]],0), MATCH(AC$1, regions[#Headers],0)),INDEX(lmic_raw[],MATCH($A86,lmic_raw[[setting]:[setting]],0), MATCH(AC$1, lmic_raw[#Headers],0)))</f>
        <v>5.3915810000000057E-2</v>
      </c>
      <c r="AD86" s="33">
        <f>IF(INDEX(lmic_raw[],MATCH($A86,lmic_raw[[setting]:[setting]],0), MATCH(AD$1, lmic_raw[#Headers],0))=0, INDEX(regions[], MATCH($D86, regions[[setting]:[setting]],0), MATCH(AD$1, regions[#Headers],0)),INDEX(lmic_raw[],MATCH($A86,lmic_raw[[setting]:[setting]],0), MATCH(AD$1, lmic_raw[#Headers],0)))</f>
        <v>5.1119604905352041E-3</v>
      </c>
      <c r="AE86" s="33">
        <f>IF(INDEX(lmic_raw[],MATCH($A86,lmic_raw[[setting]:[setting]],0), MATCH(AE$1, lmic_raw[#Headers],0))=0, INDEX(regions[], MATCH($D86, regions[[setting]:[setting]],0), MATCH(AE$1, regions[#Headers],0)),INDEX(lmic_raw[],MATCH($A86,lmic_raw[[setting]:[setting]],0), MATCH(AE$1, lmic_raw[#Headers],0)))</f>
        <v>1.4012858703953376E-3</v>
      </c>
      <c r="AF86" s="33">
        <f>IF(INDEX(lmic_raw[],MATCH($A86,lmic_raw[[setting]:[setting]],0), MATCH(AF$1, lmic_raw[#Headers],0))=0, INDEX(regions[], MATCH($D86, regions[[setting]:[setting]],0), MATCH(AF$1, regions[#Headers],0)),INDEX(lmic_raw[],MATCH($A86,lmic_raw[[setting]:[setting]],0), MATCH(AF$1, lmic_raw[#Headers],0)))</f>
        <v>1.0949032653975483E-3</v>
      </c>
      <c r="AG86" s="33">
        <f>IF(INDEX(lmic_raw[],MATCH($A86,lmic_raw[[setting]:[setting]],0), MATCH(AG$1, lmic_raw[#Headers],0))=0, INDEX(regions[], MATCH($D86, regions[[setting]:[setting]],0), MATCH(AG$1, regions[#Headers],0)),INDEX(lmic_raw[],MATCH($A86,lmic_raw[[setting]:[setting]],0), MATCH(AG$1, lmic_raw[#Headers],0)))</f>
        <v>1.7263139961507059E-3</v>
      </c>
      <c r="AH86" s="33">
        <f>IF(INDEX(lmic_raw[],MATCH($A86,lmic_raw[[setting]:[setting]],0), MATCH(AH$1, lmic_raw[#Headers],0))=0, INDEX(regions[], MATCH($D86, regions[[setting]:[setting]],0), MATCH(AH$1, regions[#Headers],0)),INDEX(lmic_raw[],MATCH($A86,lmic_raw[[setting]:[setting]],0), MATCH(AH$1, lmic_raw[#Headers],0)))</f>
        <v>2.8654566183196031E-3</v>
      </c>
      <c r="AI86" s="33">
        <f>IF(INDEX(lmic_raw[],MATCH($A86,lmic_raw[[setting]:[setting]],0), MATCH(AI$1, lmic_raw[#Headers],0))=0, INDEX(regions[], MATCH($D86, regions[[setting]:[setting]],0), MATCH(AI$1, regions[#Headers],0)),INDEX(lmic_raw[],MATCH($A86,lmic_raw[[setting]:[setting]],0), MATCH(AI$1, lmic_raw[#Headers],0)))</f>
        <v>4.3902395060748927E-3</v>
      </c>
      <c r="AJ86" s="33">
        <f>IF(INDEX(lmic_raw[],MATCH($A86,lmic_raw[[setting]:[setting]],0), MATCH(AJ$1, lmic_raw[#Headers],0))=0, INDEX(regions[], MATCH($D86, regions[[setting]:[setting]],0), MATCH(AJ$1, regions[#Headers],0)),INDEX(lmic_raw[],MATCH($A86,lmic_raw[[setting]:[setting]],0), MATCH(AJ$1, lmic_raw[#Headers],0)))</f>
        <v>6.0677207852414625E-3</v>
      </c>
      <c r="AK86" s="33">
        <f>IF(INDEX(lmic_raw[],MATCH($A86,lmic_raw[[setting]:[setting]],0), MATCH(AK$1, lmic_raw[#Headers],0))=0, INDEX(regions[], MATCH($D86, regions[[setting]:[setting]],0), MATCH(AK$1, regions[#Headers],0)),INDEX(lmic_raw[],MATCH($A86,lmic_raw[[setting]:[setting]],0), MATCH(AK$1, lmic_raw[#Headers],0)))</f>
        <v>8.4157379504231199E-3</v>
      </c>
      <c r="AL86" s="33">
        <f>IF(INDEX(lmic_raw[],MATCH($A86,lmic_raw[[setting]:[setting]],0), MATCH(AL$1, lmic_raw[#Headers],0))=0, INDEX(regions[], MATCH($D86, regions[[setting]:[setting]],0), MATCH(AL$1, regions[#Headers],0)),INDEX(lmic_raw[],MATCH($A86,lmic_raw[[setting]:[setting]],0), MATCH(AL$1, lmic_raw[#Headers],0)))</f>
        <v>1.00823270263227E-2</v>
      </c>
      <c r="AM86" s="33">
        <f>IF(INDEX(lmic_raw[],MATCH($A86,lmic_raw[[setting]:[setting]],0), MATCH(AM$1, lmic_raw[#Headers],0))=0, INDEX(regions[], MATCH($D86, regions[[setting]:[setting]],0), MATCH(AM$1, regions[#Headers],0)),INDEX(lmic_raw[],MATCH($A86,lmic_raw[[setting]:[setting]],0), MATCH(AM$1, lmic_raw[#Headers],0)))</f>
        <v>1.1863253219921731E-2</v>
      </c>
      <c r="AN86" s="33">
        <f>IF(INDEX(lmic_raw[],MATCH($A86,lmic_raw[[setting]:[setting]],0), MATCH(AN$1, lmic_raw[#Headers],0))=0, INDEX(regions[], MATCH($D86, regions[[setting]:[setting]],0), MATCH(AN$1, regions[#Headers],0)),INDEX(lmic_raw[],MATCH($A86,lmic_raw[[setting]:[setting]],0), MATCH(AN$1, lmic_raw[#Headers],0)))</f>
        <v>1.451859108063718E-2</v>
      </c>
      <c r="AO86" s="33">
        <f>IF(INDEX(lmic_raw[],MATCH($A86,lmic_raw[[setting]:[setting]],0), MATCH(AO$1, lmic_raw[#Headers],0))=0, INDEX(regions[], MATCH($D86, regions[[setting]:[setting]],0), MATCH(AO$1, regions[#Headers],0)),INDEX(lmic_raw[],MATCH($A86,lmic_raw[[setting]:[setting]],0), MATCH(AO$1, lmic_raw[#Headers],0)))</f>
        <v>1.7957334558640816E-2</v>
      </c>
      <c r="AP86" s="33">
        <f>IF(INDEX(lmic_raw[],MATCH($A86,lmic_raw[[setting]:[setting]],0), MATCH(AP$1, lmic_raw[#Headers],0))=0, INDEX(regions[], MATCH($D86, regions[[setting]:[setting]],0), MATCH(AP$1, regions[#Headers],0)),INDEX(lmic_raw[],MATCH($A86,lmic_raw[[setting]:[setting]],0), MATCH(AP$1, lmic_raw[#Headers],0)))</f>
        <v>2.4208696828590972E-2</v>
      </c>
      <c r="AQ86" s="33">
        <f>IF(INDEX(lmic_raw[],MATCH($A86,lmic_raw[[setting]:[setting]],0), MATCH(AQ$1, lmic_raw[#Headers],0))=0, INDEX(regions[], MATCH($D86, regions[[setting]:[setting]],0), MATCH(AQ$1, regions[#Headers],0)),INDEX(lmic_raw[],MATCH($A86,lmic_raw[[setting]:[setting]],0), MATCH(AQ$1, lmic_raw[#Headers],0)))</f>
        <v>3.4343923387346431E-2</v>
      </c>
      <c r="AR86" s="33">
        <f>IF(INDEX(lmic_raw[],MATCH($A86,lmic_raw[[setting]:[setting]],0), MATCH(AR$1, lmic_raw[#Headers],0))=0, INDEX(regions[], MATCH($D86, regions[[setting]:[setting]],0), MATCH(AR$1, regions[#Headers],0)),INDEX(lmic_raw[],MATCH($A86,lmic_raw[[setting]:[setting]],0), MATCH(AR$1, lmic_raw[#Headers],0)))</f>
        <v>5.0274413363338988E-2</v>
      </c>
      <c r="AS86" s="33">
        <f>IF(INDEX(lmic_raw[],MATCH($A86,lmic_raw[[setting]:[setting]],0), MATCH(AS$1, lmic_raw[#Headers],0))=0, INDEX(regions[], MATCH($D86, regions[[setting]:[setting]],0), MATCH(AS$1, regions[#Headers],0)),INDEX(lmic_raw[],MATCH($A86,lmic_raw[[setting]:[setting]],0), MATCH(AS$1, lmic_raw[#Headers],0)))</f>
        <v>7.3556760455677939E-2</v>
      </c>
      <c r="AT86" s="33">
        <f>IF(INDEX(lmic_raw[],MATCH($A86,lmic_raw[[setting]:[setting]],0), MATCH(AT$1, lmic_raw[#Headers],0))=0, INDEX(regions[], MATCH($D86, regions[[setting]:[setting]],0), MATCH(AT$1, regions[#Headers],0)),INDEX(lmic_raw[],MATCH($A86,lmic_raw[[setting]:[setting]],0), MATCH(AT$1, lmic_raw[#Headers],0)))</f>
        <v>0.10832193217593584</v>
      </c>
      <c r="AU86" s="33">
        <f>IF(INDEX(lmic_raw[],MATCH($A86,lmic_raw[[setting]:[setting]],0), MATCH(AU$1, lmic_raw[#Headers],0))=0, INDEX(regions[], MATCH($D86, regions[[setting]:[setting]],0), MATCH(AU$1, regions[#Headers],0)),INDEX(lmic_raw[],MATCH($A86,lmic_raw[[setting]:[setting]],0), MATCH(AU$1, lmic_raw[#Headers],0)))</f>
        <v>0.14802703390099389</v>
      </c>
      <c r="AV86" s="33">
        <f>IF(INDEX(lmic_raw[],MATCH($A86,lmic_raw[[setting]:[setting]],0), MATCH(AV$1, lmic_raw[#Headers],0))=0, INDEX(regions[], MATCH($D86, regions[[setting]:[setting]],0), MATCH(AV$1, regions[#Headers],0)),INDEX(lmic_raw[],MATCH($A86,lmic_raw[[setting]:[setting]],0), MATCH(AV$1, lmic_raw[#Headers],0)))</f>
        <v>0.17815638978603338</v>
      </c>
      <c r="AW86" s="33">
        <f>IF(INDEX(lmic_raw[],MATCH($A86,lmic_raw[[setting]:[setting]],0), MATCH(AW$1, lmic_raw[#Headers],0))=0, INDEX(regions[], MATCH($D86, regions[[setting]:[setting]],0), MATCH(AW$1, regions[#Headers],0)),INDEX(lmic_raw[],MATCH($A86,lmic_raw[[setting]:[setting]],0), MATCH(AW$1, lmic_raw[#Headers],0)))</f>
        <v>0.18810932311897274</v>
      </c>
      <c r="AX86" s="33">
        <f>IF(INDEX(lmic_raw[],MATCH($A86,lmic_raw[[setting]:[setting]],0), MATCH(AX$1, lmic_raw[#Headers],0))=0, INDEX(regions[], MATCH($D86, regions[[setting]:[setting]],0), MATCH(AX$1, regions[#Headers],0)),INDEX(lmic_raw[],MATCH($A86,lmic_raw[[setting]:[setting]],0), MATCH(AX$1, lmic_raw[#Headers],0)))</f>
        <v>60.054000000000002</v>
      </c>
      <c r="AY86" s="33" t="str">
        <f>IF(VLOOKUP($A86,lmic_raw[],11,FALSE)=0, "Yes", "No")</f>
        <v>Yes</v>
      </c>
    </row>
    <row r="87" spans="1:51" x14ac:dyDescent="0.25">
      <c r="A87" s="110" t="s">
        <v>216</v>
      </c>
      <c r="B87" s="104" t="s">
        <v>477</v>
      </c>
      <c r="C87" s="105">
        <v>104</v>
      </c>
      <c r="D87" s="84" t="s">
        <v>680</v>
      </c>
      <c r="E87" s="84" t="s">
        <v>598</v>
      </c>
      <c r="F87" s="84" t="s">
        <v>666</v>
      </c>
      <c r="G87" s="84" t="s">
        <v>678</v>
      </c>
      <c r="H87" s="33">
        <f>IF(INDEX(lmic_raw[],MATCH($A87,lmic_raw[[setting]:[setting]],0), MATCH(H$1, lmic_raw[#Headers],0))=0, INDEX(regions[], MATCH($D87, regions[[setting]:[setting]],0), MATCH(H$1, regions[#Headers],0)),INDEX(lmic_raw[],MATCH($A87,lmic_raw[[setting]:[setting]],0), MATCH(H$1, lmic_raw[#Headers],0)))</f>
        <v>54045422</v>
      </c>
      <c r="I87" s="33">
        <f>IF(INDEX(lmic_raw[],MATCH($A87,lmic_raw[[setting]:[setting]],0), MATCH(I$1, lmic_raw[#Headers],0))=0, INDEX(regions[], MATCH($D87, regions[[setting]:[setting]],0), MATCH(I$1, regions[#Headers],0)),INDEX(lmic_raw[],MATCH($A87,lmic_raw[[setting]:[setting]],0), MATCH(I$1, lmic_raw[#Headers],0)))</f>
        <v>956549.92397800006</v>
      </c>
      <c r="J87" s="33">
        <f>IF(INDEX(lmic_raw[],MATCH($A87,lmic_raw[[setting]:[setting]],0), MATCH(J$1, lmic_raw[#Headers],0))=0, INDEX(regions[], MATCH($D87, regions[[setting]:[setting]],0), MATCH(J$1, regions[#Headers],0)),INDEX(lmic_raw[],MATCH($A87,lmic_raw[[setting]:[setting]],0), MATCH(J$1, lmic_raw[#Headers],0)))</f>
        <v>0.371</v>
      </c>
      <c r="K87" s="33">
        <f>IF(INDEX(lmic_raw[],MATCH($A87,lmic_raw[[setting]:[setting]],0), MATCH(K$1, lmic_raw[#Headers],0))=0, INDEX(regions[], MATCH($D87, regions[[setting]:[setting]],0), MATCH(K$1, regions[#Headers],0)),INDEX(lmic_raw[],MATCH($A87,lmic_raw[[setting]:[setting]],0), MATCH(K$1, lmic_raw[#Headers],0)))</f>
        <v>0.17</v>
      </c>
      <c r="L87" s="33">
        <f>IF(INDEX(lmic_raw[],MATCH($A87,lmic_raw[[setting]:[setting]],0), MATCH(L$1, lmic_raw[#Headers],0))=0, INDEX(regions[], MATCH($D87, regions[[setting]:[setting]],0), MATCH(L$1, regions[#Headers],0)),INDEX(lmic_raw[],MATCH($A87,lmic_raw[[setting]:[setting]],0), MATCH(L$1, lmic_raw[#Headers],0)))</f>
        <v>0.9</v>
      </c>
      <c r="M87" s="33">
        <f>IF(INDEX(lmic_raw[],MATCH($A87,lmic_raw[[setting]:[setting]],0), MATCH(M$1, lmic_raw[#Headers],0))=0, INDEX(regions[], MATCH($D87, regions[[setting]:[setting]],0), MATCH(M$1, regions[#Headers],0)),INDEX(lmic_raw[],MATCH($A87,lmic_raw[[setting]:[setting]],0), MATCH(M$1, lmic_raw[#Headers],0)))</f>
        <v>4.1799999999999997E-2</v>
      </c>
      <c r="N87" s="33">
        <f>IF(INDEX(lmic_raw[],MATCH($A87,lmic_raw[[setting]:[setting]],0), MATCH(N$1, lmic_raw[#Headers],0))=0, INDEX(regions[], MATCH($D87, regions[[setting]:[setting]],0), MATCH(N$1, regions[#Headers],0)),INDEX(lmic_raw[],MATCH($A87,lmic_raw[[setting]:[setting]],0), MATCH(N$1, lmic_raw[#Headers],0)))</f>
        <v>0.32130963051350597</v>
      </c>
      <c r="O87" s="33">
        <f>IF(INDEX(lmic_raw[],MATCH($A87,lmic_raw[[setting]:[setting]],0), MATCH(O$1, lmic_raw[#Headers],0))=0, INDEX(regions[], MATCH($D87, regions[[setting]:[setting]],0), MATCH(O$1, regions[#Headers],0)),INDEX(lmic_raw[],MATCH($A87,lmic_raw[[setting]:[setting]],0), MATCH(O$1, lmic_raw[#Headers],0)))</f>
        <v>0.8</v>
      </c>
      <c r="P87" s="33">
        <f>IF(INDEX(lmic_raw[],MATCH($A87,lmic_raw[[setting]:[setting]],0), MATCH(P$1, lmic_raw[#Headers],0))=0, INDEX(regions[], MATCH($D87, regions[[setting]:[setting]],0), MATCH(P$1, regions[#Headers],0)),INDEX(lmic_raw[],MATCH($A87,lmic_raw[[setting]:[setting]],0), MATCH(P$1, lmic_raw[#Headers],0)))</f>
        <v>0.17499999999999999</v>
      </c>
      <c r="Q87" s="33">
        <f>IF(INDEX(lmic_raw[],MATCH($A87,lmic_raw[[setting]:[setting]],0), MATCH(Q$1, lmic_raw[#Headers],0))=0, INDEX(regions[], MATCH($D87, regions[[setting]:[setting]],0), MATCH(Q$1, regions[#Headers],0)),INDEX(lmic_raw[],MATCH($A87,lmic_raw[[setting]:[setting]],0), MATCH(Q$1, lmic_raw[#Headers],0)))</f>
        <v>3.0736809850909732</v>
      </c>
      <c r="R87" s="33">
        <f>IF(INDEX(lmic_raw[],MATCH($A87,lmic_raw[[setting]:[setting]],0), MATCH(R$1, lmic_raw[#Headers],0))=0, INDEX(regions[], MATCH($D87, regions[[setting]:[setting]],0), MATCH(R$1, regions[#Headers],0)),INDEX(lmic_raw[],MATCH($A87,lmic_raw[[setting]:[setting]],0), MATCH(R$1, lmic_raw[#Headers],0)))</f>
        <v>73.084500000000006</v>
      </c>
      <c r="S87" s="33">
        <f>IF(INDEX(lmic_raw[],MATCH($A87,lmic_raw[[setting]:[setting]],0), MATCH(S$1, lmic_raw[#Headers],0))=0, INDEX(regions[], MATCH($D87, regions[[setting]:[setting]],0), MATCH(S$1, regions[#Headers],0)),INDEX(lmic_raw[],MATCH($A87,lmic_raw[[setting]:[setting]],0), MATCH(S$1, lmic_raw[#Headers],0)))</f>
        <v>120.8265</v>
      </c>
      <c r="T87" s="33">
        <f>IF(INDEX(lmic_raw[],MATCH($A87,lmic_raw[[setting]:[setting]],0), MATCH(T$1, lmic_raw[#Headers],0))=0, INDEX(regions[], MATCH($D87, regions[[setting]:[setting]],0), MATCH(T$1, regions[#Headers],0)),INDEX(lmic_raw[],MATCH($A87,lmic_raw[[setting]:[setting]],0), MATCH(T$1, lmic_raw[#Headers],0)))</f>
        <v>120.8265</v>
      </c>
      <c r="U87" s="33">
        <f>IF(INDEX(lmic_raw[],MATCH($A87,lmic_raw[[setting]:[setting]],0), MATCH(U$1, lmic_raw[#Headers],0))=0, INDEX(regions[], MATCH($D87, regions[[setting]:[setting]],0), MATCH(U$1, regions[#Headers],0)),INDEX(lmic_raw[],MATCH($A87,lmic_raw[[setting]:[setting]],0), MATCH(U$1, lmic_raw[#Headers],0)))</f>
        <v>120.8265</v>
      </c>
      <c r="V87" s="33">
        <f>IF(INDEX(lmic_raw[],MATCH($A87,lmic_raw[[setting]:[setting]],0), MATCH(V$1, lmic_raw[#Headers],0))=0, INDEX(regions[], MATCH($D87, regions[[setting]:[setting]],0), MATCH(V$1, regions[#Headers],0)),INDEX(lmic_raw[],MATCH($A87,lmic_raw[[setting]:[setting]],0), MATCH(V$1, lmic_raw[#Headers],0)))</f>
        <v>2.3394856597585356</v>
      </c>
      <c r="W87" s="33">
        <f>IF(INDEX(lmic_raw[],MATCH($A87,lmic_raw[[setting]:[setting]],0), MATCH(W$1, lmic_raw[#Headers],0))=0, INDEX(regions[], MATCH($D87, regions[[setting]:[setting]],0), MATCH(W$1, regions[#Headers],0)),INDEX(lmic_raw[],MATCH($A87,lmic_raw[[setting]:[setting]],0), MATCH(W$1, lmic_raw[#Headers],0)))</f>
        <v>2.9694856597585355</v>
      </c>
      <c r="X87" s="33">
        <f>IF(INDEX(lmic_raw[],MATCH($A87,lmic_raw[[setting]:[setting]],0), MATCH(X$1, lmic_raw[#Headers],0))=0, INDEX(regions[], MATCH($D87, regions[[setting]:[setting]],0), MATCH(X$1, regions[#Headers],0)),INDEX(lmic_raw[],MATCH($A87,lmic_raw[[setting]:[setting]],0), MATCH(X$1, lmic_raw[#Headers],0)))</f>
        <v>1.9130350451442339</v>
      </c>
      <c r="Y87" s="33">
        <f>IF(INDEX(lmic_raw[],MATCH($A87,lmic_raw[[setting]:[setting]],0), MATCH(Y$1, lmic_raw[#Headers],0))=0, INDEX(regions[], MATCH($D87, regions[[setting]:[setting]],0), MATCH(Y$1, regions[#Headers],0)),INDEX(lmic_raw[],MATCH($A87,lmic_raw[[setting]:[setting]],0), MATCH(Y$1, lmic_raw[#Headers],0)))</f>
        <v>2.5430350451442338</v>
      </c>
      <c r="Z87" s="33">
        <f>IF(INDEX(lmic_raw[],MATCH($A87,lmic_raw[[setting]:[setting]],0), MATCH(Z$1, lmic_raw[#Headers],0))=0, INDEX(regions[], MATCH($D87, regions[[setting]:[setting]],0), MATCH(Z$1, regions[#Headers],0)),INDEX(lmic_raw[],MATCH($A87,lmic_raw[[setting]:[setting]],0), MATCH(Z$1, lmic_raw[#Headers],0)))</f>
        <v>2.539462733292563</v>
      </c>
      <c r="AA87" s="33">
        <f>IF(INDEX(lmic_raw[],MATCH($A87,lmic_raw[[setting]:[setting]],0), MATCH(AA$1, lmic_raw[#Headers],0))=0, INDEX(regions[], MATCH($D87, regions[[setting]:[setting]],0), MATCH(AA$1, regions[#Headers],0)),INDEX(lmic_raw[],MATCH($A87,lmic_raw[[setting]:[setting]],0), MATCH(AA$1, lmic_raw[#Headers],0)))</f>
        <v>2.5814322710753426</v>
      </c>
      <c r="AB87" s="33">
        <f>IF(INDEX(lmic_raw[],MATCH($A87,lmic_raw[[setting]:[setting]],0), MATCH(AB$1, lmic_raw[#Headers],0))=0, INDEX(regions[], MATCH($D87, regions[[setting]:[setting]],0), MATCH(AB$1, regions[#Headers],0)),INDEX(lmic_raw[],MATCH($A87,lmic_raw[[setting]:[setting]],0), MATCH(AB$1, lmic_raw[#Headers],0)))</f>
        <v>3.2114322710753425</v>
      </c>
      <c r="AC87" s="33">
        <f>IF(INDEX(lmic_raw[],MATCH($A87,lmic_raw[[setting]:[setting]],0), MATCH(AC$1, lmic_raw[#Headers],0))=0, INDEX(regions[], MATCH($D87, regions[[setting]:[setting]],0), MATCH(AC$1, regions[#Headers],0)),INDEX(lmic_raw[],MATCH($A87,lmic_raw[[setting]:[setting]],0), MATCH(AC$1, lmic_raw[#Headers],0)))</f>
        <v>3.8420489999999988E-2</v>
      </c>
      <c r="AD87" s="33">
        <f>IF(INDEX(lmic_raw[],MATCH($A87,lmic_raw[[setting]:[setting]],0), MATCH(AD$1, lmic_raw[#Headers],0))=0, INDEX(regions[], MATCH($D87, regions[[setting]:[setting]],0), MATCH(AD$1, regions[#Headers],0)),INDEX(lmic_raw[],MATCH($A87,lmic_raw[[setting]:[setting]],0), MATCH(AD$1, lmic_raw[#Headers],0)))</f>
        <v>2.5121089570637632E-3</v>
      </c>
      <c r="AE87" s="33">
        <f>IF(INDEX(lmic_raw[],MATCH($A87,lmic_raw[[setting]:[setting]],0), MATCH(AE$1, lmic_raw[#Headers],0))=0, INDEX(regions[], MATCH($D87, regions[[setting]:[setting]],0), MATCH(AE$1, regions[#Headers],0)),INDEX(lmic_raw[],MATCH($A87,lmic_raw[[setting]:[setting]],0), MATCH(AE$1, lmic_raw[#Headers],0)))</f>
        <v>1.072942126034219E-3</v>
      </c>
      <c r="AF87" s="33">
        <f>IF(INDEX(lmic_raw[],MATCH($A87,lmic_raw[[setting]:[setting]],0), MATCH(AF$1, lmic_raw[#Headers],0))=0, INDEX(regions[], MATCH($D87, regions[[setting]:[setting]],0), MATCH(AF$1, regions[#Headers],0)),INDEX(lmic_raw[],MATCH($A87,lmic_raw[[setting]:[setting]],0), MATCH(AF$1, lmic_raw[#Headers],0)))</f>
        <v>8.7112479692080282E-4</v>
      </c>
      <c r="AG87" s="33">
        <f>IF(INDEX(lmic_raw[],MATCH($A87,lmic_raw[[setting]:[setting]],0), MATCH(AG$1, lmic_raw[#Headers],0))=0, INDEX(regions[], MATCH($D87, regions[[setting]:[setting]],0), MATCH(AG$1, regions[#Headers],0)),INDEX(lmic_raw[],MATCH($A87,lmic_raw[[setting]:[setting]],0), MATCH(AG$1, lmic_raw[#Headers],0)))</f>
        <v>1.4119117000549067E-3</v>
      </c>
      <c r="AH87" s="33">
        <f>IF(INDEX(lmic_raw[],MATCH($A87,lmic_raw[[setting]:[setting]],0), MATCH(AH$1, lmic_raw[#Headers],0))=0, INDEX(regions[], MATCH($D87, regions[[setting]:[setting]],0), MATCH(AH$1, regions[#Headers],0)),INDEX(lmic_raw[],MATCH($A87,lmic_raw[[setting]:[setting]],0), MATCH(AH$1, lmic_raw[#Headers],0)))</f>
        <v>1.9952469974620956E-3</v>
      </c>
      <c r="AI87" s="33">
        <f>IF(INDEX(lmic_raw[],MATCH($A87,lmic_raw[[setting]:[setting]],0), MATCH(AI$1, lmic_raw[#Headers],0))=0, INDEX(regions[], MATCH($D87, regions[[setting]:[setting]],0), MATCH(AI$1, regions[#Headers],0)),INDEX(lmic_raw[],MATCH($A87,lmic_raw[[setting]:[setting]],0), MATCH(AI$1, lmic_raw[#Headers],0)))</f>
        <v>2.1617354546634828E-3</v>
      </c>
      <c r="AJ87" s="33">
        <f>IF(INDEX(lmic_raw[],MATCH($A87,lmic_raw[[setting]:[setting]],0), MATCH(AJ$1, lmic_raw[#Headers],0))=0, INDEX(regions[], MATCH($D87, regions[[setting]:[setting]],0), MATCH(AJ$1, regions[#Headers],0)),INDEX(lmic_raw[],MATCH($A87,lmic_raw[[setting]:[setting]],0), MATCH(AJ$1, lmic_raw[#Headers],0)))</f>
        <v>2.4882808240389428E-3</v>
      </c>
      <c r="AK87" s="33">
        <f>IF(INDEX(lmic_raw[],MATCH($A87,lmic_raw[[setting]:[setting]],0), MATCH(AK$1, lmic_raw[#Headers],0))=0, INDEX(regions[], MATCH($D87, regions[[setting]:[setting]],0), MATCH(AK$1, regions[#Headers],0)),INDEX(lmic_raw[],MATCH($A87,lmic_raw[[setting]:[setting]],0), MATCH(AK$1, lmic_raw[#Headers],0)))</f>
        <v>3.1455396410933912E-3</v>
      </c>
      <c r="AL87" s="33">
        <f>IF(INDEX(lmic_raw[],MATCH($A87,lmic_raw[[setting]:[setting]],0), MATCH(AL$1, lmic_raw[#Headers],0))=0, INDEX(regions[], MATCH($D87, regions[[setting]:[setting]],0), MATCH(AL$1, regions[#Headers],0)),INDEX(lmic_raw[],MATCH($A87,lmic_raw[[setting]:[setting]],0), MATCH(AL$1, lmic_raw[#Headers],0)))</f>
        <v>4.2459501679441188E-3</v>
      </c>
      <c r="AM87" s="33">
        <f>IF(INDEX(lmic_raw[],MATCH($A87,lmic_raw[[setting]:[setting]],0), MATCH(AM$1, lmic_raw[#Headers],0))=0, INDEX(regions[], MATCH($D87, regions[[setting]:[setting]],0), MATCH(AM$1, regions[#Headers],0)),INDEX(lmic_raw[],MATCH($A87,lmic_raw[[setting]:[setting]],0), MATCH(AM$1, lmic_raw[#Headers],0)))</f>
        <v>6.0693848277694161E-3</v>
      </c>
      <c r="AN87" s="33">
        <f>IF(INDEX(lmic_raw[],MATCH($A87,lmic_raw[[setting]:[setting]],0), MATCH(AN$1, lmic_raw[#Headers],0))=0, INDEX(regions[], MATCH($D87, regions[[setting]:[setting]],0), MATCH(AN$1, regions[#Headers],0)),INDEX(lmic_raw[],MATCH($A87,lmic_raw[[setting]:[setting]],0), MATCH(AN$1, lmic_raw[#Headers],0)))</f>
        <v>8.8967903272355962E-3</v>
      </c>
      <c r="AO87" s="33">
        <f>IF(INDEX(lmic_raw[],MATCH($A87,lmic_raw[[setting]:[setting]],0), MATCH(AO$1, lmic_raw[#Headers],0))=0, INDEX(regions[], MATCH($D87, regions[[setting]:[setting]],0), MATCH(AO$1, regions[#Headers],0)),INDEX(lmic_raw[],MATCH($A87,lmic_raw[[setting]:[setting]],0), MATCH(AO$1, lmic_raw[#Headers],0)))</f>
        <v>1.3179930547476956E-2</v>
      </c>
      <c r="AP87" s="33">
        <f>IF(INDEX(lmic_raw[],MATCH($A87,lmic_raw[[setting]:[setting]],0), MATCH(AP$1, lmic_raw[#Headers],0))=0, INDEX(regions[], MATCH($D87, regions[[setting]:[setting]],0), MATCH(AP$1, regions[#Headers],0)),INDEX(lmic_raw[],MATCH($A87,lmic_raw[[setting]:[setting]],0), MATCH(AP$1, lmic_raw[#Headers],0)))</f>
        <v>1.9910283306697023E-2</v>
      </c>
      <c r="AQ87" s="33">
        <f>IF(INDEX(lmic_raw[],MATCH($A87,lmic_raw[[setting]:[setting]],0), MATCH(AQ$1, lmic_raw[#Headers],0))=0, INDEX(regions[], MATCH($D87, regions[[setting]:[setting]],0), MATCH(AQ$1, regions[#Headers],0)),INDEX(lmic_raw[],MATCH($A87,lmic_raw[[setting]:[setting]],0), MATCH(AQ$1, lmic_raw[#Headers],0)))</f>
        <v>3.0515748414164622E-2</v>
      </c>
      <c r="AR87" s="33">
        <f>IF(INDEX(lmic_raw[],MATCH($A87,lmic_raw[[setting]:[setting]],0), MATCH(AR$1, lmic_raw[#Headers],0))=0, INDEX(regions[], MATCH($D87, regions[[setting]:[setting]],0), MATCH(AR$1, regions[#Headers],0)),INDEX(lmic_raw[],MATCH($A87,lmic_raw[[setting]:[setting]],0), MATCH(AR$1, lmic_raw[#Headers],0)))</f>
        <v>4.7180281289428097E-2</v>
      </c>
      <c r="AS87" s="33">
        <f>IF(INDEX(lmic_raw[],MATCH($A87,lmic_raw[[setting]:[setting]],0), MATCH(AS$1, lmic_raw[#Headers],0))=0, INDEX(regions[], MATCH($D87, regions[[setting]:[setting]],0), MATCH(AS$1, regions[#Headers],0)),INDEX(lmic_raw[],MATCH($A87,lmic_raw[[setting]:[setting]],0), MATCH(AS$1, lmic_raw[#Headers],0)))</f>
        <v>7.0924878976329722E-2</v>
      </c>
      <c r="AT87" s="33">
        <f>IF(INDEX(lmic_raw[],MATCH($A87,lmic_raw[[setting]:[setting]],0), MATCH(AT$1, lmic_raw[#Headers],0))=0, INDEX(regions[], MATCH($D87, regions[[setting]:[setting]],0), MATCH(AT$1, regions[#Headers],0)),INDEX(lmic_raw[],MATCH($A87,lmic_raw[[setting]:[setting]],0), MATCH(AT$1, lmic_raw[#Headers],0)))</f>
        <v>0.1021432707507926</v>
      </c>
      <c r="AU87" s="33">
        <f>IF(INDEX(lmic_raw[],MATCH($A87,lmic_raw[[setting]:[setting]],0), MATCH(AU$1, lmic_raw[#Headers],0))=0, INDEX(regions[], MATCH($D87, regions[[setting]:[setting]],0), MATCH(AU$1, regions[#Headers],0)),INDEX(lmic_raw[],MATCH($A87,lmic_raw[[setting]:[setting]],0), MATCH(AU$1, lmic_raw[#Headers],0)))</f>
        <v>0.13520896153602316</v>
      </c>
      <c r="AV87" s="33">
        <f>IF(INDEX(lmic_raw[],MATCH($A87,lmic_raw[[setting]:[setting]],0), MATCH(AV$1, lmic_raw[#Headers],0))=0, INDEX(regions[], MATCH($D87, regions[[setting]:[setting]],0), MATCH(AV$1, regions[#Headers],0)),INDEX(lmic_raw[],MATCH($A87,lmic_raw[[setting]:[setting]],0), MATCH(AV$1, lmic_raw[#Headers],0)))</f>
        <v>0.16209297935634789</v>
      </c>
      <c r="AW87" s="33">
        <f>IF(INDEX(lmic_raw[],MATCH($A87,lmic_raw[[setting]:[setting]],0), MATCH(AW$1, lmic_raw[#Headers],0))=0, INDEX(regions[], MATCH($D87, regions[[setting]:[setting]],0), MATCH(AW$1, regions[#Headers],0)),INDEX(lmic_raw[],MATCH($A87,lmic_raw[[setting]:[setting]],0), MATCH(AW$1, lmic_raw[#Headers],0)))</f>
        <v>0.17949869669630888</v>
      </c>
      <c r="AX87" s="33">
        <f>IF(INDEX(lmic_raw[],MATCH($A87,lmic_raw[[setting]:[setting]],0), MATCH(AX$1, lmic_raw[#Headers],0))=0, INDEX(regions[], MATCH($D87, regions[[setting]:[setting]],0), MATCH(AX$1, regions[#Headers],0)),INDEX(lmic_raw[],MATCH($A87,lmic_raw[[setting]:[setting]],0), MATCH(AX$1, lmic_raw[#Headers],0)))</f>
        <v>66.759</v>
      </c>
      <c r="AY87" s="33" t="str">
        <f>IF(VLOOKUP($A87,lmic_raw[],11,FALSE)=0, "Yes", "No")</f>
        <v>No</v>
      </c>
    </row>
    <row r="88" spans="1:51" x14ac:dyDescent="0.25">
      <c r="A88" s="109" t="s">
        <v>135</v>
      </c>
      <c r="B88" s="101" t="s">
        <v>478</v>
      </c>
      <c r="C88" s="102">
        <v>516</v>
      </c>
      <c r="D88" s="82" t="s">
        <v>677</v>
      </c>
      <c r="E88" s="82" t="s">
        <v>594</v>
      </c>
      <c r="F88" s="82" t="s">
        <v>667</v>
      </c>
      <c r="G88" s="82" t="s">
        <v>676</v>
      </c>
      <c r="H88" s="33">
        <f>IF(INDEX(lmic_raw[],MATCH($A88,lmic_raw[[setting]:[setting]],0), MATCH(H$1, lmic_raw[#Headers],0))=0, INDEX(regions[], MATCH($D88, regions[[setting]:[setting]],0), MATCH(H$1, regions[#Headers],0)),INDEX(lmic_raw[],MATCH($A88,lmic_raw[[setting]:[setting]],0), MATCH(H$1, lmic_raw[#Headers],0)))</f>
        <v>2494524</v>
      </c>
      <c r="I88" s="33">
        <f>IF(INDEX(lmic_raw[],MATCH($A88,lmic_raw[[setting]:[setting]],0), MATCH(I$1, lmic_raw[#Headers],0))=0, INDEX(regions[], MATCH($D88, regions[[setting]:[setting]],0), MATCH(I$1, regions[#Headers],0)),INDEX(lmic_raw[],MATCH($A88,lmic_raw[[setting]:[setting]],0), MATCH(I$1, lmic_raw[#Headers],0)))</f>
        <v>71929.599539999996</v>
      </c>
      <c r="J88" s="33">
        <f>IF(INDEX(lmic_raw[],MATCH($A88,lmic_raw[[setting]:[setting]],0), MATCH(J$1, lmic_raw[#Headers],0))=0, INDEX(regions[], MATCH($D88, regions[[setting]:[setting]],0), MATCH(J$1, regions[#Headers],0)),INDEX(lmic_raw[],MATCH($A88,lmic_raw[[setting]:[setting]],0), MATCH(J$1, lmic_raw[#Headers],0)))</f>
        <v>0.87400000000000011</v>
      </c>
      <c r="K88" s="33">
        <f>IF(INDEX(lmic_raw[],MATCH($A88,lmic_raw[[setting]:[setting]],0), MATCH(K$1, lmic_raw[#Headers],0))=0, INDEX(regions[], MATCH($D88, regions[[setting]:[setting]],0), MATCH(K$1, regions[#Headers],0)),INDEX(lmic_raw[],MATCH($A88,lmic_raw[[setting]:[setting]],0), MATCH(K$1, lmic_raw[#Headers],0)))</f>
        <v>0.81</v>
      </c>
      <c r="L88" s="33">
        <f>IF(INDEX(lmic_raw[],MATCH($A88,lmic_raw[[setting]:[setting]],0), MATCH(L$1, lmic_raw[#Headers],0))=0, INDEX(regions[], MATCH($D88, regions[[setting]:[setting]],0), MATCH(L$1, regions[#Headers],0)),INDEX(lmic_raw[],MATCH($A88,lmic_raw[[setting]:[setting]],0), MATCH(L$1, lmic_raw[#Headers],0)))</f>
        <v>0.87</v>
      </c>
      <c r="M88" s="33">
        <f>IF(INDEX(lmic_raw[],MATCH($A88,lmic_raw[[setting]:[setting]],0), MATCH(M$1, lmic_raw[#Headers],0))=0, INDEX(regions[], MATCH($D88, regions[[setting]:[setting]],0), MATCH(M$1, regions[#Headers],0)),INDEX(lmic_raw[],MATCH($A88,lmic_raw[[setting]:[setting]],0), MATCH(M$1, lmic_raw[#Headers],0)))</f>
        <v>2.2200000000000001E-2</v>
      </c>
      <c r="N88" s="33">
        <f>IF(INDEX(lmic_raw[],MATCH($A88,lmic_raw[[setting]:[setting]],0), MATCH(N$1, lmic_raw[#Headers],0))=0, INDEX(regions[], MATCH($D88, regions[[setting]:[setting]],0), MATCH(N$1, regions[#Headers],0)),INDEX(lmic_raw[],MATCH($A88,lmic_raw[[setting]:[setting]],0), MATCH(N$1, lmic_raw[#Headers],0)))</f>
        <v>0.25809873416998286</v>
      </c>
      <c r="O88" s="33">
        <f>IF(INDEX(lmic_raw[],MATCH($A88,lmic_raw[[setting]:[setting]],0), MATCH(O$1, lmic_raw[#Headers],0))=0, INDEX(regions[], MATCH($D88, regions[[setting]:[setting]],0), MATCH(O$1, regions[#Headers],0)),INDEX(lmic_raw[],MATCH($A88,lmic_raw[[setting]:[setting]],0), MATCH(O$1, lmic_raw[#Headers],0)))</f>
        <v>0.38300000000000001</v>
      </c>
      <c r="P88" s="33">
        <f>IF(INDEX(lmic_raw[],MATCH($A88,lmic_raw[[setting]:[setting]],0), MATCH(P$1, lmic_raw[#Headers],0))=0, INDEX(regions[], MATCH($D88, regions[[setting]:[setting]],0), MATCH(P$1, regions[#Headers],0)),INDEX(lmic_raw[],MATCH($A88,lmic_raw[[setting]:[setting]],0), MATCH(P$1, lmic_raw[#Headers],0)))</f>
        <v>4.8000000000000001E-2</v>
      </c>
      <c r="Q88" s="33">
        <f>IF(INDEX(lmic_raw[],MATCH($A88,lmic_raw[[setting]:[setting]],0), MATCH(Q$1, lmic_raw[#Headers],0))=0, INDEX(regions[], MATCH($D88, regions[[setting]:[setting]],0), MATCH(Q$1, regions[#Headers],0)),INDEX(lmic_raw[],MATCH($A88,lmic_raw[[setting]:[setting]],0), MATCH(Q$1, lmic_raw[#Headers],0)))</f>
        <v>9.1268965655280638</v>
      </c>
      <c r="R88" s="33">
        <f>IF(INDEX(lmic_raw[],MATCH($A88,lmic_raw[[setting]:[setting]],0), MATCH(R$1, lmic_raw[#Headers],0))=0, INDEX(regions[], MATCH($D88, regions[[setting]:[setting]],0), MATCH(R$1, regions[#Headers],0)),INDEX(lmic_raw[],MATCH($A88,lmic_raw[[setting]:[setting]],0), MATCH(R$1, lmic_raw[#Headers],0)))</f>
        <v>29.920500000000001</v>
      </c>
      <c r="S88" s="33">
        <f>IF(INDEX(lmic_raw[],MATCH($A88,lmic_raw[[setting]:[setting]],0), MATCH(S$1, lmic_raw[#Headers],0))=0, INDEX(regions[], MATCH($D88, regions[[setting]:[setting]],0), MATCH(S$1, regions[#Headers],0)),INDEX(lmic_raw[],MATCH($A88,lmic_raw[[setting]:[setting]],0), MATCH(S$1, lmic_raw[#Headers],0)))</f>
        <v>77.662500000000009</v>
      </c>
      <c r="T88" s="33">
        <f>IF(INDEX(lmic_raw[],MATCH($A88,lmic_raw[[setting]:[setting]],0), MATCH(T$1, lmic_raw[#Headers],0))=0, INDEX(regions[], MATCH($D88, regions[[setting]:[setting]],0), MATCH(T$1, regions[#Headers],0)),INDEX(lmic_raw[],MATCH($A88,lmic_raw[[setting]:[setting]],0), MATCH(T$1, lmic_raw[#Headers],0)))</f>
        <v>77.662500000000009</v>
      </c>
      <c r="U88" s="33">
        <f>IF(INDEX(lmic_raw[],MATCH($A88,lmic_raw[[setting]:[setting]],0), MATCH(U$1, lmic_raw[#Headers],0))=0, INDEX(regions[], MATCH($D88, regions[[setting]:[setting]],0), MATCH(U$1, regions[#Headers],0)),INDEX(lmic_raw[],MATCH($A88,lmic_raw[[setting]:[setting]],0), MATCH(U$1, lmic_raw[#Headers],0)))</f>
        <v>77.662500000000009</v>
      </c>
      <c r="V88" s="33">
        <f>IF(INDEX(lmic_raw[],MATCH($A88,lmic_raw[[setting]:[setting]],0), MATCH(V$1, lmic_raw[#Headers],0))=0, INDEX(regions[], MATCH($D88, regions[[setting]:[setting]],0), MATCH(V$1, regions[#Headers],0)),INDEX(lmic_raw[],MATCH($A88,lmic_raw[[setting]:[setting]],0), MATCH(V$1, lmic_raw[#Headers],0)))</f>
        <v>5.7198821565869071</v>
      </c>
      <c r="W88" s="33">
        <f>IF(INDEX(lmic_raw[],MATCH($A88,lmic_raw[[setting]:[setting]],0), MATCH(W$1, lmic_raw[#Headers],0))=0, INDEX(regions[], MATCH($D88, regions[[setting]:[setting]],0), MATCH(W$1, regions[#Headers],0)),INDEX(lmic_raw[],MATCH($A88,lmic_raw[[setting]:[setting]],0), MATCH(W$1, lmic_raw[#Headers],0)))</f>
        <v>10.549882156586907</v>
      </c>
      <c r="X88" s="33">
        <f>IF(INDEX(lmic_raw[],MATCH($A88,lmic_raw[[setting]:[setting]],0), MATCH(X$1, lmic_raw[#Headers],0))=0, INDEX(regions[], MATCH($D88, regions[[setting]:[setting]],0), MATCH(X$1, regions[#Headers],0)),INDEX(lmic_raw[],MATCH($A88,lmic_raw[[setting]:[setting]],0), MATCH(X$1, lmic_raw[#Headers],0)))</f>
        <v>5.286903772051371</v>
      </c>
      <c r="Y88" s="33">
        <f>IF(INDEX(lmic_raw[],MATCH($A88,lmic_raw[[setting]:[setting]],0), MATCH(Y$1, lmic_raw[#Headers],0))=0, INDEX(regions[], MATCH($D88, regions[[setting]:[setting]],0), MATCH(Y$1, regions[#Headers],0)),INDEX(lmic_raw[],MATCH($A88,lmic_raw[[setting]:[setting]],0), MATCH(Y$1, lmic_raw[#Headers],0)))</f>
        <v>10.116903772051371</v>
      </c>
      <c r="Z88" s="33">
        <f>IF(INDEX(lmic_raw[],MATCH($A88,lmic_raw[[setting]:[setting]],0), MATCH(Z$1, lmic_raw[#Headers],0))=0, INDEX(regions[], MATCH($D88, regions[[setting]:[setting]],0), MATCH(Z$1, regions[#Headers],0)),INDEX(lmic_raw[],MATCH($A88,lmic_raw[[setting]:[setting]],0), MATCH(Z$1, lmic_raw[#Headers],0)))</f>
        <v>10.111158593709256</v>
      </c>
      <c r="AA88" s="33">
        <f>IF(INDEX(lmic_raw[],MATCH($A88,lmic_raw[[setting]:[setting]],0), MATCH(AA$1, lmic_raw[#Headers],0))=0, INDEX(regions[], MATCH($D88, regions[[setting]:[setting]],0), MATCH(AA$1, regions[#Headers],0)),INDEX(lmic_raw[],MATCH($A88,lmic_raw[[setting]:[setting]],0), MATCH(AA$1, lmic_raw[#Headers],0)))</f>
        <v>5.9641818012474141</v>
      </c>
      <c r="AB88" s="33">
        <f>IF(INDEX(lmic_raw[],MATCH($A88,lmic_raw[[setting]:[setting]],0), MATCH(AB$1, lmic_raw[#Headers],0))=0, INDEX(regions[], MATCH($D88, regions[[setting]:[setting]],0), MATCH(AB$1, regions[#Headers],0)),INDEX(lmic_raw[],MATCH($A88,lmic_raw[[setting]:[setting]],0), MATCH(AB$1, lmic_raw[#Headers],0)))</f>
        <v>10.794181801247415</v>
      </c>
      <c r="AC88" s="33">
        <f>IF(INDEX(lmic_raw[],MATCH($A88,lmic_raw[[setting]:[setting]],0), MATCH(AC$1, lmic_raw[#Headers],0))=0, INDEX(regions[], MATCH($D88, regions[[setting]:[setting]],0), MATCH(AC$1, regions[#Headers],0)),INDEX(lmic_raw[],MATCH($A88,lmic_raw[[setting]:[setting]],0), MATCH(AC$1, lmic_raw[#Headers],0)))</f>
        <v>3.3393899999999997E-2</v>
      </c>
      <c r="AD88" s="33">
        <f>IF(INDEX(lmic_raw[],MATCH($A88,lmic_raw[[setting]:[setting]],0), MATCH(AD$1, lmic_raw[#Headers],0))=0, INDEX(regions[], MATCH($D88, regions[[setting]:[setting]],0), MATCH(AD$1, regions[#Headers],0)),INDEX(lmic_raw[],MATCH($A88,lmic_raw[[setting]:[setting]],0), MATCH(AD$1, lmic_raw[#Headers],0)))</f>
        <v>2.8889689398815268E-3</v>
      </c>
      <c r="AE88" s="33">
        <f>IF(INDEX(lmic_raw[],MATCH($A88,lmic_raw[[setting]:[setting]],0), MATCH(AE$1, lmic_raw[#Headers],0))=0, INDEX(regions[], MATCH($D88, regions[[setting]:[setting]],0), MATCH(AE$1, regions[#Headers],0)),INDEX(lmic_raw[],MATCH($A88,lmic_raw[[setting]:[setting]],0), MATCH(AE$1, lmic_raw[#Headers],0)))</f>
        <v>1.2247495939341124E-3</v>
      </c>
      <c r="AF88" s="33">
        <f>IF(INDEX(lmic_raw[],MATCH($A88,lmic_raw[[setting]:[setting]],0), MATCH(AF$1, lmic_raw[#Headers],0))=0, INDEX(regions[], MATCH($D88, regions[[setting]:[setting]],0), MATCH(AF$1, regions[#Headers],0)),INDEX(lmic_raw[],MATCH($A88,lmic_raw[[setting]:[setting]],0), MATCH(AF$1, lmic_raw[#Headers],0)))</f>
        <v>9.8845046322171433E-4</v>
      </c>
      <c r="AG88" s="33">
        <f>IF(INDEX(lmic_raw[],MATCH($A88,lmic_raw[[setting]:[setting]],0), MATCH(AG$1, lmic_raw[#Headers],0))=0, INDEX(regions[], MATCH($D88, regions[[setting]:[setting]],0), MATCH(AG$1, regions[#Headers],0)),INDEX(lmic_raw[],MATCH($A88,lmic_raw[[setting]:[setting]],0), MATCH(AG$1, lmic_raw[#Headers],0)))</f>
        <v>1.6652249148680479E-3</v>
      </c>
      <c r="AH88" s="33">
        <f>IF(INDEX(lmic_raw[],MATCH($A88,lmic_raw[[setting]:[setting]],0), MATCH(AH$1, lmic_raw[#Headers],0))=0, INDEX(regions[], MATCH($D88, regions[[setting]:[setting]],0), MATCH(AH$1, regions[#Headers],0)),INDEX(lmic_raw[],MATCH($A88,lmic_raw[[setting]:[setting]],0), MATCH(AH$1, lmic_raw[#Headers],0)))</f>
        <v>2.7220194759180897E-3</v>
      </c>
      <c r="AI88" s="33">
        <f>IF(INDEX(lmic_raw[],MATCH($A88,lmic_raw[[setting]:[setting]],0), MATCH(AI$1, lmic_raw[#Headers],0))=0, INDEX(regions[], MATCH($D88, regions[[setting]:[setting]],0), MATCH(AI$1, regions[#Headers],0)),INDEX(lmic_raw[],MATCH($A88,lmic_raw[[setting]:[setting]],0), MATCH(AI$1, lmic_raw[#Headers],0)))</f>
        <v>3.9220450597063951E-3</v>
      </c>
      <c r="AJ88" s="33">
        <f>IF(INDEX(lmic_raw[],MATCH($A88,lmic_raw[[setting]:[setting]],0), MATCH(AJ$1, lmic_raw[#Headers],0))=0, INDEX(regions[], MATCH($D88, regions[[setting]:[setting]],0), MATCH(AJ$1, regions[#Headers],0)),INDEX(lmic_raw[],MATCH($A88,lmic_raw[[setting]:[setting]],0), MATCH(AJ$1, lmic_raw[#Headers],0)))</f>
        <v>5.2208256651949912E-3</v>
      </c>
      <c r="AK88" s="33">
        <f>IF(INDEX(lmic_raw[],MATCH($A88,lmic_raw[[setting]:[setting]],0), MATCH(AK$1, lmic_raw[#Headers],0))=0, INDEX(regions[], MATCH($D88, regions[[setting]:[setting]],0), MATCH(AK$1, regions[#Headers],0)),INDEX(lmic_raw[],MATCH($A88,lmic_raw[[setting]:[setting]],0), MATCH(AK$1, lmic_raw[#Headers],0)))</f>
        <v>7.0471598547450515E-3</v>
      </c>
      <c r="AL88" s="33">
        <f>IF(INDEX(lmic_raw[],MATCH($A88,lmic_raw[[setting]:[setting]],0), MATCH(AL$1, lmic_raw[#Headers],0))=0, INDEX(regions[], MATCH($D88, regions[[setting]:[setting]],0), MATCH(AL$1, regions[#Headers],0)),INDEX(lmic_raw[],MATCH($A88,lmic_raw[[setting]:[setting]],0), MATCH(AL$1, lmic_raw[#Headers],0)))</f>
        <v>8.6251844776423607E-3</v>
      </c>
      <c r="AM88" s="33">
        <f>IF(INDEX(lmic_raw[],MATCH($A88,lmic_raw[[setting]:[setting]],0), MATCH(AM$1, lmic_raw[#Headers],0))=0, INDEX(regions[], MATCH($D88, regions[[setting]:[setting]],0), MATCH(AM$1, regions[#Headers],0)),INDEX(lmic_raw[],MATCH($A88,lmic_raw[[setting]:[setting]],0), MATCH(AM$1, lmic_raw[#Headers],0)))</f>
        <v>1.0517787157439704E-2</v>
      </c>
      <c r="AN88" s="33">
        <f>IF(INDEX(lmic_raw[],MATCH($A88,lmic_raw[[setting]:[setting]],0), MATCH(AN$1, lmic_raw[#Headers],0))=0, INDEX(regions[], MATCH($D88, regions[[setting]:[setting]],0), MATCH(AN$1, regions[#Headers],0)),INDEX(lmic_raw[],MATCH($A88,lmic_raw[[setting]:[setting]],0), MATCH(AN$1, lmic_raw[#Headers],0)))</f>
        <v>1.3459122969743957E-2</v>
      </c>
      <c r="AO88" s="33">
        <f>IF(INDEX(lmic_raw[],MATCH($A88,lmic_raw[[setting]:[setting]],0), MATCH(AO$1, lmic_raw[#Headers],0))=0, INDEX(regions[], MATCH($D88, regions[[setting]:[setting]],0), MATCH(AO$1, regions[#Headers],0)),INDEX(lmic_raw[],MATCH($A88,lmic_raw[[setting]:[setting]],0), MATCH(AO$1, lmic_raw[#Headers],0)))</f>
        <v>1.6834064564422793E-2</v>
      </c>
      <c r="AP88" s="33">
        <f>IF(INDEX(lmic_raw[],MATCH($A88,lmic_raw[[setting]:[setting]],0), MATCH(AP$1, lmic_raw[#Headers],0))=0, INDEX(regions[], MATCH($D88, regions[[setting]:[setting]],0), MATCH(AP$1, regions[#Headers],0)),INDEX(lmic_raw[],MATCH($A88,lmic_raw[[setting]:[setting]],0), MATCH(AP$1, lmic_raw[#Headers],0)))</f>
        <v>2.3067933845764395E-2</v>
      </c>
      <c r="AQ88" s="33">
        <f>IF(INDEX(lmic_raw[],MATCH($A88,lmic_raw[[setting]:[setting]],0), MATCH(AQ$1, lmic_raw[#Headers],0))=0, INDEX(regions[], MATCH($D88, regions[[setting]:[setting]],0), MATCH(AQ$1, regions[#Headers],0)),INDEX(lmic_raw[],MATCH($A88,lmic_raw[[setting]:[setting]],0), MATCH(AQ$1, lmic_raw[#Headers],0)))</f>
        <v>3.3447044006558589E-2</v>
      </c>
      <c r="AR88" s="33">
        <f>IF(INDEX(lmic_raw[],MATCH($A88,lmic_raw[[setting]:[setting]],0), MATCH(AR$1, lmic_raw[#Headers],0))=0, INDEX(regions[], MATCH($D88, regions[[setting]:[setting]],0), MATCH(AR$1, regions[#Headers],0)),INDEX(lmic_raw[],MATCH($A88,lmic_raw[[setting]:[setting]],0), MATCH(AR$1, lmic_raw[#Headers],0)))</f>
        <v>4.9744492042142194E-2</v>
      </c>
      <c r="AS88" s="33">
        <f>IF(INDEX(lmic_raw[],MATCH($A88,lmic_raw[[setting]:[setting]],0), MATCH(AS$1, lmic_raw[#Headers],0))=0, INDEX(regions[], MATCH($D88, regions[[setting]:[setting]],0), MATCH(AS$1, regions[#Headers],0)),INDEX(lmic_raw[],MATCH($A88,lmic_raw[[setting]:[setting]],0), MATCH(AS$1, lmic_raw[#Headers],0)))</f>
        <v>7.3212362235861556E-2</v>
      </c>
      <c r="AT88" s="33">
        <f>IF(INDEX(lmic_raw[],MATCH($A88,lmic_raw[[setting]:[setting]],0), MATCH(AT$1, lmic_raw[#Headers],0))=0, INDEX(regions[], MATCH($D88, regions[[setting]:[setting]],0), MATCH(AT$1, regions[#Headers],0)),INDEX(lmic_raw[],MATCH($A88,lmic_raw[[setting]:[setting]],0), MATCH(AT$1, lmic_raw[#Headers],0)))</f>
        <v>0.10734102805361607</v>
      </c>
      <c r="AU88" s="33">
        <f>IF(INDEX(lmic_raw[],MATCH($A88,lmic_raw[[setting]:[setting]],0), MATCH(AU$1, lmic_raw[#Headers],0))=0, INDEX(regions[], MATCH($D88, regions[[setting]:[setting]],0), MATCH(AU$1, regions[#Headers],0)),INDEX(lmic_raw[],MATCH($A88,lmic_raw[[setting]:[setting]],0), MATCH(AU$1, lmic_raw[#Headers],0)))</f>
        <v>0.1468365107010475</v>
      </c>
      <c r="AV88" s="33">
        <f>IF(INDEX(lmic_raw[],MATCH($A88,lmic_raw[[setting]:[setting]],0), MATCH(AV$1, lmic_raw[#Headers],0))=0, INDEX(regions[], MATCH($D88, regions[[setting]:[setting]],0), MATCH(AV$1, regions[#Headers],0)),INDEX(lmic_raw[],MATCH($A88,lmic_raw[[setting]:[setting]],0), MATCH(AV$1, lmic_raw[#Headers],0)))</f>
        <v>0.17801596342792059</v>
      </c>
      <c r="AW88" s="33">
        <f>IF(INDEX(lmic_raw[],MATCH($A88,lmic_raw[[setting]:[setting]],0), MATCH(AW$1, lmic_raw[#Headers],0))=0, INDEX(regions[], MATCH($D88, regions[[setting]:[setting]],0), MATCH(AW$1, regions[#Headers],0)),INDEX(lmic_raw[],MATCH($A88,lmic_raw[[setting]:[setting]],0), MATCH(AW$1, lmic_raw[#Headers],0)))</f>
        <v>0.18853484881129942</v>
      </c>
      <c r="AX88" s="33">
        <f>IF(INDEX(lmic_raw[],MATCH($A88,lmic_raw[[setting]:[setting]],0), MATCH(AX$1, lmic_raw[#Headers],0))=0, INDEX(regions[], MATCH($D88, regions[[setting]:[setting]],0), MATCH(AX$1, regions[#Headers],0)),INDEX(lmic_raw[],MATCH($A88,lmic_raw[[setting]:[setting]],0), MATCH(AX$1, lmic_raw[#Headers],0)))</f>
        <v>63.024000000000001</v>
      </c>
      <c r="AY88" s="33" t="str">
        <f>IF(VLOOKUP($A88,lmic_raw[],11,FALSE)=0, "Yes", "No")</f>
        <v>No</v>
      </c>
    </row>
    <row r="89" spans="1:51" x14ac:dyDescent="0.25">
      <c r="A89" s="110" t="s">
        <v>291</v>
      </c>
      <c r="B89" s="104" t="s">
        <v>479</v>
      </c>
      <c r="C89" s="105">
        <v>520</v>
      </c>
      <c r="D89" s="84" t="s">
        <v>681</v>
      </c>
      <c r="E89" s="84" t="s">
        <v>98</v>
      </c>
      <c r="F89" s="84" t="s">
        <v>666</v>
      </c>
      <c r="G89" s="84" t="s">
        <v>676</v>
      </c>
      <c r="H89" s="33">
        <f>IF(INDEX(lmic_raw[],MATCH($A89,lmic_raw[[setting]:[setting]],0), MATCH(H$1, lmic_raw[#Headers],0))=0, INDEX(regions[], MATCH($D89, regions[[setting]:[setting]],0), MATCH(H$1, regions[#Headers],0)),INDEX(lmic_raw[],MATCH($A89,lmic_raw[[setting]:[setting]],0), MATCH(H$1, lmic_raw[#Headers],0)))</f>
        <v>10764</v>
      </c>
      <c r="I89" s="33">
        <f>IF(INDEX(lmic_raw[],MATCH($A89,lmic_raw[[setting]:[setting]],0), MATCH(I$1, lmic_raw[#Headers],0))=0, INDEX(regions[], MATCH($D89, regions[[setting]:[setting]],0), MATCH(I$1, regions[#Headers],0)),INDEX(lmic_raw[],MATCH($A89,lmic_raw[[setting]:[setting]],0), MATCH(I$1, lmic_raw[#Headers],0)))</f>
        <v>231.31835999999996</v>
      </c>
      <c r="J89" s="33">
        <f>IF(INDEX(lmic_raw[],MATCH($A89,lmic_raw[[setting]:[setting]],0), MATCH(J$1, lmic_raw[#Headers],0))=0, INDEX(regions[], MATCH($D89, regions[[setting]:[setting]],0), MATCH(J$1, regions[#Headers],0)),INDEX(lmic_raw[],MATCH($A89,lmic_raw[[setting]:[setting]],0), MATCH(J$1, lmic_raw[#Headers],0)))</f>
        <v>0.98699999999999999</v>
      </c>
      <c r="K89" s="33">
        <f>IF(INDEX(lmic_raw[],MATCH($A89,lmic_raw[[setting]:[setting]],0), MATCH(K$1, lmic_raw[#Headers],0))=0, INDEX(regions[], MATCH($D89, regions[[setting]:[setting]],0), MATCH(K$1, regions[#Headers],0)),INDEX(lmic_raw[],MATCH($A89,lmic_raw[[setting]:[setting]],0), MATCH(K$1, lmic_raw[#Headers],0)))</f>
        <v>0.99</v>
      </c>
      <c r="L89" s="33">
        <f>IF(INDEX(lmic_raw[],MATCH($A89,lmic_raw[[setting]:[setting]],0), MATCH(L$1, lmic_raw[#Headers],0))=0, INDEX(regions[], MATCH($D89, regions[[setting]:[setting]],0), MATCH(L$1, regions[#Headers],0)),INDEX(lmic_raw[],MATCH($A89,lmic_raw[[setting]:[setting]],0), MATCH(L$1, lmic_raw[#Headers],0)))</f>
        <v>0.96</v>
      </c>
      <c r="M89" s="33">
        <f>IF(INDEX(lmic_raw[],MATCH($A89,lmic_raw[[setting]:[setting]],0), MATCH(M$1, lmic_raw[#Headers],0))=0, INDEX(regions[], MATCH($D89, regions[[setting]:[setting]],0), MATCH(M$1, regions[#Headers],0)),INDEX(lmic_raw[],MATCH($A89,lmic_raw[[setting]:[setting]],0), MATCH(M$1, lmic_raw[#Headers],0)))</f>
        <v>0.12179999999999999</v>
      </c>
      <c r="N89" s="33">
        <f>IF(INDEX(lmic_raw[],MATCH($A89,lmic_raw[[setting]:[setting]],0), MATCH(N$1, lmic_raw[#Headers],0))=0, INDEX(regions[], MATCH($D89, regions[[setting]:[setting]],0), MATCH(N$1, regions[#Headers],0)),INDEX(lmic_raw[],MATCH($A89,lmic_raw[[setting]:[setting]],0), MATCH(N$1, lmic_raw[#Headers],0)))</f>
        <v>0.33321530304356067</v>
      </c>
      <c r="O89" s="33">
        <f>IF(INDEX(lmic_raw[],MATCH($A89,lmic_raw[[setting]:[setting]],0), MATCH(O$1, lmic_raw[#Headers],0))=0, INDEX(regions[], MATCH($D89, regions[[setting]:[setting]],0), MATCH(O$1, regions[#Headers],0)),INDEX(lmic_raw[],MATCH($A89,lmic_raw[[setting]:[setting]],0), MATCH(O$1, lmic_raw[#Headers],0)))</f>
        <v>0.8</v>
      </c>
      <c r="P89" s="33">
        <f>IF(INDEX(lmic_raw[],MATCH($A89,lmic_raw[[setting]:[setting]],0), MATCH(P$1, lmic_raw[#Headers],0))=0, INDEX(regions[], MATCH($D89, regions[[setting]:[setting]],0), MATCH(P$1, regions[#Headers],0)),INDEX(lmic_raw[],MATCH($A89,lmic_raw[[setting]:[setting]],0), MATCH(P$1, lmic_raw[#Headers],0)))</f>
        <v>0.17499999999999999</v>
      </c>
      <c r="Q89" s="33">
        <f>IF(INDEX(lmic_raw[],MATCH($A89,lmic_raw[[setting]:[setting]],0), MATCH(Q$1, lmic_raw[#Headers],0))=0, INDEX(regions[], MATCH($D89, regions[[setting]:[setting]],0), MATCH(Q$1, regions[#Headers],0)),INDEX(lmic_raw[],MATCH($A89,lmic_raw[[setting]:[setting]],0), MATCH(Q$1, lmic_raw[#Headers],0)))</f>
        <v>6.0765506749940794</v>
      </c>
      <c r="R89" s="33">
        <f>IF(INDEX(lmic_raw[],MATCH($A89,lmic_raw[[setting]:[setting]],0), MATCH(R$1, lmic_raw[#Headers],0))=0, INDEX(regions[], MATCH($D89, regions[[setting]:[setting]],0), MATCH(R$1, regions[#Headers],0)),INDEX(lmic_raw[],MATCH($A89,lmic_raw[[setting]:[setting]],0), MATCH(R$1, lmic_raw[#Headers],0)))</f>
        <v>73.084500000000006</v>
      </c>
      <c r="S89" s="33">
        <f>IF(INDEX(lmic_raw[],MATCH($A89,lmic_raw[[setting]:[setting]],0), MATCH(S$1, lmic_raw[#Headers],0))=0, INDEX(regions[], MATCH($D89, regions[[setting]:[setting]],0), MATCH(S$1, regions[#Headers],0)),INDEX(lmic_raw[],MATCH($A89,lmic_raw[[setting]:[setting]],0), MATCH(S$1, lmic_raw[#Headers],0)))</f>
        <v>120.8265</v>
      </c>
      <c r="T89" s="33">
        <f>IF(INDEX(lmic_raw[],MATCH($A89,lmic_raw[[setting]:[setting]],0), MATCH(T$1, lmic_raw[#Headers],0))=0, INDEX(regions[], MATCH($D89, regions[[setting]:[setting]],0), MATCH(T$1, regions[#Headers],0)),INDEX(lmic_raw[],MATCH($A89,lmic_raw[[setting]:[setting]],0), MATCH(T$1, lmic_raw[#Headers],0)))</f>
        <v>120.8265</v>
      </c>
      <c r="U89" s="33">
        <f>IF(INDEX(lmic_raw[],MATCH($A89,lmic_raw[[setting]:[setting]],0), MATCH(U$1, lmic_raw[#Headers],0))=0, INDEX(regions[], MATCH($D89, regions[[setting]:[setting]],0), MATCH(U$1, regions[#Headers],0)),INDEX(lmic_raw[],MATCH($A89,lmic_raw[[setting]:[setting]],0), MATCH(U$1, lmic_raw[#Headers],0)))</f>
        <v>120.8265</v>
      </c>
      <c r="V89" s="33">
        <f>IF(INDEX(lmic_raw[],MATCH($A89,lmic_raw[[setting]:[setting]],0), MATCH(V$1, lmic_raw[#Headers],0))=0, INDEX(regions[], MATCH($D89, regions[[setting]:[setting]],0), MATCH(V$1, regions[#Headers],0)),INDEX(lmic_raw[],MATCH($A89,lmic_raw[[setting]:[setting]],0), MATCH(V$1, lmic_raw[#Headers],0)))</f>
        <v>0.47136228081471987</v>
      </c>
      <c r="W89" s="33">
        <f>IF(INDEX(lmic_raw[],MATCH($A89,lmic_raw[[setting]:[setting]],0), MATCH(W$1, lmic_raw[#Headers],0))=0, INDEX(regions[], MATCH($D89, regions[[setting]:[setting]],0), MATCH(W$1, regions[#Headers],0)),INDEX(lmic_raw[],MATCH($A89,lmic_raw[[setting]:[setting]],0), MATCH(W$1, lmic_raw[#Headers],0)))</f>
        <v>1.1013622808147199</v>
      </c>
      <c r="X89" s="33">
        <f>IF(INDEX(lmic_raw[],MATCH($A89,lmic_raw[[setting]:[setting]],0), MATCH(X$1, lmic_raw[#Headers],0))=0, INDEX(regions[], MATCH($D89, regions[[setting]:[setting]],0), MATCH(X$1, regions[#Headers],0)),INDEX(lmic_raw[],MATCH($A89,lmic_raw[[setting]:[setting]],0), MATCH(X$1, lmic_raw[#Headers],0)))</f>
        <v>2.5069756257011615E-2</v>
      </c>
      <c r="Y89" s="33">
        <f>IF(INDEX(lmic_raw[],MATCH($A89,lmic_raw[[setting]:[setting]],0), MATCH(Y$1, lmic_raw[#Headers],0))=0, INDEX(regions[], MATCH($D89, regions[[setting]:[setting]],0), MATCH(Y$1, regions[#Headers],0)),INDEX(lmic_raw[],MATCH($A89,lmic_raw[[setting]:[setting]],0), MATCH(Y$1, lmic_raw[#Headers],0)))</f>
        <v>0.65506975625701158</v>
      </c>
      <c r="Z89" s="33">
        <f>IF(INDEX(lmic_raw[],MATCH($A89,lmic_raw[[setting]:[setting]],0), MATCH(Z$1, lmic_raw[#Headers],0))=0, INDEX(regions[], MATCH($D89, regions[[setting]:[setting]],0), MATCH(Z$1, regions[#Headers],0)),INDEX(lmic_raw[],MATCH($A89,lmic_raw[[setting]:[setting]],0), MATCH(Z$1, lmic_raw[#Headers],0)))</f>
        <v>0.64432749719631022</v>
      </c>
      <c r="AA89" s="33">
        <f>IF(INDEX(lmic_raw[],MATCH($A89,lmic_raw[[setting]:[setting]],0), MATCH(AA$1, lmic_raw[#Headers],0))=0, INDEX(regions[], MATCH($D89, regions[[setting]:[setting]],0), MATCH(AA$1, regions[#Headers],0)),INDEX(lmic_raw[],MATCH($A89,lmic_raw[[setting]:[setting]],0), MATCH(AA$1, lmic_raw[#Headers],0)))</f>
        <v>0.72046120850647555</v>
      </c>
      <c r="AB89" s="33">
        <f>IF(INDEX(lmic_raw[],MATCH($A89,lmic_raw[[setting]:[setting]],0), MATCH(AB$1, lmic_raw[#Headers],0))=0, INDEX(regions[], MATCH($D89, regions[[setting]:[setting]],0), MATCH(AB$1, regions[#Headers],0)),INDEX(lmic_raw[],MATCH($A89,lmic_raw[[setting]:[setting]],0), MATCH(AB$1, lmic_raw[#Headers],0)))</f>
        <v>1.3504612085064756</v>
      </c>
      <c r="AC89" s="33">
        <f>IF(INDEX(lmic_raw[],MATCH($A89,lmic_raw[[setting]:[setting]],0), MATCH(AC$1, lmic_raw[#Headers],0))=0, INDEX(regions[], MATCH($D89, regions[[setting]:[setting]],0), MATCH(AC$1, regions[#Headers],0)),INDEX(lmic_raw[],MATCH($A89,lmic_raw[[setting]:[setting]],0), MATCH(AC$1, lmic_raw[#Headers],0)))</f>
        <v>1.2113043019348933E-2</v>
      </c>
      <c r="AD89" s="33">
        <f>IF(INDEX(lmic_raw[],MATCH($A89,lmic_raw[[setting]:[setting]],0), MATCH(AD$1, lmic_raw[#Headers],0))=0, INDEX(regions[], MATCH($D89, regions[[setting]:[setting]],0), MATCH(AD$1, regions[#Headers],0)),INDEX(lmic_raw[],MATCH($A89,lmic_raw[[setting]:[setting]],0), MATCH(AD$1, lmic_raw[#Headers],0)))</f>
        <v>6.7609930209456214E-4</v>
      </c>
      <c r="AE89" s="33">
        <f>IF(INDEX(lmic_raw[],MATCH($A89,lmic_raw[[setting]:[setting]],0), MATCH(AE$1, lmic_raw[#Headers],0))=0, INDEX(regions[], MATCH($D89, regions[[setting]:[setting]],0), MATCH(AE$1, regions[#Headers],0)),INDEX(lmic_raw[],MATCH($A89,lmic_raw[[setting]:[setting]],0), MATCH(AE$1, lmic_raw[#Headers],0)))</f>
        <v>3.9081483963144945E-4</v>
      </c>
      <c r="AF89" s="33">
        <f>IF(INDEX(lmic_raw[],MATCH($A89,lmic_raw[[setting]:[setting]],0), MATCH(AF$1, lmic_raw[#Headers],0))=0, INDEX(regions[], MATCH($D89, regions[[setting]:[setting]],0), MATCH(AF$1, regions[#Headers],0)),INDEX(lmic_raw[],MATCH($A89,lmic_raw[[setting]:[setting]],0), MATCH(AF$1, lmic_raw[#Headers],0)))</f>
        <v>3.0782172099554035E-4</v>
      </c>
      <c r="AG89" s="33">
        <f>IF(INDEX(lmic_raw[],MATCH($A89,lmic_raw[[setting]:[setting]],0), MATCH(AG$1, lmic_raw[#Headers],0))=0, INDEX(regions[], MATCH($D89, regions[[setting]:[setting]],0), MATCH(AG$1, regions[#Headers],0)),INDEX(lmic_raw[],MATCH($A89,lmic_raw[[setting]:[setting]],0), MATCH(AG$1, lmic_raw[#Headers],0)))</f>
        <v>4.8944350359139937E-4</v>
      </c>
      <c r="AH89" s="33">
        <f>IF(INDEX(lmic_raw[],MATCH($A89,lmic_raw[[setting]:[setting]],0), MATCH(AH$1, lmic_raw[#Headers],0))=0, INDEX(regions[], MATCH($D89, regions[[setting]:[setting]],0), MATCH(AH$1, regions[#Headers],0)),INDEX(lmic_raw[],MATCH($A89,lmic_raw[[setting]:[setting]],0), MATCH(AH$1, lmic_raw[#Headers],0)))</f>
        <v>6.8096472237868307E-4</v>
      </c>
      <c r="AI89" s="33">
        <f>IF(INDEX(lmic_raw[],MATCH($A89,lmic_raw[[setting]:[setting]],0), MATCH(AI$1, lmic_raw[#Headers],0))=0, INDEX(regions[], MATCH($D89, regions[[setting]:[setting]],0), MATCH(AI$1, regions[#Headers],0)),INDEX(lmic_raw[],MATCH($A89,lmic_raw[[setting]:[setting]],0), MATCH(AI$1, lmic_raw[#Headers],0)))</f>
        <v>8.5023885699048749E-4</v>
      </c>
      <c r="AJ89" s="33">
        <f>IF(INDEX(lmic_raw[],MATCH($A89,lmic_raw[[setting]:[setting]],0), MATCH(AJ$1, lmic_raw[#Headers],0))=0, INDEX(regions[], MATCH($D89, regions[[setting]:[setting]],0), MATCH(AJ$1, regions[#Headers],0)),INDEX(lmic_raw[],MATCH($A89,lmic_raw[[setting]:[setting]],0), MATCH(AJ$1, lmic_raw[#Headers],0)))</f>
        <v>1.0584115094525045E-3</v>
      </c>
      <c r="AK89" s="33">
        <f>IF(INDEX(lmic_raw[],MATCH($A89,lmic_raw[[setting]:[setting]],0), MATCH(AK$1, lmic_raw[#Headers],0))=0, INDEX(regions[], MATCH($D89, regions[[setting]:[setting]],0), MATCH(AK$1, regions[#Headers],0)),INDEX(lmic_raw[],MATCH($A89,lmic_raw[[setting]:[setting]],0), MATCH(AK$1, lmic_raw[#Headers],0)))</f>
        <v>1.3595292919632098E-3</v>
      </c>
      <c r="AL89" s="33">
        <f>IF(INDEX(lmic_raw[],MATCH($A89,lmic_raw[[setting]:[setting]],0), MATCH(AL$1, lmic_raw[#Headers],0))=0, INDEX(regions[], MATCH($D89, regions[[setting]:[setting]],0), MATCH(AL$1, regions[#Headers],0)),INDEX(lmic_raw[],MATCH($A89,lmic_raw[[setting]:[setting]],0), MATCH(AL$1, lmic_raw[#Headers],0)))</f>
        <v>1.913684162559916E-3</v>
      </c>
      <c r="AM89" s="33">
        <f>IF(INDEX(lmic_raw[],MATCH($A89,lmic_raw[[setting]:[setting]],0), MATCH(AM$1, lmic_raw[#Headers],0))=0, INDEX(regions[], MATCH($D89, regions[[setting]:[setting]],0), MATCH(AM$1, regions[#Headers],0)),INDEX(lmic_raw[],MATCH($A89,lmic_raw[[setting]:[setting]],0), MATCH(AM$1, lmic_raw[#Headers],0)))</f>
        <v>2.8048927139820382E-3</v>
      </c>
      <c r="AN89" s="33">
        <f>IF(INDEX(lmic_raw[],MATCH($A89,lmic_raw[[setting]:[setting]],0), MATCH(AN$1, lmic_raw[#Headers],0))=0, INDEX(regions[], MATCH($D89, regions[[setting]:[setting]],0), MATCH(AN$1, regions[#Headers],0)),INDEX(lmic_raw[],MATCH($A89,lmic_raw[[setting]:[setting]],0), MATCH(AN$1, lmic_raw[#Headers],0)))</f>
        <v>4.4671883657492542E-3</v>
      </c>
      <c r="AO89" s="33">
        <f>IF(INDEX(lmic_raw[],MATCH($A89,lmic_raw[[setting]:[setting]],0), MATCH(AO$1, lmic_raw[#Headers],0))=0, INDEX(regions[], MATCH($D89, regions[[setting]:[setting]],0), MATCH(AO$1, regions[#Headers],0)),INDEX(lmic_raw[],MATCH($A89,lmic_raw[[setting]:[setting]],0), MATCH(AO$1, lmic_raw[#Headers],0)))</f>
        <v>7.1493659984186823E-3</v>
      </c>
      <c r="AP89" s="33">
        <f>IF(INDEX(lmic_raw[],MATCH($A89,lmic_raw[[setting]:[setting]],0), MATCH(AP$1, lmic_raw[#Headers],0))=0, INDEX(regions[], MATCH($D89, regions[[setting]:[setting]],0), MATCH(AP$1, regions[#Headers],0)),INDEX(lmic_raw[],MATCH($A89,lmic_raw[[setting]:[setting]],0), MATCH(AP$1, lmic_raw[#Headers],0)))</f>
        <v>1.2122839216961992E-2</v>
      </c>
      <c r="AQ89" s="33">
        <f>IF(INDEX(lmic_raw[],MATCH($A89,lmic_raw[[setting]:[setting]],0), MATCH(AQ$1, lmic_raw[#Headers],0))=0, INDEX(regions[], MATCH($D89, regions[[setting]:[setting]],0), MATCH(AQ$1, regions[#Headers],0)),INDEX(lmic_raw[],MATCH($A89,lmic_raw[[setting]:[setting]],0), MATCH(AQ$1, lmic_raw[#Headers],0)))</f>
        <v>2.0383567531551045E-2</v>
      </c>
      <c r="AR89" s="33">
        <f>IF(INDEX(lmic_raw[],MATCH($A89,lmic_raw[[setting]:[setting]],0), MATCH(AR$1, lmic_raw[#Headers],0))=0, INDEX(regions[], MATCH($D89, regions[[setting]:[setting]],0), MATCH(AR$1, regions[#Headers],0)),INDEX(lmic_raw[],MATCH($A89,lmic_raw[[setting]:[setting]],0), MATCH(AR$1, lmic_raw[#Headers],0)))</f>
        <v>3.4419302343702933E-2</v>
      </c>
      <c r="AS89" s="33">
        <f>IF(INDEX(lmic_raw[],MATCH($A89,lmic_raw[[setting]:[setting]],0), MATCH(AS$1, lmic_raw[#Headers],0))=0, INDEX(regions[], MATCH($D89, regions[[setting]:[setting]],0), MATCH(AS$1, regions[#Headers],0)),INDEX(lmic_raw[],MATCH($A89,lmic_raw[[setting]:[setting]],0), MATCH(AS$1, lmic_raw[#Headers],0)))</f>
        <v>5.3865001524097247E-2</v>
      </c>
      <c r="AT89" s="33">
        <f>IF(INDEX(lmic_raw[],MATCH($A89,lmic_raw[[setting]:[setting]],0), MATCH(AT$1, lmic_raw[#Headers],0))=0, INDEX(regions[], MATCH($D89, regions[[setting]:[setting]],0), MATCH(AT$1, regions[#Headers],0)),INDEX(lmic_raw[],MATCH($A89,lmic_raw[[setting]:[setting]],0), MATCH(AT$1, lmic_raw[#Headers],0)))</f>
        <v>7.6821618366979399E-2</v>
      </c>
      <c r="AU89" s="33">
        <f>IF(INDEX(lmic_raw[],MATCH($A89,lmic_raw[[setting]:[setting]],0), MATCH(AU$1, lmic_raw[#Headers],0))=0, INDEX(regions[], MATCH($D89, regions[[setting]:[setting]],0), MATCH(AU$1, regions[#Headers],0)),INDEX(lmic_raw[],MATCH($A89,lmic_raw[[setting]:[setting]],0), MATCH(AU$1, lmic_raw[#Headers],0)))</f>
        <v>0.10590462633893205</v>
      </c>
      <c r="AV89" s="33">
        <f>IF(INDEX(lmic_raw[],MATCH($A89,lmic_raw[[setting]:[setting]],0), MATCH(AV$1, lmic_raw[#Headers],0))=0, INDEX(regions[], MATCH($D89, regions[[setting]:[setting]],0), MATCH(AV$1, regions[#Headers],0)),INDEX(lmic_raw[],MATCH($A89,lmic_raw[[setting]:[setting]],0), MATCH(AV$1, lmic_raw[#Headers],0)))</f>
        <v>0.13211014586527225</v>
      </c>
      <c r="AW89" s="33">
        <f>IF(INDEX(lmic_raw[],MATCH($A89,lmic_raw[[setting]:[setting]],0), MATCH(AW$1, lmic_raw[#Headers],0))=0, INDEX(regions[], MATCH($D89, regions[[setting]:[setting]],0), MATCH(AW$1, regions[#Headers],0)),INDEX(lmic_raw[],MATCH($A89,lmic_raw[[setting]:[setting]],0), MATCH(AW$1, lmic_raw[#Headers],0)))</f>
        <v>0.15412931043049904</v>
      </c>
      <c r="AX89" s="33">
        <f>IF(INDEX(lmic_raw[],MATCH($A89,lmic_raw[[setting]:[setting]],0), MATCH(AX$1, lmic_raw[#Headers],0))=0, INDEX(regions[], MATCH($D89, regions[[setting]:[setting]],0), MATCH(AX$1, regions[#Headers],0)),INDEX(lmic_raw[],MATCH($A89,lmic_raw[[setting]:[setting]],0), MATCH(AX$1, lmic_raw[#Headers],0)))</f>
        <v>75.587990106299117</v>
      </c>
      <c r="AY89" s="33" t="str">
        <f>IF(VLOOKUP($A89,lmic_raw[],11,FALSE)=0, "Yes", "No")</f>
        <v>No</v>
      </c>
    </row>
    <row r="90" spans="1:51" x14ac:dyDescent="0.25">
      <c r="A90" s="109" t="s">
        <v>197</v>
      </c>
      <c r="B90" s="101" t="s">
        <v>480</v>
      </c>
      <c r="C90" s="102">
        <v>524</v>
      </c>
      <c r="D90" s="82" t="s">
        <v>680</v>
      </c>
      <c r="E90" s="82" t="s">
        <v>589</v>
      </c>
      <c r="F90" s="82" t="s">
        <v>589</v>
      </c>
      <c r="G90" s="82" t="s">
        <v>674</v>
      </c>
      <c r="H90" s="33">
        <f>IF(INDEX(lmic_raw[],MATCH($A90,lmic_raw[[setting]:[setting]],0), MATCH(H$1, lmic_raw[#Headers],0))=0, INDEX(regions[], MATCH($D90, regions[[setting]:[setting]],0), MATCH(H$1, regions[#Headers],0)),INDEX(lmic_raw[],MATCH($A90,lmic_raw[[setting]:[setting]],0), MATCH(H$1, lmic_raw[#Headers],0)))</f>
        <v>28608715</v>
      </c>
      <c r="I90" s="33">
        <f>IF(INDEX(lmic_raw[],MATCH($A90,lmic_raw[[setting]:[setting]],0), MATCH(I$1, lmic_raw[#Headers],0))=0, INDEX(regions[], MATCH($D90, regions[[setting]:[setting]],0), MATCH(I$1, regions[#Headers],0)),INDEX(lmic_raw[],MATCH($A90,lmic_raw[[setting]:[setting]],0), MATCH(I$1, lmic_raw[#Headers],0)))</f>
        <v>572717.8655849999</v>
      </c>
      <c r="J90" s="33">
        <f>IF(INDEX(lmic_raw[],MATCH($A90,lmic_raw[[setting]:[setting]],0), MATCH(J$1, lmic_raw[#Headers],0))=0, INDEX(regions[], MATCH($D90, regions[[setting]:[setting]],0), MATCH(J$1, regions[#Headers],0)),INDEX(lmic_raw[],MATCH($A90,lmic_raw[[setting]:[setting]],0), MATCH(J$1, lmic_raw[#Headers],0)))</f>
        <v>0.57399999999999995</v>
      </c>
      <c r="K90" s="33">
        <f>IF(INDEX(lmic_raw[],MATCH($A90,lmic_raw[[setting]:[setting]],0), MATCH(K$1, lmic_raw[#Headers],0))=0, INDEX(regions[], MATCH($D90, regions[[setting]:[setting]],0), MATCH(K$1, regions[#Headers],0)),INDEX(lmic_raw[],MATCH($A90,lmic_raw[[setting]:[setting]],0), MATCH(K$1, lmic_raw[#Headers],0)))</f>
        <v>0.60684066530483005</v>
      </c>
      <c r="L90" s="33">
        <f>IF(INDEX(lmic_raw[],MATCH($A90,lmic_raw[[setting]:[setting]],0), MATCH(L$1, lmic_raw[#Headers],0))=0, INDEX(regions[], MATCH($D90, regions[[setting]:[setting]],0), MATCH(L$1, regions[#Headers],0)),INDEX(lmic_raw[],MATCH($A90,lmic_raw[[setting]:[setting]],0), MATCH(L$1, lmic_raw[#Headers],0)))</f>
        <v>0.93</v>
      </c>
      <c r="M90" s="33">
        <f>IF(INDEX(lmic_raw[],MATCH($A90,lmic_raw[[setting]:[setting]],0), MATCH(M$1, lmic_raw[#Headers],0))=0, INDEX(regions[], MATCH($D90, regions[[setting]:[setting]],0), MATCH(M$1, regions[#Headers],0)),INDEX(lmic_raw[],MATCH($A90,lmic_raw[[setting]:[setting]],0), MATCH(M$1, lmic_raw[#Headers],0)))</f>
        <v>8.6999999999999994E-3</v>
      </c>
      <c r="N90" s="33">
        <f>IF(INDEX(lmic_raw[],MATCH($A90,lmic_raw[[setting]:[setting]],0), MATCH(N$1, lmic_raw[#Headers],0))=0, INDEX(regions[], MATCH($D90, regions[[setting]:[setting]],0), MATCH(N$1, regions[#Headers],0)),INDEX(lmic_raw[],MATCH($A90,lmic_raw[[setting]:[setting]],0), MATCH(N$1, lmic_raw[#Headers],0)))</f>
        <v>0.28656959412598437</v>
      </c>
      <c r="O90" s="33">
        <f>IF(INDEX(lmic_raw[],MATCH($A90,lmic_raw[[setting]:[setting]],0), MATCH(O$1, lmic_raw[#Headers],0))=0, INDEX(regions[], MATCH($D90, regions[[setting]:[setting]],0), MATCH(O$1, regions[#Headers],0)),INDEX(lmic_raw[],MATCH($A90,lmic_raw[[setting]:[setting]],0), MATCH(O$1, lmic_raw[#Headers],0)))</f>
        <v>0.8</v>
      </c>
      <c r="P90" s="33">
        <f>IF(INDEX(lmic_raw[],MATCH($A90,lmic_raw[[setting]:[setting]],0), MATCH(P$1, lmic_raw[#Headers],0))=0, INDEX(regions[], MATCH($D90, regions[[setting]:[setting]],0), MATCH(P$1, regions[#Headers],0)),INDEX(lmic_raw[],MATCH($A90,lmic_raw[[setting]:[setting]],0), MATCH(P$1, lmic_raw[#Headers],0)))</f>
        <v>0.17499999999999999</v>
      </c>
      <c r="Q90" s="33">
        <f>IF(INDEX(lmic_raw[],MATCH($A90,lmic_raw[[setting]:[setting]],0), MATCH(Q$1, lmic_raw[#Headers],0))=0, INDEX(regions[], MATCH($D90, regions[[setting]:[setting]],0), MATCH(Q$1, regions[#Headers],0)),INDEX(lmic_raw[],MATCH($A90,lmic_raw[[setting]:[setting]],0), MATCH(Q$1, lmic_raw[#Headers],0)))</f>
        <v>2.7057404302016597</v>
      </c>
      <c r="R90" s="33">
        <f>IF(INDEX(lmic_raw[],MATCH($A90,lmic_raw[[setting]:[setting]],0), MATCH(R$1, lmic_raw[#Headers],0))=0, INDEX(regions[], MATCH($D90, regions[[setting]:[setting]],0), MATCH(R$1, regions[#Headers],0)),INDEX(lmic_raw[],MATCH($A90,lmic_raw[[setting]:[setting]],0), MATCH(R$1, lmic_raw[#Headers],0)))</f>
        <v>45.899900000000002</v>
      </c>
      <c r="S90" s="33">
        <f>IF(INDEX(lmic_raw[],MATCH($A90,lmic_raw[[setting]:[setting]],0), MATCH(S$1, lmic_raw[#Headers],0))=0, INDEX(regions[], MATCH($D90, regions[[setting]:[setting]],0), MATCH(S$1, regions[#Headers],0)),INDEX(lmic_raw[],MATCH($A90,lmic_raw[[setting]:[setting]],0), MATCH(S$1, lmic_raw[#Headers],0)))</f>
        <v>93.641900000000007</v>
      </c>
      <c r="T90" s="33">
        <f>IF(INDEX(lmic_raw[],MATCH($A90,lmic_raw[[setting]:[setting]],0), MATCH(T$1, lmic_raw[#Headers],0))=0, INDEX(regions[], MATCH($D90, regions[[setting]:[setting]],0), MATCH(T$1, regions[#Headers],0)),INDEX(lmic_raw[],MATCH($A90,lmic_raw[[setting]:[setting]],0), MATCH(T$1, lmic_raw[#Headers],0)))</f>
        <v>93.641900000000007</v>
      </c>
      <c r="U90" s="33">
        <f>IF(INDEX(lmic_raw[],MATCH($A90,lmic_raw[[setting]:[setting]],0), MATCH(U$1, lmic_raw[#Headers],0))=0, INDEX(regions[], MATCH($D90, regions[[setting]:[setting]],0), MATCH(U$1, regions[#Headers],0)),INDEX(lmic_raw[],MATCH($A90,lmic_raw[[setting]:[setting]],0), MATCH(U$1, lmic_raw[#Headers],0)))</f>
        <v>93.641900000000007</v>
      </c>
      <c r="V90" s="33">
        <f>IF(INDEX(lmic_raw[],MATCH($A90,lmic_raw[[setting]:[setting]],0), MATCH(V$1, lmic_raw[#Headers],0))=0, INDEX(regions[], MATCH($D90, regions[[setting]:[setting]],0), MATCH(V$1, regions[#Headers],0)),INDEX(lmic_raw[],MATCH($A90,lmic_raw[[setting]:[setting]],0), MATCH(V$1, lmic_raw[#Headers],0)))</f>
        <v>2.4957888929581169</v>
      </c>
      <c r="W90" s="33">
        <f>IF(INDEX(lmic_raw[],MATCH($A90,lmic_raw[[setting]:[setting]],0), MATCH(W$1, lmic_raw[#Headers],0))=0, INDEX(regions[], MATCH($D90, regions[[setting]:[setting]],0), MATCH(W$1, regions[#Headers],0)),INDEX(lmic_raw[],MATCH($A90,lmic_raw[[setting]:[setting]],0), MATCH(W$1, lmic_raw[#Headers],0)))</f>
        <v>4.9457888929581166</v>
      </c>
      <c r="X90" s="33">
        <f>IF(INDEX(lmic_raw[],MATCH($A90,lmic_raw[[setting]:[setting]],0), MATCH(X$1, lmic_raw[#Headers],0))=0, INDEX(regions[], MATCH($D90, regions[[setting]:[setting]],0), MATCH(X$1, regions[#Headers],0)),INDEX(lmic_raw[],MATCH($A90,lmic_raw[[setting]:[setting]],0), MATCH(X$1, lmic_raw[#Headers],0)))</f>
        <v>2.0683810063983583</v>
      </c>
      <c r="Y90" s="33">
        <f>IF(INDEX(lmic_raw[],MATCH($A90,lmic_raw[[setting]:[setting]],0), MATCH(Y$1, lmic_raw[#Headers],0))=0, INDEX(regions[], MATCH($D90, regions[[setting]:[setting]],0), MATCH(Y$1, regions[#Headers],0)),INDEX(lmic_raw[],MATCH($A90,lmic_raw[[setting]:[setting]],0), MATCH(Y$1, lmic_raw[#Headers],0)))</f>
        <v>4.5183810063983589</v>
      </c>
      <c r="Z90" s="33">
        <f>IF(INDEX(lmic_raw[],MATCH($A90,lmic_raw[[setting]:[setting]],0), MATCH(Z$1, lmic_raw[#Headers],0))=0, INDEX(regions[], MATCH($D90, regions[[setting]:[setting]],0), MATCH(Z$1, regions[#Headers],0)),INDEX(lmic_raw[],MATCH($A90,lmic_raw[[setting]:[setting]],0), MATCH(Z$1, lmic_raw[#Headers],0)))</f>
        <v>4.5146478313868492</v>
      </c>
      <c r="AA90" s="33">
        <f>IF(INDEX(lmic_raw[],MATCH($A90,lmic_raw[[setting]:[setting]],0), MATCH(AA$1, lmic_raw[#Headers],0))=0, INDEX(regions[], MATCH($D90, regions[[setting]:[setting]],0), MATCH(AA$1, regions[#Headers],0)),INDEX(lmic_raw[],MATCH($A90,lmic_raw[[setting]:[setting]],0), MATCH(AA$1, lmic_raw[#Headers],0)))</f>
        <v>2.7380805674180535</v>
      </c>
      <c r="AB90" s="33">
        <f>IF(INDEX(lmic_raw[],MATCH($A90,lmic_raw[[setting]:[setting]],0), MATCH(AB$1, lmic_raw[#Headers],0))=0, INDEX(regions[], MATCH($D90, regions[[setting]:[setting]],0), MATCH(AB$1, regions[#Headers],0)),INDEX(lmic_raw[],MATCH($A90,lmic_raw[[setting]:[setting]],0), MATCH(AB$1, lmic_raw[#Headers],0)))</f>
        <v>5.1880805674180532</v>
      </c>
      <c r="AC90" s="33">
        <f>IF(INDEX(lmic_raw[],MATCH($A90,lmic_raw[[setting]:[setting]],0), MATCH(AC$1, lmic_raw[#Headers],0))=0, INDEX(regions[], MATCH($D90, regions[[setting]:[setting]],0), MATCH(AC$1, regions[#Headers],0)),INDEX(lmic_raw[],MATCH($A90,lmic_raw[[setting]:[setting]],0), MATCH(AC$1, lmic_raw[#Headers],0)))</f>
        <v>2.7942580000000015E-2</v>
      </c>
      <c r="AD90" s="33">
        <f>IF(INDEX(lmic_raw[],MATCH($A90,lmic_raw[[setting]:[setting]],0), MATCH(AD$1, lmic_raw[#Headers],0))=0, INDEX(regions[], MATCH($D90, regions[[setting]:[setting]],0), MATCH(AD$1, regions[#Headers],0)),INDEX(lmic_raw[],MATCH($A90,lmic_raw[[setting]:[setting]],0), MATCH(AD$1, lmic_raw[#Headers],0)))</f>
        <v>1.4641933395251625E-3</v>
      </c>
      <c r="AE90" s="33">
        <f>IF(INDEX(lmic_raw[],MATCH($A90,lmic_raw[[setting]:[setting]],0), MATCH(AE$1, lmic_raw[#Headers],0))=0, INDEX(regions[], MATCH($D90, regions[[setting]:[setting]],0), MATCH(AE$1, regions[#Headers],0)),INDEX(lmic_raw[],MATCH($A90,lmic_raw[[setting]:[setting]],0), MATCH(AE$1, lmic_raw[#Headers],0)))</f>
        <v>5.9734201687707217E-4</v>
      </c>
      <c r="AF90" s="33">
        <f>IF(INDEX(lmic_raw[],MATCH($A90,lmic_raw[[setting]:[setting]],0), MATCH(AF$1, lmic_raw[#Headers],0))=0, INDEX(regions[], MATCH($D90, regions[[setting]:[setting]],0), MATCH(AF$1, regions[#Headers],0)),INDEX(lmic_raw[],MATCH($A90,lmic_raw[[setting]:[setting]],0), MATCH(AF$1, lmic_raw[#Headers],0)))</f>
        <v>4.8948909630063052E-4</v>
      </c>
      <c r="AG90" s="33">
        <f>IF(INDEX(lmic_raw[],MATCH($A90,lmic_raw[[setting]:[setting]],0), MATCH(AG$1, lmic_raw[#Headers],0))=0, INDEX(regions[], MATCH($D90, regions[[setting]:[setting]],0), MATCH(AG$1, regions[#Headers],0)),INDEX(lmic_raw[],MATCH($A90,lmic_raw[[setting]:[setting]],0), MATCH(AG$1, lmic_raw[#Headers],0)))</f>
        <v>8.5947021037404889E-4</v>
      </c>
      <c r="AH90" s="33">
        <f>IF(INDEX(lmic_raw[],MATCH($A90,lmic_raw[[setting]:[setting]],0), MATCH(AH$1, lmic_raw[#Headers],0))=0, INDEX(regions[], MATCH($D90, regions[[setting]:[setting]],0), MATCH(AH$1, regions[#Headers],0)),INDEX(lmic_raw[],MATCH($A90,lmic_raw[[setting]:[setting]],0), MATCH(AH$1, lmic_raw[#Headers],0)))</f>
        <v>1.187279211316897E-3</v>
      </c>
      <c r="AI90" s="33">
        <f>IF(INDEX(lmic_raw[],MATCH($A90,lmic_raw[[setting]:[setting]],0), MATCH(AI$1, lmic_raw[#Headers],0))=0, INDEX(regions[], MATCH($D90, regions[[setting]:[setting]],0), MATCH(AI$1, regions[#Headers],0)),INDEX(lmic_raw[],MATCH($A90,lmic_raw[[setting]:[setting]],0), MATCH(AI$1, lmic_raw[#Headers],0)))</f>
        <v>1.2900965422736341E-3</v>
      </c>
      <c r="AJ90" s="33">
        <f>IF(INDEX(lmic_raw[],MATCH($A90,lmic_raw[[setting]:[setting]],0), MATCH(AJ$1, lmic_raw[#Headers],0))=0, INDEX(regions[], MATCH($D90, regions[[setting]:[setting]],0), MATCH(AJ$1, regions[#Headers],0)),INDEX(lmic_raw[],MATCH($A90,lmic_raw[[setting]:[setting]],0), MATCH(AJ$1, lmic_raw[#Headers],0)))</f>
        <v>1.5188384974273346E-3</v>
      </c>
      <c r="AK90" s="33">
        <f>IF(INDEX(lmic_raw[],MATCH($A90,lmic_raw[[setting]:[setting]],0), MATCH(AK$1, lmic_raw[#Headers],0))=0, INDEX(regions[], MATCH($D90, regions[[setting]:[setting]],0), MATCH(AK$1, regions[#Headers],0)),INDEX(lmic_raw[],MATCH($A90,lmic_raw[[setting]:[setting]],0), MATCH(AK$1, lmic_raw[#Headers],0)))</f>
        <v>1.9839414185007548E-3</v>
      </c>
      <c r="AL90" s="33">
        <f>IF(INDEX(lmic_raw[],MATCH($A90,lmic_raw[[setting]:[setting]],0), MATCH(AL$1, lmic_raw[#Headers],0))=0, INDEX(regions[], MATCH($D90, regions[[setting]:[setting]],0), MATCH(AL$1, regions[#Headers],0)),INDEX(lmic_raw[],MATCH($A90,lmic_raw[[setting]:[setting]],0), MATCH(AL$1, lmic_raw[#Headers],0)))</f>
        <v>2.8502541968265169E-3</v>
      </c>
      <c r="AM90" s="33">
        <f>IF(INDEX(lmic_raw[],MATCH($A90,lmic_raw[[setting]:[setting]],0), MATCH(AM$1, lmic_raw[#Headers],0))=0, INDEX(regions[], MATCH($D90, regions[[setting]:[setting]],0), MATCH(AM$1, regions[#Headers],0)),INDEX(lmic_raw[],MATCH($A90,lmic_raw[[setting]:[setting]],0), MATCH(AM$1, lmic_raw[#Headers],0)))</f>
        <v>4.4543849074185305E-3</v>
      </c>
      <c r="AN90" s="33">
        <f>IF(INDEX(lmic_raw[],MATCH($A90,lmic_raw[[setting]:[setting]],0), MATCH(AN$1, lmic_raw[#Headers],0))=0, INDEX(regions[], MATCH($D90, regions[[setting]:[setting]],0), MATCH(AN$1, regions[#Headers],0)),INDEX(lmic_raw[],MATCH($A90,lmic_raw[[setting]:[setting]],0), MATCH(AN$1, lmic_raw[#Headers],0)))</f>
        <v>6.9522169793429268E-3</v>
      </c>
      <c r="AO90" s="33">
        <f>IF(INDEX(lmic_raw[],MATCH($A90,lmic_raw[[setting]:[setting]],0), MATCH(AO$1, lmic_raw[#Headers],0))=0, INDEX(regions[], MATCH($D90, regions[[setting]:[setting]],0), MATCH(AO$1, regions[#Headers],0)),INDEX(lmic_raw[],MATCH($A90,lmic_raw[[setting]:[setting]],0), MATCH(AO$1, lmic_raw[#Headers],0)))</f>
        <v>1.0951608108868135E-2</v>
      </c>
      <c r="AP90" s="33">
        <f>IF(INDEX(lmic_raw[],MATCH($A90,lmic_raw[[setting]:[setting]],0), MATCH(AP$1, lmic_raw[#Headers],0))=0, INDEX(regions[], MATCH($D90, regions[[setting]:[setting]],0), MATCH(AP$1, regions[#Headers],0)),INDEX(lmic_raw[],MATCH($A90,lmic_raw[[setting]:[setting]],0), MATCH(AP$1, lmic_raw[#Headers],0)))</f>
        <v>1.718090029554491E-2</v>
      </c>
      <c r="AQ90" s="33">
        <f>IF(INDEX(lmic_raw[],MATCH($A90,lmic_raw[[setting]:[setting]],0), MATCH(AQ$1, lmic_raw[#Headers],0))=0, INDEX(regions[], MATCH($D90, regions[[setting]:[setting]],0), MATCH(AQ$1, regions[#Headers],0)),INDEX(lmic_raw[],MATCH($A90,lmic_raw[[setting]:[setting]],0), MATCH(AQ$1, lmic_raw[#Headers],0)))</f>
        <v>2.7261169312703379E-2</v>
      </c>
      <c r="AR90" s="33">
        <f>IF(INDEX(lmic_raw[],MATCH($A90,lmic_raw[[setting]:[setting]],0), MATCH(AR$1, lmic_raw[#Headers],0))=0, INDEX(regions[], MATCH($D90, regions[[setting]:[setting]],0), MATCH(AR$1, regions[#Headers],0)),INDEX(lmic_raw[],MATCH($A90,lmic_raw[[setting]:[setting]],0), MATCH(AR$1, lmic_raw[#Headers],0)))</f>
        <v>4.320931980586707E-2</v>
      </c>
      <c r="AS90" s="33">
        <f>IF(INDEX(lmic_raw[],MATCH($A90,lmic_raw[[setting]:[setting]],0), MATCH(AS$1, lmic_raw[#Headers],0))=0, INDEX(regions[], MATCH($D90, regions[[setting]:[setting]],0), MATCH(AS$1, regions[#Headers],0)),INDEX(lmic_raw[],MATCH($A90,lmic_raw[[setting]:[setting]],0), MATCH(AS$1, lmic_raw[#Headers],0)))</f>
        <v>6.6773009751530027E-2</v>
      </c>
      <c r="AT90" s="33">
        <f>IF(INDEX(lmic_raw[],MATCH($A90,lmic_raw[[setting]:[setting]],0), MATCH(AT$1, lmic_raw[#Headers],0))=0, INDEX(regions[], MATCH($D90, regions[[setting]:[setting]],0), MATCH(AT$1, regions[#Headers],0)),INDEX(lmic_raw[],MATCH($A90,lmic_raw[[setting]:[setting]],0), MATCH(AT$1, lmic_raw[#Headers],0)))</f>
        <v>9.8636927081093451E-2</v>
      </c>
      <c r="AU90" s="33">
        <f>IF(INDEX(lmic_raw[],MATCH($A90,lmic_raw[[setting]:[setting]],0), MATCH(AU$1, lmic_raw[#Headers],0))=0, INDEX(regions[], MATCH($D90, regions[[setting]:[setting]],0), MATCH(AU$1, regions[#Headers],0)),INDEX(lmic_raw[],MATCH($A90,lmic_raw[[setting]:[setting]],0), MATCH(AU$1, lmic_raw[#Headers],0)))</f>
        <v>0.13300884083462092</v>
      </c>
      <c r="AV90" s="33">
        <f>IF(INDEX(lmic_raw[],MATCH($A90,lmic_raw[[setting]:[setting]],0), MATCH(AV$1, lmic_raw[#Headers],0))=0, INDEX(regions[], MATCH($D90, regions[[setting]:[setting]],0), MATCH(AV$1, regions[#Headers],0)),INDEX(lmic_raw[],MATCH($A90,lmic_raw[[setting]:[setting]],0), MATCH(AV$1, lmic_raw[#Headers],0)))</f>
        <v>0.16119652230409756</v>
      </c>
      <c r="AW90" s="33">
        <f>IF(INDEX(lmic_raw[],MATCH($A90,lmic_raw[[setting]:[setting]],0), MATCH(AW$1, lmic_raw[#Headers],0))=0, INDEX(regions[], MATCH($D90, regions[[setting]:[setting]],0), MATCH(AW$1, regions[#Headers],0)),INDEX(lmic_raw[],MATCH($A90,lmic_raw[[setting]:[setting]],0), MATCH(AW$1, lmic_raw[#Headers],0)))</f>
        <v>0.17936089322120757</v>
      </c>
      <c r="AX90" s="33">
        <f>IF(INDEX(lmic_raw[],MATCH($A90,lmic_raw[[setting]:[setting]],0), MATCH(AX$1, lmic_raw[#Headers],0))=0, INDEX(regions[], MATCH($D90, regions[[setting]:[setting]],0), MATCH(AX$1, regions[#Headers],0)),INDEX(lmic_raw[],MATCH($A90,lmic_raw[[setting]:[setting]],0), MATCH(AX$1, lmic_raw[#Headers],0)))</f>
        <v>70.305999999999997</v>
      </c>
      <c r="AY90" s="33" t="str">
        <f>IF(VLOOKUP($A90,lmic_raw[],11,FALSE)=0, "Yes", "No")</f>
        <v>Yes</v>
      </c>
    </row>
    <row r="91" spans="1:51" x14ac:dyDescent="0.25">
      <c r="A91" s="110" t="s">
        <v>259</v>
      </c>
      <c r="B91" s="104" t="s">
        <v>482</v>
      </c>
      <c r="C91" s="105">
        <v>558</v>
      </c>
      <c r="D91" s="84" t="s">
        <v>679</v>
      </c>
      <c r="E91" s="84" t="s">
        <v>604</v>
      </c>
      <c r="F91" s="84" t="s">
        <v>665</v>
      </c>
      <c r="G91" s="84" t="s">
        <v>678</v>
      </c>
      <c r="H91" s="33">
        <f>IF(INDEX(lmic_raw[],MATCH($A91,lmic_raw[[setting]:[setting]],0), MATCH(H$1, lmic_raw[#Headers],0))=0, INDEX(regions[], MATCH($D91, regions[[setting]:[setting]],0), MATCH(H$1, regions[#Headers],0)),INDEX(lmic_raw[],MATCH($A91,lmic_raw[[setting]:[setting]],0), MATCH(H$1, lmic_raw[#Headers],0)))</f>
        <v>6545503</v>
      </c>
      <c r="I91" s="33">
        <f>IF(INDEX(lmic_raw[],MATCH($A91,lmic_raw[[setting]:[setting]],0), MATCH(I$1, lmic_raw[#Headers],0))=0, INDEX(regions[], MATCH($D91, regions[[setting]:[setting]],0), MATCH(I$1, regions[#Headers],0)),INDEX(lmic_raw[],MATCH($A91,lmic_raw[[setting]:[setting]],0), MATCH(I$1, lmic_raw[#Headers],0)))</f>
        <v>136585.01110100001</v>
      </c>
      <c r="J91" s="33">
        <f>IF(INDEX(lmic_raw[],MATCH($A91,lmic_raw[[setting]:[setting]],0), MATCH(J$1, lmic_raw[#Headers],0))=0, INDEX(regions[], MATCH($D91, regions[[setting]:[setting]],0), MATCH(J$1, regions[#Headers],0)),INDEX(lmic_raw[],MATCH($A91,lmic_raw[[setting]:[setting]],0), MATCH(J$1, lmic_raw[#Headers],0)))</f>
        <v>0.71</v>
      </c>
      <c r="K91" s="33">
        <f>IF(INDEX(lmic_raw[],MATCH($A91,lmic_raw[[setting]:[setting]],0), MATCH(K$1, lmic_raw[#Headers],0))=0, INDEX(regions[], MATCH($D91, regions[[setting]:[setting]],0), MATCH(K$1, regions[#Headers],0)),INDEX(lmic_raw[],MATCH($A91,lmic_raw[[setting]:[setting]],0), MATCH(K$1, lmic_raw[#Headers],0)))</f>
        <v>0.74567750031159119</v>
      </c>
      <c r="L91" s="33">
        <f>IF(INDEX(lmic_raw[],MATCH($A91,lmic_raw[[setting]:[setting]],0), MATCH(L$1, lmic_raw[#Headers],0))=0, INDEX(regions[], MATCH($D91, regions[[setting]:[setting]],0), MATCH(L$1, regions[#Headers],0)),INDEX(lmic_raw[],MATCH($A91,lmic_raw[[setting]:[setting]],0), MATCH(L$1, lmic_raw[#Headers],0)))</f>
        <v>0.98</v>
      </c>
      <c r="M91" s="33">
        <f>IF(INDEX(lmic_raw[],MATCH($A91,lmic_raw[[setting]:[setting]],0), MATCH(M$1, lmic_raw[#Headers],0))=0, INDEX(regions[], MATCH($D91, regions[[setting]:[setting]],0), MATCH(M$1, regions[#Headers],0)),INDEX(lmic_raw[],MATCH($A91,lmic_raw[[setting]:[setting]],0), MATCH(M$1, lmic_raw[#Headers],0)))</f>
        <v>4.0999999999999995E-3</v>
      </c>
      <c r="N91" s="33">
        <f>IF(INDEX(lmic_raw[],MATCH($A91,lmic_raw[[setting]:[setting]],0), MATCH(N$1, lmic_raw[#Headers],0))=0, INDEX(regions[], MATCH($D91, regions[[setting]:[setting]],0), MATCH(N$1, regions[#Headers],0)),INDEX(lmic_raw[],MATCH($A91,lmic_raw[[setting]:[setting]],0), MATCH(N$1, lmic_raw[#Headers],0)))</f>
        <v>0.3156059062343336</v>
      </c>
      <c r="O91" s="33">
        <f>IF(INDEX(lmic_raw[],MATCH($A91,lmic_raw[[setting]:[setting]],0), MATCH(O$1, lmic_raw[#Headers],0))=0, INDEX(regions[], MATCH($D91, regions[[setting]:[setting]],0), MATCH(O$1, regions[#Headers],0)),INDEX(lmic_raw[],MATCH($A91,lmic_raw[[setting]:[setting]],0), MATCH(O$1, lmic_raw[#Headers],0)))</f>
        <v>0.8</v>
      </c>
      <c r="P91" s="33">
        <f>IF(INDEX(lmic_raw[],MATCH($A91,lmic_raw[[setting]:[setting]],0), MATCH(P$1, lmic_raw[#Headers],0))=0, INDEX(regions[], MATCH($D91, regions[[setting]:[setting]],0), MATCH(P$1, regions[#Headers],0)),INDEX(lmic_raw[],MATCH($A91,lmic_raw[[setting]:[setting]],0), MATCH(P$1, lmic_raw[#Headers],0)))</f>
        <v>0.17499999999999999</v>
      </c>
      <c r="Q91" s="33">
        <f>IF(INDEX(lmic_raw[],MATCH($A91,lmic_raw[[setting]:[setting]],0), MATCH(Q$1, lmic_raw[#Headers],0))=0, INDEX(regions[], MATCH($D91, regions[[setting]:[setting]],0), MATCH(Q$1, regions[#Headers],0)),INDEX(lmic_raw[],MATCH($A91,lmic_raw[[setting]:[setting]],0), MATCH(Q$1, lmic_raw[#Headers],0)))</f>
        <v>9.6840699904272629</v>
      </c>
      <c r="R91" s="33">
        <f>IF(INDEX(lmic_raw[],MATCH($A91,lmic_raw[[setting]:[setting]],0), MATCH(R$1, lmic_raw[#Headers],0))=0, INDEX(regions[], MATCH($D91, regions[[setting]:[setting]],0), MATCH(R$1, regions[#Headers],0)),INDEX(lmic_raw[],MATCH($A91,lmic_raw[[setting]:[setting]],0), MATCH(R$1, lmic_raw[#Headers],0)))</f>
        <v>86.883899999999997</v>
      </c>
      <c r="S91" s="33">
        <f>IF(INDEX(lmic_raw[],MATCH($A91,lmic_raw[[setting]:[setting]],0), MATCH(S$1, lmic_raw[#Headers],0))=0, INDEX(regions[], MATCH($D91, regions[[setting]:[setting]],0), MATCH(S$1, regions[#Headers],0)),INDEX(lmic_raw[],MATCH($A91,lmic_raw[[setting]:[setting]],0), MATCH(S$1, lmic_raw[#Headers],0)))</f>
        <v>134.6259</v>
      </c>
      <c r="T91" s="33">
        <f>IF(INDEX(lmic_raw[],MATCH($A91,lmic_raw[[setting]:[setting]],0), MATCH(T$1, lmic_raw[#Headers],0))=0, INDEX(regions[], MATCH($D91, regions[[setting]:[setting]],0), MATCH(T$1, regions[#Headers],0)),INDEX(lmic_raw[],MATCH($A91,lmic_raw[[setting]:[setting]],0), MATCH(T$1, lmic_raw[#Headers],0)))</f>
        <v>134.6259</v>
      </c>
      <c r="U91" s="33">
        <f>IF(INDEX(lmic_raw[],MATCH($A91,lmic_raw[[setting]:[setting]],0), MATCH(U$1, lmic_raw[#Headers],0))=0, INDEX(regions[], MATCH($D91, regions[[setting]:[setting]],0), MATCH(U$1, regions[#Headers],0)),INDEX(lmic_raw[],MATCH($A91,lmic_raw[[setting]:[setting]],0), MATCH(U$1, lmic_raw[#Headers],0)))</f>
        <v>134.6259</v>
      </c>
      <c r="V91" s="33">
        <f>IF(INDEX(lmic_raw[],MATCH($A91,lmic_raw[[setting]:[setting]],0), MATCH(V$1, lmic_raw[#Headers],0))=0, INDEX(regions[], MATCH($D91, regions[[setting]:[setting]],0), MATCH(V$1, regions[#Headers],0)),INDEX(lmic_raw[],MATCH($A91,lmic_raw[[setting]:[setting]],0), MATCH(V$1, lmic_raw[#Headers],0)))</f>
        <v>4.7244859673724848</v>
      </c>
      <c r="W91" s="33">
        <f>IF(INDEX(lmic_raw[],MATCH($A91,lmic_raw[[setting]:[setting]],0), MATCH(W$1, lmic_raw[#Headers],0))=0, INDEX(regions[], MATCH($D91, regions[[setting]:[setting]],0), MATCH(W$1, regions[#Headers],0)),INDEX(lmic_raw[],MATCH($A91,lmic_raw[[setting]:[setting]],0), MATCH(W$1, lmic_raw[#Headers],0)))</f>
        <v>4.7444859673724844</v>
      </c>
      <c r="X91" s="33">
        <f>IF(INDEX(lmic_raw[],MATCH($A91,lmic_raw[[setting]:[setting]],0), MATCH(X$1, lmic_raw[#Headers],0))=0, INDEX(regions[], MATCH($D91, regions[[setting]:[setting]],0), MATCH(X$1, regions[#Headers],0)),INDEX(lmic_raw[],MATCH($A91,lmic_raw[[setting]:[setting]],0), MATCH(X$1, lmic_raw[#Headers],0)))</f>
        <v>4.2950092635310249</v>
      </c>
      <c r="Y91" s="33">
        <f>IF(INDEX(lmic_raw[],MATCH($A91,lmic_raw[[setting]:[setting]],0), MATCH(Y$1, lmic_raw[#Headers],0))=0, INDEX(regions[], MATCH($D91, regions[[setting]:[setting]],0), MATCH(Y$1, regions[#Headers],0)),INDEX(lmic_raw[],MATCH($A91,lmic_raw[[setting]:[setting]],0), MATCH(Y$1, lmic_raw[#Headers],0)))</f>
        <v>4.3150092635310244</v>
      </c>
      <c r="Z91" s="33">
        <f>IF(INDEX(lmic_raw[],MATCH($A91,lmic_raw[[setting]:[setting]],0), MATCH(Z$1, lmic_raw[#Headers],0))=0, INDEX(regions[], MATCH($D91, regions[[setting]:[setting]],0), MATCH(Z$1, regions[#Headers],0)),INDEX(lmic_raw[],MATCH($A91,lmic_raw[[setting]:[setting]],0), MATCH(Z$1, lmic_raw[#Headers],0)))</f>
        <v>4.3101844698018068</v>
      </c>
      <c r="AA91" s="33">
        <f>IF(INDEX(lmic_raw[],MATCH($A91,lmic_raw[[setting]:[setting]],0), MATCH(AA$1, lmic_raw[#Headers],0))=0, INDEX(regions[], MATCH($D91, regions[[setting]:[setting]],0), MATCH(AA$1, regions[#Headers],0)),INDEX(lmic_raw[],MATCH($A91,lmic_raw[[setting]:[setting]],0), MATCH(AA$1, lmic_raw[#Headers],0)))</f>
        <v>4.9675233782944286</v>
      </c>
      <c r="AB91" s="33">
        <f>IF(INDEX(lmic_raw[],MATCH($A91,lmic_raw[[setting]:[setting]],0), MATCH(AB$1, lmic_raw[#Headers],0))=0, INDEX(regions[], MATCH($D91, regions[[setting]:[setting]],0), MATCH(AB$1, regions[#Headers],0)),INDEX(lmic_raw[],MATCH($A91,lmic_raw[[setting]:[setting]],0), MATCH(AB$1, lmic_raw[#Headers],0)))</f>
        <v>4.9875233782944282</v>
      </c>
      <c r="AC91" s="33">
        <f>IF(INDEX(lmic_raw[],MATCH($A91,lmic_raw[[setting]:[setting]],0), MATCH(AC$1, lmic_raw[#Headers],0))=0, INDEX(regions[], MATCH($D91, regions[[setting]:[setting]],0), MATCH(AC$1, regions[#Headers],0)),INDEX(lmic_raw[],MATCH($A91,lmic_raw[[setting]:[setting]],0), MATCH(AC$1, lmic_raw[#Headers],0)))</f>
        <v>1.6784030000000057E-2</v>
      </c>
      <c r="AD91" s="33">
        <f>IF(INDEX(lmic_raw[],MATCH($A91,lmic_raw[[setting]:[setting]],0), MATCH(AD$1, lmic_raw[#Headers],0))=0, INDEX(regions[], MATCH($D91, regions[[setting]:[setting]],0), MATCH(AD$1, regions[#Headers],0)),INDEX(lmic_raw[],MATCH($A91,lmic_raw[[setting]:[setting]],0), MATCH(AD$1, lmic_raw[#Headers],0)))</f>
        <v>8.8147724044798431E-4</v>
      </c>
      <c r="AE91" s="33">
        <f>IF(INDEX(lmic_raw[],MATCH($A91,lmic_raw[[setting]:[setting]],0), MATCH(AE$1, lmic_raw[#Headers],0))=0, INDEX(regions[], MATCH($D91, regions[[setting]:[setting]],0), MATCH(AE$1, regions[#Headers],0)),INDEX(lmic_raw[],MATCH($A91,lmic_raw[[setting]:[setting]],0), MATCH(AE$1, lmic_raw[#Headers],0)))</f>
        <v>4.6097509603578243E-4</v>
      </c>
      <c r="AF91" s="33">
        <f>IF(INDEX(lmic_raw[],MATCH($A91,lmic_raw[[setting]:[setting]],0), MATCH(AF$1, lmic_raw[#Headers],0))=0, INDEX(regions[], MATCH($D91, regions[[setting]:[setting]],0), MATCH(AF$1, regions[#Headers],0)),INDEX(lmic_raw[],MATCH($A91,lmic_raw[[setting]:[setting]],0), MATCH(AF$1, lmic_raw[#Headers],0)))</f>
        <v>4.6068964478693019E-4</v>
      </c>
      <c r="AG91" s="33">
        <f>IF(INDEX(lmic_raw[],MATCH($A91,lmic_raw[[setting]:[setting]],0), MATCH(AG$1, lmic_raw[#Headers],0))=0, INDEX(regions[], MATCH($D91, regions[[setting]:[setting]],0), MATCH(AG$1, regions[#Headers],0)),INDEX(lmic_raw[],MATCH($A91,lmic_raw[[setting]:[setting]],0), MATCH(AG$1, lmic_raw[#Headers],0)))</f>
        <v>1.1313016626973249E-3</v>
      </c>
      <c r="AH91" s="33">
        <f>IF(INDEX(lmic_raw[],MATCH($A91,lmic_raw[[setting]:[setting]],0), MATCH(AH$1, lmic_raw[#Headers],0))=0, INDEX(regions[], MATCH($D91, regions[[setting]:[setting]],0), MATCH(AH$1, regions[#Headers],0)),INDEX(lmic_raw[],MATCH($A91,lmic_raw[[setting]:[setting]],0), MATCH(AH$1, lmic_raw[#Headers],0)))</f>
        <v>1.5077006682083468E-3</v>
      </c>
      <c r="AI91" s="33">
        <f>IF(INDEX(lmic_raw[],MATCH($A91,lmic_raw[[setting]:[setting]],0), MATCH(AI$1, lmic_raw[#Headers],0))=0, INDEX(regions[], MATCH($D91, regions[[setting]:[setting]],0), MATCH(AI$1, regions[#Headers],0)),INDEX(lmic_raw[],MATCH($A91,lmic_raw[[setting]:[setting]],0), MATCH(AI$1, lmic_raw[#Headers],0)))</f>
        <v>1.7689583137579586E-3</v>
      </c>
      <c r="AJ91" s="33">
        <f>IF(INDEX(lmic_raw[],MATCH($A91,lmic_raw[[setting]:[setting]],0), MATCH(AJ$1, lmic_raw[#Headers],0))=0, INDEX(regions[], MATCH($D91, regions[[setting]:[setting]],0), MATCH(AJ$1, regions[#Headers],0)),INDEX(lmic_raw[],MATCH($A91,lmic_raw[[setting]:[setting]],0), MATCH(AJ$1, lmic_raw[#Headers],0)))</f>
        <v>2.1274003253107052E-3</v>
      </c>
      <c r="AK91" s="33">
        <f>IF(INDEX(lmic_raw[],MATCH($A91,lmic_raw[[setting]:[setting]],0), MATCH(AK$1, lmic_raw[#Headers],0))=0, INDEX(regions[], MATCH($D91, regions[[setting]:[setting]],0), MATCH(AK$1, regions[#Headers],0)),INDEX(lmic_raw[],MATCH($A91,lmic_raw[[setting]:[setting]],0), MATCH(AK$1, lmic_raw[#Headers],0)))</f>
        <v>2.6992125859102468E-3</v>
      </c>
      <c r="AL91" s="33">
        <f>IF(INDEX(lmic_raw[],MATCH($A91,lmic_raw[[setting]:[setting]],0), MATCH(AL$1, lmic_raw[#Headers],0))=0, INDEX(regions[], MATCH($D91, regions[[setting]:[setting]],0), MATCH(AL$1, regions[#Headers],0)),INDEX(lmic_raw[],MATCH($A91,lmic_raw[[setting]:[setting]],0), MATCH(AL$1, lmic_raw[#Headers],0)))</f>
        <v>3.435031499270829E-3</v>
      </c>
      <c r="AM91" s="33">
        <f>IF(INDEX(lmic_raw[],MATCH($A91,lmic_raw[[setting]:[setting]],0), MATCH(AM$1, lmic_raw[#Headers],0))=0, INDEX(regions[], MATCH($D91, regions[[setting]:[setting]],0), MATCH(AM$1, regions[#Headers],0)),INDEX(lmic_raw[],MATCH($A91,lmic_raw[[setting]:[setting]],0), MATCH(AM$1, lmic_raw[#Headers],0)))</f>
        <v>4.5176356272025875E-3</v>
      </c>
      <c r="AN91" s="33">
        <f>IF(INDEX(lmic_raw[],MATCH($A91,lmic_raw[[setting]:[setting]],0), MATCH(AN$1, lmic_raw[#Headers],0))=0, INDEX(regions[], MATCH($D91, regions[[setting]:[setting]],0), MATCH(AN$1, regions[#Headers],0)),INDEX(lmic_raw[],MATCH($A91,lmic_raw[[setting]:[setting]],0), MATCH(AN$1, lmic_raw[#Headers],0)))</f>
        <v>6.3558040790504715E-3</v>
      </c>
      <c r="AO91" s="33">
        <f>IF(INDEX(lmic_raw[],MATCH($A91,lmic_raw[[setting]:[setting]],0), MATCH(AO$1, lmic_raw[#Headers],0))=0, INDEX(regions[], MATCH($D91, regions[[setting]:[setting]],0), MATCH(AO$1, regions[#Headers],0)),INDEX(lmic_raw[],MATCH($A91,lmic_raw[[setting]:[setting]],0), MATCH(AO$1, lmic_raw[#Headers],0)))</f>
        <v>9.0428108391956679E-3</v>
      </c>
      <c r="AP91" s="33">
        <f>IF(INDEX(lmic_raw[],MATCH($A91,lmic_raw[[setting]:[setting]],0), MATCH(AP$1, lmic_raw[#Headers],0))=0, INDEX(regions[], MATCH($D91, regions[[setting]:[setting]],0), MATCH(AP$1, regions[#Headers],0)),INDEX(lmic_raw[],MATCH($A91,lmic_raw[[setting]:[setting]],0), MATCH(AP$1, lmic_raw[#Headers],0)))</f>
        <v>1.3025627257113315E-2</v>
      </c>
      <c r="AQ91" s="33">
        <f>IF(INDEX(lmic_raw[],MATCH($A91,lmic_raw[[setting]:[setting]],0), MATCH(AQ$1, lmic_raw[#Headers],0))=0, INDEX(regions[], MATCH($D91, regions[[setting]:[setting]],0), MATCH(AQ$1, regions[#Headers],0)),INDEX(lmic_raw[],MATCH($A91,lmic_raw[[setting]:[setting]],0), MATCH(AQ$1, lmic_raw[#Headers],0)))</f>
        <v>1.9025422928980271E-2</v>
      </c>
      <c r="AR91" s="33">
        <f>IF(INDEX(lmic_raw[],MATCH($A91,lmic_raw[[setting]:[setting]],0), MATCH(AR$1, lmic_raw[#Headers],0))=0, INDEX(regions[], MATCH($D91, regions[[setting]:[setting]],0), MATCH(AR$1, regions[#Headers],0)),INDEX(lmic_raw[],MATCH($A91,lmic_raw[[setting]:[setting]],0), MATCH(AR$1, lmic_raw[#Headers],0)))</f>
        <v>2.753133862434114E-2</v>
      </c>
      <c r="AS91" s="33">
        <f>IF(INDEX(lmic_raw[],MATCH($A91,lmic_raw[[setting]:[setting]],0), MATCH(AS$1, lmic_raw[#Headers],0))=0, INDEX(regions[], MATCH($D91, regions[[setting]:[setting]],0), MATCH(AS$1, regions[#Headers],0)),INDEX(lmic_raw[],MATCH($A91,lmic_raw[[setting]:[setting]],0), MATCH(AS$1, lmic_raw[#Headers],0)))</f>
        <v>4.0388362115475675E-2</v>
      </c>
      <c r="AT91" s="33">
        <f>IF(INDEX(lmic_raw[],MATCH($A91,lmic_raw[[setting]:[setting]],0), MATCH(AT$1, lmic_raw[#Headers],0))=0, INDEX(regions[], MATCH($D91, regions[[setting]:[setting]],0), MATCH(AT$1, regions[#Headers],0)),INDEX(lmic_raw[],MATCH($A91,lmic_raw[[setting]:[setting]],0), MATCH(AT$1, lmic_raw[#Headers],0)))</f>
        <v>6.5754084012881131E-2</v>
      </c>
      <c r="AU91" s="33">
        <f>IF(INDEX(lmic_raw[],MATCH($A91,lmic_raw[[setting]:[setting]],0), MATCH(AU$1, lmic_raw[#Headers],0))=0, INDEX(regions[], MATCH($D91, regions[[setting]:[setting]],0), MATCH(AU$1, regions[#Headers],0)),INDEX(lmic_raw[],MATCH($A91,lmic_raw[[setting]:[setting]],0), MATCH(AU$1, lmic_raw[#Headers],0)))</f>
        <v>9.2723844812142964E-2</v>
      </c>
      <c r="AV91" s="33">
        <f>IF(INDEX(lmic_raw[],MATCH($A91,lmic_raw[[setting]:[setting]],0), MATCH(AV$1, lmic_raw[#Headers],0))=0, INDEX(regions[], MATCH($D91, regions[[setting]:[setting]],0), MATCH(AV$1, regions[#Headers],0)),INDEX(lmic_raw[],MATCH($A91,lmic_raw[[setting]:[setting]],0), MATCH(AV$1, lmic_raw[#Headers],0)))</f>
        <v>0.12102861703819505</v>
      </c>
      <c r="AW91" s="33">
        <f>IF(INDEX(lmic_raw[],MATCH($A91,lmic_raw[[setting]:[setting]],0), MATCH(AW$1, lmic_raw[#Headers],0))=0, INDEX(regions[], MATCH($D91, regions[[setting]:[setting]],0), MATCH(AW$1, regions[#Headers],0)),INDEX(lmic_raw[],MATCH($A91,lmic_raw[[setting]:[setting]],0), MATCH(AW$1, lmic_raw[#Headers],0)))</f>
        <v>0.14543309127054091</v>
      </c>
      <c r="AX91" s="33">
        <f>IF(INDEX(lmic_raw[],MATCH($A91,lmic_raw[[setting]:[setting]],0), MATCH(AX$1, lmic_raw[#Headers],0))=0, INDEX(regions[], MATCH($D91, regions[[setting]:[setting]],0), MATCH(AX$1, regions[#Headers],0)),INDEX(lmic_raw[],MATCH($A91,lmic_raw[[setting]:[setting]],0), MATCH(AX$1, lmic_raw[#Headers],0)))</f>
        <v>74.153999999999996</v>
      </c>
      <c r="AY91" s="33" t="str">
        <f>IF(VLOOKUP($A91,lmic_raw[],11,FALSE)=0, "Yes", "No")</f>
        <v>Yes</v>
      </c>
    </row>
    <row r="92" spans="1:51" x14ac:dyDescent="0.25">
      <c r="A92" s="109" t="s">
        <v>633</v>
      </c>
      <c r="B92" s="101" t="s">
        <v>483</v>
      </c>
      <c r="C92" s="102">
        <v>562</v>
      </c>
      <c r="D92" s="82" t="s">
        <v>677</v>
      </c>
      <c r="E92" s="82" t="s">
        <v>591</v>
      </c>
      <c r="F92" s="82" t="s">
        <v>667</v>
      </c>
      <c r="G92" s="82" t="s">
        <v>674</v>
      </c>
      <c r="H92" s="33">
        <f>IF(INDEX(lmic_raw[],MATCH($A92,lmic_raw[[setting]:[setting]],0), MATCH(H$1, lmic_raw[#Headers],0))=0, INDEX(regions[], MATCH($D92, regions[[setting]:[setting]],0), MATCH(H$1, regions[#Headers],0)),INDEX(lmic_raw[],MATCH($A92,lmic_raw[[setting]:[setting]],0), MATCH(H$1, lmic_raw[#Headers],0)))</f>
        <v>23310719</v>
      </c>
      <c r="I92" s="33">
        <f>IF(INDEX(lmic_raw[],MATCH($A92,lmic_raw[[setting]:[setting]],0), MATCH(I$1, lmic_raw[#Headers],0))=0, INDEX(regions[], MATCH($D92, regions[[setting]:[setting]],0), MATCH(I$1, regions[#Headers],0)),INDEX(lmic_raw[],MATCH($A92,lmic_raw[[setting]:[setting]],0), MATCH(I$1, lmic_raw[#Headers],0)))</f>
        <v>1078656.9002870002</v>
      </c>
      <c r="J92" s="33">
        <f>IF(INDEX(lmic_raw[],MATCH($A92,lmic_raw[[setting]:[setting]],0), MATCH(J$1, lmic_raw[#Headers],0))=0, INDEX(regions[], MATCH($D92, regions[[setting]:[setting]],0), MATCH(J$1, regions[#Headers],0)),INDEX(lmic_raw[],MATCH($A92,lmic_raw[[setting]:[setting]],0), MATCH(J$1, lmic_raw[#Headers],0)))</f>
        <v>0.58799999999999997</v>
      </c>
      <c r="K92" s="33">
        <f>IF(INDEX(lmic_raw[],MATCH($A92,lmic_raw[[setting]:[setting]],0), MATCH(K$1, lmic_raw[#Headers],0))=0, INDEX(regions[], MATCH($D92, regions[[setting]:[setting]],0), MATCH(K$1, regions[#Headers],0)),INDEX(lmic_raw[],MATCH($A92,lmic_raw[[setting]:[setting]],0), MATCH(K$1, lmic_raw[#Headers],0)))</f>
        <v>0.69252604416320784</v>
      </c>
      <c r="L92" s="33">
        <f>IF(INDEX(lmic_raw[],MATCH($A92,lmic_raw[[setting]:[setting]],0), MATCH(L$1, lmic_raw[#Headers],0))=0, INDEX(regions[], MATCH($D92, regions[[setting]:[setting]],0), MATCH(L$1, regions[#Headers],0)),INDEX(lmic_raw[],MATCH($A92,lmic_raw[[setting]:[setting]],0), MATCH(L$1, lmic_raw[#Headers],0)))</f>
        <v>0.81</v>
      </c>
      <c r="M92" s="33">
        <f>IF(INDEX(lmic_raw[],MATCH($A92,lmic_raw[[setting]:[setting]],0), MATCH(M$1, lmic_raw[#Headers],0))=0, INDEX(regions[], MATCH($D92, regions[[setting]:[setting]],0), MATCH(M$1, regions[#Headers],0)),INDEX(lmic_raw[],MATCH($A92,lmic_raw[[setting]:[setting]],0), MATCH(M$1, lmic_raw[#Headers],0)))</f>
        <v>0.11609999999999999</v>
      </c>
      <c r="N92" s="33">
        <f>IF(INDEX(lmic_raw[],MATCH($A92,lmic_raw[[setting]:[setting]],0), MATCH(N$1, lmic_raw[#Headers],0))=0, INDEX(regions[], MATCH($D92, regions[[setting]:[setting]],0), MATCH(N$1, regions[#Headers],0)),INDEX(lmic_raw[],MATCH($A92,lmic_raw[[setting]:[setting]],0), MATCH(N$1, lmic_raw[#Headers],0)))</f>
        <v>0.30212641158390346</v>
      </c>
      <c r="O92" s="33">
        <f>IF(INDEX(lmic_raw[],MATCH($A92,lmic_raw[[setting]:[setting]],0), MATCH(O$1, lmic_raw[#Headers],0))=0, INDEX(regions[], MATCH($D92, regions[[setting]:[setting]],0), MATCH(O$1, regions[#Headers],0)),INDEX(lmic_raw[],MATCH($A92,lmic_raw[[setting]:[setting]],0), MATCH(O$1, lmic_raw[#Headers],0)))</f>
        <v>0.38300000000000001</v>
      </c>
      <c r="P92" s="33">
        <f>IF(INDEX(lmic_raw[],MATCH($A92,lmic_raw[[setting]:[setting]],0), MATCH(P$1, lmic_raw[#Headers],0))=0, INDEX(regions[], MATCH($D92, regions[[setting]:[setting]],0), MATCH(P$1, regions[#Headers],0)),INDEX(lmic_raw[],MATCH($A92,lmic_raw[[setting]:[setting]],0), MATCH(P$1, lmic_raw[#Headers],0)))</f>
        <v>4.8000000000000001E-2</v>
      </c>
      <c r="Q92" s="33">
        <f>IF(INDEX(lmic_raw[],MATCH($A92,lmic_raw[[setting]:[setting]],0), MATCH(Q$1, lmic_raw[#Headers],0))=0, INDEX(regions[], MATCH($D92, regions[[setting]:[setting]],0), MATCH(Q$1, regions[#Headers],0)),INDEX(lmic_raw[],MATCH($A92,lmic_raw[[setting]:[setting]],0), MATCH(Q$1, lmic_raw[#Headers],0)))</f>
        <v>2.4564903768895445</v>
      </c>
      <c r="R92" s="33">
        <f>IF(INDEX(lmic_raw[],MATCH($A92,lmic_raw[[setting]:[setting]],0), MATCH(R$1, lmic_raw[#Headers],0))=0, INDEX(regions[], MATCH($D92, regions[[setting]:[setting]],0), MATCH(R$1, regions[#Headers],0)),INDEX(lmic_raw[],MATCH($A92,lmic_raw[[setting]:[setting]],0), MATCH(R$1, lmic_raw[#Headers],0)))</f>
        <v>29.920500000000001</v>
      </c>
      <c r="S92" s="33">
        <f>IF(INDEX(lmic_raw[],MATCH($A92,lmic_raw[[setting]:[setting]],0), MATCH(S$1, lmic_raw[#Headers],0))=0, INDEX(regions[], MATCH($D92, regions[[setting]:[setting]],0), MATCH(S$1, regions[#Headers],0)),INDEX(lmic_raw[],MATCH($A92,lmic_raw[[setting]:[setting]],0), MATCH(S$1, lmic_raw[#Headers],0)))</f>
        <v>77.662500000000009</v>
      </c>
      <c r="T92" s="33">
        <f>IF(INDEX(lmic_raw[],MATCH($A92,lmic_raw[[setting]:[setting]],0), MATCH(T$1, lmic_raw[#Headers],0))=0, INDEX(regions[], MATCH($D92, regions[[setting]:[setting]],0), MATCH(T$1, regions[#Headers],0)),INDEX(lmic_raw[],MATCH($A92,lmic_raw[[setting]:[setting]],0), MATCH(T$1, lmic_raw[#Headers],0)))</f>
        <v>77.662500000000009</v>
      </c>
      <c r="U92" s="33">
        <f>IF(INDEX(lmic_raw[],MATCH($A92,lmic_raw[[setting]:[setting]],0), MATCH(U$1, lmic_raw[#Headers],0))=0, INDEX(regions[], MATCH($D92, regions[[setting]:[setting]],0), MATCH(U$1, regions[#Headers],0)),INDEX(lmic_raw[],MATCH($A92,lmic_raw[[setting]:[setting]],0), MATCH(U$1, lmic_raw[#Headers],0)))</f>
        <v>77.662500000000009</v>
      </c>
      <c r="V92" s="33">
        <f>IF(INDEX(lmic_raw[],MATCH($A92,lmic_raw[[setting]:[setting]],0), MATCH(V$1, lmic_raw[#Headers],0))=0, INDEX(regions[], MATCH($D92, regions[[setting]:[setting]],0), MATCH(V$1, regions[#Headers],0)),INDEX(lmic_raw[],MATCH($A92,lmic_raw[[setting]:[setting]],0), MATCH(V$1, lmic_raw[#Headers],0)))</f>
        <v>1.6218527666964158</v>
      </c>
      <c r="W92" s="33">
        <f>IF(INDEX(lmic_raw[],MATCH($A92,lmic_raw[[setting]:[setting]],0), MATCH(W$1, lmic_raw[#Headers],0))=0, INDEX(regions[], MATCH($D92, regions[[setting]:[setting]],0), MATCH(W$1, regions[#Headers],0)),INDEX(lmic_raw[],MATCH($A92,lmic_raw[[setting]:[setting]],0), MATCH(W$1, lmic_raw[#Headers],0)))</f>
        <v>6.4518527666964154</v>
      </c>
      <c r="X92" s="33">
        <f>IF(INDEX(lmic_raw[],MATCH($A92,lmic_raw[[setting]:[setting]],0), MATCH(X$1, lmic_raw[#Headers],0))=0, INDEX(regions[], MATCH($D92, regions[[setting]:[setting]],0), MATCH(X$1, regions[#Headers],0)),INDEX(lmic_raw[],MATCH($A92,lmic_raw[[setting]:[setting]],0), MATCH(X$1, lmic_raw[#Headers],0)))</f>
        <v>1.1990825767941036</v>
      </c>
      <c r="Y92" s="33">
        <f>IF(INDEX(lmic_raw[],MATCH($A92,lmic_raw[[setting]:[setting]],0), MATCH(Y$1, lmic_raw[#Headers],0))=0, INDEX(regions[], MATCH($D92, regions[[setting]:[setting]],0), MATCH(Y$1, regions[#Headers],0)),INDEX(lmic_raw[],MATCH($A92,lmic_raw[[setting]:[setting]],0), MATCH(Y$1, lmic_raw[#Headers],0)))</f>
        <v>6.0290825767941039</v>
      </c>
      <c r="Z92" s="33">
        <f>IF(INDEX(lmic_raw[],MATCH($A92,lmic_raw[[setting]:[setting]],0), MATCH(Z$1, lmic_raw[#Headers],0))=0, INDEX(regions[], MATCH($D92, regions[[setting]:[setting]],0), MATCH(Z$1, regions[#Headers],0)),INDEX(lmic_raw[],MATCH($A92,lmic_raw[[setting]:[setting]],0), MATCH(Z$1, lmic_raw[#Headers],0)))</f>
        <v>6.0272036309902353</v>
      </c>
      <c r="AA92" s="33">
        <f>IF(INDEX(lmic_raw[],MATCH($A92,lmic_raw[[setting]:[setting]],0), MATCH(AA$1, lmic_raw[#Headers],0))=0, INDEX(regions[], MATCH($D92, regions[[setting]:[setting]],0), MATCH(AA$1, regions[#Headers],0)),INDEX(lmic_raw[],MATCH($A92,lmic_raw[[setting]:[setting]],0), MATCH(AA$1, lmic_raw[#Headers],0)))</f>
        <v>1.8624727132914591</v>
      </c>
      <c r="AB92" s="33">
        <f>IF(INDEX(lmic_raw[],MATCH($A92,lmic_raw[[setting]:[setting]],0), MATCH(AB$1, lmic_raw[#Headers],0))=0, INDEX(regions[], MATCH($D92, regions[[setting]:[setting]],0), MATCH(AB$1, regions[#Headers],0)),INDEX(lmic_raw[],MATCH($A92,lmic_raw[[setting]:[setting]],0), MATCH(AB$1, lmic_raw[#Headers],0)))</f>
        <v>6.6924727132914592</v>
      </c>
      <c r="AC92" s="33">
        <f>IF(INDEX(lmic_raw[],MATCH($A92,lmic_raw[[setting]:[setting]],0), MATCH(AC$1, lmic_raw[#Headers],0))=0, INDEX(regions[], MATCH($D92, regions[[setting]:[setting]],0), MATCH(AC$1, regions[#Headers],0)),INDEX(lmic_raw[],MATCH($A92,lmic_raw[[setting]:[setting]],0), MATCH(AC$1, lmic_raw[#Headers],0)))</f>
        <v>4.6318139999999987E-2</v>
      </c>
      <c r="AD92" s="33">
        <f>IF(INDEX(lmic_raw[],MATCH($A92,lmic_raw[[setting]:[setting]],0), MATCH(AD$1, lmic_raw[#Headers],0))=0, INDEX(regions[], MATCH($D92, regions[[setting]:[setting]],0), MATCH(AD$1, regions[#Headers],0)),INDEX(lmic_raw[],MATCH($A92,lmic_raw[[setting]:[setting]],0), MATCH(AD$1, lmic_raw[#Headers],0)))</f>
        <v>1.004996834059527E-2</v>
      </c>
      <c r="AE92" s="33">
        <f>IF(INDEX(lmic_raw[],MATCH($A92,lmic_raw[[setting]:[setting]],0), MATCH(AE$1, lmic_raw[#Headers],0))=0, INDEX(regions[], MATCH($D92, regions[[setting]:[setting]],0), MATCH(AE$1, regions[#Headers],0)),INDEX(lmic_raw[],MATCH($A92,lmic_raw[[setting]:[setting]],0), MATCH(AE$1, lmic_raw[#Headers],0)))</f>
        <v>2.2241474972517555E-3</v>
      </c>
      <c r="AF92" s="33">
        <f>IF(INDEX(lmic_raw[],MATCH($A92,lmic_raw[[setting]:[setting]],0), MATCH(AF$1, lmic_raw[#Headers],0))=0, INDEX(regions[], MATCH($D92, regions[[setting]:[setting]],0), MATCH(AF$1, regions[#Headers],0)),INDEX(lmic_raw[],MATCH($A92,lmic_raw[[setting]:[setting]],0), MATCH(AF$1, lmic_raw[#Headers],0)))</f>
        <v>1.3309644531309406E-3</v>
      </c>
      <c r="AG92" s="33">
        <f>IF(INDEX(lmic_raw[],MATCH($A92,lmic_raw[[setting]:[setting]],0), MATCH(AG$1, lmic_raw[#Headers],0))=0, INDEX(regions[], MATCH($D92, regions[[setting]:[setting]],0), MATCH(AG$1, regions[#Headers],0)),INDEX(lmic_raw[],MATCH($A92,lmic_raw[[setting]:[setting]],0), MATCH(AG$1, lmic_raw[#Headers],0)))</f>
        <v>2.2191158992467762E-3</v>
      </c>
      <c r="AH92" s="33">
        <f>IF(INDEX(lmic_raw[],MATCH($A92,lmic_raw[[setting]:[setting]],0), MATCH(AH$1, lmic_raw[#Headers],0))=0, INDEX(regions[], MATCH($D92, regions[[setting]:[setting]],0), MATCH(AH$1, regions[#Headers],0)),INDEX(lmic_raw[],MATCH($A92,lmic_raw[[setting]:[setting]],0), MATCH(AH$1, lmic_raw[#Headers],0)))</f>
        <v>2.9005837356501554E-3</v>
      </c>
      <c r="AI92" s="33">
        <f>IF(INDEX(lmic_raw[],MATCH($A92,lmic_raw[[setting]:[setting]],0), MATCH(AI$1, lmic_raw[#Headers],0))=0, INDEX(regions[], MATCH($D92, regions[[setting]:[setting]],0), MATCH(AI$1, regions[#Headers],0)),INDEX(lmic_raw[],MATCH($A92,lmic_raw[[setting]:[setting]],0), MATCH(AI$1, lmic_raw[#Headers],0)))</f>
        <v>3.6375382860461599E-3</v>
      </c>
      <c r="AJ92" s="33">
        <f>IF(INDEX(lmic_raw[],MATCH($A92,lmic_raw[[setting]:[setting]],0), MATCH(AJ$1, lmic_raw[#Headers],0))=0, INDEX(regions[], MATCH($D92, regions[[setting]:[setting]],0), MATCH(AJ$1, regions[#Headers],0)),INDEX(lmic_raw[],MATCH($A92,lmic_raw[[setting]:[setting]],0), MATCH(AJ$1, lmic_raw[#Headers],0)))</f>
        <v>3.890945873340402E-3</v>
      </c>
      <c r="AK92" s="33">
        <f>IF(INDEX(lmic_raw[],MATCH($A92,lmic_raw[[setting]:[setting]],0), MATCH(AK$1, lmic_raw[#Headers],0))=0, INDEX(regions[], MATCH($D92, regions[[setting]:[setting]],0), MATCH(AK$1, regions[#Headers],0)),INDEX(lmic_raw[],MATCH($A92,lmic_raw[[setting]:[setting]],0), MATCH(AK$1, lmic_raw[#Headers],0)))</f>
        <v>4.473169894869837E-3</v>
      </c>
      <c r="AL92" s="33">
        <f>IF(INDEX(lmic_raw[],MATCH($A92,lmic_raw[[setting]:[setting]],0), MATCH(AL$1, lmic_raw[#Headers],0))=0, INDEX(regions[], MATCH($D92, regions[[setting]:[setting]],0), MATCH(AL$1, regions[#Headers],0)),INDEX(lmic_raw[],MATCH($A92,lmic_raw[[setting]:[setting]],0), MATCH(AL$1, lmic_raw[#Headers],0)))</f>
        <v>5.4126018946936633E-3</v>
      </c>
      <c r="AM92" s="33">
        <f>IF(INDEX(lmic_raw[],MATCH($A92,lmic_raw[[setting]:[setting]],0), MATCH(AM$1, lmic_raw[#Headers],0))=0, INDEX(regions[], MATCH($D92, regions[[setting]:[setting]],0), MATCH(AM$1, regions[#Headers],0)),INDEX(lmic_raw[],MATCH($A92,lmic_raw[[setting]:[setting]],0), MATCH(AM$1, lmic_raw[#Headers],0)))</f>
        <v>6.9628515647821715E-3</v>
      </c>
      <c r="AN92" s="33">
        <f>IF(INDEX(lmic_raw[],MATCH($A92,lmic_raw[[setting]:[setting]],0), MATCH(AN$1, lmic_raw[#Headers],0))=0, INDEX(regions[], MATCH($D92, regions[[setting]:[setting]],0), MATCH(AN$1, regions[#Headers],0)),INDEX(lmic_raw[],MATCH($A92,lmic_raw[[setting]:[setting]],0), MATCH(AN$1, lmic_raw[#Headers],0)))</f>
        <v>1.005699782334199E-2</v>
      </c>
      <c r="AO92" s="33">
        <f>IF(INDEX(lmic_raw[],MATCH($A92,lmic_raw[[setting]:[setting]],0), MATCH(AO$1, lmic_raw[#Headers],0))=0, INDEX(regions[], MATCH($D92, regions[[setting]:[setting]],0), MATCH(AO$1, regions[#Headers],0)),INDEX(lmic_raw[],MATCH($A92,lmic_raw[[setting]:[setting]],0), MATCH(AO$1, lmic_raw[#Headers],0)))</f>
        <v>1.4480361016608233E-2</v>
      </c>
      <c r="AP92" s="33">
        <f>IF(INDEX(lmic_raw[],MATCH($A92,lmic_raw[[setting]:[setting]],0), MATCH(AP$1, lmic_raw[#Headers],0))=0, INDEX(regions[], MATCH($D92, regions[[setting]:[setting]],0), MATCH(AP$1, regions[#Headers],0)),INDEX(lmic_raw[],MATCH($A92,lmic_raw[[setting]:[setting]],0), MATCH(AP$1, lmic_raw[#Headers],0)))</f>
        <v>2.0521814795574696E-2</v>
      </c>
      <c r="AQ92" s="33">
        <f>IF(INDEX(lmic_raw[],MATCH($A92,lmic_raw[[setting]:[setting]],0), MATCH(AQ$1, lmic_raw[#Headers],0))=0, INDEX(regions[], MATCH($D92, regions[[setting]:[setting]],0), MATCH(AQ$1, regions[#Headers],0)),INDEX(lmic_raw[],MATCH($A92,lmic_raw[[setting]:[setting]],0), MATCH(AQ$1, lmic_raw[#Headers],0)))</f>
        <v>3.1036167623641205E-2</v>
      </c>
      <c r="AR92" s="33">
        <f>IF(INDEX(lmic_raw[],MATCH($A92,lmic_raw[[setting]:[setting]],0), MATCH(AR$1, lmic_raw[#Headers],0))=0, INDEX(regions[], MATCH($D92, regions[[setting]:[setting]],0), MATCH(AR$1, regions[#Headers],0)),INDEX(lmic_raw[],MATCH($A92,lmic_raw[[setting]:[setting]],0), MATCH(AR$1, lmic_raw[#Headers],0)))</f>
        <v>5.0489738733381799E-2</v>
      </c>
      <c r="AS92" s="33">
        <f>IF(INDEX(lmic_raw[],MATCH($A92,lmic_raw[[setting]:[setting]],0), MATCH(AS$1, lmic_raw[#Headers],0))=0, INDEX(regions[], MATCH($D92, regions[[setting]:[setting]],0), MATCH(AS$1, regions[#Headers],0)),INDEX(lmic_raw[],MATCH($A92,lmic_raw[[setting]:[setting]],0), MATCH(AS$1, lmic_raw[#Headers],0)))</f>
        <v>7.9389329796988248E-2</v>
      </c>
      <c r="AT92" s="33">
        <f>IF(INDEX(lmic_raw[],MATCH($A92,lmic_raw[[setting]:[setting]],0), MATCH(AT$1, lmic_raw[#Headers],0))=0, INDEX(regions[], MATCH($D92, regions[[setting]:[setting]],0), MATCH(AT$1, regions[#Headers],0)),INDEX(lmic_raw[],MATCH($A92,lmic_raw[[setting]:[setting]],0), MATCH(AT$1, lmic_raw[#Headers],0)))</f>
        <v>0.11621435000409117</v>
      </c>
      <c r="AU92" s="33">
        <f>IF(INDEX(lmic_raw[],MATCH($A92,lmic_raw[[setting]:[setting]],0), MATCH(AU$1, lmic_raw[#Headers],0))=0, INDEX(regions[], MATCH($D92, regions[[setting]:[setting]],0), MATCH(AU$1, regions[#Headers],0)),INDEX(lmic_raw[],MATCH($A92,lmic_raw[[setting]:[setting]],0), MATCH(AU$1, lmic_raw[#Headers],0)))</f>
        <v>0.15114298296929471</v>
      </c>
      <c r="AV92" s="33">
        <f>IF(INDEX(lmic_raw[],MATCH($A92,lmic_raw[[setting]:[setting]],0), MATCH(AV$1, lmic_raw[#Headers],0))=0, INDEX(regions[], MATCH($D92, regions[[setting]:[setting]],0), MATCH(AV$1, regions[#Headers],0)),INDEX(lmic_raw[],MATCH($A92,lmic_raw[[setting]:[setting]],0), MATCH(AV$1, lmic_raw[#Headers],0)))</f>
        <v>0.17523559165317509</v>
      </c>
      <c r="AW92" s="33">
        <f>IF(INDEX(lmic_raw[],MATCH($A92,lmic_raw[[setting]:[setting]],0), MATCH(AW$1, lmic_raw[#Headers],0))=0, INDEX(regions[], MATCH($D92, regions[[setting]:[setting]],0), MATCH(AW$1, regions[#Headers],0)),INDEX(lmic_raw[],MATCH($A92,lmic_raw[[setting]:[setting]],0), MATCH(AW$1, lmic_raw[#Headers],0)))</f>
        <v>0.18628638500862074</v>
      </c>
      <c r="AX92" s="33">
        <f>IF(INDEX(lmic_raw[],MATCH($A92,lmic_raw[[setting]:[setting]],0), MATCH(AX$1, lmic_raw[#Headers],0))=0, INDEX(regions[], MATCH($D92, regions[[setting]:[setting]],0), MATCH(AX$1, regions[#Headers],0)),INDEX(lmic_raw[],MATCH($A92,lmic_raw[[setting]:[setting]],0), MATCH(AX$1, lmic_raw[#Headers],0)))</f>
        <v>61.798999999999999</v>
      </c>
      <c r="AY92" s="33" t="str">
        <f>IF(VLOOKUP($A92,lmic_raw[],11,FALSE)=0, "Yes", "No")</f>
        <v>Yes</v>
      </c>
    </row>
    <row r="93" spans="1:51" x14ac:dyDescent="0.25">
      <c r="A93" s="110" t="s">
        <v>150</v>
      </c>
      <c r="B93" s="104" t="s">
        <v>484</v>
      </c>
      <c r="C93" s="105">
        <v>566</v>
      </c>
      <c r="D93" s="84" t="s">
        <v>677</v>
      </c>
      <c r="E93" s="84" t="s">
        <v>591</v>
      </c>
      <c r="F93" s="84" t="s">
        <v>667</v>
      </c>
      <c r="G93" s="84" t="s">
        <v>678</v>
      </c>
      <c r="H93" s="33">
        <f>IF(INDEX(lmic_raw[],MATCH($A93,lmic_raw[[setting]:[setting]],0), MATCH(H$1, lmic_raw[#Headers],0))=0, INDEX(regions[], MATCH($D93, regions[[setting]:[setting]],0), MATCH(H$1, regions[#Headers],0)),INDEX(lmic_raw[],MATCH($A93,lmic_raw[[setting]:[setting]],0), MATCH(H$1, lmic_raw[#Headers],0)))</f>
        <v>200963603</v>
      </c>
      <c r="I93" s="33">
        <f>IF(INDEX(lmic_raw[],MATCH($A93,lmic_raw[[setting]:[setting]],0), MATCH(I$1, lmic_raw[#Headers],0))=0, INDEX(regions[], MATCH($D93, regions[[setting]:[setting]],0), MATCH(I$1, regions[#Headers],0)),INDEX(lmic_raw[],MATCH($A93,lmic_raw[[setting]:[setting]],0), MATCH(I$1, lmic_raw[#Headers],0)))</f>
        <v>7656311.3470940003</v>
      </c>
      <c r="J93" s="33">
        <f>IF(INDEX(lmic_raw[],MATCH($A93,lmic_raw[[setting]:[setting]],0), MATCH(J$1, lmic_raw[#Headers],0))=0, INDEX(regions[], MATCH($D93, regions[[setting]:[setting]],0), MATCH(J$1, regions[#Headers],0)),INDEX(lmic_raw[],MATCH($A93,lmic_raw[[setting]:[setting]],0), MATCH(J$1, lmic_raw[#Headers],0)))</f>
        <v>0.39399999999999996</v>
      </c>
      <c r="K93" s="33">
        <f>IF(INDEX(lmic_raw[],MATCH($A93,lmic_raw[[setting]:[setting]],0), MATCH(K$1, lmic_raw[#Headers],0))=0, INDEX(regions[], MATCH($D93, regions[[setting]:[setting]],0), MATCH(K$1, regions[#Headers],0)),INDEX(lmic_raw[],MATCH($A93,lmic_raw[[setting]:[setting]],0), MATCH(K$1, lmic_raw[#Headers],0)))</f>
        <v>0.69252604416320784</v>
      </c>
      <c r="L93" s="33">
        <f>IF(INDEX(lmic_raw[],MATCH($A93,lmic_raw[[setting]:[setting]],0), MATCH(L$1, lmic_raw[#Headers],0))=0, INDEX(regions[], MATCH($D93, regions[[setting]:[setting]],0), MATCH(L$1, regions[#Headers],0)),INDEX(lmic_raw[],MATCH($A93,lmic_raw[[setting]:[setting]],0), MATCH(L$1, lmic_raw[#Headers],0)))</f>
        <v>0.56999999999999995</v>
      </c>
      <c r="M93" s="33">
        <f>IF(INDEX(lmic_raw[],MATCH($A93,lmic_raw[[setting]:[setting]],0), MATCH(M$1, lmic_raw[#Headers],0))=0, INDEX(regions[], MATCH($D93, regions[[setting]:[setting]],0), MATCH(M$1, regions[#Headers],0)),INDEX(lmic_raw[],MATCH($A93,lmic_raw[[setting]:[setting]],0), MATCH(M$1, lmic_raw[#Headers],0)))</f>
        <v>5.4699999999999999E-2</v>
      </c>
      <c r="N93" s="33">
        <f>IF(INDEX(lmic_raw[],MATCH($A93,lmic_raw[[setting]:[setting]],0), MATCH(N$1, lmic_raw[#Headers],0))=0, INDEX(regions[], MATCH($D93, regions[[setting]:[setting]],0), MATCH(N$1, regions[#Headers],0)),INDEX(lmic_raw[],MATCH($A93,lmic_raw[[setting]:[setting]],0), MATCH(N$1, lmic_raw[#Headers],0)))</f>
        <v>0.28911156143757499</v>
      </c>
      <c r="O93" s="33">
        <f>IF(INDEX(lmic_raw[],MATCH($A93,lmic_raw[[setting]:[setting]],0), MATCH(O$1, lmic_raw[#Headers],0))=0, INDEX(regions[], MATCH($D93, regions[[setting]:[setting]],0), MATCH(O$1, regions[#Headers],0)),INDEX(lmic_raw[],MATCH($A93,lmic_raw[[setting]:[setting]],0), MATCH(O$1, lmic_raw[#Headers],0)))</f>
        <v>0.38300000000000001</v>
      </c>
      <c r="P93" s="33">
        <f>IF(INDEX(lmic_raw[],MATCH($A93,lmic_raw[[setting]:[setting]],0), MATCH(P$1, lmic_raw[#Headers],0))=0, INDEX(regions[], MATCH($D93, regions[[setting]:[setting]],0), MATCH(P$1, regions[#Headers],0)),INDEX(lmic_raw[],MATCH($A93,lmic_raw[[setting]:[setting]],0), MATCH(P$1, lmic_raw[#Headers],0)))</f>
        <v>4.8000000000000001E-2</v>
      </c>
      <c r="Q93" s="33">
        <f>IF(INDEX(lmic_raw[],MATCH($A93,lmic_raw[[setting]:[setting]],0), MATCH(Q$1, lmic_raw[#Headers],0))=0, INDEX(regions[], MATCH($D93, regions[[setting]:[setting]],0), MATCH(Q$1, regions[#Headers],0)),INDEX(lmic_raw[],MATCH($A93,lmic_raw[[setting]:[setting]],0), MATCH(Q$1, lmic_raw[#Headers],0)))</f>
        <v>3.9875978472353966</v>
      </c>
      <c r="R93" s="33">
        <f>IF(INDEX(lmic_raw[],MATCH($A93,lmic_raw[[setting]:[setting]],0), MATCH(R$1, lmic_raw[#Headers],0))=0, INDEX(regions[], MATCH($D93, regions[[setting]:[setting]],0), MATCH(R$1, regions[#Headers],0)),INDEX(lmic_raw[],MATCH($A93,lmic_raw[[setting]:[setting]],0), MATCH(R$1, lmic_raw[#Headers],0)))</f>
        <v>29.920500000000001</v>
      </c>
      <c r="S93" s="33">
        <f>IF(INDEX(lmic_raw[],MATCH($A93,lmic_raw[[setting]:[setting]],0), MATCH(S$1, lmic_raw[#Headers],0))=0, INDEX(regions[], MATCH($D93, regions[[setting]:[setting]],0), MATCH(S$1, regions[#Headers],0)),INDEX(lmic_raw[],MATCH($A93,lmic_raw[[setting]:[setting]],0), MATCH(S$1, lmic_raw[#Headers],0)))</f>
        <v>77.662500000000009</v>
      </c>
      <c r="T93" s="33">
        <f>IF(INDEX(lmic_raw[],MATCH($A93,lmic_raw[[setting]:[setting]],0), MATCH(T$1, lmic_raw[#Headers],0))=0, INDEX(regions[], MATCH($D93, regions[[setting]:[setting]],0), MATCH(T$1, regions[#Headers],0)),INDEX(lmic_raw[],MATCH($A93,lmic_raw[[setting]:[setting]],0), MATCH(T$1, lmic_raw[#Headers],0)))</f>
        <v>77.662500000000009</v>
      </c>
      <c r="U93" s="33">
        <f>IF(INDEX(lmic_raw[],MATCH($A93,lmic_raw[[setting]:[setting]],0), MATCH(U$1, lmic_raw[#Headers],0))=0, INDEX(regions[], MATCH($D93, regions[[setting]:[setting]],0), MATCH(U$1, regions[#Headers],0)),INDEX(lmic_raw[],MATCH($A93,lmic_raw[[setting]:[setting]],0), MATCH(U$1, lmic_raw[#Headers],0)))</f>
        <v>77.662500000000009</v>
      </c>
      <c r="V93" s="33">
        <f>IF(INDEX(lmic_raw[],MATCH($A93,lmic_raw[[setting]:[setting]],0), MATCH(V$1, lmic_raw[#Headers],0))=0, INDEX(regions[], MATCH($D93, regions[[setting]:[setting]],0), MATCH(V$1, regions[#Headers],0)),INDEX(lmic_raw[],MATCH($A93,lmic_raw[[setting]:[setting]],0), MATCH(V$1, lmic_raw[#Headers],0)))</f>
        <v>1.0811629827076694</v>
      </c>
      <c r="W93" s="33">
        <f>IF(INDEX(lmic_raw[],MATCH($A93,lmic_raw[[setting]:[setting]],0), MATCH(W$1, lmic_raw[#Headers],0))=0, INDEX(regions[], MATCH($D93, regions[[setting]:[setting]],0), MATCH(W$1, regions[#Headers],0)),INDEX(lmic_raw[],MATCH($A93,lmic_raw[[setting]:[setting]],0), MATCH(W$1, lmic_raw[#Headers],0)))</f>
        <v>5.911162982707669</v>
      </c>
      <c r="X93" s="33">
        <f>IF(INDEX(lmic_raw[],MATCH($A93,lmic_raw[[setting]:[setting]],0), MATCH(X$1, lmic_raw[#Headers],0))=0, INDEX(regions[], MATCH($D93, regions[[setting]:[setting]],0), MATCH(X$1, regions[#Headers],0)),INDEX(lmic_raw[],MATCH($A93,lmic_raw[[setting]:[setting]],0), MATCH(X$1, lmic_raw[#Headers],0)))</f>
        <v>0.6501589744290126</v>
      </c>
      <c r="Y93" s="33">
        <f>IF(INDEX(lmic_raw[],MATCH($A93,lmic_raw[[setting]:[setting]],0), MATCH(Y$1, lmic_raw[#Headers],0))=0, INDEX(regions[], MATCH($D93, regions[[setting]:[setting]],0), MATCH(Y$1, regions[#Headers],0)),INDEX(lmic_raw[],MATCH($A93,lmic_raw[[setting]:[setting]],0), MATCH(Y$1, lmic_raw[#Headers],0)))</f>
        <v>5.4801589744290125</v>
      </c>
      <c r="Z93" s="33">
        <f>IF(INDEX(lmic_raw[],MATCH($A93,lmic_raw[[setting]:[setting]],0), MATCH(Z$1, lmic_raw[#Headers],0))=0, INDEX(regions[], MATCH($D93, regions[[setting]:[setting]],0), MATCH(Z$1, regions[#Headers],0)),INDEX(lmic_raw[],MATCH($A93,lmic_raw[[setting]:[setting]],0), MATCH(Z$1, lmic_raw[#Headers],0)))</f>
        <v>5.4748766392931332</v>
      </c>
      <c r="AA93" s="33">
        <f>IF(INDEX(lmic_raw[],MATCH($A93,lmic_raw[[setting]:[setting]],0), MATCH(AA$1, lmic_raw[#Headers],0))=0, INDEX(regions[], MATCH($D93, regions[[setting]:[setting]],0), MATCH(AA$1, regions[#Headers],0)),INDEX(lmic_raw[],MATCH($A93,lmic_raw[[setting]:[setting]],0), MATCH(AA$1, lmic_raw[#Headers],0)))</f>
        <v>1.324750933601162</v>
      </c>
      <c r="AB93" s="33">
        <f>IF(INDEX(lmic_raw[],MATCH($A93,lmic_raw[[setting]:[setting]],0), MATCH(AB$1, lmic_raw[#Headers],0))=0, INDEX(regions[], MATCH($D93, regions[[setting]:[setting]],0), MATCH(AB$1, regions[#Headers],0)),INDEX(lmic_raw[],MATCH($A93,lmic_raw[[setting]:[setting]],0), MATCH(AB$1, lmic_raw[#Headers],0)))</f>
        <v>6.1547509336011625</v>
      </c>
      <c r="AC93" s="33">
        <f>IF(INDEX(lmic_raw[],MATCH($A93,lmic_raw[[setting]:[setting]],0), MATCH(AC$1, lmic_raw[#Headers],0))=0, INDEX(regions[], MATCH($D93, regions[[setting]:[setting]],0), MATCH(AC$1, regions[#Headers],0)),INDEX(lmic_raw[],MATCH($A93,lmic_raw[[setting]:[setting]],0), MATCH(AC$1, lmic_raw[#Headers],0)))</f>
        <v>6.215649000000005E-2</v>
      </c>
      <c r="AD93" s="33">
        <f>IF(INDEX(lmic_raw[],MATCH($A93,lmic_raw[[setting]:[setting]],0), MATCH(AD$1, lmic_raw[#Headers],0))=0, INDEX(regions[], MATCH($D93, regions[[setting]:[setting]],0), MATCH(AD$1, regions[#Headers],0)),INDEX(lmic_raw[],MATCH($A93,lmic_raw[[setting]:[setting]],0), MATCH(AD$1, lmic_raw[#Headers],0)))</f>
        <v>1.0555281765504772E-2</v>
      </c>
      <c r="AE93" s="33">
        <f>IF(INDEX(lmic_raw[],MATCH($A93,lmic_raw[[setting]:[setting]],0), MATCH(AE$1, lmic_raw[#Headers],0))=0, INDEX(regions[], MATCH($D93, regions[[setting]:[setting]],0), MATCH(AE$1, regions[#Headers],0)),INDEX(lmic_raw[],MATCH($A93,lmic_raw[[setting]:[setting]],0), MATCH(AE$1, lmic_raw[#Headers],0)))</f>
        <v>5.9101558625263987E-3</v>
      </c>
      <c r="AF93" s="33">
        <f>IF(INDEX(lmic_raw[],MATCH($A93,lmic_raw[[setting]:[setting]],0), MATCH(AF$1, lmic_raw[#Headers],0))=0, INDEX(regions[], MATCH($D93, regions[[setting]:[setting]],0), MATCH(AF$1, regions[#Headers],0)),INDEX(lmic_raw[],MATCH($A93,lmic_raw[[setting]:[setting]],0), MATCH(AF$1, lmic_raw[#Headers],0)))</f>
        <v>3.2158941876073606E-3</v>
      </c>
      <c r="AG93" s="33">
        <f>IF(INDEX(lmic_raw[],MATCH($A93,lmic_raw[[setting]:[setting]],0), MATCH(AG$1, lmic_raw[#Headers],0))=0, INDEX(regions[], MATCH($D93, regions[[setting]:[setting]],0), MATCH(AG$1, regions[#Headers],0)),INDEX(lmic_raw[],MATCH($A93,lmic_raw[[setting]:[setting]],0), MATCH(AG$1, lmic_raw[#Headers],0)))</f>
        <v>5.0626435919828025E-3</v>
      </c>
      <c r="AH93" s="33">
        <f>IF(INDEX(lmic_raw[],MATCH($A93,lmic_raw[[setting]:[setting]],0), MATCH(AH$1, lmic_raw[#Headers],0))=0, INDEX(regions[], MATCH($D93, regions[[setting]:[setting]],0), MATCH(AH$1, regions[#Headers],0)),INDEX(lmic_raw[],MATCH($A93,lmic_raw[[setting]:[setting]],0), MATCH(AH$1, lmic_raw[#Headers],0)))</f>
        <v>6.1061216041154503E-3</v>
      </c>
      <c r="AI93" s="33">
        <f>IF(INDEX(lmic_raw[],MATCH($A93,lmic_raw[[setting]:[setting]],0), MATCH(AI$1, lmic_raw[#Headers],0))=0, INDEX(regions[], MATCH($D93, regions[[setting]:[setting]],0), MATCH(AI$1, regions[#Headers],0)),INDEX(lmic_raw[],MATCH($A93,lmic_raw[[setting]:[setting]],0), MATCH(AI$1, lmic_raw[#Headers],0)))</f>
        <v>6.7146600112912083E-3</v>
      </c>
      <c r="AJ93" s="33">
        <f>IF(INDEX(lmic_raw[],MATCH($A93,lmic_raw[[setting]:[setting]],0), MATCH(AJ$1, lmic_raw[#Headers],0))=0, INDEX(regions[], MATCH($D93, regions[[setting]:[setting]],0), MATCH(AJ$1, regions[#Headers],0)),INDEX(lmic_raw[],MATCH($A93,lmic_raw[[setting]:[setting]],0), MATCH(AJ$1, lmic_raw[#Headers],0)))</f>
        <v>7.034360265270395E-3</v>
      </c>
      <c r="AK93" s="33">
        <f>IF(INDEX(lmic_raw[],MATCH($A93,lmic_raw[[setting]:[setting]],0), MATCH(AK$1, lmic_raw[#Headers],0))=0, INDEX(regions[], MATCH($D93, regions[[setting]:[setting]],0), MATCH(AK$1, regions[#Headers],0)),INDEX(lmic_raw[],MATCH($A93,lmic_raw[[setting]:[setting]],0), MATCH(AK$1, lmic_raw[#Headers],0)))</f>
        <v>7.7019431423796317E-3</v>
      </c>
      <c r="AL93" s="33">
        <f>IF(INDEX(lmic_raw[],MATCH($A93,lmic_raw[[setting]:[setting]],0), MATCH(AL$1, lmic_raw[#Headers],0))=0, INDEX(regions[], MATCH($D93, regions[[setting]:[setting]],0), MATCH(AL$1, regions[#Headers],0)),INDEX(lmic_raw[],MATCH($A93,lmic_raw[[setting]:[setting]],0), MATCH(AL$1, lmic_raw[#Headers],0)))</f>
        <v>8.7502968131791831E-3</v>
      </c>
      <c r="AM93" s="33">
        <f>IF(INDEX(lmic_raw[],MATCH($A93,lmic_raw[[setting]:[setting]],0), MATCH(AM$1, lmic_raw[#Headers],0))=0, INDEX(regions[], MATCH($D93, regions[[setting]:[setting]],0), MATCH(AM$1, regions[#Headers],0)),INDEX(lmic_raw[],MATCH($A93,lmic_raw[[setting]:[setting]],0), MATCH(AM$1, lmic_raw[#Headers],0)))</f>
        <v>1.013224062784799E-2</v>
      </c>
      <c r="AN93" s="33">
        <f>IF(INDEX(lmic_raw[],MATCH($A93,lmic_raw[[setting]:[setting]],0), MATCH(AN$1, lmic_raw[#Headers],0))=0, INDEX(regions[], MATCH($D93, regions[[setting]:[setting]],0), MATCH(AN$1, regions[#Headers],0)),INDEX(lmic_raw[],MATCH($A93,lmic_raw[[setting]:[setting]],0), MATCH(AN$1, lmic_raw[#Headers],0)))</f>
        <v>1.3380716895601642E-2</v>
      </c>
      <c r="AO93" s="33">
        <f>IF(INDEX(lmic_raw[],MATCH($A93,lmic_raw[[setting]:[setting]],0), MATCH(AO$1, lmic_raw[#Headers],0))=0, INDEX(regions[], MATCH($D93, regions[[setting]:[setting]],0), MATCH(AO$1, regions[#Headers],0)),INDEX(lmic_raw[],MATCH($A93,lmic_raw[[setting]:[setting]],0), MATCH(AO$1, lmic_raw[#Headers],0)))</f>
        <v>1.8313369924512542E-2</v>
      </c>
      <c r="AP93" s="33">
        <f>IF(INDEX(lmic_raw[],MATCH($A93,lmic_raw[[setting]:[setting]],0), MATCH(AP$1, lmic_raw[#Headers],0))=0, INDEX(regions[], MATCH($D93, regions[[setting]:[setting]],0), MATCH(AP$1, regions[#Headers],0)),INDEX(lmic_raw[],MATCH($A93,lmic_raw[[setting]:[setting]],0), MATCH(AP$1, lmic_raw[#Headers],0)))</f>
        <v>2.8183308143927499E-2</v>
      </c>
      <c r="AQ93" s="33">
        <f>IF(INDEX(lmic_raw[],MATCH($A93,lmic_raw[[setting]:[setting]],0), MATCH(AQ$1, lmic_raw[#Headers],0))=0, INDEX(regions[], MATCH($D93, regions[[setting]:[setting]],0), MATCH(AQ$1, regions[#Headers],0)),INDEX(lmic_raw[],MATCH($A93,lmic_raw[[setting]:[setting]],0), MATCH(AQ$1, lmic_raw[#Headers],0)))</f>
        <v>4.241118343083778E-2</v>
      </c>
      <c r="AR93" s="33">
        <f>IF(INDEX(lmic_raw[],MATCH($A93,lmic_raw[[setting]:[setting]],0), MATCH(AR$1, lmic_raw[#Headers],0))=0, INDEX(regions[], MATCH($D93, regions[[setting]:[setting]],0), MATCH(AR$1, regions[#Headers],0)),INDEX(lmic_raw[],MATCH($A93,lmic_raw[[setting]:[setting]],0), MATCH(AR$1, lmic_raw[#Headers],0)))</f>
        <v>6.5708830847072533E-2</v>
      </c>
      <c r="AS93" s="33">
        <f>IF(INDEX(lmic_raw[],MATCH($A93,lmic_raw[[setting]:[setting]],0), MATCH(AS$1, lmic_raw[#Headers],0))=0, INDEX(regions[], MATCH($D93, regions[[setting]:[setting]],0), MATCH(AS$1, regions[#Headers],0)),INDEX(lmic_raw[],MATCH($A93,lmic_raw[[setting]:[setting]],0), MATCH(AS$1, lmic_raw[#Headers],0)))</f>
        <v>9.6904467648308887E-2</v>
      </c>
      <c r="AT93" s="33">
        <f>IF(INDEX(lmic_raw[],MATCH($A93,lmic_raw[[setting]:[setting]],0), MATCH(AT$1, lmic_raw[#Headers],0))=0, INDEX(regions[], MATCH($D93, regions[[setting]:[setting]],0), MATCH(AT$1, regions[#Headers],0)),INDEX(lmic_raw[],MATCH($A93,lmic_raw[[setting]:[setting]],0), MATCH(AT$1, lmic_raw[#Headers],0)))</f>
        <v>0.13262526670478461</v>
      </c>
      <c r="AU93" s="33">
        <f>IF(INDEX(lmic_raw[],MATCH($A93,lmic_raw[[setting]:[setting]],0), MATCH(AU$1, lmic_raw[#Headers],0))=0, INDEX(regions[], MATCH($D93, regions[[setting]:[setting]],0), MATCH(AU$1, regions[#Headers],0)),INDEX(lmic_raw[],MATCH($A93,lmic_raw[[setting]:[setting]],0), MATCH(AU$1, lmic_raw[#Headers],0)))</f>
        <v>0.16254099182753556</v>
      </c>
      <c r="AV93" s="33">
        <f>IF(INDEX(lmic_raw[],MATCH($A93,lmic_raw[[setting]:[setting]],0), MATCH(AV$1, lmic_raw[#Headers],0))=0, INDEX(regions[], MATCH($D93, regions[[setting]:[setting]],0), MATCH(AV$1, regions[#Headers],0)),INDEX(lmic_raw[],MATCH($A93,lmic_raw[[setting]:[setting]],0), MATCH(AV$1, lmic_raw[#Headers],0)))</f>
        <v>0.18085950585047419</v>
      </c>
      <c r="AW93" s="33">
        <f>IF(INDEX(lmic_raw[],MATCH($A93,lmic_raw[[setting]:[setting]],0), MATCH(AW$1, lmic_raw[#Headers],0))=0, INDEX(regions[], MATCH($D93, regions[[setting]:[setting]],0), MATCH(AW$1, regions[#Headers],0)),INDEX(lmic_raw[],MATCH($A93,lmic_raw[[setting]:[setting]],0), MATCH(AW$1, lmic_raw[#Headers],0)))</f>
        <v>0.18640937296393495</v>
      </c>
      <c r="AX93" s="33">
        <f>IF(INDEX(lmic_raw[],MATCH($A93,lmic_raw[[setting]:[setting]],0), MATCH(AX$1, lmic_raw[#Headers],0))=0, INDEX(regions[], MATCH($D93, regions[[setting]:[setting]],0), MATCH(AX$1, regions[#Headers],0)),INDEX(lmic_raw[],MATCH($A93,lmic_raw[[setting]:[setting]],0), MATCH(AX$1, lmic_raw[#Headers],0)))</f>
        <v>54.176000000000002</v>
      </c>
      <c r="AY93" s="33" t="str">
        <f>IF(VLOOKUP($A93,lmic_raw[],11,FALSE)=0, "Yes", "No")</f>
        <v>Yes</v>
      </c>
    </row>
    <row r="94" spans="1:51" x14ac:dyDescent="0.25">
      <c r="A94" s="109" t="s">
        <v>342</v>
      </c>
      <c r="B94" s="101" t="s">
        <v>485</v>
      </c>
      <c r="C94" s="102">
        <v>807</v>
      </c>
      <c r="D94" s="82" t="s">
        <v>675</v>
      </c>
      <c r="E94" s="82" t="s">
        <v>580</v>
      </c>
      <c r="F94" s="82" t="s">
        <v>663</v>
      </c>
      <c r="G94" s="82" t="s">
        <v>676</v>
      </c>
      <c r="H94" s="33">
        <f>IF(INDEX(lmic_raw[],MATCH($A94,lmic_raw[[setting]:[setting]],0), MATCH(H$1, lmic_raw[#Headers],0))=0, INDEX(regions[], MATCH($D94, regions[[setting]:[setting]],0), MATCH(H$1, regions[#Headers],0)),INDEX(lmic_raw[],MATCH($A94,lmic_raw[[setting]:[setting]],0), MATCH(H$1, lmic_raw[#Headers],0)))</f>
        <v>2083458</v>
      </c>
      <c r="I94" s="33">
        <f>IF(INDEX(lmic_raw[],MATCH($A94,lmic_raw[[setting]:[setting]],0), MATCH(I$1, lmic_raw[#Headers],0))=0, INDEX(regions[], MATCH($D94, regions[[setting]:[setting]],0), MATCH(I$1, regions[#Headers],0)),INDEX(lmic_raw[],MATCH($A94,lmic_raw[[setting]:[setting]],0), MATCH(I$1, lmic_raw[#Headers],0)))</f>
        <v>22680.523787999999</v>
      </c>
      <c r="J94" s="33">
        <f>IF(INDEX(lmic_raw[],MATCH($A94,lmic_raw[[setting]:[setting]],0), MATCH(J$1, lmic_raw[#Headers],0))=0, INDEX(regions[], MATCH($D94, regions[[setting]:[setting]],0), MATCH(J$1, regions[#Headers],0)),INDEX(lmic_raw[],MATCH($A94,lmic_raw[[setting]:[setting]],0), MATCH(J$1, lmic_raw[#Headers],0)))</f>
        <v>0.99099999999999999</v>
      </c>
      <c r="K94" s="33">
        <f>IF(INDEX(lmic_raw[],MATCH($A94,lmic_raw[[setting]:[setting]],0), MATCH(K$1, lmic_raw[#Headers],0))=0, INDEX(regions[], MATCH($D94, regions[[setting]:[setting]],0), MATCH(K$1, regions[#Headers],0)),INDEX(lmic_raw[],MATCH($A94,lmic_raw[[setting]:[setting]],0), MATCH(K$1, lmic_raw[#Headers],0)))</f>
        <v>0.98</v>
      </c>
      <c r="L94" s="33">
        <f>IF(INDEX(lmic_raw[],MATCH($A94,lmic_raw[[setting]:[setting]],0), MATCH(L$1, lmic_raw[#Headers],0))=0, INDEX(regions[], MATCH($D94, regions[[setting]:[setting]],0), MATCH(L$1, regions[#Headers],0)),INDEX(lmic_raw[],MATCH($A94,lmic_raw[[setting]:[setting]],0), MATCH(L$1, lmic_raw[#Headers],0)))</f>
        <v>0.92</v>
      </c>
      <c r="M94" s="33">
        <f>IF(INDEX(lmic_raw[],MATCH($A94,lmic_raw[[setting]:[setting]],0), MATCH(M$1, lmic_raw[#Headers],0))=0, INDEX(regions[], MATCH($D94, regions[[setting]:[setting]],0), MATCH(M$1, regions[#Headers],0)),INDEX(lmic_raw[],MATCH($A94,lmic_raw[[setting]:[setting]],0), MATCH(M$1, lmic_raw[#Headers],0)))</f>
        <v>1.9400000000000001E-2</v>
      </c>
      <c r="N94" s="33">
        <f>IF(INDEX(lmic_raw[],MATCH($A94,lmic_raw[[setting]:[setting]],0), MATCH(N$1, lmic_raw[#Headers],0))=0, INDEX(regions[], MATCH($D94, regions[[setting]:[setting]],0), MATCH(N$1, regions[#Headers],0)),INDEX(lmic_raw[],MATCH($A94,lmic_raw[[setting]:[setting]],0), MATCH(N$1, lmic_raw[#Headers],0)))</f>
        <v>0.28785778546712798</v>
      </c>
      <c r="O94" s="33">
        <f>IF(INDEX(lmic_raw[],MATCH($A94,lmic_raw[[setting]:[setting]],0), MATCH(O$1, lmic_raw[#Headers],0))=0, INDEX(regions[], MATCH($D94, regions[[setting]:[setting]],0), MATCH(O$1, regions[#Headers],0)),INDEX(lmic_raw[],MATCH($A94,lmic_raw[[setting]:[setting]],0), MATCH(O$1, lmic_raw[#Headers],0)))</f>
        <v>0.8</v>
      </c>
      <c r="P94" s="33">
        <f>IF(INDEX(lmic_raw[],MATCH($A94,lmic_raw[[setting]:[setting]],0), MATCH(P$1, lmic_raw[#Headers],0))=0, INDEX(regions[], MATCH($D94, regions[[setting]:[setting]],0), MATCH(P$1, regions[#Headers],0)),INDEX(lmic_raw[],MATCH($A94,lmic_raw[[setting]:[setting]],0), MATCH(P$1, lmic_raw[#Headers],0)))</f>
        <v>0.17499999999999999</v>
      </c>
      <c r="Q94" s="33">
        <f>IF(INDEX(lmic_raw[],MATCH($A94,lmic_raw[[setting]:[setting]],0), MATCH(Q$1, lmic_raw[#Headers],0))=0, INDEX(regions[], MATCH($D94, regions[[setting]:[setting]],0), MATCH(Q$1, regions[#Headers],0)),INDEX(lmic_raw[],MATCH($A94,lmic_raw[[setting]:[setting]],0), MATCH(Q$1, lmic_raw[#Headers],0)))</f>
        <v>8.9132536626891081</v>
      </c>
      <c r="R94" s="33">
        <f>IF(INDEX(lmic_raw[],MATCH($A94,lmic_raw[[setting]:[setting]],0), MATCH(R$1, lmic_raw[#Headers],0))=0, INDEX(regions[], MATCH($D94, regions[[setting]:[setting]],0), MATCH(R$1, regions[#Headers],0)),INDEX(lmic_raw[],MATCH($A94,lmic_raw[[setting]:[setting]],0), MATCH(R$1, lmic_raw[#Headers],0)))</f>
        <v>44.537400000000005</v>
      </c>
      <c r="S94" s="33">
        <f>IF(INDEX(lmic_raw[],MATCH($A94,lmic_raw[[setting]:[setting]],0), MATCH(S$1, lmic_raw[#Headers],0))=0, INDEX(regions[], MATCH($D94, regions[[setting]:[setting]],0), MATCH(S$1, regions[#Headers],0)),INDEX(lmic_raw[],MATCH($A94,lmic_raw[[setting]:[setting]],0), MATCH(S$1, lmic_raw[#Headers],0)))</f>
        <v>92.27940000000001</v>
      </c>
      <c r="T94" s="33">
        <f>IF(INDEX(lmic_raw[],MATCH($A94,lmic_raw[[setting]:[setting]],0), MATCH(T$1, lmic_raw[#Headers],0))=0, INDEX(regions[], MATCH($D94, regions[[setting]:[setting]],0), MATCH(T$1, regions[#Headers],0)),INDEX(lmic_raw[],MATCH($A94,lmic_raw[[setting]:[setting]],0), MATCH(T$1, lmic_raw[#Headers],0)))</f>
        <v>92.27940000000001</v>
      </c>
      <c r="U94" s="33">
        <f>IF(INDEX(lmic_raw[],MATCH($A94,lmic_raw[[setting]:[setting]],0), MATCH(U$1, lmic_raw[#Headers],0))=0, INDEX(regions[], MATCH($D94, regions[[setting]:[setting]],0), MATCH(U$1, regions[#Headers],0)),INDEX(lmic_raw[],MATCH($A94,lmic_raw[[setting]:[setting]],0), MATCH(U$1, lmic_raw[#Headers],0)))</f>
        <v>92.27940000000001</v>
      </c>
      <c r="V94" s="33">
        <f>IF(INDEX(lmic_raw[],MATCH($A94,lmic_raw[[setting]:[setting]],0), MATCH(V$1, lmic_raw[#Headers],0))=0, INDEX(regions[], MATCH($D94, regions[[setting]:[setting]],0), MATCH(V$1, regions[#Headers],0)),INDEX(lmic_raw[],MATCH($A94,lmic_raw[[setting]:[setting]],0), MATCH(V$1, lmic_raw[#Headers],0)))</f>
        <v>6.2325918514465952</v>
      </c>
      <c r="W94" s="33">
        <f>IF(INDEX(lmic_raw[],MATCH($A94,lmic_raw[[setting]:[setting]],0), MATCH(W$1, lmic_raw[#Headers],0))=0, INDEX(regions[], MATCH($D94, regions[[setting]:[setting]],0), MATCH(W$1, regions[#Headers],0)),INDEX(lmic_raw[],MATCH($A94,lmic_raw[[setting]:[setting]],0), MATCH(W$1, lmic_raw[#Headers],0)))</f>
        <v>10.302591851446596</v>
      </c>
      <c r="X94" s="33">
        <f>IF(INDEX(lmic_raw[],MATCH($A94,lmic_raw[[setting]:[setting]],0), MATCH(X$1, lmic_raw[#Headers],0))=0, INDEX(regions[], MATCH($D94, regions[[setting]:[setting]],0), MATCH(X$1, regions[#Headers],0)),INDEX(lmic_raw[],MATCH($A94,lmic_raw[[setting]:[setting]],0), MATCH(X$1, lmic_raw[#Headers],0)))</f>
        <v>5.7953614066769044</v>
      </c>
      <c r="Y94" s="33">
        <f>IF(INDEX(lmic_raw[],MATCH($A94,lmic_raw[[setting]:[setting]],0), MATCH(Y$1, lmic_raw[#Headers],0))=0, INDEX(regions[], MATCH($D94, regions[[setting]:[setting]],0), MATCH(Y$1, regions[#Headers],0)),INDEX(lmic_raw[],MATCH($A94,lmic_raw[[setting]:[setting]],0), MATCH(Y$1, lmic_raw[#Headers],0)))</f>
        <v>9.8653614066769038</v>
      </c>
      <c r="Z94" s="33">
        <f>IF(INDEX(lmic_raw[],MATCH($A94,lmic_raw[[setting]:[setting]],0), MATCH(Z$1, lmic_raw[#Headers],0))=0, INDEX(regions[], MATCH($D94, regions[[setting]:[setting]],0), MATCH(Z$1, regions[#Headers],0)),INDEX(lmic_raw[],MATCH($A94,lmic_raw[[setting]:[setting]],0), MATCH(Z$1, lmic_raw[#Headers],0)))</f>
        <v>9.8574820209648824</v>
      </c>
      <c r="AA94" s="33">
        <f>IF(INDEX(lmic_raw[],MATCH($A94,lmic_raw[[setting]:[setting]],0), MATCH(AA$1, lmic_raw[#Headers],0))=0, INDEX(regions[], MATCH($D94, regions[[setting]:[setting]],0), MATCH(AA$1, regions[#Headers],0)),INDEX(lmic_raw[],MATCH($A94,lmic_raw[[setting]:[setting]],0), MATCH(AA$1, lmic_raw[#Headers],0)))</f>
        <v>6.478424215493833</v>
      </c>
      <c r="AB94" s="33">
        <f>IF(INDEX(lmic_raw[],MATCH($A94,lmic_raw[[setting]:[setting]],0), MATCH(AB$1, lmic_raw[#Headers],0))=0, INDEX(regions[], MATCH($D94, regions[[setting]:[setting]],0), MATCH(AB$1, regions[#Headers],0)),INDEX(lmic_raw[],MATCH($A94,lmic_raw[[setting]:[setting]],0), MATCH(AB$1, lmic_raw[#Headers],0)))</f>
        <v>10.548424215493833</v>
      </c>
      <c r="AC94" s="33">
        <f>IF(INDEX(lmic_raw[],MATCH($A94,lmic_raw[[setting]:[setting]],0), MATCH(AC$1, lmic_raw[#Headers],0))=0, INDEX(regions[], MATCH($D94, regions[[setting]:[setting]],0), MATCH(AC$1, regions[#Headers],0)),INDEX(lmic_raw[],MATCH($A94,lmic_raw[[setting]:[setting]],0), MATCH(AC$1, lmic_raw[#Headers],0)))</f>
        <v>1.0689299999999929E-2</v>
      </c>
      <c r="AD94" s="33">
        <f>IF(INDEX(lmic_raw[],MATCH($A94,lmic_raw[[setting]:[setting]],0), MATCH(AD$1, lmic_raw[#Headers],0))=0, INDEX(regions[], MATCH($D94, regions[[setting]:[setting]],0), MATCH(AD$1, regions[#Headers],0)),INDEX(lmic_raw[],MATCH($A94,lmic_raw[[setting]:[setting]],0), MATCH(AD$1, lmic_raw[#Headers],0)))</f>
        <v>2.8470833278163265E-4</v>
      </c>
      <c r="AE94" s="33">
        <f>IF(INDEX(lmic_raw[],MATCH($A94,lmic_raw[[setting]:[setting]],0), MATCH(AE$1, lmic_raw[#Headers],0))=0, INDEX(regions[], MATCH($D94, regions[[setting]:[setting]],0), MATCH(AE$1, regions[#Headers],0)),INDEX(lmic_raw[],MATCH($A94,lmic_raw[[setting]:[setting]],0), MATCH(AE$1, lmic_raw[#Headers],0)))</f>
        <v>1.3947401943468035E-4</v>
      </c>
      <c r="AF94" s="33">
        <f>IF(INDEX(lmic_raw[],MATCH($A94,lmic_raw[[setting]:[setting]],0), MATCH(AF$1, lmic_raw[#Headers],0))=0, INDEX(regions[], MATCH($D94, regions[[setting]:[setting]],0), MATCH(AF$1, regions[#Headers],0)),INDEX(lmic_raw[],MATCH($A94,lmic_raw[[setting]:[setting]],0), MATCH(AF$1, lmic_raw[#Headers],0)))</f>
        <v>1.8519791661506717E-4</v>
      </c>
      <c r="AG94" s="33">
        <f>IF(INDEX(lmic_raw[],MATCH($A94,lmic_raw[[setting]:[setting]],0), MATCH(AG$1, lmic_raw[#Headers],0))=0, INDEX(regions[], MATCH($D94, regions[[setting]:[setting]],0), MATCH(AG$1, regions[#Headers],0)),INDEX(lmic_raw[],MATCH($A94,lmic_raw[[setting]:[setting]],0), MATCH(AG$1, lmic_raw[#Headers],0)))</f>
        <v>2.9154437980480287E-4</v>
      </c>
      <c r="AH94" s="33">
        <f>IF(INDEX(lmic_raw[],MATCH($A94,lmic_raw[[setting]:[setting]],0), MATCH(AH$1, lmic_raw[#Headers],0))=0, INDEX(regions[], MATCH($D94, regions[[setting]:[setting]],0), MATCH(AH$1, regions[#Headers],0)),INDEX(lmic_raw[],MATCH($A94,lmic_raw[[setting]:[setting]],0), MATCH(AH$1, lmic_raw[#Headers],0)))</f>
        <v>3.1370898138433545E-4</v>
      </c>
      <c r="AI94" s="33">
        <f>IF(INDEX(lmic_raw[],MATCH($A94,lmic_raw[[setting]:[setting]],0), MATCH(AI$1, lmic_raw[#Headers],0))=0, INDEX(regions[], MATCH($D94, regions[[setting]:[setting]],0), MATCH(AI$1, regions[#Headers],0)),INDEX(lmic_raw[],MATCH($A94,lmic_raw[[setting]:[setting]],0), MATCH(AI$1, lmic_raw[#Headers],0)))</f>
        <v>4.6769149685376116E-4</v>
      </c>
      <c r="AJ94" s="33">
        <f>IF(INDEX(lmic_raw[],MATCH($A94,lmic_raw[[setting]:[setting]],0), MATCH(AJ$1, lmic_raw[#Headers],0))=0, INDEX(regions[], MATCH($D94, regions[[setting]:[setting]],0), MATCH(AJ$1, regions[#Headers],0)),INDEX(lmic_raw[],MATCH($A94,lmic_raw[[setting]:[setting]],0), MATCH(AJ$1, lmic_raw[#Headers],0)))</f>
        <v>5.5872788768333251E-4</v>
      </c>
      <c r="AK94" s="33">
        <f>IF(INDEX(lmic_raw[],MATCH($A94,lmic_raw[[setting]:[setting]],0), MATCH(AK$1, lmic_raw[#Headers],0))=0, INDEX(regions[], MATCH($D94, regions[[setting]:[setting]],0), MATCH(AK$1, regions[#Headers],0)),INDEX(lmic_raw[],MATCH($A94,lmic_raw[[setting]:[setting]],0), MATCH(AK$1, lmic_raw[#Headers],0)))</f>
        <v>8.9107250634433259E-4</v>
      </c>
      <c r="AL94" s="33">
        <f>IF(INDEX(lmic_raw[],MATCH($A94,lmic_raw[[setting]:[setting]],0), MATCH(AL$1, lmic_raw[#Headers],0))=0, INDEX(regions[], MATCH($D94, regions[[setting]:[setting]],0), MATCH(AL$1, regions[#Headers],0)),INDEX(lmic_raw[],MATCH($A94,lmic_raw[[setting]:[setting]],0), MATCH(AL$1, lmic_raw[#Headers],0)))</f>
        <v>1.6274428777812763E-3</v>
      </c>
      <c r="AM94" s="33">
        <f>IF(INDEX(lmic_raw[],MATCH($A94,lmic_raw[[setting]:[setting]],0), MATCH(AM$1, lmic_raw[#Headers],0))=0, INDEX(regions[], MATCH($D94, regions[[setting]:[setting]],0), MATCH(AM$1, regions[#Headers],0)),INDEX(lmic_raw[],MATCH($A94,lmic_raw[[setting]:[setting]],0), MATCH(AM$1, lmic_raw[#Headers],0)))</f>
        <v>2.5136345377276231E-3</v>
      </c>
      <c r="AN94" s="33">
        <f>IF(INDEX(lmic_raw[],MATCH($A94,lmic_raw[[setting]:[setting]],0), MATCH(AN$1, lmic_raw[#Headers],0))=0, INDEX(regions[], MATCH($D94, regions[[setting]:[setting]],0), MATCH(AN$1, regions[#Headers],0)),INDEX(lmic_raw[],MATCH($A94,lmic_raw[[setting]:[setting]],0), MATCH(AN$1, lmic_raw[#Headers],0)))</f>
        <v>4.6889487105831202E-3</v>
      </c>
      <c r="AO94" s="33">
        <f>IF(INDEX(lmic_raw[],MATCH($A94,lmic_raw[[setting]:[setting]],0), MATCH(AO$1, lmic_raw[#Headers],0))=0, INDEX(regions[], MATCH($D94, regions[[setting]:[setting]],0), MATCH(AO$1, regions[#Headers],0)),INDEX(lmic_raw[],MATCH($A94,lmic_raw[[setting]:[setting]],0), MATCH(AO$1, lmic_raw[#Headers],0)))</f>
        <v>7.9706071269026232E-3</v>
      </c>
      <c r="AP94" s="33">
        <f>IF(INDEX(lmic_raw[],MATCH($A94,lmic_raw[[setting]:[setting]],0), MATCH(AP$1, lmic_raw[#Headers],0))=0, INDEX(regions[], MATCH($D94, regions[[setting]:[setting]],0), MATCH(AP$1, regions[#Headers],0)),INDEX(lmic_raw[],MATCH($A94,lmic_raw[[setting]:[setting]],0), MATCH(AP$1, lmic_raw[#Headers],0)))</f>
        <v>1.3170471970922691E-2</v>
      </c>
      <c r="AQ94" s="33">
        <f>IF(INDEX(lmic_raw[],MATCH($A94,lmic_raw[[setting]:[setting]],0), MATCH(AQ$1, lmic_raw[#Headers],0))=0, INDEX(regions[], MATCH($D94, regions[[setting]:[setting]],0), MATCH(AQ$1, regions[#Headers],0)),INDEX(lmic_raw[],MATCH($A94,lmic_raw[[setting]:[setting]],0), MATCH(AQ$1, lmic_raw[#Headers],0)))</f>
        <v>2.0383363398228289E-2</v>
      </c>
      <c r="AR94" s="33">
        <f>IF(INDEX(lmic_raw[],MATCH($A94,lmic_raw[[setting]:[setting]],0), MATCH(AR$1, lmic_raw[#Headers],0))=0, INDEX(regions[], MATCH($D94, regions[[setting]:[setting]],0), MATCH(AR$1, regions[#Headers],0)),INDEX(lmic_raw[],MATCH($A94,lmic_raw[[setting]:[setting]],0), MATCH(AR$1, lmic_raw[#Headers],0)))</f>
        <v>3.2018214713456158E-2</v>
      </c>
      <c r="AS94" s="33">
        <f>IF(INDEX(lmic_raw[],MATCH($A94,lmic_raw[[setting]:[setting]],0), MATCH(AS$1, lmic_raw[#Headers],0))=0, INDEX(regions[], MATCH($D94, regions[[setting]:[setting]],0), MATCH(AS$1, regions[#Headers],0)),INDEX(lmic_raw[],MATCH($A94,lmic_raw[[setting]:[setting]],0), MATCH(AS$1, lmic_raw[#Headers],0)))</f>
        <v>5.6817453075315598E-2</v>
      </c>
      <c r="AT94" s="33">
        <f>IF(INDEX(lmic_raw[],MATCH($A94,lmic_raw[[setting]:[setting]],0), MATCH(AT$1, lmic_raw[#Headers],0))=0, INDEX(regions[], MATCH($D94, regions[[setting]:[setting]],0), MATCH(AT$1, regions[#Headers],0)),INDEX(lmic_raw[],MATCH($A94,lmic_raw[[setting]:[setting]],0), MATCH(AT$1, lmic_raw[#Headers],0)))</f>
        <v>9.1528949975634752E-2</v>
      </c>
      <c r="AU94" s="33">
        <f>IF(INDEX(lmic_raw[],MATCH($A94,lmic_raw[[setting]:[setting]],0), MATCH(AU$1, lmic_raw[#Headers],0))=0, INDEX(regions[], MATCH($D94, regions[[setting]:[setting]],0), MATCH(AU$1, regions[#Headers],0)),INDEX(lmic_raw[],MATCH($A94,lmic_raw[[setting]:[setting]],0), MATCH(AU$1, lmic_raw[#Headers],0)))</f>
        <v>0.12972083487733699</v>
      </c>
      <c r="AV94" s="33">
        <f>IF(INDEX(lmic_raw[],MATCH($A94,lmic_raw[[setting]:[setting]],0), MATCH(AV$1, lmic_raw[#Headers],0))=0, INDEX(regions[], MATCH($D94, regions[[setting]:[setting]],0), MATCH(AV$1, regions[#Headers],0)),INDEX(lmic_raw[],MATCH($A94,lmic_raw[[setting]:[setting]],0), MATCH(AV$1, lmic_raw[#Headers],0)))</f>
        <v>0.16675336952493727</v>
      </c>
      <c r="AW94" s="33">
        <f>IF(INDEX(lmic_raw[],MATCH($A94,lmic_raw[[setting]:[setting]],0), MATCH(AW$1, lmic_raw[#Headers],0))=0, INDEX(regions[], MATCH($D94, regions[[setting]:[setting]],0), MATCH(AW$1, regions[#Headers],0)),INDEX(lmic_raw[],MATCH($A94,lmic_raw[[setting]:[setting]],0), MATCH(AW$1, lmic_raw[#Headers],0)))</f>
        <v>0.18624753508657874</v>
      </c>
      <c r="AX94" s="33">
        <f>IF(INDEX(lmic_raw[],MATCH($A94,lmic_raw[[setting]:[setting]],0), MATCH(AX$1, lmic_raw[#Headers],0))=0, INDEX(regions[], MATCH($D94, regions[[setting]:[setting]],0), MATCH(AX$1, regions[#Headers],0)),INDEX(lmic_raw[],MATCH($A94,lmic_raw[[setting]:[setting]],0), MATCH(AX$1, lmic_raw[#Headers],0)))</f>
        <v>75.602999999999994</v>
      </c>
      <c r="AY94" s="33" t="str">
        <f>IF(VLOOKUP($A94,lmic_raw[],11,FALSE)=0, "Yes", "No")</f>
        <v>No</v>
      </c>
    </row>
    <row r="95" spans="1:51" x14ac:dyDescent="0.25">
      <c r="A95" s="110" t="s">
        <v>198</v>
      </c>
      <c r="B95" s="104" t="s">
        <v>488</v>
      </c>
      <c r="C95" s="105">
        <v>586</v>
      </c>
      <c r="D95" s="84" t="s">
        <v>673</v>
      </c>
      <c r="E95" s="84" t="s">
        <v>589</v>
      </c>
      <c r="F95" s="84" t="s">
        <v>589</v>
      </c>
      <c r="G95" s="84" t="s">
        <v>678</v>
      </c>
      <c r="H95" s="33">
        <f>IF(INDEX(lmic_raw[],MATCH($A95,lmic_raw[[setting]:[setting]],0), MATCH(H$1, lmic_raw[#Headers],0))=0, INDEX(regions[], MATCH($D95, regions[[setting]:[setting]],0), MATCH(H$1, regions[#Headers],0)),INDEX(lmic_raw[],MATCH($A95,lmic_raw[[setting]:[setting]],0), MATCH(H$1, lmic_raw[#Headers],0)))</f>
        <v>216565317</v>
      </c>
      <c r="I95" s="33">
        <f>IF(INDEX(lmic_raw[],MATCH($A95,lmic_raw[[setting]:[setting]],0), MATCH(I$1, lmic_raw[#Headers],0))=0, INDEX(regions[], MATCH($D95, regions[[setting]:[setting]],0), MATCH(I$1, regions[#Headers],0)),INDEX(lmic_raw[],MATCH($A95,lmic_raw[[setting]:[setting]],0), MATCH(I$1, lmic_raw[#Headers],0)))</f>
        <v>6176875.9714740003</v>
      </c>
      <c r="J95" s="33">
        <f>IF(INDEX(lmic_raw[],MATCH($A95,lmic_raw[[setting]:[setting]],0), MATCH(J$1, lmic_raw[#Headers],0))=0, INDEX(regions[], MATCH($D95, regions[[setting]:[setting]],0), MATCH(J$1, regions[#Headers],0)),INDEX(lmic_raw[],MATCH($A95,lmic_raw[[setting]:[setting]],0), MATCH(J$1, lmic_raw[#Headers],0)))</f>
        <v>0.66200000000000003</v>
      </c>
      <c r="K95" s="33">
        <f>IF(INDEX(lmic_raw[],MATCH($A95,lmic_raw[[setting]:[setting]],0), MATCH(K$1, lmic_raw[#Headers],0))=0, INDEX(regions[], MATCH($D95, regions[[setting]:[setting]],0), MATCH(K$1, regions[#Headers],0)),INDEX(lmic_raw[],MATCH($A95,lmic_raw[[setting]:[setting]],0), MATCH(K$1, lmic_raw[#Headers],0)))</f>
        <v>0.70987607132960939</v>
      </c>
      <c r="L95" s="33">
        <f>IF(INDEX(lmic_raw[],MATCH($A95,lmic_raw[[setting]:[setting]],0), MATCH(L$1, lmic_raw[#Headers],0))=0, INDEX(regions[], MATCH($D95, regions[[setting]:[setting]],0), MATCH(L$1, regions[#Headers],0)),INDEX(lmic_raw[],MATCH($A95,lmic_raw[[setting]:[setting]],0), MATCH(L$1, lmic_raw[#Headers],0)))</f>
        <v>0.75</v>
      </c>
      <c r="M95" s="33">
        <f>IF(INDEX(lmic_raw[],MATCH($A95,lmic_raw[[setting]:[setting]],0), MATCH(M$1, lmic_raw[#Headers],0))=0, INDEX(regions[], MATCH($D95, regions[[setting]:[setting]],0), MATCH(M$1, regions[#Headers],0)),INDEX(lmic_raw[],MATCH($A95,lmic_raw[[setting]:[setting]],0), MATCH(M$1, lmic_raw[#Headers],0)))</f>
        <v>5.6299999999999996E-2</v>
      </c>
      <c r="N95" s="33">
        <f>IF(INDEX(lmic_raw[],MATCH($A95,lmic_raw[[setting]:[setting]],0), MATCH(N$1, lmic_raw[#Headers],0))=0, INDEX(regions[], MATCH($D95, regions[[setting]:[setting]],0), MATCH(N$1, regions[#Headers],0)),INDEX(lmic_raw[],MATCH($A95,lmic_raw[[setting]:[setting]],0), MATCH(N$1, lmic_raw[#Headers],0)))</f>
        <v>0.26507967012826261</v>
      </c>
      <c r="O95" s="33">
        <f>IF(INDEX(lmic_raw[],MATCH($A95,lmic_raw[[setting]:[setting]],0), MATCH(O$1, lmic_raw[#Headers],0))=0, INDEX(regions[], MATCH($D95, regions[[setting]:[setting]],0), MATCH(O$1, regions[#Headers],0)),INDEX(lmic_raw[],MATCH($A95,lmic_raw[[setting]:[setting]],0), MATCH(O$1, lmic_raw[#Headers],0)))</f>
        <v>0.8</v>
      </c>
      <c r="P95" s="33">
        <f>IF(INDEX(lmic_raw[],MATCH($A95,lmic_raw[[setting]:[setting]],0), MATCH(P$1, lmic_raw[#Headers],0))=0, INDEX(regions[], MATCH($D95, regions[[setting]:[setting]],0), MATCH(P$1, regions[#Headers],0)),INDEX(lmic_raw[],MATCH($A95,lmic_raw[[setting]:[setting]],0), MATCH(P$1, lmic_raw[#Headers],0)))</f>
        <v>0.17499999999999999</v>
      </c>
      <c r="Q95" s="33">
        <f>IF(INDEX(lmic_raw[],MATCH($A95,lmic_raw[[setting]:[setting]],0), MATCH(Q$1, lmic_raw[#Headers],0))=0, INDEX(regions[], MATCH($D95, regions[[setting]:[setting]],0), MATCH(Q$1, regions[#Headers],0)),INDEX(lmic_raw[],MATCH($A95,lmic_raw[[setting]:[setting]],0), MATCH(Q$1, lmic_raw[#Headers],0)))</f>
        <v>3.0855500352486933</v>
      </c>
      <c r="R95" s="33">
        <f>IF(INDEX(lmic_raw[],MATCH($A95,lmic_raw[[setting]:[setting]],0), MATCH(R$1, lmic_raw[#Headers],0))=0, INDEX(regions[], MATCH($D95, regions[[setting]:[setting]],0), MATCH(R$1, regions[#Headers],0)),INDEX(lmic_raw[],MATCH($A95,lmic_raw[[setting]:[setting]],0), MATCH(R$1, lmic_raw[#Headers],0)))</f>
        <v>45.899900000000002</v>
      </c>
      <c r="S95" s="33">
        <f>IF(INDEX(lmic_raw[],MATCH($A95,lmic_raw[[setting]:[setting]],0), MATCH(S$1, lmic_raw[#Headers],0))=0, INDEX(regions[], MATCH($D95, regions[[setting]:[setting]],0), MATCH(S$1, regions[#Headers],0)),INDEX(lmic_raw[],MATCH($A95,lmic_raw[[setting]:[setting]],0), MATCH(S$1, lmic_raw[#Headers],0)))</f>
        <v>93.641900000000007</v>
      </c>
      <c r="T95" s="33">
        <f>IF(INDEX(lmic_raw[],MATCH($A95,lmic_raw[[setting]:[setting]],0), MATCH(T$1, lmic_raw[#Headers],0))=0, INDEX(regions[], MATCH($D95, regions[[setting]:[setting]],0), MATCH(T$1, regions[#Headers],0)),INDEX(lmic_raw[],MATCH($A95,lmic_raw[[setting]:[setting]],0), MATCH(T$1, lmic_raw[#Headers],0)))</f>
        <v>93.641900000000007</v>
      </c>
      <c r="U95" s="33">
        <f>IF(INDEX(lmic_raw[],MATCH($A95,lmic_raw[[setting]:[setting]],0), MATCH(U$1, lmic_raw[#Headers],0))=0, INDEX(regions[], MATCH($D95, regions[[setting]:[setting]],0), MATCH(U$1, regions[#Headers],0)),INDEX(lmic_raw[],MATCH($A95,lmic_raw[[setting]:[setting]],0), MATCH(U$1, lmic_raw[#Headers],0)))</f>
        <v>93.641900000000007</v>
      </c>
      <c r="V95" s="33">
        <f>IF(INDEX(lmic_raw[],MATCH($A95,lmic_raw[[setting]:[setting]],0), MATCH(V$1, lmic_raw[#Headers],0))=0, INDEX(regions[], MATCH($D95, regions[[setting]:[setting]],0), MATCH(V$1, regions[#Headers],0)),INDEX(lmic_raw[],MATCH($A95,lmic_raw[[setting]:[setting]],0), MATCH(V$1, lmic_raw[#Headers],0)))</f>
        <v>1.3601324002125419</v>
      </c>
      <c r="W95" s="33">
        <f>IF(INDEX(lmic_raw[],MATCH($A95,lmic_raw[[setting]:[setting]],0), MATCH(W$1, lmic_raw[#Headers],0))=0, INDEX(regions[], MATCH($D95, regions[[setting]:[setting]],0), MATCH(W$1, regions[#Headers],0)),INDEX(lmic_raw[],MATCH($A95,lmic_raw[[setting]:[setting]],0), MATCH(W$1, lmic_raw[#Headers],0)))</f>
        <v>3.8101324002125421</v>
      </c>
      <c r="X95" s="33">
        <f>IF(INDEX(lmic_raw[],MATCH($A95,lmic_raw[[setting]:[setting]],0), MATCH(X$1, lmic_raw[#Headers],0))=0, INDEX(regions[], MATCH($D95, regions[[setting]:[setting]],0), MATCH(X$1, regions[#Headers],0)),INDEX(lmic_raw[],MATCH($A95,lmic_raw[[setting]:[setting]],0), MATCH(X$1, lmic_raw[#Headers],0)))</f>
        <v>0.93413475054240969</v>
      </c>
      <c r="Y95" s="33">
        <f>IF(INDEX(lmic_raw[],MATCH($A95,lmic_raw[[setting]:[setting]],0), MATCH(Y$1, lmic_raw[#Headers],0))=0, INDEX(regions[], MATCH($D95, regions[[setting]:[setting]],0), MATCH(Y$1, regions[#Headers],0)),INDEX(lmic_raw[],MATCH($A95,lmic_raw[[setting]:[setting]],0), MATCH(Y$1, lmic_raw[#Headers],0)))</f>
        <v>3.38413475054241</v>
      </c>
      <c r="Z95" s="33">
        <f>IF(INDEX(lmic_raw[],MATCH($A95,lmic_raw[[setting]:[setting]],0), MATCH(Z$1, lmic_raw[#Headers],0))=0, INDEX(regions[], MATCH($D95, regions[[setting]:[setting]],0), MATCH(Z$1, regions[#Headers],0)),INDEX(lmic_raw[],MATCH($A95,lmic_raw[[setting]:[setting]],0), MATCH(Z$1, lmic_raw[#Headers],0)))</f>
        <v>3.3806161983373495</v>
      </c>
      <c r="AA95" s="33">
        <f>IF(INDEX(lmic_raw[],MATCH($A95,lmic_raw[[setting]:[setting]],0), MATCH(AA$1, lmic_raw[#Headers],0))=0, INDEX(regions[], MATCH($D95, regions[[setting]:[setting]],0), MATCH(AA$1, regions[#Headers],0)),INDEX(lmic_raw[],MATCH($A95,lmic_raw[[setting]:[setting]],0), MATCH(AA$1, lmic_raw[#Headers],0)))</f>
        <v>1.6019157334680785</v>
      </c>
      <c r="AB95" s="33">
        <f>IF(INDEX(lmic_raw[],MATCH($A95,lmic_raw[[setting]:[setting]],0), MATCH(AB$1, lmic_raw[#Headers],0))=0, INDEX(regions[], MATCH($D95, regions[[setting]:[setting]],0), MATCH(AB$1, regions[#Headers],0)),INDEX(lmic_raw[],MATCH($A95,lmic_raw[[setting]:[setting]],0), MATCH(AB$1, lmic_raw[#Headers],0)))</f>
        <v>4.0519157334680784</v>
      </c>
      <c r="AC95" s="33">
        <f>IF(INDEX(lmic_raw[],MATCH($A95,lmic_raw[[setting]:[setting]],0), MATCH(AC$1, lmic_raw[#Headers],0))=0, INDEX(regions[], MATCH($D95, regions[[setting]:[setting]],0), MATCH(AC$1, regions[#Headers],0)),INDEX(lmic_raw[],MATCH($A95,lmic_raw[[setting]:[setting]],0), MATCH(AC$1, lmic_raw[#Headers],0)))</f>
        <v>6.1333549999999959E-2</v>
      </c>
      <c r="AD95" s="33">
        <f>IF(INDEX(lmic_raw[],MATCH($A95,lmic_raw[[setting]:[setting]],0), MATCH(AD$1, lmic_raw[#Headers],0))=0, INDEX(regions[], MATCH($D95, regions[[setting]:[setting]],0), MATCH(AD$1, regions[#Headers],0)),INDEX(lmic_raw[],MATCH($A95,lmic_raw[[setting]:[setting]],0), MATCH(AD$1, lmic_raw[#Headers],0)))</f>
        <v>3.6129553794108892E-3</v>
      </c>
      <c r="AE95" s="33">
        <f>IF(INDEX(lmic_raw[],MATCH($A95,lmic_raw[[setting]:[setting]],0), MATCH(AE$1, lmic_raw[#Headers],0))=0, INDEX(regions[], MATCH($D95, regions[[setting]:[setting]],0), MATCH(AE$1, regions[#Headers],0)),INDEX(lmic_raw[],MATCH($A95,lmic_raw[[setting]:[setting]],0), MATCH(AE$1, lmic_raw[#Headers],0)))</f>
        <v>1.0619705193057707E-3</v>
      </c>
      <c r="AF95" s="33">
        <f>IF(INDEX(lmic_raw[],MATCH($A95,lmic_raw[[setting]:[setting]],0), MATCH(AF$1, lmic_raw[#Headers],0))=0, INDEX(regions[], MATCH($D95, regions[[setting]:[setting]],0), MATCH(AF$1, regions[#Headers],0)),INDEX(lmic_raw[],MATCH($A95,lmic_raw[[setting]:[setting]],0), MATCH(AF$1, lmic_raw[#Headers],0)))</f>
        <v>6.8420954367996202E-4</v>
      </c>
      <c r="AG95" s="33">
        <f>IF(INDEX(lmic_raw[],MATCH($A95,lmic_raw[[setting]:[setting]],0), MATCH(AG$1, lmic_raw[#Headers],0))=0, INDEX(regions[], MATCH($D95, regions[[setting]:[setting]],0), MATCH(AG$1, regions[#Headers],0)),INDEX(lmic_raw[],MATCH($A95,lmic_raw[[setting]:[setting]],0), MATCH(AG$1, lmic_raw[#Headers],0)))</f>
        <v>9.0135788389363882E-4</v>
      </c>
      <c r="AH95" s="33">
        <f>IF(INDEX(lmic_raw[],MATCH($A95,lmic_raw[[setting]:[setting]],0), MATCH(AH$1, lmic_raw[#Headers],0))=0, INDEX(regions[], MATCH($D95, regions[[setting]:[setting]],0), MATCH(AH$1, regions[#Headers],0)),INDEX(lmic_raw[],MATCH($A95,lmic_raw[[setting]:[setting]],0), MATCH(AH$1, lmic_raw[#Headers],0)))</f>
        <v>1.2077077563812004E-3</v>
      </c>
      <c r="AI95" s="33">
        <f>IF(INDEX(lmic_raw[],MATCH($A95,lmic_raw[[setting]:[setting]],0), MATCH(AI$1, lmic_raw[#Headers],0))=0, INDEX(regions[], MATCH($D95, regions[[setting]:[setting]],0), MATCH(AI$1, regions[#Headers],0)),INDEX(lmic_raw[],MATCH($A95,lmic_raw[[setting]:[setting]],0), MATCH(AI$1, lmic_raw[#Headers],0)))</f>
        <v>1.3477014775401645E-3</v>
      </c>
      <c r="AJ95" s="33">
        <f>IF(INDEX(lmic_raw[],MATCH($A95,lmic_raw[[setting]:[setting]],0), MATCH(AJ$1, lmic_raw[#Headers],0))=0, INDEX(regions[], MATCH($D95, regions[[setting]:[setting]],0), MATCH(AJ$1, regions[#Headers],0)),INDEX(lmic_raw[],MATCH($A95,lmic_raw[[setting]:[setting]],0), MATCH(AJ$1, lmic_raw[#Headers],0)))</f>
        <v>1.6936719012837615E-3</v>
      </c>
      <c r="AK95" s="33">
        <f>IF(INDEX(lmic_raw[],MATCH($A95,lmic_raw[[setting]:[setting]],0), MATCH(AK$1, lmic_raw[#Headers],0))=0, INDEX(regions[], MATCH($D95, regions[[setting]:[setting]],0), MATCH(AK$1, regions[#Headers],0)),INDEX(lmic_raw[],MATCH($A95,lmic_raw[[setting]:[setting]],0), MATCH(AK$1, lmic_raw[#Headers],0)))</f>
        <v>2.2590628339365332E-3</v>
      </c>
      <c r="AL95" s="33">
        <f>IF(INDEX(lmic_raw[],MATCH($A95,lmic_raw[[setting]:[setting]],0), MATCH(AL$1, lmic_raw[#Headers],0))=0, INDEX(regions[], MATCH($D95, regions[[setting]:[setting]],0), MATCH(AL$1, regions[#Headers],0)),INDEX(lmic_raw[],MATCH($A95,lmic_raw[[setting]:[setting]],0), MATCH(AL$1, lmic_raw[#Headers],0)))</f>
        <v>3.1841570458575586E-3</v>
      </c>
      <c r="AM95" s="33">
        <f>IF(INDEX(lmic_raw[],MATCH($A95,lmic_raw[[setting]:[setting]],0), MATCH(AM$1, lmic_raw[#Headers],0))=0, INDEX(regions[], MATCH($D95, regions[[setting]:[setting]],0), MATCH(AM$1, regions[#Headers],0)),INDEX(lmic_raw[],MATCH($A95,lmic_raw[[setting]:[setting]],0), MATCH(AM$1, lmic_raw[#Headers],0)))</f>
        <v>4.6948988446102128E-3</v>
      </c>
      <c r="AN95" s="33">
        <f>IF(INDEX(lmic_raw[],MATCH($A95,lmic_raw[[setting]:[setting]],0), MATCH(AN$1, lmic_raw[#Headers],0))=0, INDEX(regions[], MATCH($D95, regions[[setting]:[setting]],0), MATCH(AN$1, regions[#Headers],0)),INDEX(lmic_raw[],MATCH($A95,lmic_raw[[setting]:[setting]],0), MATCH(AN$1, lmic_raw[#Headers],0)))</f>
        <v>7.1550045387534346E-3</v>
      </c>
      <c r="AO95" s="33">
        <f>IF(INDEX(lmic_raw[],MATCH($A95,lmic_raw[[setting]:[setting]],0), MATCH(AO$1, lmic_raw[#Headers],0))=0, INDEX(regions[], MATCH($D95, regions[[setting]:[setting]],0), MATCH(AO$1, regions[#Headers],0)),INDEX(lmic_raw[],MATCH($A95,lmic_raw[[setting]:[setting]],0), MATCH(AO$1, lmic_raw[#Headers],0)))</f>
        <v>1.1082944675981268E-2</v>
      </c>
      <c r="AP95" s="33">
        <f>IF(INDEX(lmic_raw[],MATCH($A95,lmic_raw[[setting]:[setting]],0), MATCH(AP$1, lmic_raw[#Headers],0))=0, INDEX(regions[], MATCH($D95, regions[[setting]:[setting]],0), MATCH(AP$1, regions[#Headers],0)),INDEX(lmic_raw[],MATCH($A95,lmic_raw[[setting]:[setting]],0), MATCH(AP$1, lmic_raw[#Headers],0)))</f>
        <v>1.7741453448018207E-2</v>
      </c>
      <c r="AQ95" s="33">
        <f>IF(INDEX(lmic_raw[],MATCH($A95,lmic_raw[[setting]:[setting]],0), MATCH(AQ$1, lmic_raw[#Headers],0))=0, INDEX(regions[], MATCH($D95, regions[[setting]:[setting]],0), MATCH(AQ$1, regions[#Headers],0)),INDEX(lmic_raw[],MATCH($A95,lmic_raw[[setting]:[setting]],0), MATCH(AQ$1, lmic_raw[#Headers],0)))</f>
        <v>2.7639274904056904E-2</v>
      </c>
      <c r="AR95" s="33">
        <f>IF(INDEX(lmic_raw[],MATCH($A95,lmic_raw[[setting]:[setting]],0), MATCH(AR$1, lmic_raw[#Headers],0))=0, INDEX(regions[], MATCH($D95, regions[[setting]:[setting]],0), MATCH(AR$1, regions[#Headers],0)),INDEX(lmic_raw[],MATCH($A95,lmic_raw[[setting]:[setting]],0), MATCH(AR$1, lmic_raw[#Headers],0)))</f>
        <v>4.2169339516370995E-2</v>
      </c>
      <c r="AS95" s="33">
        <f>IF(INDEX(lmic_raw[],MATCH($A95,lmic_raw[[setting]:[setting]],0), MATCH(AS$1, lmic_raw[#Headers],0))=0, INDEX(regions[], MATCH($D95, regions[[setting]:[setting]],0), MATCH(AS$1, regions[#Headers],0)),INDEX(lmic_raw[],MATCH($A95,lmic_raw[[setting]:[setting]],0), MATCH(AS$1, lmic_raw[#Headers],0)))</f>
        <v>6.3864951916216758E-2</v>
      </c>
      <c r="AT95" s="33">
        <f>IF(INDEX(lmic_raw[],MATCH($A95,lmic_raw[[setting]:[setting]],0), MATCH(AT$1, lmic_raw[#Headers],0))=0, INDEX(regions[], MATCH($D95, regions[[setting]:[setting]],0), MATCH(AT$1, regions[#Headers],0)),INDEX(lmic_raw[],MATCH($A95,lmic_raw[[setting]:[setting]],0), MATCH(AT$1, lmic_raw[#Headers],0)))</f>
        <v>9.4417697921603955E-2</v>
      </c>
      <c r="AU95" s="33">
        <f>IF(INDEX(lmic_raw[],MATCH($A95,lmic_raw[[setting]:[setting]],0), MATCH(AU$1, lmic_raw[#Headers],0))=0, INDEX(regions[], MATCH($D95, regions[[setting]:[setting]],0), MATCH(AU$1, regions[#Headers],0)),INDEX(lmic_raw[],MATCH($A95,lmic_raw[[setting]:[setting]],0), MATCH(AU$1, lmic_raw[#Headers],0)))</f>
        <v>0.13203036500012194</v>
      </c>
      <c r="AV95" s="33">
        <f>IF(INDEX(lmic_raw[],MATCH($A95,lmic_raw[[setting]:[setting]],0), MATCH(AV$1, lmic_raw[#Headers],0))=0, INDEX(regions[], MATCH($D95, regions[[setting]:[setting]],0), MATCH(AV$1, regions[#Headers],0)),INDEX(lmic_raw[],MATCH($A95,lmic_raw[[setting]:[setting]],0), MATCH(AV$1, lmic_raw[#Headers],0)))</f>
        <v>0.16360120386365906</v>
      </c>
      <c r="AW95" s="33">
        <f>IF(INDEX(lmic_raw[],MATCH($A95,lmic_raw[[setting]:[setting]],0), MATCH(AW$1, lmic_raw[#Headers],0))=0, INDEX(regions[], MATCH($D95, regions[[setting]:[setting]],0), MATCH(AW$1, regions[#Headers],0)),INDEX(lmic_raw[],MATCH($A95,lmic_raw[[setting]:[setting]],0), MATCH(AW$1, lmic_raw[#Headers],0)))</f>
        <v>0.18117845350801109</v>
      </c>
      <c r="AX95" s="33">
        <f>IF(INDEX(lmic_raw[],MATCH($A95,lmic_raw[[setting]:[setting]],0), MATCH(AX$1, lmic_raw[#Headers],0))=0, INDEX(regions[], MATCH($D95, regions[[setting]:[setting]],0), MATCH(AX$1, regions[#Headers],0)),INDEX(lmic_raw[],MATCH($A95,lmic_raw[[setting]:[setting]],0), MATCH(AX$1, lmic_raw[#Headers],0)))</f>
        <v>67.016999999999996</v>
      </c>
      <c r="AY95" s="33" t="str">
        <f>IF(VLOOKUP($A95,lmic_raw[],11,FALSE)=0, "Yes", "No")</f>
        <v>Yes</v>
      </c>
    </row>
    <row r="96" spans="1:51" x14ac:dyDescent="0.25">
      <c r="A96" s="82" t="s">
        <v>683</v>
      </c>
      <c r="B96" s="101" t="s">
        <v>517</v>
      </c>
      <c r="C96" s="106">
        <v>275</v>
      </c>
      <c r="D96" s="82" t="s">
        <v>673</v>
      </c>
      <c r="E96" s="82" t="s">
        <v>579</v>
      </c>
      <c r="F96" s="82" t="s">
        <v>579</v>
      </c>
      <c r="G96" s="82" t="s">
        <v>678</v>
      </c>
      <c r="H96" s="33">
        <f>IF(INDEX(lmic_raw[],MATCH($A96,lmic_raw[[setting]:[setting]],0), MATCH(H$1, lmic_raw[#Headers],0))=0, INDEX(regions[], MATCH($D96, regions[[setting]:[setting]],0), MATCH(H$1, regions[#Headers],0)),INDEX(lmic_raw[],MATCH($A96,lmic_raw[[setting]:[setting]],0), MATCH(H$1, lmic_raw[#Headers],0)))</f>
        <v>4981422</v>
      </c>
      <c r="I96" s="33">
        <f>IF(INDEX(lmic_raw[],MATCH($A96,lmic_raw[[setting]:[setting]],0), MATCH(I$1, lmic_raw[#Headers],0))=0, INDEX(regions[], MATCH($D96, regions[[setting]:[setting]],0), MATCH(I$1, regions[#Headers],0)),INDEX(lmic_raw[],MATCH($A96,lmic_raw[[setting]:[setting]],0), MATCH(I$1, lmic_raw[#Headers],0)))</f>
        <v>146583.32377199997</v>
      </c>
      <c r="J96" s="33">
        <f>IF(INDEX(lmic_raw[],MATCH($A96,lmic_raw[[setting]:[setting]],0), MATCH(J$1, lmic_raw[#Headers],0))=0, INDEX(regions[], MATCH($D96, regions[[setting]:[setting]],0), MATCH(J$1, regions[#Headers],0)),INDEX(lmic_raw[],MATCH($A96,lmic_raw[[setting]:[setting]],0), MATCH(J$1, lmic_raw[#Headers],0)))</f>
        <v>0.99299999999999999</v>
      </c>
      <c r="K96" s="33">
        <f>IF(INDEX(lmic_raw[],MATCH($A96,lmic_raw[[setting]:[setting]],0), MATCH(K$1, lmic_raw[#Headers],0))=0, INDEX(regions[], MATCH($D96, regions[[setting]:[setting]],0), MATCH(K$1, regions[#Headers],0)),INDEX(lmic_raw[],MATCH($A96,lmic_raw[[setting]:[setting]],0), MATCH(K$1, lmic_raw[#Headers],0)))</f>
        <v>0.99</v>
      </c>
      <c r="L96" s="33">
        <f>IF(INDEX(lmic_raw[],MATCH($A96,lmic_raw[[setting]:[setting]],0), MATCH(L$1, lmic_raw[#Headers],0))=0, INDEX(regions[], MATCH($D96, regions[[setting]:[setting]],0), MATCH(L$1, regions[#Headers],0)),INDEX(lmic_raw[],MATCH($A96,lmic_raw[[setting]:[setting]],0), MATCH(L$1, lmic_raw[#Headers],0)))</f>
        <v>0.99</v>
      </c>
      <c r="M96" s="33">
        <f>IF(INDEX(lmic_raw[],MATCH($A96,lmic_raw[[setting]:[setting]],0), MATCH(M$1, lmic_raw[#Headers],0))=0, INDEX(regions[], MATCH($D96, regions[[setting]:[setting]],0), MATCH(M$1, regions[#Headers],0)),INDEX(lmic_raw[],MATCH($A96,lmic_raw[[setting]:[setting]],0), MATCH(M$1, lmic_raw[#Headers],0)))</f>
        <v>1.2067164398750481E-2</v>
      </c>
      <c r="N96" s="33">
        <f>IF(INDEX(lmic_raw[],MATCH($A96,lmic_raw[[setting]:[setting]],0), MATCH(N$1, lmic_raw[#Headers],0))=0, INDEX(regions[], MATCH($D96, regions[[setting]:[setting]],0), MATCH(N$1, regions[#Headers],0)),INDEX(lmic_raw[],MATCH($A96,lmic_raw[[setting]:[setting]],0), MATCH(N$1, lmic_raw[#Headers],0)))</f>
        <v>0.26177494054478984</v>
      </c>
      <c r="O96" s="33">
        <f>IF(INDEX(lmic_raw[],MATCH($A96,lmic_raw[[setting]:[setting]],0), MATCH(O$1, lmic_raw[#Headers],0))=0, INDEX(regions[], MATCH($D96, regions[[setting]:[setting]],0), MATCH(O$1, regions[#Headers],0)),INDEX(lmic_raw[],MATCH($A96,lmic_raw[[setting]:[setting]],0), MATCH(O$1, lmic_raw[#Headers],0)))</f>
        <v>0.8</v>
      </c>
      <c r="P96" s="33">
        <f>IF(INDEX(lmic_raw[],MATCH($A96,lmic_raw[[setting]:[setting]],0), MATCH(P$1, lmic_raw[#Headers],0))=0, INDEX(regions[], MATCH($D96, regions[[setting]:[setting]],0), MATCH(P$1, regions[#Headers],0)),INDEX(lmic_raw[],MATCH($A96,lmic_raw[[setting]:[setting]],0), MATCH(P$1, lmic_raw[#Headers],0)))</f>
        <v>0.17499999999999999</v>
      </c>
      <c r="Q96" s="33">
        <f>IF(INDEX(lmic_raw[],MATCH($A96,lmic_raw[[setting]:[setting]],0), MATCH(Q$1, lmic_raw[#Headers],0))=0, INDEX(regions[], MATCH($D96, regions[[setting]:[setting]],0), MATCH(Q$1, regions[#Headers],0)),INDEX(lmic_raw[],MATCH($A96,lmic_raw[[setting]:[setting]],0), MATCH(Q$1, lmic_raw[#Headers],0)))</f>
        <v>6.5594837976176033</v>
      </c>
      <c r="R96" s="33">
        <f>IF(INDEX(lmic_raw[],MATCH($A96,lmic_raw[[setting]:[setting]],0), MATCH(R$1, lmic_raw[#Headers],0))=0, INDEX(regions[], MATCH($D96, regions[[setting]:[setting]],0), MATCH(R$1, regions[#Headers],0)),INDEX(lmic_raw[],MATCH($A96,lmic_raw[[setting]:[setting]],0), MATCH(R$1, lmic_raw[#Headers],0)))</f>
        <v>46.335900000000002</v>
      </c>
      <c r="S96" s="33">
        <f>IF(INDEX(lmic_raw[],MATCH($A96,lmic_raw[[setting]:[setting]],0), MATCH(S$1, lmic_raw[#Headers],0))=0, INDEX(regions[], MATCH($D96, regions[[setting]:[setting]],0), MATCH(S$1, regions[#Headers],0)),INDEX(lmic_raw[],MATCH($A96,lmic_raw[[setting]:[setting]],0), MATCH(S$1, lmic_raw[#Headers],0)))</f>
        <v>94.077900000000014</v>
      </c>
      <c r="T96" s="33">
        <f>IF(INDEX(lmic_raw[],MATCH($A96,lmic_raw[[setting]:[setting]],0), MATCH(T$1, lmic_raw[#Headers],0))=0, INDEX(regions[], MATCH($D96, regions[[setting]:[setting]],0), MATCH(T$1, regions[#Headers],0)),INDEX(lmic_raw[],MATCH($A96,lmic_raw[[setting]:[setting]],0), MATCH(T$1, lmic_raw[#Headers],0)))</f>
        <v>94.077900000000014</v>
      </c>
      <c r="U96" s="33">
        <f>IF(INDEX(lmic_raw[],MATCH($A96,lmic_raw[[setting]:[setting]],0), MATCH(U$1, lmic_raw[#Headers],0))=0, INDEX(regions[], MATCH($D96, regions[[setting]:[setting]],0), MATCH(U$1, regions[#Headers],0)),INDEX(lmic_raw[],MATCH($A96,lmic_raw[[setting]:[setting]],0), MATCH(U$1, lmic_raw[#Headers],0)))</f>
        <v>94.077900000000014</v>
      </c>
      <c r="V96" s="33">
        <f>IF(INDEX(lmic_raw[],MATCH($A96,lmic_raw[[setting]:[setting]],0), MATCH(V$1, lmic_raw[#Headers],0))=0, INDEX(regions[], MATCH($D96, regions[[setting]:[setting]],0), MATCH(V$1, regions[#Headers],0)),INDEX(lmic_raw[],MATCH($A96,lmic_raw[[setting]:[setting]],0), MATCH(V$1, lmic_raw[#Headers],0)))</f>
        <v>0.41792411616161618</v>
      </c>
      <c r="W96" s="33">
        <f>IF(INDEX(lmic_raw[],MATCH($A96,lmic_raw[[setting]:[setting]],0), MATCH(W$1, lmic_raw[#Headers],0))=0, INDEX(regions[], MATCH($D96, regions[[setting]:[setting]],0), MATCH(W$1, regions[#Headers],0)),INDEX(lmic_raw[],MATCH($A96,lmic_raw[[setting]:[setting]],0), MATCH(W$1, lmic_raw[#Headers],0)))</f>
        <v>0.89792411616161616</v>
      </c>
      <c r="X96" s="33">
        <f>IF(INDEX(lmic_raw[],MATCH($A96,lmic_raw[[setting]:[setting]],0), MATCH(X$1, lmic_raw[#Headers],0))=0, INDEX(regions[], MATCH($D96, regions[[setting]:[setting]],0), MATCH(X$1, regions[#Headers],0)),INDEX(lmic_raw[],MATCH($A96,lmic_raw[[setting]:[setting]],0), MATCH(X$1, lmic_raw[#Headers],0)))</f>
        <v>2.4783457640886586</v>
      </c>
      <c r="Y96" s="33">
        <f>IF(INDEX(lmic_raw[],MATCH($A96,lmic_raw[[setting]:[setting]],0), MATCH(Y$1, lmic_raw[#Headers],0))=0, INDEX(regions[], MATCH($D96, regions[[setting]:[setting]],0), MATCH(Y$1, regions[#Headers],0)),INDEX(lmic_raw[],MATCH($A96,lmic_raw[[setting]:[setting]],0), MATCH(Y$1, lmic_raw[#Headers],0)))</f>
        <v>0.48</v>
      </c>
      <c r="Z96" s="33">
        <f>IF(INDEX(lmic_raw[],MATCH($A96,lmic_raw[[setting]:[setting]],0), MATCH(Z$1, lmic_raw[#Headers],0))=0, INDEX(regions[], MATCH($D96, regions[[setting]:[setting]],0), MATCH(Z$1, regions[#Headers],0)),INDEX(lmic_raw[],MATCH($A96,lmic_raw[[setting]:[setting]],0), MATCH(Z$1, lmic_raw[#Headers],0)))</f>
        <v>0.48</v>
      </c>
      <c r="AA96" s="33">
        <f>IF(INDEX(lmic_raw[],MATCH($A96,lmic_raw[[setting]:[setting]],0), MATCH(AA$1, lmic_raw[#Headers],0))=0, INDEX(regions[], MATCH($D96, regions[[setting]:[setting]],0), MATCH(AA$1, regions[#Headers],0)),INDEX(lmic_raw[],MATCH($A96,lmic_raw[[setting]:[setting]],0), MATCH(AA$1, lmic_raw[#Headers],0)))</f>
        <v>0.65679722222222237</v>
      </c>
      <c r="AB96" s="33">
        <f>IF(INDEX(lmic_raw[],MATCH($A96,lmic_raw[[setting]:[setting]],0), MATCH(AB$1, lmic_raw[#Headers],0))=0, INDEX(regions[], MATCH($D96, regions[[setting]:[setting]],0), MATCH(AB$1, regions[#Headers],0)),INDEX(lmic_raw[],MATCH($A96,lmic_raw[[setting]:[setting]],0), MATCH(AB$1, lmic_raw[#Headers],0)))</f>
        <v>1.1367972222222225</v>
      </c>
      <c r="AC96" s="33">
        <f>IF(INDEX(lmic_raw[],MATCH($A96,lmic_raw[[setting]:[setting]],0), MATCH(AC$1, lmic_raw[#Headers],0))=0, INDEX(regions[], MATCH($D96, regions[[setting]:[setting]],0), MATCH(AC$1, regions[#Headers],0)),INDEX(lmic_raw[],MATCH($A96,lmic_raw[[setting]:[setting]],0), MATCH(AC$1, lmic_raw[#Headers],0)))</f>
        <v>1.7460470000000058E-2</v>
      </c>
      <c r="AD96" s="33">
        <f>IF(INDEX(lmic_raw[],MATCH($A96,lmic_raw[[setting]:[setting]],0), MATCH(AD$1, lmic_raw[#Headers],0))=0, INDEX(regions[], MATCH($D96, regions[[setting]:[setting]],0), MATCH(AD$1, regions[#Headers],0)),INDEX(lmic_raw[],MATCH($A96,lmic_raw[[setting]:[setting]],0), MATCH(AD$1, lmic_raw[#Headers],0)))</f>
        <v>7.4073864488685887E-4</v>
      </c>
      <c r="AE96" s="33">
        <f>IF(INDEX(lmic_raw[],MATCH($A96,lmic_raw[[setting]:[setting]],0), MATCH(AE$1, lmic_raw[#Headers],0))=0, INDEX(regions[], MATCH($D96, regions[[setting]:[setting]],0), MATCH(AE$1, regions[#Headers],0)),INDEX(lmic_raw[],MATCH($A96,lmic_raw[[setting]:[setting]],0), MATCH(AE$1, lmic_raw[#Headers],0)))</f>
        <v>3.4575358484691089E-4</v>
      </c>
      <c r="AF96" s="33">
        <f>IF(INDEX(lmic_raw[],MATCH($A96,lmic_raw[[setting]:[setting]],0), MATCH(AF$1, lmic_raw[#Headers],0))=0, INDEX(regions[], MATCH($D96, regions[[setting]:[setting]],0), MATCH(AF$1, regions[#Headers],0)),INDEX(lmic_raw[],MATCH($A96,lmic_raw[[setting]:[setting]],0), MATCH(AF$1, lmic_raw[#Headers],0)))</f>
        <v>2.8989254866038777E-4</v>
      </c>
      <c r="AG96" s="33">
        <f>IF(INDEX(lmic_raw[],MATCH($A96,lmic_raw[[setting]:[setting]],0), MATCH(AG$1, lmic_raw[#Headers],0))=0, INDEX(regions[], MATCH($D96, regions[[setting]:[setting]],0), MATCH(AG$1, regions[#Headers],0)),INDEX(lmic_raw[],MATCH($A96,lmic_raw[[setting]:[setting]],0), MATCH(AG$1, lmic_raw[#Headers],0)))</f>
        <v>5.3542933720537921E-4</v>
      </c>
      <c r="AH96" s="33">
        <f>IF(INDEX(lmic_raw[],MATCH($A96,lmic_raw[[setting]:[setting]],0), MATCH(AH$1, lmic_raw[#Headers],0))=0, INDEX(regions[], MATCH($D96, regions[[setting]:[setting]],0), MATCH(AH$1, regions[#Headers],0)),INDEX(lmic_raw[],MATCH($A96,lmic_raw[[setting]:[setting]],0), MATCH(AH$1, lmic_raw[#Headers],0)))</f>
        <v>7.4845441486471589E-4</v>
      </c>
      <c r="AI96" s="33">
        <f>IF(INDEX(lmic_raw[],MATCH($A96,lmic_raw[[setting]:[setting]],0), MATCH(AI$1, lmic_raw[#Headers],0))=0, INDEX(regions[], MATCH($D96, regions[[setting]:[setting]],0), MATCH(AI$1, regions[#Headers],0)),INDEX(lmic_raw[],MATCH($A96,lmic_raw[[setting]:[setting]],0), MATCH(AI$1, lmic_raw[#Headers],0)))</f>
        <v>8.0682837486210641E-4</v>
      </c>
      <c r="AJ96" s="33">
        <f>IF(INDEX(lmic_raw[],MATCH($A96,lmic_raw[[setting]:[setting]],0), MATCH(AJ$1, lmic_raw[#Headers],0))=0, INDEX(regions[], MATCH($D96, regions[[setting]:[setting]],0), MATCH(AJ$1, regions[#Headers],0)),INDEX(lmic_raw[],MATCH($A96,lmic_raw[[setting]:[setting]],0), MATCH(AJ$1, lmic_raw[#Headers],0)))</f>
        <v>9.5173952660739143E-4</v>
      </c>
      <c r="AK96" s="33">
        <f>IF(INDEX(lmic_raw[],MATCH($A96,lmic_raw[[setting]:[setting]],0), MATCH(AK$1, lmic_raw[#Headers],0))=0, INDEX(regions[], MATCH($D96, regions[[setting]:[setting]],0), MATCH(AK$1, regions[#Headers],0)),INDEX(lmic_raw[],MATCH($A96,lmic_raw[[setting]:[setting]],0), MATCH(AK$1, lmic_raw[#Headers],0)))</f>
        <v>1.2720951211125267E-3</v>
      </c>
      <c r="AL96" s="33">
        <f>IF(INDEX(lmic_raw[],MATCH($A96,lmic_raw[[setting]:[setting]],0), MATCH(AL$1, lmic_raw[#Headers],0))=0, INDEX(regions[], MATCH($D96, regions[[setting]:[setting]],0), MATCH(AL$1, regions[#Headers],0)),INDEX(lmic_raw[],MATCH($A96,lmic_raw[[setting]:[setting]],0), MATCH(AL$1, lmic_raw[#Headers],0)))</f>
        <v>1.9246599931460912E-3</v>
      </c>
      <c r="AM96" s="33">
        <f>IF(INDEX(lmic_raw[],MATCH($A96,lmic_raw[[setting]:[setting]],0), MATCH(AM$1, lmic_raw[#Headers],0))=0, INDEX(regions[], MATCH($D96, regions[[setting]:[setting]],0), MATCH(AM$1, regions[#Headers],0)),INDEX(lmic_raw[],MATCH($A96,lmic_raw[[setting]:[setting]],0), MATCH(AM$1, lmic_raw[#Headers],0)))</f>
        <v>3.212954825090839E-3</v>
      </c>
      <c r="AN96" s="33">
        <f>IF(INDEX(lmic_raw[],MATCH($A96,lmic_raw[[setting]:[setting]],0), MATCH(AN$1, lmic_raw[#Headers],0))=0, INDEX(regions[], MATCH($D96, regions[[setting]:[setting]],0), MATCH(AN$1, regions[#Headers],0)),INDEX(lmic_raw[],MATCH($A96,lmic_raw[[setting]:[setting]],0), MATCH(AN$1, lmic_raw[#Headers],0)))</f>
        <v>5.2190032385301894E-3</v>
      </c>
      <c r="AO96" s="33">
        <f>IF(INDEX(lmic_raw[],MATCH($A96,lmic_raw[[setting]:[setting]],0), MATCH(AO$1, lmic_raw[#Headers],0))=0, INDEX(regions[], MATCH($D96, regions[[setting]:[setting]],0), MATCH(AO$1, regions[#Headers],0)),INDEX(lmic_raw[],MATCH($A96,lmic_raw[[setting]:[setting]],0), MATCH(AO$1, lmic_raw[#Headers],0)))</f>
        <v>8.5994648304891976E-3</v>
      </c>
      <c r="AP96" s="33">
        <f>IF(INDEX(lmic_raw[],MATCH($A96,lmic_raw[[setting]:[setting]],0), MATCH(AP$1, lmic_raw[#Headers],0))=0, INDEX(regions[], MATCH($D96, regions[[setting]:[setting]],0), MATCH(AP$1, regions[#Headers],0)),INDEX(lmic_raw[],MATCH($A96,lmic_raw[[setting]:[setting]],0), MATCH(AP$1, lmic_raw[#Headers],0)))</f>
        <v>1.3737244480887655E-2</v>
      </c>
      <c r="AQ96" s="33">
        <f>IF(INDEX(lmic_raw[],MATCH($A96,lmic_raw[[setting]:[setting]],0), MATCH(AQ$1, lmic_raw[#Headers],0))=0, INDEX(regions[], MATCH($D96, regions[[setting]:[setting]],0), MATCH(AQ$1, regions[#Headers],0)),INDEX(lmic_raw[],MATCH($A96,lmic_raw[[setting]:[setting]],0), MATCH(AQ$1, lmic_raw[#Headers],0)))</f>
        <v>2.272003479426319E-2</v>
      </c>
      <c r="AR96" s="33">
        <f>IF(INDEX(lmic_raw[],MATCH($A96,lmic_raw[[setting]:[setting]],0), MATCH(AR$1, lmic_raw[#Headers],0))=0, INDEX(regions[], MATCH($D96, regions[[setting]:[setting]],0), MATCH(AR$1, regions[#Headers],0)),INDEX(lmic_raw[],MATCH($A96,lmic_raw[[setting]:[setting]],0), MATCH(AR$1, lmic_raw[#Headers],0)))</f>
        <v>3.7139162675311227E-2</v>
      </c>
      <c r="AS96" s="33">
        <f>IF(INDEX(lmic_raw[],MATCH($A96,lmic_raw[[setting]:[setting]],0), MATCH(AS$1, lmic_raw[#Headers],0))=0, INDEX(regions[], MATCH($D96, regions[[setting]:[setting]],0), MATCH(AS$1, regions[#Headers],0)),INDEX(lmic_raw[],MATCH($A96,lmic_raw[[setting]:[setting]],0), MATCH(AS$1, lmic_raw[#Headers],0)))</f>
        <v>5.8500772115384979E-2</v>
      </c>
      <c r="AT96" s="33">
        <f>IF(INDEX(lmic_raw[],MATCH($A96,lmic_raw[[setting]:[setting]],0), MATCH(AT$1, lmic_raw[#Headers],0))=0, INDEX(regions[], MATCH($D96, regions[[setting]:[setting]],0), MATCH(AT$1, regions[#Headers],0)),INDEX(lmic_raw[],MATCH($A96,lmic_raw[[setting]:[setting]],0), MATCH(AT$1, lmic_raw[#Headers],0)))</f>
        <v>8.9398134198135609E-2</v>
      </c>
      <c r="AU96" s="33">
        <f>IF(INDEX(lmic_raw[],MATCH($A96,lmic_raw[[setting]:[setting]],0), MATCH(AU$1, lmic_raw[#Headers],0))=0, INDEX(regions[], MATCH($D96, regions[[setting]:[setting]],0), MATCH(AU$1, regions[#Headers],0)),INDEX(lmic_raw[],MATCH($A96,lmic_raw[[setting]:[setting]],0), MATCH(AU$1, lmic_raw[#Headers],0)))</f>
        <v>0.12462482607452673</v>
      </c>
      <c r="AV96" s="33">
        <f>IF(INDEX(lmic_raw[],MATCH($A96,lmic_raw[[setting]:[setting]],0), MATCH(AV$1, lmic_raw[#Headers],0))=0, INDEX(regions[], MATCH($D96, regions[[setting]:[setting]],0), MATCH(AV$1, regions[#Headers],0)),INDEX(lmic_raw[],MATCH($A96,lmic_raw[[setting]:[setting]],0), MATCH(AV$1, lmic_raw[#Headers],0)))</f>
        <v>0.15492547024658945</v>
      </c>
      <c r="AW96" s="33">
        <f>IF(INDEX(lmic_raw[],MATCH($A96,lmic_raw[[setting]:[setting]],0), MATCH(AW$1, lmic_raw[#Headers],0))=0, INDEX(regions[], MATCH($D96, regions[[setting]:[setting]],0), MATCH(AW$1, regions[#Headers],0)),INDEX(lmic_raw[],MATCH($A96,lmic_raw[[setting]:[setting]],0), MATCH(AW$1, lmic_raw[#Headers],0)))</f>
        <v>0.17603319334635315</v>
      </c>
      <c r="AX96" s="33">
        <f>IF(INDEX(lmic_raw[],MATCH($A96,lmic_raw[[setting]:[setting]],0), MATCH(AX$1, lmic_raw[#Headers],0))=0, INDEX(regions[], MATCH($D96, regions[[setting]:[setting]],0), MATCH(AX$1, regions[#Headers],0)),INDEX(lmic_raw[],MATCH($A96,lmic_raw[[setting]:[setting]],0), MATCH(AX$1, lmic_raw[#Headers],0)))</f>
        <v>73.816000000000003</v>
      </c>
      <c r="AY96" s="33" t="str">
        <f>IF(VLOOKUP($A96,lmic_raw[],11,FALSE)=0, "Yes", "No")</f>
        <v>No</v>
      </c>
    </row>
    <row r="97" spans="1:51" x14ac:dyDescent="0.25">
      <c r="A97" s="110" t="s">
        <v>283</v>
      </c>
      <c r="B97" s="104" t="s">
        <v>491</v>
      </c>
      <c r="C97" s="105">
        <v>598</v>
      </c>
      <c r="D97" s="84" t="s">
        <v>681</v>
      </c>
      <c r="E97" s="84" t="s">
        <v>98</v>
      </c>
      <c r="F97" s="84" t="s">
        <v>666</v>
      </c>
      <c r="G97" s="84" t="s">
        <v>678</v>
      </c>
      <c r="H97" s="33">
        <f>IF(INDEX(lmic_raw[],MATCH($A97,lmic_raw[[setting]:[setting]],0), MATCH(H$1, lmic_raw[#Headers],0))=0, INDEX(regions[], MATCH($D97, regions[[setting]:[setting]],0), MATCH(H$1, regions[#Headers],0)),INDEX(lmic_raw[],MATCH($A97,lmic_raw[[setting]:[setting]],0), MATCH(H$1, lmic_raw[#Headers],0)))</f>
        <v>8776119</v>
      </c>
      <c r="I97" s="33">
        <f>IF(INDEX(lmic_raw[],MATCH($A97,lmic_raw[[setting]:[setting]],0), MATCH(I$1, lmic_raw[#Headers],0))=0, INDEX(regions[], MATCH($D97, regions[[setting]:[setting]],0), MATCH(I$1, regions[#Headers],0)),INDEX(lmic_raw[],MATCH($A97,lmic_raw[[setting]:[setting]],0), MATCH(I$1, lmic_raw[#Headers],0)))</f>
        <v>238964.94425100001</v>
      </c>
      <c r="J97" s="33">
        <f>IF(INDEX(lmic_raw[],MATCH($A97,lmic_raw[[setting]:[setting]],0), MATCH(J$1, lmic_raw[#Headers],0))=0, INDEX(regions[], MATCH($D97, regions[[setting]:[setting]],0), MATCH(J$1, regions[#Headers],0)),INDEX(lmic_raw[],MATCH($A97,lmic_raw[[setting]:[setting]],0), MATCH(J$1, lmic_raw[#Headers],0)))</f>
        <v>0.54700000000000004</v>
      </c>
      <c r="K97" s="33">
        <f>IF(INDEX(lmic_raw[],MATCH($A97,lmic_raw[[setting]:[setting]],0), MATCH(K$1, lmic_raw[#Headers],0))=0, INDEX(regions[], MATCH($D97, regions[[setting]:[setting]],0), MATCH(K$1, regions[#Headers],0)),INDEX(lmic_raw[],MATCH($A97,lmic_raw[[setting]:[setting]],0), MATCH(K$1, lmic_raw[#Headers],0)))</f>
        <v>0.25</v>
      </c>
      <c r="L97" s="33">
        <f>IF(INDEX(lmic_raw[],MATCH($A97,lmic_raw[[setting]:[setting]],0), MATCH(L$1, lmic_raw[#Headers],0))=0, INDEX(regions[], MATCH($D97, regions[[setting]:[setting]],0), MATCH(L$1, regions[#Headers],0)),INDEX(lmic_raw[],MATCH($A97,lmic_raw[[setting]:[setting]],0), MATCH(L$1, lmic_raw[#Headers],0)))</f>
        <v>0.35</v>
      </c>
      <c r="M97" s="33">
        <f>IF(INDEX(lmic_raw[],MATCH($A97,lmic_raw[[setting]:[setting]],0), MATCH(M$1, lmic_raw[#Headers],0))=0, INDEX(regions[], MATCH($D97, regions[[setting]:[setting]],0), MATCH(M$1, regions[#Headers],0)),INDEX(lmic_raw[],MATCH($A97,lmic_raw[[setting]:[setting]],0), MATCH(M$1, lmic_raw[#Headers],0)))</f>
        <v>5.4000000000000006E-2</v>
      </c>
      <c r="N97" s="33">
        <f>IF(INDEX(lmic_raw[],MATCH($A97,lmic_raw[[setting]:[setting]],0), MATCH(N$1, lmic_raw[#Headers],0))=0, INDEX(regions[], MATCH($D97, regions[[setting]:[setting]],0), MATCH(N$1, regions[#Headers],0)),INDEX(lmic_raw[],MATCH($A97,lmic_raw[[setting]:[setting]],0), MATCH(N$1, lmic_raw[#Headers],0)))</f>
        <v>0.32942031694951168</v>
      </c>
      <c r="O97" s="33">
        <f>IF(INDEX(lmic_raw[],MATCH($A97,lmic_raw[[setting]:[setting]],0), MATCH(O$1, lmic_raw[#Headers],0))=0, INDEX(regions[], MATCH($D97, regions[[setting]:[setting]],0), MATCH(O$1, regions[#Headers],0)),INDEX(lmic_raw[],MATCH($A97,lmic_raw[[setting]:[setting]],0), MATCH(O$1, lmic_raw[#Headers],0)))</f>
        <v>0.8</v>
      </c>
      <c r="P97" s="33">
        <f>IF(INDEX(lmic_raw[],MATCH($A97,lmic_raw[[setting]:[setting]],0), MATCH(P$1, lmic_raw[#Headers],0))=0, INDEX(regions[], MATCH($D97, regions[[setting]:[setting]],0), MATCH(P$1, regions[#Headers],0)),INDEX(lmic_raw[],MATCH($A97,lmic_raw[[setting]:[setting]],0), MATCH(P$1, lmic_raw[#Headers],0)))</f>
        <v>0.17499999999999999</v>
      </c>
      <c r="Q97" s="33">
        <f>IF(INDEX(lmic_raw[],MATCH($A97,lmic_raw[[setting]:[setting]],0), MATCH(Q$1, lmic_raw[#Headers],0))=0, INDEX(regions[], MATCH($D97, regions[[setting]:[setting]],0), MATCH(Q$1, regions[#Headers],0)),INDEX(lmic_raw[],MATCH($A97,lmic_raw[[setting]:[setting]],0), MATCH(Q$1, lmic_raw[#Headers],0)))</f>
        <v>5.0914195119033367</v>
      </c>
      <c r="R97" s="33">
        <f>IF(INDEX(lmic_raw[],MATCH($A97,lmic_raw[[setting]:[setting]],0), MATCH(R$1, lmic_raw[#Headers],0))=0, INDEX(regions[], MATCH($D97, regions[[setting]:[setting]],0), MATCH(R$1, regions[#Headers],0)),INDEX(lmic_raw[],MATCH($A97,lmic_raw[[setting]:[setting]],0), MATCH(R$1, lmic_raw[#Headers],0)))</f>
        <v>73.084500000000006</v>
      </c>
      <c r="S97" s="33">
        <f>IF(INDEX(lmic_raw[],MATCH($A97,lmic_raw[[setting]:[setting]],0), MATCH(S$1, lmic_raw[#Headers],0))=0, INDEX(regions[], MATCH($D97, regions[[setting]:[setting]],0), MATCH(S$1, regions[#Headers],0)),INDEX(lmic_raw[],MATCH($A97,lmic_raw[[setting]:[setting]],0), MATCH(S$1, lmic_raw[#Headers],0)))</f>
        <v>120.8265</v>
      </c>
      <c r="T97" s="33">
        <f>IF(INDEX(lmic_raw[],MATCH($A97,lmic_raw[[setting]:[setting]],0), MATCH(T$1, lmic_raw[#Headers],0))=0, INDEX(regions[], MATCH($D97, regions[[setting]:[setting]],0), MATCH(T$1, regions[#Headers],0)),INDEX(lmic_raw[],MATCH($A97,lmic_raw[[setting]:[setting]],0), MATCH(T$1, lmic_raw[#Headers],0)))</f>
        <v>120.8265</v>
      </c>
      <c r="U97" s="33">
        <f>IF(INDEX(lmic_raw[],MATCH($A97,lmic_raw[[setting]:[setting]],0), MATCH(U$1, lmic_raw[#Headers],0))=0, INDEX(regions[], MATCH($D97, regions[[setting]:[setting]],0), MATCH(U$1, regions[#Headers],0)),INDEX(lmic_raw[],MATCH($A97,lmic_raw[[setting]:[setting]],0), MATCH(U$1, lmic_raw[#Headers],0)))</f>
        <v>120.8265</v>
      </c>
      <c r="V97" s="33">
        <f>IF(INDEX(lmic_raw[],MATCH($A97,lmic_raw[[setting]:[setting]],0), MATCH(V$1, lmic_raw[#Headers],0))=0, INDEX(regions[], MATCH($D97, regions[[setting]:[setting]],0), MATCH(V$1, regions[#Headers],0)),INDEX(lmic_raw[],MATCH($A97,lmic_raw[[setting]:[setting]],0), MATCH(V$1, lmic_raw[#Headers],0)))</f>
        <v>1.8492791554984747</v>
      </c>
      <c r="W97" s="33">
        <f>IF(INDEX(lmic_raw[],MATCH($A97,lmic_raw[[setting]:[setting]],0), MATCH(W$1, lmic_raw[#Headers],0))=0, INDEX(regions[], MATCH($D97, regions[[setting]:[setting]],0), MATCH(W$1, regions[#Headers],0)),INDEX(lmic_raw[],MATCH($A97,lmic_raw[[setting]:[setting]],0), MATCH(W$1, lmic_raw[#Headers],0)))</f>
        <v>2.4792791554984746</v>
      </c>
      <c r="X97" s="33">
        <f>IF(INDEX(lmic_raw[],MATCH($A97,lmic_raw[[setting]:[setting]],0), MATCH(X$1, lmic_raw[#Headers],0))=0, INDEX(regions[], MATCH($D97, regions[[setting]:[setting]],0), MATCH(X$1, regions[#Headers],0)),INDEX(lmic_raw[],MATCH($A97,lmic_raw[[setting]:[setting]],0), MATCH(X$1, lmic_raw[#Headers],0)))</f>
        <v>1.4151344628987732</v>
      </c>
      <c r="Y97" s="33">
        <f>IF(INDEX(lmic_raw[],MATCH($A97,lmic_raw[[setting]:[setting]],0), MATCH(Y$1, lmic_raw[#Headers],0))=0, INDEX(regions[], MATCH($D97, regions[[setting]:[setting]],0), MATCH(Y$1, regions[#Headers],0)),INDEX(lmic_raw[],MATCH($A97,lmic_raw[[setting]:[setting]],0), MATCH(Y$1, lmic_raw[#Headers],0)))</f>
        <v>2.0451344628987731</v>
      </c>
      <c r="Z97" s="33">
        <f>IF(INDEX(lmic_raw[],MATCH($A97,lmic_raw[[setting]:[setting]],0), MATCH(Z$1, lmic_raw[#Headers],0))=0, INDEX(regions[], MATCH($D97, regions[[setting]:[setting]],0), MATCH(Z$1, regions[#Headers],0)),INDEX(lmic_raw[],MATCH($A97,lmic_raw[[setting]:[setting]],0), MATCH(Z$1, lmic_raw[#Headers],0)))</f>
        <v>2.0387635904993182</v>
      </c>
      <c r="AA97" s="33">
        <f>IF(INDEX(lmic_raw[],MATCH($A97,lmic_raw[[setting]:[setting]],0), MATCH(AA$1, lmic_raw[#Headers],0))=0, INDEX(regions[], MATCH($D97, regions[[setting]:[setting]],0), MATCH(AA$1, regions[#Headers],0)),INDEX(lmic_raw[],MATCH($A97,lmic_raw[[setting]:[setting]],0), MATCH(AA$1, lmic_raw[#Headers],0)))</f>
        <v>2.0939992135309486</v>
      </c>
      <c r="AB97" s="33">
        <f>IF(INDEX(lmic_raw[],MATCH($A97,lmic_raw[[setting]:[setting]],0), MATCH(AB$1, lmic_raw[#Headers],0))=0, INDEX(regions[], MATCH($D97, regions[[setting]:[setting]],0), MATCH(AB$1, regions[#Headers],0)),INDEX(lmic_raw[],MATCH($A97,lmic_raw[[setting]:[setting]],0), MATCH(AB$1, lmic_raw[#Headers],0)))</f>
        <v>2.7239992135309485</v>
      </c>
      <c r="AC97" s="33">
        <f>IF(INDEX(lmic_raw[],MATCH($A97,lmic_raw[[setting]:[setting]],0), MATCH(AC$1, lmic_raw[#Headers],0))=0, INDEX(regions[], MATCH($D97, regions[[setting]:[setting]],0), MATCH(AC$1, regions[#Headers],0)),INDEX(lmic_raw[],MATCH($A97,lmic_raw[[setting]:[setting]],0), MATCH(AC$1, lmic_raw[#Headers],0)))</f>
        <v>4.1960449999999982E-2</v>
      </c>
      <c r="AD97" s="33">
        <f>IF(INDEX(lmic_raw[],MATCH($A97,lmic_raw[[setting]:[setting]],0), MATCH(AD$1, lmic_raw[#Headers],0))=0, INDEX(regions[], MATCH($D97, regions[[setting]:[setting]],0), MATCH(AD$1, regions[#Headers],0)),INDEX(lmic_raw[],MATCH($A97,lmic_raw[[setting]:[setting]],0), MATCH(AD$1, lmic_raw[#Headers],0)))</f>
        <v>2.8868510699793046E-3</v>
      </c>
      <c r="AE97" s="33">
        <f>IF(INDEX(lmic_raw[],MATCH($A97,lmic_raw[[setting]:[setting]],0), MATCH(AE$1, lmic_raw[#Headers],0))=0, INDEX(regions[], MATCH($D97, regions[[setting]:[setting]],0), MATCH(AE$1, regions[#Headers],0)),INDEX(lmic_raw[],MATCH($A97,lmic_raw[[setting]:[setting]],0), MATCH(AE$1, lmic_raw[#Headers],0)))</f>
        <v>1.1712305312523608E-3</v>
      </c>
      <c r="AF97" s="33">
        <f>IF(INDEX(lmic_raw[],MATCH($A97,lmic_raw[[setting]:[setting]],0), MATCH(AF$1, lmic_raw[#Headers],0))=0, INDEX(regions[], MATCH($D97, regions[[setting]:[setting]],0), MATCH(AF$1, regions[#Headers],0)),INDEX(lmic_raw[],MATCH($A97,lmic_raw[[setting]:[setting]],0), MATCH(AF$1, lmic_raw[#Headers],0)))</f>
        <v>9.248048587818115E-4</v>
      </c>
      <c r="AG97" s="33">
        <f>IF(INDEX(lmic_raw[],MATCH($A97,lmic_raw[[setting]:[setting]],0), MATCH(AG$1, lmic_raw[#Headers],0))=0, INDEX(regions[], MATCH($D97, regions[[setting]:[setting]],0), MATCH(AG$1, regions[#Headers],0)),INDEX(lmic_raw[],MATCH($A97,lmic_raw[[setting]:[setting]],0), MATCH(AG$1, lmic_raw[#Headers],0)))</f>
        <v>1.6757583340141643E-3</v>
      </c>
      <c r="AH97" s="33">
        <f>IF(INDEX(lmic_raw[],MATCH($A97,lmic_raw[[setting]:[setting]],0), MATCH(AH$1, lmic_raw[#Headers],0))=0, INDEX(regions[], MATCH($D97, regions[[setting]:[setting]],0), MATCH(AH$1, regions[#Headers],0)),INDEX(lmic_raw[],MATCH($A97,lmic_raw[[setting]:[setting]],0), MATCH(AH$1, lmic_raw[#Headers],0)))</f>
        <v>2.2605603074540904E-3</v>
      </c>
      <c r="AI97" s="33">
        <f>IF(INDEX(lmic_raw[],MATCH($A97,lmic_raw[[setting]:[setting]],0), MATCH(AI$1, lmic_raw[#Headers],0))=0, INDEX(regions[], MATCH($D97, regions[[setting]:[setting]],0), MATCH(AI$1, regions[#Headers],0)),INDEX(lmic_raw[],MATCH($A97,lmic_raw[[setting]:[setting]],0), MATCH(AI$1, lmic_raw[#Headers],0)))</f>
        <v>2.4566479965569413E-3</v>
      </c>
      <c r="AJ97" s="33">
        <f>IF(INDEX(lmic_raw[],MATCH($A97,lmic_raw[[setting]:[setting]],0), MATCH(AJ$1, lmic_raw[#Headers],0))=0, INDEX(regions[], MATCH($D97, regions[[setting]:[setting]],0), MATCH(AJ$1, regions[#Headers],0)),INDEX(lmic_raw[],MATCH($A97,lmic_raw[[setting]:[setting]],0), MATCH(AJ$1, lmic_raw[#Headers],0)))</f>
        <v>2.8560635238641728E-3</v>
      </c>
      <c r="AK97" s="33">
        <f>IF(INDEX(lmic_raw[],MATCH($A97,lmic_raw[[setting]:[setting]],0), MATCH(AK$1, lmic_raw[#Headers],0))=0, INDEX(regions[], MATCH($D97, regions[[setting]:[setting]],0), MATCH(AK$1, regions[#Headers],0)),INDEX(lmic_raw[],MATCH($A97,lmic_raw[[setting]:[setting]],0), MATCH(AK$1, lmic_raw[#Headers],0)))</f>
        <v>3.6425364864785927E-3</v>
      </c>
      <c r="AL97" s="33">
        <f>IF(INDEX(lmic_raw[],MATCH($A97,lmic_raw[[setting]:[setting]],0), MATCH(AL$1, lmic_raw[#Headers],0))=0, INDEX(regions[], MATCH($D97, regions[[setting]:[setting]],0), MATCH(AL$1, regions[#Headers],0)),INDEX(lmic_raw[],MATCH($A97,lmic_raw[[setting]:[setting]],0), MATCH(AL$1, lmic_raw[#Headers],0)))</f>
        <v>4.8603904915195039E-3</v>
      </c>
      <c r="AM97" s="33">
        <f>IF(INDEX(lmic_raw[],MATCH($A97,lmic_raw[[setting]:[setting]],0), MATCH(AM$1, lmic_raw[#Headers],0))=0, INDEX(regions[], MATCH($D97, regions[[setting]:[setting]],0), MATCH(AM$1, regions[#Headers],0)),INDEX(lmic_raw[],MATCH($A97,lmic_raw[[setting]:[setting]],0), MATCH(AM$1, lmic_raw[#Headers],0)))</f>
        <v>6.8645362056300981E-3</v>
      </c>
      <c r="AN97" s="33">
        <f>IF(INDEX(lmic_raw[],MATCH($A97,lmic_raw[[setting]:[setting]],0), MATCH(AN$1, lmic_raw[#Headers],0))=0, INDEX(regions[], MATCH($D97, regions[[setting]:[setting]],0), MATCH(AN$1, regions[#Headers],0)),INDEX(lmic_raw[],MATCH($A97,lmic_raw[[setting]:[setting]],0), MATCH(AN$1, lmic_raw[#Headers],0)))</f>
        <v>9.99024337893069E-3</v>
      </c>
      <c r="AO97" s="33">
        <f>IF(INDEX(lmic_raw[],MATCH($A97,lmic_raw[[setting]:[setting]],0), MATCH(AO$1, lmic_raw[#Headers],0))=0, INDEX(regions[], MATCH($D97, regions[[setting]:[setting]],0), MATCH(AO$1, regions[#Headers],0)),INDEX(lmic_raw[],MATCH($A97,lmic_raw[[setting]:[setting]],0), MATCH(AO$1, lmic_raw[#Headers],0)))</f>
        <v>1.4667525481532696E-2</v>
      </c>
      <c r="AP97" s="33">
        <f>IF(INDEX(lmic_raw[],MATCH($A97,lmic_raw[[setting]:[setting]],0), MATCH(AP$1, lmic_raw[#Headers],0))=0, INDEX(regions[], MATCH($D97, regions[[setting]:[setting]],0), MATCH(AP$1, regions[#Headers],0)),INDEX(lmic_raw[],MATCH($A97,lmic_raw[[setting]:[setting]],0), MATCH(AP$1, lmic_raw[#Headers],0)))</f>
        <v>2.42748708132936E-2</v>
      </c>
      <c r="AQ97" s="33">
        <f>IF(INDEX(lmic_raw[],MATCH($A97,lmic_raw[[setting]:[setting]],0), MATCH(AQ$1, lmic_raw[#Headers],0))=0, INDEX(regions[], MATCH($D97, regions[[setting]:[setting]],0), MATCH(AQ$1, regions[#Headers],0)),INDEX(lmic_raw[],MATCH($A97,lmic_raw[[setting]:[setting]],0), MATCH(AQ$1, lmic_raw[#Headers],0)))</f>
        <v>3.9886843246269926E-2</v>
      </c>
      <c r="AR97" s="33">
        <f>IF(INDEX(lmic_raw[],MATCH($A97,lmic_raw[[setting]:[setting]],0), MATCH(AR$1, lmic_raw[#Headers],0))=0, INDEX(regions[], MATCH($D97, regions[[setting]:[setting]],0), MATCH(AR$1, regions[#Headers],0)),INDEX(lmic_raw[],MATCH($A97,lmic_raw[[setting]:[setting]],0), MATCH(AR$1, lmic_raw[#Headers],0)))</f>
        <v>6.1973035660190877E-2</v>
      </c>
      <c r="AS97" s="33">
        <f>IF(INDEX(lmic_raw[],MATCH($A97,lmic_raw[[setting]:[setting]],0), MATCH(AS$1, lmic_raw[#Headers],0))=0, INDEX(regions[], MATCH($D97, regions[[setting]:[setting]],0), MATCH(AS$1, regions[#Headers],0)),INDEX(lmic_raw[],MATCH($A97,lmic_raw[[setting]:[setting]],0), MATCH(AS$1, lmic_raw[#Headers],0)))</f>
        <v>8.9624425079758457E-2</v>
      </c>
      <c r="AT97" s="33">
        <f>IF(INDEX(lmic_raw[],MATCH($A97,lmic_raw[[setting]:[setting]],0), MATCH(AT$1, lmic_raw[#Headers],0))=0, INDEX(regions[], MATCH($D97, regions[[setting]:[setting]],0), MATCH(AT$1, regions[#Headers],0)),INDEX(lmic_raw[],MATCH($A97,lmic_raw[[setting]:[setting]],0), MATCH(AT$1, lmic_raw[#Headers],0)))</f>
        <v>0.12175499341576297</v>
      </c>
      <c r="AU97" s="33">
        <f>IF(INDEX(lmic_raw[],MATCH($A97,lmic_raw[[setting]:[setting]],0), MATCH(AU$1, lmic_raw[#Headers],0))=0, INDEX(regions[], MATCH($D97, regions[[setting]:[setting]],0), MATCH(AU$1, regions[#Headers],0)),INDEX(lmic_raw[],MATCH($A97,lmic_raw[[setting]:[setting]],0), MATCH(AU$1, lmic_raw[#Headers],0)))</f>
        <v>0.15312804646691991</v>
      </c>
      <c r="AV97" s="33">
        <f>IF(INDEX(lmic_raw[],MATCH($A97,lmic_raw[[setting]:[setting]],0), MATCH(AV$1, lmic_raw[#Headers],0))=0, INDEX(regions[], MATCH($D97, regions[[setting]:[setting]],0), MATCH(AV$1, regions[#Headers],0)),INDEX(lmic_raw[],MATCH($A97,lmic_raw[[setting]:[setting]],0), MATCH(AV$1, lmic_raw[#Headers],0)))</f>
        <v>0.17494144093367678</v>
      </c>
      <c r="AW97" s="33">
        <f>IF(INDEX(lmic_raw[],MATCH($A97,lmic_raw[[setting]:[setting]],0), MATCH(AW$1, lmic_raw[#Headers],0))=0, INDEX(regions[], MATCH($D97, regions[[setting]:[setting]],0), MATCH(AW$1, regions[#Headers],0)),INDEX(lmic_raw[],MATCH($A97,lmic_raw[[setting]:[setting]],0), MATCH(AW$1, lmic_raw[#Headers],0)))</f>
        <v>0.18642112453012549</v>
      </c>
      <c r="AX97" s="33">
        <f>IF(INDEX(lmic_raw[],MATCH($A97,lmic_raw[[setting]:[setting]],0), MATCH(AX$1, lmic_raw[#Headers],0))=0, INDEX(regions[], MATCH($D97, regions[[setting]:[setting]],0), MATCH(AX$1, regions[#Headers],0)),INDEX(lmic_raw[],MATCH($A97,lmic_raw[[setting]:[setting]],0), MATCH(AX$1, lmic_raw[#Headers],0)))</f>
        <v>64.150999999999996</v>
      </c>
      <c r="AY97" s="33" t="str">
        <f>IF(VLOOKUP($A97,lmic_raw[],11,FALSE)=0, "Yes", "No")</f>
        <v>No</v>
      </c>
    </row>
    <row r="98" spans="1:51" x14ac:dyDescent="0.25">
      <c r="A98" s="109" t="s">
        <v>271</v>
      </c>
      <c r="B98" s="101" t="s">
        <v>492</v>
      </c>
      <c r="C98" s="102">
        <v>600</v>
      </c>
      <c r="D98" s="82" t="s">
        <v>679</v>
      </c>
      <c r="E98" s="82" t="s">
        <v>595</v>
      </c>
      <c r="F98" s="82" t="s">
        <v>665</v>
      </c>
      <c r="G98" s="82" t="s">
        <v>676</v>
      </c>
      <c r="H98" s="33">
        <f>IF(INDEX(lmic_raw[],MATCH($A98,lmic_raw[[setting]:[setting]],0), MATCH(H$1, lmic_raw[#Headers],0))=0, INDEX(regions[], MATCH($D98, regions[[setting]:[setting]],0), MATCH(H$1, regions[#Headers],0)),INDEX(lmic_raw[],MATCH($A98,lmic_raw[[setting]:[setting]],0), MATCH(H$1, lmic_raw[#Headers],0)))</f>
        <v>7044639</v>
      </c>
      <c r="I98" s="33">
        <f>IF(INDEX(lmic_raw[],MATCH($A98,lmic_raw[[setting]:[setting]],0), MATCH(I$1, lmic_raw[#Headers],0))=0, INDEX(regions[], MATCH($D98, regions[[setting]:[setting]],0), MATCH(I$1, regions[#Headers],0)),INDEX(lmic_raw[],MATCH($A98,lmic_raw[[setting]:[setting]],0), MATCH(I$1, lmic_raw[#Headers],0)))</f>
        <v>145936.74152400001</v>
      </c>
      <c r="J98" s="33">
        <f>IF(INDEX(lmic_raw[],MATCH($A98,lmic_raw[[setting]:[setting]],0), MATCH(J$1, lmic_raw[#Headers],0))=0, INDEX(regions[], MATCH($D98, regions[[setting]:[setting]],0), MATCH(J$1, regions[#Headers],0)),INDEX(lmic_raw[],MATCH($A98,lmic_raw[[setting]:[setting]],0), MATCH(J$1, lmic_raw[#Headers],0)))</f>
        <v>0.93200000000000005</v>
      </c>
      <c r="K98" s="33">
        <f>IF(INDEX(lmic_raw[],MATCH($A98,lmic_raw[[setting]:[setting]],0), MATCH(K$1, lmic_raw[#Headers],0))=0, INDEX(regions[], MATCH($D98, regions[[setting]:[setting]],0), MATCH(K$1, regions[#Headers],0)),INDEX(lmic_raw[],MATCH($A98,lmic_raw[[setting]:[setting]],0), MATCH(K$1, lmic_raw[#Headers],0)))</f>
        <v>0.74567750031159119</v>
      </c>
      <c r="L98" s="33">
        <f>IF(INDEX(lmic_raw[],MATCH($A98,lmic_raw[[setting]:[setting]],0), MATCH(L$1, lmic_raw[#Headers],0))=0, INDEX(regions[], MATCH($D98, regions[[setting]:[setting]],0), MATCH(L$1, regions[#Headers],0)),INDEX(lmic_raw[],MATCH($A98,lmic_raw[[setting]:[setting]],0), MATCH(L$1, lmic_raw[#Headers],0)))</f>
        <v>0.86</v>
      </c>
      <c r="M98" s="33">
        <f>IF(INDEX(lmic_raw[],MATCH($A98,lmic_raw[[setting]:[setting]],0), MATCH(M$1, lmic_raw[#Headers],0))=0, INDEX(regions[], MATCH($D98, regions[[setting]:[setting]],0), MATCH(M$1, regions[#Headers],0)),INDEX(lmic_raw[],MATCH($A98,lmic_raw[[setting]:[setting]],0), MATCH(M$1, lmic_raw[#Headers],0)))</f>
        <v>1.7500000000000002E-2</v>
      </c>
      <c r="N98" s="33">
        <f>IF(INDEX(lmic_raw[],MATCH($A98,lmic_raw[[setting]:[setting]],0), MATCH(N$1, lmic_raw[#Headers],0))=0, INDEX(regions[], MATCH($D98, regions[[setting]:[setting]],0), MATCH(N$1, regions[#Headers],0)),INDEX(lmic_raw[],MATCH($A98,lmic_raw[[setting]:[setting]],0), MATCH(N$1, lmic_raw[#Headers],0)))</f>
        <v>0.30916794199950548</v>
      </c>
      <c r="O98" s="33">
        <f>IF(INDEX(lmic_raw[],MATCH($A98,lmic_raw[[setting]:[setting]],0), MATCH(O$1, lmic_raw[#Headers],0))=0, INDEX(regions[], MATCH($D98, regions[[setting]:[setting]],0), MATCH(O$1, regions[#Headers],0)),INDEX(lmic_raw[],MATCH($A98,lmic_raw[[setting]:[setting]],0), MATCH(O$1, lmic_raw[#Headers],0)))</f>
        <v>0.8</v>
      </c>
      <c r="P98" s="33">
        <f>IF(INDEX(lmic_raw[],MATCH($A98,lmic_raw[[setting]:[setting]],0), MATCH(P$1, lmic_raw[#Headers],0))=0, INDEX(regions[], MATCH($D98, regions[[setting]:[setting]],0), MATCH(P$1, regions[#Headers],0)),INDEX(lmic_raw[],MATCH($A98,lmic_raw[[setting]:[setting]],0), MATCH(P$1, lmic_raw[#Headers],0)))</f>
        <v>0.17499999999999999</v>
      </c>
      <c r="Q98" s="33">
        <f>IF(INDEX(lmic_raw[],MATCH($A98,lmic_raw[[setting]:[setting]],0), MATCH(Q$1, lmic_raw[#Headers],0))=0, INDEX(regions[], MATCH($D98, regions[[setting]:[setting]],0), MATCH(Q$1, regions[#Headers],0)),INDEX(lmic_raw[],MATCH($A98,lmic_raw[[setting]:[setting]],0), MATCH(Q$1, lmic_raw[#Headers],0)))</f>
        <v>6.5394436311451507</v>
      </c>
      <c r="R98" s="33">
        <f>IF(INDEX(lmic_raw[],MATCH($A98,lmic_raw[[setting]:[setting]],0), MATCH(R$1, lmic_raw[#Headers],0))=0, INDEX(regions[], MATCH($D98, regions[[setting]:[setting]],0), MATCH(R$1, regions[#Headers],0)),INDEX(lmic_raw[],MATCH($A98,lmic_raw[[setting]:[setting]],0), MATCH(R$1, lmic_raw[#Headers],0)))</f>
        <v>86.883899999999997</v>
      </c>
      <c r="S98" s="33">
        <f>IF(INDEX(lmic_raw[],MATCH($A98,lmic_raw[[setting]:[setting]],0), MATCH(S$1, lmic_raw[#Headers],0))=0, INDEX(regions[], MATCH($D98, regions[[setting]:[setting]],0), MATCH(S$1, regions[#Headers],0)),INDEX(lmic_raw[],MATCH($A98,lmic_raw[[setting]:[setting]],0), MATCH(S$1, lmic_raw[#Headers],0)))</f>
        <v>134.6259</v>
      </c>
      <c r="T98" s="33">
        <f>IF(INDEX(lmic_raw[],MATCH($A98,lmic_raw[[setting]:[setting]],0), MATCH(T$1, lmic_raw[#Headers],0))=0, INDEX(regions[], MATCH($D98, regions[[setting]:[setting]],0), MATCH(T$1, regions[#Headers],0)),INDEX(lmic_raw[],MATCH($A98,lmic_raw[[setting]:[setting]],0), MATCH(T$1, lmic_raw[#Headers],0)))</f>
        <v>134.6259</v>
      </c>
      <c r="U98" s="33">
        <f>IF(INDEX(lmic_raw[],MATCH($A98,lmic_raw[[setting]:[setting]],0), MATCH(U$1, lmic_raw[#Headers],0))=0, INDEX(regions[], MATCH($D98, regions[[setting]:[setting]],0), MATCH(U$1, regions[#Headers],0)),INDEX(lmic_raw[],MATCH($A98,lmic_raw[[setting]:[setting]],0), MATCH(U$1, lmic_raw[#Headers],0)))</f>
        <v>134.6259</v>
      </c>
      <c r="V98" s="33">
        <f>IF(INDEX(lmic_raw[],MATCH($A98,lmic_raw[[setting]:[setting]],0), MATCH(V$1, lmic_raw[#Headers],0))=0, INDEX(regions[], MATCH($D98, regions[[setting]:[setting]],0), MATCH(V$1, regions[#Headers],0)),INDEX(lmic_raw[],MATCH($A98,lmic_raw[[setting]:[setting]],0), MATCH(V$1, lmic_raw[#Headers],0)))</f>
        <v>4.508946170856527</v>
      </c>
      <c r="W98" s="33">
        <f>IF(INDEX(lmic_raw[],MATCH($A98,lmic_raw[[setting]:[setting]],0), MATCH(W$1, lmic_raw[#Headers],0))=0, INDEX(regions[], MATCH($D98, regions[[setting]:[setting]],0), MATCH(W$1, regions[#Headers],0)),INDEX(lmic_raw[],MATCH($A98,lmic_raw[[setting]:[setting]],0), MATCH(W$1, lmic_raw[#Headers],0)))</f>
        <v>4.5289461708565266</v>
      </c>
      <c r="X98" s="33">
        <f>IF(INDEX(lmic_raw[],MATCH($A98,lmic_raw[[setting]:[setting]],0), MATCH(X$1, lmic_raw[#Headers],0))=0, INDEX(regions[], MATCH($D98, regions[[setting]:[setting]],0), MATCH(X$1, regions[#Headers],0)),INDEX(lmic_raw[],MATCH($A98,lmic_raw[[setting]:[setting]],0), MATCH(X$1, lmic_raw[#Headers],0)))</f>
        <v>4.0735980009679826</v>
      </c>
      <c r="Y98" s="33">
        <f>IF(INDEX(lmic_raw[],MATCH($A98,lmic_raw[[setting]:[setting]],0), MATCH(Y$1, lmic_raw[#Headers],0))=0, INDEX(regions[], MATCH($D98, regions[[setting]:[setting]],0), MATCH(Y$1, regions[#Headers],0)),INDEX(lmic_raw[],MATCH($A98,lmic_raw[[setting]:[setting]],0), MATCH(Y$1, lmic_raw[#Headers],0)))</f>
        <v>4.0935980009679822</v>
      </c>
      <c r="Z98" s="33">
        <f>IF(INDEX(lmic_raw[],MATCH($A98,lmic_raw[[setting]:[setting]],0), MATCH(Z$1, lmic_raw[#Headers],0))=0, INDEX(regions[], MATCH($D98, regions[[setting]:[setting]],0), MATCH(Z$1, regions[#Headers],0)),INDEX(lmic_raw[],MATCH($A98,lmic_raw[[setting]:[setting]],0), MATCH(Z$1, lmic_raw[#Headers],0)))</f>
        <v>4.086455897451045</v>
      </c>
      <c r="AA98" s="33">
        <f>IF(INDEX(lmic_raw[],MATCH($A98,lmic_raw[[setting]:[setting]],0), MATCH(AA$1, lmic_raw[#Headers],0))=0, INDEX(regions[], MATCH($D98, regions[[setting]:[setting]],0), MATCH(AA$1, regions[#Headers],0)),INDEX(lmic_raw[],MATCH($A98,lmic_raw[[setting]:[setting]],0), MATCH(AA$1, lmic_raw[#Headers],0)))</f>
        <v>4.7541000404698623</v>
      </c>
      <c r="AB98" s="33">
        <f>IF(INDEX(lmic_raw[],MATCH($A98,lmic_raw[[setting]:[setting]],0), MATCH(AB$1, lmic_raw[#Headers],0))=0, INDEX(regions[], MATCH($D98, regions[[setting]:[setting]],0), MATCH(AB$1, regions[#Headers],0)),INDEX(lmic_raw[],MATCH($A98,lmic_raw[[setting]:[setting]],0), MATCH(AB$1, lmic_raw[#Headers],0)))</f>
        <v>4.7741000404698619</v>
      </c>
      <c r="AC98" s="33">
        <f>IF(INDEX(lmic_raw[],MATCH($A98,lmic_raw[[setting]:[setting]],0), MATCH(AC$1, lmic_raw[#Headers],0))=0, INDEX(regions[], MATCH($D98, regions[[setting]:[setting]],0), MATCH(AC$1, regions[#Headers],0)),INDEX(lmic_raw[],MATCH($A98,lmic_raw[[setting]:[setting]],0), MATCH(AC$1, lmic_raw[#Headers],0)))</f>
        <v>1.9024909999999947E-2</v>
      </c>
      <c r="AD98" s="33">
        <f>IF(INDEX(lmic_raw[],MATCH($A98,lmic_raw[[setting]:[setting]],0), MATCH(AD$1, lmic_raw[#Headers],0))=0, INDEX(regions[], MATCH($D98, regions[[setting]:[setting]],0), MATCH(AD$1, regions[#Headers],0)),INDEX(lmic_raw[],MATCH($A98,lmic_raw[[setting]:[setting]],0), MATCH(AD$1, lmic_raw[#Headers],0)))</f>
        <v>6.278472371811307E-4</v>
      </c>
      <c r="AE98" s="33">
        <f>IF(INDEX(lmic_raw[],MATCH($A98,lmic_raw[[setting]:[setting]],0), MATCH(AE$1, lmic_raw[#Headers],0))=0, INDEX(regions[], MATCH($D98, regions[[setting]:[setting]],0), MATCH(AE$1, regions[#Headers],0)),INDEX(lmic_raw[],MATCH($A98,lmic_raw[[setting]:[setting]],0), MATCH(AE$1, lmic_raw[#Headers],0)))</f>
        <v>5.5158882755264598E-4</v>
      </c>
      <c r="AF98" s="33">
        <f>IF(INDEX(lmic_raw[],MATCH($A98,lmic_raw[[setting]:[setting]],0), MATCH(AF$1, lmic_raw[#Headers],0))=0, INDEX(regions[], MATCH($D98, regions[[setting]:[setting]],0), MATCH(AF$1, regions[#Headers],0)),INDEX(lmic_raw[],MATCH($A98,lmic_raw[[setting]:[setting]],0), MATCH(AF$1, lmic_raw[#Headers],0)))</f>
        <v>4.4901030197594676E-4</v>
      </c>
      <c r="AG98" s="33">
        <f>IF(INDEX(lmic_raw[],MATCH($A98,lmic_raw[[setting]:[setting]],0), MATCH(AG$1, lmic_raw[#Headers],0))=0, INDEX(regions[], MATCH($D98, regions[[setting]:[setting]],0), MATCH(AG$1, regions[#Headers],0)),INDEX(lmic_raw[],MATCH($A98,lmic_raw[[setting]:[setting]],0), MATCH(AG$1, lmic_raw[#Headers],0)))</f>
        <v>1.0518106076171873E-3</v>
      </c>
      <c r="AH98" s="33">
        <f>IF(INDEX(lmic_raw[],MATCH($A98,lmic_raw[[setting]:[setting]],0), MATCH(AH$1, lmic_raw[#Headers],0))=0, INDEX(regions[], MATCH($D98, regions[[setting]:[setting]],0), MATCH(AH$1, regions[#Headers],0)),INDEX(lmic_raw[],MATCH($A98,lmic_raw[[setting]:[setting]],0), MATCH(AH$1, lmic_raw[#Headers],0)))</f>
        <v>1.5998030442320856E-3</v>
      </c>
      <c r="AI98" s="33">
        <f>IF(INDEX(lmic_raw[],MATCH($A98,lmic_raw[[setting]:[setting]],0), MATCH(AI$1, lmic_raw[#Headers],0))=0, INDEX(regions[], MATCH($D98, regions[[setting]:[setting]],0), MATCH(AI$1, regions[#Headers],0)),INDEX(lmic_raw[],MATCH($A98,lmic_raw[[setting]:[setting]],0), MATCH(AI$1, lmic_raw[#Headers],0)))</f>
        <v>1.9494092279500465E-3</v>
      </c>
      <c r="AJ98" s="33">
        <f>IF(INDEX(lmic_raw[],MATCH($A98,lmic_raw[[setting]:[setting]],0), MATCH(AJ$1, lmic_raw[#Headers],0))=0, INDEX(regions[], MATCH($D98, regions[[setting]:[setting]],0), MATCH(AJ$1, regions[#Headers],0)),INDEX(lmic_raw[],MATCH($A98,lmic_raw[[setting]:[setting]],0), MATCH(AJ$1, lmic_raw[#Headers],0)))</f>
        <v>1.9855513743289219E-3</v>
      </c>
      <c r="AK98" s="33">
        <f>IF(INDEX(lmic_raw[],MATCH($A98,lmic_raw[[setting]:[setting]],0), MATCH(AK$1, lmic_raw[#Headers],0))=0, INDEX(regions[], MATCH($D98, regions[[setting]:[setting]],0), MATCH(AK$1, regions[#Headers],0)),INDEX(lmic_raw[],MATCH($A98,lmic_raw[[setting]:[setting]],0), MATCH(AK$1, lmic_raw[#Headers],0)))</f>
        <v>2.3511564587472703E-3</v>
      </c>
      <c r="AL98" s="33">
        <f>IF(INDEX(lmic_raw[],MATCH($A98,lmic_raw[[setting]:[setting]],0), MATCH(AL$1, lmic_raw[#Headers],0))=0, INDEX(regions[], MATCH($D98, regions[[setting]:[setting]],0), MATCH(AL$1, regions[#Headers],0)),INDEX(lmic_raw[],MATCH($A98,lmic_raw[[setting]:[setting]],0), MATCH(AL$1, lmic_raw[#Headers],0)))</f>
        <v>2.8780787796453219E-3</v>
      </c>
      <c r="AM98" s="33">
        <f>IF(INDEX(lmic_raw[],MATCH($A98,lmic_raw[[setting]:[setting]],0), MATCH(AM$1, lmic_raw[#Headers],0))=0, INDEX(regions[], MATCH($D98, regions[[setting]:[setting]],0), MATCH(AM$1, regions[#Headers],0)),INDEX(lmic_raw[],MATCH($A98,lmic_raw[[setting]:[setting]],0), MATCH(AM$1, lmic_raw[#Headers],0)))</f>
        <v>4.2017750305114133E-3</v>
      </c>
      <c r="AN98" s="33">
        <f>IF(INDEX(lmic_raw[],MATCH($A98,lmic_raw[[setting]:[setting]],0), MATCH(AN$1, lmic_raw[#Headers],0))=0, INDEX(regions[], MATCH($D98, regions[[setting]:[setting]],0), MATCH(AN$1, regions[#Headers],0)),INDEX(lmic_raw[],MATCH($A98,lmic_raw[[setting]:[setting]],0), MATCH(AN$1, lmic_raw[#Headers],0)))</f>
        <v>6.0993079365806143E-3</v>
      </c>
      <c r="AO98" s="33">
        <f>IF(INDEX(lmic_raw[],MATCH($A98,lmic_raw[[setting]:[setting]],0), MATCH(AO$1, lmic_raw[#Headers],0))=0, INDEX(regions[], MATCH($D98, regions[[setting]:[setting]],0), MATCH(AO$1, regions[#Headers],0)),INDEX(lmic_raw[],MATCH($A98,lmic_raw[[setting]:[setting]],0), MATCH(AO$1, lmic_raw[#Headers],0)))</f>
        <v>8.5341548530337569E-3</v>
      </c>
      <c r="AP98" s="33">
        <f>IF(INDEX(lmic_raw[],MATCH($A98,lmic_raw[[setting]:[setting]],0), MATCH(AP$1, lmic_raw[#Headers],0))=0, INDEX(regions[], MATCH($D98, regions[[setting]:[setting]],0), MATCH(AP$1, regions[#Headers],0)),INDEX(lmic_raw[],MATCH($A98,lmic_raw[[setting]:[setting]],0), MATCH(AP$1, lmic_raw[#Headers],0)))</f>
        <v>1.3219074302824709E-2</v>
      </c>
      <c r="AQ98" s="33">
        <f>IF(INDEX(lmic_raw[],MATCH($A98,lmic_raw[[setting]:[setting]],0), MATCH(AQ$1, lmic_raw[#Headers],0))=0, INDEX(regions[], MATCH($D98, regions[[setting]:[setting]],0), MATCH(AQ$1, regions[#Headers],0)),INDEX(lmic_raw[],MATCH($A98,lmic_raw[[setting]:[setting]],0), MATCH(AQ$1, lmic_raw[#Headers],0)))</f>
        <v>1.9267994677544E-2</v>
      </c>
      <c r="AR98" s="33">
        <f>IF(INDEX(lmic_raw[],MATCH($A98,lmic_raw[[setting]:[setting]],0), MATCH(AR$1, lmic_raw[#Headers],0))=0, INDEX(regions[], MATCH($D98, regions[[setting]:[setting]],0), MATCH(AR$1, regions[#Headers],0)),INDEX(lmic_raw[],MATCH($A98,lmic_raw[[setting]:[setting]],0), MATCH(AR$1, lmic_raw[#Headers],0)))</f>
        <v>2.770434970007523E-2</v>
      </c>
      <c r="AS98" s="33">
        <f>IF(INDEX(lmic_raw[],MATCH($A98,lmic_raw[[setting]:[setting]],0), MATCH(AS$1, lmic_raw[#Headers],0))=0, INDEX(regions[], MATCH($D98, regions[[setting]:[setting]],0), MATCH(AS$1, regions[#Headers],0)),INDEX(lmic_raw[],MATCH($A98,lmic_raw[[setting]:[setting]],0), MATCH(AS$1, lmic_raw[#Headers],0)))</f>
        <v>3.8953956844954209E-2</v>
      </c>
      <c r="AT98" s="33">
        <f>IF(INDEX(lmic_raw[],MATCH($A98,lmic_raw[[setting]:[setting]],0), MATCH(AT$1, lmic_raw[#Headers],0))=0, INDEX(regions[], MATCH($D98, regions[[setting]:[setting]],0), MATCH(AT$1, regions[#Headers],0)),INDEX(lmic_raw[],MATCH($A98,lmic_raw[[setting]:[setting]],0), MATCH(AT$1, lmic_raw[#Headers],0)))</f>
        <v>6.9897340351625897E-2</v>
      </c>
      <c r="AU98" s="33">
        <f>IF(INDEX(lmic_raw[],MATCH($A98,lmic_raw[[setting]:[setting]],0), MATCH(AU$1, lmic_raw[#Headers],0))=0, INDEX(regions[], MATCH($D98, regions[[setting]:[setting]],0), MATCH(AU$1, regions[#Headers],0)),INDEX(lmic_raw[],MATCH($A98,lmic_raw[[setting]:[setting]],0), MATCH(AU$1, lmic_raw[#Headers],0)))</f>
        <v>9.9908909951128749E-2</v>
      </c>
      <c r="AV98" s="33">
        <f>IF(INDEX(lmic_raw[],MATCH($A98,lmic_raw[[setting]:[setting]],0), MATCH(AV$1, lmic_raw[#Headers],0))=0, INDEX(regions[], MATCH($D98, regions[[setting]:[setting]],0), MATCH(AV$1, regions[#Headers],0)),INDEX(lmic_raw[],MATCH($A98,lmic_raw[[setting]:[setting]],0), MATCH(AV$1, lmic_raw[#Headers],0)))</f>
        <v>0.12902920587158662</v>
      </c>
      <c r="AW98" s="33">
        <f>IF(INDEX(lmic_raw[],MATCH($A98,lmic_raw[[setting]:[setting]],0), MATCH(AW$1, lmic_raw[#Headers],0))=0, INDEX(regions[], MATCH($D98, regions[[setting]:[setting]],0), MATCH(AW$1, regions[#Headers],0)),INDEX(lmic_raw[],MATCH($A98,lmic_raw[[setting]:[setting]],0), MATCH(AW$1, lmic_raw[#Headers],0)))</f>
        <v>0.15310330880431902</v>
      </c>
      <c r="AX98" s="33">
        <f>IF(INDEX(lmic_raw[],MATCH($A98,lmic_raw[[setting]:[setting]],0), MATCH(AX$1, lmic_raw[#Headers],0))=0, INDEX(regions[], MATCH($D98, regions[[setting]:[setting]],0), MATCH(AX$1, regions[#Headers],0)),INDEX(lmic_raw[],MATCH($A98,lmic_raw[[setting]:[setting]],0), MATCH(AX$1, lmic_raw[#Headers],0)))</f>
        <v>74.081999999999994</v>
      </c>
      <c r="AY98" s="33" t="str">
        <f>IF(VLOOKUP($A98,lmic_raw[],11,FALSE)=0, "Yes", "No")</f>
        <v>Yes</v>
      </c>
    </row>
    <row r="99" spans="1:51" x14ac:dyDescent="0.25">
      <c r="A99" s="110" t="s">
        <v>272</v>
      </c>
      <c r="B99" s="104" t="s">
        <v>493</v>
      </c>
      <c r="C99" s="105">
        <v>604</v>
      </c>
      <c r="D99" s="84" t="s">
        <v>679</v>
      </c>
      <c r="E99" s="84" t="s">
        <v>593</v>
      </c>
      <c r="F99" s="84" t="s">
        <v>665</v>
      </c>
      <c r="G99" s="84" t="s">
        <v>676</v>
      </c>
      <c r="H99" s="33">
        <f>IF(INDEX(lmic_raw[],MATCH($A99,lmic_raw[[setting]:[setting]],0), MATCH(H$1, lmic_raw[#Headers],0))=0, INDEX(regions[], MATCH($D99, regions[[setting]:[setting]],0), MATCH(H$1, regions[#Headers],0)),INDEX(lmic_raw[],MATCH($A99,lmic_raw[[setting]:[setting]],0), MATCH(H$1, lmic_raw[#Headers],0)))</f>
        <v>32510462</v>
      </c>
      <c r="I99" s="33">
        <f>IF(INDEX(lmic_raw[],MATCH($A99,lmic_raw[[setting]:[setting]],0), MATCH(I$1, lmic_raw[#Headers],0))=0, INDEX(regions[], MATCH($D99, regions[[setting]:[setting]],0), MATCH(I$1, regions[#Headers],0)),INDEX(lmic_raw[],MATCH($A99,lmic_raw[[setting]:[setting]],0), MATCH(I$1, lmic_raw[#Headers],0)))</f>
        <v>588374.3412759999</v>
      </c>
      <c r="J99" s="33">
        <f>IF(INDEX(lmic_raw[],MATCH($A99,lmic_raw[[setting]:[setting]],0), MATCH(J$1, lmic_raw[#Headers],0))=0, INDEX(regions[], MATCH($D99, regions[[setting]:[setting]],0), MATCH(J$1, regions[#Headers],0)),INDEX(lmic_raw[],MATCH($A99,lmic_raw[[setting]:[setting]],0), MATCH(J$1, lmic_raw[#Headers],0)))</f>
        <v>0.91</v>
      </c>
      <c r="K99" s="33">
        <f>IF(INDEX(lmic_raw[],MATCH($A99,lmic_raw[[setting]:[setting]],0), MATCH(K$1, lmic_raw[#Headers],0))=0, INDEX(regions[], MATCH($D99, regions[[setting]:[setting]],0), MATCH(K$1, regions[#Headers],0)),INDEX(lmic_raw[],MATCH($A99,lmic_raw[[setting]:[setting]],0), MATCH(K$1, lmic_raw[#Headers],0)))</f>
        <v>0.82</v>
      </c>
      <c r="L99" s="33">
        <f>IF(INDEX(lmic_raw[],MATCH($A99,lmic_raw[[setting]:[setting]],0), MATCH(L$1, lmic_raw[#Headers],0))=0, INDEX(regions[], MATCH($D99, regions[[setting]:[setting]],0), MATCH(L$1, regions[#Headers],0)),INDEX(lmic_raw[],MATCH($A99,lmic_raw[[setting]:[setting]],0), MATCH(L$1, lmic_raw[#Headers],0)))</f>
        <v>0.88</v>
      </c>
      <c r="M99" s="33">
        <f>IF(INDEX(lmic_raw[],MATCH($A99,lmic_raw[[setting]:[setting]],0), MATCH(M$1, lmic_raw[#Headers],0))=0, INDEX(regions[], MATCH($D99, regions[[setting]:[setting]],0), MATCH(M$1, regions[#Headers],0)),INDEX(lmic_raw[],MATCH($A99,lmic_raw[[setting]:[setting]],0), MATCH(M$1, lmic_raw[#Headers],0)))</f>
        <v>1.5100000000000001E-2</v>
      </c>
      <c r="N99" s="33">
        <f>IF(INDEX(lmic_raw[],MATCH($A99,lmic_raw[[setting]:[setting]],0), MATCH(N$1, lmic_raw[#Headers],0))=0, INDEX(regions[], MATCH($D99, regions[[setting]:[setting]],0), MATCH(N$1, regions[#Headers],0)),INDEX(lmic_raw[],MATCH($A99,lmic_raw[[setting]:[setting]],0), MATCH(N$1, lmic_raw[#Headers],0)))</f>
        <v>0.29833830716733062</v>
      </c>
      <c r="O99" s="33">
        <f>IF(INDEX(lmic_raw[],MATCH($A99,lmic_raw[[setting]:[setting]],0), MATCH(O$1, lmic_raw[#Headers],0))=0, INDEX(regions[], MATCH($D99, regions[[setting]:[setting]],0), MATCH(O$1, regions[#Headers],0)),INDEX(lmic_raw[],MATCH($A99,lmic_raw[[setting]:[setting]],0), MATCH(O$1, lmic_raw[#Headers],0)))</f>
        <v>0.8</v>
      </c>
      <c r="P99" s="33">
        <f>IF(INDEX(lmic_raw[],MATCH($A99,lmic_raw[[setting]:[setting]],0), MATCH(P$1, lmic_raw[#Headers],0))=0, INDEX(regions[], MATCH($D99, regions[[setting]:[setting]],0), MATCH(P$1, regions[#Headers],0)),INDEX(lmic_raw[],MATCH($A99,lmic_raw[[setting]:[setting]],0), MATCH(P$1, lmic_raw[#Headers],0)))</f>
        <v>0.17499999999999999</v>
      </c>
      <c r="Q99" s="33">
        <f>IF(INDEX(lmic_raw[],MATCH($A99,lmic_raw[[setting]:[setting]],0), MATCH(Q$1, lmic_raw[#Headers],0))=0, INDEX(regions[], MATCH($D99, regions[[setting]:[setting]],0), MATCH(Q$1, regions[#Headers],0)),INDEX(lmic_raw[],MATCH($A99,lmic_raw[[setting]:[setting]],0), MATCH(Q$1, lmic_raw[#Headers],0)))</f>
        <v>10.040813427672488</v>
      </c>
      <c r="R99" s="33">
        <f>IF(INDEX(lmic_raw[],MATCH($A99,lmic_raw[[setting]:[setting]],0), MATCH(R$1, lmic_raw[#Headers],0))=0, INDEX(regions[], MATCH($D99, regions[[setting]:[setting]],0), MATCH(R$1, regions[#Headers],0)),INDEX(lmic_raw[],MATCH($A99,lmic_raw[[setting]:[setting]],0), MATCH(R$1, lmic_raw[#Headers],0)))</f>
        <v>86.883899999999997</v>
      </c>
      <c r="S99" s="33">
        <f>IF(INDEX(lmic_raw[],MATCH($A99,lmic_raw[[setting]:[setting]],0), MATCH(S$1, lmic_raw[#Headers],0))=0, INDEX(regions[], MATCH($D99, regions[[setting]:[setting]],0), MATCH(S$1, regions[#Headers],0)),INDEX(lmic_raw[],MATCH($A99,lmic_raw[[setting]:[setting]],0), MATCH(S$1, lmic_raw[#Headers],0)))</f>
        <v>134.6259</v>
      </c>
      <c r="T99" s="33">
        <f>IF(INDEX(lmic_raw[],MATCH($A99,lmic_raw[[setting]:[setting]],0), MATCH(T$1, lmic_raw[#Headers],0))=0, INDEX(regions[], MATCH($D99, regions[[setting]:[setting]],0), MATCH(T$1, regions[#Headers],0)),INDEX(lmic_raw[],MATCH($A99,lmic_raw[[setting]:[setting]],0), MATCH(T$1, lmic_raw[#Headers],0)))</f>
        <v>134.6259</v>
      </c>
      <c r="U99" s="33">
        <f>IF(INDEX(lmic_raw[],MATCH($A99,lmic_raw[[setting]:[setting]],0), MATCH(U$1, lmic_raw[#Headers],0))=0, INDEX(regions[], MATCH($D99, regions[[setting]:[setting]],0), MATCH(U$1, regions[#Headers],0)),INDEX(lmic_raw[],MATCH($A99,lmic_raw[[setting]:[setting]],0), MATCH(U$1, lmic_raw[#Headers],0)))</f>
        <v>134.6259</v>
      </c>
      <c r="V99" s="33">
        <f>IF(INDEX(lmic_raw[],MATCH($A99,lmic_raw[[setting]:[setting]],0), MATCH(V$1, lmic_raw[#Headers],0))=0, INDEX(regions[], MATCH($D99, regions[[setting]:[setting]],0), MATCH(V$1, regions[#Headers],0)),INDEX(lmic_raw[],MATCH($A99,lmic_raw[[setting]:[setting]],0), MATCH(V$1, lmic_raw[#Headers],0)))</f>
        <v>3.2094407931038518</v>
      </c>
      <c r="W99" s="33">
        <f>IF(INDEX(lmic_raw[],MATCH($A99,lmic_raw[[setting]:[setting]],0), MATCH(W$1, lmic_raw[#Headers],0))=0, INDEX(regions[], MATCH($D99, regions[[setting]:[setting]],0), MATCH(W$1, regions[#Headers],0)),INDEX(lmic_raw[],MATCH($A99,lmic_raw[[setting]:[setting]],0), MATCH(W$1, lmic_raw[#Headers],0)))</f>
        <v>3.2294407931038518</v>
      </c>
      <c r="X99" s="33">
        <f>IF(INDEX(lmic_raw[],MATCH($A99,lmic_raw[[setting]:[setting]],0), MATCH(X$1, lmic_raw[#Headers],0))=0, INDEX(regions[], MATCH($D99, regions[[setting]:[setting]],0), MATCH(X$1, regions[#Headers],0)),INDEX(lmic_raw[],MATCH($A99,lmic_raw[[setting]:[setting]],0), MATCH(X$1, lmic_raw[#Headers],0)))</f>
        <v>2.7695300459729006</v>
      </c>
      <c r="Y99" s="33">
        <f>IF(INDEX(lmic_raw[],MATCH($A99,lmic_raw[[setting]:[setting]],0), MATCH(Y$1, lmic_raw[#Headers],0))=0, INDEX(regions[], MATCH($D99, regions[[setting]:[setting]],0), MATCH(Y$1, regions[#Headers],0)),INDEX(lmic_raw[],MATCH($A99,lmic_raw[[setting]:[setting]],0), MATCH(Y$1, lmic_raw[#Headers],0)))</f>
        <v>2.7895300459729007</v>
      </c>
      <c r="Z99" s="33">
        <f>IF(INDEX(lmic_raw[],MATCH($A99,lmic_raw[[setting]:[setting]],0), MATCH(Z$1, lmic_raw[#Headers],0))=0, INDEX(regions[], MATCH($D99, regions[[setting]:[setting]],0), MATCH(Z$1, regions[#Headers],0)),INDEX(lmic_raw[],MATCH($A99,lmic_raw[[setting]:[setting]],0), MATCH(Z$1, lmic_raw[#Headers],0)))</f>
        <v>2.7807388324601101</v>
      </c>
      <c r="AA99" s="33">
        <f>IF(INDEX(lmic_raw[],MATCH($A99,lmic_raw[[setting]:[setting]],0), MATCH(AA$1, lmic_raw[#Headers],0))=0, INDEX(regions[], MATCH($D99, regions[[setting]:[setting]],0), MATCH(AA$1, regions[#Headers],0)),INDEX(lmic_raw[],MATCH($A99,lmic_raw[[setting]:[setting]],0), MATCH(AA$1, lmic_raw[#Headers],0)))</f>
        <v>3.4562393126534046</v>
      </c>
      <c r="AB99" s="33">
        <f>IF(INDEX(lmic_raw[],MATCH($A99,lmic_raw[[setting]:[setting]],0), MATCH(AB$1, lmic_raw[#Headers],0))=0, INDEX(regions[], MATCH($D99, regions[[setting]:[setting]],0), MATCH(AB$1, regions[#Headers],0)),INDEX(lmic_raw[],MATCH($A99,lmic_raw[[setting]:[setting]],0), MATCH(AB$1, lmic_raw[#Headers],0)))</f>
        <v>3.4762393126534046</v>
      </c>
      <c r="AC99" s="33">
        <f>IF(INDEX(lmic_raw[],MATCH($A99,lmic_raw[[setting]:[setting]],0), MATCH(AC$1, lmic_raw[#Headers],0))=0, INDEX(regions[], MATCH($D99, regions[[setting]:[setting]],0), MATCH(AC$1, regions[#Headers],0)),INDEX(lmic_raw[],MATCH($A99,lmic_raw[[setting]:[setting]],0), MATCH(AC$1, lmic_raw[#Headers],0)))</f>
        <v>1.2787390000000015E-2</v>
      </c>
      <c r="AD99" s="33">
        <f>IF(INDEX(lmic_raw[],MATCH($A99,lmic_raw[[setting]:[setting]],0), MATCH(AD$1, lmic_raw[#Headers],0))=0, INDEX(regions[], MATCH($D99, regions[[setting]:[setting]],0), MATCH(AD$1, regions[#Headers],0)),INDEX(lmic_raw[],MATCH($A99,lmic_raw[[setting]:[setting]],0), MATCH(AD$1, lmic_raw[#Headers],0)))</f>
        <v>8.7522433490795247E-4</v>
      </c>
      <c r="AE99" s="33">
        <f>IF(INDEX(lmic_raw[],MATCH($A99,lmic_raw[[setting]:[setting]],0), MATCH(AE$1, lmic_raw[#Headers],0))=0, INDEX(regions[], MATCH($D99, regions[[setting]:[setting]],0), MATCH(AE$1, regions[#Headers],0)),INDEX(lmic_raw[],MATCH($A99,lmic_raw[[setting]:[setting]],0), MATCH(AE$1, lmic_raw[#Headers],0)))</f>
        <v>4.9495175879300042E-4</v>
      </c>
      <c r="AF99" s="33">
        <f>IF(INDEX(lmic_raw[],MATCH($A99,lmic_raw[[setting]:[setting]],0), MATCH(AF$1, lmic_raw[#Headers],0))=0, INDEX(regions[], MATCH($D99, regions[[setting]:[setting]],0), MATCH(AF$1, regions[#Headers],0)),INDEX(lmic_raw[],MATCH($A99,lmic_raw[[setting]:[setting]],0), MATCH(AF$1, lmic_raw[#Headers],0)))</f>
        <v>3.3588977610933221E-4</v>
      </c>
      <c r="AG99" s="33">
        <f>IF(INDEX(lmic_raw[],MATCH($A99,lmic_raw[[setting]:[setting]],0), MATCH(AG$1, lmic_raw[#Headers],0))=0, INDEX(regions[], MATCH($D99, regions[[setting]:[setting]],0), MATCH(AG$1, regions[#Headers],0)),INDEX(lmic_raw[],MATCH($A99,lmic_raw[[setting]:[setting]],0), MATCH(AG$1, lmic_raw[#Headers],0)))</f>
        <v>7.9450728213790762E-4</v>
      </c>
      <c r="AH99" s="33">
        <f>IF(INDEX(lmic_raw[],MATCH($A99,lmic_raw[[setting]:[setting]],0), MATCH(AH$1, lmic_raw[#Headers],0))=0, INDEX(regions[], MATCH($D99, regions[[setting]:[setting]],0), MATCH(AH$1, regions[#Headers],0)),INDEX(lmic_raw[],MATCH($A99,lmic_raw[[setting]:[setting]],0), MATCH(AH$1, lmic_raw[#Headers],0)))</f>
        <v>1.1802881596356459E-3</v>
      </c>
      <c r="AI99" s="33">
        <f>IF(INDEX(lmic_raw[],MATCH($A99,lmic_raw[[setting]:[setting]],0), MATCH(AI$1, lmic_raw[#Headers],0))=0, INDEX(regions[], MATCH($D99, regions[[setting]:[setting]],0), MATCH(AI$1, regions[#Headers],0)),INDEX(lmic_raw[],MATCH($A99,lmic_raw[[setting]:[setting]],0), MATCH(AI$1, lmic_raw[#Headers],0)))</f>
        <v>1.5314102741404792E-3</v>
      </c>
      <c r="AJ99" s="33">
        <f>IF(INDEX(lmic_raw[],MATCH($A99,lmic_raw[[setting]:[setting]],0), MATCH(AJ$1, lmic_raw[#Headers],0))=0, INDEX(regions[], MATCH($D99, regions[[setting]:[setting]],0), MATCH(AJ$1, regions[#Headers],0)),INDEX(lmic_raw[],MATCH($A99,lmic_raw[[setting]:[setting]],0), MATCH(AJ$1, lmic_raw[#Headers],0)))</f>
        <v>1.6834351931294556E-3</v>
      </c>
      <c r="AK99" s="33">
        <f>IF(INDEX(lmic_raw[],MATCH($A99,lmic_raw[[setting]:[setting]],0), MATCH(AK$1, lmic_raw[#Headers],0))=0, INDEX(regions[], MATCH($D99, regions[[setting]:[setting]],0), MATCH(AK$1, regions[#Headers],0)),INDEX(lmic_raw[],MATCH($A99,lmic_raw[[setting]:[setting]],0), MATCH(AK$1, lmic_raw[#Headers],0)))</f>
        <v>2.0130924493192257E-3</v>
      </c>
      <c r="AL99" s="33">
        <f>IF(INDEX(lmic_raw[],MATCH($A99,lmic_raw[[setting]:[setting]],0), MATCH(AL$1, lmic_raw[#Headers],0))=0, INDEX(regions[], MATCH($D99, regions[[setting]:[setting]],0), MATCH(AL$1, regions[#Headers],0)),INDEX(lmic_raw[],MATCH($A99,lmic_raw[[setting]:[setting]],0), MATCH(AL$1, lmic_raw[#Headers],0)))</f>
        <v>2.5656252273752395E-3</v>
      </c>
      <c r="AM99" s="33">
        <f>IF(INDEX(lmic_raw[],MATCH($A99,lmic_raw[[setting]:[setting]],0), MATCH(AM$1, lmic_raw[#Headers],0))=0, INDEX(regions[], MATCH($D99, regions[[setting]:[setting]],0), MATCH(AM$1, regions[#Headers],0)),INDEX(lmic_raw[],MATCH($A99,lmic_raw[[setting]:[setting]],0), MATCH(AM$1, lmic_raw[#Headers],0)))</f>
        <v>3.422439258637406E-3</v>
      </c>
      <c r="AN99" s="33">
        <f>IF(INDEX(lmic_raw[],MATCH($A99,lmic_raw[[setting]:[setting]],0), MATCH(AN$1, lmic_raw[#Headers],0))=0, INDEX(regions[], MATCH($D99, regions[[setting]:[setting]],0), MATCH(AN$1, regions[#Headers],0)),INDEX(lmic_raw[],MATCH($A99,lmic_raw[[setting]:[setting]],0), MATCH(AN$1, lmic_raw[#Headers],0)))</f>
        <v>4.7595238704757313E-3</v>
      </c>
      <c r="AO99" s="33">
        <f>IF(INDEX(lmic_raw[],MATCH($A99,lmic_raw[[setting]:[setting]],0), MATCH(AO$1, lmic_raw[#Headers],0))=0, INDEX(regions[], MATCH($D99, regions[[setting]:[setting]],0), MATCH(AO$1, regions[#Headers],0)),INDEX(lmic_raw[],MATCH($A99,lmic_raw[[setting]:[setting]],0), MATCH(AO$1, lmic_raw[#Headers],0)))</f>
        <v>6.7924367911430502E-3</v>
      </c>
      <c r="AP99" s="33">
        <f>IF(INDEX(lmic_raw[],MATCH($A99,lmic_raw[[setting]:[setting]],0), MATCH(AP$1, lmic_raw[#Headers],0))=0, INDEX(regions[], MATCH($D99, regions[[setting]:[setting]],0), MATCH(AP$1, regions[#Headers],0)),INDEX(lmic_raw[],MATCH($A99,lmic_raw[[setting]:[setting]],0), MATCH(AP$1, lmic_raw[#Headers],0)))</f>
        <v>1.0242694670813113E-2</v>
      </c>
      <c r="AQ99" s="33">
        <f>IF(INDEX(lmic_raw[],MATCH($A99,lmic_raw[[setting]:[setting]],0), MATCH(AQ$1, lmic_raw[#Headers],0))=0, INDEX(regions[], MATCH($D99, regions[[setting]:[setting]],0), MATCH(AQ$1, regions[#Headers],0)),INDEX(lmic_raw[],MATCH($A99,lmic_raw[[setting]:[setting]],0), MATCH(AQ$1, lmic_raw[#Headers],0)))</f>
        <v>1.5274182462903733E-2</v>
      </c>
      <c r="AR99" s="33">
        <f>IF(INDEX(lmic_raw[],MATCH($A99,lmic_raw[[setting]:[setting]],0), MATCH(AR$1, lmic_raw[#Headers],0))=0, INDEX(regions[], MATCH($D99, regions[[setting]:[setting]],0), MATCH(AR$1, regions[#Headers],0)),INDEX(lmic_raw[],MATCH($A99,lmic_raw[[setting]:[setting]],0), MATCH(AR$1, lmic_raw[#Headers],0)))</f>
        <v>2.5769485758631069E-2</v>
      </c>
      <c r="AS99" s="33">
        <f>IF(INDEX(lmic_raw[],MATCH($A99,lmic_raw[[setting]:[setting]],0), MATCH(AS$1, lmic_raw[#Headers],0))=0, INDEX(regions[], MATCH($D99, regions[[setting]:[setting]],0), MATCH(AS$1, regions[#Headers],0)),INDEX(lmic_raw[],MATCH($A99,lmic_raw[[setting]:[setting]],0), MATCH(AS$1, lmic_raw[#Headers],0)))</f>
        <v>3.9878393519136877E-2</v>
      </c>
      <c r="AT99" s="33">
        <f>IF(INDEX(lmic_raw[],MATCH($A99,lmic_raw[[setting]:[setting]],0), MATCH(AT$1, lmic_raw[#Headers],0))=0, INDEX(regions[], MATCH($D99, regions[[setting]:[setting]],0), MATCH(AT$1, regions[#Headers],0)),INDEX(lmic_raw[],MATCH($A99,lmic_raw[[setting]:[setting]],0), MATCH(AT$1, lmic_raw[#Headers],0)))</f>
        <v>6.2565796568882795E-2</v>
      </c>
      <c r="AU99" s="33">
        <f>IF(INDEX(lmic_raw[],MATCH($A99,lmic_raw[[setting]:[setting]],0), MATCH(AU$1, lmic_raw[#Headers],0))=0, INDEX(regions[], MATCH($D99, regions[[setting]:[setting]],0), MATCH(AU$1, regions[#Headers],0)),INDEX(lmic_raw[],MATCH($A99,lmic_raw[[setting]:[setting]],0), MATCH(AU$1, lmic_raw[#Headers],0)))</f>
        <v>9.315916672397026E-2</v>
      </c>
      <c r="AV99" s="33">
        <f>IF(INDEX(lmic_raw[],MATCH($A99,lmic_raw[[setting]:[setting]],0), MATCH(AV$1, lmic_raw[#Headers],0))=0, INDEX(regions[], MATCH($D99, regions[[setting]:[setting]],0), MATCH(AV$1, regions[#Headers],0)),INDEX(lmic_raw[],MATCH($A99,lmic_raw[[setting]:[setting]],0), MATCH(AV$1, lmic_raw[#Headers],0)))</f>
        <v>0.12365207423575721</v>
      </c>
      <c r="AW99" s="33">
        <f>IF(INDEX(lmic_raw[],MATCH($A99,lmic_raw[[setting]:[setting]],0), MATCH(AW$1, lmic_raw[#Headers],0))=0, INDEX(regions[], MATCH($D99, regions[[setting]:[setting]],0), MATCH(AW$1, regions[#Headers],0)),INDEX(lmic_raw[],MATCH($A99,lmic_raw[[setting]:[setting]],0), MATCH(AW$1, lmic_raw[#Headers],0)))</f>
        <v>0.14992852678644919</v>
      </c>
      <c r="AX99" s="33">
        <f>IF(INDEX(lmic_raw[],MATCH($A99,lmic_raw[[setting]:[setting]],0), MATCH(AX$1, lmic_raw[#Headers],0))=0, INDEX(regions[], MATCH($D99, regions[[setting]:[setting]],0), MATCH(AX$1, regions[#Headers],0)),INDEX(lmic_raw[],MATCH($A99,lmic_raw[[setting]:[setting]],0), MATCH(AX$1, lmic_raw[#Headers],0)))</f>
        <v>76.409000000000006</v>
      </c>
      <c r="AY99" s="33" t="str">
        <f>IF(VLOOKUP($A99,lmic_raw[],11,FALSE)=0, "Yes", "No")</f>
        <v>No</v>
      </c>
    </row>
    <row r="100" spans="1:51" x14ac:dyDescent="0.25">
      <c r="A100" s="109" t="s">
        <v>654</v>
      </c>
      <c r="B100" s="101" t="s">
        <v>494</v>
      </c>
      <c r="C100" s="102">
        <v>608</v>
      </c>
      <c r="D100" s="82" t="s">
        <v>681</v>
      </c>
      <c r="E100" s="82" t="s">
        <v>598</v>
      </c>
      <c r="F100" s="82" t="s">
        <v>666</v>
      </c>
      <c r="G100" s="82" t="s">
        <v>678</v>
      </c>
      <c r="H100" s="33">
        <f>IF(INDEX(lmic_raw[],MATCH($A100,lmic_raw[[setting]:[setting]],0), MATCH(H$1, lmic_raw[#Headers],0))=0, INDEX(regions[], MATCH($D100, regions[[setting]:[setting]],0), MATCH(H$1, regions[#Headers],0)),INDEX(lmic_raw[],MATCH($A100,lmic_raw[[setting]:[setting]],0), MATCH(H$1, lmic_raw[#Headers],0)))</f>
        <v>108116622</v>
      </c>
      <c r="I100" s="33">
        <f>IF(INDEX(lmic_raw[],MATCH($A100,lmic_raw[[setting]:[setting]],0), MATCH(I$1, lmic_raw[#Headers],0))=0, INDEX(regions[], MATCH($D100, regions[[setting]:[setting]],0), MATCH(I$1, regions[#Headers],0)),INDEX(lmic_raw[],MATCH($A100,lmic_raw[[setting]:[setting]],0), MATCH(I$1, lmic_raw[#Headers],0)))</f>
        <v>2224607.6142720003</v>
      </c>
      <c r="J100" s="33">
        <f>IF(INDEX(lmic_raw[],MATCH($A100,lmic_raw[[setting]:[setting]],0), MATCH(J$1, lmic_raw[#Headers],0))=0, INDEX(regions[], MATCH($D100, regions[[setting]:[setting]],0), MATCH(J$1, regions[#Headers],0)),INDEX(lmic_raw[],MATCH($A100,lmic_raw[[setting]:[setting]],0), MATCH(J$1, lmic_raw[#Headers],0)))</f>
        <v>0.77700000000000002</v>
      </c>
      <c r="K100" s="33">
        <f>IF(INDEX(lmic_raw[],MATCH($A100,lmic_raw[[setting]:[setting]],0), MATCH(K$1, lmic_raw[#Headers],0))=0, INDEX(regions[], MATCH($D100, regions[[setting]:[setting]],0), MATCH(K$1, regions[#Headers],0)),INDEX(lmic_raw[],MATCH($A100,lmic_raw[[setting]:[setting]],0), MATCH(K$1, lmic_raw[#Headers],0)))</f>
        <v>0.5</v>
      </c>
      <c r="L100" s="33">
        <f>IF(INDEX(lmic_raw[],MATCH($A100,lmic_raw[[setting]:[setting]],0), MATCH(L$1, lmic_raw[#Headers],0))=0, INDEX(regions[], MATCH($D100, regions[[setting]:[setting]],0), MATCH(L$1, regions[#Headers],0)),INDEX(lmic_raw[],MATCH($A100,lmic_raw[[setting]:[setting]],0), MATCH(L$1, lmic_raw[#Headers],0)))</f>
        <v>0.65</v>
      </c>
      <c r="M100" s="33">
        <f>IF(INDEX(lmic_raw[],MATCH($A100,lmic_raw[[setting]:[setting]],0), MATCH(M$1, lmic_raw[#Headers],0))=0, INDEX(regions[], MATCH($D100, regions[[setting]:[setting]],0), MATCH(M$1, regions[#Headers],0)),INDEX(lmic_raw[],MATCH($A100,lmic_raw[[setting]:[setting]],0), MATCH(M$1, lmic_raw[#Headers],0)))</f>
        <v>3.6400000000000002E-2</v>
      </c>
      <c r="N100" s="33">
        <f>IF(INDEX(lmic_raw[],MATCH($A100,lmic_raw[[setting]:[setting]],0), MATCH(N$1, lmic_raw[#Headers],0))=0, INDEX(regions[], MATCH($D100, regions[[setting]:[setting]],0), MATCH(N$1, regions[#Headers],0)),INDEX(lmic_raw[],MATCH($A100,lmic_raw[[setting]:[setting]],0), MATCH(N$1, lmic_raw[#Headers],0)))</f>
        <v>0.3337</v>
      </c>
      <c r="O100" s="33">
        <f>IF(INDEX(lmic_raw[],MATCH($A100,lmic_raw[[setting]:[setting]],0), MATCH(O$1, lmic_raw[#Headers],0))=0, INDEX(regions[], MATCH($D100, regions[[setting]:[setting]],0), MATCH(O$1, regions[#Headers],0)),INDEX(lmic_raw[],MATCH($A100,lmic_raw[[setting]:[setting]],0), MATCH(O$1, lmic_raw[#Headers],0)))</f>
        <v>0.8</v>
      </c>
      <c r="P100" s="33">
        <f>IF(INDEX(lmic_raw[],MATCH($A100,lmic_raw[[setting]:[setting]],0), MATCH(P$1, lmic_raw[#Headers],0))=0, INDEX(regions[], MATCH($D100, regions[[setting]:[setting]],0), MATCH(P$1, regions[#Headers],0)),INDEX(lmic_raw[],MATCH($A100,lmic_raw[[setting]:[setting]],0), MATCH(P$1, lmic_raw[#Headers],0)))</f>
        <v>0.17499999999999999</v>
      </c>
      <c r="Q100" s="33">
        <f>IF(INDEX(lmic_raw[],MATCH($A100,lmic_raw[[setting]:[setting]],0), MATCH(Q$1, lmic_raw[#Headers],0))=0, INDEX(regions[], MATCH($D100, regions[[setting]:[setting]],0), MATCH(Q$1, regions[#Headers],0)),INDEX(lmic_raw[],MATCH($A100,lmic_raw[[setting]:[setting]],0), MATCH(Q$1, lmic_raw[#Headers],0)))</f>
        <v>4.6760027563831441</v>
      </c>
      <c r="R100" s="33">
        <f>IF(INDEX(lmic_raw[],MATCH($A100,lmic_raw[[setting]:[setting]],0), MATCH(R$1, lmic_raw[#Headers],0))=0, INDEX(regions[], MATCH($D100, regions[[setting]:[setting]],0), MATCH(R$1, regions[#Headers],0)),INDEX(lmic_raw[],MATCH($A100,lmic_raw[[setting]:[setting]],0), MATCH(R$1, lmic_raw[#Headers],0)))</f>
        <v>73.084500000000006</v>
      </c>
      <c r="S100" s="33">
        <f>IF(INDEX(lmic_raw[],MATCH($A100,lmic_raw[[setting]:[setting]],0), MATCH(S$1, lmic_raw[#Headers],0))=0, INDEX(regions[], MATCH($D100, regions[[setting]:[setting]],0), MATCH(S$1, regions[#Headers],0)),INDEX(lmic_raw[],MATCH($A100,lmic_raw[[setting]:[setting]],0), MATCH(S$1, lmic_raw[#Headers],0)))</f>
        <v>120.8265</v>
      </c>
      <c r="T100" s="33">
        <f>IF(INDEX(lmic_raw[],MATCH($A100,lmic_raw[[setting]:[setting]],0), MATCH(T$1, lmic_raw[#Headers],0))=0, INDEX(regions[], MATCH($D100, regions[[setting]:[setting]],0), MATCH(T$1, regions[#Headers],0)),INDEX(lmic_raw[],MATCH($A100,lmic_raw[[setting]:[setting]],0), MATCH(T$1, lmic_raw[#Headers],0)))</f>
        <v>120.8265</v>
      </c>
      <c r="U100" s="33">
        <f>IF(INDEX(lmic_raw[],MATCH($A100,lmic_raw[[setting]:[setting]],0), MATCH(U$1, lmic_raw[#Headers],0))=0, INDEX(regions[], MATCH($D100, regions[[setting]:[setting]],0), MATCH(U$1, regions[#Headers],0)),INDEX(lmic_raw[],MATCH($A100,lmic_raw[[setting]:[setting]],0), MATCH(U$1, lmic_raw[#Headers],0)))</f>
        <v>120.8265</v>
      </c>
      <c r="V100" s="33">
        <f>IF(INDEX(lmic_raw[],MATCH($A100,lmic_raw[[setting]:[setting]],0), MATCH(V$1, lmic_raw[#Headers],0))=0, INDEX(regions[], MATCH($D100, regions[[setting]:[setting]],0), MATCH(V$1, regions[#Headers],0)),INDEX(lmic_raw[],MATCH($A100,lmic_raw[[setting]:[setting]],0), MATCH(V$1, lmic_raw[#Headers],0)))</f>
        <v>1.4441675209954445</v>
      </c>
      <c r="W100" s="33">
        <f>IF(INDEX(lmic_raw[],MATCH($A100,lmic_raw[[setting]:[setting]],0), MATCH(W$1, lmic_raw[#Headers],0))=0, INDEX(regions[], MATCH($D100, regions[[setting]:[setting]],0), MATCH(W$1, regions[#Headers],0)),INDEX(lmic_raw[],MATCH($A100,lmic_raw[[setting]:[setting]],0), MATCH(W$1, lmic_raw[#Headers],0)))</f>
        <v>2.0741675209954447</v>
      </c>
      <c r="X100" s="33">
        <f>IF(INDEX(lmic_raw[],MATCH($A100,lmic_raw[[setting]:[setting]],0), MATCH(X$1, lmic_raw[#Headers],0))=0, INDEX(regions[], MATCH($D100, regions[[setting]:[setting]],0), MATCH(X$1, regions[#Headers],0)),INDEX(lmic_raw[],MATCH($A100,lmic_raw[[setting]:[setting]],0), MATCH(X$1, lmic_raw[#Headers],0)))</f>
        <v>1.0063660417738949</v>
      </c>
      <c r="Y100" s="33">
        <f>IF(INDEX(lmic_raw[],MATCH($A100,lmic_raw[[setting]:[setting]],0), MATCH(Y$1, lmic_raw[#Headers],0))=0, INDEX(regions[], MATCH($D100, regions[[setting]:[setting]],0), MATCH(Y$1, regions[#Headers],0)),INDEX(lmic_raw[],MATCH($A100,lmic_raw[[setting]:[setting]],0), MATCH(Y$1, lmic_raw[#Headers],0)))</f>
        <v>1.6363660417738948</v>
      </c>
      <c r="Z100" s="33">
        <f>IF(INDEX(lmic_raw[],MATCH($A100,lmic_raw[[setting]:[setting]],0), MATCH(Z$1, lmic_raw[#Headers],0))=0, INDEX(regions[], MATCH($D100, regions[[setting]:[setting]],0), MATCH(Z$1, regions[#Headers],0)),INDEX(lmic_raw[],MATCH($A100,lmic_raw[[setting]:[setting]],0), MATCH(Z$1, lmic_raw[#Headers],0)))</f>
        <v>1.6286098666887132</v>
      </c>
      <c r="AA100" s="33">
        <f>IF(INDEX(lmic_raw[],MATCH($A100,lmic_raw[[setting]:[setting]],0), MATCH(AA$1, lmic_raw[#Headers],0))=0, INDEX(regions[], MATCH($D100, regions[[setting]:[setting]],0), MATCH(AA$1, regions[#Headers],0)),INDEX(lmic_raw[],MATCH($A100,lmic_raw[[setting]:[setting]],0), MATCH(AA$1, lmic_raw[#Headers],0)))</f>
        <v>1.6902057230427712</v>
      </c>
      <c r="AB100" s="33">
        <f>IF(INDEX(lmic_raw[],MATCH($A100,lmic_raw[[setting]:[setting]],0), MATCH(AB$1, lmic_raw[#Headers],0))=0, INDEX(regions[], MATCH($D100, regions[[setting]:[setting]],0), MATCH(AB$1, regions[#Headers],0)),INDEX(lmic_raw[],MATCH($A100,lmic_raw[[setting]:[setting]],0), MATCH(AB$1, lmic_raw[#Headers],0)))</f>
        <v>2.3202057230427711</v>
      </c>
      <c r="AC100" s="33">
        <f>IF(INDEX(lmic_raw[],MATCH($A100,lmic_raw[[setting]:[setting]],0), MATCH(AC$1, lmic_raw[#Headers],0))=0, INDEX(regions[], MATCH($D100, regions[[setting]:[setting]],0), MATCH(AC$1, regions[#Headers],0)),INDEX(lmic_raw[],MATCH($A100,lmic_raw[[setting]:[setting]],0), MATCH(AC$1, lmic_raw[#Headers],0)))</f>
        <v>1.9655559999999968E-2</v>
      </c>
      <c r="AD100" s="33">
        <f>IF(INDEX(lmic_raw[],MATCH($A100,lmic_raw[[setting]:[setting]],0), MATCH(AD$1, lmic_raw[#Headers],0))=0, INDEX(regions[], MATCH($D100, regions[[setting]:[setting]],0), MATCH(AD$1, regions[#Headers],0)),INDEX(lmic_raw[],MATCH($A100,lmic_raw[[setting]:[setting]],0), MATCH(AD$1, lmic_raw[#Headers],0)))</f>
        <v>2.0443376003642061E-3</v>
      </c>
      <c r="AE100" s="33">
        <f>IF(INDEX(lmic_raw[],MATCH($A100,lmic_raw[[setting]:[setting]],0), MATCH(AE$1, lmic_raw[#Headers],0))=0, INDEX(regions[], MATCH($D100, regions[[setting]:[setting]],0), MATCH(AE$1, regions[#Headers],0)),INDEX(lmic_raw[],MATCH($A100,lmic_raw[[setting]:[setting]],0), MATCH(AE$1, lmic_raw[#Headers],0)))</f>
        <v>6.1298667768243517E-4</v>
      </c>
      <c r="AF100" s="33">
        <f>IF(INDEX(lmic_raw[],MATCH($A100,lmic_raw[[setting]:[setting]],0), MATCH(AF$1, lmic_raw[#Headers],0))=0, INDEX(regions[], MATCH($D100, regions[[setting]:[setting]],0), MATCH(AF$1, regions[#Headers],0)),INDEX(lmic_raw[],MATCH($A100,lmic_raw[[setting]:[setting]],0), MATCH(AF$1, lmic_raw[#Headers],0)))</f>
        <v>5.320691429917348E-4</v>
      </c>
      <c r="AG100" s="33">
        <f>IF(INDEX(lmic_raw[],MATCH($A100,lmic_raw[[setting]:[setting]],0), MATCH(AG$1, lmic_raw[#Headers],0))=0, INDEX(regions[], MATCH($D100, regions[[setting]:[setting]],0), MATCH(AG$1, regions[#Headers],0)),INDEX(lmic_raw[],MATCH($A100,lmic_raw[[setting]:[setting]],0), MATCH(AG$1, lmic_raw[#Headers],0)))</f>
        <v>1.1381458381625571E-3</v>
      </c>
      <c r="AH100" s="33">
        <f>IF(INDEX(lmic_raw[],MATCH($A100,lmic_raw[[setting]:[setting]],0), MATCH(AH$1, lmic_raw[#Headers],0))=0, INDEX(regions[], MATCH($D100, regions[[setting]:[setting]],0), MATCH(AH$1, regions[#Headers],0)),INDEX(lmic_raw[],MATCH($A100,lmic_raw[[setting]:[setting]],0), MATCH(AH$1, lmic_raw[#Headers],0)))</f>
        <v>1.5920150741009446E-3</v>
      </c>
      <c r="AI100" s="33">
        <f>IF(INDEX(lmic_raw[],MATCH($A100,lmic_raw[[setting]:[setting]],0), MATCH(AI$1, lmic_raw[#Headers],0))=0, INDEX(regions[], MATCH($D100, regions[[setting]:[setting]],0), MATCH(AI$1, regions[#Headers],0)),INDEX(lmic_raw[],MATCH($A100,lmic_raw[[setting]:[setting]],0), MATCH(AI$1, lmic_raw[#Headers],0)))</f>
        <v>1.7398898876981228E-3</v>
      </c>
      <c r="AJ100" s="33">
        <f>IF(INDEX(lmic_raw[],MATCH($A100,lmic_raw[[setting]:[setting]],0), MATCH(AJ$1, lmic_raw[#Headers],0))=0, INDEX(regions[], MATCH($D100, regions[[setting]:[setting]],0), MATCH(AJ$1, regions[#Headers],0)),INDEX(lmic_raw[],MATCH($A100,lmic_raw[[setting]:[setting]],0), MATCH(AJ$1, lmic_raw[#Headers],0)))</f>
        <v>2.0763306089954213E-3</v>
      </c>
      <c r="AK100" s="33">
        <f>IF(INDEX(lmic_raw[],MATCH($A100,lmic_raw[[setting]:[setting]],0), MATCH(AK$1, lmic_raw[#Headers],0))=0, INDEX(regions[], MATCH($D100, regions[[setting]:[setting]],0), MATCH(AK$1, regions[#Headers],0)),INDEX(lmic_raw[],MATCH($A100,lmic_raw[[setting]:[setting]],0), MATCH(AK$1, lmic_raw[#Headers],0)))</f>
        <v>2.7556563770900324E-3</v>
      </c>
      <c r="AL100" s="33">
        <f>IF(INDEX(lmic_raw[],MATCH($A100,lmic_raw[[setting]:[setting]],0), MATCH(AL$1, lmic_raw[#Headers],0))=0, INDEX(regions[], MATCH($D100, regions[[setting]:[setting]],0), MATCH(AL$1, regions[#Headers],0)),INDEX(lmic_raw[],MATCH($A100,lmic_raw[[setting]:[setting]],0), MATCH(AL$1, lmic_raw[#Headers],0)))</f>
        <v>3.8685630787111411E-3</v>
      </c>
      <c r="AM100" s="33">
        <f>IF(INDEX(lmic_raw[],MATCH($A100,lmic_raw[[setting]:[setting]],0), MATCH(AM$1, lmic_raw[#Headers],0))=0, INDEX(regions[], MATCH($D100, regions[[setting]:[setting]],0), MATCH(AM$1, regions[#Headers],0)),INDEX(lmic_raw[],MATCH($A100,lmic_raw[[setting]:[setting]],0), MATCH(AM$1, lmic_raw[#Headers],0)))</f>
        <v>5.7316624437884853E-3</v>
      </c>
      <c r="AN100" s="33">
        <f>IF(INDEX(lmic_raw[],MATCH($A100,lmic_raw[[setting]:[setting]],0), MATCH(AN$1, lmic_raw[#Headers],0))=0, INDEX(regions[], MATCH($D100, regions[[setting]:[setting]],0), MATCH(AN$1, regions[#Headers],0)),INDEX(lmic_raw[],MATCH($A100,lmic_raw[[setting]:[setting]],0), MATCH(AN$1, lmic_raw[#Headers],0)))</f>
        <v>8.5754099849576666E-3</v>
      </c>
      <c r="AO100" s="33">
        <f>IF(INDEX(lmic_raw[],MATCH($A100,lmic_raw[[setting]:[setting]],0), MATCH(AO$1, lmic_raw[#Headers],0))=0, INDEX(regions[], MATCH($D100, regions[[setting]:[setting]],0), MATCH(AO$1, regions[#Headers],0)),INDEX(lmic_raw[],MATCH($A100,lmic_raw[[setting]:[setting]],0), MATCH(AO$1, lmic_raw[#Headers],0)))</f>
        <v>1.2794705988173357E-2</v>
      </c>
      <c r="AP100" s="33">
        <f>IF(INDEX(lmic_raw[],MATCH($A100,lmic_raw[[setting]:[setting]],0), MATCH(AP$1, lmic_raw[#Headers],0))=0, INDEX(regions[], MATCH($D100, regions[[setting]:[setting]],0), MATCH(AP$1, regions[#Headers],0)),INDEX(lmic_raw[],MATCH($A100,lmic_raw[[setting]:[setting]],0), MATCH(AP$1, lmic_raw[#Headers],0)))</f>
        <v>1.7438643523268835E-2</v>
      </c>
      <c r="AQ100" s="33">
        <f>IF(INDEX(lmic_raw[],MATCH($A100,lmic_raw[[setting]:[setting]],0), MATCH(AQ$1, lmic_raw[#Headers],0))=0, INDEX(regions[], MATCH($D100, regions[[setting]:[setting]],0), MATCH(AQ$1, regions[#Headers],0)),INDEX(lmic_raw[],MATCH($A100,lmic_raw[[setting]:[setting]],0), MATCH(AQ$1, lmic_raw[#Headers],0)))</f>
        <v>2.3532339127382024E-2</v>
      </c>
      <c r="AR100" s="33">
        <f>IF(INDEX(lmic_raw[],MATCH($A100,lmic_raw[[setting]:[setting]],0), MATCH(AR$1, lmic_raw[#Headers],0))=0, INDEX(regions[], MATCH($D100, regions[[setting]:[setting]],0), MATCH(AR$1, regions[#Headers],0)),INDEX(lmic_raw[],MATCH($A100,lmic_raw[[setting]:[setting]],0), MATCH(AR$1, lmic_raw[#Headers],0)))</f>
        <v>3.3756875691732344E-2</v>
      </c>
      <c r="AS100" s="33">
        <f>IF(INDEX(lmic_raw[],MATCH($A100,lmic_raw[[setting]:[setting]],0), MATCH(AS$1, lmic_raw[#Headers],0))=0, INDEX(regions[], MATCH($D100, regions[[setting]:[setting]],0), MATCH(AS$1, regions[#Headers],0)),INDEX(lmic_raw[],MATCH($A100,lmic_raw[[setting]:[setting]],0), MATCH(AS$1, lmic_raw[#Headers],0)))</f>
        <v>5.1734961024254754E-2</v>
      </c>
      <c r="AT100" s="33">
        <f>IF(INDEX(lmic_raw[],MATCH($A100,lmic_raw[[setting]:[setting]],0), MATCH(AT$1, lmic_raw[#Headers],0))=0, INDEX(regions[], MATCH($D100, regions[[setting]:[setting]],0), MATCH(AT$1, regions[#Headers],0)),INDEX(lmic_raw[],MATCH($A100,lmic_raw[[setting]:[setting]],0), MATCH(AT$1, lmic_raw[#Headers],0)))</f>
        <v>7.5994633645582468E-2</v>
      </c>
      <c r="AU100" s="33">
        <f>IF(INDEX(lmic_raw[],MATCH($A100,lmic_raw[[setting]:[setting]],0), MATCH(AU$1, lmic_raw[#Headers],0))=0, INDEX(regions[], MATCH($D100, regions[[setting]:[setting]],0), MATCH(AU$1, regions[#Headers],0)),INDEX(lmic_raw[],MATCH($A100,lmic_raw[[setting]:[setting]],0), MATCH(AU$1, lmic_raw[#Headers],0)))</f>
        <v>0.10475854851534883</v>
      </c>
      <c r="AV100" s="33">
        <f>IF(INDEX(lmic_raw[],MATCH($A100,lmic_raw[[setting]:[setting]],0), MATCH(AV$1, lmic_raw[#Headers],0))=0, INDEX(regions[], MATCH($D100, regions[[setting]:[setting]],0), MATCH(AV$1, regions[#Headers],0)),INDEX(lmic_raw[],MATCH($A100,lmic_raw[[setting]:[setting]],0), MATCH(AV$1, lmic_raw[#Headers],0)))</f>
        <v>0.13224402180451308</v>
      </c>
      <c r="AW100" s="33">
        <f>IF(INDEX(lmic_raw[],MATCH($A100,lmic_raw[[setting]:[setting]],0), MATCH(AW$1, lmic_raw[#Headers],0))=0, INDEX(regions[], MATCH($D100, regions[[setting]:[setting]],0), MATCH(AW$1, regions[#Headers],0)),INDEX(lmic_raw[],MATCH($A100,lmic_raw[[setting]:[setting]],0), MATCH(AW$1, lmic_raw[#Headers],0)))</f>
        <v>0.15679146956316309</v>
      </c>
      <c r="AX100" s="33">
        <f>IF(INDEX(lmic_raw[],MATCH($A100,lmic_raw[[setting]:[setting]],0), MATCH(AX$1, lmic_raw[#Headers],0))=0, INDEX(regions[], MATCH($D100, regions[[setting]:[setting]],0), MATCH(AX$1, regions[#Headers],0)),INDEX(lmic_raw[],MATCH($A100,lmic_raw[[setting]:[setting]],0), MATCH(AX$1, lmic_raw[#Headers],0)))</f>
        <v>71.034999999999997</v>
      </c>
      <c r="AY100" s="33" t="str">
        <f>IF(VLOOKUP($A100,lmic_raw[],11,FALSE)=0, "Yes", "No")</f>
        <v>No</v>
      </c>
    </row>
    <row r="101" spans="1:51" x14ac:dyDescent="0.25">
      <c r="A101" s="110" t="s">
        <v>313</v>
      </c>
      <c r="B101" s="104" t="s">
        <v>500</v>
      </c>
      <c r="C101" s="105">
        <v>642</v>
      </c>
      <c r="D101" s="84" t="s">
        <v>675</v>
      </c>
      <c r="E101" s="84" t="s">
        <v>580</v>
      </c>
      <c r="F101" s="84" t="s">
        <v>663</v>
      </c>
      <c r="G101" s="84" t="s">
        <v>676</v>
      </c>
      <c r="H101" s="33">
        <f>IF(INDEX(lmic_raw[],MATCH($A101,lmic_raw[[setting]:[setting]],0), MATCH(H$1, lmic_raw[#Headers],0))=0, INDEX(regions[], MATCH($D101, regions[[setting]:[setting]],0), MATCH(H$1, regions[#Headers],0)),INDEX(lmic_raw[],MATCH($A101,lmic_raw[[setting]:[setting]],0), MATCH(H$1, lmic_raw[#Headers],0)))</f>
        <v>19364558</v>
      </c>
      <c r="I101" s="33">
        <f>IF(INDEX(lmic_raw[],MATCH($A101,lmic_raw[[setting]:[setting]],0), MATCH(I$1, lmic_raw[#Headers],0))=0, INDEX(regions[], MATCH($D101, regions[[setting]:[setting]],0), MATCH(I$1, regions[#Headers],0)),INDEX(lmic_raw[],MATCH($A101,lmic_raw[[setting]:[setting]],0), MATCH(I$1, lmic_raw[#Headers],0)))</f>
        <v>189462.83547200004</v>
      </c>
      <c r="J101" s="33">
        <f>IF(INDEX(lmic_raw[],MATCH($A101,lmic_raw[[setting]:[setting]],0), MATCH(J$1, lmic_raw[#Headers],0))=0, INDEX(regions[], MATCH($D101, regions[[setting]:[setting]],0), MATCH(J$1, regions[#Headers],0)),INDEX(lmic_raw[],MATCH($A101,lmic_raw[[setting]:[setting]],0), MATCH(J$1, lmic_raw[#Headers],0)))</f>
        <v>0.94900000000000007</v>
      </c>
      <c r="K101" s="33">
        <f>IF(INDEX(lmic_raw[],MATCH($A101,lmic_raw[[setting]:[setting]],0), MATCH(K$1, lmic_raw[#Headers],0))=0, INDEX(regions[], MATCH($D101, regions[[setting]:[setting]],0), MATCH(K$1, regions[#Headers],0)),INDEX(lmic_raw[],MATCH($A101,lmic_raw[[setting]:[setting]],0), MATCH(K$1, lmic_raw[#Headers],0)))</f>
        <v>0.99</v>
      </c>
      <c r="L101" s="33">
        <f>IF(INDEX(lmic_raw[],MATCH($A101,lmic_raw[[setting]:[setting]],0), MATCH(L$1, lmic_raw[#Headers],0))=0, INDEX(regions[], MATCH($D101, regions[[setting]:[setting]],0), MATCH(L$1, regions[#Headers],0)),INDEX(lmic_raw[],MATCH($A101,lmic_raw[[setting]:[setting]],0), MATCH(L$1, lmic_raw[#Headers],0)))</f>
        <v>0.9</v>
      </c>
      <c r="M101" s="33">
        <f>IF(INDEX(lmic_raw[],MATCH($A101,lmic_raw[[setting]:[setting]],0), MATCH(M$1, lmic_raw[#Headers],0))=0, INDEX(regions[], MATCH($D101, regions[[setting]:[setting]],0), MATCH(M$1, regions[#Headers],0)),INDEX(lmic_raw[],MATCH($A101,lmic_raw[[setting]:[setting]],0), MATCH(M$1, lmic_raw[#Headers],0)))</f>
        <v>4.7899999999999998E-2</v>
      </c>
      <c r="N101" s="33">
        <f>IF(INDEX(lmic_raw[],MATCH($A101,lmic_raw[[setting]:[setting]],0), MATCH(N$1, lmic_raw[#Headers],0))=0, INDEX(regions[], MATCH($D101, regions[[setting]:[setting]],0), MATCH(N$1, regions[#Headers],0)),INDEX(lmic_raw[],MATCH($A101,lmic_raw[[setting]:[setting]],0), MATCH(N$1, lmic_raw[#Headers],0)))</f>
        <v>0.29652203627996709</v>
      </c>
      <c r="O101" s="33">
        <f>IF(INDEX(lmic_raw[],MATCH($A101,lmic_raw[[setting]:[setting]],0), MATCH(O$1, lmic_raw[#Headers],0))=0, INDEX(regions[], MATCH($D101, regions[[setting]:[setting]],0), MATCH(O$1, regions[#Headers],0)),INDEX(lmic_raw[],MATCH($A101,lmic_raw[[setting]:[setting]],0), MATCH(O$1, lmic_raw[#Headers],0)))</f>
        <v>0.8</v>
      </c>
      <c r="P101" s="33">
        <f>IF(INDEX(lmic_raw[],MATCH($A101,lmic_raw[[setting]:[setting]],0), MATCH(P$1, lmic_raw[#Headers],0))=0, INDEX(regions[], MATCH($D101, regions[[setting]:[setting]],0), MATCH(P$1, regions[#Headers],0)),INDEX(lmic_raw[],MATCH($A101,lmic_raw[[setting]:[setting]],0), MATCH(P$1, lmic_raw[#Headers],0)))</f>
        <v>0.17499999999999999</v>
      </c>
      <c r="Q101" s="33">
        <f>IF(INDEX(lmic_raw[],MATCH($A101,lmic_raw[[setting]:[setting]],0), MATCH(Q$1, lmic_raw[#Headers],0))=0, INDEX(regions[], MATCH($D101, regions[[setting]:[setting]],0), MATCH(Q$1, regions[#Headers],0)),INDEX(lmic_raw[],MATCH($A101,lmic_raw[[setting]:[setting]],0), MATCH(Q$1, lmic_raw[#Headers],0)))</f>
        <v>13.470968923253505</v>
      </c>
      <c r="R101" s="33">
        <f>IF(INDEX(lmic_raw[],MATCH($A101,lmic_raw[[setting]:[setting]],0), MATCH(R$1, lmic_raw[#Headers],0))=0, INDEX(regions[], MATCH($D101, regions[[setting]:[setting]],0), MATCH(R$1, regions[#Headers],0)),INDEX(lmic_raw[],MATCH($A101,lmic_raw[[setting]:[setting]],0), MATCH(R$1, lmic_raw[#Headers],0)))</f>
        <v>44.537400000000005</v>
      </c>
      <c r="S101" s="33">
        <f>IF(INDEX(lmic_raw[],MATCH($A101,lmic_raw[[setting]:[setting]],0), MATCH(S$1, lmic_raw[#Headers],0))=0, INDEX(regions[], MATCH($D101, regions[[setting]:[setting]],0), MATCH(S$1, regions[#Headers],0)),INDEX(lmic_raw[],MATCH($A101,lmic_raw[[setting]:[setting]],0), MATCH(S$1, lmic_raw[#Headers],0)))</f>
        <v>92.27940000000001</v>
      </c>
      <c r="T101" s="33">
        <f>IF(INDEX(lmic_raw[],MATCH($A101,lmic_raw[[setting]:[setting]],0), MATCH(T$1, lmic_raw[#Headers],0))=0, INDEX(regions[], MATCH($D101, regions[[setting]:[setting]],0), MATCH(T$1, regions[#Headers],0)),INDEX(lmic_raw[],MATCH($A101,lmic_raw[[setting]:[setting]],0), MATCH(T$1, lmic_raw[#Headers],0)))</f>
        <v>92.27940000000001</v>
      </c>
      <c r="U101" s="33">
        <f>IF(INDEX(lmic_raw[],MATCH($A101,lmic_raw[[setting]:[setting]],0), MATCH(U$1, lmic_raw[#Headers],0))=0, INDEX(regions[], MATCH($D101, regions[[setting]:[setting]],0), MATCH(U$1, regions[#Headers],0)),INDEX(lmic_raw[],MATCH($A101,lmic_raw[[setting]:[setting]],0), MATCH(U$1, lmic_raw[#Headers],0)))</f>
        <v>92.27940000000001</v>
      </c>
      <c r="V101" s="33">
        <f>IF(INDEX(lmic_raw[],MATCH($A101,lmic_raw[[setting]:[setting]],0), MATCH(V$1, lmic_raw[#Headers],0))=0, INDEX(regions[], MATCH($D101, regions[[setting]:[setting]],0), MATCH(V$1, regions[#Headers],0)),INDEX(lmic_raw[],MATCH($A101,lmic_raw[[setting]:[setting]],0), MATCH(V$1, lmic_raw[#Headers],0)))</f>
        <v>4.3870239011754144</v>
      </c>
      <c r="W101" s="33">
        <f>IF(INDEX(lmic_raw[],MATCH($A101,lmic_raw[[setting]:[setting]],0), MATCH(W$1, lmic_raw[#Headers],0))=0, INDEX(regions[], MATCH($D101, regions[[setting]:[setting]],0), MATCH(W$1, regions[#Headers],0)),INDEX(lmic_raw[],MATCH($A101,lmic_raw[[setting]:[setting]],0), MATCH(W$1, lmic_raw[#Headers],0)))</f>
        <v>8.4570239011754147</v>
      </c>
      <c r="X101" s="33">
        <f>IF(INDEX(lmic_raw[],MATCH($A101,lmic_raw[[setting]:[setting]],0), MATCH(X$1, lmic_raw[#Headers],0))=0, INDEX(regions[], MATCH($D101, regions[[setting]:[setting]],0), MATCH(X$1, regions[#Headers],0)),INDEX(lmic_raw[],MATCH($A101,lmic_raw[[setting]:[setting]],0), MATCH(X$1, lmic_raw[#Headers],0)))</f>
        <v>3.9289134793891893</v>
      </c>
      <c r="Y101" s="33">
        <f>IF(INDEX(lmic_raw[],MATCH($A101,lmic_raw[[setting]:[setting]],0), MATCH(Y$1, lmic_raw[#Headers],0))=0, INDEX(regions[], MATCH($D101, regions[[setting]:[setting]],0), MATCH(Y$1, regions[#Headers],0)),INDEX(lmic_raw[],MATCH($A101,lmic_raw[[setting]:[setting]],0), MATCH(Y$1, lmic_raw[#Headers],0)))</f>
        <v>7.9989134793891896</v>
      </c>
      <c r="Z101" s="33">
        <f>IF(INDEX(lmic_raw[],MATCH($A101,lmic_raw[[setting]:[setting]],0), MATCH(Z$1, lmic_raw[#Headers],0))=0, INDEX(regions[], MATCH($D101, regions[[setting]:[setting]],0), MATCH(Z$1, regions[#Headers],0)),INDEX(lmic_raw[],MATCH($A101,lmic_raw[[setting]:[setting]],0), MATCH(Z$1, lmic_raw[#Headers],0)))</f>
        <v>7.983098295198241</v>
      </c>
      <c r="AA101" s="33">
        <f>IF(INDEX(lmic_raw[],MATCH($A101,lmic_raw[[setting]:[setting]],0), MATCH(AA$1, lmic_raw[#Headers],0))=0, INDEX(regions[], MATCH($D101, regions[[setting]:[setting]],0), MATCH(AA$1, regions[#Headers],0)),INDEX(lmic_raw[],MATCH($A101,lmic_raw[[setting]:[setting]],0), MATCH(AA$1, lmic_raw[#Headers],0)))</f>
        <v>4.6403827685658214</v>
      </c>
      <c r="AB101" s="33">
        <f>IF(INDEX(lmic_raw[],MATCH($A101,lmic_raw[[setting]:[setting]],0), MATCH(AB$1, lmic_raw[#Headers],0))=0, INDEX(regions[], MATCH($D101, regions[[setting]:[setting]],0), MATCH(AB$1, regions[#Headers],0)),INDEX(lmic_raw[],MATCH($A101,lmic_raw[[setting]:[setting]],0), MATCH(AB$1, lmic_raw[#Headers],0)))</f>
        <v>8.7103827685658217</v>
      </c>
      <c r="AC101" s="33">
        <f>IF(INDEX(lmic_raw[],MATCH($A101,lmic_raw[[setting]:[setting]],0), MATCH(AC$1, lmic_raw[#Headers],0))=0, INDEX(regions[], MATCH($D101, regions[[setting]:[setting]],0), MATCH(AC$1, regions[#Headers],0)),INDEX(lmic_raw[],MATCH($A101,lmic_raw[[setting]:[setting]],0), MATCH(AC$1, lmic_raw[#Headers],0)))</f>
        <v>6.6842399999999906E-3</v>
      </c>
      <c r="AD101" s="33">
        <f>IF(INDEX(lmic_raw[],MATCH($A101,lmic_raw[[setting]:[setting]],0), MATCH(AD$1, lmic_raw[#Headers],0))=0, INDEX(regions[], MATCH($D101, regions[[setting]:[setting]],0), MATCH(AD$1, regions[#Headers],0)),INDEX(lmic_raw[],MATCH($A101,lmic_raw[[setting]:[setting]],0), MATCH(AD$1, lmic_raw[#Headers],0)))</f>
        <v>3.0318405498771953E-4</v>
      </c>
      <c r="AE101" s="33">
        <f>IF(INDEX(lmic_raw[],MATCH($A101,lmic_raw[[setting]:[setting]],0), MATCH(AE$1, lmic_raw[#Headers],0))=0, INDEX(regions[], MATCH($D101, regions[[setting]:[setting]],0), MATCH(AE$1, regions[#Headers],0)),INDEX(lmic_raw[],MATCH($A101,lmic_raw[[setting]:[setting]],0), MATCH(AE$1, lmic_raw[#Headers],0)))</f>
        <v>1.425041970852647E-4</v>
      </c>
      <c r="AF101" s="33">
        <f>IF(INDEX(lmic_raw[],MATCH($A101,lmic_raw[[setting]:[setting]],0), MATCH(AF$1, lmic_raw[#Headers],0))=0, INDEX(regions[], MATCH($D101, regions[[setting]:[setting]],0), MATCH(AF$1, regions[#Headers],0)),INDEX(lmic_raw[],MATCH($A101,lmic_raw[[setting]:[setting]],0), MATCH(AF$1, lmic_raw[#Headers],0)))</f>
        <v>1.9484080676153404E-4</v>
      </c>
      <c r="AG101" s="33">
        <f>IF(INDEX(lmic_raw[],MATCH($A101,lmic_raw[[setting]:[setting]],0), MATCH(AG$1, lmic_raw[#Headers],0))=0, INDEX(regions[], MATCH($D101, regions[[setting]:[setting]],0), MATCH(AG$1, regions[#Headers],0)),INDEX(lmic_raw[],MATCH($A101,lmic_raw[[setting]:[setting]],0), MATCH(AG$1, lmic_raw[#Headers],0)))</f>
        <v>3.6115118315283815E-4</v>
      </c>
      <c r="AH101" s="33">
        <f>IF(INDEX(lmic_raw[],MATCH($A101,lmic_raw[[setting]:[setting]],0), MATCH(AH$1, lmic_raw[#Headers],0))=0, INDEX(regions[], MATCH($D101, regions[[setting]:[setting]],0), MATCH(AH$1, regions[#Headers],0)),INDEX(lmic_raw[],MATCH($A101,lmic_raw[[setting]:[setting]],0), MATCH(AH$1, lmic_raw[#Headers],0)))</f>
        <v>4.6925407599540003E-4</v>
      </c>
      <c r="AI101" s="33">
        <f>IF(INDEX(lmic_raw[],MATCH($A101,lmic_raw[[setting]:[setting]],0), MATCH(AI$1, lmic_raw[#Headers],0))=0, INDEX(regions[], MATCH($D101, regions[[setting]:[setting]],0), MATCH(AI$1, regions[#Headers],0)),INDEX(lmic_raw[],MATCH($A101,lmic_raw[[setting]:[setting]],0), MATCH(AI$1, lmic_raw[#Headers],0)))</f>
        <v>6.5122811246581824E-4</v>
      </c>
      <c r="AJ101" s="33">
        <f>IF(INDEX(lmic_raw[],MATCH($A101,lmic_raw[[setting]:[setting]],0), MATCH(AJ$1, lmic_raw[#Headers],0))=0, INDEX(regions[], MATCH($D101, regions[[setting]:[setting]],0), MATCH(AJ$1, regions[#Headers],0)),INDEX(lmic_raw[],MATCH($A101,lmic_raw[[setting]:[setting]],0), MATCH(AJ$1, lmic_raw[#Headers],0)))</f>
        <v>7.452833973323812E-4</v>
      </c>
      <c r="AK101" s="33">
        <f>IF(INDEX(lmic_raw[],MATCH($A101,lmic_raw[[setting]:[setting]],0), MATCH(AK$1, lmic_raw[#Headers],0))=0, INDEX(regions[], MATCH($D101, regions[[setting]:[setting]],0), MATCH(AK$1, regions[#Headers],0)),INDEX(lmic_raw[],MATCH($A101,lmic_raw[[setting]:[setting]],0), MATCH(AK$1, lmic_raw[#Headers],0)))</f>
        <v>1.2024848958624565E-3</v>
      </c>
      <c r="AL101" s="33">
        <f>IF(INDEX(lmic_raw[],MATCH($A101,lmic_raw[[setting]:[setting]],0), MATCH(AL$1, lmic_raw[#Headers],0))=0, INDEX(regions[], MATCH($D101, regions[[setting]:[setting]],0), MATCH(AL$1, regions[#Headers],0)),INDEX(lmic_raw[],MATCH($A101,lmic_raw[[setting]:[setting]],0), MATCH(AL$1, lmic_raw[#Headers],0)))</f>
        <v>2.244420495152142E-3</v>
      </c>
      <c r="AM101" s="33">
        <f>IF(INDEX(lmic_raw[],MATCH($A101,lmic_raw[[setting]:[setting]],0), MATCH(AM$1, lmic_raw[#Headers],0))=0, INDEX(regions[], MATCH($D101, regions[[setting]:[setting]],0), MATCH(AM$1, regions[#Headers],0)),INDEX(lmic_raw[],MATCH($A101,lmic_raw[[setting]:[setting]],0), MATCH(AM$1, lmic_raw[#Headers],0)))</f>
        <v>3.5371117722346442E-3</v>
      </c>
      <c r="AN101" s="33">
        <f>IF(INDEX(lmic_raw[],MATCH($A101,lmic_raw[[setting]:[setting]],0), MATCH(AN$1, lmic_raw[#Headers],0))=0, INDEX(regions[], MATCH($D101, regions[[setting]:[setting]],0), MATCH(AN$1, regions[#Headers],0)),INDEX(lmic_raw[],MATCH($A101,lmic_raw[[setting]:[setting]],0), MATCH(AN$1, lmic_raw[#Headers],0)))</f>
        <v>6.3403521554464513E-3</v>
      </c>
      <c r="AO101" s="33">
        <f>IF(INDEX(lmic_raw[],MATCH($A101,lmic_raw[[setting]:[setting]],0), MATCH(AO$1, lmic_raw[#Headers],0))=0, INDEX(regions[], MATCH($D101, regions[[setting]:[setting]],0), MATCH(AO$1, regions[#Headers],0)),INDEX(lmic_raw[],MATCH($A101,lmic_raw[[setting]:[setting]],0), MATCH(AO$1, lmic_raw[#Headers],0)))</f>
        <v>1.0636469267600703E-2</v>
      </c>
      <c r="AP101" s="33">
        <f>IF(INDEX(lmic_raw[],MATCH($A101,lmic_raw[[setting]:[setting]],0), MATCH(AP$1, lmic_raw[#Headers],0))=0, INDEX(regions[], MATCH($D101, regions[[setting]:[setting]],0), MATCH(AP$1, regions[#Headers],0)),INDEX(lmic_raw[],MATCH($A101,lmic_raw[[setting]:[setting]],0), MATCH(AP$1, lmic_raw[#Headers],0)))</f>
        <v>1.5360327551154048E-2</v>
      </c>
      <c r="AQ101" s="33">
        <f>IF(INDEX(lmic_raw[],MATCH($A101,lmic_raw[[setting]:[setting]],0), MATCH(AQ$1, lmic_raw[#Headers],0))=0, INDEX(regions[], MATCH($D101, regions[[setting]:[setting]],0), MATCH(AQ$1, regions[#Headers],0)),INDEX(lmic_raw[],MATCH($A101,lmic_raw[[setting]:[setting]],0), MATCH(AQ$1, lmic_raw[#Headers],0)))</f>
        <v>1.9967948167314984E-2</v>
      </c>
      <c r="AR101" s="33">
        <f>IF(INDEX(lmic_raw[],MATCH($A101,lmic_raw[[setting]:[setting]],0), MATCH(AR$1, lmic_raw[#Headers],0))=0, INDEX(regions[], MATCH($D101, regions[[setting]:[setting]],0), MATCH(AR$1, regions[#Headers],0)),INDEX(lmic_raw[],MATCH($A101,lmic_raw[[setting]:[setting]],0), MATCH(AR$1, lmic_raw[#Headers],0)))</f>
        <v>2.892221027925896E-2</v>
      </c>
      <c r="AS101" s="33">
        <f>IF(INDEX(lmic_raw[],MATCH($A101,lmic_raw[[setting]:[setting]],0), MATCH(AS$1, lmic_raw[#Headers],0))=0, INDEX(regions[], MATCH($D101, regions[[setting]:[setting]],0), MATCH(AS$1, regions[#Headers],0)),INDEX(lmic_raw[],MATCH($A101,lmic_raw[[setting]:[setting]],0), MATCH(AS$1, lmic_raw[#Headers],0)))</f>
        <v>4.6247457209238875E-2</v>
      </c>
      <c r="AT101" s="33">
        <f>IF(INDEX(lmic_raw[],MATCH($A101,lmic_raw[[setting]:[setting]],0), MATCH(AT$1, lmic_raw[#Headers],0))=0, INDEX(regions[], MATCH($D101, regions[[setting]:[setting]],0), MATCH(AT$1, regions[#Headers],0)),INDEX(lmic_raw[],MATCH($A101,lmic_raw[[setting]:[setting]],0), MATCH(AT$1, lmic_raw[#Headers],0)))</f>
        <v>7.3521818180244697E-2</v>
      </c>
      <c r="AU101" s="33">
        <f>IF(INDEX(lmic_raw[],MATCH($A101,lmic_raw[[setting]:[setting]],0), MATCH(AU$1, lmic_raw[#Headers],0))=0, INDEX(regions[], MATCH($D101, regions[[setting]:[setting]],0), MATCH(AU$1, regions[#Headers],0)),INDEX(lmic_raw[],MATCH($A101,lmic_raw[[setting]:[setting]],0), MATCH(AU$1, lmic_raw[#Headers],0)))</f>
        <v>0.10865451213048771</v>
      </c>
      <c r="AV101" s="33">
        <f>IF(INDEX(lmic_raw[],MATCH($A101,lmic_raw[[setting]:[setting]],0), MATCH(AV$1, lmic_raw[#Headers],0))=0, INDEX(regions[], MATCH($D101, regions[[setting]:[setting]],0), MATCH(AV$1, regions[#Headers],0)),INDEX(lmic_raw[],MATCH($A101,lmic_raw[[setting]:[setting]],0), MATCH(AV$1, lmic_raw[#Headers],0)))</f>
        <v>0.1428225858078819</v>
      </c>
      <c r="AW101" s="33">
        <f>IF(INDEX(lmic_raw[],MATCH($A101,lmic_raw[[setting]:[setting]],0), MATCH(AW$1, lmic_raw[#Headers],0))=0, INDEX(regions[], MATCH($D101, regions[[setting]:[setting]],0), MATCH(AW$1, regions[#Headers],0)),INDEX(lmic_raw[],MATCH($A101,lmic_raw[[setting]:[setting]],0), MATCH(AW$1, lmic_raw[#Headers],0)))</f>
        <v>0.16836792437782133</v>
      </c>
      <c r="AX101" s="33">
        <f>IF(INDEX(lmic_raw[],MATCH($A101,lmic_raw[[setting]:[setting]],0), MATCH(AX$1, lmic_raw[#Headers],0))=0, INDEX(regions[], MATCH($D101, regions[[setting]:[setting]],0), MATCH(AX$1, regions[#Headers],0)),INDEX(lmic_raw[],MATCH($A101,lmic_raw[[setting]:[setting]],0), MATCH(AX$1, lmic_raw[#Headers],0)))</f>
        <v>75.826999999999998</v>
      </c>
      <c r="AY101" s="33" t="str">
        <f>IF(VLOOKUP($A101,lmic_raw[],11,FALSE)=0, "Yes", "No")</f>
        <v>No</v>
      </c>
    </row>
    <row r="102" spans="1:51" x14ac:dyDescent="0.25">
      <c r="A102" s="109" t="s">
        <v>641</v>
      </c>
      <c r="B102" s="101" t="s">
        <v>501</v>
      </c>
      <c r="C102" s="102">
        <v>643</v>
      </c>
      <c r="D102" s="82" t="s">
        <v>675</v>
      </c>
      <c r="E102" s="82" t="s">
        <v>306</v>
      </c>
      <c r="F102" s="82" t="s">
        <v>663</v>
      </c>
      <c r="G102" s="82" t="s">
        <v>676</v>
      </c>
      <c r="H102" s="33">
        <f>IF(INDEX(lmic_raw[],MATCH($A102,lmic_raw[[setting]:[setting]],0), MATCH(H$1, lmic_raw[#Headers],0))=0, INDEX(regions[], MATCH($D102, regions[[setting]:[setting]],0), MATCH(H$1, regions[#Headers],0)),INDEX(lmic_raw[],MATCH($A102,lmic_raw[[setting]:[setting]],0), MATCH(H$1, lmic_raw[#Headers],0)))</f>
        <v>145872260</v>
      </c>
      <c r="I102" s="33">
        <f>IF(INDEX(lmic_raw[],MATCH($A102,lmic_raw[[setting]:[setting]],0), MATCH(I$1, lmic_raw[#Headers],0))=0, INDEX(regions[], MATCH($D102, regions[[setting]:[setting]],0), MATCH(I$1, regions[#Headers],0)),INDEX(lmic_raw[],MATCH($A102,lmic_raw[[setting]:[setting]],0), MATCH(I$1, lmic_raw[#Headers],0)))</f>
        <v>1862788.7602000001</v>
      </c>
      <c r="J102" s="33">
        <f>IF(INDEX(lmic_raw[],MATCH($A102,lmic_raw[[setting]:[setting]],0), MATCH(J$1, lmic_raw[#Headers],0))=0, INDEX(regions[], MATCH($D102, regions[[setting]:[setting]],0), MATCH(J$1, regions[#Headers],0)),INDEX(lmic_raw[],MATCH($A102,lmic_raw[[setting]:[setting]],0), MATCH(J$1, lmic_raw[#Headers],0)))</f>
        <v>0.98699999999999999</v>
      </c>
      <c r="K102" s="33">
        <f>IF(INDEX(lmic_raw[],MATCH($A102,lmic_raw[[setting]:[setting]],0), MATCH(K$1, lmic_raw[#Headers],0))=0, INDEX(regions[], MATCH($D102, regions[[setting]:[setting]],0), MATCH(K$1, regions[#Headers],0)),INDEX(lmic_raw[],MATCH($A102,lmic_raw[[setting]:[setting]],0), MATCH(K$1, lmic_raw[#Headers],0)))</f>
        <v>0.94232220105184217</v>
      </c>
      <c r="L102" s="33">
        <f>IF(INDEX(lmic_raw[],MATCH($A102,lmic_raw[[setting]:[setting]],0), MATCH(L$1, lmic_raw[#Headers],0))=0, INDEX(regions[], MATCH($D102, regions[[setting]:[setting]],0), MATCH(L$1, regions[#Headers],0)),INDEX(lmic_raw[],MATCH($A102,lmic_raw[[setting]:[setting]],0), MATCH(L$1, lmic_raw[#Headers],0)))</f>
        <v>0.97</v>
      </c>
      <c r="M102" s="33">
        <f>IF(INDEX(lmic_raw[],MATCH($A102,lmic_raw[[setting]:[setting]],0), MATCH(M$1, lmic_raw[#Headers],0))=0, INDEX(regions[], MATCH($D102, regions[[setting]:[setting]],0), MATCH(M$1, regions[#Headers],0)),INDEX(lmic_raw[],MATCH($A102,lmic_raw[[setting]:[setting]],0), MATCH(M$1, lmic_raw[#Headers],0)))</f>
        <v>2.8500000000000001E-2</v>
      </c>
      <c r="N102" s="33">
        <f>IF(INDEX(lmic_raw[],MATCH($A102,lmic_raw[[setting]:[setting]],0), MATCH(N$1, lmic_raw[#Headers],0))=0, INDEX(regions[], MATCH($D102, regions[[setting]:[setting]],0), MATCH(N$1, regions[#Headers],0)),INDEX(lmic_raw[],MATCH($A102,lmic_raw[[setting]:[setting]],0), MATCH(N$1, lmic_raw[#Headers],0)))</f>
        <v>0.28539878311890399</v>
      </c>
      <c r="O102" s="33">
        <f>IF(INDEX(lmic_raw[],MATCH($A102,lmic_raw[[setting]:[setting]],0), MATCH(O$1, lmic_raw[#Headers],0))=0, INDEX(regions[], MATCH($D102, regions[[setting]:[setting]],0), MATCH(O$1, regions[#Headers],0)),INDEX(lmic_raw[],MATCH($A102,lmic_raw[[setting]:[setting]],0), MATCH(O$1, lmic_raw[#Headers],0)))</f>
        <v>0.8</v>
      </c>
      <c r="P102" s="33">
        <f>IF(INDEX(lmic_raw[],MATCH($A102,lmic_raw[[setting]:[setting]],0), MATCH(P$1, lmic_raw[#Headers],0))=0, INDEX(regions[], MATCH($D102, regions[[setting]:[setting]],0), MATCH(P$1, regions[#Headers],0)),INDEX(lmic_raw[],MATCH($A102,lmic_raw[[setting]:[setting]],0), MATCH(P$1, lmic_raw[#Headers],0)))</f>
        <v>0.17499999999999999</v>
      </c>
      <c r="Q102" s="33">
        <f>IF(INDEX(lmic_raw[],MATCH($A102,lmic_raw[[setting]:[setting]],0), MATCH(Q$1, lmic_raw[#Headers],0))=0, INDEX(regions[], MATCH($D102, regions[[setting]:[setting]],0), MATCH(Q$1, regions[#Headers],0)),INDEX(lmic_raw[],MATCH($A102,lmic_raw[[setting]:[setting]],0), MATCH(Q$1, lmic_raw[#Headers],0)))</f>
        <v>17.767565080348064</v>
      </c>
      <c r="R102" s="33">
        <f>IF(INDEX(lmic_raw[],MATCH($A102,lmic_raw[[setting]:[setting]],0), MATCH(R$1, lmic_raw[#Headers],0))=0, INDEX(regions[], MATCH($D102, regions[[setting]:[setting]],0), MATCH(R$1, regions[#Headers],0)),INDEX(lmic_raw[],MATCH($A102,lmic_raw[[setting]:[setting]],0), MATCH(R$1, lmic_raw[#Headers],0)))</f>
        <v>44.537400000000005</v>
      </c>
      <c r="S102" s="33">
        <f>IF(INDEX(lmic_raw[],MATCH($A102,lmic_raw[[setting]:[setting]],0), MATCH(S$1, lmic_raw[#Headers],0))=0, INDEX(regions[], MATCH($D102, regions[[setting]:[setting]],0), MATCH(S$1, regions[#Headers],0)),INDEX(lmic_raw[],MATCH($A102,lmic_raw[[setting]:[setting]],0), MATCH(S$1, lmic_raw[#Headers],0)))</f>
        <v>92.27940000000001</v>
      </c>
      <c r="T102" s="33">
        <f>IF(INDEX(lmic_raw[],MATCH($A102,lmic_raw[[setting]:[setting]],0), MATCH(T$1, lmic_raw[#Headers],0))=0, INDEX(regions[], MATCH($D102, regions[[setting]:[setting]],0), MATCH(T$1, regions[#Headers],0)),INDEX(lmic_raw[],MATCH($A102,lmic_raw[[setting]:[setting]],0), MATCH(T$1, lmic_raw[#Headers],0)))</f>
        <v>92.27940000000001</v>
      </c>
      <c r="U102" s="33">
        <f>IF(INDEX(lmic_raw[],MATCH($A102,lmic_raw[[setting]:[setting]],0), MATCH(U$1, lmic_raw[#Headers],0))=0, INDEX(regions[], MATCH($D102, regions[[setting]:[setting]],0), MATCH(U$1, regions[#Headers],0)),INDEX(lmic_raw[],MATCH($A102,lmic_raw[[setting]:[setting]],0), MATCH(U$1, lmic_raw[#Headers],0)))</f>
        <v>92.27940000000001</v>
      </c>
      <c r="V102" s="33">
        <f>IF(INDEX(lmic_raw[],MATCH($A102,lmic_raw[[setting]:[setting]],0), MATCH(V$1, lmic_raw[#Headers],0))=0, INDEX(regions[], MATCH($D102, regions[[setting]:[setting]],0), MATCH(V$1, regions[#Headers],0)),INDEX(lmic_raw[],MATCH($A102,lmic_raw[[setting]:[setting]],0), MATCH(V$1, lmic_raw[#Headers],0)))</f>
        <v>4.1116582995694033</v>
      </c>
      <c r="W102" s="33">
        <f>IF(INDEX(lmic_raw[],MATCH($A102,lmic_raw[[setting]:[setting]],0), MATCH(W$1, lmic_raw[#Headers],0))=0, INDEX(regions[], MATCH($D102, regions[[setting]:[setting]],0), MATCH(W$1, regions[#Headers],0)),INDEX(lmic_raw[],MATCH($A102,lmic_raw[[setting]:[setting]],0), MATCH(W$1, lmic_raw[#Headers],0)))</f>
        <v>8.1816582995694027</v>
      </c>
      <c r="X102" s="33">
        <f>IF(INDEX(lmic_raw[],MATCH($A102,lmic_raw[[setting]:[setting]],0), MATCH(X$1, lmic_raw[#Headers],0))=0, INDEX(regions[], MATCH($D102, regions[[setting]:[setting]],0), MATCH(X$1, regions[#Headers],0)),INDEX(lmic_raw[],MATCH($A102,lmic_raw[[setting]:[setting]],0), MATCH(X$1, lmic_raw[#Headers],0)))</f>
        <v>3.6575641848085914</v>
      </c>
      <c r="Y102" s="33">
        <f>IF(INDEX(lmic_raw[],MATCH($A102,lmic_raw[[setting]:[setting]],0), MATCH(Y$1, lmic_raw[#Headers],0))=0, INDEX(regions[], MATCH($D102, regions[[setting]:[setting]],0), MATCH(Y$1, regions[#Headers],0)),INDEX(lmic_raw[],MATCH($A102,lmic_raw[[setting]:[setting]],0), MATCH(Y$1, lmic_raw[#Headers],0)))</f>
        <v>7.7275641848085916</v>
      </c>
      <c r="Z102" s="33">
        <f>IF(INDEX(lmic_raw[],MATCH($A102,lmic_raw[[setting]:[setting]],0), MATCH(Z$1, lmic_raw[#Headers],0))=0, INDEX(regions[], MATCH($D102, regions[[setting]:[setting]],0), MATCH(Z$1, regions[#Headers],0)),INDEX(lmic_raw[],MATCH($A102,lmic_raw[[setting]:[setting]],0), MATCH(Z$1, lmic_raw[#Headers],0)))</f>
        <v>7.7132635423426219</v>
      </c>
      <c r="AA102" s="33">
        <f>IF(INDEX(lmic_raw[],MATCH($A102,lmic_raw[[setting]:[setting]],0), MATCH(AA$1, lmic_raw[#Headers],0))=0, INDEX(regions[], MATCH($D102, regions[[setting]:[setting]],0), MATCH(AA$1, regions[#Headers],0)),INDEX(lmic_raw[],MATCH($A102,lmic_raw[[setting]:[setting]],0), MATCH(AA$1, lmic_raw[#Headers],0)))</f>
        <v>4.3635694283808819</v>
      </c>
      <c r="AB102" s="33">
        <f>IF(INDEX(lmic_raw[],MATCH($A102,lmic_raw[[setting]:[setting]],0), MATCH(AB$1, lmic_raw[#Headers],0))=0, INDEX(regions[], MATCH($D102, regions[[setting]:[setting]],0), MATCH(AB$1, regions[#Headers],0)),INDEX(lmic_raw[],MATCH($A102,lmic_raw[[setting]:[setting]],0), MATCH(AB$1, lmic_raw[#Headers],0)))</f>
        <v>8.4335694283808813</v>
      </c>
      <c r="AC102" s="33">
        <f>IF(INDEX(lmic_raw[],MATCH($A102,lmic_raw[[setting]:[setting]],0), MATCH(AC$1, lmic_raw[#Headers],0))=0, INDEX(regions[], MATCH($D102, regions[[setting]:[setting]],0), MATCH(AC$1, regions[#Headers],0)),INDEX(lmic_raw[],MATCH($A102,lmic_raw[[setting]:[setting]],0), MATCH(AC$1, lmic_raw[#Headers],0)))</f>
        <v>5.7585300000000282E-3</v>
      </c>
      <c r="AD102" s="33">
        <f>IF(INDEX(lmic_raw[],MATCH($A102,lmic_raw[[setting]:[setting]],0), MATCH(AD$1, lmic_raw[#Headers],0))=0, INDEX(regions[], MATCH($D102, regions[[setting]:[setting]],0), MATCH(AD$1, regions[#Headers],0)),INDEX(lmic_raw[],MATCH($A102,lmic_raw[[setting]:[setting]],0), MATCH(AD$1, lmic_raw[#Headers],0)))</f>
        <v>3.4070948579522677E-4</v>
      </c>
      <c r="AE102" s="33">
        <f>IF(INDEX(lmic_raw[],MATCH($A102,lmic_raw[[setting]:[setting]],0), MATCH(AE$1, lmic_raw[#Headers],0))=0, INDEX(regions[], MATCH($D102, regions[[setting]:[setting]],0), MATCH(AE$1, regions[#Headers],0)),INDEX(lmic_raw[],MATCH($A102,lmic_raw[[setting]:[setting]],0), MATCH(AE$1, lmic_raw[#Headers],0)))</f>
        <v>1.9714841922312582E-4</v>
      </c>
      <c r="AF102" s="33">
        <f>IF(INDEX(lmic_raw[],MATCH($A102,lmic_raw[[setting]:[setting]],0), MATCH(AF$1, lmic_raw[#Headers],0))=0, INDEX(regions[], MATCH($D102, regions[[setting]:[setting]],0), MATCH(AF$1, regions[#Headers],0)),INDEX(lmic_raw[],MATCH($A102,lmic_raw[[setting]:[setting]],0), MATCH(AF$1, lmic_raw[#Headers],0)))</f>
        <v>2.5998183802878542E-4</v>
      </c>
      <c r="AG102" s="33">
        <f>IF(INDEX(lmic_raw[],MATCH($A102,lmic_raw[[setting]:[setting]],0), MATCH(AG$1, lmic_raw[#Headers],0))=0, INDEX(regions[], MATCH($D102, regions[[setting]:[setting]],0), MATCH(AG$1, regions[#Headers],0)),INDEX(lmic_raw[],MATCH($A102,lmic_raw[[setting]:[setting]],0), MATCH(AG$1, lmic_raw[#Headers],0)))</f>
        <v>6.2632596472367275E-4</v>
      </c>
      <c r="AH102" s="33">
        <f>IF(INDEX(lmic_raw[],MATCH($A102,lmic_raw[[setting]:[setting]],0), MATCH(AH$1, lmic_raw[#Headers],0))=0, INDEX(regions[], MATCH($D102, regions[[setting]:[setting]],0), MATCH(AH$1, regions[#Headers],0)),INDEX(lmic_raw[],MATCH($A102,lmic_raw[[setting]:[setting]],0), MATCH(AH$1, lmic_raw[#Headers],0)))</f>
        <v>1.1106532732919165E-3</v>
      </c>
      <c r="AI102" s="33">
        <f>IF(INDEX(lmic_raw[],MATCH($A102,lmic_raw[[setting]:[setting]],0), MATCH(AI$1, lmic_raw[#Headers],0))=0, INDEX(regions[], MATCH($D102, regions[[setting]:[setting]],0), MATCH(AI$1, regions[#Headers],0)),INDEX(lmic_raw[],MATCH($A102,lmic_raw[[setting]:[setting]],0), MATCH(AI$1, lmic_raw[#Headers],0)))</f>
        <v>1.7836849479177434E-3</v>
      </c>
      <c r="AJ102" s="33">
        <f>IF(INDEX(lmic_raw[],MATCH($A102,lmic_raw[[setting]:[setting]],0), MATCH(AJ$1, lmic_raw[#Headers],0))=0, INDEX(regions[], MATCH($D102, regions[[setting]:[setting]],0), MATCH(AJ$1, regions[#Headers],0)),INDEX(lmic_raw[],MATCH($A102,lmic_raw[[setting]:[setting]],0), MATCH(AJ$1, lmic_raw[#Headers],0)))</f>
        <v>2.9934016833225176E-3</v>
      </c>
      <c r="AK102" s="33">
        <f>IF(INDEX(lmic_raw[],MATCH($A102,lmic_raw[[setting]:[setting]],0), MATCH(AK$1, lmic_raw[#Headers],0))=0, INDEX(regions[], MATCH($D102, regions[[setting]:[setting]],0), MATCH(AK$1, regions[#Headers],0)),INDEX(lmic_raw[],MATCH($A102,lmic_raw[[setting]:[setting]],0), MATCH(AK$1, lmic_raw[#Headers],0)))</f>
        <v>4.3898125745385399E-3</v>
      </c>
      <c r="AL102" s="33">
        <f>IF(INDEX(lmic_raw[],MATCH($A102,lmic_raw[[setting]:[setting]],0), MATCH(AL$1, lmic_raw[#Headers],0))=0, INDEX(regions[], MATCH($D102, regions[[setting]:[setting]],0), MATCH(AL$1, regions[#Headers],0)),INDEX(lmic_raw[],MATCH($A102,lmic_raw[[setting]:[setting]],0), MATCH(AL$1, lmic_raw[#Headers],0)))</f>
        <v>5.2677703075963362E-3</v>
      </c>
      <c r="AM102" s="33">
        <f>IF(INDEX(lmic_raw[],MATCH($A102,lmic_raw[[setting]:[setting]],0), MATCH(AM$1, lmic_raw[#Headers],0))=0, INDEX(regions[], MATCH($D102, regions[[setting]:[setting]],0), MATCH(AM$1, regions[#Headers],0)),INDEX(lmic_raw[],MATCH($A102,lmic_raw[[setting]:[setting]],0), MATCH(AM$1, lmic_raw[#Headers],0)))</f>
        <v>6.4730403752590159E-3</v>
      </c>
      <c r="AN102" s="33">
        <f>IF(INDEX(lmic_raw[],MATCH($A102,lmic_raw[[setting]:[setting]],0), MATCH(AN$1, lmic_raw[#Headers],0))=0, INDEX(regions[], MATCH($D102, regions[[setting]:[setting]],0), MATCH(AN$1, regions[#Headers],0)),INDEX(lmic_raw[],MATCH($A102,lmic_raw[[setting]:[setting]],0), MATCH(AN$1, lmic_raw[#Headers],0)))</f>
        <v>8.8325844058803841E-3</v>
      </c>
      <c r="AO102" s="33">
        <f>IF(INDEX(lmic_raw[],MATCH($A102,lmic_raw[[setting]:[setting]],0), MATCH(AO$1, lmic_raw[#Headers],0))=0, INDEX(regions[], MATCH($D102, regions[[setting]:[setting]],0), MATCH(AO$1, regions[#Headers],0)),INDEX(lmic_raw[],MATCH($A102,lmic_raw[[setting]:[setting]],0), MATCH(AO$1, lmic_raw[#Headers],0)))</f>
        <v>1.233125297976251E-2</v>
      </c>
      <c r="AP102" s="33">
        <f>IF(INDEX(lmic_raw[],MATCH($A102,lmic_raw[[setting]:[setting]],0), MATCH(AP$1, lmic_raw[#Headers],0))=0, INDEX(regions[], MATCH($D102, regions[[setting]:[setting]],0), MATCH(AP$1, regions[#Headers],0)),INDEX(lmic_raw[],MATCH($A102,lmic_raw[[setting]:[setting]],0), MATCH(AP$1, lmic_raw[#Headers],0)))</f>
        <v>1.7735855405113039E-2</v>
      </c>
      <c r="AQ102" s="33">
        <f>IF(INDEX(lmic_raw[],MATCH($A102,lmic_raw[[setting]:[setting]],0), MATCH(AQ$1, lmic_raw[#Headers],0))=0, INDEX(regions[], MATCH($D102, regions[[setting]:[setting]],0), MATCH(AQ$1, regions[#Headers],0)),INDEX(lmic_raw[],MATCH($A102,lmic_raw[[setting]:[setting]],0), MATCH(AQ$1, lmic_raw[#Headers],0)))</f>
        <v>2.3978999371009283E-2</v>
      </c>
      <c r="AR102" s="33">
        <f>IF(INDEX(lmic_raw[],MATCH($A102,lmic_raw[[setting]:[setting]],0), MATCH(AR$1, lmic_raw[#Headers],0))=0, INDEX(regions[], MATCH($D102, regions[[setting]:[setting]],0), MATCH(AR$1, regions[#Headers],0)),INDEX(lmic_raw[],MATCH($A102,lmic_raw[[setting]:[setting]],0), MATCH(AR$1, lmic_raw[#Headers],0)))</f>
        <v>3.3078415956344559E-2</v>
      </c>
      <c r="AS102" s="33">
        <f>IF(INDEX(lmic_raw[],MATCH($A102,lmic_raw[[setting]:[setting]],0), MATCH(AS$1, lmic_raw[#Headers],0))=0, INDEX(regions[], MATCH($D102, regions[[setting]:[setting]],0), MATCH(AS$1, regions[#Headers],0)),INDEX(lmic_raw[],MATCH($A102,lmic_raw[[setting]:[setting]],0), MATCH(AS$1, lmic_raw[#Headers],0)))</f>
        <v>4.968099062017043E-2</v>
      </c>
      <c r="AT102" s="33">
        <f>IF(INDEX(lmic_raw[],MATCH($A102,lmic_raw[[setting]:[setting]],0), MATCH(AT$1, lmic_raw[#Headers],0))=0, INDEX(regions[], MATCH($D102, regions[[setting]:[setting]],0), MATCH(AT$1, regions[#Headers],0)),INDEX(lmic_raw[],MATCH($A102,lmic_raw[[setting]:[setting]],0), MATCH(AT$1, lmic_raw[#Headers],0)))</f>
        <v>7.4722581691289675E-2</v>
      </c>
      <c r="AU102" s="33">
        <f>IF(INDEX(lmic_raw[],MATCH($A102,lmic_raw[[setting]:[setting]],0), MATCH(AU$1, lmic_raw[#Headers],0))=0, INDEX(regions[], MATCH($D102, regions[[setting]:[setting]],0), MATCH(AU$1, regions[#Headers],0)),INDEX(lmic_raw[],MATCH($A102,lmic_raw[[setting]:[setting]],0), MATCH(AU$1, lmic_raw[#Headers],0)))</f>
        <v>0.10067078718006313</v>
      </c>
      <c r="AV102" s="33">
        <f>IF(INDEX(lmic_raw[],MATCH($A102,lmic_raw[[setting]:[setting]],0), MATCH(AV$1, lmic_raw[#Headers],0))=0, INDEX(regions[], MATCH($D102, regions[[setting]:[setting]],0), MATCH(AV$1, regions[#Headers],0)),INDEX(lmic_raw[],MATCH($A102,lmic_raw[[setting]:[setting]],0), MATCH(AV$1, lmic_raw[#Headers],0)))</f>
        <v>0.13171700181276355</v>
      </c>
      <c r="AW102" s="33">
        <f>IF(INDEX(lmic_raw[],MATCH($A102,lmic_raw[[setting]:[setting]],0), MATCH(AW$1, lmic_raw[#Headers],0))=0, INDEX(regions[], MATCH($D102, regions[[setting]:[setting]],0), MATCH(AW$1, regions[#Headers],0)),INDEX(lmic_raw[],MATCH($A102,lmic_raw[[setting]:[setting]],0), MATCH(AW$1, lmic_raw[#Headers],0)))</f>
        <v>0.15851054982588345</v>
      </c>
      <c r="AX102" s="33">
        <f>IF(INDEX(lmic_raw[],MATCH($A102,lmic_raw[[setting]:[setting]],0), MATCH(AX$1, lmic_raw[#Headers],0))=0, INDEX(regions[], MATCH($D102, regions[[setting]:[setting]],0), MATCH(AX$1, regions[#Headers],0)),INDEX(lmic_raw[],MATCH($A102,lmic_raw[[setting]:[setting]],0), MATCH(AX$1, lmic_raw[#Headers],0)))</f>
        <v>72.289000000000001</v>
      </c>
      <c r="AY102" s="33" t="str">
        <f>IF(VLOOKUP($A102,lmic_raw[],11,FALSE)=0, "Yes", "No")</f>
        <v>Yes</v>
      </c>
    </row>
    <row r="103" spans="1:51" x14ac:dyDescent="0.25">
      <c r="A103" s="110" t="s">
        <v>113</v>
      </c>
      <c r="B103" s="104" t="s">
        <v>502</v>
      </c>
      <c r="C103" s="105">
        <v>646</v>
      </c>
      <c r="D103" s="84" t="s">
        <v>677</v>
      </c>
      <c r="E103" s="84" t="s">
        <v>597</v>
      </c>
      <c r="F103" s="84" t="s">
        <v>667</v>
      </c>
      <c r="G103" s="84" t="s">
        <v>674</v>
      </c>
      <c r="H103" s="33">
        <f>IF(INDEX(lmic_raw[],MATCH($A103,lmic_raw[[setting]:[setting]],0), MATCH(H$1, lmic_raw[#Headers],0))=0, INDEX(regions[], MATCH($D103, regions[[setting]:[setting]],0), MATCH(H$1, regions[#Headers],0)),INDEX(lmic_raw[],MATCH($A103,lmic_raw[[setting]:[setting]],0), MATCH(H$1, lmic_raw[#Headers],0)))</f>
        <v>12626938</v>
      </c>
      <c r="I103" s="33">
        <f>IF(INDEX(lmic_raw[],MATCH($A103,lmic_raw[[setting]:[setting]],0), MATCH(I$1, lmic_raw[#Headers],0))=0, INDEX(regions[], MATCH($D103, regions[[setting]:[setting]],0), MATCH(I$1, regions[#Headers],0)),INDEX(lmic_raw[],MATCH($A103,lmic_raw[[setting]:[setting]],0), MATCH(I$1, lmic_raw[#Headers],0)))</f>
        <v>405248.948172</v>
      </c>
      <c r="J103" s="33">
        <f>IF(INDEX(lmic_raw[],MATCH($A103,lmic_raw[[setting]:[setting]],0), MATCH(J$1, lmic_raw[#Headers],0))=0, INDEX(regions[], MATCH($D103, regions[[setting]:[setting]],0), MATCH(J$1, regions[#Headers],0)),INDEX(lmic_raw[],MATCH($A103,lmic_raw[[setting]:[setting]],0), MATCH(J$1, lmic_raw[#Headers],0)))</f>
        <v>0.90700000000000003</v>
      </c>
      <c r="K103" s="33">
        <f>IF(INDEX(lmic_raw[],MATCH($A103,lmic_raw[[setting]:[setting]],0), MATCH(K$1, lmic_raw[#Headers],0))=0, INDEX(regions[], MATCH($D103, regions[[setting]:[setting]],0), MATCH(K$1, regions[#Headers],0)),INDEX(lmic_raw[],MATCH($A103,lmic_raw[[setting]:[setting]],0), MATCH(K$1, lmic_raw[#Headers],0)))</f>
        <v>0.69252604416320784</v>
      </c>
      <c r="L103" s="33">
        <f>IF(INDEX(lmic_raw[],MATCH($A103,lmic_raw[[setting]:[setting]],0), MATCH(L$1, lmic_raw[#Headers],0))=0, INDEX(regions[], MATCH($D103, regions[[setting]:[setting]],0), MATCH(L$1, regions[#Headers],0)),INDEX(lmic_raw[],MATCH($A103,lmic_raw[[setting]:[setting]],0), MATCH(L$1, lmic_raw[#Headers],0)))</f>
        <v>0.98</v>
      </c>
      <c r="M103" s="33">
        <f>IF(INDEX(lmic_raw[],MATCH($A103,lmic_raw[[setting]:[setting]],0), MATCH(M$1, lmic_raw[#Headers],0))=0, INDEX(regions[], MATCH($D103, regions[[setting]:[setting]],0), MATCH(M$1, regions[#Headers],0)),INDEX(lmic_raw[],MATCH($A103,lmic_raw[[setting]:[setting]],0), MATCH(M$1, lmic_raw[#Headers],0)))</f>
        <v>4.5199999999999997E-2</v>
      </c>
      <c r="N103" s="33">
        <f>IF(INDEX(lmic_raw[],MATCH($A103,lmic_raw[[setting]:[setting]],0), MATCH(N$1, lmic_raw[#Headers],0))=0, INDEX(regions[], MATCH($D103, regions[[setting]:[setting]],0), MATCH(N$1, regions[#Headers],0)),INDEX(lmic_raw[],MATCH($A103,lmic_raw[[setting]:[setting]],0), MATCH(N$1, lmic_raw[#Headers],0)))</f>
        <v>0.27387499123711445</v>
      </c>
      <c r="O103" s="33">
        <f>IF(INDEX(lmic_raw[],MATCH($A103,lmic_raw[[setting]:[setting]],0), MATCH(O$1, lmic_raw[#Headers],0))=0, INDEX(regions[], MATCH($D103, regions[[setting]:[setting]],0), MATCH(O$1, regions[#Headers],0)),INDEX(lmic_raw[],MATCH($A103,lmic_raw[[setting]:[setting]],0), MATCH(O$1, lmic_raw[#Headers],0)))</f>
        <v>0.38300000000000001</v>
      </c>
      <c r="P103" s="33">
        <f>IF(INDEX(lmic_raw[],MATCH($A103,lmic_raw[[setting]:[setting]],0), MATCH(P$1, lmic_raw[#Headers],0))=0, INDEX(regions[], MATCH($D103, regions[[setting]:[setting]],0), MATCH(P$1, regions[#Headers],0)),INDEX(lmic_raw[],MATCH($A103,lmic_raw[[setting]:[setting]],0), MATCH(P$1, lmic_raw[#Headers],0)))</f>
        <v>4.8000000000000001E-2</v>
      </c>
      <c r="Q103" s="33">
        <f>IF(INDEX(lmic_raw[],MATCH($A103,lmic_raw[[setting]:[setting]],0), MATCH(Q$1, lmic_raw[#Headers],0))=0, INDEX(regions[], MATCH($D103, regions[[setting]:[setting]],0), MATCH(Q$1, regions[#Headers],0)),INDEX(lmic_raw[],MATCH($A103,lmic_raw[[setting]:[setting]],0), MATCH(Q$1, lmic_raw[#Headers],0)))</f>
        <v>2.8837761825674564</v>
      </c>
      <c r="R103" s="33">
        <f>IF(INDEX(lmic_raw[],MATCH($A103,lmic_raw[[setting]:[setting]],0), MATCH(R$1, lmic_raw[#Headers],0))=0, INDEX(regions[], MATCH($D103, regions[[setting]:[setting]],0), MATCH(R$1, regions[#Headers],0)),INDEX(lmic_raw[],MATCH($A103,lmic_raw[[setting]:[setting]],0), MATCH(R$1, lmic_raw[#Headers],0)))</f>
        <v>29.920500000000001</v>
      </c>
      <c r="S103" s="33">
        <f>IF(INDEX(lmic_raw[],MATCH($A103,lmic_raw[[setting]:[setting]],0), MATCH(S$1, lmic_raw[#Headers],0))=0, INDEX(regions[], MATCH($D103, regions[[setting]:[setting]],0), MATCH(S$1, regions[#Headers],0)),INDEX(lmic_raw[],MATCH($A103,lmic_raw[[setting]:[setting]],0), MATCH(S$1, lmic_raw[#Headers],0)))</f>
        <v>77.662500000000009</v>
      </c>
      <c r="T103" s="33">
        <f>IF(INDEX(lmic_raw[],MATCH($A103,lmic_raw[[setting]:[setting]],0), MATCH(T$1, lmic_raw[#Headers],0))=0, INDEX(regions[], MATCH($D103, regions[[setting]:[setting]],0), MATCH(T$1, regions[#Headers],0)),INDEX(lmic_raw[],MATCH($A103,lmic_raw[[setting]:[setting]],0), MATCH(T$1, lmic_raw[#Headers],0)))</f>
        <v>77.662500000000009</v>
      </c>
      <c r="U103" s="33">
        <f>IF(INDEX(lmic_raw[],MATCH($A103,lmic_raw[[setting]:[setting]],0), MATCH(U$1, lmic_raw[#Headers],0))=0, INDEX(regions[], MATCH($D103, regions[[setting]:[setting]],0), MATCH(U$1, regions[#Headers],0)),INDEX(lmic_raw[],MATCH($A103,lmic_raw[[setting]:[setting]],0), MATCH(U$1, lmic_raw[#Headers],0)))</f>
        <v>77.662500000000009</v>
      </c>
      <c r="V103" s="33">
        <f>IF(INDEX(lmic_raw[],MATCH($A103,lmic_raw[[setting]:[setting]],0), MATCH(V$1, lmic_raw[#Headers],0))=0, INDEX(regions[], MATCH($D103, regions[[setting]:[setting]],0), MATCH(V$1, regions[#Headers],0)),INDEX(lmic_raw[],MATCH($A103,lmic_raw[[setting]:[setting]],0), MATCH(V$1, lmic_raw[#Headers],0)))</f>
        <v>3.2638319578744377</v>
      </c>
      <c r="W103" s="33">
        <f>IF(INDEX(lmic_raw[],MATCH($A103,lmic_raw[[setting]:[setting]],0), MATCH(W$1, lmic_raw[#Headers],0))=0, INDEX(regions[], MATCH($D103, regions[[setting]:[setting]],0), MATCH(W$1, regions[#Headers],0)),INDEX(lmic_raw[],MATCH($A103,lmic_raw[[setting]:[setting]],0), MATCH(W$1, lmic_raw[#Headers],0)))</f>
        <v>8.0938319578744373</v>
      </c>
      <c r="X103" s="33">
        <f>IF(INDEX(lmic_raw[],MATCH($A103,lmic_raw[[setting]:[setting]],0), MATCH(X$1, lmic_raw[#Headers],0))=0, INDEX(regions[], MATCH($D103, regions[[setting]:[setting]],0), MATCH(X$1, regions[#Headers],0)),INDEX(lmic_raw[],MATCH($A103,lmic_raw[[setting]:[setting]],0), MATCH(X$1, lmic_raw[#Headers],0)))</f>
        <v>2.8387900985813239</v>
      </c>
      <c r="Y103" s="33">
        <f>IF(INDEX(lmic_raw[],MATCH($A103,lmic_raw[[setting]:[setting]],0), MATCH(Y$1, lmic_raw[#Headers],0))=0, INDEX(regions[], MATCH($D103, regions[[setting]:[setting]],0), MATCH(Y$1, regions[#Headers],0)),INDEX(lmic_raw[],MATCH($A103,lmic_raw[[setting]:[setting]],0), MATCH(Y$1, lmic_raw[#Headers],0)))</f>
        <v>7.668790098581324</v>
      </c>
      <c r="Z103" s="33">
        <f>IF(INDEX(lmic_raw[],MATCH($A103,lmic_raw[[setting]:[setting]],0), MATCH(Z$1, lmic_raw[#Headers],0))=0, INDEX(regions[], MATCH($D103, regions[[setting]:[setting]],0), MATCH(Z$1, regions[#Headers],0)),INDEX(lmic_raw[],MATCH($A103,lmic_raw[[setting]:[setting]],0), MATCH(Z$1, lmic_raw[#Headers],0)))</f>
        <v>7.6660585045980598</v>
      </c>
      <c r="AA103" s="33">
        <f>IF(INDEX(lmic_raw[],MATCH($A103,lmic_raw[[setting]:[setting]],0), MATCH(AA$1, lmic_raw[#Headers],0))=0, INDEX(regions[], MATCH($D103, regions[[setting]:[setting]],0), MATCH(AA$1, regions[#Headers],0)),INDEX(lmic_raw[],MATCH($A103,lmic_raw[[setting]:[setting]],0), MATCH(AA$1, lmic_raw[#Headers],0)))</f>
        <v>3.5052707620405843</v>
      </c>
      <c r="AB103" s="33">
        <f>IF(INDEX(lmic_raw[],MATCH($A103,lmic_raw[[setting]:[setting]],0), MATCH(AB$1, lmic_raw[#Headers],0))=0, INDEX(regions[], MATCH($D103, regions[[setting]:[setting]],0), MATCH(AB$1, regions[#Headers],0)),INDEX(lmic_raw[],MATCH($A103,lmic_raw[[setting]:[setting]],0), MATCH(AB$1, lmic_raw[#Headers],0)))</f>
        <v>8.3352707620405848</v>
      </c>
      <c r="AC103" s="33">
        <f>IF(INDEX(lmic_raw[],MATCH($A103,lmic_raw[[setting]:[setting]],0), MATCH(AC$1, lmic_raw[#Headers],0))=0, INDEX(regions[], MATCH($D103, regions[[setting]:[setting]],0), MATCH(AC$1, regions[#Headers],0)),INDEX(lmic_raw[],MATCH($A103,lmic_raw[[setting]:[setting]],0), MATCH(AC$1, lmic_raw[#Headers],0)))</f>
        <v>2.9194640000000074E-2</v>
      </c>
      <c r="AD103" s="33">
        <f>IF(INDEX(lmic_raw[],MATCH($A103,lmic_raw[[setting]:[setting]],0), MATCH(AD$1, lmic_raw[#Headers],0))=0, INDEX(regions[], MATCH($D103, regions[[setting]:[setting]],0), MATCH(AD$1, regions[#Headers],0)),INDEX(lmic_raw[],MATCH($A103,lmic_raw[[setting]:[setting]],0), MATCH(AD$1, lmic_raw[#Headers],0)))</f>
        <v>2.372331875052668E-3</v>
      </c>
      <c r="AE103" s="33">
        <f>IF(INDEX(lmic_raw[],MATCH($A103,lmic_raw[[setting]:[setting]],0), MATCH(AE$1, lmic_raw[#Headers],0))=0, INDEX(regions[], MATCH($D103, regions[[setting]:[setting]],0), MATCH(AE$1, regions[#Headers],0)),INDEX(lmic_raw[],MATCH($A103,lmic_raw[[setting]:[setting]],0), MATCH(AE$1, lmic_raw[#Headers],0)))</f>
        <v>9.4840741728722004E-4</v>
      </c>
      <c r="AF103" s="33">
        <f>IF(INDEX(lmic_raw[],MATCH($A103,lmic_raw[[setting]:[setting]],0), MATCH(AF$1, lmic_raw[#Headers],0))=0, INDEX(regions[], MATCH($D103, regions[[setting]:[setting]],0), MATCH(AF$1, regions[#Headers],0)),INDEX(lmic_raw[],MATCH($A103,lmic_raw[[setting]:[setting]],0), MATCH(AF$1, lmic_raw[#Headers],0)))</f>
        <v>7.3420026532832936E-4</v>
      </c>
      <c r="AG103" s="33">
        <f>IF(INDEX(lmic_raw[],MATCH($A103,lmic_raw[[setting]:[setting]],0), MATCH(AG$1, lmic_raw[#Headers],0))=0, INDEX(regions[], MATCH($D103, regions[[setting]:[setting]],0), MATCH(AG$1, regions[#Headers],0)),INDEX(lmic_raw[],MATCH($A103,lmic_raw[[setting]:[setting]],0), MATCH(AG$1, lmic_raw[#Headers],0)))</f>
        <v>1.2829936877352555E-3</v>
      </c>
      <c r="AH103" s="33">
        <f>IF(INDEX(lmic_raw[],MATCH($A103,lmic_raw[[setting]:[setting]],0), MATCH(AH$1, lmic_raw[#Headers],0))=0, INDEX(regions[], MATCH($D103, regions[[setting]:[setting]],0), MATCH(AH$1, regions[#Headers],0)),INDEX(lmic_raw[],MATCH($A103,lmic_raw[[setting]:[setting]],0), MATCH(AH$1, lmic_raw[#Headers],0)))</f>
        <v>1.9313447668826878E-3</v>
      </c>
      <c r="AI103" s="33">
        <f>IF(INDEX(lmic_raw[],MATCH($A103,lmic_raw[[setting]:[setting]],0), MATCH(AI$1, lmic_raw[#Headers],0))=0, INDEX(regions[], MATCH($D103, regions[[setting]:[setting]],0), MATCH(AI$1, regions[#Headers],0)),INDEX(lmic_raw[],MATCH($A103,lmic_raw[[setting]:[setting]],0), MATCH(AI$1, lmic_raw[#Headers],0)))</f>
        <v>2.3316237896617836E-3</v>
      </c>
      <c r="AJ103" s="33">
        <f>IF(INDEX(lmic_raw[],MATCH($A103,lmic_raw[[setting]:[setting]],0), MATCH(AJ$1, lmic_raw[#Headers],0))=0, INDEX(regions[], MATCH($D103, regions[[setting]:[setting]],0), MATCH(AJ$1, regions[#Headers],0)),INDEX(lmic_raw[],MATCH($A103,lmic_raw[[setting]:[setting]],0), MATCH(AJ$1, lmic_raw[#Headers],0)))</f>
        <v>2.8054859400679106E-3</v>
      </c>
      <c r="AK103" s="33">
        <f>IF(INDEX(lmic_raw[],MATCH($A103,lmic_raw[[setting]:[setting]],0), MATCH(AK$1, lmic_raw[#Headers],0))=0, INDEX(regions[], MATCH($D103, regions[[setting]:[setting]],0), MATCH(AK$1, regions[#Headers],0)),INDEX(lmic_raw[],MATCH($A103,lmic_raw[[setting]:[setting]],0), MATCH(AK$1, lmic_raw[#Headers],0)))</f>
        <v>3.5180393340914426E-3</v>
      </c>
      <c r="AL103" s="33">
        <f>IF(INDEX(lmic_raw[],MATCH($A103,lmic_raw[[setting]:[setting]],0), MATCH(AL$1, lmic_raw[#Headers],0))=0, INDEX(regions[], MATCH($D103, regions[[setting]:[setting]],0), MATCH(AL$1, regions[#Headers],0)),INDEX(lmic_raw[],MATCH($A103,lmic_raw[[setting]:[setting]],0), MATCH(AL$1, lmic_raw[#Headers],0)))</f>
        <v>4.5168423672066116E-3</v>
      </c>
      <c r="AM103" s="33">
        <f>IF(INDEX(lmic_raw[],MATCH($A103,lmic_raw[[setting]:[setting]],0), MATCH(AM$1, lmic_raw[#Headers],0))=0, INDEX(regions[], MATCH($D103, regions[[setting]:[setting]],0), MATCH(AM$1, regions[#Headers],0)),INDEX(lmic_raw[],MATCH($A103,lmic_raw[[setting]:[setting]],0), MATCH(AM$1, lmic_raw[#Headers],0)))</f>
        <v>5.8228290131631779E-3</v>
      </c>
      <c r="AN103" s="33">
        <f>IF(INDEX(lmic_raw[],MATCH($A103,lmic_raw[[setting]:[setting]],0), MATCH(AN$1, lmic_raw[#Headers],0))=0, INDEX(regions[], MATCH($D103, regions[[setting]:[setting]],0), MATCH(AN$1, regions[#Headers],0)),INDEX(lmic_raw[],MATCH($A103,lmic_raw[[setting]:[setting]],0), MATCH(AN$1, lmic_raw[#Headers],0)))</f>
        <v>8.4163911525236435E-3</v>
      </c>
      <c r="AO103" s="33">
        <f>IF(INDEX(lmic_raw[],MATCH($A103,lmic_raw[[setting]:[setting]],0), MATCH(AO$1, lmic_raw[#Headers],0))=0, INDEX(regions[], MATCH($D103, regions[[setting]:[setting]],0), MATCH(AO$1, regions[#Headers],0)),INDEX(lmic_raw[],MATCH($A103,lmic_raw[[setting]:[setting]],0), MATCH(AO$1, lmic_raw[#Headers],0)))</f>
        <v>1.1338638347218911E-2</v>
      </c>
      <c r="AP103" s="33">
        <f>IF(INDEX(lmic_raw[],MATCH($A103,lmic_raw[[setting]:[setting]],0), MATCH(AP$1, lmic_raw[#Headers],0))=0, INDEX(regions[], MATCH($D103, regions[[setting]:[setting]],0), MATCH(AP$1, regions[#Headers],0)),INDEX(lmic_raw[],MATCH($A103,lmic_raw[[setting]:[setting]],0), MATCH(AP$1, lmic_raw[#Headers],0)))</f>
        <v>1.6950235219521562E-2</v>
      </c>
      <c r="AQ103" s="33">
        <f>IF(INDEX(lmic_raw[],MATCH($A103,lmic_raw[[setting]:[setting]],0), MATCH(AQ$1, lmic_raw[#Headers],0))=0, INDEX(regions[], MATCH($D103, regions[[setting]:[setting]],0), MATCH(AQ$1, regions[#Headers],0)),INDEX(lmic_raw[],MATCH($A103,lmic_raw[[setting]:[setting]],0), MATCH(AQ$1, lmic_raw[#Headers],0)))</f>
        <v>2.6078831522361286E-2</v>
      </c>
      <c r="AR103" s="33">
        <f>IF(INDEX(lmic_raw[],MATCH($A103,lmic_raw[[setting]:[setting]],0), MATCH(AR$1, lmic_raw[#Headers],0))=0, INDEX(regions[], MATCH($D103, regions[[setting]:[setting]],0), MATCH(AR$1, regions[#Headers],0)),INDEX(lmic_raw[],MATCH($A103,lmic_raw[[setting]:[setting]],0), MATCH(AR$1, lmic_raw[#Headers],0)))</f>
        <v>4.0339279421102249E-2</v>
      </c>
      <c r="AS103" s="33">
        <f>IF(INDEX(lmic_raw[],MATCH($A103,lmic_raw[[setting]:[setting]],0), MATCH(AS$1, lmic_raw[#Headers],0))=0, INDEX(regions[], MATCH($D103, regions[[setting]:[setting]],0), MATCH(AS$1, regions[#Headers],0)),INDEX(lmic_raw[],MATCH($A103,lmic_raw[[setting]:[setting]],0), MATCH(AS$1, lmic_raw[#Headers],0)))</f>
        <v>6.2420072920420594E-2</v>
      </c>
      <c r="AT103" s="33">
        <f>IF(INDEX(lmic_raw[],MATCH($A103,lmic_raw[[setting]:[setting]],0), MATCH(AT$1, lmic_raw[#Headers],0))=0, INDEX(regions[], MATCH($D103, regions[[setting]:[setting]],0), MATCH(AT$1, regions[#Headers],0)),INDEX(lmic_raw[],MATCH($A103,lmic_raw[[setting]:[setting]],0), MATCH(AT$1, lmic_raw[#Headers],0)))</f>
        <v>9.5041719036765657E-2</v>
      </c>
      <c r="AU103" s="33">
        <f>IF(INDEX(lmic_raw[],MATCH($A103,lmic_raw[[setting]:[setting]],0), MATCH(AU$1, lmic_raw[#Headers],0))=0, INDEX(regions[], MATCH($D103, regions[[setting]:[setting]],0), MATCH(AU$1, regions[#Headers],0)),INDEX(lmic_raw[],MATCH($A103,lmic_raw[[setting]:[setting]],0), MATCH(AU$1, lmic_raw[#Headers],0)))</f>
        <v>0.13453710787544573</v>
      </c>
      <c r="AV103" s="33">
        <f>IF(INDEX(lmic_raw[],MATCH($A103,lmic_raw[[setting]:[setting]],0), MATCH(AV$1, lmic_raw[#Headers],0))=0, INDEX(regions[], MATCH($D103, regions[[setting]:[setting]],0), MATCH(AV$1, regions[#Headers],0)),INDEX(lmic_raw[],MATCH($A103,lmic_raw[[setting]:[setting]],0), MATCH(AV$1, lmic_raw[#Headers],0)))</f>
        <v>0.17174648395894626</v>
      </c>
      <c r="AW103" s="33">
        <f>IF(INDEX(lmic_raw[],MATCH($A103,lmic_raw[[setting]:[setting]],0), MATCH(AW$1, lmic_raw[#Headers],0))=0, INDEX(regions[], MATCH($D103, regions[[setting]:[setting]],0), MATCH(AW$1, regions[#Headers],0)),INDEX(lmic_raw[],MATCH($A103,lmic_raw[[setting]:[setting]],0), MATCH(AW$1, lmic_raw[#Headers],0)))</f>
        <v>0.18710533626254214</v>
      </c>
      <c r="AX103" s="33">
        <f>IF(INDEX(lmic_raw[],MATCH($A103,lmic_raw[[setting]:[setting]],0), MATCH(AX$1, lmic_raw[#Headers],0))=0, INDEX(regions[], MATCH($D103, regions[[setting]:[setting]],0), MATCH(AX$1, regions[#Headers],0)),INDEX(lmic_raw[],MATCH($A103,lmic_raw[[setting]:[setting]],0), MATCH(AX$1, lmic_raw[#Headers],0)))</f>
        <v>68.438000000000002</v>
      </c>
      <c r="AY103" s="33" t="str">
        <f>IF(VLOOKUP($A103,lmic_raw[],11,FALSE)=0, "Yes", "No")</f>
        <v>Yes</v>
      </c>
    </row>
    <row r="104" spans="1:51" x14ac:dyDescent="0.25">
      <c r="A104" s="109" t="s">
        <v>245</v>
      </c>
      <c r="B104" s="101" t="s">
        <v>503</v>
      </c>
      <c r="C104" s="102">
        <v>662</v>
      </c>
      <c r="D104" s="82" t="s">
        <v>679</v>
      </c>
      <c r="E104" s="82" t="s">
        <v>223</v>
      </c>
      <c r="F104" s="82" t="s">
        <v>665</v>
      </c>
      <c r="G104" s="82" t="s">
        <v>676</v>
      </c>
      <c r="H104" s="33">
        <f>IF(INDEX(lmic_raw[],MATCH($A104,lmic_raw[[setting]:[setting]],0), MATCH(H$1, lmic_raw[#Headers],0))=0, INDEX(regions[], MATCH($D104, regions[[setting]:[setting]],0), MATCH(H$1, regions[#Headers],0)),INDEX(lmic_raw[],MATCH($A104,lmic_raw[[setting]:[setting]],0), MATCH(H$1, lmic_raw[#Headers],0)))</f>
        <v>182795</v>
      </c>
      <c r="I104" s="33">
        <f>IF(INDEX(lmic_raw[],MATCH($A104,lmic_raw[[setting]:[setting]],0), MATCH(I$1, lmic_raw[#Headers],0))=0, INDEX(regions[], MATCH($D104, regions[[setting]:[setting]],0), MATCH(I$1, regions[#Headers],0)),INDEX(lmic_raw[],MATCH($A104,lmic_raw[[setting]:[setting]],0), MATCH(I$1, lmic_raw[#Headers],0)))</f>
        <v>2212.9162699999997</v>
      </c>
      <c r="J104" s="33">
        <f>IF(INDEX(lmic_raw[],MATCH($A104,lmic_raw[[setting]:[setting]],0), MATCH(J$1, lmic_raw[#Headers],0))=0, INDEX(regions[], MATCH($D104, regions[[setting]:[setting]],0), MATCH(J$1, regions[#Headers],0)),INDEX(lmic_raw[],MATCH($A104,lmic_raw[[setting]:[setting]],0), MATCH(J$1, lmic_raw[#Headers],0)))</f>
        <v>0.99990000000000001</v>
      </c>
      <c r="K104" s="33">
        <f>IF(INDEX(lmic_raw[],MATCH($A104,lmic_raw[[setting]:[setting]],0), MATCH(K$1, lmic_raw[#Headers],0))=0, INDEX(regions[], MATCH($D104, regions[[setting]:[setting]],0), MATCH(K$1, regions[#Headers],0)),INDEX(lmic_raw[],MATCH($A104,lmic_raw[[setting]:[setting]],0), MATCH(K$1, lmic_raw[#Headers],0)))</f>
        <v>0.85</v>
      </c>
      <c r="L104" s="33">
        <f>IF(INDEX(lmic_raw[],MATCH($A104,lmic_raw[[setting]:[setting]],0), MATCH(L$1, lmic_raw[#Headers],0))=0, INDEX(regions[], MATCH($D104, regions[[setting]:[setting]],0), MATCH(L$1, regions[#Headers],0)),INDEX(lmic_raw[],MATCH($A104,lmic_raw[[setting]:[setting]],0), MATCH(L$1, lmic_raw[#Headers],0)))</f>
        <v>0.92</v>
      </c>
      <c r="M104" s="33">
        <f>IF(INDEX(lmic_raw[],MATCH($A104,lmic_raw[[setting]:[setting]],0), MATCH(M$1, lmic_raw[#Headers],0))=0, INDEX(regions[], MATCH($D104, regions[[setting]:[setting]],0), MATCH(M$1, regions[#Headers],0)),INDEX(lmic_raw[],MATCH($A104,lmic_raw[[setting]:[setting]],0), MATCH(M$1, lmic_raw[#Headers],0)))</f>
        <v>1.2500000000000001E-2</v>
      </c>
      <c r="N104" s="33">
        <f>IF(INDEX(lmic_raw[],MATCH($A104,lmic_raw[[setting]:[setting]],0), MATCH(N$1, lmic_raw[#Headers],0))=0, INDEX(regions[], MATCH($D104, regions[[setting]:[setting]],0), MATCH(N$1, regions[#Headers],0)),INDEX(lmic_raw[],MATCH($A104,lmic_raw[[setting]:[setting]],0), MATCH(N$1, lmic_raw[#Headers],0)))</f>
        <v>0.30422186902267961</v>
      </c>
      <c r="O104" s="33">
        <f>IF(INDEX(lmic_raw[],MATCH($A104,lmic_raw[[setting]:[setting]],0), MATCH(O$1, lmic_raw[#Headers],0))=0, INDEX(regions[], MATCH($D104, regions[[setting]:[setting]],0), MATCH(O$1, regions[#Headers],0)),INDEX(lmic_raw[],MATCH($A104,lmic_raw[[setting]:[setting]],0), MATCH(O$1, lmic_raw[#Headers],0)))</f>
        <v>0.8</v>
      </c>
      <c r="P104" s="33">
        <f>IF(INDEX(lmic_raw[],MATCH($A104,lmic_raw[[setting]:[setting]],0), MATCH(P$1, lmic_raw[#Headers],0))=0, INDEX(regions[], MATCH($D104, regions[[setting]:[setting]],0), MATCH(P$1, regions[#Headers],0)),INDEX(lmic_raw[],MATCH($A104,lmic_raw[[setting]:[setting]],0), MATCH(P$1, lmic_raw[#Headers],0)))</f>
        <v>0.17499999999999999</v>
      </c>
      <c r="Q104" s="33">
        <f>IF(INDEX(lmic_raw[],MATCH($A104,lmic_raw[[setting]:[setting]],0), MATCH(Q$1, lmic_raw[#Headers],0))=0, INDEX(regions[], MATCH($D104, regions[[setting]:[setting]],0), MATCH(Q$1, regions[#Headers],0)),INDEX(lmic_raw[],MATCH($A104,lmic_raw[[setting]:[setting]],0), MATCH(Q$1, lmic_raw[#Headers],0)))</f>
        <v>14.135635732085813</v>
      </c>
      <c r="R104" s="33">
        <f>IF(INDEX(lmic_raw[],MATCH($A104,lmic_raw[[setting]:[setting]],0), MATCH(R$1, lmic_raw[#Headers],0))=0, INDEX(regions[], MATCH($D104, regions[[setting]:[setting]],0), MATCH(R$1, regions[#Headers],0)),INDEX(lmic_raw[],MATCH($A104,lmic_raw[[setting]:[setting]],0), MATCH(R$1, lmic_raw[#Headers],0)))</f>
        <v>86.883899999999997</v>
      </c>
      <c r="S104" s="33">
        <f>IF(INDEX(lmic_raw[],MATCH($A104,lmic_raw[[setting]:[setting]],0), MATCH(S$1, lmic_raw[#Headers],0))=0, INDEX(regions[], MATCH($D104, regions[[setting]:[setting]],0), MATCH(S$1, regions[#Headers],0)),INDEX(lmic_raw[],MATCH($A104,lmic_raw[[setting]:[setting]],0), MATCH(S$1, lmic_raw[#Headers],0)))</f>
        <v>134.6259</v>
      </c>
      <c r="T104" s="33">
        <f>IF(INDEX(lmic_raw[],MATCH($A104,lmic_raw[[setting]:[setting]],0), MATCH(T$1, lmic_raw[#Headers],0))=0, INDEX(regions[], MATCH($D104, regions[[setting]:[setting]],0), MATCH(T$1, regions[#Headers],0)),INDEX(lmic_raw[],MATCH($A104,lmic_raw[[setting]:[setting]],0), MATCH(T$1, lmic_raw[#Headers],0)))</f>
        <v>134.6259</v>
      </c>
      <c r="U104" s="33">
        <f>IF(INDEX(lmic_raw[],MATCH($A104,lmic_raw[[setting]:[setting]],0), MATCH(U$1, lmic_raw[#Headers],0))=0, INDEX(regions[], MATCH($D104, regions[[setting]:[setting]],0), MATCH(U$1, regions[#Headers],0)),INDEX(lmic_raw[],MATCH($A104,lmic_raw[[setting]:[setting]],0), MATCH(U$1, lmic_raw[#Headers],0)))</f>
        <v>134.6259</v>
      </c>
      <c r="V104" s="33">
        <f>IF(INDEX(lmic_raw[],MATCH($A104,lmic_raw[[setting]:[setting]],0), MATCH(V$1, lmic_raw[#Headers],0))=0, INDEX(regions[], MATCH($D104, regions[[setting]:[setting]],0), MATCH(V$1, regions[#Headers],0)),INDEX(lmic_raw[],MATCH($A104,lmic_raw[[setting]:[setting]],0), MATCH(V$1, lmic_raw[#Headers],0)))</f>
        <v>14.131737809085214</v>
      </c>
      <c r="W104" s="33">
        <f>IF(INDEX(lmic_raw[],MATCH($A104,lmic_raw[[setting]:[setting]],0), MATCH(W$1, lmic_raw[#Headers],0))=0, INDEX(regions[], MATCH($D104, regions[[setting]:[setting]],0), MATCH(W$1, regions[#Headers],0)),INDEX(lmic_raw[],MATCH($A104,lmic_raw[[setting]:[setting]],0), MATCH(W$1, lmic_raw[#Headers],0)))</f>
        <v>14.151737809085214</v>
      </c>
      <c r="X104" s="33">
        <f>IF(INDEX(lmic_raw[],MATCH($A104,lmic_raw[[setting]:[setting]],0), MATCH(X$1, lmic_raw[#Headers],0))=0, INDEX(regions[], MATCH($D104, regions[[setting]:[setting]],0), MATCH(X$1, regions[#Headers],0)),INDEX(lmic_raw[],MATCH($A104,lmic_raw[[setting]:[setting]],0), MATCH(X$1, lmic_raw[#Headers],0)))</f>
        <v>13.678610127544404</v>
      </c>
      <c r="Y104" s="33">
        <f>IF(INDEX(lmic_raw[],MATCH($A104,lmic_raw[[setting]:[setting]],0), MATCH(Y$1, lmic_raw[#Headers],0))=0, INDEX(regions[], MATCH($D104, regions[[setting]:[setting]],0), MATCH(Y$1, regions[#Headers],0)),INDEX(lmic_raw[],MATCH($A104,lmic_raw[[setting]:[setting]],0), MATCH(Y$1, lmic_raw[#Headers],0)))</f>
        <v>13.698610127544404</v>
      </c>
      <c r="Z104" s="33">
        <f>IF(INDEX(lmic_raw[],MATCH($A104,lmic_raw[[setting]:[setting]],0), MATCH(Z$1, lmic_raw[#Headers],0))=0, INDEX(regions[], MATCH($D104, regions[[setting]:[setting]],0), MATCH(Z$1, regions[#Headers],0)),INDEX(lmic_raw[],MATCH($A104,lmic_raw[[setting]:[setting]],0), MATCH(Z$1, lmic_raw[#Headers],0)))</f>
        <v>13.685203824787081</v>
      </c>
      <c r="AA104" s="33">
        <f>IF(INDEX(lmic_raw[],MATCH($A104,lmic_raw[[setting]:[setting]],0), MATCH(AA$1, lmic_raw[#Headers],0))=0, INDEX(regions[], MATCH($D104, regions[[setting]:[setting]],0), MATCH(AA$1, regions[#Headers],0)),INDEX(lmic_raw[],MATCH($A104,lmic_raw[[setting]:[setting]],0), MATCH(AA$1, lmic_raw[#Headers],0)))</f>
        <v>14.383300572433669</v>
      </c>
      <c r="AB104" s="33">
        <f>IF(INDEX(lmic_raw[],MATCH($A104,lmic_raw[[setting]:[setting]],0), MATCH(AB$1, lmic_raw[#Headers],0))=0, INDEX(regions[], MATCH($D104, regions[[setting]:[setting]],0), MATCH(AB$1, regions[#Headers],0)),INDEX(lmic_raw[],MATCH($A104,lmic_raw[[setting]:[setting]],0), MATCH(AB$1, lmic_raw[#Headers],0)))</f>
        <v>14.403300572433668</v>
      </c>
      <c r="AC104" s="33">
        <f>IF(INDEX(lmic_raw[],MATCH($A104,lmic_raw[[setting]:[setting]],0), MATCH(AC$1, lmic_raw[#Headers],0))=0, INDEX(regions[], MATCH($D104, regions[[setting]:[setting]],0), MATCH(AC$1, regions[#Headers],0)),INDEX(lmic_raw[],MATCH($A104,lmic_raw[[setting]:[setting]],0), MATCH(AC$1, lmic_raw[#Headers],0)))</f>
        <v>1.2490420000000012E-2</v>
      </c>
      <c r="AD104" s="33">
        <f>IF(INDEX(lmic_raw[],MATCH($A104,lmic_raw[[setting]:[setting]],0), MATCH(AD$1, lmic_raw[#Headers],0))=0, INDEX(regions[], MATCH($D104, regions[[setting]:[setting]],0), MATCH(AD$1, regions[#Headers],0)),INDEX(lmic_raw[],MATCH($A104,lmic_raw[[setting]:[setting]],0), MATCH(AD$1, lmic_raw[#Headers],0)))</f>
        <v>9.2312775335302464E-4</v>
      </c>
      <c r="AE104" s="33">
        <f>IF(INDEX(lmic_raw[],MATCH($A104,lmic_raw[[setting]:[setting]],0), MATCH(AE$1, lmic_raw[#Headers],0))=0, INDEX(regions[], MATCH($D104, regions[[setting]:[setting]],0), MATCH(AE$1, regions[#Headers],0)),INDEX(lmic_raw[],MATCH($A104,lmic_raw[[setting]:[setting]],0), MATCH(AE$1, lmic_raw[#Headers],0)))</f>
        <v>3.3742292970631696E-4</v>
      </c>
      <c r="AF104" s="33">
        <f>IF(INDEX(lmic_raw[],MATCH($A104,lmic_raw[[setting]:[setting]],0), MATCH(AF$1, lmic_raw[#Headers],0))=0, INDEX(regions[], MATCH($D104, regions[[setting]:[setting]],0), MATCH(AF$1, regions[#Headers],0)),INDEX(lmic_raw[],MATCH($A104,lmic_raw[[setting]:[setting]],0), MATCH(AF$1, lmic_raw[#Headers],0)))</f>
        <v>3.1346870856574597E-4</v>
      </c>
      <c r="AG104" s="33">
        <f>IF(INDEX(lmic_raw[],MATCH($A104,lmic_raw[[setting]:[setting]],0), MATCH(AG$1, lmic_raw[#Headers],0))=0, INDEX(regions[], MATCH($D104, regions[[setting]:[setting]],0), MATCH(AG$1, regions[#Headers],0)),INDEX(lmic_raw[],MATCH($A104,lmic_raw[[setting]:[setting]],0), MATCH(AG$1, lmic_raw[#Headers],0)))</f>
        <v>7.4059424133965563E-4</v>
      </c>
      <c r="AH104" s="33">
        <f>IF(INDEX(lmic_raw[],MATCH($A104,lmic_raw[[setting]:[setting]],0), MATCH(AH$1, lmic_raw[#Headers],0))=0, INDEX(regions[], MATCH($D104, regions[[setting]:[setting]],0), MATCH(AH$1, regions[#Headers],0)),INDEX(lmic_raw[],MATCH($A104,lmic_raw[[setting]:[setting]],0), MATCH(AH$1, lmic_raw[#Headers],0)))</f>
        <v>1.0104761307423585E-3</v>
      </c>
      <c r="AI104" s="33">
        <f>IF(INDEX(lmic_raw[],MATCH($A104,lmic_raw[[setting]:[setting]],0), MATCH(AI$1, lmic_raw[#Headers],0))=0, INDEX(regions[], MATCH($D104, regions[[setting]:[setting]],0), MATCH(AI$1, regions[#Headers],0)),INDEX(lmic_raw[],MATCH($A104,lmic_raw[[setting]:[setting]],0), MATCH(AI$1, lmic_raw[#Headers],0)))</f>
        <v>1.0727766082889746E-3</v>
      </c>
      <c r="AJ104" s="33">
        <f>IF(INDEX(lmic_raw[],MATCH($A104,lmic_raw[[setting]:[setting]],0), MATCH(AJ$1, lmic_raw[#Headers],0))=0, INDEX(regions[], MATCH($D104, regions[[setting]:[setting]],0), MATCH(AJ$1, regions[#Headers],0)),INDEX(lmic_raw[],MATCH($A104,lmic_raw[[setting]:[setting]],0), MATCH(AJ$1, lmic_raw[#Headers],0)))</f>
        <v>1.2882669138309208E-3</v>
      </c>
      <c r="AK104" s="33">
        <f>IF(INDEX(lmic_raw[],MATCH($A104,lmic_raw[[setting]:[setting]],0), MATCH(AK$1, lmic_raw[#Headers],0))=0, INDEX(regions[], MATCH($D104, regions[[setting]:[setting]],0), MATCH(AK$1, regions[#Headers],0)),INDEX(lmic_raw[],MATCH($A104,lmic_raw[[setting]:[setting]],0), MATCH(AK$1, lmic_raw[#Headers],0)))</f>
        <v>1.7721116466167417E-3</v>
      </c>
      <c r="AL104" s="33">
        <f>IF(INDEX(lmic_raw[],MATCH($A104,lmic_raw[[setting]:[setting]],0), MATCH(AL$1, lmic_raw[#Headers],0))=0, INDEX(regions[], MATCH($D104, regions[[setting]:[setting]],0), MATCH(AL$1, regions[#Headers],0)),INDEX(lmic_raw[],MATCH($A104,lmic_raw[[setting]:[setting]],0), MATCH(AL$1, lmic_raw[#Headers],0)))</f>
        <v>2.6183216643979705E-3</v>
      </c>
      <c r="AM104" s="33">
        <f>IF(INDEX(lmic_raw[],MATCH($A104,lmic_raw[[setting]:[setting]],0), MATCH(AM$1, lmic_raw[#Headers],0))=0, INDEX(regions[], MATCH($D104, regions[[setting]:[setting]],0), MATCH(AM$1, regions[#Headers],0)),INDEX(lmic_raw[],MATCH($A104,lmic_raw[[setting]:[setting]],0), MATCH(AM$1, lmic_raw[#Headers],0)))</f>
        <v>4.0960461176379557E-3</v>
      </c>
      <c r="AN104" s="33">
        <f>IF(INDEX(lmic_raw[],MATCH($A104,lmic_raw[[setting]:[setting]],0), MATCH(AN$1, lmic_raw[#Headers],0))=0, INDEX(regions[], MATCH($D104, regions[[setting]:[setting]],0), MATCH(AN$1, regions[#Headers],0)),INDEX(lmic_raw[],MATCH($A104,lmic_raw[[setting]:[setting]],0), MATCH(AN$1, lmic_raw[#Headers],0)))</f>
        <v>6.43236570231818E-3</v>
      </c>
      <c r="AO104" s="33">
        <f>IF(INDEX(lmic_raw[],MATCH($A104,lmic_raw[[setting]:[setting]],0), MATCH(AO$1, lmic_raw[#Headers],0))=0, INDEX(regions[], MATCH($D104, regions[[setting]:[setting]],0), MATCH(AO$1, regions[#Headers],0)),INDEX(lmic_raw[],MATCH($A104,lmic_raw[[setting]:[setting]],0), MATCH(AO$1, lmic_raw[#Headers],0)))</f>
        <v>9.9748084184115276E-3</v>
      </c>
      <c r="AP104" s="33">
        <f>IF(INDEX(lmic_raw[],MATCH($A104,lmic_raw[[setting]:[setting]],0), MATCH(AP$1, lmic_raw[#Headers],0))=0, INDEX(regions[], MATCH($D104, regions[[setting]:[setting]],0), MATCH(AP$1, regions[#Headers],0)),INDEX(lmic_raw[],MATCH($A104,lmic_raw[[setting]:[setting]],0), MATCH(AP$1, lmic_raw[#Headers],0)))</f>
        <v>1.2586773384993059E-2</v>
      </c>
      <c r="AQ104" s="33">
        <f>IF(INDEX(lmic_raw[],MATCH($A104,lmic_raw[[setting]:[setting]],0), MATCH(AQ$1, lmic_raw[#Headers],0))=0, INDEX(regions[], MATCH($D104, regions[[setting]:[setting]],0), MATCH(AQ$1, regions[#Headers],0)),INDEX(lmic_raw[],MATCH($A104,lmic_raw[[setting]:[setting]],0), MATCH(AQ$1, lmic_raw[#Headers],0)))</f>
        <v>1.6071267253651128E-2</v>
      </c>
      <c r="AR104" s="33">
        <f>IF(INDEX(lmic_raw[],MATCH($A104,lmic_raw[[setting]:[setting]],0), MATCH(AR$1, lmic_raw[#Headers],0))=0, INDEX(regions[], MATCH($D104, regions[[setting]:[setting]],0), MATCH(AR$1, regions[#Headers],0)),INDEX(lmic_raw[],MATCH($A104,lmic_raw[[setting]:[setting]],0), MATCH(AR$1, lmic_raw[#Headers],0)))</f>
        <v>2.3499034000018664E-2</v>
      </c>
      <c r="AS104" s="33">
        <f>IF(INDEX(lmic_raw[],MATCH($A104,lmic_raw[[setting]:[setting]],0), MATCH(AS$1, lmic_raw[#Headers],0))=0, INDEX(regions[], MATCH($D104, regions[[setting]:[setting]],0), MATCH(AS$1, regions[#Headers],0)),INDEX(lmic_raw[],MATCH($A104,lmic_raw[[setting]:[setting]],0), MATCH(AS$1, lmic_raw[#Headers],0)))</f>
        <v>3.9290589182046941E-2</v>
      </c>
      <c r="AT104" s="33">
        <f>IF(INDEX(lmic_raw[],MATCH($A104,lmic_raw[[setting]:[setting]],0), MATCH(AT$1, lmic_raw[#Headers],0))=0, INDEX(regions[], MATCH($D104, regions[[setting]:[setting]],0), MATCH(AT$1, regions[#Headers],0)),INDEX(lmic_raw[],MATCH($A104,lmic_raw[[setting]:[setting]],0), MATCH(AT$1, lmic_raw[#Headers],0)))</f>
        <v>6.2232041134619775E-2</v>
      </c>
      <c r="AU104" s="33">
        <f>IF(INDEX(lmic_raw[],MATCH($A104,lmic_raw[[setting]:[setting]],0), MATCH(AU$1, lmic_raw[#Headers],0))=0, INDEX(regions[], MATCH($D104, regions[[setting]:[setting]],0), MATCH(AU$1, regions[#Headers],0)),INDEX(lmic_raw[],MATCH($A104,lmic_raw[[setting]:[setting]],0), MATCH(AU$1, lmic_raw[#Headers],0)))</f>
        <v>9.2049360282274645E-2</v>
      </c>
      <c r="AV104" s="33">
        <f>IF(INDEX(lmic_raw[],MATCH($A104,lmic_raw[[setting]:[setting]],0), MATCH(AV$1, lmic_raw[#Headers],0))=0, INDEX(regions[], MATCH($D104, regions[[setting]:[setting]],0), MATCH(AV$1, regions[#Headers],0)),INDEX(lmic_raw[],MATCH($A104,lmic_raw[[setting]:[setting]],0), MATCH(AV$1, lmic_raw[#Headers],0)))</f>
        <v>0.12202210839818785</v>
      </c>
      <c r="AW104" s="33">
        <f>IF(INDEX(lmic_raw[],MATCH($A104,lmic_raw[[setting]:[setting]],0), MATCH(AW$1, lmic_raw[#Headers],0))=0, INDEX(regions[], MATCH($D104, regions[[setting]:[setting]],0), MATCH(AW$1, regions[#Headers],0)),INDEX(lmic_raw[],MATCH($A104,lmic_raw[[setting]:[setting]],0), MATCH(AW$1, lmic_raw[#Headers],0)))</f>
        <v>0.14660362315352721</v>
      </c>
      <c r="AX104" s="33">
        <f>IF(INDEX(lmic_raw[],MATCH($A104,lmic_raw[[setting]:[setting]],0), MATCH(AX$1, lmic_raw[#Headers],0))=0, INDEX(regions[], MATCH($D104, regions[[setting]:[setting]],0), MATCH(AX$1, regions[#Headers],0)),INDEX(lmic_raw[],MATCH($A104,lmic_raw[[setting]:[setting]],0), MATCH(AX$1, lmic_raw[#Headers],0)))</f>
        <v>75.992000000000004</v>
      </c>
      <c r="AY104" s="33" t="str">
        <f>IF(VLOOKUP($A104,lmic_raw[],11,FALSE)=0, "Yes", "No")</f>
        <v>No</v>
      </c>
    </row>
    <row r="105" spans="1:51" x14ac:dyDescent="0.25">
      <c r="A105" s="110" t="s">
        <v>247</v>
      </c>
      <c r="B105" s="104" t="s">
        <v>624</v>
      </c>
      <c r="C105" s="105">
        <v>670</v>
      </c>
      <c r="D105" s="84" t="s">
        <v>679</v>
      </c>
      <c r="E105" s="84" t="s">
        <v>223</v>
      </c>
      <c r="F105" s="84" t="s">
        <v>665</v>
      </c>
      <c r="G105" s="84" t="s">
        <v>676</v>
      </c>
      <c r="H105" s="33">
        <f>IF(INDEX(lmic_raw[],MATCH($A105,lmic_raw[[setting]:[setting]],0), MATCH(H$1, lmic_raw[#Headers],0))=0, INDEX(regions[], MATCH($D105, regions[[setting]:[setting]],0), MATCH(H$1, regions[#Headers],0)),INDEX(lmic_raw[],MATCH($A105,lmic_raw[[setting]:[setting]],0), MATCH(H$1, lmic_raw[#Headers],0)))</f>
        <v>110593</v>
      </c>
      <c r="I105" s="33">
        <f>IF(INDEX(lmic_raw[],MATCH($A105,lmic_raw[[setting]:[setting]],0), MATCH(I$1, lmic_raw[#Headers],0))=0, INDEX(regions[], MATCH($D105, regions[[setting]:[setting]],0), MATCH(I$1, regions[#Headers],0)),INDEX(lmic_raw[],MATCH($A105,lmic_raw[[setting]:[setting]],0), MATCH(I$1, lmic_raw[#Headers],0)))</f>
        <v>1585.4612480000001</v>
      </c>
      <c r="J105" s="33">
        <f>IF(INDEX(lmic_raw[],MATCH($A105,lmic_raw[[setting]:[setting]],0), MATCH(J$1, lmic_raw[#Headers],0))=0, INDEX(regions[], MATCH($D105, regions[[setting]:[setting]],0), MATCH(J$1, regions[#Headers],0)),INDEX(lmic_raw[],MATCH($A105,lmic_raw[[setting]:[setting]],0), MATCH(J$1, lmic_raw[#Headers],0)))</f>
        <v>0.95521543039667178</v>
      </c>
      <c r="K105" s="33">
        <f>IF(INDEX(lmic_raw[],MATCH($A105,lmic_raw[[setting]:[setting]],0), MATCH(K$1, lmic_raw[#Headers],0))=0, INDEX(regions[], MATCH($D105, regions[[setting]:[setting]],0), MATCH(K$1, regions[#Headers],0)),INDEX(lmic_raw[],MATCH($A105,lmic_raw[[setting]:[setting]],0), MATCH(K$1, lmic_raw[#Headers],0)))</f>
        <v>0.99</v>
      </c>
      <c r="L105" s="33">
        <f>IF(INDEX(lmic_raw[],MATCH($A105,lmic_raw[[setting]:[setting]],0), MATCH(L$1, lmic_raw[#Headers],0))=0, INDEX(regions[], MATCH($D105, regions[[setting]:[setting]],0), MATCH(L$1, regions[#Headers],0)),INDEX(lmic_raw[],MATCH($A105,lmic_raw[[setting]:[setting]],0), MATCH(L$1, lmic_raw[#Headers],0)))</f>
        <v>0.97</v>
      </c>
      <c r="M105" s="33">
        <f>IF(INDEX(lmic_raw[],MATCH($A105,lmic_raw[[setting]:[setting]],0), MATCH(M$1, lmic_raw[#Headers],0))=0, INDEX(regions[], MATCH($D105, regions[[setting]:[setting]],0), MATCH(M$1, regions[#Headers],0)),INDEX(lmic_raw[],MATCH($A105,lmic_raw[[setting]:[setting]],0), MATCH(M$1, lmic_raw[#Headers],0)))</f>
        <v>1.3300000000000001E-2</v>
      </c>
      <c r="N105" s="33">
        <f>IF(INDEX(lmic_raw[],MATCH($A105,lmic_raw[[setting]:[setting]],0), MATCH(N$1, lmic_raw[#Headers],0))=0, INDEX(regions[], MATCH($D105, regions[[setting]:[setting]],0), MATCH(N$1, regions[#Headers],0)),INDEX(lmic_raw[],MATCH($A105,lmic_raw[[setting]:[setting]],0), MATCH(N$1, lmic_raw[#Headers],0)))</f>
        <v>0.3100986815415821</v>
      </c>
      <c r="O105" s="33">
        <f>IF(INDEX(lmic_raw[],MATCH($A105,lmic_raw[[setting]:[setting]],0), MATCH(O$1, lmic_raw[#Headers],0))=0, INDEX(regions[], MATCH($D105, regions[[setting]:[setting]],0), MATCH(O$1, regions[#Headers],0)),INDEX(lmic_raw[],MATCH($A105,lmic_raw[[setting]:[setting]],0), MATCH(O$1, lmic_raw[#Headers],0)))</f>
        <v>0.8</v>
      </c>
      <c r="P105" s="33">
        <f>IF(INDEX(lmic_raw[],MATCH($A105,lmic_raw[[setting]:[setting]],0), MATCH(P$1, lmic_raw[#Headers],0))=0, INDEX(regions[], MATCH($D105, regions[[setting]:[setting]],0), MATCH(P$1, regions[#Headers],0)),INDEX(lmic_raw[],MATCH($A105,lmic_raw[[setting]:[setting]],0), MATCH(P$1, lmic_raw[#Headers],0)))</f>
        <v>0.17499999999999999</v>
      </c>
      <c r="Q105" s="33">
        <f>IF(INDEX(lmic_raw[],MATCH($A105,lmic_raw[[setting]:[setting]],0), MATCH(Q$1, lmic_raw[#Headers],0))=0, INDEX(regions[], MATCH($D105, regions[[setting]:[setting]],0), MATCH(Q$1, regions[#Headers],0)),INDEX(lmic_raw[],MATCH($A105,lmic_raw[[setting]:[setting]],0), MATCH(Q$1, lmic_raw[#Headers],0)))</f>
        <v>12.818171164578915</v>
      </c>
      <c r="R105" s="33">
        <f>IF(INDEX(lmic_raw[],MATCH($A105,lmic_raw[[setting]:[setting]],0), MATCH(R$1, lmic_raw[#Headers],0))=0, INDEX(regions[], MATCH($D105, regions[[setting]:[setting]],0), MATCH(R$1, regions[#Headers],0)),INDEX(lmic_raw[],MATCH($A105,lmic_raw[[setting]:[setting]],0), MATCH(R$1, lmic_raw[#Headers],0)))</f>
        <v>86.883899999999997</v>
      </c>
      <c r="S105" s="33">
        <f>IF(INDEX(lmic_raw[],MATCH($A105,lmic_raw[[setting]:[setting]],0), MATCH(S$1, lmic_raw[#Headers],0))=0, INDEX(regions[], MATCH($D105, regions[[setting]:[setting]],0), MATCH(S$1, regions[#Headers],0)),INDEX(lmic_raw[],MATCH($A105,lmic_raw[[setting]:[setting]],0), MATCH(S$1, lmic_raw[#Headers],0)))</f>
        <v>134.6259</v>
      </c>
      <c r="T105" s="33">
        <f>IF(INDEX(lmic_raw[],MATCH($A105,lmic_raw[[setting]:[setting]],0), MATCH(T$1, lmic_raw[#Headers],0))=0, INDEX(regions[], MATCH($D105, regions[[setting]:[setting]],0), MATCH(T$1, regions[#Headers],0)),INDEX(lmic_raw[],MATCH($A105,lmic_raw[[setting]:[setting]],0), MATCH(T$1, lmic_raw[#Headers],0)))</f>
        <v>134.6259</v>
      </c>
      <c r="U105" s="33">
        <f>IF(INDEX(lmic_raw[],MATCH($A105,lmic_raw[[setting]:[setting]],0), MATCH(U$1, lmic_raw[#Headers],0))=0, INDEX(regions[], MATCH($D105, regions[[setting]:[setting]],0), MATCH(U$1, regions[#Headers],0)),INDEX(lmic_raw[],MATCH($A105,lmic_raw[[setting]:[setting]],0), MATCH(U$1, lmic_raw[#Headers],0)))</f>
        <v>134.6259</v>
      </c>
      <c r="V105" s="33">
        <f>IF(INDEX(lmic_raw[],MATCH($A105,lmic_raw[[setting]:[setting]],0), MATCH(V$1, lmic_raw[#Headers],0))=0, INDEX(regions[], MATCH($D105, regions[[setting]:[setting]],0), MATCH(V$1, regions[#Headers],0)),INDEX(lmic_raw[],MATCH($A105,lmic_raw[[setting]:[setting]],0), MATCH(V$1, lmic_raw[#Headers],0)))</f>
        <v>15.415347587023158</v>
      </c>
      <c r="W105" s="33">
        <f>IF(INDEX(lmic_raw[],MATCH($A105,lmic_raw[[setting]:[setting]],0), MATCH(W$1, lmic_raw[#Headers],0))=0, INDEX(regions[], MATCH($D105, regions[[setting]:[setting]],0), MATCH(W$1, regions[#Headers],0)),INDEX(lmic_raw[],MATCH($A105,lmic_raw[[setting]:[setting]],0), MATCH(W$1, lmic_raw[#Headers],0)))</f>
        <v>15.435347587023157</v>
      </c>
      <c r="X105" s="33">
        <f>IF(INDEX(lmic_raw[],MATCH($A105,lmic_raw[[setting]:[setting]],0), MATCH(X$1, lmic_raw[#Headers],0))=0, INDEX(regions[], MATCH($D105, regions[[setting]:[setting]],0), MATCH(X$1, regions[#Headers],0)),INDEX(lmic_raw[],MATCH($A105,lmic_raw[[setting]:[setting]],0), MATCH(X$1, lmic_raw[#Headers],0)))</f>
        <v>14.975220887564674</v>
      </c>
      <c r="Y105" s="33">
        <f>IF(INDEX(lmic_raw[],MATCH($A105,lmic_raw[[setting]:[setting]],0), MATCH(Y$1, lmic_raw[#Headers],0))=0, INDEX(regions[], MATCH($D105, regions[[setting]:[setting]],0), MATCH(Y$1, regions[#Headers],0)),INDEX(lmic_raw[],MATCH($A105,lmic_raw[[setting]:[setting]],0), MATCH(Y$1, lmic_raw[#Headers],0)))</f>
        <v>14.995220887564674</v>
      </c>
      <c r="Z105" s="33">
        <f>IF(INDEX(lmic_raw[],MATCH($A105,lmic_raw[[setting]:[setting]],0), MATCH(Z$1, lmic_raw[#Headers],0))=0, INDEX(regions[], MATCH($D105, regions[[setting]:[setting]],0), MATCH(Z$1, regions[#Headers],0)),INDEX(lmic_raw[],MATCH($A105,lmic_raw[[setting]:[setting]],0), MATCH(Z$1, lmic_raw[#Headers],0)))</f>
        <v>14.986970400292869</v>
      </c>
      <c r="AA105" s="33">
        <f>IF(INDEX(lmic_raw[],MATCH($A105,lmic_raw[[setting]:[setting]],0), MATCH(AA$1, lmic_raw[#Headers],0))=0, INDEX(regions[], MATCH($D105, regions[[setting]:[setting]],0), MATCH(AA$1, regions[#Headers],0)),INDEX(lmic_raw[],MATCH($A105,lmic_raw[[setting]:[setting]],0), MATCH(AA$1, lmic_raw[#Headers],0)))</f>
        <v>15.662223949853564</v>
      </c>
      <c r="AB105" s="33">
        <f>IF(INDEX(lmic_raw[],MATCH($A105,lmic_raw[[setting]:[setting]],0), MATCH(AB$1, lmic_raw[#Headers],0))=0, INDEX(regions[], MATCH($D105, regions[[setting]:[setting]],0), MATCH(AB$1, regions[#Headers],0)),INDEX(lmic_raw[],MATCH($A105,lmic_raw[[setting]:[setting]],0), MATCH(AB$1, lmic_raw[#Headers],0)))</f>
        <v>15.682223949853563</v>
      </c>
      <c r="AC105" s="33">
        <f>IF(INDEX(lmic_raw[],MATCH($A105,lmic_raw[[setting]:[setting]],0), MATCH(AC$1, lmic_raw[#Headers],0))=0, INDEX(regions[], MATCH($D105, regions[[setting]:[setting]],0), MATCH(AC$1, regions[#Headers],0)),INDEX(lmic_raw[],MATCH($A105,lmic_raw[[setting]:[setting]],0), MATCH(AC$1, lmic_raw[#Headers],0)))</f>
        <v>1.4663530000000029E-2</v>
      </c>
      <c r="AD105" s="33">
        <f>IF(INDEX(lmic_raw[],MATCH($A105,lmic_raw[[setting]:[setting]],0), MATCH(AD$1, lmic_raw[#Headers],0))=0, INDEX(regions[], MATCH($D105, regions[[setting]:[setting]],0), MATCH(AD$1, regions[#Headers],0)),INDEX(lmic_raw[],MATCH($A105,lmic_raw[[setting]:[setting]],0), MATCH(AD$1, lmic_raw[#Headers],0)))</f>
        <v>3.4021119709491893E-4</v>
      </c>
      <c r="AE105" s="33">
        <f>IF(INDEX(lmic_raw[],MATCH($A105,lmic_raw[[setting]:[setting]],0), MATCH(AE$1, lmic_raw[#Headers],0))=0, INDEX(regions[], MATCH($D105, regions[[setting]:[setting]],0), MATCH(AE$1, regions[#Headers],0)),INDEX(lmic_raw[],MATCH($A105,lmic_raw[[setting]:[setting]],0), MATCH(AE$1, lmic_raw[#Headers],0)))</f>
        <v>4.2637996402383369E-4</v>
      </c>
      <c r="AF105" s="33">
        <f>IF(INDEX(lmic_raw[],MATCH($A105,lmic_raw[[setting]:[setting]],0), MATCH(AF$1, lmic_raw[#Headers],0))=0, INDEX(regions[], MATCH($D105, regions[[setting]:[setting]],0), MATCH(AF$1, regions[#Headers],0)),INDEX(lmic_raw[],MATCH($A105,lmic_raw[[setting]:[setting]],0), MATCH(AF$1, lmic_raw[#Headers],0)))</f>
        <v>4.1149089039611527E-4</v>
      </c>
      <c r="AG105" s="33">
        <f>IF(INDEX(lmic_raw[],MATCH($A105,lmic_raw[[setting]:[setting]],0), MATCH(AG$1, lmic_raw[#Headers],0))=0, INDEX(regions[], MATCH($D105, regions[[setting]:[setting]],0), MATCH(AG$1, regions[#Headers],0)),INDEX(lmic_raw[],MATCH($A105,lmic_raw[[setting]:[setting]],0), MATCH(AG$1, lmic_raw[#Headers],0)))</f>
        <v>9.9843491675323634E-4</v>
      </c>
      <c r="AH105" s="33">
        <f>IF(INDEX(lmic_raw[],MATCH($A105,lmic_raw[[setting]:[setting]],0), MATCH(AH$1, lmic_raw[#Headers],0))=0, INDEX(regions[], MATCH($D105, regions[[setting]:[setting]],0), MATCH(AH$1, regions[#Headers],0)),INDEX(lmic_raw[],MATCH($A105,lmic_raw[[setting]:[setting]],0), MATCH(AH$1, lmic_raw[#Headers],0)))</f>
        <v>1.4048347182713413E-3</v>
      </c>
      <c r="AI105" s="33">
        <f>IF(INDEX(lmic_raw[],MATCH($A105,lmic_raw[[setting]:[setting]],0), MATCH(AI$1, lmic_raw[#Headers],0))=0, INDEX(regions[], MATCH($D105, regions[[setting]:[setting]],0), MATCH(AI$1, regions[#Headers],0)),INDEX(lmic_raw[],MATCH($A105,lmic_raw[[setting]:[setting]],0), MATCH(AI$1, lmic_raw[#Headers],0)))</f>
        <v>1.5309211275176661E-3</v>
      </c>
      <c r="AJ105" s="33">
        <f>IF(INDEX(lmic_raw[],MATCH($A105,lmic_raw[[setting]:[setting]],0), MATCH(AJ$1, lmic_raw[#Headers],0))=0, INDEX(regions[], MATCH($D105, regions[[setting]:[setting]],0), MATCH(AJ$1, regions[#Headers],0)),INDEX(lmic_raw[],MATCH($A105,lmic_raw[[setting]:[setting]],0), MATCH(AJ$1, lmic_raw[#Headers],0)))</f>
        <v>1.8245563678469204E-3</v>
      </c>
      <c r="AK105" s="33">
        <f>IF(INDEX(lmic_raw[],MATCH($A105,lmic_raw[[setting]:[setting]],0), MATCH(AK$1, lmic_raw[#Headers],0))=0, INDEX(regions[], MATCH($D105, regions[[setting]:[setting]],0), MATCH(AK$1, regions[#Headers],0)),INDEX(lmic_raw[],MATCH($A105,lmic_raw[[setting]:[setting]],0), MATCH(AK$1, lmic_raw[#Headers],0)))</f>
        <v>2.4303381208869196E-3</v>
      </c>
      <c r="AL105" s="33">
        <f>IF(INDEX(lmic_raw[],MATCH($A105,lmic_raw[[setting]:[setting]],0), MATCH(AL$1, lmic_raw[#Headers],0))=0, INDEX(regions[], MATCH($D105, regions[[setting]:[setting]],0), MATCH(AL$1, regions[#Headers],0)),INDEX(lmic_raw[],MATCH($A105,lmic_raw[[setting]:[setting]],0), MATCH(AL$1, lmic_raw[#Headers],0)))</f>
        <v>3.4715823014823954E-3</v>
      </c>
      <c r="AM105" s="33">
        <f>IF(INDEX(lmic_raw[],MATCH($A105,lmic_raw[[setting]:[setting]],0), MATCH(AM$1, lmic_raw[#Headers],0))=0, INDEX(regions[], MATCH($D105, regions[[setting]:[setting]],0), MATCH(AM$1, regions[#Headers],0)),INDEX(lmic_raw[],MATCH($A105,lmic_raw[[setting]:[setting]],0), MATCH(AM$1, lmic_raw[#Headers],0)))</f>
        <v>5.2094440885795262E-3</v>
      </c>
      <c r="AN105" s="33">
        <f>IF(INDEX(lmic_raw[],MATCH($A105,lmic_raw[[setting]:[setting]],0), MATCH(AN$1, lmic_raw[#Headers],0))=0, INDEX(regions[], MATCH($D105, regions[[setting]:[setting]],0), MATCH(AN$1, regions[#Headers],0)),INDEX(lmic_raw[],MATCH($A105,lmic_raw[[setting]:[setting]],0), MATCH(AN$1, lmic_raw[#Headers],0)))</f>
        <v>7.8502048685519903E-3</v>
      </c>
      <c r="AO105" s="33">
        <f>IF(INDEX(lmic_raw[],MATCH($A105,lmic_raw[[setting]:[setting]],0), MATCH(AO$1, lmic_raw[#Headers],0))=0, INDEX(regions[], MATCH($D105, regions[[setting]:[setting]],0), MATCH(AO$1, regions[#Headers],0)),INDEX(lmic_raw[],MATCH($A105,lmic_raw[[setting]:[setting]],0), MATCH(AO$1, lmic_raw[#Headers],0)))</f>
        <v>1.1806079853077847E-2</v>
      </c>
      <c r="AP105" s="33">
        <f>IF(INDEX(lmic_raw[],MATCH($A105,lmic_raw[[setting]:[setting]],0), MATCH(AP$1, lmic_raw[#Headers],0))=0, INDEX(regions[], MATCH($D105, regions[[setting]:[setting]],0), MATCH(AP$1, regions[#Headers],0)),INDEX(lmic_raw[],MATCH($A105,lmic_raw[[setting]:[setting]],0), MATCH(AP$1, lmic_raw[#Headers],0)))</f>
        <v>1.6595125843905906E-2</v>
      </c>
      <c r="AQ105" s="33">
        <f>IF(INDEX(lmic_raw[],MATCH($A105,lmic_raw[[setting]:[setting]],0), MATCH(AQ$1, lmic_raw[#Headers],0))=0, INDEX(regions[], MATCH($D105, regions[[setting]:[setting]],0), MATCH(AQ$1, regions[#Headers],0)),INDEX(lmic_raw[],MATCH($A105,lmic_raw[[setting]:[setting]],0), MATCH(AQ$1, lmic_raw[#Headers],0)))</f>
        <v>2.3201225558910875E-2</v>
      </c>
      <c r="AR105" s="33">
        <f>IF(INDEX(lmic_raw[],MATCH($A105,lmic_raw[[setting]:[setting]],0), MATCH(AR$1, lmic_raw[#Headers],0))=0, INDEX(regions[], MATCH($D105, regions[[setting]:[setting]],0), MATCH(AR$1, regions[#Headers],0)),INDEX(lmic_raw[],MATCH($A105,lmic_raw[[setting]:[setting]],0), MATCH(AR$1, lmic_raw[#Headers],0)))</f>
        <v>3.4377183914039114E-2</v>
      </c>
      <c r="AS105" s="33">
        <f>IF(INDEX(lmic_raw[],MATCH($A105,lmic_raw[[setting]:[setting]],0), MATCH(AS$1, lmic_raw[#Headers],0))=0, INDEX(regions[], MATCH($D105, regions[[setting]:[setting]],0), MATCH(AS$1, regions[#Headers],0)),INDEX(lmic_raw[],MATCH($A105,lmic_raw[[setting]:[setting]],0), MATCH(AS$1, lmic_raw[#Headers],0)))</f>
        <v>5.3208603413858246E-2</v>
      </c>
      <c r="AT105" s="33">
        <f>IF(INDEX(lmic_raw[],MATCH($A105,lmic_raw[[setting]:[setting]],0), MATCH(AT$1, lmic_raw[#Headers],0))=0, INDEX(regions[], MATCH($D105, regions[[setting]:[setting]],0), MATCH(AT$1, regions[#Headers],0)),INDEX(lmic_raw[],MATCH($A105,lmic_raw[[setting]:[setting]],0), MATCH(AT$1, lmic_raw[#Headers],0)))</f>
        <v>7.9564291851780072E-2</v>
      </c>
      <c r="AU105" s="33">
        <f>IF(INDEX(lmic_raw[],MATCH($A105,lmic_raw[[setting]:[setting]],0), MATCH(AU$1, lmic_raw[#Headers],0))=0, INDEX(regions[], MATCH($D105, regions[[setting]:[setting]],0), MATCH(AU$1, regions[#Headers],0)),INDEX(lmic_raw[],MATCH($A105,lmic_raw[[setting]:[setting]],0), MATCH(AU$1, lmic_raw[#Headers],0)))</f>
        <v>0.11207246301287309</v>
      </c>
      <c r="AV105" s="33">
        <f>IF(INDEX(lmic_raw[],MATCH($A105,lmic_raw[[setting]:[setting]],0), MATCH(AV$1, lmic_raw[#Headers],0))=0, INDEX(regions[], MATCH($D105, regions[[setting]:[setting]],0), MATCH(AV$1, regions[#Headers],0)),INDEX(lmic_raw[],MATCH($A105,lmic_raw[[setting]:[setting]],0), MATCH(AV$1, lmic_raw[#Headers],0)))</f>
        <v>0.14369697243231228</v>
      </c>
      <c r="AW105" s="33">
        <f>IF(INDEX(lmic_raw[],MATCH($A105,lmic_raw[[setting]:[setting]],0), MATCH(AW$1, lmic_raw[#Headers],0))=0, INDEX(regions[], MATCH($D105, regions[[setting]:[setting]],0), MATCH(AW$1, regions[#Headers],0)),INDEX(lmic_raw[],MATCH($A105,lmic_raw[[setting]:[setting]],0), MATCH(AW$1, lmic_raw[#Headers],0)))</f>
        <v>0.1687400645780878</v>
      </c>
      <c r="AX105" s="33">
        <f>IF(INDEX(lmic_raw[],MATCH($A105,lmic_raw[[setting]:[setting]],0), MATCH(AX$1, lmic_raw[#Headers],0))=0, INDEX(regions[], MATCH($D105, regions[[setting]:[setting]],0), MATCH(AX$1, regions[#Headers],0)),INDEX(lmic_raw[],MATCH($A105,lmic_raw[[setting]:[setting]],0), MATCH(AX$1, lmic_raw[#Headers],0)))</f>
        <v>72.36</v>
      </c>
      <c r="AY105" s="33" t="str">
        <f>IF(VLOOKUP($A105,lmic_raw[],11,FALSE)=0, "Yes", "No")</f>
        <v>No</v>
      </c>
    </row>
    <row r="106" spans="1:51" x14ac:dyDescent="0.25">
      <c r="A106" s="109" t="s">
        <v>299</v>
      </c>
      <c r="B106" s="101" t="s">
        <v>504</v>
      </c>
      <c r="C106" s="102">
        <v>882</v>
      </c>
      <c r="D106" s="82" t="s">
        <v>681</v>
      </c>
      <c r="E106" s="82" t="s">
        <v>98</v>
      </c>
      <c r="F106" s="82" t="s">
        <v>666</v>
      </c>
      <c r="G106" s="82" t="s">
        <v>676</v>
      </c>
      <c r="H106" s="33">
        <f>IF(INDEX(lmic_raw[],MATCH($A106,lmic_raw[[setting]:[setting]],0), MATCH(H$1, lmic_raw[#Headers],0))=0, INDEX(regions[], MATCH($D106, regions[[setting]:[setting]],0), MATCH(H$1, regions[#Headers],0)),INDEX(lmic_raw[],MATCH($A106,lmic_raw[[setting]:[setting]],0), MATCH(H$1, lmic_raw[#Headers],0)))</f>
        <v>197093</v>
      </c>
      <c r="I106" s="33">
        <f>IF(INDEX(lmic_raw[],MATCH($A106,lmic_raw[[setting]:[setting]],0), MATCH(I$1, lmic_raw[#Headers],0))=0, INDEX(regions[], MATCH($D106, regions[[setting]:[setting]],0), MATCH(I$1, regions[#Headers],0)),INDEX(lmic_raw[],MATCH($A106,lmic_raw[[setting]:[setting]],0), MATCH(I$1, lmic_raw[#Headers],0)))</f>
        <v>4836.0709409999999</v>
      </c>
      <c r="J106" s="33">
        <f>IF(INDEX(lmic_raw[],MATCH($A106,lmic_raw[[setting]:[setting]],0), MATCH(J$1, lmic_raw[#Headers],0))=0, INDEX(regions[], MATCH($D106, regions[[setting]:[setting]],0), MATCH(J$1, regions[#Headers],0)),INDEX(lmic_raw[],MATCH($A106,lmic_raw[[setting]:[setting]],0), MATCH(J$1, lmic_raw[#Headers],0)))</f>
        <v>0.81900000000000006</v>
      </c>
      <c r="K106" s="33">
        <f>IF(INDEX(lmic_raw[],MATCH($A106,lmic_raw[[setting]:[setting]],0), MATCH(K$1, lmic_raw[#Headers],0))=0, INDEX(regions[], MATCH($D106, regions[[setting]:[setting]],0), MATCH(K$1, regions[#Headers],0)),INDEX(lmic_raw[],MATCH($A106,lmic_raw[[setting]:[setting]],0), MATCH(K$1, lmic_raw[#Headers],0)))</f>
        <v>0.65</v>
      </c>
      <c r="L106" s="33">
        <f>IF(INDEX(lmic_raw[],MATCH($A106,lmic_raw[[setting]:[setting]],0), MATCH(L$1, lmic_raw[#Headers],0))=0, INDEX(regions[], MATCH($D106, regions[[setting]:[setting]],0), MATCH(L$1, regions[#Headers],0)),INDEX(lmic_raw[],MATCH($A106,lmic_raw[[setting]:[setting]],0), MATCH(L$1, lmic_raw[#Headers],0)))</f>
        <v>0.57999999999999996</v>
      </c>
      <c r="M106" s="33">
        <f>IF(INDEX(lmic_raw[],MATCH($A106,lmic_raw[[setting]:[setting]],0), MATCH(M$1, lmic_raw[#Headers],0))=0, INDEX(regions[], MATCH($D106, regions[[setting]:[setting]],0), MATCH(M$1, regions[#Headers],0)),INDEX(lmic_raw[],MATCH($A106,lmic_raw[[setting]:[setting]],0), MATCH(M$1, lmic_raw[#Headers],0)))</f>
        <v>3.3300000000000003E-2</v>
      </c>
      <c r="N106" s="33">
        <f>IF(INDEX(lmic_raw[],MATCH($A106,lmic_raw[[setting]:[setting]],0), MATCH(N$1, lmic_raw[#Headers],0))=0, INDEX(regions[], MATCH($D106, regions[[setting]:[setting]],0), MATCH(N$1, regions[#Headers],0)),INDEX(lmic_raw[],MATCH($A106,lmic_raw[[setting]:[setting]],0), MATCH(N$1, lmic_raw[#Headers],0)))</f>
        <v>0.32058968887779721</v>
      </c>
      <c r="O106" s="33">
        <f>IF(INDEX(lmic_raw[],MATCH($A106,lmic_raw[[setting]:[setting]],0), MATCH(O$1, lmic_raw[#Headers],0))=0, INDEX(regions[], MATCH($D106, regions[[setting]:[setting]],0), MATCH(O$1, regions[#Headers],0)),INDEX(lmic_raw[],MATCH($A106,lmic_raw[[setting]:[setting]],0), MATCH(O$1, lmic_raw[#Headers],0)))</f>
        <v>0.8</v>
      </c>
      <c r="P106" s="33">
        <f>IF(INDEX(lmic_raw[],MATCH($A106,lmic_raw[[setting]:[setting]],0), MATCH(P$1, lmic_raw[#Headers],0))=0, INDEX(regions[], MATCH($D106, regions[[setting]:[setting]],0), MATCH(P$1, regions[#Headers],0)),INDEX(lmic_raw[],MATCH($A106,lmic_raw[[setting]:[setting]],0), MATCH(P$1, lmic_raw[#Headers],0)))</f>
        <v>0.17499999999999999</v>
      </c>
      <c r="Q106" s="33">
        <f>IF(INDEX(lmic_raw[],MATCH($A106,lmic_raw[[setting]:[setting]],0), MATCH(Q$1, lmic_raw[#Headers],0))=0, INDEX(regions[], MATCH($D106, regions[[setting]:[setting]],0), MATCH(Q$1, regions[#Headers],0)),INDEX(lmic_raw[],MATCH($A106,lmic_raw[[setting]:[setting]],0), MATCH(Q$1, lmic_raw[#Headers],0)))</f>
        <v>7.0735508882425417</v>
      </c>
      <c r="R106" s="33">
        <f>IF(INDEX(lmic_raw[],MATCH($A106,lmic_raw[[setting]:[setting]],0), MATCH(R$1, lmic_raw[#Headers],0))=0, INDEX(regions[], MATCH($D106, regions[[setting]:[setting]],0), MATCH(R$1, regions[#Headers],0)),INDEX(lmic_raw[],MATCH($A106,lmic_raw[[setting]:[setting]],0), MATCH(R$1, lmic_raw[#Headers],0)))</f>
        <v>73.084500000000006</v>
      </c>
      <c r="S106" s="33">
        <f>IF(INDEX(lmic_raw[],MATCH($A106,lmic_raw[[setting]:[setting]],0), MATCH(S$1, lmic_raw[#Headers],0))=0, INDEX(regions[], MATCH($D106, regions[[setting]:[setting]],0), MATCH(S$1, regions[#Headers],0)),INDEX(lmic_raw[],MATCH($A106,lmic_raw[[setting]:[setting]],0), MATCH(S$1, lmic_raw[#Headers],0)))</f>
        <v>120.8265</v>
      </c>
      <c r="T106" s="33">
        <f>IF(INDEX(lmic_raw[],MATCH($A106,lmic_raw[[setting]:[setting]],0), MATCH(T$1, lmic_raw[#Headers],0))=0, INDEX(regions[], MATCH($D106, regions[[setting]:[setting]],0), MATCH(T$1, regions[#Headers],0)),INDEX(lmic_raw[],MATCH($A106,lmic_raw[[setting]:[setting]],0), MATCH(T$1, lmic_raw[#Headers],0)))</f>
        <v>120.8265</v>
      </c>
      <c r="U106" s="33">
        <f>IF(INDEX(lmic_raw[],MATCH($A106,lmic_raw[[setting]:[setting]],0), MATCH(U$1, lmic_raw[#Headers],0))=0, INDEX(regions[], MATCH($D106, regions[[setting]:[setting]],0), MATCH(U$1, regions[#Headers],0)),INDEX(lmic_raw[],MATCH($A106,lmic_raw[[setting]:[setting]],0), MATCH(U$1, lmic_raw[#Headers],0)))</f>
        <v>120.8265</v>
      </c>
      <c r="V106" s="33">
        <f>IF(INDEX(lmic_raw[],MATCH($A106,lmic_raw[[setting]:[setting]],0), MATCH(V$1, lmic_raw[#Headers],0))=0, INDEX(regions[], MATCH($D106, regions[[setting]:[setting]],0), MATCH(V$1, regions[#Headers],0)),INDEX(lmic_raw[],MATCH($A106,lmic_raw[[setting]:[setting]],0), MATCH(V$1, lmic_raw[#Headers],0)))</f>
        <v>2.4508641788116901</v>
      </c>
      <c r="W106" s="33">
        <f>IF(INDEX(lmic_raw[],MATCH($A106,lmic_raw[[setting]:[setting]],0), MATCH(W$1, lmic_raw[#Headers],0))=0, INDEX(regions[], MATCH($D106, regions[[setting]:[setting]],0), MATCH(W$1, regions[#Headers],0)),INDEX(lmic_raw[],MATCH($A106,lmic_raw[[setting]:[setting]],0), MATCH(W$1, lmic_raw[#Headers],0)))</f>
        <v>3.0808641788116899</v>
      </c>
      <c r="X106" s="33">
        <f>IF(INDEX(lmic_raw[],MATCH($A106,lmic_raw[[setting]:[setting]],0), MATCH(X$1, lmic_raw[#Headers],0))=0, INDEX(regions[], MATCH($D106, regions[[setting]:[setting]],0), MATCH(X$1, regions[#Headers],0)),INDEX(lmic_raw[],MATCH($A106,lmic_raw[[setting]:[setting]],0), MATCH(X$1, lmic_raw[#Headers],0)))</f>
        <v>2.0199657084037383</v>
      </c>
      <c r="Y106" s="33">
        <f>IF(INDEX(lmic_raw[],MATCH($A106,lmic_raw[[setting]:[setting]],0), MATCH(Y$1, lmic_raw[#Headers],0))=0, INDEX(regions[], MATCH($D106, regions[[setting]:[setting]],0), MATCH(Y$1, regions[#Headers],0)),INDEX(lmic_raw[],MATCH($A106,lmic_raw[[setting]:[setting]],0), MATCH(Y$1, lmic_raw[#Headers],0)))</f>
        <v>2.6499657084037382</v>
      </c>
      <c r="Z106" s="33">
        <f>IF(INDEX(lmic_raw[],MATCH($A106,lmic_raw[[setting]:[setting]],0), MATCH(Z$1, lmic_raw[#Headers],0))=0, INDEX(regions[], MATCH($D106, regions[[setting]:[setting]],0), MATCH(Z$1, regions[#Headers],0)),INDEX(lmic_raw[],MATCH($A106,lmic_raw[[setting]:[setting]],0), MATCH(Z$1, lmic_raw[#Headers],0)))</f>
        <v>2.6450927868058391</v>
      </c>
      <c r="AA106" s="33">
        <f>IF(INDEX(lmic_raw[],MATCH($A106,lmic_raw[[setting]:[setting]],0), MATCH(AA$1, lmic_raw[#Headers],0))=0, INDEX(regions[], MATCH($D106, regions[[setting]:[setting]],0), MATCH(AA$1, regions[#Headers],0)),INDEX(lmic_raw[],MATCH($A106,lmic_raw[[setting]:[setting]],0), MATCH(AA$1, lmic_raw[#Headers],0)))</f>
        <v>2.6944140869843474</v>
      </c>
      <c r="AB106" s="33">
        <f>IF(INDEX(lmic_raw[],MATCH($A106,lmic_raw[[setting]:[setting]],0), MATCH(AB$1, lmic_raw[#Headers],0))=0, INDEX(regions[], MATCH($D106, regions[[setting]:[setting]],0), MATCH(AB$1, regions[#Headers],0)),INDEX(lmic_raw[],MATCH($A106,lmic_raw[[setting]:[setting]],0), MATCH(AB$1, lmic_raw[#Headers],0)))</f>
        <v>3.3244140869843473</v>
      </c>
      <c r="AC106" s="33">
        <f>IF(INDEX(lmic_raw[],MATCH($A106,lmic_raw[[setting]:[setting]],0), MATCH(AC$1, lmic_raw[#Headers],0))=0, INDEX(regions[], MATCH($D106, regions[[setting]:[setting]],0), MATCH(AC$1, regions[#Headers],0)),INDEX(lmic_raw[],MATCH($A106,lmic_raw[[setting]:[setting]],0), MATCH(AC$1, lmic_raw[#Headers],0)))</f>
        <v>1.3451919999999954E-2</v>
      </c>
      <c r="AD106" s="33">
        <f>IF(INDEX(lmic_raw[],MATCH($A106,lmic_raw[[setting]:[setting]],0), MATCH(AD$1, lmic_raw[#Headers],0))=0, INDEX(regions[], MATCH($D106, regions[[setting]:[setting]],0), MATCH(AD$1, regions[#Headers],0)),INDEX(lmic_raw[],MATCH($A106,lmic_raw[[setting]:[setting]],0), MATCH(AD$1, lmic_raw[#Headers],0)))</f>
        <v>6.925258016821634E-4</v>
      </c>
      <c r="AE106" s="33">
        <f>IF(INDEX(lmic_raw[],MATCH($A106,lmic_raw[[setting]:[setting]],0), MATCH(AE$1, lmic_raw[#Headers],0))=0, INDEX(regions[], MATCH($D106, regions[[setting]:[setting]],0), MATCH(AE$1, regions[#Headers],0)),INDEX(lmic_raw[],MATCH($A106,lmic_raw[[setting]:[setting]],0), MATCH(AE$1, lmic_raw[#Headers],0)))</f>
        <v>2.7272193913159863E-4</v>
      </c>
      <c r="AF106" s="33">
        <f>IF(INDEX(lmic_raw[],MATCH($A106,lmic_raw[[setting]:[setting]],0), MATCH(AF$1, lmic_raw[#Headers],0))=0, INDEX(regions[], MATCH($D106, regions[[setting]:[setting]],0), MATCH(AF$1, regions[#Headers],0)),INDEX(lmic_raw[],MATCH($A106,lmic_raw[[setting]:[setting]],0), MATCH(AF$1, lmic_raw[#Headers],0)))</f>
        <v>2.4867230542658183E-4</v>
      </c>
      <c r="AG106" s="33">
        <f>IF(INDEX(lmic_raw[],MATCH($A106,lmic_raw[[setting]:[setting]],0), MATCH(AG$1, lmic_raw[#Headers],0))=0, INDEX(regions[], MATCH($D106, regions[[setting]:[setting]],0), MATCH(AG$1, regions[#Headers],0)),INDEX(lmic_raw[],MATCH($A106,lmic_raw[[setting]:[setting]],0), MATCH(AG$1, lmic_raw[#Headers],0)))</f>
        <v>5.7632282540880791E-4</v>
      </c>
      <c r="AH106" s="33">
        <f>IF(INDEX(lmic_raw[],MATCH($A106,lmic_raw[[setting]:[setting]],0), MATCH(AH$1, lmic_raw[#Headers],0))=0, INDEX(regions[], MATCH($D106, regions[[setting]:[setting]],0), MATCH(AH$1, regions[#Headers],0)),INDEX(lmic_raw[],MATCH($A106,lmic_raw[[setting]:[setting]],0), MATCH(AH$1, lmic_raw[#Headers],0)))</f>
        <v>7.4883444767236248E-4</v>
      </c>
      <c r="AI106" s="33">
        <f>IF(INDEX(lmic_raw[],MATCH($A106,lmic_raw[[setting]:[setting]],0), MATCH(AI$1, lmic_raw[#Headers],0))=0, INDEX(regions[], MATCH($D106, regions[[setting]:[setting]],0), MATCH(AI$1, regions[#Headers],0)),INDEX(lmic_raw[],MATCH($A106,lmic_raw[[setting]:[setting]],0), MATCH(AI$1, lmic_raw[#Headers],0)))</f>
        <v>7.6641544443991705E-4</v>
      </c>
      <c r="AJ106" s="33">
        <f>IF(INDEX(lmic_raw[],MATCH($A106,lmic_raw[[setting]:[setting]],0), MATCH(AJ$1, lmic_raw[#Headers],0))=0, INDEX(regions[], MATCH($D106, regions[[setting]:[setting]],0), MATCH(AJ$1, regions[#Headers],0)),INDEX(lmic_raw[],MATCH($A106,lmic_raw[[setting]:[setting]],0), MATCH(AJ$1, lmic_raw[#Headers],0)))</f>
        <v>9.1812391512278697E-4</v>
      </c>
      <c r="AK106" s="33">
        <f>IF(INDEX(lmic_raw[],MATCH($A106,lmic_raw[[setting]:[setting]],0), MATCH(AK$1, lmic_raw[#Headers],0))=0, INDEX(regions[], MATCH($D106, regions[[setting]:[setting]],0), MATCH(AK$1, regions[#Headers],0)),INDEX(lmic_raw[],MATCH($A106,lmic_raw[[setting]:[setting]],0), MATCH(AK$1, lmic_raw[#Headers],0)))</f>
        <v>1.2856951280974299E-3</v>
      </c>
      <c r="AL106" s="33">
        <f>IF(INDEX(lmic_raw[],MATCH($A106,lmic_raw[[setting]:[setting]],0), MATCH(AL$1, lmic_raw[#Headers],0))=0, INDEX(regions[], MATCH($D106, regions[[setting]:[setting]],0), MATCH(AL$1, regions[#Headers],0)),INDEX(lmic_raw[],MATCH($A106,lmic_raw[[setting]:[setting]],0), MATCH(AL$1, lmic_raw[#Headers],0)))</f>
        <v>1.9815388611344529E-3</v>
      </c>
      <c r="AM106" s="33">
        <f>IF(INDEX(lmic_raw[],MATCH($A106,lmic_raw[[setting]:[setting]],0), MATCH(AM$1, lmic_raw[#Headers],0))=0, INDEX(regions[], MATCH($D106, regions[[setting]:[setting]],0), MATCH(AM$1, regions[#Headers],0)),INDEX(lmic_raw[],MATCH($A106,lmic_raw[[setting]:[setting]],0), MATCH(AM$1, lmic_raw[#Headers],0)))</f>
        <v>3.2649687793858671E-3</v>
      </c>
      <c r="AN106" s="33">
        <f>IF(INDEX(lmic_raw[],MATCH($A106,lmic_raw[[setting]:[setting]],0), MATCH(AN$1, lmic_raw[#Headers],0))=0, INDEX(regions[], MATCH($D106, regions[[setting]:[setting]],0), MATCH(AN$1, regions[#Headers],0)),INDEX(lmic_raw[],MATCH($A106,lmic_raw[[setting]:[setting]],0), MATCH(AN$1, lmic_raw[#Headers],0)))</f>
        <v>5.3189558398148307E-3</v>
      </c>
      <c r="AO106" s="33">
        <f>IF(INDEX(lmic_raw[],MATCH($A106,lmic_raw[[setting]:[setting]],0), MATCH(AO$1, lmic_raw[#Headers],0))=0, INDEX(regions[], MATCH($D106, regions[[setting]:[setting]],0), MATCH(AO$1, regions[#Headers],0)),INDEX(lmic_raw[],MATCH($A106,lmic_raw[[setting]:[setting]],0), MATCH(AO$1, lmic_raw[#Headers],0)))</f>
        <v>8.6035405736889538E-3</v>
      </c>
      <c r="AP106" s="33">
        <f>IF(INDEX(lmic_raw[],MATCH($A106,lmic_raw[[setting]:[setting]],0), MATCH(AP$1, lmic_raw[#Headers],0))=0, INDEX(regions[], MATCH($D106, regions[[setting]:[setting]],0), MATCH(AP$1, regions[#Headers],0)),INDEX(lmic_raw[],MATCH($A106,lmic_raw[[setting]:[setting]],0), MATCH(AP$1, lmic_raw[#Headers],0)))</f>
        <v>1.5215103235341637E-2</v>
      </c>
      <c r="AQ106" s="33">
        <f>IF(INDEX(lmic_raw[],MATCH($A106,lmic_raw[[setting]:[setting]],0), MATCH(AQ$1, lmic_raw[#Headers],0))=0, INDEX(regions[], MATCH($D106, regions[[setting]:[setting]],0), MATCH(AQ$1, regions[#Headers],0)),INDEX(lmic_raw[],MATCH($A106,lmic_raw[[setting]:[setting]],0), MATCH(AQ$1, lmic_raw[#Headers],0)))</f>
        <v>2.6465545199367089E-2</v>
      </c>
      <c r="AR106" s="33">
        <f>IF(INDEX(lmic_raw[],MATCH($A106,lmic_raw[[setting]:[setting]],0), MATCH(AR$1, lmic_raw[#Headers],0))=0, INDEX(regions[], MATCH($D106, regions[[setting]:[setting]],0), MATCH(AR$1, regions[#Headers],0)),INDEX(lmic_raw[],MATCH($A106,lmic_raw[[setting]:[setting]],0), MATCH(AR$1, lmic_raw[#Headers],0)))</f>
        <v>4.328396945983462E-2</v>
      </c>
      <c r="AS106" s="33">
        <f>IF(INDEX(lmic_raw[],MATCH($A106,lmic_raw[[setting]:[setting]],0), MATCH(AS$1, lmic_raw[#Headers],0))=0, INDEX(regions[], MATCH($D106, regions[[setting]:[setting]],0), MATCH(AS$1, regions[#Headers],0)),INDEX(lmic_raw[],MATCH($A106,lmic_raw[[setting]:[setting]],0), MATCH(AS$1, lmic_raw[#Headers],0)))</f>
        <v>6.7514354289343895E-2</v>
      </c>
      <c r="AT106" s="33">
        <f>IF(INDEX(lmic_raw[],MATCH($A106,lmic_raw[[setting]:[setting]],0), MATCH(AT$1, lmic_raw[#Headers],0))=0, INDEX(regions[], MATCH($D106, regions[[setting]:[setting]],0), MATCH(AT$1, regions[#Headers],0)),INDEX(lmic_raw[],MATCH($A106,lmic_raw[[setting]:[setting]],0), MATCH(AT$1, lmic_raw[#Headers],0)))</f>
        <v>9.9671727651561334E-2</v>
      </c>
      <c r="AU106" s="33">
        <f>IF(INDEX(lmic_raw[],MATCH($A106,lmic_raw[[setting]:[setting]],0), MATCH(AU$1, lmic_raw[#Headers],0))=0, INDEX(regions[], MATCH($D106, regions[[setting]:[setting]],0), MATCH(AU$1, regions[#Headers],0)),INDEX(lmic_raw[],MATCH($A106,lmic_raw[[setting]:[setting]],0), MATCH(AU$1, lmic_raw[#Headers],0)))</f>
        <v>0.13589694453866549</v>
      </c>
      <c r="AV106" s="33">
        <f>IF(INDEX(lmic_raw[],MATCH($A106,lmic_raw[[setting]:[setting]],0), MATCH(AV$1, lmic_raw[#Headers],0))=0, INDEX(regions[], MATCH($D106, regions[[setting]:[setting]],0), MATCH(AV$1, regions[#Headers],0)),INDEX(lmic_raw[],MATCH($A106,lmic_raw[[setting]:[setting]],0), MATCH(AV$1, lmic_raw[#Headers],0)))</f>
        <v>0.16605347519569352</v>
      </c>
      <c r="AW106" s="33">
        <f>IF(INDEX(lmic_raw[],MATCH($A106,lmic_raw[[setting]:[setting]],0), MATCH(AW$1, lmic_raw[#Headers],0))=0, INDEX(regions[], MATCH($D106, regions[[setting]:[setting]],0), MATCH(AW$1, regions[#Headers],0)),INDEX(lmic_raw[],MATCH($A106,lmic_raw[[setting]:[setting]],0), MATCH(AW$1, lmic_raw[#Headers],0)))</f>
        <v>0.18409343663613717</v>
      </c>
      <c r="AX106" s="33">
        <f>IF(INDEX(lmic_raw[],MATCH($A106,lmic_raw[[setting]:[setting]],0), MATCH(AX$1, lmic_raw[#Headers],0))=0, INDEX(regions[], MATCH($D106, regions[[setting]:[setting]],0), MATCH(AX$1, regions[#Headers],0)),INDEX(lmic_raw[],MATCH($A106,lmic_raw[[setting]:[setting]],0), MATCH(AX$1, lmic_raw[#Headers],0)))</f>
        <v>73.111000000000004</v>
      </c>
      <c r="AY106" s="33" t="str">
        <f>IF(VLOOKUP($A106,lmic_raw[],11,FALSE)=0, "Yes", "No")</f>
        <v>No</v>
      </c>
    </row>
    <row r="107" spans="1:51" x14ac:dyDescent="0.25">
      <c r="A107" s="110" t="s">
        <v>684</v>
      </c>
      <c r="B107" s="104" t="s">
        <v>505</v>
      </c>
      <c r="C107" s="105">
        <v>678</v>
      </c>
      <c r="D107" s="84" t="s">
        <v>677</v>
      </c>
      <c r="E107" s="84" t="s">
        <v>591</v>
      </c>
      <c r="F107" s="84" t="s">
        <v>667</v>
      </c>
      <c r="G107" s="84" t="s">
        <v>678</v>
      </c>
      <c r="H107" s="33">
        <f>IF(INDEX(lmic_raw[],MATCH($A107,lmic_raw[[setting]:[setting]],0), MATCH(H$1, lmic_raw[#Headers],0))=0, INDEX(regions[], MATCH($D107, regions[[setting]:[setting]],0), MATCH(H$1, regions[#Headers],0)),INDEX(lmic_raw[],MATCH($A107,lmic_raw[[setting]:[setting]],0), MATCH(H$1, lmic_raw[#Headers],0)))</f>
        <v>215048</v>
      </c>
      <c r="I107" s="33">
        <f>IF(INDEX(lmic_raw[],MATCH($A107,lmic_raw[[setting]:[setting]],0), MATCH(I$1, lmic_raw[#Headers],0))=0, INDEX(regions[], MATCH($D107, regions[[setting]:[setting]],0), MATCH(I$1, regions[#Headers],0)),INDEX(lmic_raw[],MATCH($A107,lmic_raw[[setting]:[setting]],0), MATCH(I$1, lmic_raw[#Headers],0)))</f>
        <v>6827.7740000000003</v>
      </c>
      <c r="J107" s="33">
        <f>IF(INDEX(lmic_raw[],MATCH($A107,lmic_raw[[setting]:[setting]],0), MATCH(J$1, lmic_raw[#Headers],0))=0, INDEX(regions[], MATCH($D107, regions[[setting]:[setting]],0), MATCH(J$1, regions[#Headers],0)),INDEX(lmic_raw[],MATCH($A107,lmic_raw[[setting]:[setting]],0), MATCH(J$1, lmic_raw[#Headers],0)))</f>
        <v>0.91</v>
      </c>
      <c r="K107" s="33">
        <f>IF(INDEX(lmic_raw[],MATCH($A107,lmic_raw[[setting]:[setting]],0), MATCH(K$1, lmic_raw[#Headers],0))=0, INDEX(regions[], MATCH($D107, regions[[setting]:[setting]],0), MATCH(K$1, regions[#Headers],0)),INDEX(lmic_raw[],MATCH($A107,lmic_raw[[setting]:[setting]],0), MATCH(K$1, lmic_raw[#Headers],0)))</f>
        <v>0.95</v>
      </c>
      <c r="L107" s="33">
        <f>IF(INDEX(lmic_raw[],MATCH($A107,lmic_raw[[setting]:[setting]],0), MATCH(L$1, lmic_raw[#Headers],0))=0, INDEX(regions[], MATCH($D107, regions[[setting]:[setting]],0), MATCH(L$1, regions[#Headers],0)),INDEX(lmic_raw[],MATCH($A107,lmic_raw[[setting]:[setting]],0), MATCH(L$1, lmic_raw[#Headers],0)))</f>
        <v>0.95</v>
      </c>
      <c r="M107" s="33">
        <f>IF(INDEX(lmic_raw[],MATCH($A107,lmic_raw[[setting]:[setting]],0), MATCH(M$1, lmic_raw[#Headers],0))=0, INDEX(regions[], MATCH($D107, regions[[setting]:[setting]],0), MATCH(M$1, regions[#Headers],0)),INDEX(lmic_raw[],MATCH($A107,lmic_raw[[setting]:[setting]],0), MATCH(M$1, lmic_raw[#Headers],0)))</f>
        <v>3.5400000000000001E-2</v>
      </c>
      <c r="N107" s="33">
        <f>IF(INDEX(lmic_raw[],MATCH($A107,lmic_raw[[setting]:[setting]],0), MATCH(N$1, lmic_raw[#Headers],0))=0, INDEX(regions[], MATCH($D107, regions[[setting]:[setting]],0), MATCH(N$1, regions[#Headers],0)),INDEX(lmic_raw[],MATCH($A107,lmic_raw[[setting]:[setting]],0), MATCH(N$1, lmic_raw[#Headers],0)))</f>
        <v>0.27035763621551229</v>
      </c>
      <c r="O107" s="33">
        <f>IF(INDEX(lmic_raw[],MATCH($A107,lmic_raw[[setting]:[setting]],0), MATCH(O$1, lmic_raw[#Headers],0))=0, INDEX(regions[], MATCH($D107, regions[[setting]:[setting]],0), MATCH(O$1, regions[#Headers],0)),INDEX(lmic_raw[],MATCH($A107,lmic_raw[[setting]:[setting]],0), MATCH(O$1, lmic_raw[#Headers],0)))</f>
        <v>0.38300000000000001</v>
      </c>
      <c r="P107" s="33">
        <f>IF(INDEX(lmic_raw[],MATCH($A107,lmic_raw[[setting]:[setting]],0), MATCH(P$1, lmic_raw[#Headers],0))=0, INDEX(regions[], MATCH($D107, regions[[setting]:[setting]],0), MATCH(P$1, regions[#Headers],0)),INDEX(lmic_raw[],MATCH($A107,lmic_raw[[setting]:[setting]],0), MATCH(P$1, lmic_raw[#Headers],0)))</f>
        <v>4.8000000000000001E-2</v>
      </c>
      <c r="Q107" s="33">
        <f>IF(INDEX(lmic_raw[],MATCH($A107,lmic_raw[[setting]:[setting]],0), MATCH(Q$1, lmic_raw[#Headers],0))=0, INDEX(regions[], MATCH($D107, regions[[setting]:[setting]],0), MATCH(Q$1, regions[#Headers],0)),INDEX(lmic_raw[],MATCH($A107,lmic_raw[[setting]:[setting]],0), MATCH(Q$1, lmic_raw[#Headers],0)))</f>
        <v>3.417883439664847</v>
      </c>
      <c r="R107" s="33">
        <f>IF(INDEX(lmic_raw[],MATCH($A107,lmic_raw[[setting]:[setting]],0), MATCH(R$1, lmic_raw[#Headers],0))=0, INDEX(regions[], MATCH($D107, regions[[setting]:[setting]],0), MATCH(R$1, regions[#Headers],0)),INDEX(lmic_raw[],MATCH($A107,lmic_raw[[setting]:[setting]],0), MATCH(R$1, lmic_raw[#Headers],0)))</f>
        <v>29.920500000000001</v>
      </c>
      <c r="S107" s="33">
        <f>IF(INDEX(lmic_raw[],MATCH($A107,lmic_raw[[setting]:[setting]],0), MATCH(S$1, lmic_raw[#Headers],0))=0, INDEX(regions[], MATCH($D107, regions[[setting]:[setting]],0), MATCH(S$1, regions[#Headers],0)),INDEX(lmic_raw[],MATCH($A107,lmic_raw[[setting]:[setting]],0), MATCH(S$1, lmic_raw[#Headers],0)))</f>
        <v>77.662500000000009</v>
      </c>
      <c r="T107" s="33">
        <f>IF(INDEX(lmic_raw[],MATCH($A107,lmic_raw[[setting]:[setting]],0), MATCH(T$1, lmic_raw[#Headers],0))=0, INDEX(regions[], MATCH($D107, regions[[setting]:[setting]],0), MATCH(T$1, regions[#Headers],0)),INDEX(lmic_raw[],MATCH($A107,lmic_raw[[setting]:[setting]],0), MATCH(T$1, lmic_raw[#Headers],0)))</f>
        <v>77.662500000000009</v>
      </c>
      <c r="U107" s="33">
        <f>IF(INDEX(lmic_raw[],MATCH($A107,lmic_raw[[setting]:[setting]],0), MATCH(U$1, lmic_raw[#Headers],0))=0, INDEX(regions[], MATCH($D107, regions[[setting]:[setting]],0), MATCH(U$1, regions[#Headers],0)),INDEX(lmic_raw[],MATCH($A107,lmic_raw[[setting]:[setting]],0), MATCH(U$1, lmic_raw[#Headers],0)))</f>
        <v>77.662500000000009</v>
      </c>
      <c r="V107" s="33">
        <f>IF(INDEX(lmic_raw[],MATCH($A107,lmic_raw[[setting]:[setting]],0), MATCH(V$1, lmic_raw[#Headers],0))=0, INDEX(regions[], MATCH($D107, regions[[setting]:[setting]],0), MATCH(V$1, regions[#Headers],0)),INDEX(lmic_raw[],MATCH($A107,lmic_raw[[setting]:[setting]],0), MATCH(V$1, lmic_raw[#Headers],0)))</f>
        <v>8.8123812930487908</v>
      </c>
      <c r="W107" s="33">
        <f>IF(INDEX(lmic_raw[],MATCH($A107,lmic_raw[[setting]:[setting]],0), MATCH(W$1, lmic_raw[#Headers],0))=0, INDEX(regions[], MATCH($D107, regions[[setting]:[setting]],0), MATCH(W$1, regions[#Headers],0)),INDEX(lmic_raw[],MATCH($A107,lmic_raw[[setting]:[setting]],0), MATCH(W$1, lmic_raw[#Headers],0)))</f>
        <v>13.642381293048791</v>
      </c>
      <c r="X107" s="33">
        <f>IF(INDEX(lmic_raw[],MATCH($A107,lmic_raw[[setting]:[setting]],0), MATCH(X$1, lmic_raw[#Headers],0))=0, INDEX(regions[], MATCH($D107, regions[[setting]:[setting]],0), MATCH(X$1, regions[#Headers],0)),INDEX(lmic_raw[],MATCH($A107,lmic_raw[[setting]:[setting]],0), MATCH(X$1, lmic_raw[#Headers],0)))</f>
        <v>8.3835441076754655</v>
      </c>
      <c r="Y107" s="33">
        <f>IF(INDEX(lmic_raw[],MATCH($A107,lmic_raw[[setting]:[setting]],0), MATCH(Y$1, lmic_raw[#Headers],0))=0, INDEX(regions[], MATCH($D107, regions[[setting]:[setting]],0), MATCH(Y$1, regions[#Headers],0)),INDEX(lmic_raw[],MATCH($A107,lmic_raw[[setting]:[setting]],0), MATCH(Y$1, lmic_raw[#Headers],0)))</f>
        <v>13.213544107675466</v>
      </c>
      <c r="Z107" s="33">
        <f>IF(INDEX(lmic_raw[],MATCH($A107,lmic_raw[[setting]:[setting]],0), MATCH(Z$1, lmic_raw[#Headers],0))=0, INDEX(regions[], MATCH($D107, regions[[setting]:[setting]],0), MATCH(Z$1, regions[#Headers],0)),INDEX(lmic_raw[],MATCH($A107,lmic_raw[[setting]:[setting]],0), MATCH(Z$1, lmic_raw[#Headers],0)))</f>
        <v>13.20937944128301</v>
      </c>
      <c r="AA107" s="33">
        <f>IF(INDEX(lmic_raw[],MATCH($A107,lmic_raw[[setting]:[setting]],0), MATCH(AA$1, lmic_raw[#Headers],0))=0, INDEX(regions[], MATCH($D107, regions[[setting]:[setting]],0), MATCH(AA$1, regions[#Headers],0)),INDEX(lmic_raw[],MATCH($A107,lmic_raw[[setting]:[setting]],0), MATCH(AA$1, lmic_raw[#Headers],0)))</f>
        <v>9.0551881798717577</v>
      </c>
      <c r="AB107" s="33">
        <f>IF(INDEX(lmic_raw[],MATCH($A107,lmic_raw[[setting]:[setting]],0), MATCH(AB$1, lmic_raw[#Headers],0))=0, INDEX(regions[], MATCH($D107, regions[[setting]:[setting]],0), MATCH(AB$1, regions[#Headers],0)),INDEX(lmic_raw[],MATCH($A107,lmic_raw[[setting]:[setting]],0), MATCH(AB$1, lmic_raw[#Headers],0)))</f>
        <v>13.885188179871758</v>
      </c>
      <c r="AC107" s="33">
        <f>IF(INDEX(lmic_raw[],MATCH($A107,lmic_raw[[setting]:[setting]],0), MATCH(AC$1, lmic_raw[#Headers],0))=0, INDEX(regions[], MATCH($D107, regions[[setting]:[setting]],0), MATCH(AC$1, regions[#Headers],0)),INDEX(lmic_raw[],MATCH($A107,lmic_raw[[setting]:[setting]],0), MATCH(AC$1, lmic_raw[#Headers],0)))</f>
        <v>2.6431950000000069E-2</v>
      </c>
      <c r="AD107" s="33">
        <f>IF(INDEX(lmic_raw[],MATCH($A107,lmic_raw[[setting]:[setting]],0), MATCH(AD$1, lmic_raw[#Headers],0))=0, INDEX(regions[], MATCH($D107, regions[[setting]:[setting]],0), MATCH(AD$1, regions[#Headers],0)),INDEX(lmic_raw[],MATCH($A107,lmic_raw[[setting]:[setting]],0), MATCH(AD$1, lmic_raw[#Headers],0)))</f>
        <v>1.519919434496609E-3</v>
      </c>
      <c r="AE107" s="33">
        <f>IF(INDEX(lmic_raw[],MATCH($A107,lmic_raw[[setting]:[setting]],0), MATCH(AE$1, lmic_raw[#Headers],0))=0, INDEX(regions[], MATCH($D107, regions[[setting]:[setting]],0), MATCH(AE$1, regions[#Headers],0)),INDEX(lmic_raw[],MATCH($A107,lmic_raw[[setting]:[setting]],0), MATCH(AE$1, lmic_raw[#Headers],0)))</f>
        <v>5.9194187000047012E-4</v>
      </c>
      <c r="AF107" s="33">
        <f>IF(INDEX(lmic_raw[],MATCH($A107,lmic_raw[[setting]:[setting]],0), MATCH(AF$1, lmic_raw[#Headers],0))=0, INDEX(regions[], MATCH($D107, regions[[setting]:[setting]],0), MATCH(AF$1, regions[#Headers],0)),INDEX(lmic_raw[],MATCH($A107,lmic_raw[[setting]:[setting]],0), MATCH(AF$1, lmic_raw[#Headers],0)))</f>
        <v>4.9393175232565563E-4</v>
      </c>
      <c r="AG107" s="33">
        <f>IF(INDEX(lmic_raw[],MATCH($A107,lmic_raw[[setting]:[setting]],0), MATCH(AG$1, lmic_raw[#Headers],0))=0, INDEX(regions[], MATCH($D107, regions[[setting]:[setting]],0), MATCH(AG$1, regions[#Headers],0)),INDEX(lmic_raw[],MATCH($A107,lmic_raw[[setting]:[setting]],0), MATCH(AG$1, lmic_raw[#Headers],0)))</f>
        <v>9.7025317122540584E-4</v>
      </c>
      <c r="AH107" s="33">
        <f>IF(INDEX(lmic_raw[],MATCH($A107,lmic_raw[[setting]:[setting]],0), MATCH(AH$1, lmic_raw[#Headers],0))=0, INDEX(regions[], MATCH($D107, regions[[setting]:[setting]],0), MATCH(AH$1, regions[#Headers],0)),INDEX(lmic_raw[],MATCH($A107,lmic_raw[[setting]:[setting]],0), MATCH(AH$1, lmic_raw[#Headers],0)))</f>
        <v>1.2724896188506768E-3</v>
      </c>
      <c r="AI107" s="33">
        <f>IF(INDEX(lmic_raw[],MATCH($A107,lmic_raw[[setting]:[setting]],0), MATCH(AI$1, lmic_raw[#Headers],0))=0, INDEX(regions[], MATCH($D107, regions[[setting]:[setting]],0), MATCH(AI$1, regions[#Headers],0)),INDEX(lmic_raw[],MATCH($A107,lmic_raw[[setting]:[setting]],0), MATCH(AI$1, lmic_raw[#Headers],0)))</f>
        <v>1.3489911868145125E-3</v>
      </c>
      <c r="AJ107" s="33">
        <f>IF(INDEX(lmic_raw[],MATCH($A107,lmic_raw[[setting]:[setting]],0), MATCH(AJ$1, lmic_raw[#Headers],0))=0, INDEX(regions[], MATCH($D107, regions[[setting]:[setting]],0), MATCH(AJ$1, regions[#Headers],0)),INDEX(lmic_raw[],MATCH($A107,lmic_raw[[setting]:[setting]],0), MATCH(AJ$1, lmic_raw[#Headers],0)))</f>
        <v>1.6069422899664999E-3</v>
      </c>
      <c r="AK107" s="33">
        <f>IF(INDEX(lmic_raw[],MATCH($A107,lmic_raw[[setting]:[setting]],0), MATCH(AK$1, lmic_raw[#Headers],0))=0, INDEX(regions[], MATCH($D107, regions[[setting]:[setting]],0), MATCH(AK$1, regions[#Headers],0)),INDEX(lmic_raw[],MATCH($A107,lmic_raw[[setting]:[setting]],0), MATCH(AK$1, lmic_raw[#Headers],0)))</f>
        <v>2.1623169059386891E-3</v>
      </c>
      <c r="AL107" s="33">
        <f>IF(INDEX(lmic_raw[],MATCH($A107,lmic_raw[[setting]:[setting]],0), MATCH(AL$1, lmic_raw[#Headers],0))=0, INDEX(regions[], MATCH($D107, regions[[setting]:[setting]],0), MATCH(AL$1, regions[#Headers],0)),INDEX(lmic_raw[],MATCH($A107,lmic_raw[[setting]:[setting]],0), MATCH(AL$1, lmic_raw[#Headers],0)))</f>
        <v>3.0951101718203933E-3</v>
      </c>
      <c r="AM107" s="33">
        <f>IF(INDEX(lmic_raw[],MATCH($A107,lmic_raw[[setting]:[setting]],0), MATCH(AM$1, lmic_raw[#Headers],0))=0, INDEX(regions[], MATCH($D107, regions[[setting]:[setting]],0), MATCH(AM$1, regions[#Headers],0)),INDEX(lmic_raw[],MATCH($A107,lmic_raw[[setting]:[setting]],0), MATCH(AM$1, lmic_raw[#Headers],0)))</f>
        <v>4.7366852888282287E-3</v>
      </c>
      <c r="AN107" s="33">
        <f>IF(INDEX(lmic_raw[],MATCH($A107,lmic_raw[[setting]:[setting]],0), MATCH(AN$1, lmic_raw[#Headers],0))=0, INDEX(regions[], MATCH($D107, regions[[setting]:[setting]],0), MATCH(AN$1, regions[#Headers],0)),INDEX(lmic_raw[],MATCH($A107,lmic_raw[[setting]:[setting]],0), MATCH(AN$1, lmic_raw[#Headers],0)))</f>
        <v>7.3076792960580089E-3</v>
      </c>
      <c r="AO107" s="33">
        <f>IF(INDEX(lmic_raw[],MATCH($A107,lmic_raw[[setting]:[setting]],0), MATCH(AO$1, lmic_raw[#Headers],0))=0, INDEX(regions[], MATCH($D107, regions[[setting]:[setting]],0), MATCH(AO$1, regions[#Headers],0)),INDEX(lmic_raw[],MATCH($A107,lmic_raw[[setting]:[setting]],0), MATCH(AO$1, lmic_raw[#Headers],0)))</f>
        <v>1.1299390932147995E-2</v>
      </c>
      <c r="AP107" s="33">
        <f>IF(INDEX(lmic_raw[],MATCH($A107,lmic_raw[[setting]:[setting]],0), MATCH(AP$1, lmic_raw[#Headers],0))=0, INDEX(regions[], MATCH($D107, regions[[setting]:[setting]],0), MATCH(AP$1, regions[#Headers],0)),INDEX(lmic_raw[],MATCH($A107,lmic_raw[[setting]:[setting]],0), MATCH(AP$1, lmic_raw[#Headers],0)))</f>
        <v>1.773095205125377E-2</v>
      </c>
      <c r="AQ107" s="33">
        <f>IF(INDEX(lmic_raw[],MATCH($A107,lmic_raw[[setting]:[setting]],0), MATCH(AQ$1, lmic_raw[#Headers],0))=0, INDEX(regions[], MATCH($D107, regions[[setting]:[setting]],0), MATCH(AQ$1, regions[#Headers],0)),INDEX(lmic_raw[],MATCH($A107,lmic_raw[[setting]:[setting]],0), MATCH(AQ$1, lmic_raw[#Headers],0)))</f>
        <v>2.7864431260591616E-2</v>
      </c>
      <c r="AR107" s="33">
        <f>IF(INDEX(lmic_raw[],MATCH($A107,lmic_raw[[setting]:[setting]],0), MATCH(AR$1, lmic_raw[#Headers],0))=0, INDEX(regions[], MATCH($D107, regions[[setting]:[setting]],0), MATCH(AR$1, regions[#Headers],0)),INDEX(lmic_raw[],MATCH($A107,lmic_raw[[setting]:[setting]],0), MATCH(AR$1, lmic_raw[#Headers],0)))</f>
        <v>4.359812586435248E-2</v>
      </c>
      <c r="AS107" s="33">
        <f>IF(INDEX(lmic_raw[],MATCH($A107,lmic_raw[[setting]:[setting]],0), MATCH(AS$1, lmic_raw[#Headers],0))=0, INDEX(regions[], MATCH($D107, regions[[setting]:[setting]],0), MATCH(AS$1, regions[#Headers],0)),INDEX(lmic_raw[],MATCH($A107,lmic_raw[[setting]:[setting]],0), MATCH(AS$1, lmic_raw[#Headers],0)))</f>
        <v>6.6475510705730947E-2</v>
      </c>
      <c r="AT107" s="33">
        <f>IF(INDEX(lmic_raw[],MATCH($A107,lmic_raw[[setting]:[setting]],0), MATCH(AT$1, lmic_raw[#Headers],0))=0, INDEX(regions[], MATCH($D107, regions[[setting]:[setting]],0), MATCH(AT$1, regions[#Headers],0)),INDEX(lmic_raw[],MATCH($A107,lmic_raw[[setting]:[setting]],0), MATCH(AT$1, lmic_raw[#Headers],0)))</f>
        <v>9.5717020333396241E-2</v>
      </c>
      <c r="AU107" s="33">
        <f>IF(INDEX(lmic_raw[],MATCH($A107,lmic_raw[[setting]:[setting]],0), MATCH(AU$1, lmic_raw[#Headers],0))=0, INDEX(regions[], MATCH($D107, regions[[setting]:[setting]],0), MATCH(AU$1, regions[#Headers],0)),INDEX(lmic_raw[],MATCH($A107,lmic_raw[[setting]:[setting]],0), MATCH(AU$1, lmic_raw[#Headers],0)))</f>
        <v>0.12562378873953089</v>
      </c>
      <c r="AV107" s="33">
        <f>IF(INDEX(lmic_raw[],MATCH($A107,lmic_raw[[setting]:[setting]],0), MATCH(AV$1, lmic_raw[#Headers],0))=0, INDEX(regions[], MATCH($D107, regions[[setting]:[setting]],0), MATCH(AV$1, regions[#Headers],0)),INDEX(lmic_raw[],MATCH($A107,lmic_raw[[setting]:[setting]],0), MATCH(AV$1, lmic_raw[#Headers],0)))</f>
        <v>0.15364551762682779</v>
      </c>
      <c r="AW107" s="33">
        <f>IF(INDEX(lmic_raw[],MATCH($A107,lmic_raw[[setting]:[setting]],0), MATCH(AW$1, lmic_raw[#Headers],0))=0, INDEX(regions[], MATCH($D107, regions[[setting]:[setting]],0), MATCH(AW$1, regions[#Headers],0)),INDEX(lmic_raw[],MATCH($A107,lmic_raw[[setting]:[setting]],0), MATCH(AW$1, lmic_raw[#Headers],0)))</f>
        <v>0.17483643439916882</v>
      </c>
      <c r="AX107" s="33">
        <f>IF(INDEX(lmic_raw[],MATCH($A107,lmic_raw[[setting]:[setting]],0), MATCH(AX$1, lmic_raw[#Headers],0))=0, INDEX(regions[], MATCH($D107, regions[[setting]:[setting]],0), MATCH(AX$1, regions[#Headers],0)),INDEX(lmic_raw[],MATCH($A107,lmic_raw[[setting]:[setting]],0), MATCH(AX$1, lmic_raw[#Headers],0)))</f>
        <v>70.048000000000002</v>
      </c>
      <c r="AY107" s="33" t="str">
        <f>IF(VLOOKUP($A107,lmic_raw[],11,FALSE)=0, "Yes", "No")</f>
        <v>No</v>
      </c>
    </row>
    <row r="108" spans="1:51" x14ac:dyDescent="0.25">
      <c r="A108" s="109" t="s">
        <v>152</v>
      </c>
      <c r="B108" s="101" t="s">
        <v>507</v>
      </c>
      <c r="C108" s="102">
        <v>686</v>
      </c>
      <c r="D108" s="82" t="s">
        <v>677</v>
      </c>
      <c r="E108" s="82" t="s">
        <v>591</v>
      </c>
      <c r="F108" s="82" t="s">
        <v>667</v>
      </c>
      <c r="G108" s="82" t="s">
        <v>678</v>
      </c>
      <c r="H108" s="33">
        <f>IF(INDEX(lmic_raw[],MATCH($A108,lmic_raw[[setting]:[setting]],0), MATCH(H$1, lmic_raw[#Headers],0))=0, INDEX(regions[], MATCH($D108, regions[[setting]:[setting]],0), MATCH(H$1, regions[#Headers],0)),INDEX(lmic_raw[],MATCH($A108,lmic_raw[[setting]:[setting]],0), MATCH(H$1, lmic_raw[#Headers],0)))</f>
        <v>16296362</v>
      </c>
      <c r="I108" s="33">
        <f>IF(INDEX(lmic_raw[],MATCH($A108,lmic_raw[[setting]:[setting]],0), MATCH(I$1, lmic_raw[#Headers],0))=0, INDEX(regions[], MATCH($D108, regions[[setting]:[setting]],0), MATCH(I$1, regions[#Headers],0)),INDEX(lmic_raw[],MATCH($A108,lmic_raw[[setting]:[setting]],0), MATCH(I$1, lmic_raw[#Headers],0)))</f>
        <v>566086.72679400002</v>
      </c>
      <c r="J108" s="33">
        <f>IF(INDEX(lmic_raw[],MATCH($A108,lmic_raw[[setting]:[setting]],0), MATCH(J$1, lmic_raw[#Headers],0))=0, INDEX(regions[], MATCH($D108, regions[[setting]:[setting]],0), MATCH(J$1, regions[#Headers],0)),INDEX(lmic_raw[],MATCH($A108,lmic_raw[[setting]:[setting]],0), MATCH(J$1, lmic_raw[#Headers],0)))</f>
        <v>0.81700000000000006</v>
      </c>
      <c r="K108" s="33">
        <f>IF(INDEX(lmic_raw[],MATCH($A108,lmic_raw[[setting]:[setting]],0), MATCH(K$1, lmic_raw[#Headers],0))=0, INDEX(regions[], MATCH($D108, regions[[setting]:[setting]],0), MATCH(K$1, regions[#Headers],0)),INDEX(lmic_raw[],MATCH($A108,lmic_raw[[setting]:[setting]],0), MATCH(K$1, lmic_raw[#Headers],0)))</f>
        <v>0.81</v>
      </c>
      <c r="L108" s="33">
        <f>IF(INDEX(lmic_raw[],MATCH($A108,lmic_raw[[setting]:[setting]],0), MATCH(L$1, lmic_raw[#Headers],0))=0, INDEX(regions[], MATCH($D108, regions[[setting]:[setting]],0), MATCH(L$1, regions[#Headers],0)),INDEX(lmic_raw[],MATCH($A108,lmic_raw[[setting]:[setting]],0), MATCH(L$1, lmic_raw[#Headers],0)))</f>
        <v>0.93</v>
      </c>
      <c r="M108" s="33">
        <f>IF(INDEX(lmic_raw[],MATCH($A108,lmic_raw[[setting]:[setting]],0), MATCH(M$1, lmic_raw[#Headers],0))=0, INDEX(regions[], MATCH($D108, regions[[setting]:[setting]],0), MATCH(M$1, regions[#Headers],0)),INDEX(lmic_raw[],MATCH($A108,lmic_raw[[setting]:[setting]],0), MATCH(M$1, lmic_raw[#Headers],0)))</f>
        <v>8.1799999999999998E-2</v>
      </c>
      <c r="N108" s="33">
        <f>IF(INDEX(lmic_raw[],MATCH($A108,lmic_raw[[setting]:[setting]],0), MATCH(N$1, lmic_raw[#Headers],0))=0, INDEX(regions[], MATCH($D108, regions[[setting]:[setting]],0), MATCH(N$1, regions[#Headers],0)),INDEX(lmic_raw[],MATCH($A108,lmic_raw[[setting]:[setting]],0), MATCH(N$1, lmic_raw[#Headers],0)))</f>
        <v>0.28272643132159919</v>
      </c>
      <c r="O108" s="33">
        <f>IF(INDEX(lmic_raw[],MATCH($A108,lmic_raw[[setting]:[setting]],0), MATCH(O$1, lmic_raw[#Headers],0))=0, INDEX(regions[], MATCH($D108, regions[[setting]:[setting]],0), MATCH(O$1, regions[#Headers],0)),INDEX(lmic_raw[],MATCH($A108,lmic_raw[[setting]:[setting]],0), MATCH(O$1, lmic_raw[#Headers],0)))</f>
        <v>0.38300000000000001</v>
      </c>
      <c r="P108" s="33">
        <f>IF(INDEX(lmic_raw[],MATCH($A108,lmic_raw[[setting]:[setting]],0), MATCH(P$1, lmic_raw[#Headers],0))=0, INDEX(regions[], MATCH($D108, regions[[setting]:[setting]],0), MATCH(P$1, regions[#Headers],0)),INDEX(lmic_raw[],MATCH($A108,lmic_raw[[setting]:[setting]],0), MATCH(P$1, lmic_raw[#Headers],0)))</f>
        <v>4.8000000000000001E-2</v>
      </c>
      <c r="Q108" s="33">
        <f>IF(INDEX(lmic_raw[],MATCH($A108,lmic_raw[[setting]:[setting]],0), MATCH(Q$1, lmic_raw[#Headers],0))=0, INDEX(regions[], MATCH($D108, regions[[setting]:[setting]],0), MATCH(Q$1, regions[#Headers],0)),INDEX(lmic_raw[],MATCH($A108,lmic_raw[[setting]:[setting]],0), MATCH(Q$1, lmic_raw[#Headers],0)))</f>
        <v>3.6077882421883638</v>
      </c>
      <c r="R108" s="33">
        <f>IF(INDEX(lmic_raw[],MATCH($A108,lmic_raw[[setting]:[setting]],0), MATCH(R$1, lmic_raw[#Headers],0))=0, INDEX(regions[], MATCH($D108, regions[[setting]:[setting]],0), MATCH(R$1, regions[#Headers],0)),INDEX(lmic_raw[],MATCH($A108,lmic_raw[[setting]:[setting]],0), MATCH(R$1, lmic_raw[#Headers],0)))</f>
        <v>29.920500000000001</v>
      </c>
      <c r="S108" s="33">
        <f>IF(INDEX(lmic_raw[],MATCH($A108,lmic_raw[[setting]:[setting]],0), MATCH(S$1, lmic_raw[#Headers],0))=0, INDEX(regions[], MATCH($D108, regions[[setting]:[setting]],0), MATCH(S$1, regions[#Headers],0)),INDEX(lmic_raw[],MATCH($A108,lmic_raw[[setting]:[setting]],0), MATCH(S$1, lmic_raw[#Headers],0)))</f>
        <v>77.662500000000009</v>
      </c>
      <c r="T108" s="33">
        <f>IF(INDEX(lmic_raw[],MATCH($A108,lmic_raw[[setting]:[setting]],0), MATCH(T$1, lmic_raw[#Headers],0))=0, INDEX(regions[], MATCH($D108, regions[[setting]:[setting]],0), MATCH(T$1, regions[#Headers],0)),INDEX(lmic_raw[],MATCH($A108,lmic_raw[[setting]:[setting]],0), MATCH(T$1, lmic_raw[#Headers],0)))</f>
        <v>77.662500000000009</v>
      </c>
      <c r="U108" s="33">
        <f>IF(INDEX(lmic_raw[],MATCH($A108,lmic_raw[[setting]:[setting]],0), MATCH(U$1, lmic_raw[#Headers],0))=0, INDEX(regions[], MATCH($D108, regions[[setting]:[setting]],0), MATCH(U$1, regions[#Headers],0)),INDEX(lmic_raw[],MATCH($A108,lmic_raw[[setting]:[setting]],0), MATCH(U$1, lmic_raw[#Headers],0)))</f>
        <v>77.662500000000009</v>
      </c>
      <c r="V108" s="33">
        <f>IF(INDEX(lmic_raw[],MATCH($A108,lmic_raw[[setting]:[setting]],0), MATCH(V$1, lmic_raw[#Headers],0))=0, INDEX(regions[], MATCH($D108, regions[[setting]:[setting]],0), MATCH(V$1, regions[#Headers],0)),INDEX(lmic_raw[],MATCH($A108,lmic_raw[[setting]:[setting]],0), MATCH(V$1, lmic_raw[#Headers],0)))</f>
        <v>2.3701038530933087</v>
      </c>
      <c r="W108" s="33">
        <f>IF(INDEX(lmic_raw[],MATCH($A108,lmic_raw[[setting]:[setting]],0), MATCH(W$1, lmic_raw[#Headers],0))=0, INDEX(regions[], MATCH($D108, regions[[setting]:[setting]],0), MATCH(W$1, regions[#Headers],0)),INDEX(lmic_raw[],MATCH($A108,lmic_raw[[setting]:[setting]],0), MATCH(W$1, lmic_raw[#Headers],0)))</f>
        <v>7.2001038530933084</v>
      </c>
      <c r="X108" s="33">
        <f>IF(INDEX(lmic_raw[],MATCH($A108,lmic_raw[[setting]:[setting]],0), MATCH(X$1, lmic_raw[#Headers],0))=0, INDEX(regions[], MATCH($D108, regions[[setting]:[setting]],0), MATCH(X$1, regions[#Headers],0)),INDEX(lmic_raw[],MATCH($A108,lmic_raw[[setting]:[setting]],0), MATCH(X$1, lmic_raw[#Headers],0)))</f>
        <v>1.9438028395482014</v>
      </c>
      <c r="Y108" s="33">
        <f>IF(INDEX(lmic_raw[],MATCH($A108,lmic_raw[[setting]:[setting]],0), MATCH(Y$1, lmic_raw[#Headers],0))=0, INDEX(regions[], MATCH($D108, regions[[setting]:[setting]],0), MATCH(Y$1, regions[#Headers],0)),INDEX(lmic_raw[],MATCH($A108,lmic_raw[[setting]:[setting]],0), MATCH(Y$1, lmic_raw[#Headers],0)))</f>
        <v>6.7738028395482015</v>
      </c>
      <c r="Z108" s="33">
        <f>IF(INDEX(lmic_raw[],MATCH($A108,lmic_raw[[setting]:[setting]],0), MATCH(Z$1, lmic_raw[#Headers],0))=0, INDEX(regions[], MATCH($D108, regions[[setting]:[setting]],0), MATCH(Z$1, regions[#Headers],0)),INDEX(lmic_raw[],MATCH($A108,lmic_raw[[setting]:[setting]],0), MATCH(Z$1, lmic_raw[#Headers],0)))</f>
        <v>6.770472561234798</v>
      </c>
      <c r="AA108" s="33">
        <f>IF(INDEX(lmic_raw[],MATCH($A108,lmic_raw[[setting]:[setting]],0), MATCH(AA$1, lmic_raw[#Headers],0))=0, INDEX(regions[], MATCH($D108, regions[[setting]:[setting]],0), MATCH(AA$1, regions[#Headers],0)),INDEX(lmic_raw[],MATCH($A108,lmic_raw[[setting]:[setting]],0), MATCH(AA$1, lmic_raw[#Headers],0)))</f>
        <v>2.611996538443313</v>
      </c>
      <c r="AB108" s="33">
        <f>IF(INDEX(lmic_raw[],MATCH($A108,lmic_raw[[setting]:[setting]],0), MATCH(AB$1, lmic_raw[#Headers],0))=0, INDEX(regions[], MATCH($D108, regions[[setting]:[setting]],0), MATCH(AB$1, regions[#Headers],0)),INDEX(lmic_raw[],MATCH($A108,lmic_raw[[setting]:[setting]],0), MATCH(AB$1, lmic_raw[#Headers],0)))</f>
        <v>7.4419965384433127</v>
      </c>
      <c r="AC108" s="33">
        <f>IF(INDEX(lmic_raw[],MATCH($A108,lmic_raw[[setting]:[setting]],0), MATCH(AC$1, lmic_raw[#Headers],0))=0, INDEX(regions[], MATCH($D108, regions[[setting]:[setting]],0), MATCH(AC$1, regions[#Headers],0)),INDEX(lmic_raw[],MATCH($A108,lmic_raw[[setting]:[setting]],0), MATCH(AC$1, lmic_raw[#Headers],0)))</f>
        <v>3.2754600000000064E-2</v>
      </c>
      <c r="AD108" s="33">
        <f>IF(INDEX(lmic_raw[],MATCH($A108,lmic_raw[[setting]:[setting]],0), MATCH(AD$1, lmic_raw[#Headers],0))=0, INDEX(regions[], MATCH($D108, regions[[setting]:[setting]],0), MATCH(AD$1, regions[#Headers],0)),INDEX(lmic_raw[],MATCH($A108,lmic_raw[[setting]:[setting]],0), MATCH(AD$1, lmic_raw[#Headers],0)))</f>
        <v>3.0694666524131217E-3</v>
      </c>
      <c r="AE108" s="33">
        <f>IF(INDEX(lmic_raw[],MATCH($A108,lmic_raw[[setting]:[setting]],0), MATCH(AE$1, lmic_raw[#Headers],0))=0, INDEX(regions[], MATCH($D108, regions[[setting]:[setting]],0), MATCH(AE$1, regions[#Headers],0)),INDEX(lmic_raw[],MATCH($A108,lmic_raw[[setting]:[setting]],0), MATCH(AE$1, lmic_raw[#Headers],0)))</f>
        <v>1.2369410630977884E-3</v>
      </c>
      <c r="AF108" s="33">
        <f>IF(INDEX(lmic_raw[],MATCH($A108,lmic_raw[[setting]:[setting]],0), MATCH(AF$1, lmic_raw[#Headers],0))=0, INDEX(regions[], MATCH($D108, regions[[setting]:[setting]],0), MATCH(AF$1, regions[#Headers],0)),INDEX(lmic_raw[],MATCH($A108,lmic_raw[[setting]:[setting]],0), MATCH(AF$1, lmic_raw[#Headers],0)))</f>
        <v>8.6525511984950651E-4</v>
      </c>
      <c r="AG108" s="33">
        <f>IF(INDEX(lmic_raw[],MATCH($A108,lmic_raw[[setting]:[setting]],0), MATCH(AG$1, lmic_raw[#Headers],0))=0, INDEX(regions[], MATCH($D108, regions[[setting]:[setting]],0), MATCH(AG$1, regions[#Headers],0)),INDEX(lmic_raw[],MATCH($A108,lmic_raw[[setting]:[setting]],0), MATCH(AG$1, lmic_raw[#Headers],0)))</f>
        <v>1.3469523957274259E-3</v>
      </c>
      <c r="AH108" s="33">
        <f>IF(INDEX(lmic_raw[],MATCH($A108,lmic_raw[[setting]:[setting]],0), MATCH(AH$1, lmic_raw[#Headers],0))=0, INDEX(regions[], MATCH($D108, regions[[setting]:[setting]],0), MATCH(AH$1, regions[#Headers],0)),INDEX(lmic_raw[],MATCH($A108,lmic_raw[[setting]:[setting]],0), MATCH(AH$1, lmic_raw[#Headers],0)))</f>
        <v>1.9585603267096253E-3</v>
      </c>
      <c r="AI108" s="33">
        <f>IF(INDEX(lmic_raw[],MATCH($A108,lmic_raw[[setting]:[setting]],0), MATCH(AI$1, lmic_raw[#Headers],0))=0, INDEX(regions[], MATCH($D108, regions[[setting]:[setting]],0), MATCH(AI$1, regions[#Headers],0)),INDEX(lmic_raw[],MATCH($A108,lmic_raw[[setting]:[setting]],0), MATCH(AI$1, lmic_raw[#Headers],0)))</f>
        <v>2.1265653001242375E-3</v>
      </c>
      <c r="AJ108" s="33">
        <f>IF(INDEX(lmic_raw[],MATCH($A108,lmic_raw[[setting]:[setting]],0), MATCH(AJ$1, lmic_raw[#Headers],0))=0, INDEX(regions[], MATCH($D108, regions[[setting]:[setting]],0), MATCH(AJ$1, regions[#Headers],0)),INDEX(lmic_raw[],MATCH($A108,lmic_raw[[setting]:[setting]],0), MATCH(AJ$1, lmic_raw[#Headers],0)))</f>
        <v>2.4814518081284786E-3</v>
      </c>
      <c r="AK108" s="33">
        <f>IF(INDEX(lmic_raw[],MATCH($A108,lmic_raw[[setting]:[setting]],0), MATCH(AK$1, lmic_raw[#Headers],0))=0, INDEX(regions[], MATCH($D108, regions[[setting]:[setting]],0), MATCH(AK$1, regions[#Headers],0)),INDEX(lmic_raw[],MATCH($A108,lmic_raw[[setting]:[setting]],0), MATCH(AK$1, lmic_raw[#Headers],0)))</f>
        <v>2.9728730657511099E-3</v>
      </c>
      <c r="AL108" s="33">
        <f>IF(INDEX(lmic_raw[],MATCH($A108,lmic_raw[[setting]:[setting]],0), MATCH(AL$1, lmic_raw[#Headers],0))=0, INDEX(regions[], MATCH($D108, regions[[setting]:[setting]],0), MATCH(AL$1, regions[#Headers],0)),INDEX(lmic_raw[],MATCH($A108,lmic_raw[[setting]:[setting]],0), MATCH(AL$1, lmic_raw[#Headers],0)))</f>
        <v>3.9298453571490382E-3</v>
      </c>
      <c r="AM108" s="33">
        <f>IF(INDEX(lmic_raw[],MATCH($A108,lmic_raw[[setting]:[setting]],0), MATCH(AM$1, lmic_raw[#Headers],0))=0, INDEX(regions[], MATCH($D108, regions[[setting]:[setting]],0), MATCH(AM$1, regions[#Headers],0)),INDEX(lmic_raw[],MATCH($A108,lmic_raw[[setting]:[setting]],0), MATCH(AM$1, lmic_raw[#Headers],0)))</f>
        <v>5.2440275437391987E-3</v>
      </c>
      <c r="AN108" s="33">
        <f>IF(INDEX(lmic_raw[],MATCH($A108,lmic_raw[[setting]:[setting]],0), MATCH(AN$1, lmic_raw[#Headers],0))=0, INDEX(regions[], MATCH($D108, regions[[setting]:[setting]],0), MATCH(AN$1, regions[#Headers],0)),INDEX(lmic_raw[],MATCH($A108,lmic_raw[[setting]:[setting]],0), MATCH(AN$1, lmic_raw[#Headers],0)))</f>
        <v>7.7190461500064676E-3</v>
      </c>
      <c r="AO108" s="33">
        <f>IF(INDEX(lmic_raw[],MATCH($A108,lmic_raw[[setting]:[setting]],0), MATCH(AO$1, lmic_raw[#Headers],0))=0, INDEX(regions[], MATCH($D108, regions[[setting]:[setting]],0), MATCH(AO$1, regions[#Headers],0)),INDEX(lmic_raw[],MATCH($A108,lmic_raw[[setting]:[setting]],0), MATCH(AO$1, lmic_raw[#Headers],0)))</f>
        <v>1.1290306813306795E-2</v>
      </c>
      <c r="AP108" s="33">
        <f>IF(INDEX(lmic_raw[],MATCH($A108,lmic_raw[[setting]:[setting]],0), MATCH(AP$1, lmic_raw[#Headers],0))=0, INDEX(regions[], MATCH($D108, regions[[setting]:[setting]],0), MATCH(AP$1, regions[#Headers],0)),INDEX(lmic_raw[],MATCH($A108,lmic_raw[[setting]:[setting]],0), MATCH(AP$1, lmic_raw[#Headers],0)))</f>
        <v>1.7714146493762017E-2</v>
      </c>
      <c r="AQ108" s="33">
        <f>IF(INDEX(lmic_raw[],MATCH($A108,lmic_raw[[setting]:[setting]],0), MATCH(AQ$1, lmic_raw[#Headers],0))=0, INDEX(regions[], MATCH($D108, regions[[setting]:[setting]],0), MATCH(AQ$1, regions[#Headers],0)),INDEX(lmic_raw[],MATCH($A108,lmic_raw[[setting]:[setting]],0), MATCH(AQ$1, lmic_raw[#Headers],0)))</f>
        <v>2.7989884926765404E-2</v>
      </c>
      <c r="AR108" s="33">
        <f>IF(INDEX(lmic_raw[],MATCH($A108,lmic_raw[[setting]:[setting]],0), MATCH(AR$1, lmic_raw[#Headers],0))=0, INDEX(regions[], MATCH($D108, regions[[setting]:[setting]],0), MATCH(AR$1, regions[#Headers],0)),INDEX(lmic_raw[],MATCH($A108,lmic_raw[[setting]:[setting]],0), MATCH(AR$1, lmic_raw[#Headers],0)))</f>
        <v>4.6537457702339732E-2</v>
      </c>
      <c r="AS108" s="33">
        <f>IF(INDEX(lmic_raw[],MATCH($A108,lmic_raw[[setting]:[setting]],0), MATCH(AS$1, lmic_raw[#Headers],0))=0, INDEX(regions[], MATCH($D108, regions[[setting]:[setting]],0), MATCH(AS$1, regions[#Headers],0)),INDEX(lmic_raw[],MATCH($A108,lmic_raw[[setting]:[setting]],0), MATCH(AS$1, lmic_raw[#Headers],0)))</f>
        <v>7.4749322711515298E-2</v>
      </c>
      <c r="AT108" s="33">
        <f>IF(INDEX(lmic_raw[],MATCH($A108,lmic_raw[[setting]:[setting]],0), MATCH(AT$1, lmic_raw[#Headers],0))=0, INDEX(regions[], MATCH($D108, regions[[setting]:[setting]],0), MATCH(AT$1, regions[#Headers],0)),INDEX(lmic_raw[],MATCH($A108,lmic_raw[[setting]:[setting]],0), MATCH(AT$1, lmic_raw[#Headers],0)))</f>
        <v>0.11151351745170328</v>
      </c>
      <c r="AU108" s="33">
        <f>IF(INDEX(lmic_raw[],MATCH($A108,lmic_raw[[setting]:[setting]],0), MATCH(AU$1, lmic_raw[#Headers],0))=0, INDEX(regions[], MATCH($D108, regions[[setting]:[setting]],0), MATCH(AU$1, regions[#Headers],0)),INDEX(lmic_raw[],MATCH($A108,lmic_raw[[setting]:[setting]],0), MATCH(AU$1, lmic_raw[#Headers],0)))</f>
        <v>0.14740357166967988</v>
      </c>
      <c r="AV108" s="33">
        <f>IF(INDEX(lmic_raw[],MATCH($A108,lmic_raw[[setting]:[setting]],0), MATCH(AV$1, lmic_raw[#Headers],0))=0, INDEX(regions[], MATCH($D108, regions[[setting]:[setting]],0), MATCH(AV$1, regions[#Headers],0)),INDEX(lmic_raw[],MATCH($A108,lmic_raw[[setting]:[setting]],0), MATCH(AV$1, lmic_raw[#Headers],0)))</f>
        <v>0.17353214388888566</v>
      </c>
      <c r="AW108" s="33">
        <f>IF(INDEX(lmic_raw[],MATCH($A108,lmic_raw[[setting]:[setting]],0), MATCH(AW$1, lmic_raw[#Headers],0))=0, INDEX(regions[], MATCH($D108, regions[[setting]:[setting]],0), MATCH(AW$1, regions[#Headers],0)),INDEX(lmic_raw[],MATCH($A108,lmic_raw[[setting]:[setting]],0), MATCH(AW$1, lmic_raw[#Headers],0)))</f>
        <v>0.18648544535679726</v>
      </c>
      <c r="AX108" s="33">
        <f>IF(INDEX(lmic_raw[],MATCH($A108,lmic_raw[[setting]:[setting]],0), MATCH(AX$1, lmic_raw[#Headers],0))=0, INDEX(regions[], MATCH($D108, regions[[setting]:[setting]],0), MATCH(AX$1, regions[#Headers],0)),INDEX(lmic_raw[],MATCH($A108,lmic_raw[[setting]:[setting]],0), MATCH(AX$1, lmic_raw[#Headers],0)))</f>
        <v>67.47</v>
      </c>
      <c r="AY108" s="33" t="str">
        <f>IF(VLOOKUP($A108,lmic_raw[],11,FALSE)=0, "Yes", "No")</f>
        <v>No</v>
      </c>
    </row>
    <row r="109" spans="1:51" x14ac:dyDescent="0.25">
      <c r="A109" s="110" t="s">
        <v>345</v>
      </c>
      <c r="B109" s="104" t="s">
        <v>508</v>
      </c>
      <c r="C109" s="105">
        <v>688</v>
      </c>
      <c r="D109" s="84" t="s">
        <v>675</v>
      </c>
      <c r="E109" s="84" t="s">
        <v>580</v>
      </c>
      <c r="F109" s="84" t="s">
        <v>663</v>
      </c>
      <c r="G109" s="84" t="s">
        <v>676</v>
      </c>
      <c r="H109" s="33">
        <f>IF(INDEX(lmic_raw[],MATCH($A109,lmic_raw[[setting]:[setting]],0), MATCH(H$1, lmic_raw[#Headers],0))=0, INDEX(regions[], MATCH($D109, regions[[setting]:[setting]],0), MATCH(H$1, regions[#Headers],0)),INDEX(lmic_raw[],MATCH($A109,lmic_raw[[setting]:[setting]],0), MATCH(H$1, lmic_raw[#Headers],0)))</f>
        <v>8772228</v>
      </c>
      <c r="I109" s="33">
        <f>IF(INDEX(lmic_raw[],MATCH($A109,lmic_raw[[setting]:[setting]],0), MATCH(I$1, lmic_raw[#Headers],0))=0, INDEX(regions[], MATCH($D109, regions[[setting]:[setting]],0), MATCH(I$1, regions[#Headers],0)),INDEX(lmic_raw[],MATCH($A109,lmic_raw[[setting]:[setting]],0), MATCH(I$1, lmic_raw[#Headers],0)))</f>
        <v>83792.321855999995</v>
      </c>
      <c r="J109" s="33">
        <f>IF(INDEX(lmic_raw[],MATCH($A109,lmic_raw[[setting]:[setting]],0), MATCH(J$1, lmic_raw[#Headers],0))=0, INDEX(regions[], MATCH($D109, regions[[setting]:[setting]],0), MATCH(J$1, regions[#Headers],0)),INDEX(lmic_raw[],MATCH($A109,lmic_raw[[setting]:[setting]],0), MATCH(J$1, lmic_raw[#Headers],0)))</f>
        <v>0.98199999999999998</v>
      </c>
      <c r="K109" s="33">
        <f>IF(INDEX(lmic_raw[],MATCH($A109,lmic_raw[[setting]:[setting]],0), MATCH(K$1, lmic_raw[#Headers],0))=0, INDEX(regions[], MATCH($D109, regions[[setting]:[setting]],0), MATCH(K$1, regions[#Headers],0)),INDEX(lmic_raw[],MATCH($A109,lmic_raw[[setting]:[setting]],0), MATCH(K$1, lmic_raw[#Headers],0)))</f>
        <v>0.99</v>
      </c>
      <c r="L109" s="33">
        <f>IF(INDEX(lmic_raw[],MATCH($A109,lmic_raw[[setting]:[setting]],0), MATCH(L$1, lmic_raw[#Headers],0))=0, INDEX(regions[], MATCH($D109, regions[[setting]:[setting]],0), MATCH(L$1, regions[#Headers],0)),INDEX(lmic_raw[],MATCH($A109,lmic_raw[[setting]:[setting]],0), MATCH(L$1, lmic_raw[#Headers],0)))</f>
        <v>0.94</v>
      </c>
      <c r="M109" s="33">
        <f>IF(INDEX(lmic_raw[],MATCH($A109,lmic_raw[[setting]:[setting]],0), MATCH(M$1, lmic_raw[#Headers],0))=0, INDEX(regions[], MATCH($D109, regions[[setting]:[setting]],0), MATCH(M$1, regions[#Headers],0)),INDEX(lmic_raw[],MATCH($A109,lmic_raw[[setting]:[setting]],0), MATCH(M$1, lmic_raw[#Headers],0)))</f>
        <v>9.7999999999999997E-3</v>
      </c>
      <c r="N109" s="33">
        <f>IF(INDEX(lmic_raw[],MATCH($A109,lmic_raw[[setting]:[setting]],0), MATCH(N$1, lmic_raw[#Headers],0))=0, INDEX(regions[], MATCH($D109, regions[[setting]:[setting]],0), MATCH(N$1, regions[#Headers],0)),INDEX(lmic_raw[],MATCH($A109,lmic_raw[[setting]:[setting]],0), MATCH(N$1, lmic_raw[#Headers],0)))</f>
        <v>0.28459441245417411</v>
      </c>
      <c r="O109" s="33">
        <f>IF(INDEX(lmic_raw[],MATCH($A109,lmic_raw[[setting]:[setting]],0), MATCH(O$1, lmic_raw[#Headers],0))=0, INDEX(regions[], MATCH($D109, regions[[setting]:[setting]],0), MATCH(O$1, regions[#Headers],0)),INDEX(lmic_raw[],MATCH($A109,lmic_raw[[setting]:[setting]],0), MATCH(O$1, lmic_raw[#Headers],0)))</f>
        <v>0.8</v>
      </c>
      <c r="P109" s="33">
        <f>IF(INDEX(lmic_raw[],MATCH($A109,lmic_raw[[setting]:[setting]],0), MATCH(P$1, lmic_raw[#Headers],0))=0, INDEX(regions[], MATCH($D109, regions[[setting]:[setting]],0), MATCH(P$1, regions[#Headers],0)),INDEX(lmic_raw[],MATCH($A109,lmic_raw[[setting]:[setting]],0), MATCH(P$1, lmic_raw[#Headers],0)))</f>
        <v>0.17499999999999999</v>
      </c>
      <c r="Q109" s="33">
        <f>IF(INDEX(lmic_raw[],MATCH($A109,lmic_raw[[setting]:[setting]],0), MATCH(Q$1, lmic_raw[#Headers],0))=0, INDEX(regions[], MATCH($D109, regions[[setting]:[setting]],0), MATCH(Q$1, regions[#Headers],0)),INDEX(lmic_raw[],MATCH($A109,lmic_raw[[setting]:[setting]],0), MATCH(Q$1, lmic_raw[#Headers],0)))</f>
        <v>9.9814681768838884</v>
      </c>
      <c r="R109" s="33">
        <f>IF(INDEX(lmic_raw[],MATCH($A109,lmic_raw[[setting]:[setting]],0), MATCH(R$1, lmic_raw[#Headers],0))=0, INDEX(regions[], MATCH($D109, regions[[setting]:[setting]],0), MATCH(R$1, regions[#Headers],0)),INDEX(lmic_raw[],MATCH($A109,lmic_raw[[setting]:[setting]],0), MATCH(R$1, lmic_raw[#Headers],0)))</f>
        <v>44.537400000000005</v>
      </c>
      <c r="S109" s="33">
        <f>IF(INDEX(lmic_raw[],MATCH($A109,lmic_raw[[setting]:[setting]],0), MATCH(S$1, lmic_raw[#Headers],0))=0, INDEX(regions[], MATCH($D109, regions[[setting]:[setting]],0), MATCH(S$1, regions[#Headers],0)),INDEX(lmic_raw[],MATCH($A109,lmic_raw[[setting]:[setting]],0), MATCH(S$1, lmic_raw[#Headers],0)))</f>
        <v>92.27940000000001</v>
      </c>
      <c r="T109" s="33">
        <f>IF(INDEX(lmic_raw[],MATCH($A109,lmic_raw[[setting]:[setting]],0), MATCH(T$1, lmic_raw[#Headers],0))=0, INDEX(regions[], MATCH($D109, regions[[setting]:[setting]],0), MATCH(T$1, regions[#Headers],0)),INDEX(lmic_raw[],MATCH($A109,lmic_raw[[setting]:[setting]],0), MATCH(T$1, lmic_raw[#Headers],0)))</f>
        <v>92.27940000000001</v>
      </c>
      <c r="U109" s="33">
        <f>IF(INDEX(lmic_raw[],MATCH($A109,lmic_raw[[setting]:[setting]],0), MATCH(U$1, lmic_raw[#Headers],0))=0, INDEX(regions[], MATCH($D109, regions[[setting]:[setting]],0), MATCH(U$1, regions[#Headers],0)),INDEX(lmic_raw[],MATCH($A109,lmic_raw[[setting]:[setting]],0), MATCH(U$1, lmic_raw[#Headers],0)))</f>
        <v>92.27940000000001</v>
      </c>
      <c r="V109" s="33">
        <f>IF(INDEX(lmic_raw[],MATCH($A109,lmic_raw[[setting]:[setting]],0), MATCH(V$1, lmic_raw[#Headers],0))=0, INDEX(regions[], MATCH($D109, regions[[setting]:[setting]],0), MATCH(V$1, regions[#Headers],0)),INDEX(lmic_raw[],MATCH($A109,lmic_raw[[setting]:[setting]],0), MATCH(V$1, lmic_raw[#Headers],0)))</f>
        <v>5.9002244802964441</v>
      </c>
      <c r="W109" s="33">
        <f>IF(INDEX(lmic_raw[],MATCH($A109,lmic_raw[[setting]:[setting]],0), MATCH(W$1, lmic_raw[#Headers],0))=0, INDEX(regions[], MATCH($D109, regions[[setting]:[setting]],0), MATCH(W$1, regions[#Headers],0)),INDEX(lmic_raw[],MATCH($A109,lmic_raw[[setting]:[setting]],0), MATCH(W$1, lmic_raw[#Headers],0)))</f>
        <v>9.9702244802964444</v>
      </c>
      <c r="X109" s="33">
        <f>IF(INDEX(lmic_raw[],MATCH($A109,lmic_raw[[setting]:[setting]],0), MATCH(X$1, lmic_raw[#Headers],0))=0, INDEX(regions[], MATCH($D109, regions[[setting]:[setting]],0), MATCH(X$1, regions[#Headers],0)),INDEX(lmic_raw[],MATCH($A109,lmic_raw[[setting]:[setting]],0), MATCH(X$1, lmic_raw[#Headers],0)))</f>
        <v>5.4589952325570801</v>
      </c>
      <c r="Y109" s="33">
        <f>IF(INDEX(lmic_raw[],MATCH($A109,lmic_raw[[setting]:[setting]],0), MATCH(Y$1, lmic_raw[#Headers],0))=0, INDEX(regions[], MATCH($D109, regions[[setting]:[setting]],0), MATCH(Y$1, regions[#Headers],0)),INDEX(lmic_raw[],MATCH($A109,lmic_raw[[setting]:[setting]],0), MATCH(Y$1, lmic_raw[#Headers],0)))</f>
        <v>9.5289952325570795</v>
      </c>
      <c r="Z109" s="33">
        <f>IF(INDEX(lmic_raw[],MATCH($A109,lmic_raw[[setting]:[setting]],0), MATCH(Z$1, lmic_raw[#Headers],0))=0, INDEX(regions[], MATCH($D109, regions[[setting]:[setting]],0), MATCH(Z$1, regions[#Headers],0)),INDEX(lmic_raw[],MATCH($A109,lmic_raw[[setting]:[setting]],0), MATCH(Z$1, lmic_raw[#Headers],0)))</f>
        <v>9.5197007624736898</v>
      </c>
      <c r="AA109" s="33">
        <f>IF(INDEX(lmic_raw[],MATCH($A109,lmic_raw[[setting]:[setting]],0), MATCH(AA$1, lmic_raw[#Headers],0))=0, INDEX(regions[], MATCH($D109, regions[[setting]:[setting]],0), MATCH(AA$1, regions[#Headers],0)),INDEX(lmic_raw[],MATCH($A109,lmic_raw[[setting]:[setting]],0), MATCH(AA$1, lmic_raw[#Headers],0)))</f>
        <v>6.147498273321121</v>
      </c>
      <c r="AB109" s="33">
        <f>IF(INDEX(lmic_raw[],MATCH($A109,lmic_raw[[setting]:[setting]],0), MATCH(AB$1, lmic_raw[#Headers],0))=0, INDEX(regions[], MATCH($D109, regions[[setting]:[setting]],0), MATCH(AB$1, regions[#Headers],0)),INDEX(lmic_raw[],MATCH($A109,lmic_raw[[setting]:[setting]],0), MATCH(AB$1, lmic_raw[#Headers],0)))</f>
        <v>10.217498273321121</v>
      </c>
      <c r="AC109" s="33">
        <f>IF(INDEX(lmic_raw[],MATCH($A109,lmic_raw[[setting]:[setting]],0), MATCH(AC$1, lmic_raw[#Headers],0))=0, INDEX(regions[], MATCH($D109, regions[[setting]:[setting]],0), MATCH(AC$1, regions[#Headers],0)),INDEX(lmic_raw[],MATCH($A109,lmic_raw[[setting]:[setting]],0), MATCH(AC$1, lmic_raw[#Headers],0)))</f>
        <v>4.8995299999999411E-3</v>
      </c>
      <c r="AD109" s="33">
        <f>IF(INDEX(lmic_raw[],MATCH($A109,lmic_raw[[setting]:[setting]],0), MATCH(AD$1, lmic_raw[#Headers],0))=0, INDEX(regions[], MATCH($D109, regions[[setting]:[setting]],0), MATCH(AD$1, regions[#Headers],0)),INDEX(lmic_raw[],MATCH($A109,lmic_raw[[setting]:[setting]],0), MATCH(AD$1, lmic_raw[#Headers],0)))</f>
        <v>1.7083953341918287E-4</v>
      </c>
      <c r="AE109" s="33">
        <f>IF(INDEX(lmic_raw[],MATCH($A109,lmic_raw[[setting]:[setting]],0), MATCH(AE$1, lmic_raw[#Headers],0))=0, INDEX(regions[], MATCH($D109, regions[[setting]:[setting]],0), MATCH(AE$1, regions[#Headers],0)),INDEX(lmic_raw[],MATCH($A109,lmic_raw[[setting]:[setting]],0), MATCH(AE$1, lmic_raw[#Headers],0)))</f>
        <v>1.0017090758570446E-4</v>
      </c>
      <c r="AF109" s="33">
        <f>IF(INDEX(lmic_raw[],MATCH($A109,lmic_raw[[setting]:[setting]],0), MATCH(AF$1, lmic_raw[#Headers],0))=0, INDEX(regions[], MATCH($D109, regions[[setting]:[setting]],0), MATCH(AF$1, regions[#Headers],0)),INDEX(lmic_raw[],MATCH($A109,lmic_raw[[setting]:[setting]],0), MATCH(AF$1, lmic_raw[#Headers],0)))</f>
        <v>1.1698901242191568E-4</v>
      </c>
      <c r="AG109" s="33">
        <f>IF(INDEX(lmic_raw[],MATCH($A109,lmic_raw[[setting]:[setting]],0), MATCH(AG$1, lmic_raw[#Headers],0))=0, INDEX(regions[], MATCH($D109, regions[[setting]:[setting]],0), MATCH(AG$1, regions[#Headers],0)),INDEX(lmic_raw[],MATCH($A109,lmic_raw[[setting]:[setting]],0), MATCH(AG$1, lmic_raw[#Headers],0)))</f>
        <v>3.0176746654203036E-4</v>
      </c>
      <c r="AH109" s="33">
        <f>IF(INDEX(lmic_raw[],MATCH($A109,lmic_raw[[setting]:[setting]],0), MATCH(AH$1, lmic_raw[#Headers],0))=0, INDEX(regions[], MATCH($D109, regions[[setting]:[setting]],0), MATCH(AH$1, regions[#Headers],0)),INDEX(lmic_raw[],MATCH($A109,lmic_raw[[setting]:[setting]],0), MATCH(AH$1, lmic_raw[#Headers],0)))</f>
        <v>4.1528984317687332E-4</v>
      </c>
      <c r="AI109" s="33">
        <f>IF(INDEX(lmic_raw[],MATCH($A109,lmic_raw[[setting]:[setting]],0), MATCH(AI$1, lmic_raw[#Headers],0))=0, INDEX(regions[], MATCH($D109, regions[[setting]:[setting]],0), MATCH(AI$1, regions[#Headers],0)),INDEX(lmic_raw[],MATCH($A109,lmic_raw[[setting]:[setting]],0), MATCH(AI$1, lmic_raw[#Headers],0)))</f>
        <v>5.3377776219185849E-4</v>
      </c>
      <c r="AJ109" s="33">
        <f>IF(INDEX(lmic_raw[],MATCH($A109,lmic_raw[[setting]:[setting]],0), MATCH(AJ$1, lmic_raw[#Headers],0))=0, INDEX(regions[], MATCH($D109, regions[[setting]:[setting]],0), MATCH(AJ$1, regions[#Headers],0)),INDEX(lmic_raw[],MATCH($A109,lmic_raw[[setting]:[setting]],0), MATCH(AJ$1, lmic_raw[#Headers],0)))</f>
        <v>7.715269962067933E-4</v>
      </c>
      <c r="AK109" s="33">
        <f>IF(INDEX(lmic_raw[],MATCH($A109,lmic_raw[[setting]:[setting]],0), MATCH(AK$1, lmic_raw[#Headers],0))=0, INDEX(regions[], MATCH($D109, regions[[setting]:[setting]],0), MATCH(AK$1, regions[#Headers],0)),INDEX(lmic_raw[],MATCH($A109,lmic_raw[[setting]:[setting]],0), MATCH(AK$1, lmic_raw[#Headers],0)))</f>
        <v>1.0787494523981423E-3</v>
      </c>
      <c r="AL109" s="33">
        <f>IF(INDEX(lmic_raw[],MATCH($A109,lmic_raw[[setting]:[setting]],0), MATCH(AL$1, lmic_raw[#Headers],0))=0, INDEX(regions[], MATCH($D109, regions[[setting]:[setting]],0), MATCH(AL$1, regions[#Headers],0)),INDEX(lmic_raw[],MATCH($A109,lmic_raw[[setting]:[setting]],0), MATCH(AL$1, lmic_raw[#Headers],0)))</f>
        <v>1.8174140218163799E-3</v>
      </c>
      <c r="AM109" s="33">
        <f>IF(INDEX(lmic_raw[],MATCH($A109,lmic_raw[[setting]:[setting]],0), MATCH(AM$1, lmic_raw[#Headers],0))=0, INDEX(regions[], MATCH($D109, regions[[setting]:[setting]],0), MATCH(AM$1, regions[#Headers],0)),INDEX(lmic_raw[],MATCH($A109,lmic_raw[[setting]:[setting]],0), MATCH(AM$1, lmic_raw[#Headers],0)))</f>
        <v>3.1902679586234893E-3</v>
      </c>
      <c r="AN109" s="33">
        <f>IF(INDEX(lmic_raw[],MATCH($A109,lmic_raw[[setting]:[setting]],0), MATCH(AN$1, lmic_raw[#Headers],0))=0, INDEX(regions[], MATCH($D109, regions[[setting]:[setting]],0), MATCH(AN$1, regions[#Headers],0)),INDEX(lmic_raw[],MATCH($A109,lmic_raw[[setting]:[setting]],0), MATCH(AN$1, lmic_raw[#Headers],0)))</f>
        <v>5.6146180614289696E-3</v>
      </c>
      <c r="AO109" s="33">
        <f>IF(INDEX(lmic_raw[],MATCH($A109,lmic_raw[[setting]:[setting]],0), MATCH(AO$1, lmic_raw[#Headers],0))=0, INDEX(regions[], MATCH($D109, regions[[setting]:[setting]],0), MATCH(AO$1, regions[#Headers],0)),INDEX(lmic_raw[],MATCH($A109,lmic_raw[[setting]:[setting]],0), MATCH(AO$1, lmic_raw[#Headers],0)))</f>
        <v>9.1625996944298422E-3</v>
      </c>
      <c r="AP109" s="33">
        <f>IF(INDEX(lmic_raw[],MATCH($A109,lmic_raw[[setting]:[setting]],0), MATCH(AP$1, lmic_raw[#Headers],0))=0, INDEX(regions[], MATCH($D109, regions[[setting]:[setting]],0), MATCH(AP$1, regions[#Headers],0)),INDEX(lmic_raw[],MATCH($A109,lmic_raw[[setting]:[setting]],0), MATCH(AP$1, lmic_raw[#Headers],0)))</f>
        <v>1.4191375580089568E-2</v>
      </c>
      <c r="AQ109" s="33">
        <f>IF(INDEX(lmic_raw[],MATCH($A109,lmic_raw[[setting]:[setting]],0), MATCH(AQ$1, lmic_raw[#Headers],0))=0, INDEX(regions[], MATCH($D109, regions[[setting]:[setting]],0), MATCH(AQ$1, regions[#Headers],0)),INDEX(lmic_raw[],MATCH($A109,lmic_raw[[setting]:[setting]],0), MATCH(AQ$1, lmic_raw[#Headers],0)))</f>
        <v>2.0881851655931701E-2</v>
      </c>
      <c r="AR109" s="33">
        <f>IF(INDEX(lmic_raw[],MATCH($A109,lmic_raw[[setting]:[setting]],0), MATCH(AR$1, lmic_raw[#Headers],0))=0, INDEX(regions[], MATCH($D109, regions[[setting]:[setting]],0), MATCH(AR$1, regions[#Headers],0)),INDEX(lmic_raw[],MATCH($A109,lmic_raw[[setting]:[setting]],0), MATCH(AR$1, lmic_raw[#Headers],0)))</f>
        <v>3.1816428853184232E-2</v>
      </c>
      <c r="AS109" s="33">
        <f>IF(INDEX(lmic_raw[],MATCH($A109,lmic_raw[[setting]:[setting]],0), MATCH(AS$1, lmic_raw[#Headers],0))=0, INDEX(regions[], MATCH($D109, regions[[setting]:[setting]],0), MATCH(AS$1, regions[#Headers],0)),INDEX(lmic_raw[],MATCH($A109,lmic_raw[[setting]:[setting]],0), MATCH(AS$1, lmic_raw[#Headers],0)))</f>
        <v>5.3497565689160982E-2</v>
      </c>
      <c r="AT109" s="33">
        <f>IF(INDEX(lmic_raw[],MATCH($A109,lmic_raw[[setting]:[setting]],0), MATCH(AT$1, lmic_raw[#Headers],0))=0, INDEX(regions[], MATCH($D109, regions[[setting]:[setting]],0), MATCH(AT$1, regions[#Headers],0)),INDEX(lmic_raw[],MATCH($A109,lmic_raw[[setting]:[setting]],0), MATCH(AT$1, lmic_raw[#Headers],0)))</f>
        <v>8.5797755667433112E-2</v>
      </c>
      <c r="AU109" s="33">
        <f>IF(INDEX(lmic_raw[],MATCH($A109,lmic_raw[[setting]:[setting]],0), MATCH(AU$1, lmic_raw[#Headers],0))=0, INDEX(regions[], MATCH($D109, regions[[setting]:[setting]],0), MATCH(AU$1, regions[#Headers],0)),INDEX(lmic_raw[],MATCH($A109,lmic_raw[[setting]:[setting]],0), MATCH(AU$1, lmic_raw[#Headers],0)))</f>
        <v>0.12234204064157438</v>
      </c>
      <c r="AV109" s="33">
        <f>IF(INDEX(lmic_raw[],MATCH($A109,lmic_raw[[setting]:[setting]],0), MATCH(AV$1, lmic_raw[#Headers],0))=0, INDEX(regions[], MATCH($D109, regions[[setting]:[setting]],0), MATCH(AV$1, regions[#Headers],0)),INDEX(lmic_raw[],MATCH($A109,lmic_raw[[setting]:[setting]],0), MATCH(AV$1, lmic_raw[#Headers],0)))</f>
        <v>0.16031023685506621</v>
      </c>
      <c r="AW109" s="33">
        <f>IF(INDEX(lmic_raw[],MATCH($A109,lmic_raw[[setting]:[setting]],0), MATCH(AW$1, lmic_raw[#Headers],0))=0, INDEX(regions[], MATCH($D109, regions[[setting]:[setting]],0), MATCH(AW$1, regions[#Headers],0)),INDEX(lmic_raw[],MATCH($A109,lmic_raw[[setting]:[setting]],0), MATCH(AW$1, lmic_raw[#Headers],0)))</f>
        <v>0.18252897881819899</v>
      </c>
      <c r="AX109" s="33">
        <f>IF(INDEX(lmic_raw[],MATCH($A109,lmic_raw[[setting]:[setting]],0), MATCH(AX$1, lmic_raw[#Headers],0))=0, INDEX(regions[], MATCH($D109, regions[[setting]:[setting]],0), MATCH(AX$1, regions[#Headers],0)),INDEX(lmic_raw[],MATCH($A109,lmic_raw[[setting]:[setting]],0), MATCH(AX$1, lmic_raw[#Headers],0)))</f>
        <v>75.772000000000006</v>
      </c>
      <c r="AY109" s="33" t="str">
        <f>IF(VLOOKUP($A109,lmic_raw[],11,FALSE)=0, "Yes", "No")</f>
        <v>No</v>
      </c>
    </row>
    <row r="110" spans="1:51" x14ac:dyDescent="0.25">
      <c r="A110" s="109" t="s">
        <v>153</v>
      </c>
      <c r="B110" s="101" t="s">
        <v>509</v>
      </c>
      <c r="C110" s="102">
        <v>694</v>
      </c>
      <c r="D110" s="82" t="s">
        <v>677</v>
      </c>
      <c r="E110" s="82" t="s">
        <v>591</v>
      </c>
      <c r="F110" s="82" t="s">
        <v>667</v>
      </c>
      <c r="G110" s="82" t="s">
        <v>674</v>
      </c>
      <c r="H110" s="33">
        <f>IF(INDEX(lmic_raw[],MATCH($A110,lmic_raw[[setting]:[setting]],0), MATCH(H$1, lmic_raw[#Headers],0))=0, INDEX(regions[], MATCH($D110, regions[[setting]:[setting]],0), MATCH(H$1, regions[#Headers],0)),INDEX(lmic_raw[],MATCH($A110,lmic_raw[[setting]:[setting]],0), MATCH(H$1, lmic_raw[#Headers],0)))</f>
        <v>7813207</v>
      </c>
      <c r="I110" s="33">
        <f>IF(INDEX(lmic_raw[],MATCH($A110,lmic_raw[[setting]:[setting]],0), MATCH(I$1, lmic_raw[#Headers],0))=0, INDEX(regions[], MATCH($D110, regions[[setting]:[setting]],0), MATCH(I$1, regions[#Headers],0)),INDEX(lmic_raw[],MATCH($A110,lmic_raw[[setting]:[setting]],0), MATCH(I$1, lmic_raw[#Headers],0)))</f>
        <v>263500.40607500001</v>
      </c>
      <c r="J110" s="33">
        <f>IF(INDEX(lmic_raw[],MATCH($A110,lmic_raw[[setting]:[setting]],0), MATCH(J$1, lmic_raw[#Headers],0))=0, INDEX(regions[], MATCH($D110, regions[[setting]:[setting]],0), MATCH(J$1, regions[#Headers],0)),INDEX(lmic_raw[],MATCH($A110,lmic_raw[[setting]:[setting]],0), MATCH(J$1, lmic_raw[#Headers],0)))</f>
        <v>0.83400000000000007</v>
      </c>
      <c r="K110" s="33">
        <f>IF(INDEX(lmic_raw[],MATCH($A110,lmic_raw[[setting]:[setting]],0), MATCH(K$1, lmic_raw[#Headers],0))=0, INDEX(regions[], MATCH($D110, regions[[setting]:[setting]],0), MATCH(K$1, regions[#Headers],0)),INDEX(lmic_raw[],MATCH($A110,lmic_raw[[setting]:[setting]],0), MATCH(K$1, lmic_raw[#Headers],0)))</f>
        <v>0.69252604416320784</v>
      </c>
      <c r="L110" s="33">
        <f>IF(INDEX(lmic_raw[],MATCH($A110,lmic_raw[[setting]:[setting]],0), MATCH(L$1, lmic_raw[#Headers],0))=0, INDEX(regions[], MATCH($D110, regions[[setting]:[setting]],0), MATCH(L$1, regions[#Headers],0)),INDEX(lmic_raw[],MATCH($A110,lmic_raw[[setting]:[setting]],0), MATCH(L$1, lmic_raw[#Headers],0)))</f>
        <v>0.95</v>
      </c>
      <c r="M110" s="33">
        <f>IF(INDEX(lmic_raw[],MATCH($A110,lmic_raw[[setting]:[setting]],0), MATCH(M$1, lmic_raw[#Headers],0))=0, INDEX(regions[], MATCH($D110, regions[[setting]:[setting]],0), MATCH(M$1, regions[#Headers],0)),INDEX(lmic_raw[],MATCH($A110,lmic_raw[[setting]:[setting]],0), MATCH(M$1, lmic_raw[#Headers],0)))</f>
        <v>0.18640000000000001</v>
      </c>
      <c r="N110" s="33">
        <f>IF(INDEX(lmic_raw[],MATCH($A110,lmic_raw[[setting]:[setting]],0), MATCH(N$1, lmic_raw[#Headers],0))=0, INDEX(regions[], MATCH($D110, regions[[setting]:[setting]],0), MATCH(N$1, regions[#Headers],0)),INDEX(lmic_raw[],MATCH($A110,lmic_raw[[setting]:[setting]],0), MATCH(N$1, lmic_raw[#Headers],0)))</f>
        <v>0.29917053231968926</v>
      </c>
      <c r="O110" s="33">
        <f>IF(INDEX(lmic_raw[],MATCH($A110,lmic_raw[[setting]:[setting]],0), MATCH(O$1, lmic_raw[#Headers],0))=0, INDEX(regions[], MATCH($D110, regions[[setting]:[setting]],0), MATCH(O$1, regions[#Headers],0)),INDEX(lmic_raw[],MATCH($A110,lmic_raw[[setting]:[setting]],0), MATCH(O$1, lmic_raw[#Headers],0)))</f>
        <v>0.38300000000000001</v>
      </c>
      <c r="P110" s="33">
        <f>IF(INDEX(lmic_raw[],MATCH($A110,lmic_raw[[setting]:[setting]],0), MATCH(P$1, lmic_raw[#Headers],0))=0, INDEX(regions[], MATCH($D110, regions[[setting]:[setting]],0), MATCH(P$1, regions[#Headers],0)),INDEX(lmic_raw[],MATCH($A110,lmic_raw[[setting]:[setting]],0), MATCH(P$1, lmic_raw[#Headers],0)))</f>
        <v>4.8000000000000001E-2</v>
      </c>
      <c r="Q110" s="33">
        <f>IF(INDEX(lmic_raw[],MATCH($A110,lmic_raw[[setting]:[setting]],0), MATCH(Q$1, lmic_raw[#Headers],0))=0, INDEX(regions[], MATCH($D110, regions[[setting]:[setting]],0), MATCH(Q$1, regions[#Headers],0)),INDEX(lmic_raw[],MATCH($A110,lmic_raw[[setting]:[setting]],0), MATCH(Q$1, lmic_raw[#Headers],0)))</f>
        <v>2.6463951794130609</v>
      </c>
      <c r="R110" s="33">
        <f>IF(INDEX(lmic_raw[],MATCH($A110,lmic_raw[[setting]:[setting]],0), MATCH(R$1, lmic_raw[#Headers],0))=0, INDEX(regions[], MATCH($D110, regions[[setting]:[setting]],0), MATCH(R$1, regions[#Headers],0)),INDEX(lmic_raw[],MATCH($A110,lmic_raw[[setting]:[setting]],0), MATCH(R$1, lmic_raw[#Headers],0)))</f>
        <v>29.920500000000001</v>
      </c>
      <c r="S110" s="33">
        <f>IF(INDEX(lmic_raw[],MATCH($A110,lmic_raw[[setting]:[setting]],0), MATCH(S$1, lmic_raw[#Headers],0))=0, INDEX(regions[], MATCH($D110, regions[[setting]:[setting]],0), MATCH(S$1, regions[#Headers],0)),INDEX(lmic_raw[],MATCH($A110,lmic_raw[[setting]:[setting]],0), MATCH(S$1, lmic_raw[#Headers],0)))</f>
        <v>77.662500000000009</v>
      </c>
      <c r="T110" s="33">
        <f>IF(INDEX(lmic_raw[],MATCH($A110,lmic_raw[[setting]:[setting]],0), MATCH(T$1, lmic_raw[#Headers],0))=0, INDEX(regions[], MATCH($D110, regions[[setting]:[setting]],0), MATCH(T$1, regions[#Headers],0)),INDEX(lmic_raw[],MATCH($A110,lmic_raw[[setting]:[setting]],0), MATCH(T$1, lmic_raw[#Headers],0)))</f>
        <v>77.662500000000009</v>
      </c>
      <c r="U110" s="33">
        <f>IF(INDEX(lmic_raw[],MATCH($A110,lmic_raw[[setting]:[setting]],0), MATCH(U$1, lmic_raw[#Headers],0))=0, INDEX(regions[], MATCH($D110, regions[[setting]:[setting]],0), MATCH(U$1, regions[#Headers],0)),INDEX(lmic_raw[],MATCH($A110,lmic_raw[[setting]:[setting]],0), MATCH(U$1, lmic_raw[#Headers],0)))</f>
        <v>77.662500000000009</v>
      </c>
      <c r="V110" s="33">
        <f>IF(INDEX(lmic_raw[],MATCH($A110,lmic_raw[[setting]:[setting]],0), MATCH(V$1, lmic_raw[#Headers],0))=0, INDEX(regions[], MATCH($D110, regions[[setting]:[setting]],0), MATCH(V$1, regions[#Headers],0)),INDEX(lmic_raw[],MATCH($A110,lmic_raw[[setting]:[setting]],0), MATCH(V$1, lmic_raw[#Headers],0)))</f>
        <v>2.702850032597182</v>
      </c>
      <c r="W110" s="33">
        <f>IF(INDEX(lmic_raw[],MATCH($A110,lmic_raw[[setting]:[setting]],0), MATCH(W$1, lmic_raw[#Headers],0))=0, INDEX(regions[], MATCH($D110, regions[[setting]:[setting]],0), MATCH(W$1, regions[#Headers],0)),INDEX(lmic_raw[],MATCH($A110,lmic_raw[[setting]:[setting]],0), MATCH(W$1, lmic_raw[#Headers],0)))</f>
        <v>7.5328500325971817</v>
      </c>
      <c r="X110" s="33">
        <f>IF(INDEX(lmic_raw[],MATCH($A110,lmic_raw[[setting]:[setting]],0), MATCH(X$1, lmic_raw[#Headers],0))=0, INDEX(regions[], MATCH($D110, regions[[setting]:[setting]],0), MATCH(X$1, regions[#Headers],0)),INDEX(lmic_raw[],MATCH($A110,lmic_raw[[setting]:[setting]],0), MATCH(X$1, lmic_raw[#Headers],0)))</f>
        <v>2.2803467262290309</v>
      </c>
      <c r="Y110" s="33">
        <f>IF(INDEX(lmic_raw[],MATCH($A110,lmic_raw[[setting]:[setting]],0), MATCH(Y$1, lmic_raw[#Headers],0))=0, INDEX(regions[], MATCH($D110, regions[[setting]:[setting]],0), MATCH(Y$1, regions[#Headers],0)),INDEX(lmic_raw[],MATCH($A110,lmic_raw[[setting]:[setting]],0), MATCH(Y$1, lmic_raw[#Headers],0)))</f>
        <v>7.1103467262290305</v>
      </c>
      <c r="Z110" s="33">
        <f>IF(INDEX(lmic_raw[],MATCH($A110,lmic_raw[[setting]:[setting]],0), MATCH(Z$1, lmic_raw[#Headers],0))=0, INDEX(regions[], MATCH($D110, regions[[setting]:[setting]],0), MATCH(Z$1, regions[#Headers],0)),INDEX(lmic_raw[],MATCH($A110,lmic_raw[[setting]:[setting]],0), MATCH(Z$1, lmic_raw[#Headers],0)))</f>
        <v>7.1085892354628548</v>
      </c>
      <c r="AA110" s="33">
        <f>IF(INDEX(lmic_raw[],MATCH($A110,lmic_raw[[setting]:[setting]],0), MATCH(AA$1, lmic_raw[#Headers],0))=0, INDEX(regions[], MATCH($D110, regions[[setting]:[setting]],0), MATCH(AA$1, regions[#Headers],0)),INDEX(lmic_raw[],MATCH($A110,lmic_raw[[setting]:[setting]],0), MATCH(AA$1, lmic_raw[#Headers],0)))</f>
        <v>2.9433737769880515</v>
      </c>
      <c r="AB110" s="33">
        <f>IF(INDEX(lmic_raw[],MATCH($A110,lmic_raw[[setting]:[setting]],0), MATCH(AB$1, lmic_raw[#Headers],0))=0, INDEX(regions[], MATCH($D110, regions[[setting]:[setting]],0), MATCH(AB$1, regions[#Headers],0)),INDEX(lmic_raw[],MATCH($A110,lmic_raw[[setting]:[setting]],0), MATCH(AB$1, lmic_raw[#Headers],0)))</f>
        <v>7.773373776988052</v>
      </c>
      <c r="AC110" s="33">
        <f>IF(INDEX(lmic_raw[],MATCH($A110,lmic_raw[[setting]:[setting]],0), MATCH(AC$1, lmic_raw[#Headers],0))=0, INDEX(regions[], MATCH($D110, regions[[setting]:[setting]],0), MATCH(AC$1, regions[#Headers],0)),INDEX(lmic_raw[],MATCH($A110,lmic_raw[[setting]:[setting]],0), MATCH(AC$1, lmic_raw[#Headers],0)))</f>
        <v>8.0791989999999939E-2</v>
      </c>
      <c r="AD110" s="33">
        <f>IF(INDEX(lmic_raw[],MATCH($A110,lmic_raw[[setting]:[setting]],0), MATCH(AD$1, lmic_raw[#Headers],0))=0, INDEX(regions[], MATCH($D110, regions[[setting]:[setting]],0), MATCH(AD$1, regions[#Headers],0)),INDEX(lmic_raw[],MATCH($A110,lmic_raw[[setting]:[setting]],0), MATCH(AD$1, lmic_raw[#Headers],0)))</f>
        <v>8.0492064032383816E-3</v>
      </c>
      <c r="AE110" s="33">
        <f>IF(INDEX(lmic_raw[],MATCH($A110,lmic_raw[[setting]:[setting]],0), MATCH(AE$1, lmic_raw[#Headers],0))=0, INDEX(regions[], MATCH($D110, regions[[setting]:[setting]],0), MATCH(AE$1, regions[#Headers],0)),INDEX(lmic_raw[],MATCH($A110,lmic_raw[[setting]:[setting]],0), MATCH(AE$1, lmic_raw[#Headers],0)))</f>
        <v>3.5608000666088016E-3</v>
      </c>
      <c r="AF110" s="33">
        <f>IF(INDEX(lmic_raw[],MATCH($A110,lmic_raw[[setting]:[setting]],0), MATCH(AF$1, lmic_raw[#Headers],0))=0, INDEX(regions[], MATCH($D110, regions[[setting]:[setting]],0), MATCH(AF$1, regions[#Headers],0)),INDEX(lmic_raw[],MATCH($A110,lmic_raw[[setting]:[setting]],0), MATCH(AF$1, lmic_raw[#Headers],0)))</f>
        <v>2.6162080832433177E-3</v>
      </c>
      <c r="AG110" s="33">
        <f>IF(INDEX(lmic_raw[],MATCH($A110,lmic_raw[[setting]:[setting]],0), MATCH(AG$1, lmic_raw[#Headers],0))=0, INDEX(regions[], MATCH($D110, regions[[setting]:[setting]],0), MATCH(AG$1, regions[#Headers],0)),INDEX(lmic_raw[],MATCH($A110,lmic_raw[[setting]:[setting]],0), MATCH(AG$1, lmic_raw[#Headers],0)))</f>
        <v>4.3052383161752408E-3</v>
      </c>
      <c r="AH110" s="33">
        <f>IF(INDEX(lmic_raw[],MATCH($A110,lmic_raw[[setting]:[setting]],0), MATCH(AH$1, lmic_raw[#Headers],0))=0, INDEX(regions[], MATCH($D110, regions[[setting]:[setting]],0), MATCH(AH$1, regions[#Headers],0)),INDEX(lmic_raw[],MATCH($A110,lmic_raw[[setting]:[setting]],0), MATCH(AH$1, lmic_raw[#Headers],0)))</f>
        <v>5.9920316757103246E-3</v>
      </c>
      <c r="AI110" s="33">
        <f>IF(INDEX(lmic_raw[],MATCH($A110,lmic_raw[[setting]:[setting]],0), MATCH(AI$1, lmic_raw[#Headers],0))=0, INDEX(regions[], MATCH($D110, regions[[setting]:[setting]],0), MATCH(AI$1, regions[#Headers],0)),INDEX(lmic_raw[],MATCH($A110,lmic_raw[[setting]:[setting]],0), MATCH(AI$1, lmic_raw[#Headers],0)))</f>
        <v>6.5786935829567836E-3</v>
      </c>
      <c r="AJ110" s="33">
        <f>IF(INDEX(lmic_raw[],MATCH($A110,lmic_raw[[setting]:[setting]],0), MATCH(AJ$1, lmic_raw[#Headers],0))=0, INDEX(regions[], MATCH($D110, regions[[setting]:[setting]],0), MATCH(AJ$1, regions[#Headers],0)),INDEX(lmic_raw[],MATCH($A110,lmic_raw[[setting]:[setting]],0), MATCH(AJ$1, lmic_raw[#Headers],0)))</f>
        <v>7.234750920304415E-3</v>
      </c>
      <c r="AK110" s="33">
        <f>IF(INDEX(lmic_raw[],MATCH($A110,lmic_raw[[setting]:[setting]],0), MATCH(AK$1, lmic_raw[#Headers],0))=0, INDEX(regions[], MATCH($D110, regions[[setting]:[setting]],0), MATCH(AK$1, regions[#Headers],0)),INDEX(lmic_raw[],MATCH($A110,lmic_raw[[setting]:[setting]],0), MATCH(AK$1, lmic_raw[#Headers],0)))</f>
        <v>8.3504644636627923E-3</v>
      </c>
      <c r="AL110" s="33">
        <f>IF(INDEX(lmic_raw[],MATCH($A110,lmic_raw[[setting]:[setting]],0), MATCH(AL$1, lmic_raw[#Headers],0))=0, INDEX(regions[], MATCH($D110, regions[[setting]:[setting]],0), MATCH(AL$1, regions[#Headers],0)),INDEX(lmic_raw[],MATCH($A110,lmic_raw[[setting]:[setting]],0), MATCH(AL$1, lmic_raw[#Headers],0)))</f>
        <v>9.8848707524258565E-3</v>
      </c>
      <c r="AM110" s="33">
        <f>IF(INDEX(lmic_raw[],MATCH($A110,lmic_raw[[setting]:[setting]],0), MATCH(AM$1, lmic_raw[#Headers],0))=0, INDEX(regions[], MATCH($D110, regions[[setting]:[setting]],0), MATCH(AM$1, regions[#Headers],0)),INDEX(lmic_raw[],MATCH($A110,lmic_raw[[setting]:[setting]],0), MATCH(AM$1, lmic_raw[#Headers],0)))</f>
        <v>1.2124266776455981E-2</v>
      </c>
      <c r="AN110" s="33">
        <f>IF(INDEX(lmic_raw[],MATCH($A110,lmic_raw[[setting]:[setting]],0), MATCH(AN$1, lmic_raw[#Headers],0))=0, INDEX(regions[], MATCH($D110, regions[[setting]:[setting]],0), MATCH(AN$1, regions[#Headers],0)),INDEX(lmic_raw[],MATCH($A110,lmic_raw[[setting]:[setting]],0), MATCH(AN$1, lmic_raw[#Headers],0)))</f>
        <v>1.586958988938663E-2</v>
      </c>
      <c r="AO110" s="33">
        <f>IF(INDEX(lmic_raw[],MATCH($A110,lmic_raw[[setting]:[setting]],0), MATCH(AO$1, lmic_raw[#Headers],0))=0, INDEX(regions[], MATCH($D110, regions[[setting]:[setting]],0), MATCH(AO$1, regions[#Headers],0)),INDEX(lmic_raw[],MATCH($A110,lmic_raw[[setting]:[setting]],0), MATCH(AO$1, lmic_raw[#Headers],0)))</f>
        <v>2.1106310169851972E-2</v>
      </c>
      <c r="AP110" s="33">
        <f>IF(INDEX(lmic_raw[],MATCH($A110,lmic_raw[[setting]:[setting]],0), MATCH(AP$1, lmic_raw[#Headers],0))=0, INDEX(regions[], MATCH($D110, regions[[setting]:[setting]],0), MATCH(AP$1, regions[#Headers],0)),INDEX(lmic_raw[],MATCH($A110,lmic_raw[[setting]:[setting]],0), MATCH(AP$1, lmic_raw[#Headers],0)))</f>
        <v>2.9723773963725244E-2</v>
      </c>
      <c r="AQ110" s="33">
        <f>IF(INDEX(lmic_raw[],MATCH($A110,lmic_raw[[setting]:[setting]],0), MATCH(AQ$1, lmic_raw[#Headers],0))=0, INDEX(regions[], MATCH($D110, regions[[setting]:[setting]],0), MATCH(AQ$1, regions[#Headers],0)),INDEX(lmic_raw[],MATCH($A110,lmic_raw[[setting]:[setting]],0), MATCH(AQ$1, lmic_raw[#Headers],0)))</f>
        <v>4.2050380421760292E-2</v>
      </c>
      <c r="AR110" s="33">
        <f>IF(INDEX(lmic_raw[],MATCH($A110,lmic_raw[[setting]:[setting]],0), MATCH(AR$1, lmic_raw[#Headers],0))=0, INDEX(regions[], MATCH($D110, regions[[setting]:[setting]],0), MATCH(AR$1, regions[#Headers],0)),INDEX(lmic_raw[],MATCH($A110,lmic_raw[[setting]:[setting]],0), MATCH(AR$1, lmic_raw[#Headers],0)))</f>
        <v>6.0552989573148606E-2</v>
      </c>
      <c r="AS110" s="33">
        <f>IF(INDEX(lmic_raw[],MATCH($A110,lmic_raw[[setting]:[setting]],0), MATCH(AS$1, lmic_raw[#Headers],0))=0, INDEX(regions[], MATCH($D110, regions[[setting]:[setting]],0), MATCH(AS$1, regions[#Headers],0)),INDEX(lmic_raw[],MATCH($A110,lmic_raw[[setting]:[setting]],0), MATCH(AS$1, lmic_raw[#Headers],0)))</f>
        <v>8.4562642131675372E-2</v>
      </c>
      <c r="AT110" s="33">
        <f>IF(INDEX(lmic_raw[],MATCH($A110,lmic_raw[[setting]:[setting]],0), MATCH(AT$1, lmic_raw[#Headers],0))=0, INDEX(regions[], MATCH($D110, regions[[setting]:[setting]],0), MATCH(AT$1, regions[#Headers],0)),INDEX(lmic_raw[],MATCH($A110,lmic_raw[[setting]:[setting]],0), MATCH(AT$1, lmic_raw[#Headers],0)))</f>
        <v>0.11276112706617331</v>
      </c>
      <c r="AU110" s="33">
        <f>IF(INDEX(lmic_raw[],MATCH($A110,lmic_raw[[setting]:[setting]],0), MATCH(AU$1, lmic_raw[#Headers],0))=0, INDEX(regions[], MATCH($D110, regions[[setting]:[setting]],0), MATCH(AU$1, regions[#Headers],0)),INDEX(lmic_raw[],MATCH($A110,lmic_raw[[setting]:[setting]],0), MATCH(AU$1, lmic_raw[#Headers],0)))</f>
        <v>0.13854292675347465</v>
      </c>
      <c r="AV110" s="33">
        <f>IF(INDEX(lmic_raw[],MATCH($A110,lmic_raw[[setting]:[setting]],0), MATCH(AV$1, lmic_raw[#Headers],0))=0, INDEX(regions[], MATCH($D110, regions[[setting]:[setting]],0), MATCH(AV$1, regions[#Headers],0)),INDEX(lmic_raw[],MATCH($A110,lmic_raw[[setting]:[setting]],0), MATCH(AV$1, lmic_raw[#Headers],0)))</f>
        <v>0.16107073910210398</v>
      </c>
      <c r="AW110" s="33">
        <f>IF(INDEX(lmic_raw[],MATCH($A110,lmic_raw[[setting]:[setting]],0), MATCH(AW$1, lmic_raw[#Headers],0))=0, INDEX(regions[], MATCH($D110, regions[[setting]:[setting]],0), MATCH(AW$1, regions[#Headers],0)),INDEX(lmic_raw[],MATCH($A110,lmic_raw[[setting]:[setting]],0), MATCH(AW$1, lmic_raw[#Headers],0)))</f>
        <v>0.17851912460620289</v>
      </c>
      <c r="AX110" s="33">
        <f>IF(INDEX(lmic_raw[],MATCH($A110,lmic_raw[[setting]:[setting]],0), MATCH(AX$1, lmic_raw[#Headers],0))=0, INDEX(regions[], MATCH($D110, regions[[setting]:[setting]],0), MATCH(AX$1, regions[#Headers],0)),INDEX(lmic_raw[],MATCH($A110,lmic_raw[[setting]:[setting]],0), MATCH(AX$1, lmic_raw[#Headers],0)))</f>
        <v>54.066000000000003</v>
      </c>
      <c r="AY110" s="33" t="str">
        <f>IF(VLOOKUP($A110,lmic_raw[],11,FALSE)=0, "Yes", "No")</f>
        <v>Yes</v>
      </c>
    </row>
    <row r="111" spans="1:51" x14ac:dyDescent="0.25">
      <c r="A111" s="110" t="s">
        <v>284</v>
      </c>
      <c r="B111" s="104" t="s">
        <v>512</v>
      </c>
      <c r="C111" s="105">
        <v>90</v>
      </c>
      <c r="D111" s="84" t="s">
        <v>681</v>
      </c>
      <c r="E111" s="84" t="s">
        <v>98</v>
      </c>
      <c r="F111" s="84" t="s">
        <v>666</v>
      </c>
      <c r="G111" s="84" t="s">
        <v>678</v>
      </c>
      <c r="H111" s="33">
        <f>IF(INDEX(lmic_raw[],MATCH($A111,lmic_raw[[setting]:[setting]],0), MATCH(H$1, lmic_raw[#Headers],0))=0, INDEX(regions[], MATCH($D111, regions[[setting]:[setting]],0), MATCH(H$1, regions[#Headers],0)),INDEX(lmic_raw[],MATCH($A111,lmic_raw[[setting]:[setting]],0), MATCH(H$1, lmic_raw[#Headers],0)))</f>
        <v>669821</v>
      </c>
      <c r="I111" s="33">
        <f>IF(INDEX(lmic_raw[],MATCH($A111,lmic_raw[[setting]:[setting]],0), MATCH(I$1, lmic_raw[#Headers],0))=0, INDEX(regions[], MATCH($D111, regions[[setting]:[setting]],0), MATCH(I$1, regions[#Headers],0)),INDEX(lmic_raw[],MATCH($A111,lmic_raw[[setting]:[setting]],0), MATCH(I$1, lmic_raw[#Headers],0)))</f>
        <v>21909.84491</v>
      </c>
      <c r="J111" s="33">
        <f>IF(INDEX(lmic_raw[],MATCH($A111,lmic_raw[[setting]:[setting]],0), MATCH(J$1, lmic_raw[#Headers],0))=0, INDEX(regions[], MATCH($D111, regions[[setting]:[setting]],0), MATCH(J$1, regions[#Headers],0)),INDEX(lmic_raw[],MATCH($A111,lmic_raw[[setting]:[setting]],0), MATCH(J$1, lmic_raw[#Headers],0)))</f>
        <v>0.84499999999999997</v>
      </c>
      <c r="K111" s="33">
        <f>IF(INDEX(lmic_raw[],MATCH($A111,lmic_raw[[setting]:[setting]],0), MATCH(K$1, lmic_raw[#Headers],0))=0, INDEX(regions[], MATCH($D111, regions[[setting]:[setting]],0), MATCH(K$1, regions[#Headers],0)),INDEX(lmic_raw[],MATCH($A111,lmic_raw[[setting]:[setting]],0), MATCH(K$1, lmic_raw[#Headers],0)))</f>
        <v>0.66</v>
      </c>
      <c r="L111" s="33">
        <f>IF(INDEX(lmic_raw[],MATCH($A111,lmic_raw[[setting]:[setting]],0), MATCH(L$1, lmic_raw[#Headers],0))=0, INDEX(regions[], MATCH($D111, regions[[setting]:[setting]],0), MATCH(L$1, regions[#Headers],0)),INDEX(lmic_raw[],MATCH($A111,lmic_raw[[setting]:[setting]],0), MATCH(L$1, lmic_raw[#Headers],0)))</f>
        <v>0.94</v>
      </c>
      <c r="M111" s="33">
        <f>IF(INDEX(lmic_raw[],MATCH($A111,lmic_raw[[setting]:[setting]],0), MATCH(M$1, lmic_raw[#Headers],0))=0, INDEX(regions[], MATCH($D111, regions[[setting]:[setting]],0), MATCH(M$1, regions[#Headers],0)),INDEX(lmic_raw[],MATCH($A111,lmic_raw[[setting]:[setting]],0), MATCH(M$1, lmic_raw[#Headers],0)))</f>
        <v>0.1091</v>
      </c>
      <c r="N111" s="33">
        <f>IF(INDEX(lmic_raw[],MATCH($A111,lmic_raw[[setting]:[setting]],0), MATCH(N$1, lmic_raw[#Headers],0))=0, INDEX(regions[], MATCH($D111, regions[[setting]:[setting]],0), MATCH(N$1, regions[#Headers],0)),INDEX(lmic_raw[],MATCH($A111,lmic_raw[[setting]:[setting]],0), MATCH(N$1, lmic_raw[#Headers],0)))</f>
        <v>0.33679792873325681</v>
      </c>
      <c r="O111" s="33">
        <f>IF(INDEX(lmic_raw[],MATCH($A111,lmic_raw[[setting]:[setting]],0), MATCH(O$1, lmic_raw[#Headers],0))=0, INDEX(regions[], MATCH($D111, regions[[setting]:[setting]],0), MATCH(O$1, regions[#Headers],0)),INDEX(lmic_raw[],MATCH($A111,lmic_raw[[setting]:[setting]],0), MATCH(O$1, lmic_raw[#Headers],0)))</f>
        <v>0.8</v>
      </c>
      <c r="P111" s="33">
        <f>IF(INDEX(lmic_raw[],MATCH($A111,lmic_raw[[setting]:[setting]],0), MATCH(P$1, lmic_raw[#Headers],0))=0, INDEX(regions[], MATCH($D111, regions[[setting]:[setting]],0), MATCH(P$1, regions[#Headers],0)),INDEX(lmic_raw[],MATCH($A111,lmic_raw[[setting]:[setting]],0), MATCH(P$1, lmic_raw[#Headers],0)))</f>
        <v>0.17499999999999999</v>
      </c>
      <c r="Q111" s="33">
        <f>IF(INDEX(lmic_raw[],MATCH($A111,lmic_raw[[setting]:[setting]],0), MATCH(Q$1, lmic_raw[#Headers],0))=0, INDEX(regions[], MATCH($D111, regions[[setting]:[setting]],0), MATCH(Q$1, regions[#Headers],0)),INDEX(lmic_raw[],MATCH($A111,lmic_raw[[setting]:[setting]],0), MATCH(Q$1, lmic_raw[#Headers],0)))</f>
        <v>5.8154315715242433</v>
      </c>
      <c r="R111" s="33">
        <f>IF(INDEX(lmic_raw[],MATCH($A111,lmic_raw[[setting]:[setting]],0), MATCH(R$1, lmic_raw[#Headers],0))=0, INDEX(regions[], MATCH($D111, regions[[setting]:[setting]],0), MATCH(R$1, regions[#Headers],0)),INDEX(lmic_raw[],MATCH($A111,lmic_raw[[setting]:[setting]],0), MATCH(R$1, lmic_raw[#Headers],0)))</f>
        <v>73.084500000000006</v>
      </c>
      <c r="S111" s="33">
        <f>IF(INDEX(lmic_raw[],MATCH($A111,lmic_raw[[setting]:[setting]],0), MATCH(S$1, lmic_raw[#Headers],0))=0, INDEX(regions[], MATCH($D111, regions[[setting]:[setting]],0), MATCH(S$1, regions[#Headers],0)),INDEX(lmic_raw[],MATCH($A111,lmic_raw[[setting]:[setting]],0), MATCH(S$1, lmic_raw[#Headers],0)))</f>
        <v>120.8265</v>
      </c>
      <c r="T111" s="33">
        <f>IF(INDEX(lmic_raw[],MATCH($A111,lmic_raw[[setting]:[setting]],0), MATCH(T$1, lmic_raw[#Headers],0))=0, INDEX(regions[], MATCH($D111, regions[[setting]:[setting]],0), MATCH(T$1, regions[#Headers],0)),INDEX(lmic_raw[],MATCH($A111,lmic_raw[[setting]:[setting]],0), MATCH(T$1, lmic_raw[#Headers],0)))</f>
        <v>120.8265</v>
      </c>
      <c r="U111" s="33">
        <f>IF(INDEX(lmic_raw[],MATCH($A111,lmic_raw[[setting]:[setting]],0), MATCH(U$1, lmic_raw[#Headers],0))=0, INDEX(regions[], MATCH($D111, regions[[setting]:[setting]],0), MATCH(U$1, regions[#Headers],0)),INDEX(lmic_raw[],MATCH($A111,lmic_raw[[setting]:[setting]],0), MATCH(U$1, lmic_raw[#Headers],0)))</f>
        <v>120.8265</v>
      </c>
      <c r="V111" s="33">
        <f>IF(INDEX(lmic_raw[],MATCH($A111,lmic_raw[[setting]:[setting]],0), MATCH(V$1, lmic_raw[#Headers],0))=0, INDEX(regions[], MATCH($D111, regions[[setting]:[setting]],0), MATCH(V$1, regions[#Headers],0)),INDEX(lmic_raw[],MATCH($A111,lmic_raw[[setting]:[setting]],0), MATCH(V$1, lmic_raw[#Headers],0)))</f>
        <v>5.2224866508980927</v>
      </c>
      <c r="W111" s="33">
        <f>IF(INDEX(lmic_raw[],MATCH($A111,lmic_raw[[setting]:[setting]],0), MATCH(W$1, lmic_raw[#Headers],0))=0, INDEX(regions[], MATCH($D111, regions[[setting]:[setting]],0), MATCH(W$1, regions[#Headers],0)),INDEX(lmic_raw[],MATCH($A111,lmic_raw[[setting]:[setting]],0), MATCH(W$1, lmic_raw[#Headers],0)))</f>
        <v>5.8524866508980926</v>
      </c>
      <c r="X111" s="33">
        <f>IF(INDEX(lmic_raw[],MATCH($A111,lmic_raw[[setting]:[setting]],0), MATCH(X$1, lmic_raw[#Headers],0))=0, INDEX(regions[], MATCH($D111, regions[[setting]:[setting]],0), MATCH(X$1, regions[#Headers],0)),INDEX(lmic_raw[],MATCH($A111,lmic_raw[[setting]:[setting]],0), MATCH(X$1, lmic_raw[#Headers],0)))</f>
        <v>4.7910984730862474</v>
      </c>
      <c r="Y111" s="33">
        <f>IF(INDEX(lmic_raw[],MATCH($A111,lmic_raw[[setting]:[setting]],0), MATCH(Y$1, lmic_raw[#Headers],0))=0, INDEX(regions[], MATCH($D111, regions[[setting]:[setting]],0), MATCH(Y$1, regions[#Headers],0)),INDEX(lmic_raw[],MATCH($A111,lmic_raw[[setting]:[setting]],0), MATCH(Y$1, lmic_raw[#Headers],0)))</f>
        <v>5.4210984730862473</v>
      </c>
      <c r="Z111" s="33">
        <f>IF(INDEX(lmic_raw[],MATCH($A111,lmic_raw[[setting]:[setting]],0), MATCH(Z$1, lmic_raw[#Headers],0))=0, INDEX(regions[], MATCH($D111, regions[[setting]:[setting]],0), MATCH(Z$1, regions[#Headers],0)),INDEX(lmic_raw[],MATCH($A111,lmic_raw[[setting]:[setting]],0), MATCH(Z$1, lmic_raw[#Headers],0)))</f>
        <v>5.4158813358426796</v>
      </c>
      <c r="AA111" s="33">
        <f>IF(INDEX(lmic_raw[],MATCH($A111,lmic_raw[[setting]:[setting]],0), MATCH(AA$1, lmic_raw[#Headers],0))=0, INDEX(regions[], MATCH($D111, regions[[setting]:[setting]],0), MATCH(AA$1, regions[#Headers],0)),INDEX(lmic_raw[],MATCH($A111,lmic_raw[[setting]:[setting]],0), MATCH(AA$1, lmic_raw[#Headers],0)))</f>
        <v>5.4662130815070364</v>
      </c>
      <c r="AB111" s="33">
        <f>IF(INDEX(lmic_raw[],MATCH($A111,lmic_raw[[setting]:[setting]],0), MATCH(AB$1, lmic_raw[#Headers],0))=0, INDEX(regions[], MATCH($D111, regions[[setting]:[setting]],0), MATCH(AB$1, regions[#Headers],0)),INDEX(lmic_raw[],MATCH($A111,lmic_raw[[setting]:[setting]],0), MATCH(AB$1, lmic_raw[#Headers],0)))</f>
        <v>6.0962130815070363</v>
      </c>
      <c r="AC111" s="33">
        <f>IF(INDEX(lmic_raw[],MATCH($A111,lmic_raw[[setting]:[setting]],0), MATCH(AC$1, lmic_raw[#Headers],0))=0, INDEX(regions[], MATCH($D111, regions[[setting]:[setting]],0), MATCH(AC$1, regions[#Headers],0)),INDEX(lmic_raw[],MATCH($A111,lmic_raw[[setting]:[setting]],0), MATCH(AC$1, lmic_raw[#Headers],0)))</f>
        <v>1.5456410000000033E-2</v>
      </c>
      <c r="AD111" s="33">
        <f>IF(INDEX(lmic_raw[],MATCH($A111,lmic_raw[[setting]:[setting]],0), MATCH(AD$1, lmic_raw[#Headers],0))=0, INDEX(regions[], MATCH($D111, regions[[setting]:[setting]],0), MATCH(AD$1, regions[#Headers],0)),INDEX(lmic_raw[],MATCH($A111,lmic_raw[[setting]:[setting]],0), MATCH(AD$1, lmic_raw[#Headers],0)))</f>
        <v>1.185059261825066E-3</v>
      </c>
      <c r="AE111" s="33">
        <f>IF(INDEX(lmic_raw[],MATCH($A111,lmic_raw[[setting]:[setting]],0), MATCH(AE$1, lmic_raw[#Headers],0))=0, INDEX(regions[], MATCH($D111, regions[[setting]:[setting]],0), MATCH(AE$1, regions[#Headers],0)),INDEX(lmic_raw[],MATCH($A111,lmic_raw[[setting]:[setting]],0), MATCH(AE$1, lmic_raw[#Headers],0)))</f>
        <v>4.3456899706413371E-4</v>
      </c>
      <c r="AF111" s="33">
        <f>IF(INDEX(lmic_raw[],MATCH($A111,lmic_raw[[setting]:[setting]],0), MATCH(AF$1, lmic_raw[#Headers],0))=0, INDEX(regions[], MATCH($D111, regions[[setting]:[setting]],0), MATCH(AF$1, regions[#Headers],0)),INDEX(lmic_raw[],MATCH($A111,lmic_raw[[setting]:[setting]],0), MATCH(AF$1, lmic_raw[#Headers],0)))</f>
        <v>4.0021784765494707E-4</v>
      </c>
      <c r="AG111" s="33">
        <f>IF(INDEX(lmic_raw[],MATCH($A111,lmic_raw[[setting]:[setting]],0), MATCH(AG$1, lmic_raw[#Headers],0))=0, INDEX(regions[], MATCH($D111, regions[[setting]:[setting]],0), MATCH(AG$1, regions[#Headers],0)),INDEX(lmic_raw[],MATCH($A111,lmic_raw[[setting]:[setting]],0), MATCH(AG$1, lmic_raw[#Headers],0)))</f>
        <v>8.7837052473555433E-4</v>
      </c>
      <c r="AH111" s="33">
        <f>IF(INDEX(lmic_raw[],MATCH($A111,lmic_raw[[setting]:[setting]],0), MATCH(AH$1, lmic_raw[#Headers],0))=0, INDEX(regions[], MATCH($D111, regions[[setting]:[setting]],0), MATCH(AH$1, regions[#Headers],0)),INDEX(lmic_raw[],MATCH($A111,lmic_raw[[setting]:[setting]],0), MATCH(AH$1, lmic_raw[#Headers],0)))</f>
        <v>1.1512833469450293E-3</v>
      </c>
      <c r="AI111" s="33">
        <f>IF(INDEX(lmic_raw[],MATCH($A111,lmic_raw[[setting]:[setting]],0), MATCH(AI$1, lmic_raw[#Headers],0))=0, INDEX(regions[], MATCH($D111, regions[[setting]:[setting]],0), MATCH(AI$1, regions[#Headers],0)),INDEX(lmic_raw[],MATCH($A111,lmic_raw[[setting]:[setting]],0), MATCH(AI$1, lmic_raw[#Headers],0)))</f>
        <v>1.214610400427136E-3</v>
      </c>
      <c r="AJ111" s="33">
        <f>IF(INDEX(lmic_raw[],MATCH($A111,lmic_raw[[setting]:[setting]],0), MATCH(AJ$1, lmic_raw[#Headers],0))=0, INDEX(regions[], MATCH($D111, regions[[setting]:[setting]],0), MATCH(AJ$1, regions[#Headers],0)),INDEX(lmic_raw[],MATCH($A111,lmic_raw[[setting]:[setting]],0), MATCH(AJ$1, lmic_raw[#Headers],0)))</f>
        <v>1.4435251908193217E-3</v>
      </c>
      <c r="AK111" s="33">
        <f>IF(INDEX(lmic_raw[],MATCH($A111,lmic_raw[[setting]:[setting]],0), MATCH(AK$1, lmic_raw[#Headers],0))=0, INDEX(regions[], MATCH($D111, regions[[setting]:[setting]],0), MATCH(AK$1, regions[#Headers],0)),INDEX(lmic_raw[],MATCH($A111,lmic_raw[[setting]:[setting]],0), MATCH(AK$1, lmic_raw[#Headers],0)))</f>
        <v>1.9439613398437219E-3</v>
      </c>
      <c r="AL111" s="33">
        <f>IF(INDEX(lmic_raw[],MATCH($A111,lmic_raw[[setting]:[setting]],0), MATCH(AL$1, lmic_raw[#Headers],0))=0, INDEX(regions[], MATCH($D111, regions[[setting]:[setting]],0), MATCH(AL$1, regions[#Headers],0)),INDEX(lmic_raw[],MATCH($A111,lmic_raw[[setting]:[setting]],0), MATCH(AL$1, lmic_raw[#Headers],0)))</f>
        <v>2.7999278701697052E-3</v>
      </c>
      <c r="AM111" s="33">
        <f>IF(INDEX(lmic_raw[],MATCH($A111,lmic_raw[[setting]:[setting]],0), MATCH(AM$1, lmic_raw[#Headers],0))=0, INDEX(regions[], MATCH($D111, regions[[setting]:[setting]],0), MATCH(AM$1, regions[#Headers],0)),INDEX(lmic_raw[],MATCH($A111,lmic_raw[[setting]:[setting]],0), MATCH(AM$1, lmic_raw[#Headers],0)))</f>
        <v>4.3143020320886979E-3</v>
      </c>
      <c r="AN111" s="33">
        <f>IF(INDEX(lmic_raw[],MATCH($A111,lmic_raw[[setting]:[setting]],0), MATCH(AN$1, lmic_raw[#Headers],0))=0, INDEX(regions[], MATCH($D111, regions[[setting]:[setting]],0), MATCH(AN$1, regions[#Headers],0)),INDEX(lmic_raw[],MATCH($A111,lmic_raw[[setting]:[setting]],0), MATCH(AN$1, lmic_raw[#Headers],0)))</f>
        <v>6.7067196149096986E-3</v>
      </c>
      <c r="AO111" s="33">
        <f>IF(INDEX(lmic_raw[],MATCH($A111,lmic_raw[[setting]:[setting]],0), MATCH(AO$1, lmic_raw[#Headers],0))=0, INDEX(regions[], MATCH($D111, regions[[setting]:[setting]],0), MATCH(AO$1, regions[#Headers],0)),INDEX(lmic_raw[],MATCH($A111,lmic_raw[[setting]:[setting]],0), MATCH(AO$1, lmic_raw[#Headers],0)))</f>
        <v>1.0468477461403398E-2</v>
      </c>
      <c r="AP111" s="33">
        <f>IF(INDEX(lmic_raw[],MATCH($A111,lmic_raw[[setting]:[setting]],0), MATCH(AP$1, lmic_raw[#Headers],0))=0, INDEX(regions[], MATCH($D111, regions[[setting]:[setting]],0), MATCH(AP$1, regions[#Headers],0)),INDEX(lmic_raw[],MATCH($A111,lmic_raw[[setting]:[setting]],0), MATCH(AP$1, lmic_raw[#Headers],0)))</f>
        <v>1.5597674100623312E-2</v>
      </c>
      <c r="AQ111" s="33">
        <f>IF(INDEX(lmic_raw[],MATCH($A111,lmic_raw[[setting]:[setting]],0), MATCH(AQ$1, lmic_raw[#Headers],0))=0, INDEX(regions[], MATCH($D111, regions[[setting]:[setting]],0), MATCH(AQ$1, regions[#Headers],0)),INDEX(lmic_raw[],MATCH($A111,lmic_raw[[setting]:[setting]],0), MATCH(AQ$1, lmic_raw[#Headers],0)))</f>
        <v>2.2999236052853578E-2</v>
      </c>
      <c r="AR111" s="33">
        <f>IF(INDEX(lmic_raw[],MATCH($A111,lmic_raw[[setting]:[setting]],0), MATCH(AR$1, lmic_raw[#Headers],0))=0, INDEX(regions[], MATCH($D111, regions[[setting]:[setting]],0), MATCH(AR$1, regions[#Headers],0)),INDEX(lmic_raw[],MATCH($A111,lmic_raw[[setting]:[setting]],0), MATCH(AR$1, lmic_raw[#Headers],0)))</f>
        <v>3.5236499263685224E-2</v>
      </c>
      <c r="AS111" s="33">
        <f>IF(INDEX(lmic_raw[],MATCH($A111,lmic_raw[[setting]:[setting]],0), MATCH(AS$1, lmic_raw[#Headers],0))=0, INDEX(regions[], MATCH($D111, regions[[setting]:[setting]],0), MATCH(AS$1, regions[#Headers],0)),INDEX(lmic_raw[],MATCH($A111,lmic_raw[[setting]:[setting]],0), MATCH(AS$1, lmic_raw[#Headers],0)))</f>
        <v>5.5711063082160645E-2</v>
      </c>
      <c r="AT111" s="33">
        <f>IF(INDEX(lmic_raw[],MATCH($A111,lmic_raw[[setting]:[setting]],0), MATCH(AT$1, lmic_raw[#Headers],0))=0, INDEX(regions[], MATCH($D111, regions[[setting]:[setting]],0), MATCH(AT$1, regions[#Headers],0)),INDEX(lmic_raw[],MATCH($A111,lmic_raw[[setting]:[setting]],0), MATCH(AT$1, lmic_raw[#Headers],0)))</f>
        <v>8.329784520348002E-2</v>
      </c>
      <c r="AU111" s="33">
        <f>IF(INDEX(lmic_raw[],MATCH($A111,lmic_raw[[setting]:[setting]],0), MATCH(AU$1, lmic_raw[#Headers],0))=0, INDEX(regions[], MATCH($D111, regions[[setting]:[setting]],0), MATCH(AU$1, regions[#Headers],0)),INDEX(lmic_raw[],MATCH($A111,lmic_raw[[setting]:[setting]],0), MATCH(AU$1, lmic_raw[#Headers],0)))</f>
        <v>0.11646687399081383</v>
      </c>
      <c r="AV111" s="33">
        <f>IF(INDEX(lmic_raw[],MATCH($A111,lmic_raw[[setting]:[setting]],0), MATCH(AV$1, lmic_raw[#Headers],0))=0, INDEX(regions[], MATCH($D111, regions[[setting]:[setting]],0), MATCH(AV$1, regions[#Headers],0)),INDEX(lmic_raw[],MATCH($A111,lmic_raw[[setting]:[setting]],0), MATCH(AV$1, lmic_raw[#Headers],0)))</f>
        <v>0.14696431176372771</v>
      </c>
      <c r="AW111" s="33">
        <f>IF(INDEX(lmic_raw[],MATCH($A111,lmic_raw[[setting]:[setting]],0), MATCH(AW$1, lmic_raw[#Headers],0))=0, INDEX(regions[], MATCH($D111, regions[[setting]:[setting]],0), MATCH(AW$1, regions[#Headers],0)),INDEX(lmic_raw[],MATCH($A111,lmic_raw[[setting]:[setting]],0), MATCH(AW$1, lmic_raw[#Headers],0)))</f>
        <v>0.17021019311485017</v>
      </c>
      <c r="AX111" s="33">
        <f>IF(INDEX(lmic_raw[],MATCH($A111,lmic_raw[[setting]:[setting]],0), MATCH(AX$1, lmic_raw[#Headers],0))=0, INDEX(regions[], MATCH($D111, regions[[setting]:[setting]],0), MATCH(AX$1, regions[#Headers],0)),INDEX(lmic_raw[],MATCH($A111,lmic_raw[[setting]:[setting]],0), MATCH(AX$1, lmic_raw[#Headers],0)))</f>
        <v>72.772999999999996</v>
      </c>
      <c r="AY111" s="33" t="str">
        <f>IF(VLOOKUP($A111,lmic_raw[],11,FALSE)=0, "Yes", "No")</f>
        <v>No</v>
      </c>
    </row>
    <row r="112" spans="1:51" x14ac:dyDescent="0.25">
      <c r="A112" s="109" t="s">
        <v>115</v>
      </c>
      <c r="B112" s="101" t="s">
        <v>513</v>
      </c>
      <c r="C112" s="102">
        <v>706</v>
      </c>
      <c r="D112" s="82" t="s">
        <v>673</v>
      </c>
      <c r="E112" s="82" t="s">
        <v>597</v>
      </c>
      <c r="F112" s="82" t="s">
        <v>667</v>
      </c>
      <c r="G112" s="82" t="s">
        <v>674</v>
      </c>
      <c r="H112" s="33">
        <f>IF(INDEX(lmic_raw[],MATCH($A112,lmic_raw[[setting]:[setting]],0), MATCH(H$1, lmic_raw[#Headers],0))=0, INDEX(regions[], MATCH($D112, regions[[setting]:[setting]],0), MATCH(H$1, regions[#Headers],0)),INDEX(lmic_raw[],MATCH($A112,lmic_raw[[setting]:[setting]],0), MATCH(H$1, lmic_raw[#Headers],0)))</f>
        <v>15442906</v>
      </c>
      <c r="I112" s="33">
        <f>IF(INDEX(lmic_raw[],MATCH($A112,lmic_raw[[setting]:[setting]],0), MATCH(I$1, lmic_raw[#Headers],0))=0, INDEX(regions[], MATCH($D112, regions[[setting]:[setting]],0), MATCH(I$1, regions[#Headers],0)),INDEX(lmic_raw[],MATCH($A112,lmic_raw[[setting]:[setting]],0), MATCH(I$1, lmic_raw[#Headers],0)))</f>
        <v>646563.58840800007</v>
      </c>
      <c r="J112" s="33">
        <f>IF(INDEX(lmic_raw[],MATCH($A112,lmic_raw[[setting]:[setting]],0), MATCH(J$1, lmic_raw[#Headers],0))=0, INDEX(regions[], MATCH($D112, regions[[setting]:[setting]],0), MATCH(J$1, regions[#Headers],0)),INDEX(lmic_raw[],MATCH($A112,lmic_raw[[setting]:[setting]],0), MATCH(J$1, lmic_raw[#Headers],0)))</f>
        <v>0.20699999999999999</v>
      </c>
      <c r="K112" s="33">
        <f>IF(INDEX(lmic_raw[],MATCH($A112,lmic_raw[[setting]:[setting]],0), MATCH(K$1, lmic_raw[#Headers],0))=0, INDEX(regions[], MATCH($D112, regions[[setting]:[setting]],0), MATCH(K$1, regions[#Headers],0)),INDEX(lmic_raw[],MATCH($A112,lmic_raw[[setting]:[setting]],0), MATCH(K$1, lmic_raw[#Headers],0)))</f>
        <v>0.70987607132960939</v>
      </c>
      <c r="L112" s="33">
        <f>IF(INDEX(lmic_raw[],MATCH($A112,lmic_raw[[setting]:[setting]],0), MATCH(L$1, lmic_raw[#Headers],0))=0, INDEX(regions[], MATCH($D112, regions[[setting]:[setting]],0), MATCH(L$1, regions[#Headers],0)),INDEX(lmic_raw[],MATCH($A112,lmic_raw[[setting]:[setting]],0), MATCH(L$1, lmic_raw[#Headers],0)))</f>
        <v>0.42</v>
      </c>
      <c r="M112" s="33">
        <f>IF(INDEX(lmic_raw[],MATCH($A112,lmic_raw[[setting]:[setting]],0), MATCH(M$1, lmic_raw[#Headers],0))=0, INDEX(regions[], MATCH($D112, regions[[setting]:[setting]],0), MATCH(M$1, regions[#Headers],0)),INDEX(lmic_raw[],MATCH($A112,lmic_raw[[setting]:[setting]],0), MATCH(M$1, lmic_raw[#Headers],0)))</f>
        <v>0.13449999999999998</v>
      </c>
      <c r="N112" s="33">
        <f>IF(INDEX(lmic_raw[],MATCH($A112,lmic_raw[[setting]:[setting]],0), MATCH(N$1, lmic_raw[#Headers],0))=0, INDEX(regions[], MATCH($D112, regions[[setting]:[setting]],0), MATCH(N$1, regions[#Headers],0)),INDEX(lmic_raw[],MATCH($A112,lmic_raw[[setting]:[setting]],0), MATCH(N$1, lmic_raw[#Headers],0)))</f>
        <v>0.28962325777757897</v>
      </c>
      <c r="O112" s="33">
        <f>IF(INDEX(lmic_raw[],MATCH($A112,lmic_raw[[setting]:[setting]],0), MATCH(O$1, lmic_raw[#Headers],0))=0, INDEX(regions[], MATCH($D112, regions[[setting]:[setting]],0), MATCH(O$1, regions[#Headers],0)),INDEX(lmic_raw[],MATCH($A112,lmic_raw[[setting]:[setting]],0), MATCH(O$1, lmic_raw[#Headers],0)))</f>
        <v>0.38300000000000001</v>
      </c>
      <c r="P112" s="33">
        <f>IF(INDEX(lmic_raw[],MATCH($A112,lmic_raw[[setting]:[setting]],0), MATCH(P$1, lmic_raw[#Headers],0))=0, INDEX(regions[], MATCH($D112, regions[[setting]:[setting]],0), MATCH(P$1, regions[#Headers],0)),INDEX(lmic_raw[],MATCH($A112,lmic_raw[[setting]:[setting]],0), MATCH(P$1, lmic_raw[#Headers],0)))</f>
        <v>4.8000000000000001E-2</v>
      </c>
      <c r="Q112" s="33">
        <f>IF(INDEX(lmic_raw[],MATCH($A112,lmic_raw[[setting]:[setting]],0), MATCH(Q$1, lmic_raw[#Headers],0))=0, INDEX(regions[], MATCH($D112, regions[[setting]:[setting]],0), MATCH(Q$1, regions[#Headers],0)),INDEX(lmic_raw[],MATCH($A112,lmic_raw[[setting]:[setting]],0), MATCH(Q$1, lmic_raw[#Headers],0)))</f>
        <v>6.5594837976176033</v>
      </c>
      <c r="R112" s="33">
        <f>IF(INDEX(lmic_raw[],MATCH($A112,lmic_raw[[setting]:[setting]],0), MATCH(R$1, lmic_raw[#Headers],0))=0, INDEX(regions[], MATCH($D112, regions[[setting]:[setting]],0), MATCH(R$1, regions[#Headers],0)),INDEX(lmic_raw[],MATCH($A112,lmic_raw[[setting]:[setting]],0), MATCH(R$1, lmic_raw[#Headers],0)))</f>
        <v>29.920500000000001</v>
      </c>
      <c r="S112" s="33">
        <f>IF(INDEX(lmic_raw[],MATCH($A112,lmic_raw[[setting]:[setting]],0), MATCH(S$1, lmic_raw[#Headers],0))=0, INDEX(regions[], MATCH($D112, regions[[setting]:[setting]],0), MATCH(S$1, regions[#Headers],0)),INDEX(lmic_raw[],MATCH($A112,lmic_raw[[setting]:[setting]],0), MATCH(S$1, lmic_raw[#Headers],0)))</f>
        <v>77.662500000000009</v>
      </c>
      <c r="T112" s="33">
        <f>IF(INDEX(lmic_raw[],MATCH($A112,lmic_raw[[setting]:[setting]],0), MATCH(T$1, lmic_raw[#Headers],0))=0, INDEX(regions[], MATCH($D112, regions[[setting]:[setting]],0), MATCH(T$1, regions[#Headers],0)),INDEX(lmic_raw[],MATCH($A112,lmic_raw[[setting]:[setting]],0), MATCH(T$1, lmic_raw[#Headers],0)))</f>
        <v>77.662500000000009</v>
      </c>
      <c r="U112" s="33">
        <f>IF(INDEX(lmic_raw[],MATCH($A112,lmic_raw[[setting]:[setting]],0), MATCH(U$1, lmic_raw[#Headers],0))=0, INDEX(regions[], MATCH($D112, regions[[setting]:[setting]],0), MATCH(U$1, regions[#Headers],0)),INDEX(lmic_raw[],MATCH($A112,lmic_raw[[setting]:[setting]],0), MATCH(U$1, lmic_raw[#Headers],0)))</f>
        <v>77.662500000000009</v>
      </c>
      <c r="V112" s="33">
        <f>IF(INDEX(lmic_raw[],MATCH($A112,lmic_raw[[setting]:[setting]],0), MATCH(V$1, lmic_raw[#Headers],0))=0, INDEX(regions[], MATCH($D112, regions[[setting]:[setting]],0), MATCH(V$1, regions[#Headers],0)),INDEX(lmic_raw[],MATCH($A112,lmic_raw[[setting]:[setting]],0), MATCH(V$1, lmic_raw[#Headers],0)))</f>
        <v>0.91443059975032437</v>
      </c>
      <c r="W112" s="33">
        <f>IF(INDEX(lmic_raw[],MATCH($A112,lmic_raw[[setting]:[setting]],0), MATCH(W$1, lmic_raw[#Headers],0))=0, INDEX(regions[], MATCH($D112, regions[[setting]:[setting]],0), MATCH(W$1, regions[#Headers],0)),INDEX(lmic_raw[],MATCH($A112,lmic_raw[[setting]:[setting]],0), MATCH(W$1, lmic_raw[#Headers],0)))</f>
        <v>5.7444305997503244</v>
      </c>
      <c r="X112" s="33">
        <f>IF(INDEX(lmic_raw[],MATCH($A112,lmic_raw[[setting]:[setting]],0), MATCH(X$1, lmic_raw[#Headers],0))=0, INDEX(regions[], MATCH($D112, regions[[setting]:[setting]],0), MATCH(X$1, regions[#Headers],0)),INDEX(lmic_raw[],MATCH($A112,lmic_raw[[setting]:[setting]],0), MATCH(X$1, lmic_raw[#Headers],0)))</f>
        <v>0.4953882268687767</v>
      </c>
      <c r="Y112" s="33">
        <f>IF(INDEX(lmic_raw[],MATCH($A112,lmic_raw[[setting]:[setting]],0), MATCH(Y$1, lmic_raw[#Headers],0))=0, INDEX(regions[], MATCH($D112, regions[[setting]:[setting]],0), MATCH(Y$1, regions[#Headers],0)),INDEX(lmic_raw[],MATCH($A112,lmic_raw[[setting]:[setting]],0), MATCH(Y$1, lmic_raw[#Headers],0)))</f>
        <v>5.3253882268687764</v>
      </c>
      <c r="Z112" s="33">
        <f>IF(INDEX(lmic_raw[],MATCH($A112,lmic_raw[[setting]:[setting]],0), MATCH(Z$1, lmic_raw[#Headers],0))=0, INDEX(regions[], MATCH($D112, regions[[setting]:[setting]],0), MATCH(Z$1, regions[#Headers],0)),INDEX(lmic_raw[],MATCH($A112,lmic_raw[[setting]:[setting]],0), MATCH(Z$1, lmic_raw[#Headers],0)))</f>
        <v>5.3249507914761818</v>
      </c>
      <c r="AA112" s="33">
        <f>IF(INDEX(lmic_raw[],MATCH($A112,lmic_raw[[setting]:[setting]],0), MATCH(AA$1, lmic_raw[#Headers],0))=0, INDEX(regions[], MATCH($D112, regions[[setting]:[setting]],0), MATCH(AA$1, regions[#Headers],0)),INDEX(lmic_raw[],MATCH($A112,lmic_raw[[setting]:[setting]],0), MATCH(AA$1, lmic_raw[#Headers],0)))</f>
        <v>1.1537067983495106</v>
      </c>
      <c r="AB112" s="33">
        <f>IF(INDEX(lmic_raw[],MATCH($A112,lmic_raw[[setting]:[setting]],0), MATCH(AB$1, lmic_raw[#Headers],0))=0, INDEX(regions[], MATCH($D112, regions[[setting]:[setting]],0), MATCH(AB$1, regions[#Headers],0)),INDEX(lmic_raw[],MATCH($A112,lmic_raw[[setting]:[setting]],0), MATCH(AB$1, lmic_raw[#Headers],0)))</f>
        <v>5.9837067983495107</v>
      </c>
      <c r="AC112" s="33">
        <f>IF(INDEX(lmic_raw[],MATCH($A112,lmic_raw[[setting]:[setting]],0), MATCH(AC$1, lmic_raw[#Headers],0))=0, INDEX(regions[], MATCH($D112, regions[[setting]:[setting]],0), MATCH(AC$1, regions[#Headers],0)),INDEX(lmic_raw[],MATCH($A112,lmic_raw[[setting]:[setting]],0), MATCH(AC$1, lmic_raw[#Headers],0)))</f>
        <v>6.932369999999996E-2</v>
      </c>
      <c r="AD112" s="33">
        <f>IF(INDEX(lmic_raw[],MATCH($A112,lmic_raw[[setting]:[setting]],0), MATCH(AD$1, lmic_raw[#Headers],0))=0, INDEX(regions[], MATCH($D112, regions[[setting]:[setting]],0), MATCH(AD$1, regions[#Headers],0)),INDEX(lmic_raw[],MATCH($A112,lmic_raw[[setting]:[setting]],0), MATCH(AD$1, lmic_raw[#Headers],0)))</f>
        <v>1.2292378134051579E-2</v>
      </c>
      <c r="AE112" s="33">
        <f>IF(INDEX(lmic_raw[],MATCH($A112,lmic_raw[[setting]:[setting]],0), MATCH(AE$1, lmic_raw[#Headers],0))=0, INDEX(regions[], MATCH($D112, regions[[setting]:[setting]],0), MATCH(AE$1, regions[#Headers],0)),INDEX(lmic_raw[],MATCH($A112,lmic_raw[[setting]:[setting]],0), MATCH(AE$1, lmic_raw[#Headers],0)))</f>
        <v>4.0540824580519112E-3</v>
      </c>
      <c r="AF112" s="33">
        <f>IF(INDEX(lmic_raw[],MATCH($A112,lmic_raw[[setting]:[setting]],0), MATCH(AF$1, lmic_raw[#Headers],0))=0, INDEX(regions[], MATCH($D112, regions[[setting]:[setting]],0), MATCH(AF$1, regions[#Headers],0)),INDEX(lmic_raw[],MATCH($A112,lmic_raw[[setting]:[setting]],0), MATCH(AF$1, lmic_raw[#Headers],0)))</f>
        <v>2.9133664091514143E-3</v>
      </c>
      <c r="AG112" s="33">
        <f>IF(INDEX(lmic_raw[],MATCH($A112,lmic_raw[[setting]:[setting]],0), MATCH(AG$1, lmic_raw[#Headers],0))=0, INDEX(regions[], MATCH($D112, regions[[setting]:[setting]],0), MATCH(AG$1, regions[#Headers],0)),INDEX(lmic_raw[],MATCH($A112,lmic_raw[[setting]:[setting]],0), MATCH(AG$1, lmic_raw[#Headers],0)))</f>
        <v>3.0976930870894644E-3</v>
      </c>
      <c r="AH112" s="33">
        <f>IF(INDEX(lmic_raw[],MATCH($A112,lmic_raw[[setting]:[setting]],0), MATCH(AH$1, lmic_raw[#Headers],0))=0, INDEX(regions[], MATCH($D112, regions[[setting]:[setting]],0), MATCH(AH$1, regions[#Headers],0)),INDEX(lmic_raw[],MATCH($A112,lmic_raw[[setting]:[setting]],0), MATCH(AH$1, lmic_raw[#Headers],0)))</f>
        <v>4.0747286584552917E-3</v>
      </c>
      <c r="AI112" s="33">
        <f>IF(INDEX(lmic_raw[],MATCH($A112,lmic_raw[[setting]:[setting]],0), MATCH(AI$1, lmic_raw[#Headers],0))=0, INDEX(regions[], MATCH($D112, regions[[setting]:[setting]],0), MATCH(AI$1, regions[#Headers],0)),INDEX(lmic_raw[],MATCH($A112,lmic_raw[[setting]:[setting]],0), MATCH(AI$1, lmic_raw[#Headers],0)))</f>
        <v>4.9273942521363195E-3</v>
      </c>
      <c r="AJ112" s="33">
        <f>IF(INDEX(lmic_raw[],MATCH($A112,lmic_raw[[setting]:[setting]],0), MATCH(AJ$1, lmic_raw[#Headers],0))=0, INDEX(regions[], MATCH($D112, regions[[setting]:[setting]],0), MATCH(AJ$1, regions[#Headers],0)),INDEX(lmic_raw[],MATCH($A112,lmic_raw[[setting]:[setting]],0), MATCH(AJ$1, lmic_raw[#Headers],0)))</f>
        <v>5.8026712326014421E-3</v>
      </c>
      <c r="AK112" s="33">
        <f>IF(INDEX(lmic_raw[],MATCH($A112,lmic_raw[[setting]:[setting]],0), MATCH(AK$1, lmic_raw[#Headers],0))=0, INDEX(regions[], MATCH($D112, regions[[setting]:[setting]],0), MATCH(AK$1, regions[#Headers],0)),INDEX(lmic_raw[],MATCH($A112,lmic_raw[[setting]:[setting]],0), MATCH(AK$1, lmic_raw[#Headers],0)))</f>
        <v>7.1388328187386571E-3</v>
      </c>
      <c r="AL112" s="33">
        <f>IF(INDEX(lmic_raw[],MATCH($A112,lmic_raw[[setting]:[setting]],0), MATCH(AL$1, lmic_raw[#Headers],0))=0, INDEX(regions[], MATCH($D112, regions[[setting]:[setting]],0), MATCH(AL$1, regions[#Headers],0)),INDEX(lmic_raw[],MATCH($A112,lmic_raw[[setting]:[setting]],0), MATCH(AL$1, lmic_raw[#Headers],0)))</f>
        <v>8.1011139053546385E-3</v>
      </c>
      <c r="AM112" s="33">
        <f>IF(INDEX(lmic_raw[],MATCH($A112,lmic_raw[[setting]:[setting]],0), MATCH(AM$1, lmic_raw[#Headers],0))=0, INDEX(regions[], MATCH($D112, regions[[setting]:[setting]],0), MATCH(AM$1, regions[#Headers],0)),INDEX(lmic_raw[],MATCH($A112,lmic_raw[[setting]:[setting]],0), MATCH(AM$1, lmic_raw[#Headers],0)))</f>
        <v>9.3317415545775481E-3</v>
      </c>
      <c r="AN112" s="33">
        <f>IF(INDEX(lmic_raw[],MATCH($A112,lmic_raw[[setting]:[setting]],0), MATCH(AN$1, lmic_raw[#Headers],0))=0, INDEX(regions[], MATCH($D112, regions[[setting]:[setting]],0), MATCH(AN$1, regions[#Headers],0)),INDEX(lmic_raw[],MATCH($A112,lmic_raw[[setting]:[setting]],0), MATCH(AN$1, lmic_raw[#Headers],0)))</f>
        <v>1.159173865518154E-2</v>
      </c>
      <c r="AO112" s="33">
        <f>IF(INDEX(lmic_raw[],MATCH($A112,lmic_raw[[setting]:[setting]],0), MATCH(AO$1, lmic_raw[#Headers],0))=0, INDEX(regions[], MATCH($D112, regions[[setting]:[setting]],0), MATCH(AO$1, regions[#Headers],0)),INDEX(lmic_raw[],MATCH($A112,lmic_raw[[setting]:[setting]],0), MATCH(AO$1, lmic_raw[#Headers],0)))</f>
        <v>1.5529339410354946E-2</v>
      </c>
      <c r="AP112" s="33">
        <f>IF(INDEX(lmic_raw[],MATCH($A112,lmic_raw[[setting]:[setting]],0), MATCH(AP$1, lmic_raw[#Headers],0))=0, INDEX(regions[], MATCH($D112, regions[[setting]:[setting]],0), MATCH(AP$1, regions[#Headers],0)),INDEX(lmic_raw[],MATCH($A112,lmic_raw[[setting]:[setting]],0), MATCH(AP$1, lmic_raw[#Headers],0)))</f>
        <v>2.2414689803706509E-2</v>
      </c>
      <c r="AQ112" s="33">
        <f>IF(INDEX(lmic_raw[],MATCH($A112,lmic_raw[[setting]:[setting]],0), MATCH(AQ$1, lmic_raw[#Headers],0))=0, INDEX(regions[], MATCH($D112, regions[[setting]:[setting]],0), MATCH(AQ$1, regions[#Headers],0)),INDEX(lmic_raw[],MATCH($A112,lmic_raw[[setting]:[setting]],0), MATCH(AQ$1, lmic_raw[#Headers],0)))</f>
        <v>3.3555760867098883E-2</v>
      </c>
      <c r="AR112" s="33">
        <f>IF(INDEX(lmic_raw[],MATCH($A112,lmic_raw[[setting]:[setting]],0), MATCH(AR$1, lmic_raw[#Headers],0))=0, INDEX(regions[], MATCH($D112, regions[[setting]:[setting]],0), MATCH(AR$1, regions[#Headers],0)),INDEX(lmic_raw[],MATCH($A112,lmic_raw[[setting]:[setting]],0), MATCH(AR$1, lmic_raw[#Headers],0)))</f>
        <v>5.0425932777532614E-2</v>
      </c>
      <c r="AS112" s="33">
        <f>IF(INDEX(lmic_raw[],MATCH($A112,lmic_raw[[setting]:[setting]],0), MATCH(AS$1, lmic_raw[#Headers],0))=0, INDEX(regions[], MATCH($D112, regions[[setting]:[setting]],0), MATCH(AS$1, regions[#Headers],0)),INDEX(lmic_raw[],MATCH($A112,lmic_raw[[setting]:[setting]],0), MATCH(AS$1, lmic_raw[#Headers],0)))</f>
        <v>7.3715370361590968E-2</v>
      </c>
      <c r="AT112" s="33">
        <f>IF(INDEX(lmic_raw[],MATCH($A112,lmic_raw[[setting]:[setting]],0), MATCH(AT$1, lmic_raw[#Headers],0))=0, INDEX(regions[], MATCH($D112, regions[[setting]:[setting]],0), MATCH(AT$1, regions[#Headers],0)),INDEX(lmic_raw[],MATCH($A112,lmic_raw[[setting]:[setting]],0), MATCH(AT$1, lmic_raw[#Headers],0)))</f>
        <v>0.1023196114503603</v>
      </c>
      <c r="AU112" s="33">
        <f>IF(INDEX(lmic_raw[],MATCH($A112,lmic_raw[[setting]:[setting]],0), MATCH(AU$1, lmic_raw[#Headers],0))=0, INDEX(regions[], MATCH($D112, regions[[setting]:[setting]],0), MATCH(AU$1, regions[#Headers],0)),INDEX(lmic_raw[],MATCH($A112,lmic_raw[[setting]:[setting]],0), MATCH(AU$1, lmic_raw[#Headers],0)))</f>
        <v>0.13209411290570217</v>
      </c>
      <c r="AV112" s="33">
        <f>IF(INDEX(lmic_raw[],MATCH($A112,lmic_raw[[setting]:[setting]],0), MATCH(AV$1, lmic_raw[#Headers],0))=0, INDEX(regions[], MATCH($D112, regions[[setting]:[setting]],0), MATCH(AV$1, regions[#Headers],0)),INDEX(lmic_raw[],MATCH($A112,lmic_raw[[setting]:[setting]],0), MATCH(AV$1, lmic_raw[#Headers],0)))</f>
        <v>0.15802590741274858</v>
      </c>
      <c r="AW112" s="33">
        <f>IF(INDEX(lmic_raw[],MATCH($A112,lmic_raw[[setting]:[setting]],0), MATCH(AW$1, lmic_raw[#Headers],0))=0, INDEX(regions[], MATCH($D112, regions[[setting]:[setting]],0), MATCH(AW$1, regions[#Headers],0)),INDEX(lmic_raw[],MATCH($A112,lmic_raw[[setting]:[setting]],0), MATCH(AW$1, lmic_raw[#Headers],0)))</f>
        <v>0.1755877121405956</v>
      </c>
      <c r="AX112" s="33">
        <f>IF(INDEX(lmic_raw[],MATCH($A112,lmic_raw[[setting]:[setting]],0), MATCH(AX$1, lmic_raw[#Headers],0))=0, INDEX(regions[], MATCH($D112, regions[[setting]:[setting]],0), MATCH(AX$1, regions[#Headers],0)),INDEX(lmic_raw[],MATCH($A112,lmic_raw[[setting]:[setting]],0), MATCH(AX$1, lmic_raw[#Headers],0)))</f>
        <v>56.941000000000003</v>
      </c>
      <c r="AY112" s="33" t="str">
        <f>IF(VLOOKUP($A112,lmic_raw[],11,FALSE)=0, "Yes", "No")</f>
        <v>Yes</v>
      </c>
    </row>
    <row r="113" spans="1:51" x14ac:dyDescent="0.25">
      <c r="A113" s="110" t="s">
        <v>136</v>
      </c>
      <c r="B113" s="104" t="s">
        <v>514</v>
      </c>
      <c r="C113" s="105">
        <v>710</v>
      </c>
      <c r="D113" s="84" t="s">
        <v>677</v>
      </c>
      <c r="E113" s="84" t="s">
        <v>594</v>
      </c>
      <c r="F113" s="84" t="s">
        <v>667</v>
      </c>
      <c r="G113" s="84" t="s">
        <v>676</v>
      </c>
      <c r="H113" s="33">
        <f>IF(INDEX(lmic_raw[],MATCH($A113,lmic_raw[[setting]:[setting]],0), MATCH(H$1, lmic_raw[#Headers],0))=0, INDEX(regions[], MATCH($D113, regions[[setting]:[setting]],0), MATCH(H$1, regions[#Headers],0)),INDEX(lmic_raw[],MATCH($A113,lmic_raw[[setting]:[setting]],0), MATCH(H$1, lmic_raw[#Headers],0)))</f>
        <v>58558267</v>
      </c>
      <c r="I113" s="33">
        <f>IF(INDEX(lmic_raw[],MATCH($A113,lmic_raw[[setting]:[setting]],0), MATCH(I$1, lmic_raw[#Headers],0))=0, INDEX(regions[], MATCH($D113, regions[[setting]:[setting]],0), MATCH(I$1, regions[#Headers],0)),INDEX(lmic_raw[],MATCH($A113,lmic_raw[[setting]:[setting]],0), MATCH(I$1, lmic_raw[#Headers],0)))</f>
        <v>1209989.4710210001</v>
      </c>
      <c r="J113" s="33">
        <f>IF(INDEX(lmic_raw[],MATCH($A113,lmic_raw[[setting]:[setting]],0), MATCH(J$1, lmic_raw[#Headers],0))=0, INDEX(regions[], MATCH($D113, regions[[setting]:[setting]],0), MATCH(J$1, regions[#Headers],0)),INDEX(lmic_raw[],MATCH($A113,lmic_raw[[setting]:[setting]],0), MATCH(J$1, lmic_raw[#Headers],0)))</f>
        <v>0.95900000000000007</v>
      </c>
      <c r="K113" s="33">
        <f>IF(INDEX(lmic_raw[],MATCH($A113,lmic_raw[[setting]:[setting]],0), MATCH(K$1, lmic_raw[#Headers],0))=0, INDEX(regions[], MATCH($D113, regions[[setting]:[setting]],0), MATCH(K$1, regions[#Headers],0)),INDEX(lmic_raw[],MATCH($A113,lmic_raw[[setting]:[setting]],0), MATCH(K$1, lmic_raw[#Headers],0)))</f>
        <v>0.69252604416320784</v>
      </c>
      <c r="L113" s="33">
        <f>IF(INDEX(lmic_raw[],MATCH($A113,lmic_raw[[setting]:[setting]],0), MATCH(L$1, lmic_raw[#Headers],0))=0, INDEX(regions[], MATCH($D113, regions[[setting]:[setting]],0), MATCH(L$1, regions[#Headers],0)),INDEX(lmic_raw[],MATCH($A113,lmic_raw[[setting]:[setting]],0), MATCH(L$1, lmic_raw[#Headers],0)))</f>
        <v>0.77</v>
      </c>
      <c r="M113" s="33">
        <f>IF(INDEX(lmic_raw[],MATCH($A113,lmic_raw[[setting]:[setting]],0), MATCH(M$1, lmic_raw[#Headers],0))=0, INDEX(regions[], MATCH($D113, regions[[setting]:[setting]],0), MATCH(M$1, regions[#Headers],0)),INDEX(lmic_raw[],MATCH($A113,lmic_raw[[setting]:[setting]],0), MATCH(M$1, lmic_raw[#Headers],0)))</f>
        <v>3.5299999999999998E-2</v>
      </c>
      <c r="N113" s="33">
        <f>IF(INDEX(lmic_raw[],MATCH($A113,lmic_raw[[setting]:[setting]],0), MATCH(N$1, lmic_raw[#Headers],0))=0, INDEX(regions[], MATCH($D113, regions[[setting]:[setting]],0), MATCH(N$1, regions[#Headers],0)),INDEX(lmic_raw[],MATCH($A113,lmic_raw[[setting]:[setting]],0), MATCH(N$1, lmic_raw[#Headers],0)))</f>
        <v>0.26188409431340487</v>
      </c>
      <c r="O113" s="33">
        <f>IF(INDEX(lmic_raw[],MATCH($A113,lmic_raw[[setting]:[setting]],0), MATCH(O$1, lmic_raw[#Headers],0))=0, INDEX(regions[], MATCH($D113, regions[[setting]:[setting]],0), MATCH(O$1, regions[#Headers],0)),INDEX(lmic_raw[],MATCH($A113,lmic_raw[[setting]:[setting]],0), MATCH(O$1, lmic_raw[#Headers],0)))</f>
        <v>0.38300000000000001</v>
      </c>
      <c r="P113" s="33">
        <f>IF(INDEX(lmic_raw[],MATCH($A113,lmic_raw[[setting]:[setting]],0), MATCH(P$1, lmic_raw[#Headers],0))=0, INDEX(regions[], MATCH($D113, regions[[setting]:[setting]],0), MATCH(P$1, regions[#Headers],0)),INDEX(lmic_raw[],MATCH($A113,lmic_raw[[setting]:[setting]],0), MATCH(P$1, lmic_raw[#Headers],0)))</f>
        <v>4.8000000000000001E-2</v>
      </c>
      <c r="Q113" s="33">
        <f>IF(INDEX(lmic_raw[],MATCH($A113,lmic_raw[[setting]:[setting]],0), MATCH(Q$1, lmic_raw[#Headers],0))=0, INDEX(regions[], MATCH($D113, regions[[setting]:[setting]],0), MATCH(Q$1, regions[#Headers],0)),INDEX(lmic_raw[],MATCH($A113,lmic_raw[[setting]:[setting]],0), MATCH(Q$1, lmic_raw[#Headers],0)))</f>
        <v>12.450230609689605</v>
      </c>
      <c r="R113" s="33">
        <f>IF(INDEX(lmic_raw[],MATCH($A113,lmic_raw[[setting]:[setting]],0), MATCH(R$1, lmic_raw[#Headers],0))=0, INDEX(regions[], MATCH($D113, regions[[setting]:[setting]],0), MATCH(R$1, regions[#Headers],0)),INDEX(lmic_raw[],MATCH($A113,lmic_raw[[setting]:[setting]],0), MATCH(R$1, lmic_raw[#Headers],0)))</f>
        <v>29.920500000000001</v>
      </c>
      <c r="S113" s="33">
        <f>IF(INDEX(lmic_raw[],MATCH($A113,lmic_raw[[setting]:[setting]],0), MATCH(S$1, lmic_raw[#Headers],0))=0, INDEX(regions[], MATCH($D113, regions[[setting]:[setting]],0), MATCH(S$1, regions[#Headers],0)),INDEX(lmic_raw[],MATCH($A113,lmic_raw[[setting]:[setting]],0), MATCH(S$1, lmic_raw[#Headers],0)))</f>
        <v>77.662500000000009</v>
      </c>
      <c r="T113" s="33">
        <f>IF(INDEX(lmic_raw[],MATCH($A113,lmic_raw[[setting]:[setting]],0), MATCH(T$1, lmic_raw[#Headers],0))=0, INDEX(regions[], MATCH($D113, regions[[setting]:[setting]],0), MATCH(T$1, regions[#Headers],0)),INDEX(lmic_raw[],MATCH($A113,lmic_raw[[setting]:[setting]],0), MATCH(T$1, lmic_raw[#Headers],0)))</f>
        <v>77.662500000000009</v>
      </c>
      <c r="U113" s="33">
        <f>IF(INDEX(lmic_raw[],MATCH($A113,lmic_raw[[setting]:[setting]],0), MATCH(U$1, lmic_raw[#Headers],0))=0, INDEX(regions[], MATCH($D113, regions[[setting]:[setting]],0), MATCH(U$1, regions[#Headers],0)),INDEX(lmic_raw[],MATCH($A113,lmic_raw[[setting]:[setting]],0), MATCH(U$1, lmic_raw[#Headers],0)))</f>
        <v>77.662500000000009</v>
      </c>
      <c r="V113" s="33">
        <f>IF(INDEX(lmic_raw[],MATCH($A113,lmic_raw[[setting]:[setting]],0), MATCH(V$1, lmic_raw[#Headers],0))=0, INDEX(regions[], MATCH($D113, regions[[setting]:[setting]],0), MATCH(V$1, regions[#Headers],0)),INDEX(lmic_raw[],MATCH($A113,lmic_raw[[setting]:[setting]],0), MATCH(V$1, lmic_raw[#Headers],0)))</f>
        <v>2.2564996401913309</v>
      </c>
      <c r="W113" s="33">
        <f>IF(INDEX(lmic_raw[],MATCH($A113,lmic_raw[[setting]:[setting]],0), MATCH(W$1, lmic_raw[#Headers],0))=0, INDEX(regions[], MATCH($D113, regions[[setting]:[setting]],0), MATCH(W$1, regions[#Headers],0)),INDEX(lmic_raw[],MATCH($A113,lmic_raw[[setting]:[setting]],0), MATCH(W$1, lmic_raw[#Headers],0)))</f>
        <v>7.0864996401913309</v>
      </c>
      <c r="X113" s="33">
        <f>IF(INDEX(lmic_raw[],MATCH($A113,lmic_raw[[setting]:[setting]],0), MATCH(X$1, lmic_raw[#Headers],0))=0, INDEX(regions[], MATCH($D113, regions[[setting]:[setting]],0), MATCH(X$1, regions[#Headers],0)),INDEX(lmic_raw[],MATCH($A113,lmic_raw[[setting]:[setting]],0), MATCH(X$1, lmic_raw[#Headers],0)))</f>
        <v>1.8194243199151747</v>
      </c>
      <c r="Y113" s="33">
        <f>IF(INDEX(lmic_raw[],MATCH($A113,lmic_raw[[setting]:[setting]],0), MATCH(Y$1, lmic_raw[#Headers],0))=0, INDEX(regions[], MATCH($D113, regions[[setting]:[setting]],0), MATCH(Y$1, regions[#Headers],0)),INDEX(lmic_raw[],MATCH($A113,lmic_raw[[setting]:[setting]],0), MATCH(Y$1, lmic_raw[#Headers],0)))</f>
        <v>6.649424319915175</v>
      </c>
      <c r="Z113" s="33">
        <f>IF(INDEX(lmic_raw[],MATCH($A113,lmic_raw[[setting]:[setting]],0), MATCH(Z$1, lmic_raw[#Headers],0))=0, INDEX(regions[], MATCH($D113, regions[[setting]:[setting]],0), MATCH(Z$1, regions[#Headers],0)),INDEX(lmic_raw[],MATCH($A113,lmic_raw[[setting]:[setting]],0), MATCH(Z$1, lmic_raw[#Headers],0)))</f>
        <v>6.6416502839570706</v>
      </c>
      <c r="AA113" s="33">
        <f>IF(INDEX(lmic_raw[],MATCH($A113,lmic_raw[[setting]:[setting]],0), MATCH(AA$1, lmic_raw[#Headers],0))=0, INDEX(regions[], MATCH($D113, regions[[setting]:[setting]],0), MATCH(AA$1, regions[#Headers],0)),INDEX(lmic_raw[],MATCH($A113,lmic_raw[[setting]:[setting]],0), MATCH(AA$1, lmic_raw[#Headers],0)))</f>
        <v>2.5022760872699688</v>
      </c>
      <c r="AB113" s="33">
        <f>IF(INDEX(lmic_raw[],MATCH($A113,lmic_raw[[setting]:[setting]],0), MATCH(AB$1, lmic_raw[#Headers],0))=0, INDEX(regions[], MATCH($D113, regions[[setting]:[setting]],0), MATCH(AB$1, regions[#Headers],0)),INDEX(lmic_raw[],MATCH($A113,lmic_raw[[setting]:[setting]],0), MATCH(AB$1, lmic_raw[#Headers],0)))</f>
        <v>7.3322760872699693</v>
      </c>
      <c r="AC113" s="33">
        <f>IF(INDEX(lmic_raw[],MATCH($A113,lmic_raw[[setting]:[setting]],0), MATCH(AC$1, lmic_raw[#Headers],0))=0, INDEX(regions[], MATCH($D113, regions[[setting]:[setting]],0), MATCH(AC$1, regions[#Headers],0)),INDEX(lmic_raw[],MATCH($A113,lmic_raw[[setting]:[setting]],0), MATCH(AC$1, lmic_raw[#Headers],0)))</f>
        <v>2.7243999999999942E-2</v>
      </c>
      <c r="AD113" s="33">
        <f>IF(INDEX(lmic_raw[],MATCH($A113,lmic_raw[[setting]:[setting]],0), MATCH(AD$1, lmic_raw[#Headers],0))=0, INDEX(regions[], MATCH($D113, regions[[setting]:[setting]],0), MATCH(AD$1, regions[#Headers],0)),INDEX(lmic_raw[],MATCH($A113,lmic_raw[[setting]:[setting]],0), MATCH(AD$1, lmic_raw[#Headers],0)))</f>
        <v>2.1107605607161781E-3</v>
      </c>
      <c r="AE113" s="33">
        <f>IF(INDEX(lmic_raw[],MATCH($A113,lmic_raw[[setting]:[setting]],0), MATCH(AE$1, lmic_raw[#Headers],0))=0, INDEX(regions[], MATCH($D113, regions[[setting]:[setting]],0), MATCH(AE$1, regions[#Headers],0)),INDEX(lmic_raw[],MATCH($A113,lmic_raw[[setting]:[setting]],0), MATCH(AE$1, lmic_raw[#Headers],0)))</f>
        <v>9.0179496200364019E-4</v>
      </c>
      <c r="AF113" s="33">
        <f>IF(INDEX(lmic_raw[],MATCH($A113,lmic_raw[[setting]:[setting]],0), MATCH(AF$1, lmic_raw[#Headers],0))=0, INDEX(regions[], MATCH($D113, regions[[setting]:[setting]],0), MATCH(AF$1, regions[#Headers],0)),INDEX(lmic_raw[],MATCH($A113,lmic_raw[[setting]:[setting]],0), MATCH(AF$1, lmic_raw[#Headers],0)))</f>
        <v>7.5358739008003837E-4</v>
      </c>
      <c r="AG113" s="33">
        <f>IF(INDEX(lmic_raw[],MATCH($A113,lmic_raw[[setting]:[setting]],0), MATCH(AG$1, lmic_raw[#Headers],0))=0, INDEX(regions[], MATCH($D113, regions[[setting]:[setting]],0), MATCH(AG$1, regions[#Headers],0)),INDEX(lmic_raw[],MATCH($A113,lmic_raw[[setting]:[setting]],0), MATCH(AG$1, lmic_raw[#Headers],0)))</f>
        <v>1.2818679223927346E-3</v>
      </c>
      <c r="AH113" s="33">
        <f>IF(INDEX(lmic_raw[],MATCH($A113,lmic_raw[[setting]:[setting]],0), MATCH(AH$1, lmic_raw[#Headers],0))=0, INDEX(regions[], MATCH($D113, regions[[setting]:[setting]],0), MATCH(AH$1, regions[#Headers],0)),INDEX(lmic_raw[],MATCH($A113,lmic_raw[[setting]:[setting]],0), MATCH(AH$1, lmic_raw[#Headers],0)))</f>
        <v>2.2862997919574093E-3</v>
      </c>
      <c r="AI113" s="33">
        <f>IF(INDEX(lmic_raw[],MATCH($A113,lmic_raw[[setting]:[setting]],0), MATCH(AI$1, lmic_raw[#Headers],0))=0, INDEX(regions[], MATCH($D113, regions[[setting]:[setting]],0), MATCH(AI$1, regions[#Headers],0)),INDEX(lmic_raw[],MATCH($A113,lmic_raw[[setting]:[setting]],0), MATCH(AI$1, lmic_raw[#Headers],0)))</f>
        <v>3.826952875428692E-3</v>
      </c>
      <c r="AJ113" s="33">
        <f>IF(INDEX(lmic_raw[],MATCH($A113,lmic_raw[[setting]:[setting]],0), MATCH(AJ$1, lmic_raw[#Headers],0))=0, INDEX(regions[], MATCH($D113, regions[[setting]:[setting]],0), MATCH(AJ$1, regions[#Headers],0)),INDEX(lmic_raw[],MATCH($A113,lmic_raw[[setting]:[setting]],0), MATCH(AJ$1, lmic_raw[#Headers],0)))</f>
        <v>5.5851312529672488E-3</v>
      </c>
      <c r="AK113" s="33">
        <f>IF(INDEX(lmic_raw[],MATCH($A113,lmic_raw[[setting]:[setting]],0), MATCH(AK$1, lmic_raw[#Headers],0))=0, INDEX(regions[], MATCH($D113, regions[[setting]:[setting]],0), MATCH(AK$1, regions[#Headers],0)),INDEX(lmic_raw[],MATCH($A113,lmic_raw[[setting]:[setting]],0), MATCH(AK$1, lmic_raw[#Headers],0)))</f>
        <v>8.1210388699886182E-3</v>
      </c>
      <c r="AL113" s="33">
        <f>IF(INDEX(lmic_raw[],MATCH($A113,lmic_raw[[setting]:[setting]],0), MATCH(AL$1, lmic_raw[#Headers],0))=0, INDEX(regions[], MATCH($D113, regions[[setting]:[setting]],0), MATCH(AL$1, regions[#Headers],0)),INDEX(lmic_raw[],MATCH($A113,lmic_raw[[setting]:[setting]],0), MATCH(AL$1, lmic_raw[#Headers],0)))</f>
        <v>9.777207288379549E-3</v>
      </c>
      <c r="AM113" s="33">
        <f>IF(INDEX(lmic_raw[],MATCH($A113,lmic_raw[[setting]:[setting]],0), MATCH(AM$1, lmic_raw[#Headers],0))=0, INDEX(regions[], MATCH($D113, regions[[setting]:[setting]],0), MATCH(AM$1, regions[#Headers],0)),INDEX(lmic_raw[],MATCH($A113,lmic_raw[[setting]:[setting]],0), MATCH(AM$1, lmic_raw[#Headers],0)))</f>
        <v>1.1718262368142149E-2</v>
      </c>
      <c r="AN113" s="33">
        <f>IF(INDEX(lmic_raw[],MATCH($A113,lmic_raw[[setting]:[setting]],0), MATCH(AN$1, lmic_raw[#Headers],0))=0, INDEX(regions[], MATCH($D113, regions[[setting]:[setting]],0), MATCH(AN$1, regions[#Headers],0)),INDEX(lmic_raw[],MATCH($A113,lmic_raw[[setting]:[setting]],0), MATCH(AN$1, lmic_raw[#Headers],0)))</f>
        <v>1.4223371671272508E-2</v>
      </c>
      <c r="AO113" s="33">
        <f>IF(INDEX(lmic_raw[],MATCH($A113,lmic_raw[[setting]:[setting]],0), MATCH(AO$1, lmic_raw[#Headers],0))=0, INDEX(regions[], MATCH($D113, regions[[setting]:[setting]],0), MATCH(AO$1, regions[#Headers],0)),INDEX(lmic_raw[],MATCH($A113,lmic_raw[[setting]:[setting]],0), MATCH(AO$1, lmic_raw[#Headers],0)))</f>
        <v>1.7322311807639015E-2</v>
      </c>
      <c r="AP113" s="33">
        <f>IF(INDEX(lmic_raw[],MATCH($A113,lmic_raw[[setting]:[setting]],0), MATCH(AP$1, lmic_raw[#Headers],0))=0, INDEX(regions[], MATCH($D113, regions[[setting]:[setting]],0), MATCH(AP$1, regions[#Headers],0)),INDEX(lmic_raw[],MATCH($A113,lmic_raw[[setting]:[setting]],0), MATCH(AP$1, lmic_raw[#Headers],0)))</f>
        <v>2.2939427208956795E-2</v>
      </c>
      <c r="AQ113" s="33">
        <f>IF(INDEX(lmic_raw[],MATCH($A113,lmic_raw[[setting]:[setting]],0), MATCH(AQ$1, lmic_raw[#Headers],0))=0, INDEX(regions[], MATCH($D113, regions[[setting]:[setting]],0), MATCH(AQ$1, regions[#Headers],0)),INDEX(lmic_raw[],MATCH($A113,lmic_raw[[setting]:[setting]],0), MATCH(AQ$1, lmic_raw[#Headers],0)))</f>
        <v>3.2256302504435473E-2</v>
      </c>
      <c r="AR113" s="33">
        <f>IF(INDEX(lmic_raw[],MATCH($A113,lmic_raw[[setting]:[setting]],0), MATCH(AR$1, lmic_raw[#Headers],0))=0, INDEX(regions[], MATCH($D113, regions[[setting]:[setting]],0), MATCH(AR$1, regions[#Headers],0)),INDEX(lmic_raw[],MATCH($A113,lmic_raw[[setting]:[setting]],0), MATCH(AR$1, lmic_raw[#Headers],0)))</f>
        <v>4.6985099714795919E-2</v>
      </c>
      <c r="AS113" s="33">
        <f>IF(INDEX(lmic_raw[],MATCH($A113,lmic_raw[[setting]:[setting]],0), MATCH(AS$1, lmic_raw[#Headers],0))=0, INDEX(regions[], MATCH($D113, regions[[setting]:[setting]],0), MATCH(AS$1, regions[#Headers],0)),INDEX(lmic_raw[],MATCH($A113,lmic_raw[[setting]:[setting]],0), MATCH(AS$1, lmic_raw[#Headers],0)))</f>
        <v>6.8848294879698652E-2</v>
      </c>
      <c r="AT113" s="33">
        <f>IF(INDEX(lmic_raw[],MATCH($A113,lmic_raw[[setting]:[setting]],0), MATCH(AT$1, lmic_raw[#Headers],0))=0, INDEX(regions[], MATCH($D113, regions[[setting]:[setting]],0), MATCH(AT$1, regions[#Headers],0)),INDEX(lmic_raw[],MATCH($A113,lmic_raw[[setting]:[setting]],0), MATCH(AT$1, lmic_raw[#Headers],0)))</f>
        <v>0.10281020332373089</v>
      </c>
      <c r="AU113" s="33">
        <f>IF(INDEX(lmic_raw[],MATCH($A113,lmic_raw[[setting]:[setting]],0), MATCH(AU$1, lmic_raw[#Headers],0))=0, INDEX(regions[], MATCH($D113, regions[[setting]:[setting]],0), MATCH(AU$1, regions[#Headers],0)),INDEX(lmic_raw[],MATCH($A113,lmic_raw[[setting]:[setting]],0), MATCH(AU$1, lmic_raw[#Headers],0)))</f>
        <v>0.14366931623854254</v>
      </c>
      <c r="AV113" s="33">
        <f>IF(INDEX(lmic_raw[],MATCH($A113,lmic_raw[[setting]:[setting]],0), MATCH(AV$1, lmic_raw[#Headers],0))=0, INDEX(regions[], MATCH($D113, regions[[setting]:[setting]],0), MATCH(AV$1, regions[#Headers],0)),INDEX(lmic_raw[],MATCH($A113,lmic_raw[[setting]:[setting]],0), MATCH(AV$1, lmic_raw[#Headers],0)))</f>
        <v>0.17576312847645009</v>
      </c>
      <c r="AW113" s="33">
        <f>IF(INDEX(lmic_raw[],MATCH($A113,lmic_raw[[setting]:[setting]],0), MATCH(AW$1, lmic_raw[#Headers],0))=0, INDEX(regions[], MATCH($D113, regions[[setting]:[setting]],0), MATCH(AW$1, regions[#Headers],0)),INDEX(lmic_raw[],MATCH($A113,lmic_raw[[setting]:[setting]],0), MATCH(AW$1, lmic_raw[#Headers],0)))</f>
        <v>0.18732431731093108</v>
      </c>
      <c r="AX113" s="33">
        <f>IF(INDEX(lmic_raw[],MATCH($A113,lmic_raw[[setting]:[setting]],0), MATCH(AX$1, lmic_raw[#Headers],0))=0, INDEX(regions[], MATCH($D113, regions[[setting]:[setting]],0), MATCH(AX$1, regions[#Headers],0)),INDEX(lmic_raw[],MATCH($A113,lmic_raw[[setting]:[setting]],0), MATCH(AX$1, lmic_raw[#Headers],0)))</f>
        <v>63.615000000000002</v>
      </c>
      <c r="AY113" s="33" t="str">
        <f>IF(VLOOKUP($A113,lmic_raw[],11,FALSE)=0, "Yes", "No")</f>
        <v>Yes</v>
      </c>
    </row>
    <row r="114" spans="1:51" x14ac:dyDescent="0.25">
      <c r="A114" s="109" t="s">
        <v>116</v>
      </c>
      <c r="B114" s="101" t="s">
        <v>515</v>
      </c>
      <c r="C114" s="102">
        <v>728</v>
      </c>
      <c r="D114" s="82" t="s">
        <v>677</v>
      </c>
      <c r="E114" s="82" t="s">
        <v>597</v>
      </c>
      <c r="F114" s="82" t="s">
        <v>667</v>
      </c>
      <c r="G114" s="82" t="s">
        <v>674</v>
      </c>
      <c r="H114" s="33">
        <f>IF(INDEX(lmic_raw[],MATCH($A114,lmic_raw[[setting]:[setting]],0), MATCH(H$1, lmic_raw[#Headers],0))=0, INDEX(regions[], MATCH($D114, regions[[setting]:[setting]],0), MATCH(H$1, regions[#Headers],0)),INDEX(lmic_raw[],MATCH($A114,lmic_raw[[setting]:[setting]],0), MATCH(H$1, lmic_raw[#Headers],0)))</f>
        <v>11062114</v>
      </c>
      <c r="I114" s="33">
        <f>IF(INDEX(lmic_raw[],MATCH($A114,lmic_raw[[setting]:[setting]],0), MATCH(I$1, lmic_raw[#Headers],0))=0, INDEX(regions[], MATCH($D114, regions[[setting]:[setting]],0), MATCH(I$1, regions[#Headers],0)),INDEX(lmic_raw[],MATCH($A114,lmic_raw[[setting]:[setting]],0), MATCH(I$1, lmic_raw[#Headers],0)))</f>
        <v>389286.85377400002</v>
      </c>
      <c r="J114" s="33">
        <f>IF(INDEX(lmic_raw[],MATCH($A114,lmic_raw[[setting]:[setting]],0), MATCH(J$1, lmic_raw[#Headers],0))=0, INDEX(regions[], MATCH($D114, regions[[setting]:[setting]],0), MATCH(J$1, regions[#Headers],0)),INDEX(lmic_raw[],MATCH($A114,lmic_raw[[setting]:[setting]],0), MATCH(J$1, lmic_raw[#Headers],0)))</f>
        <v>0.115</v>
      </c>
      <c r="K114" s="33">
        <f>IF(INDEX(lmic_raw[],MATCH($A114,lmic_raw[[setting]:[setting]],0), MATCH(K$1, lmic_raw[#Headers],0))=0, INDEX(regions[], MATCH($D114, regions[[setting]:[setting]],0), MATCH(K$1, regions[#Headers],0)),INDEX(lmic_raw[],MATCH($A114,lmic_raw[[setting]:[setting]],0), MATCH(K$1, lmic_raw[#Headers],0)))</f>
        <v>0.69252604416320784</v>
      </c>
      <c r="L114" s="33">
        <f>IF(INDEX(lmic_raw[],MATCH($A114,lmic_raw[[setting]:[setting]],0), MATCH(L$1, lmic_raw[#Headers],0))=0, INDEX(regions[], MATCH($D114, regions[[setting]:[setting]],0), MATCH(L$1, regions[#Headers],0)),INDEX(lmic_raw[],MATCH($A114,lmic_raw[[setting]:[setting]],0), MATCH(L$1, lmic_raw[#Headers],0)))</f>
        <v>0.49</v>
      </c>
      <c r="M114" s="33">
        <f>IF(INDEX(lmic_raw[],MATCH($A114,lmic_raw[[setting]:[setting]],0), MATCH(M$1, lmic_raw[#Headers],0))=0, INDEX(regions[], MATCH($D114, regions[[setting]:[setting]],0), MATCH(M$1, regions[#Headers],0)),INDEX(lmic_raw[],MATCH($A114,lmic_raw[[setting]:[setting]],0), MATCH(M$1, lmic_raw[#Headers],0)))</f>
        <v>0.22159999999999999</v>
      </c>
      <c r="N114" s="33">
        <f>IF(INDEX(lmic_raw[],MATCH($A114,lmic_raw[[setting]:[setting]],0), MATCH(N$1, lmic_raw[#Headers],0))=0, INDEX(regions[], MATCH($D114, regions[[setting]:[setting]],0), MATCH(N$1, regions[#Headers],0)),INDEX(lmic_raw[],MATCH($A114,lmic_raw[[setting]:[setting]],0), MATCH(N$1, lmic_raw[#Headers],0)))</f>
        <v>0.28404425731797539</v>
      </c>
      <c r="O114" s="33">
        <f>IF(INDEX(lmic_raw[],MATCH($A114,lmic_raw[[setting]:[setting]],0), MATCH(O$1, lmic_raw[#Headers],0))=0, INDEX(regions[], MATCH($D114, regions[[setting]:[setting]],0), MATCH(O$1, regions[#Headers],0)),INDEX(lmic_raw[],MATCH($A114,lmic_raw[[setting]:[setting]],0), MATCH(O$1, lmic_raw[#Headers],0)))</f>
        <v>0.38300000000000001</v>
      </c>
      <c r="P114" s="33">
        <f>IF(INDEX(lmic_raw[],MATCH($A114,lmic_raw[[setting]:[setting]],0), MATCH(P$1, lmic_raw[#Headers],0))=0, INDEX(regions[], MATCH($D114, regions[[setting]:[setting]],0), MATCH(P$1, regions[#Headers],0)),INDEX(lmic_raw[],MATCH($A114,lmic_raw[[setting]:[setting]],0), MATCH(P$1, lmic_raw[#Headers],0)))</f>
        <v>4.8000000000000001E-2</v>
      </c>
      <c r="Q114" s="33">
        <f>IF(INDEX(lmic_raw[],MATCH($A114,lmic_raw[[setting]:[setting]],0), MATCH(Q$1, lmic_raw[#Headers],0))=0, INDEX(regions[], MATCH($D114, regions[[setting]:[setting]],0), MATCH(Q$1, regions[#Headers],0)),INDEX(lmic_raw[],MATCH($A114,lmic_raw[[setting]:[setting]],0), MATCH(Q$1, lmic_raw[#Headers],0)))</f>
        <v>4.6578711530420058</v>
      </c>
      <c r="R114" s="33">
        <f>IF(INDEX(lmic_raw[],MATCH($A114,lmic_raw[[setting]:[setting]],0), MATCH(R$1, lmic_raw[#Headers],0))=0, INDEX(regions[], MATCH($D114, regions[[setting]:[setting]],0), MATCH(R$1, regions[#Headers],0)),INDEX(lmic_raw[],MATCH($A114,lmic_raw[[setting]:[setting]],0), MATCH(R$1, lmic_raw[#Headers],0)))</f>
        <v>29.920500000000001</v>
      </c>
      <c r="S114" s="33">
        <f>IF(INDEX(lmic_raw[],MATCH($A114,lmic_raw[[setting]:[setting]],0), MATCH(S$1, lmic_raw[#Headers],0))=0, INDEX(regions[], MATCH($D114, regions[[setting]:[setting]],0), MATCH(S$1, regions[#Headers],0)),INDEX(lmic_raw[],MATCH($A114,lmic_raw[[setting]:[setting]],0), MATCH(S$1, lmic_raw[#Headers],0)))</f>
        <v>77.662500000000009</v>
      </c>
      <c r="T114" s="33">
        <f>IF(INDEX(lmic_raw[],MATCH($A114,lmic_raw[[setting]:[setting]],0), MATCH(T$1, lmic_raw[#Headers],0))=0, INDEX(regions[], MATCH($D114, regions[[setting]:[setting]],0), MATCH(T$1, regions[#Headers],0)),INDEX(lmic_raw[],MATCH($A114,lmic_raw[[setting]:[setting]],0), MATCH(T$1, lmic_raw[#Headers],0)))</f>
        <v>77.662500000000009</v>
      </c>
      <c r="U114" s="33">
        <f>IF(INDEX(lmic_raw[],MATCH($A114,lmic_raw[[setting]:[setting]],0), MATCH(U$1, lmic_raw[#Headers],0))=0, INDEX(regions[], MATCH($D114, regions[[setting]:[setting]],0), MATCH(U$1, regions[#Headers],0)),INDEX(lmic_raw[],MATCH($A114,lmic_raw[[setting]:[setting]],0), MATCH(U$1, lmic_raw[#Headers],0)))</f>
        <v>77.662500000000009</v>
      </c>
      <c r="V114" s="33">
        <f>IF(INDEX(lmic_raw[],MATCH($A114,lmic_raw[[setting]:[setting]],0), MATCH(V$1, lmic_raw[#Headers],0))=0, INDEX(regions[], MATCH($D114, regions[[setting]:[setting]],0), MATCH(V$1, regions[#Headers],0)),INDEX(lmic_raw[],MATCH($A114,lmic_raw[[setting]:[setting]],0), MATCH(V$1, lmic_raw[#Headers],0)))</f>
        <v>1.1080241161616162</v>
      </c>
      <c r="W114" s="33">
        <f>IF(INDEX(lmic_raw[],MATCH($A114,lmic_raw[[setting]:[setting]],0), MATCH(W$1, lmic_raw[#Headers],0))=0, INDEX(regions[], MATCH($D114, regions[[setting]:[setting]],0), MATCH(W$1, regions[#Headers],0)),INDEX(lmic_raw[],MATCH($A114,lmic_raw[[setting]:[setting]],0), MATCH(W$1, lmic_raw[#Headers],0)))</f>
        <v>5.9380241161616159</v>
      </c>
      <c r="X114" s="33">
        <f>IF(INDEX(lmic_raw[],MATCH($A114,lmic_raw[[setting]:[setting]],0), MATCH(X$1, lmic_raw[#Headers],0))=0, INDEX(regions[], MATCH($D114, regions[[setting]:[setting]],0), MATCH(X$1, regions[#Headers],0)),INDEX(lmic_raw[],MATCH($A114,lmic_raw[[setting]:[setting]],0), MATCH(X$1, lmic_raw[#Headers],0)))</f>
        <v>0.69010000000000005</v>
      </c>
      <c r="Y114" s="33">
        <f>IF(INDEX(lmic_raw[],MATCH($A114,lmic_raw[[setting]:[setting]],0), MATCH(Y$1, lmic_raw[#Headers],0))=0, INDEX(regions[], MATCH($D114, regions[[setting]:[setting]],0), MATCH(Y$1, regions[#Headers],0)),INDEX(lmic_raw[],MATCH($A114,lmic_raw[[setting]:[setting]],0), MATCH(Y$1, lmic_raw[#Headers],0)))</f>
        <v>5.5201000000000002</v>
      </c>
      <c r="Z114" s="33">
        <f>IF(INDEX(lmic_raw[],MATCH($A114,lmic_raw[[setting]:[setting]],0), MATCH(Z$1, lmic_raw[#Headers],0))=0, INDEX(regions[], MATCH($D114, regions[[setting]:[setting]],0), MATCH(Z$1, regions[#Headers],0)),INDEX(lmic_raw[],MATCH($A114,lmic_raw[[setting]:[setting]],0), MATCH(Z$1, lmic_raw[#Headers],0)))</f>
        <v>5.5201000000000002</v>
      </c>
      <c r="AA114" s="33">
        <f>IF(INDEX(lmic_raw[],MATCH($A114,lmic_raw[[setting]:[setting]],0), MATCH(AA$1, lmic_raw[#Headers],0))=0, INDEX(regions[], MATCH($D114, regions[[setting]:[setting]],0), MATCH(AA$1, regions[#Headers],0)),INDEX(lmic_raw[],MATCH($A114,lmic_raw[[setting]:[setting]],0), MATCH(AA$1, lmic_raw[#Headers],0)))</f>
        <v>1.3468972222222224</v>
      </c>
      <c r="AB114" s="33">
        <f>IF(INDEX(lmic_raw[],MATCH($A114,lmic_raw[[setting]:[setting]],0), MATCH(AB$1, lmic_raw[#Headers],0))=0, INDEX(regions[], MATCH($D114, regions[[setting]:[setting]],0), MATCH(AB$1, regions[#Headers],0)),INDEX(lmic_raw[],MATCH($A114,lmic_raw[[setting]:[setting]],0), MATCH(AB$1, lmic_raw[#Headers],0)))</f>
        <v>6.1768972222222223</v>
      </c>
      <c r="AC114" s="33">
        <f>IF(INDEX(lmic_raw[],MATCH($A114,lmic_raw[[setting]:[setting]],0), MATCH(AC$1, lmic_raw[#Headers],0))=0, INDEX(regions[], MATCH($D114, regions[[setting]:[setting]],0), MATCH(AC$1, regions[#Headers],0)),INDEX(lmic_raw[],MATCH($A114,lmic_raw[[setting]:[setting]],0), MATCH(AC$1, lmic_raw[#Headers],0)))</f>
        <v>6.439118000000002E-2</v>
      </c>
      <c r="AD114" s="33">
        <f>IF(INDEX(lmic_raw[],MATCH($A114,lmic_raw[[setting]:[setting]],0), MATCH(AD$1, lmic_raw[#Headers],0))=0, INDEX(regions[], MATCH($D114, regions[[setting]:[setting]],0), MATCH(AD$1, regions[#Headers],0)),INDEX(lmic_raw[],MATCH($A114,lmic_raw[[setting]:[setting]],0), MATCH(AD$1, lmic_raw[#Headers],0)))</f>
        <v>9.1276474926775576E-3</v>
      </c>
      <c r="AE114" s="33">
        <f>IF(INDEX(lmic_raw[],MATCH($A114,lmic_raw[[setting]:[setting]],0), MATCH(AE$1, lmic_raw[#Headers],0))=0, INDEX(regions[], MATCH($D114, regions[[setting]:[setting]],0), MATCH(AE$1, regions[#Headers],0)),INDEX(lmic_raw[],MATCH($A114,lmic_raw[[setting]:[setting]],0), MATCH(AE$1, lmic_raw[#Headers],0)))</f>
        <v>3.7645316426541857E-3</v>
      </c>
      <c r="AF114" s="33">
        <f>IF(INDEX(lmic_raw[],MATCH($A114,lmic_raw[[setting]:[setting]],0), MATCH(AF$1, lmic_raw[#Headers],0))=0, INDEX(regions[], MATCH($D114, regions[[setting]:[setting]],0), MATCH(AF$1, regions[#Headers],0)),INDEX(lmic_raw[],MATCH($A114,lmic_raw[[setting]:[setting]],0), MATCH(AF$1, lmic_raw[#Headers],0)))</f>
        <v>2.2872337683211325E-3</v>
      </c>
      <c r="AG114" s="33">
        <f>IF(INDEX(lmic_raw[],MATCH($A114,lmic_raw[[setting]:[setting]],0), MATCH(AG$1, lmic_raw[#Headers],0))=0, INDEX(regions[], MATCH($D114, regions[[setting]:[setting]],0), MATCH(AG$1, regions[#Headers],0)),INDEX(lmic_raw[],MATCH($A114,lmic_raw[[setting]:[setting]],0), MATCH(AG$1, lmic_raw[#Headers],0)))</f>
        <v>2.949520798167871E-3</v>
      </c>
      <c r="AH114" s="33">
        <f>IF(INDEX(lmic_raw[],MATCH($A114,lmic_raw[[setting]:[setting]],0), MATCH(AH$1, lmic_raw[#Headers],0))=0, INDEX(regions[], MATCH($D114, regions[[setting]:[setting]],0), MATCH(AH$1, regions[#Headers],0)),INDEX(lmic_raw[],MATCH($A114,lmic_raw[[setting]:[setting]],0), MATCH(AH$1, lmic_raw[#Headers],0)))</f>
        <v>4.0792823322574031E-3</v>
      </c>
      <c r="AI114" s="33">
        <f>IF(INDEX(lmic_raw[],MATCH($A114,lmic_raw[[setting]:[setting]],0), MATCH(AI$1, lmic_raw[#Headers],0))=0, INDEX(regions[], MATCH($D114, regions[[setting]:[setting]],0), MATCH(AI$1, regions[#Headers],0)),INDEX(lmic_raw[],MATCH($A114,lmic_raw[[setting]:[setting]],0), MATCH(AI$1, lmic_raw[#Headers],0)))</f>
        <v>5.4936131703647272E-3</v>
      </c>
      <c r="AJ114" s="33">
        <f>IF(INDEX(lmic_raw[],MATCH($A114,lmic_raw[[setting]:[setting]],0), MATCH(AJ$1, lmic_raw[#Headers],0))=0, INDEX(regions[], MATCH($D114, regions[[setting]:[setting]],0), MATCH(AJ$1, regions[#Headers],0)),INDEX(lmic_raw[],MATCH($A114,lmic_raw[[setting]:[setting]],0), MATCH(AJ$1, lmic_raw[#Headers],0)))</f>
        <v>6.9847784211231456E-3</v>
      </c>
      <c r="AK114" s="33">
        <f>IF(INDEX(lmic_raw[],MATCH($A114,lmic_raw[[setting]:[setting]],0), MATCH(AK$1, lmic_raw[#Headers],0))=0, INDEX(regions[], MATCH($D114, regions[[setting]:[setting]],0), MATCH(AK$1, regions[#Headers],0)),INDEX(lmic_raw[],MATCH($A114,lmic_raw[[setting]:[setting]],0), MATCH(AK$1, lmic_raw[#Headers],0)))</f>
        <v>8.9363320696753141E-3</v>
      </c>
      <c r="AL114" s="33">
        <f>IF(INDEX(lmic_raw[],MATCH($A114,lmic_raw[[setting]:[setting]],0), MATCH(AL$1, lmic_raw[#Headers],0))=0, INDEX(regions[], MATCH($D114, regions[[setting]:[setting]],0), MATCH(AL$1, regions[#Headers],0)),INDEX(lmic_raw[],MATCH($A114,lmic_raw[[setting]:[setting]],0), MATCH(AL$1, lmic_raw[#Headers],0)))</f>
        <v>9.7732797132815998E-3</v>
      </c>
      <c r="AM114" s="33">
        <f>IF(INDEX(lmic_raw[],MATCH($A114,lmic_raw[[setting]:[setting]],0), MATCH(AM$1, lmic_raw[#Headers],0))=0, INDEX(regions[], MATCH($D114, regions[[setting]:[setting]],0), MATCH(AM$1, regions[#Headers],0)),INDEX(lmic_raw[],MATCH($A114,lmic_raw[[setting]:[setting]],0), MATCH(AM$1, lmic_raw[#Headers],0)))</f>
        <v>1.08394459748994E-2</v>
      </c>
      <c r="AN114" s="33">
        <f>IF(INDEX(lmic_raw[],MATCH($A114,lmic_raw[[setting]:[setting]],0), MATCH(AN$1, lmic_raw[#Headers],0))=0, INDEX(regions[], MATCH($D114, regions[[setting]:[setting]],0), MATCH(AN$1, regions[#Headers],0)),INDEX(lmic_raw[],MATCH($A114,lmic_raw[[setting]:[setting]],0), MATCH(AN$1, lmic_raw[#Headers],0)))</f>
        <v>1.2789862419588332E-2</v>
      </c>
      <c r="AO114" s="33">
        <f>IF(INDEX(lmic_raw[],MATCH($A114,lmic_raw[[setting]:[setting]],0), MATCH(AO$1, lmic_raw[#Headers],0))=0, INDEX(regions[], MATCH($D114, regions[[setting]:[setting]],0), MATCH(AO$1, regions[#Headers],0)),INDEX(lmic_raw[],MATCH($A114,lmic_raw[[setting]:[setting]],0), MATCH(AO$1, lmic_raw[#Headers],0)))</f>
        <v>1.5799528301405574E-2</v>
      </c>
      <c r="AP114" s="33">
        <f>IF(INDEX(lmic_raw[],MATCH($A114,lmic_raw[[setting]:[setting]],0), MATCH(AP$1, lmic_raw[#Headers],0))=0, INDEX(regions[], MATCH($D114, regions[[setting]:[setting]],0), MATCH(AP$1, regions[#Headers],0)),INDEX(lmic_raw[],MATCH($A114,lmic_raw[[setting]:[setting]],0), MATCH(AP$1, lmic_raw[#Headers],0)))</f>
        <v>2.2487248198766858E-2</v>
      </c>
      <c r="AQ114" s="33">
        <f>IF(INDEX(lmic_raw[],MATCH($A114,lmic_raw[[setting]:[setting]],0), MATCH(AQ$1, lmic_raw[#Headers],0))=0, INDEX(regions[], MATCH($D114, regions[[setting]:[setting]],0), MATCH(AQ$1, regions[#Headers],0)),INDEX(lmic_raw[],MATCH($A114,lmic_raw[[setting]:[setting]],0), MATCH(AQ$1, lmic_raw[#Headers],0)))</f>
        <v>3.1890539105262863E-2</v>
      </c>
      <c r="AR114" s="33">
        <f>IF(INDEX(lmic_raw[],MATCH($A114,lmic_raw[[setting]:[setting]],0), MATCH(AR$1, lmic_raw[#Headers],0))=0, INDEX(regions[], MATCH($D114, regions[[setting]:[setting]],0), MATCH(AR$1, regions[#Headers],0)),INDEX(lmic_raw[],MATCH($A114,lmic_raw[[setting]:[setting]],0), MATCH(AR$1, lmic_raw[#Headers],0)))</f>
        <v>4.8245182163936758E-2</v>
      </c>
      <c r="AS114" s="33">
        <f>IF(INDEX(lmic_raw[],MATCH($A114,lmic_raw[[setting]:[setting]],0), MATCH(AS$1, lmic_raw[#Headers],0))=0, INDEX(regions[], MATCH($D114, regions[[setting]:[setting]],0), MATCH(AS$1, regions[#Headers],0)),INDEX(lmic_raw[],MATCH($A114,lmic_raw[[setting]:[setting]],0), MATCH(AS$1, lmic_raw[#Headers],0)))</f>
        <v>7.1020229630387788E-2</v>
      </c>
      <c r="AT114" s="33">
        <f>IF(INDEX(lmic_raw[],MATCH($A114,lmic_raw[[setting]:[setting]],0), MATCH(AT$1, lmic_raw[#Headers],0))=0, INDEX(regions[], MATCH($D114, regions[[setting]:[setting]],0), MATCH(AT$1, regions[#Headers],0)),INDEX(lmic_raw[],MATCH($A114,lmic_raw[[setting]:[setting]],0), MATCH(AT$1, lmic_raw[#Headers],0)))</f>
        <v>0.10093998231870334</v>
      </c>
      <c r="AU114" s="33">
        <f>IF(INDEX(lmic_raw[],MATCH($A114,lmic_raw[[setting]:[setting]],0), MATCH(AU$1, lmic_raw[#Headers],0))=0, INDEX(regions[], MATCH($D114, regions[[setting]:[setting]],0), MATCH(AU$1, regions[#Headers],0)),INDEX(lmic_raw[],MATCH($A114,lmic_raw[[setting]:[setting]],0), MATCH(AU$1, lmic_raw[#Headers],0)))</f>
        <v>0.13145963379756573</v>
      </c>
      <c r="AV114" s="33">
        <f>IF(INDEX(lmic_raw[],MATCH($A114,lmic_raw[[setting]:[setting]],0), MATCH(AV$1, lmic_raw[#Headers],0))=0, INDEX(regions[], MATCH($D114, regions[[setting]:[setting]],0), MATCH(AV$1, regions[#Headers],0)),INDEX(lmic_raw[],MATCH($A114,lmic_raw[[setting]:[setting]],0), MATCH(AV$1, lmic_raw[#Headers],0)))</f>
        <v>0.15726415845936334</v>
      </c>
      <c r="AW114" s="33">
        <f>IF(INDEX(lmic_raw[],MATCH($A114,lmic_raw[[setting]:[setting]],0), MATCH(AW$1, lmic_raw[#Headers],0))=0, INDEX(regions[], MATCH($D114, regions[[setting]:[setting]],0), MATCH(AW$1, regions[#Headers],0)),INDEX(lmic_raw[],MATCH($A114,lmic_raw[[setting]:[setting]],0), MATCH(AW$1, lmic_raw[#Headers],0)))</f>
        <v>0.17546937186033706</v>
      </c>
      <c r="AX114" s="33">
        <f>IF(INDEX(lmic_raw[],MATCH($A114,lmic_raw[[setting]:[setting]],0), MATCH(AX$1, lmic_raw[#Headers],0))=0, INDEX(regions[], MATCH($D114, regions[[setting]:[setting]],0), MATCH(AX$1, regions[#Headers],0)),INDEX(lmic_raw[],MATCH($A114,lmic_raw[[setting]:[setting]],0), MATCH(AX$1, lmic_raw[#Headers],0)))</f>
        <v>57.424999999999997</v>
      </c>
      <c r="AY114" s="33" t="str">
        <f>IF(VLOOKUP($A114,lmic_raw[],11,FALSE)=0, "Yes", "No")</f>
        <v>Yes</v>
      </c>
    </row>
    <row r="115" spans="1:51" x14ac:dyDescent="0.25">
      <c r="A115" s="110" t="s">
        <v>199</v>
      </c>
      <c r="B115" s="104" t="s">
        <v>516</v>
      </c>
      <c r="C115" s="105">
        <v>144</v>
      </c>
      <c r="D115" s="84" t="s">
        <v>680</v>
      </c>
      <c r="E115" s="84" t="s">
        <v>598</v>
      </c>
      <c r="F115" s="84" t="s">
        <v>666</v>
      </c>
      <c r="G115" s="84" t="s">
        <v>676</v>
      </c>
      <c r="H115" s="33">
        <f>IF(INDEX(lmic_raw[],MATCH($A115,lmic_raw[[setting]:[setting]],0), MATCH(H$1, lmic_raw[#Headers],0))=0, INDEX(regions[], MATCH($D115, regions[[setting]:[setting]],0), MATCH(H$1, regions[#Headers],0)),INDEX(lmic_raw[],MATCH($A115,lmic_raw[[setting]:[setting]],0), MATCH(H$1, lmic_raw[#Headers],0)))</f>
        <v>21323734</v>
      </c>
      <c r="I115" s="33">
        <f>IF(INDEX(lmic_raw[],MATCH($A115,lmic_raw[[setting]:[setting]],0), MATCH(I$1, lmic_raw[#Headers],0))=0, INDEX(regions[], MATCH($D115, regions[[setting]:[setting]],0), MATCH(I$1, regions[#Headers],0)),INDEX(lmic_raw[],MATCH($A115,lmic_raw[[setting]:[setting]],0), MATCH(I$1, lmic_raw[#Headers],0)))</f>
        <v>341648.866148</v>
      </c>
      <c r="J115" s="33">
        <f>IF(INDEX(lmic_raw[],MATCH($A115,lmic_raw[[setting]:[setting]],0), MATCH(J$1, lmic_raw[#Headers],0))=0, INDEX(regions[], MATCH($D115, regions[[setting]:[setting]],0), MATCH(J$1, regions[#Headers],0)),INDEX(lmic_raw[],MATCH($A115,lmic_raw[[setting]:[setting]],0), MATCH(J$1, lmic_raw[#Headers],0)))</f>
        <v>0.995</v>
      </c>
      <c r="K115" s="33">
        <f>IF(INDEX(lmic_raw[],MATCH($A115,lmic_raw[[setting]:[setting]],0), MATCH(K$1, lmic_raw[#Headers],0))=0, INDEX(regions[], MATCH($D115, regions[[setting]:[setting]],0), MATCH(K$1, regions[#Headers],0)),INDEX(lmic_raw[],MATCH($A115,lmic_raw[[setting]:[setting]],0), MATCH(K$1, lmic_raw[#Headers],0)))</f>
        <v>0.60684066530483005</v>
      </c>
      <c r="L115" s="33">
        <f>IF(INDEX(lmic_raw[],MATCH($A115,lmic_raw[[setting]:[setting]],0), MATCH(L$1, lmic_raw[#Headers],0))=0, INDEX(regions[], MATCH($D115, regions[[setting]:[setting]],0), MATCH(L$1, regions[#Headers],0)),INDEX(lmic_raw[],MATCH($A115,lmic_raw[[setting]:[setting]],0), MATCH(L$1, lmic_raw[#Headers],0)))</f>
        <v>0.99</v>
      </c>
      <c r="M115" s="33">
        <f>IF(INDEX(lmic_raw[],MATCH($A115,lmic_raw[[setting]:[setting]],0), MATCH(M$1, lmic_raw[#Headers],0))=0, INDEX(regions[], MATCH($D115, regions[[setting]:[setting]],0), MATCH(M$1, regions[#Headers],0)),INDEX(lmic_raw[],MATCH($A115,lmic_raw[[setting]:[setting]],0), MATCH(M$1, lmic_raw[#Headers],0)))</f>
        <v>2.0400000000000001E-2</v>
      </c>
      <c r="N115" s="33">
        <f>IF(INDEX(lmic_raw[],MATCH($A115,lmic_raw[[setting]:[setting]],0), MATCH(N$1, lmic_raw[#Headers],0))=0, INDEX(regions[], MATCH($D115, regions[[setting]:[setting]],0), MATCH(N$1, regions[#Headers],0)),INDEX(lmic_raw[],MATCH($A115,lmic_raw[[setting]:[setting]],0), MATCH(N$1, lmic_raw[#Headers],0)))</f>
        <v>0.32277198772757137</v>
      </c>
      <c r="O115" s="33">
        <f>IF(INDEX(lmic_raw[],MATCH($A115,lmic_raw[[setting]:[setting]],0), MATCH(O$1, lmic_raw[#Headers],0))=0, INDEX(regions[], MATCH($D115, regions[[setting]:[setting]],0), MATCH(O$1, regions[#Headers],0)),INDEX(lmic_raw[],MATCH($A115,lmic_raw[[setting]:[setting]],0), MATCH(O$1, lmic_raw[#Headers],0)))</f>
        <v>0.8</v>
      </c>
      <c r="P115" s="33">
        <f>IF(INDEX(lmic_raw[],MATCH($A115,lmic_raw[[setting]:[setting]],0), MATCH(P$1, lmic_raw[#Headers],0))=0, INDEX(regions[], MATCH($D115, regions[[setting]:[setting]],0), MATCH(P$1, regions[#Headers],0)),INDEX(lmic_raw[],MATCH($A115,lmic_raw[[setting]:[setting]],0), MATCH(P$1, lmic_raw[#Headers],0)))</f>
        <v>0.17499999999999999</v>
      </c>
      <c r="Q115" s="33">
        <f>IF(INDEX(lmic_raw[],MATCH($A115,lmic_raw[[setting]:[setting]],0), MATCH(Q$1, lmic_raw[#Headers],0))=0, INDEX(regions[], MATCH($D115, regions[[setting]:[setting]],0), MATCH(Q$1, regions[#Headers],0)),INDEX(lmic_raw[],MATCH($A115,lmic_raw[[setting]:[setting]],0), MATCH(Q$1, lmic_raw[#Headers],0)))</f>
        <v>4.782824207802622</v>
      </c>
      <c r="R115" s="33">
        <f>IF(INDEX(lmic_raw[],MATCH($A115,lmic_raw[[setting]:[setting]],0), MATCH(R$1, lmic_raw[#Headers],0))=0, INDEX(regions[], MATCH($D115, regions[[setting]:[setting]],0), MATCH(R$1, regions[#Headers],0)),INDEX(lmic_raw[],MATCH($A115,lmic_raw[[setting]:[setting]],0), MATCH(R$1, lmic_raw[#Headers],0)))</f>
        <v>73.084500000000006</v>
      </c>
      <c r="S115" s="33">
        <f>IF(INDEX(lmic_raw[],MATCH($A115,lmic_raw[[setting]:[setting]],0), MATCH(S$1, lmic_raw[#Headers],0))=0, INDEX(regions[], MATCH($D115, regions[[setting]:[setting]],0), MATCH(S$1, regions[#Headers],0)),INDEX(lmic_raw[],MATCH($A115,lmic_raw[[setting]:[setting]],0), MATCH(S$1, lmic_raw[#Headers],0)))</f>
        <v>120.8265</v>
      </c>
      <c r="T115" s="33">
        <f>IF(INDEX(lmic_raw[],MATCH($A115,lmic_raw[[setting]:[setting]],0), MATCH(T$1, lmic_raw[#Headers],0))=0, INDEX(regions[], MATCH($D115, regions[[setting]:[setting]],0), MATCH(T$1, regions[#Headers],0)),INDEX(lmic_raw[],MATCH($A115,lmic_raw[[setting]:[setting]],0), MATCH(T$1, lmic_raw[#Headers],0)))</f>
        <v>120.8265</v>
      </c>
      <c r="U115" s="33">
        <f>IF(INDEX(lmic_raw[],MATCH($A115,lmic_raw[[setting]:[setting]],0), MATCH(U$1, lmic_raw[#Headers],0))=0, INDEX(regions[], MATCH($D115, regions[[setting]:[setting]],0), MATCH(U$1, regions[#Headers],0)),INDEX(lmic_raw[],MATCH($A115,lmic_raw[[setting]:[setting]],0), MATCH(U$1, lmic_raw[#Headers],0)))</f>
        <v>120.8265</v>
      </c>
      <c r="V115" s="33">
        <f>IF(INDEX(lmic_raw[],MATCH($A115,lmic_raw[[setting]:[setting]],0), MATCH(V$1, lmic_raw[#Headers],0))=0, INDEX(regions[], MATCH($D115, regions[[setting]:[setting]],0), MATCH(V$1, regions[#Headers],0)),INDEX(lmic_raw[],MATCH($A115,lmic_raw[[setting]:[setting]],0), MATCH(V$1, lmic_raw[#Headers],0)))</f>
        <v>4.6224348013577394</v>
      </c>
      <c r="W115" s="33">
        <f>IF(INDEX(lmic_raw[],MATCH($A115,lmic_raw[[setting]:[setting]],0), MATCH(W$1, lmic_raw[#Headers],0))=0, INDEX(regions[], MATCH($D115, regions[[setting]:[setting]],0), MATCH(W$1, regions[#Headers],0)),INDEX(lmic_raw[],MATCH($A115,lmic_raw[[setting]:[setting]],0), MATCH(W$1, lmic_raw[#Headers],0)))</f>
        <v>5.2524348013577393</v>
      </c>
      <c r="X115" s="33">
        <f>IF(INDEX(lmic_raw[],MATCH($A115,lmic_raw[[setting]:[setting]],0), MATCH(X$1, lmic_raw[#Headers],0))=0, INDEX(regions[], MATCH($D115, regions[[setting]:[setting]],0), MATCH(X$1, regions[#Headers],0)),INDEX(lmic_raw[],MATCH($A115,lmic_raw[[setting]:[setting]],0), MATCH(X$1, lmic_raw[#Headers],0)))</f>
        <v>4.1924543955241074</v>
      </c>
      <c r="Y115" s="33">
        <f>IF(INDEX(lmic_raw[],MATCH($A115,lmic_raw[[setting]:[setting]],0), MATCH(Y$1, lmic_raw[#Headers],0))=0, INDEX(regions[], MATCH($D115, regions[[setting]:[setting]],0), MATCH(Y$1, regions[#Headers],0)),INDEX(lmic_raw[],MATCH($A115,lmic_raw[[setting]:[setting]],0), MATCH(Y$1, lmic_raw[#Headers],0)))</f>
        <v>4.8224543955241073</v>
      </c>
      <c r="Z115" s="33">
        <f>IF(INDEX(lmic_raw[],MATCH($A115,lmic_raw[[setting]:[setting]],0), MATCH(Z$1, lmic_raw[#Headers],0))=0, INDEX(regions[], MATCH($D115, regions[[setting]:[setting]],0), MATCH(Z$1, regions[#Headers],0)),INDEX(lmic_raw[],MATCH($A115,lmic_raw[[setting]:[setting]],0), MATCH(Z$1, lmic_raw[#Headers],0)))</f>
        <v>4.8176747634082941</v>
      </c>
      <c r="AA115" s="33">
        <f>IF(INDEX(lmic_raw[],MATCH($A115,lmic_raw[[setting]:[setting]],0), MATCH(AA$1, lmic_raw[#Headers],0))=0, INDEX(regions[], MATCH($D115, regions[[setting]:[setting]],0), MATCH(AA$1, regions[#Headers],0)),INDEX(lmic_raw[],MATCH($A115,lmic_raw[[setting]:[setting]],0), MATCH(AA$1, lmic_raw[#Headers],0)))</f>
        <v>4.8656537792768626</v>
      </c>
      <c r="AB115" s="33">
        <f>IF(INDEX(lmic_raw[],MATCH($A115,lmic_raw[[setting]:[setting]],0), MATCH(AB$1, lmic_raw[#Headers],0))=0, INDEX(regions[], MATCH($D115, regions[[setting]:[setting]],0), MATCH(AB$1, regions[#Headers],0)),INDEX(lmic_raw[],MATCH($A115,lmic_raw[[setting]:[setting]],0), MATCH(AB$1, lmic_raw[#Headers],0)))</f>
        <v>5.4956537792768625</v>
      </c>
      <c r="AC115" s="33">
        <f>IF(INDEX(lmic_raw[],MATCH($A115,lmic_raw[[setting]:[setting]],0), MATCH(AC$1, lmic_raw[#Headers],0))=0, INDEX(regions[], MATCH($D115, regions[[setting]:[setting]],0), MATCH(AC$1, regions[#Headers],0)),INDEX(lmic_raw[],MATCH($A115,lmic_raw[[setting]:[setting]],0), MATCH(AC$1, lmic_raw[#Headers],0)))</f>
        <v>7.5732899999999791E-3</v>
      </c>
      <c r="AD115" s="33">
        <f>IF(INDEX(lmic_raw[],MATCH($A115,lmic_raw[[setting]:[setting]],0), MATCH(AD$1, lmic_raw[#Headers],0))=0, INDEX(regions[], MATCH($D115, regions[[setting]:[setting]],0), MATCH(AD$1, regions[#Headers],0)),INDEX(lmic_raw[],MATCH($A115,lmic_raw[[setting]:[setting]],0), MATCH(AD$1, lmic_raw[#Headers],0)))</f>
        <v>2.570063838769638E-4</v>
      </c>
      <c r="AE115" s="33">
        <f>IF(INDEX(lmic_raw[],MATCH($A115,lmic_raw[[setting]:[setting]],0), MATCH(AE$1, lmic_raw[#Headers],0))=0, INDEX(regions[], MATCH($D115, regions[[setting]:[setting]],0), MATCH(AE$1, regions[#Headers],0)),INDEX(lmic_raw[],MATCH($A115,lmic_raw[[setting]:[setting]],0), MATCH(AE$1, lmic_raw[#Headers],0)))</f>
        <v>2.9705474889629041E-4</v>
      </c>
      <c r="AF115" s="33">
        <f>IF(INDEX(lmic_raw[],MATCH($A115,lmic_raw[[setting]:[setting]],0), MATCH(AF$1, lmic_raw[#Headers],0))=0, INDEX(regions[], MATCH($D115, regions[[setting]:[setting]],0), MATCH(AF$1, regions[#Headers],0)),INDEX(lmic_raw[],MATCH($A115,lmic_raw[[setting]:[setting]],0), MATCH(AF$1, lmic_raw[#Headers],0)))</f>
        <v>2.9040321033130473E-4</v>
      </c>
      <c r="AG115" s="33">
        <f>IF(INDEX(lmic_raw[],MATCH($A115,lmic_raw[[setting]:[setting]],0), MATCH(AG$1, lmic_raw[#Headers],0))=0, INDEX(regions[], MATCH($D115, regions[[setting]:[setting]],0), MATCH(AG$1, regions[#Headers],0)),INDEX(lmic_raw[],MATCH($A115,lmic_raw[[setting]:[setting]],0), MATCH(AG$1, lmic_raw[#Headers],0)))</f>
        <v>5.5490936660418171E-4</v>
      </c>
      <c r="AH115" s="33">
        <f>IF(INDEX(lmic_raw[],MATCH($A115,lmic_raw[[setting]:[setting]],0), MATCH(AH$1, lmic_raw[#Headers],0))=0, INDEX(regions[], MATCH($D115, regions[[setting]:[setting]],0), MATCH(AH$1, regions[#Headers],0)),INDEX(lmic_raw[],MATCH($A115,lmic_raw[[setting]:[setting]],0), MATCH(AH$1, lmic_raw[#Headers],0)))</f>
        <v>7.8892305303817484E-4</v>
      </c>
      <c r="AI115" s="33">
        <f>IF(INDEX(lmic_raw[],MATCH($A115,lmic_raw[[setting]:[setting]],0), MATCH(AI$1, lmic_raw[#Headers],0))=0, INDEX(regions[], MATCH($D115, regions[[setting]:[setting]],0), MATCH(AI$1, regions[#Headers],0)),INDEX(lmic_raw[],MATCH($A115,lmic_raw[[setting]:[setting]],0), MATCH(AI$1, lmic_raw[#Headers],0)))</f>
        <v>8.6288803443153816E-4</v>
      </c>
      <c r="AJ115" s="33">
        <f>IF(INDEX(lmic_raw[],MATCH($A115,lmic_raw[[setting]:[setting]],0), MATCH(AJ$1, lmic_raw[#Headers],0))=0, INDEX(regions[], MATCH($D115, regions[[setting]:[setting]],0), MATCH(AJ$1, regions[#Headers],0)),INDEX(lmic_raw[],MATCH($A115,lmic_raw[[setting]:[setting]],0), MATCH(AJ$1, lmic_raw[#Headers],0)))</f>
        <v>9.8763610104937098E-4</v>
      </c>
      <c r="AK115" s="33">
        <f>IF(INDEX(lmic_raw[],MATCH($A115,lmic_raw[[setting]:[setting]],0), MATCH(AK$1, lmic_raw[#Headers],0))=0, INDEX(regions[], MATCH($D115, regions[[setting]:[setting]],0), MATCH(AK$1, regions[#Headers],0)),INDEX(lmic_raw[],MATCH($A115,lmic_raw[[setting]:[setting]],0), MATCH(AK$1, lmic_raw[#Headers],0)))</f>
        <v>1.4206987324034202E-3</v>
      </c>
      <c r="AL115" s="33">
        <f>IF(INDEX(lmic_raw[],MATCH($A115,lmic_raw[[setting]:[setting]],0), MATCH(AL$1, lmic_raw[#Headers],0))=0, INDEX(regions[], MATCH($D115, regions[[setting]:[setting]],0), MATCH(AL$1, regions[#Headers],0)),INDEX(lmic_raw[],MATCH($A115,lmic_raw[[setting]:[setting]],0), MATCH(AL$1, lmic_raw[#Headers],0)))</f>
        <v>2.0799897247237836E-3</v>
      </c>
      <c r="AM115" s="33">
        <f>IF(INDEX(lmic_raw[],MATCH($A115,lmic_raw[[setting]:[setting]],0), MATCH(AM$1, lmic_raw[#Headers],0))=0, INDEX(regions[], MATCH($D115, regions[[setting]:[setting]],0), MATCH(AM$1, regions[#Headers],0)),INDEX(lmic_raw[],MATCH($A115,lmic_raw[[setting]:[setting]],0), MATCH(AM$1, lmic_raw[#Headers],0)))</f>
        <v>3.2074787270406683E-3</v>
      </c>
      <c r="AN115" s="33">
        <f>IF(INDEX(lmic_raw[],MATCH($A115,lmic_raw[[setting]:[setting]],0), MATCH(AN$1, lmic_raw[#Headers],0))=0, INDEX(regions[], MATCH($D115, regions[[setting]:[setting]],0), MATCH(AN$1, regions[#Headers],0)),INDEX(lmic_raw[],MATCH($A115,lmic_raw[[setting]:[setting]],0), MATCH(AN$1, lmic_raw[#Headers],0)))</f>
        <v>4.9123247462211569E-3</v>
      </c>
      <c r="AO115" s="33">
        <f>IF(INDEX(lmic_raw[],MATCH($A115,lmic_raw[[setting]:[setting]],0), MATCH(AO$1, lmic_raw[#Headers],0))=0, INDEX(regions[], MATCH($D115, regions[[setting]:[setting]],0), MATCH(AO$1, regions[#Headers],0)),INDEX(lmic_raw[],MATCH($A115,lmic_raw[[setting]:[setting]],0), MATCH(AO$1, lmic_raw[#Headers],0)))</f>
        <v>6.9758110547406063E-3</v>
      </c>
      <c r="AP115" s="33">
        <f>IF(INDEX(lmic_raw[],MATCH($A115,lmic_raw[[setting]:[setting]],0), MATCH(AP$1, lmic_raw[#Headers],0))=0, INDEX(regions[], MATCH($D115, regions[[setting]:[setting]],0), MATCH(AP$1, regions[#Headers],0)),INDEX(lmic_raw[],MATCH($A115,lmic_raw[[setting]:[setting]],0), MATCH(AP$1, lmic_raw[#Headers],0)))</f>
        <v>9.9942876670689289E-3</v>
      </c>
      <c r="AQ115" s="33">
        <f>IF(INDEX(lmic_raw[],MATCH($A115,lmic_raw[[setting]:[setting]],0), MATCH(AQ$1, lmic_raw[#Headers],0))=0, INDEX(regions[], MATCH($D115, regions[[setting]:[setting]],0), MATCH(AQ$1, regions[#Headers],0)),INDEX(lmic_raw[],MATCH($A115,lmic_raw[[setting]:[setting]],0), MATCH(AQ$1, lmic_raw[#Headers],0)))</f>
        <v>1.7504151558826845E-2</v>
      </c>
      <c r="AR115" s="33">
        <f>IF(INDEX(lmic_raw[],MATCH($A115,lmic_raw[[setting]:[setting]],0), MATCH(AR$1, lmic_raw[#Headers],0))=0, INDEX(regions[], MATCH($D115, regions[[setting]:[setting]],0), MATCH(AR$1, regions[#Headers],0)),INDEX(lmic_raw[],MATCH($A115,lmic_raw[[setting]:[setting]],0), MATCH(AR$1, lmic_raw[#Headers],0)))</f>
        <v>3.1457895529108021E-2</v>
      </c>
      <c r="AS115" s="33">
        <f>IF(INDEX(lmic_raw[],MATCH($A115,lmic_raw[[setting]:[setting]],0), MATCH(AS$1, lmic_raw[#Headers],0))=0, INDEX(regions[], MATCH($D115, regions[[setting]:[setting]],0), MATCH(AS$1, regions[#Headers],0)),INDEX(lmic_raw[],MATCH($A115,lmic_raw[[setting]:[setting]],0), MATCH(AS$1, lmic_raw[#Headers],0)))</f>
        <v>4.3127788074325546E-2</v>
      </c>
      <c r="AT115" s="33">
        <f>IF(INDEX(lmic_raw[],MATCH($A115,lmic_raw[[setting]:[setting]],0), MATCH(AT$1, lmic_raw[#Headers],0))=0, INDEX(regions[], MATCH($D115, regions[[setting]:[setting]],0), MATCH(AT$1, regions[#Headers],0)),INDEX(lmic_raw[],MATCH($A115,lmic_raw[[setting]:[setting]],0), MATCH(AT$1, lmic_raw[#Headers],0)))</f>
        <v>6.9941554014886095E-2</v>
      </c>
      <c r="AU115" s="33">
        <f>IF(INDEX(lmic_raw[],MATCH($A115,lmic_raw[[setting]:[setting]],0), MATCH(AU$1, lmic_raw[#Headers],0))=0, INDEX(regions[], MATCH($D115, regions[[setting]:[setting]],0), MATCH(AU$1, regions[#Headers],0)),INDEX(lmic_raw[],MATCH($A115,lmic_raw[[setting]:[setting]],0), MATCH(AU$1, lmic_raw[#Headers],0)))</f>
        <v>0.10666038153787064</v>
      </c>
      <c r="AV115" s="33">
        <f>IF(INDEX(lmic_raw[],MATCH($A115,lmic_raw[[setting]:[setting]],0), MATCH(AV$1, lmic_raw[#Headers],0))=0, INDEX(regions[], MATCH($D115, regions[[setting]:[setting]],0), MATCH(AV$1, regions[#Headers],0)),INDEX(lmic_raw[],MATCH($A115,lmic_raw[[setting]:[setting]],0), MATCH(AV$1, lmic_raw[#Headers],0)))</f>
        <v>0.14422443039010532</v>
      </c>
      <c r="AW115" s="33">
        <f>IF(INDEX(lmic_raw[],MATCH($A115,lmic_raw[[setting]:[setting]],0), MATCH(AW$1, lmic_raw[#Headers],0))=0, INDEX(regions[], MATCH($D115, regions[[setting]:[setting]],0), MATCH(AW$1, regions[#Headers],0)),INDEX(lmic_raw[],MATCH($A115,lmic_raw[[setting]:[setting]],0), MATCH(AW$1, lmic_raw[#Headers],0)))</f>
        <v>0.17174300385827795</v>
      </c>
      <c r="AX115" s="33">
        <f>IF(INDEX(lmic_raw[],MATCH($A115,lmic_raw[[setting]:[setting]],0), MATCH(AX$1, lmic_raw[#Headers],0))=0, INDEX(regions[], MATCH($D115, regions[[setting]:[setting]],0), MATCH(AX$1, regions[#Headers],0)),INDEX(lmic_raw[],MATCH($A115,lmic_raw[[setting]:[setting]],0), MATCH(AX$1, lmic_raw[#Headers],0)))</f>
        <v>76.724999999999994</v>
      </c>
      <c r="AY115" s="33" t="str">
        <f>IF(VLOOKUP($A115,lmic_raw[],11,FALSE)=0, "Yes", "No")</f>
        <v>Yes</v>
      </c>
    </row>
    <row r="116" spans="1:51" x14ac:dyDescent="0.25">
      <c r="A116" s="109" t="s">
        <v>647</v>
      </c>
      <c r="B116" s="101" t="s">
        <v>518</v>
      </c>
      <c r="C116" s="102">
        <v>729</v>
      </c>
      <c r="D116" s="82" t="s">
        <v>673</v>
      </c>
      <c r="E116" s="82" t="s">
        <v>597</v>
      </c>
      <c r="F116" s="82" t="s">
        <v>667</v>
      </c>
      <c r="G116" s="82" t="s">
        <v>678</v>
      </c>
      <c r="H116" s="33">
        <f>IF(INDEX(lmic_raw[],MATCH($A116,lmic_raw[[setting]:[setting]],0), MATCH(H$1, lmic_raw[#Headers],0))=0, INDEX(regions[], MATCH($D116, regions[[setting]:[setting]],0), MATCH(H$1, regions[#Headers],0)),INDEX(lmic_raw[],MATCH($A116,lmic_raw[[setting]:[setting]],0), MATCH(H$1, lmic_raw[#Headers],0)))</f>
        <v>42813237</v>
      </c>
      <c r="I116" s="33">
        <f>IF(INDEX(lmic_raw[],MATCH($A116,lmic_raw[[setting]:[setting]],0), MATCH(I$1, lmic_raw[#Headers],0))=0, INDEX(regions[], MATCH($D116, regions[[setting]:[setting]],0), MATCH(I$1, regions[#Headers],0)),INDEX(lmic_raw[],MATCH($A116,lmic_raw[[setting]:[setting]],0), MATCH(I$1, lmic_raw[#Headers],0)))</f>
        <v>1385479.1625569998</v>
      </c>
      <c r="J116" s="33">
        <f>IF(INDEX(lmic_raw[],MATCH($A116,lmic_raw[[setting]:[setting]],0), MATCH(J$1, lmic_raw[#Headers],0))=0, INDEX(regions[], MATCH($D116, regions[[setting]:[setting]],0), MATCH(J$1, regions[#Headers],0)),INDEX(lmic_raw[],MATCH($A116,lmic_raw[[setting]:[setting]],0), MATCH(J$1, lmic_raw[#Headers],0)))</f>
        <v>0.27699999999999997</v>
      </c>
      <c r="K116" s="33">
        <f>IF(INDEX(lmic_raw[],MATCH($A116,lmic_raw[[setting]:[setting]],0), MATCH(K$1, lmic_raw[#Headers],0))=0, INDEX(regions[], MATCH($D116, regions[[setting]:[setting]],0), MATCH(K$1, regions[#Headers],0)),INDEX(lmic_raw[],MATCH($A116,lmic_raw[[setting]:[setting]],0), MATCH(K$1, lmic_raw[#Headers],0)))</f>
        <v>0.70987607132960939</v>
      </c>
      <c r="L116" s="33">
        <f>IF(INDEX(lmic_raw[],MATCH($A116,lmic_raw[[setting]:[setting]],0), MATCH(L$1, lmic_raw[#Headers],0))=0, INDEX(regions[], MATCH($D116, regions[[setting]:[setting]],0), MATCH(L$1, regions[#Headers],0)),INDEX(lmic_raw[],MATCH($A116,lmic_raw[[setting]:[setting]],0), MATCH(L$1, lmic_raw[#Headers],0)))</f>
        <v>0.93</v>
      </c>
      <c r="M116" s="33">
        <f>IF(INDEX(lmic_raw[],MATCH($A116,lmic_raw[[setting]:[setting]],0), MATCH(M$1, lmic_raw[#Headers],0))=0, INDEX(regions[], MATCH($D116, regions[[setting]:[setting]],0), MATCH(M$1, regions[#Headers],0)),INDEX(lmic_raw[],MATCH($A116,lmic_raw[[setting]:[setting]],0), MATCH(M$1, lmic_raw[#Headers],0)))</f>
        <v>7.46E-2</v>
      </c>
      <c r="N116" s="33">
        <f>IF(INDEX(lmic_raw[],MATCH($A116,lmic_raw[[setting]:[setting]],0), MATCH(N$1, lmic_raw[#Headers],0))=0, INDEX(regions[], MATCH($D116, regions[[setting]:[setting]],0), MATCH(N$1, regions[#Headers],0)),INDEX(lmic_raw[],MATCH($A116,lmic_raw[[setting]:[setting]],0), MATCH(N$1, lmic_raw[#Headers],0)))</f>
        <v>0.28042307379092596</v>
      </c>
      <c r="O116" s="33">
        <f>IF(INDEX(lmic_raw[],MATCH($A116,lmic_raw[[setting]:[setting]],0), MATCH(O$1, lmic_raw[#Headers],0))=0, INDEX(regions[], MATCH($D116, regions[[setting]:[setting]],0), MATCH(O$1, regions[#Headers],0)),INDEX(lmic_raw[],MATCH($A116,lmic_raw[[setting]:[setting]],0), MATCH(O$1, lmic_raw[#Headers],0)))</f>
        <v>0.38300000000000001</v>
      </c>
      <c r="P116" s="33">
        <f>IF(INDEX(lmic_raw[],MATCH($A116,lmic_raw[[setting]:[setting]],0), MATCH(P$1, lmic_raw[#Headers],0))=0, INDEX(regions[], MATCH($D116, regions[[setting]:[setting]],0), MATCH(P$1, regions[#Headers],0)),INDEX(lmic_raw[],MATCH($A116,lmic_raw[[setting]:[setting]],0), MATCH(P$1, lmic_raw[#Headers],0)))</f>
        <v>4.8000000000000001E-2</v>
      </c>
      <c r="Q116" s="33">
        <f>IF(INDEX(lmic_raw[],MATCH($A116,lmic_raw[[setting]:[setting]],0), MATCH(Q$1, lmic_raw[#Headers],0))=0, INDEX(regions[], MATCH($D116, regions[[setting]:[setting]],0), MATCH(Q$1, regions[#Headers],0)),INDEX(lmic_raw[],MATCH($A116,lmic_raw[[setting]:[setting]],0), MATCH(Q$1, lmic_raw[#Headers],0)))</f>
        <v>4.0232049977085564</v>
      </c>
      <c r="R116" s="33">
        <f>IF(INDEX(lmic_raw[],MATCH($A116,lmic_raw[[setting]:[setting]],0), MATCH(R$1, lmic_raw[#Headers],0))=0, INDEX(regions[], MATCH($D116, regions[[setting]:[setting]],0), MATCH(R$1, regions[#Headers],0)),INDEX(lmic_raw[],MATCH($A116,lmic_raw[[setting]:[setting]],0), MATCH(R$1, lmic_raw[#Headers],0)))</f>
        <v>29.920500000000001</v>
      </c>
      <c r="S116" s="33">
        <f>IF(INDEX(lmic_raw[],MATCH($A116,lmic_raw[[setting]:[setting]],0), MATCH(S$1, lmic_raw[#Headers],0))=0, INDEX(regions[], MATCH($D116, regions[[setting]:[setting]],0), MATCH(S$1, regions[#Headers],0)),INDEX(lmic_raw[],MATCH($A116,lmic_raw[[setting]:[setting]],0), MATCH(S$1, lmic_raw[#Headers],0)))</f>
        <v>77.662500000000009</v>
      </c>
      <c r="T116" s="33">
        <f>IF(INDEX(lmic_raw[],MATCH($A116,lmic_raw[[setting]:[setting]],0), MATCH(T$1, lmic_raw[#Headers],0))=0, INDEX(regions[], MATCH($D116, regions[[setting]:[setting]],0), MATCH(T$1, regions[#Headers],0)),INDEX(lmic_raw[],MATCH($A116,lmic_raw[[setting]:[setting]],0), MATCH(T$1, lmic_raw[#Headers],0)))</f>
        <v>77.662500000000009</v>
      </c>
      <c r="U116" s="33">
        <f>IF(INDEX(lmic_raw[],MATCH($A116,lmic_raw[[setting]:[setting]],0), MATCH(U$1, lmic_raw[#Headers],0))=0, INDEX(regions[], MATCH($D116, regions[[setting]:[setting]],0), MATCH(U$1, regions[#Headers],0)),INDEX(lmic_raw[],MATCH($A116,lmic_raw[[setting]:[setting]],0), MATCH(U$1, lmic_raw[#Headers],0)))</f>
        <v>77.662500000000009</v>
      </c>
      <c r="V116" s="33">
        <f>IF(INDEX(lmic_raw[],MATCH($A116,lmic_raw[[setting]:[setting]],0), MATCH(V$1, lmic_raw[#Headers],0))=0, INDEX(regions[], MATCH($D116, regions[[setting]:[setting]],0), MATCH(V$1, regions[#Headers],0)),INDEX(lmic_raw[],MATCH($A116,lmic_raw[[setting]:[setting]],0), MATCH(V$1, lmic_raw[#Headers],0)))</f>
        <v>2.4622318869126065</v>
      </c>
      <c r="W116" s="33">
        <f>IF(INDEX(lmic_raw[],MATCH($A116,lmic_raw[[setting]:[setting]],0), MATCH(W$1, lmic_raw[#Headers],0))=0, INDEX(regions[], MATCH($D116, regions[[setting]:[setting]],0), MATCH(W$1, regions[#Headers],0)),INDEX(lmic_raw[],MATCH($A116,lmic_raw[[setting]:[setting]],0), MATCH(W$1, lmic_raw[#Headers],0)))</f>
        <v>7.2922318869126066</v>
      </c>
      <c r="X116" s="33">
        <f>IF(INDEX(lmic_raw[],MATCH($A116,lmic_raw[[setting]:[setting]],0), MATCH(X$1, lmic_raw[#Headers],0))=0, INDEX(regions[], MATCH($D116, regions[[setting]:[setting]],0), MATCH(X$1, regions[#Headers],0)),INDEX(lmic_raw[],MATCH($A116,lmic_raw[[setting]:[setting]],0), MATCH(X$1, lmic_raw[#Headers],0)))</f>
        <v>2.0417024109696005</v>
      </c>
      <c r="Y116" s="33">
        <f>IF(INDEX(lmic_raw[],MATCH($A116,lmic_raw[[setting]:[setting]],0), MATCH(Y$1, lmic_raw[#Headers],0))=0, INDEX(regions[], MATCH($D116, regions[[setting]:[setting]],0), MATCH(Y$1, regions[#Headers],0)),INDEX(lmic_raw[],MATCH($A116,lmic_raw[[setting]:[setting]],0), MATCH(Y$1, lmic_raw[#Headers],0)))</f>
        <v>6.8717024109696005</v>
      </c>
      <c r="Z116" s="33">
        <f>IF(INDEX(lmic_raw[],MATCH($A116,lmic_raw[[setting]:[setting]],0), MATCH(Z$1, lmic_raw[#Headers],0))=0, INDEX(regions[], MATCH($D116, regions[[setting]:[setting]],0), MATCH(Z$1, regions[#Headers],0)),INDEX(lmic_raw[],MATCH($A116,lmic_raw[[setting]:[setting]],0), MATCH(Z$1, lmic_raw[#Headers],0)))</f>
        <v>6.8706427565132024</v>
      </c>
      <c r="AA116" s="33">
        <f>IF(INDEX(lmic_raw[],MATCH($A116,lmic_raw[[setting]:[setting]],0), MATCH(AA$1, lmic_raw[#Headers],0))=0, INDEX(regions[], MATCH($D116, regions[[setting]:[setting]],0), MATCH(AA$1, regions[#Headers],0)),INDEX(lmic_raw[],MATCH($A116,lmic_raw[[setting]:[setting]],0), MATCH(AA$1, lmic_raw[#Headers],0)))</f>
        <v>2.7020441342897605</v>
      </c>
      <c r="AB116" s="33">
        <f>IF(INDEX(lmic_raw[],MATCH($A116,lmic_raw[[setting]:[setting]],0), MATCH(AB$1, lmic_raw[#Headers],0))=0, INDEX(regions[], MATCH($D116, regions[[setting]:[setting]],0), MATCH(AB$1, regions[#Headers],0)),INDEX(lmic_raw[],MATCH($A116,lmic_raw[[setting]:[setting]],0), MATCH(AB$1, lmic_raw[#Headers],0)))</f>
        <v>7.5320441342897606</v>
      </c>
      <c r="AC116" s="33">
        <f>IF(INDEX(lmic_raw[],MATCH($A116,lmic_raw[[setting]:[setting]],0), MATCH(AC$1, lmic_raw[#Headers],0))=0, INDEX(regions[], MATCH($D116, regions[[setting]:[setting]],0), MATCH(AC$1, regions[#Headers],0)),INDEX(lmic_raw[],MATCH($A116,lmic_raw[[setting]:[setting]],0), MATCH(AC$1, lmic_raw[#Headers],0)))</f>
        <v>4.2874850000000006E-2</v>
      </c>
      <c r="AD116" s="33">
        <f>IF(INDEX(lmic_raw[],MATCH($A116,lmic_raw[[setting]:[setting]],0), MATCH(AD$1, lmic_raw[#Headers],0))=0, INDEX(regions[], MATCH($D116, regions[[setting]:[setting]],0), MATCH(AD$1, regions[#Headers],0)),INDEX(lmic_raw[],MATCH($A116,lmic_raw[[setting]:[setting]],0), MATCH(AD$1, lmic_raw[#Headers],0)))</f>
        <v>5.5109407583741827E-3</v>
      </c>
      <c r="AE116" s="33">
        <f>IF(INDEX(lmic_raw[],MATCH($A116,lmic_raw[[setting]:[setting]],0), MATCH(AE$1, lmic_raw[#Headers],0))=0, INDEX(regions[], MATCH($D116, regions[[setting]:[setting]],0), MATCH(AE$1, regions[#Headers],0)),INDEX(lmic_raw[],MATCH($A116,lmic_raw[[setting]:[setting]],0), MATCH(AE$1, lmic_raw[#Headers],0)))</f>
        <v>2.1666864969454775E-3</v>
      </c>
      <c r="AF116" s="33">
        <f>IF(INDEX(lmic_raw[],MATCH($A116,lmic_raw[[setting]:[setting]],0), MATCH(AF$1, lmic_raw[#Headers],0))=0, INDEX(regions[], MATCH($D116, regions[[setting]:[setting]],0), MATCH(AF$1, regions[#Headers],0)),INDEX(lmic_raw[],MATCH($A116,lmic_raw[[setting]:[setting]],0), MATCH(AF$1, lmic_raw[#Headers],0)))</f>
        <v>1.6265412680930844E-3</v>
      </c>
      <c r="AG116" s="33">
        <f>IF(INDEX(lmic_raw[],MATCH($A116,lmic_raw[[setting]:[setting]],0), MATCH(AG$1, lmic_raw[#Headers],0))=0, INDEX(regions[], MATCH($D116, regions[[setting]:[setting]],0), MATCH(AG$1, regions[#Headers],0)),INDEX(lmic_raw[],MATCH($A116,lmic_raw[[setting]:[setting]],0), MATCH(AG$1, lmic_raw[#Headers],0)))</f>
        <v>1.9187261517500268E-3</v>
      </c>
      <c r="AH116" s="33">
        <f>IF(INDEX(lmic_raw[],MATCH($A116,lmic_raw[[setting]:[setting]],0), MATCH(AH$1, lmic_raw[#Headers],0))=0, INDEX(regions[], MATCH($D116, regions[[setting]:[setting]],0), MATCH(AH$1, regions[#Headers],0)),INDEX(lmic_raw[],MATCH($A116,lmic_raw[[setting]:[setting]],0), MATCH(AH$1, lmic_raw[#Headers],0)))</f>
        <v>2.5722201125001026E-3</v>
      </c>
      <c r="AI116" s="33">
        <f>IF(INDEX(lmic_raw[],MATCH($A116,lmic_raw[[setting]:[setting]],0), MATCH(AI$1, lmic_raw[#Headers],0))=0, INDEX(regions[], MATCH($D116, regions[[setting]:[setting]],0), MATCH(AI$1, regions[#Headers],0)),INDEX(lmic_raw[],MATCH($A116,lmic_raw[[setting]:[setting]],0), MATCH(AI$1, lmic_raw[#Headers],0)))</f>
        <v>3.0538597600547213E-3</v>
      </c>
      <c r="AJ116" s="33">
        <f>IF(INDEX(lmic_raw[],MATCH($A116,lmic_raw[[setting]:[setting]],0), MATCH(AJ$1, lmic_raw[#Headers],0))=0, INDEX(regions[], MATCH($D116, regions[[setting]:[setting]],0), MATCH(AJ$1, regions[#Headers],0)),INDEX(lmic_raw[],MATCH($A116,lmic_raw[[setting]:[setting]],0), MATCH(AJ$1, lmic_raw[#Headers],0)))</f>
        <v>3.5465053197037046E-3</v>
      </c>
      <c r="AK116" s="33">
        <f>IF(INDEX(lmic_raw[],MATCH($A116,lmic_raw[[setting]:[setting]],0), MATCH(AK$1, lmic_raw[#Headers],0))=0, INDEX(regions[], MATCH($D116, regions[[setting]:[setting]],0), MATCH(AK$1, regions[#Headers],0)),INDEX(lmic_raw[],MATCH($A116,lmic_raw[[setting]:[setting]],0), MATCH(AK$1, lmic_raw[#Headers],0)))</f>
        <v>4.4674961160007399E-3</v>
      </c>
      <c r="AL116" s="33">
        <f>IF(INDEX(lmic_raw[],MATCH($A116,lmic_raw[[setting]:[setting]],0), MATCH(AL$1, lmic_raw[#Headers],0))=0, INDEX(regions[], MATCH($D116, regions[[setting]:[setting]],0), MATCH(AL$1, regions[#Headers],0)),INDEX(lmic_raw[],MATCH($A116,lmic_raw[[setting]:[setting]],0), MATCH(AL$1, lmic_raw[#Headers],0)))</f>
        <v>5.4109756268481439E-3</v>
      </c>
      <c r="AM116" s="33">
        <f>IF(INDEX(lmic_raw[],MATCH($A116,lmic_raw[[setting]:[setting]],0), MATCH(AM$1, lmic_raw[#Headers],0))=0, INDEX(regions[], MATCH($D116, regions[[setting]:[setting]],0), MATCH(AM$1, regions[#Headers],0)),INDEX(lmic_raw[],MATCH($A116,lmic_raw[[setting]:[setting]],0), MATCH(AM$1, lmic_raw[#Headers],0)))</f>
        <v>6.623522459809337E-3</v>
      </c>
      <c r="AN116" s="33">
        <f>IF(INDEX(lmic_raw[],MATCH($A116,lmic_raw[[setting]:[setting]],0), MATCH(AN$1, lmic_raw[#Headers],0))=0, INDEX(regions[], MATCH($D116, regions[[setting]:[setting]],0), MATCH(AN$1, regions[#Headers],0)),INDEX(lmic_raw[],MATCH($A116,lmic_raw[[setting]:[setting]],0), MATCH(AN$1, lmic_raw[#Headers],0)))</f>
        <v>8.8326556424588604E-3</v>
      </c>
      <c r="AO116" s="33">
        <f>IF(INDEX(lmic_raw[],MATCH($A116,lmic_raw[[setting]:[setting]],0), MATCH(AO$1, lmic_raw[#Headers],0))=0, INDEX(regions[], MATCH($D116, regions[[setting]:[setting]],0), MATCH(AO$1, regions[#Headers],0)),INDEX(lmic_raw[],MATCH($A116,lmic_raw[[setting]:[setting]],0), MATCH(AO$1, lmic_raw[#Headers],0)))</f>
        <v>1.1923097729237751E-2</v>
      </c>
      <c r="AP116" s="33">
        <f>IF(INDEX(lmic_raw[],MATCH($A116,lmic_raw[[setting]:[setting]],0), MATCH(AP$1, lmic_raw[#Headers],0))=0, INDEX(regions[], MATCH($D116, regions[[setting]:[setting]],0), MATCH(AP$1, regions[#Headers],0)),INDEX(lmic_raw[],MATCH($A116,lmic_raw[[setting]:[setting]],0), MATCH(AP$1, lmic_raw[#Headers],0)))</f>
        <v>1.7536947410145505E-2</v>
      </c>
      <c r="AQ116" s="33">
        <f>IF(INDEX(lmic_raw[],MATCH($A116,lmic_raw[[setting]:[setting]],0), MATCH(AQ$1, lmic_raw[#Headers],0))=0, INDEX(regions[], MATCH($D116, regions[[setting]:[setting]],0), MATCH(AQ$1, regions[#Headers],0)),INDEX(lmic_raw[],MATCH($A116,lmic_raw[[setting]:[setting]],0), MATCH(AQ$1, lmic_raw[#Headers],0)))</f>
        <v>2.7409566126079893E-2</v>
      </c>
      <c r="AR116" s="33">
        <f>IF(INDEX(lmic_raw[],MATCH($A116,lmic_raw[[setting]:[setting]],0), MATCH(AR$1, lmic_raw[#Headers],0))=0, INDEX(regions[], MATCH($D116, regions[[setting]:[setting]],0), MATCH(AR$1, regions[#Headers],0)),INDEX(lmic_raw[],MATCH($A116,lmic_raw[[setting]:[setting]],0), MATCH(AR$1, lmic_raw[#Headers],0)))</f>
        <v>4.2580666186292179E-2</v>
      </c>
      <c r="AS116" s="33">
        <f>IF(INDEX(lmic_raw[],MATCH($A116,lmic_raw[[setting]:[setting]],0), MATCH(AS$1, lmic_raw[#Headers],0))=0, INDEX(regions[], MATCH($D116, regions[[setting]:[setting]],0), MATCH(AS$1, regions[#Headers],0)),INDEX(lmic_raw[],MATCH($A116,lmic_raw[[setting]:[setting]],0), MATCH(AS$1, lmic_raw[#Headers],0)))</f>
        <v>6.3829376993833828E-2</v>
      </c>
      <c r="AT116" s="33">
        <f>IF(INDEX(lmic_raw[],MATCH($A116,lmic_raw[[setting]:[setting]],0), MATCH(AT$1, lmic_raw[#Headers],0))=0, INDEX(regions[], MATCH($D116, regions[[setting]:[setting]],0), MATCH(AT$1, regions[#Headers],0)),INDEX(lmic_raw[],MATCH($A116,lmic_raw[[setting]:[setting]],0), MATCH(AT$1, lmic_raw[#Headers],0)))</f>
        <v>9.205863252467697E-2</v>
      </c>
      <c r="AU116" s="33">
        <f>IF(INDEX(lmic_raw[],MATCH($A116,lmic_raw[[setting]:[setting]],0), MATCH(AU$1, lmic_raw[#Headers],0))=0, INDEX(regions[], MATCH($D116, regions[[setting]:[setting]],0), MATCH(AU$1, regions[#Headers],0)),INDEX(lmic_raw[],MATCH($A116,lmic_raw[[setting]:[setting]],0), MATCH(AU$1, lmic_raw[#Headers],0)))</f>
        <v>0.12169234717050383</v>
      </c>
      <c r="AV116" s="33">
        <f>IF(INDEX(lmic_raw[],MATCH($A116,lmic_raw[[setting]:[setting]],0), MATCH(AV$1, lmic_raw[#Headers],0))=0, INDEX(regions[], MATCH($D116, regions[[setting]:[setting]],0), MATCH(AV$1, regions[#Headers],0)),INDEX(lmic_raw[],MATCH($A116,lmic_raw[[setting]:[setting]],0), MATCH(AV$1, lmic_raw[#Headers],0)))</f>
        <v>0.14819504180293439</v>
      </c>
      <c r="AW116" s="33">
        <f>IF(INDEX(lmic_raw[],MATCH($A116,lmic_raw[[setting]:[setting]],0), MATCH(AW$1, lmic_raw[#Headers],0))=0, INDEX(regions[], MATCH($D116, regions[[setting]:[setting]],0), MATCH(AW$1, regions[#Headers],0)),INDEX(lmic_raw[],MATCH($A116,lmic_raw[[setting]:[setting]],0), MATCH(AW$1, lmic_raw[#Headers],0)))</f>
        <v>0.1678565296720865</v>
      </c>
      <c r="AX116" s="33">
        <f>IF(INDEX(lmic_raw[],MATCH($A116,lmic_raw[[setting]:[setting]],0), MATCH(AX$1, lmic_raw[#Headers],0))=0, INDEX(regions[], MATCH($D116, regions[[setting]:[setting]],0), MATCH(AX$1, regions[#Headers],0)),INDEX(lmic_raw[],MATCH($A116,lmic_raw[[setting]:[setting]],0), MATCH(AX$1, lmic_raw[#Headers],0)))</f>
        <v>64.947999999999993</v>
      </c>
      <c r="AY116" s="33" t="str">
        <f>IF(VLOOKUP($A116,lmic_raw[],11,FALSE)=0, "Yes", "No")</f>
        <v>Yes</v>
      </c>
    </row>
    <row r="117" spans="1:51" x14ac:dyDescent="0.25">
      <c r="A117" s="110" t="s">
        <v>273</v>
      </c>
      <c r="B117" s="104" t="s">
        <v>519</v>
      </c>
      <c r="C117" s="105">
        <v>740</v>
      </c>
      <c r="D117" s="84" t="s">
        <v>679</v>
      </c>
      <c r="E117" s="84" t="s">
        <v>223</v>
      </c>
      <c r="F117" s="84" t="s">
        <v>665</v>
      </c>
      <c r="G117" s="84" t="s">
        <v>676</v>
      </c>
      <c r="H117" s="33">
        <f>IF(INDEX(lmic_raw[],MATCH($A117,lmic_raw[[setting]:[setting]],0), MATCH(H$1, lmic_raw[#Headers],0))=0, INDEX(regions[], MATCH($D117, regions[[setting]:[setting]],0), MATCH(H$1, regions[#Headers],0)),INDEX(lmic_raw[],MATCH($A117,lmic_raw[[setting]:[setting]],0), MATCH(H$1, lmic_raw[#Headers],0)))</f>
        <v>581363</v>
      </c>
      <c r="I117" s="33">
        <f>IF(INDEX(lmic_raw[],MATCH($A117,lmic_raw[[setting]:[setting]],0), MATCH(I$1, lmic_raw[#Headers],0))=0, INDEX(regions[], MATCH($D117, regions[[setting]:[setting]],0), MATCH(I$1, regions[#Headers],0)),INDEX(lmic_raw[],MATCH($A117,lmic_raw[[setting]:[setting]],0), MATCH(I$1, lmic_raw[#Headers],0)))</f>
        <v>10851.721758000002</v>
      </c>
      <c r="J117" s="33">
        <f>IF(INDEX(lmic_raw[],MATCH($A117,lmic_raw[[setting]:[setting]],0), MATCH(J$1, lmic_raw[#Headers],0))=0, INDEX(regions[], MATCH($D117, regions[[setting]:[setting]],0), MATCH(J$1, regions[#Headers],0)),INDEX(lmic_raw[],MATCH($A117,lmic_raw[[setting]:[setting]],0), MATCH(J$1, lmic_raw[#Headers],0)))</f>
        <v>0.92900000000000005</v>
      </c>
      <c r="K117" s="33">
        <f>IF(INDEX(lmic_raw[],MATCH($A117,lmic_raw[[setting]:[setting]],0), MATCH(K$1, lmic_raw[#Headers],0))=0, INDEX(regions[], MATCH($D117, regions[[setting]:[setting]],0), MATCH(K$1, regions[#Headers],0)),INDEX(lmic_raw[],MATCH($A117,lmic_raw[[setting]:[setting]],0), MATCH(K$1, lmic_raw[#Headers],0)))</f>
        <v>0.79</v>
      </c>
      <c r="L117" s="33">
        <f>IF(INDEX(lmic_raw[],MATCH($A117,lmic_raw[[setting]:[setting]],0), MATCH(L$1, lmic_raw[#Headers],0))=0, INDEX(regions[], MATCH($D117, regions[[setting]:[setting]],0), MATCH(L$1, regions[#Headers],0)),INDEX(lmic_raw[],MATCH($A117,lmic_raw[[setting]:[setting]],0), MATCH(L$1, lmic_raw[#Headers],0)))</f>
        <v>0.77</v>
      </c>
      <c r="M117" s="33">
        <f>IF(INDEX(lmic_raw[],MATCH($A117,lmic_raw[[setting]:[setting]],0), MATCH(M$1, lmic_raw[#Headers],0))=0, INDEX(regions[], MATCH($D117, regions[[setting]:[setting]],0), MATCH(M$1, regions[#Headers],0)),INDEX(lmic_raw[],MATCH($A117,lmic_raw[[setting]:[setting]],0), MATCH(M$1, lmic_raw[#Headers],0)))</f>
        <v>1.66E-2</v>
      </c>
      <c r="N117" s="33">
        <f>IF(INDEX(lmic_raw[],MATCH($A117,lmic_raw[[setting]:[setting]],0), MATCH(N$1, lmic_raw[#Headers],0))=0, INDEX(regions[], MATCH($D117, regions[[setting]:[setting]],0), MATCH(N$1, regions[#Headers],0)),INDEX(lmic_raw[],MATCH($A117,lmic_raw[[setting]:[setting]],0), MATCH(N$1, lmic_raw[#Headers],0)))</f>
        <v>0.30692004376449455</v>
      </c>
      <c r="O117" s="33">
        <f>IF(INDEX(lmic_raw[],MATCH($A117,lmic_raw[[setting]:[setting]],0), MATCH(O$1, lmic_raw[#Headers],0))=0, INDEX(regions[], MATCH($D117, regions[[setting]:[setting]],0), MATCH(O$1, regions[#Headers],0)),INDEX(lmic_raw[],MATCH($A117,lmic_raw[[setting]:[setting]],0), MATCH(O$1, lmic_raw[#Headers],0)))</f>
        <v>0.8</v>
      </c>
      <c r="P117" s="33">
        <f>IF(INDEX(lmic_raw[],MATCH($A117,lmic_raw[[setting]:[setting]],0), MATCH(P$1, lmic_raw[#Headers],0))=0, INDEX(regions[], MATCH($D117, regions[[setting]:[setting]],0), MATCH(P$1, regions[#Headers],0)),INDEX(lmic_raw[],MATCH($A117,lmic_raw[[setting]:[setting]],0), MATCH(P$1, lmic_raw[#Headers],0)))</f>
        <v>0.17499999999999999</v>
      </c>
      <c r="Q117" s="33">
        <f>IF(INDEX(lmic_raw[],MATCH($A117,lmic_raw[[setting]:[setting]],0), MATCH(Q$1, lmic_raw[#Headers],0))=0, INDEX(regions[], MATCH($D117, regions[[setting]:[setting]],0), MATCH(Q$1, regions[#Headers],0)),INDEX(lmic_raw[],MATCH($A117,lmic_raw[[setting]:[setting]],0), MATCH(Q$1, lmic_raw[#Headers],0)))</f>
        <v>9.9102538759375705</v>
      </c>
      <c r="R117" s="33">
        <f>IF(INDEX(lmic_raw[],MATCH($A117,lmic_raw[[setting]:[setting]],0), MATCH(R$1, lmic_raw[#Headers],0))=0, INDEX(regions[], MATCH($D117, regions[[setting]:[setting]],0), MATCH(R$1, regions[#Headers],0)),INDEX(lmic_raw[],MATCH($A117,lmic_raw[[setting]:[setting]],0), MATCH(R$1, lmic_raw[#Headers],0)))</f>
        <v>86.883899999999997</v>
      </c>
      <c r="S117" s="33">
        <f>IF(INDEX(lmic_raw[],MATCH($A117,lmic_raw[[setting]:[setting]],0), MATCH(S$1, lmic_raw[#Headers],0))=0, INDEX(regions[], MATCH($D117, regions[[setting]:[setting]],0), MATCH(S$1, regions[#Headers],0)),INDEX(lmic_raw[],MATCH($A117,lmic_raw[[setting]:[setting]],0), MATCH(S$1, lmic_raw[#Headers],0)))</f>
        <v>134.6259</v>
      </c>
      <c r="T117" s="33">
        <f>IF(INDEX(lmic_raw[],MATCH($A117,lmic_raw[[setting]:[setting]],0), MATCH(T$1, lmic_raw[#Headers],0))=0, INDEX(regions[], MATCH($D117, regions[[setting]:[setting]],0), MATCH(T$1, regions[#Headers],0)),INDEX(lmic_raw[],MATCH($A117,lmic_raw[[setting]:[setting]],0), MATCH(T$1, lmic_raw[#Headers],0)))</f>
        <v>134.6259</v>
      </c>
      <c r="U117" s="33">
        <f>IF(INDEX(lmic_raw[],MATCH($A117,lmic_raw[[setting]:[setting]],0), MATCH(U$1, lmic_raw[#Headers],0))=0, INDEX(regions[], MATCH($D117, regions[[setting]:[setting]],0), MATCH(U$1, regions[#Headers],0)),INDEX(lmic_raw[],MATCH($A117,lmic_raw[[setting]:[setting]],0), MATCH(U$1, lmic_raw[#Headers],0)))</f>
        <v>134.6259</v>
      </c>
      <c r="V117" s="33">
        <f>IF(INDEX(lmic_raw[],MATCH($A117,lmic_raw[[setting]:[setting]],0), MATCH(V$1, lmic_raw[#Headers],0))=0, INDEX(regions[], MATCH($D117, regions[[setting]:[setting]],0), MATCH(V$1, regions[#Headers],0)),INDEX(lmic_raw[],MATCH($A117,lmic_raw[[setting]:[setting]],0), MATCH(V$1, lmic_raw[#Headers],0)))</f>
        <v>9.2721280178652226</v>
      </c>
      <c r="W117" s="33">
        <f>IF(INDEX(lmic_raw[],MATCH($A117,lmic_raw[[setting]:[setting]],0), MATCH(W$1, lmic_raw[#Headers],0))=0, INDEX(regions[], MATCH($D117, regions[[setting]:[setting]],0), MATCH(W$1, regions[#Headers],0)),INDEX(lmic_raw[],MATCH($A117,lmic_raw[[setting]:[setting]],0), MATCH(W$1, lmic_raw[#Headers],0)))</f>
        <v>9.2921280178652221</v>
      </c>
      <c r="X117" s="33">
        <f>IF(INDEX(lmic_raw[],MATCH($A117,lmic_raw[[setting]:[setting]],0), MATCH(X$1, lmic_raw[#Headers],0))=0, INDEX(regions[], MATCH($D117, regions[[setting]:[setting]],0), MATCH(X$1, regions[#Headers],0)),INDEX(lmic_raw[],MATCH($A117,lmic_raw[[setting]:[setting]],0), MATCH(X$1, lmic_raw[#Headers],0)))</f>
        <v>8.8343475094411978</v>
      </c>
      <c r="Y117" s="33">
        <f>IF(INDEX(lmic_raw[],MATCH($A117,lmic_raw[[setting]:[setting]],0), MATCH(Y$1, lmic_raw[#Headers],0))=0, INDEX(regions[], MATCH($D117, regions[[setting]:[setting]],0), MATCH(Y$1, regions[#Headers],0)),INDEX(lmic_raw[],MATCH($A117,lmic_raw[[setting]:[setting]],0), MATCH(Y$1, lmic_raw[#Headers],0)))</f>
        <v>8.8543475094411974</v>
      </c>
      <c r="Z117" s="33">
        <f>IF(INDEX(lmic_raw[],MATCH($A117,lmic_raw[[setting]:[setting]],0), MATCH(Z$1, lmic_raw[#Headers],0))=0, INDEX(regions[], MATCH($D117, regions[[setting]:[setting]],0), MATCH(Z$1, regions[#Headers],0)),INDEX(lmic_raw[],MATCH($A117,lmic_raw[[setting]:[setting]],0), MATCH(Z$1, lmic_raw[#Headers],0)))</f>
        <v>8.8464967833503927</v>
      </c>
      <c r="AA117" s="33">
        <f>IF(INDEX(lmic_raw[],MATCH($A117,lmic_raw[[setting]:[setting]],0), MATCH(AA$1, lmic_raw[#Headers],0))=0, INDEX(regions[], MATCH($D117, regions[[setting]:[setting]],0), MATCH(AA$1, regions[#Headers],0)),INDEX(lmic_raw[],MATCH($A117,lmic_raw[[setting]:[setting]],0), MATCH(AA$1, lmic_raw[#Headers],0)))</f>
        <v>9.5181586606715811</v>
      </c>
      <c r="AB117" s="33">
        <f>IF(INDEX(lmic_raw[],MATCH($A117,lmic_raw[[setting]:[setting]],0), MATCH(AB$1, lmic_raw[#Headers],0))=0, INDEX(regions[], MATCH($D117, regions[[setting]:[setting]],0), MATCH(AB$1, regions[#Headers],0)),INDEX(lmic_raw[],MATCH($A117,lmic_raw[[setting]:[setting]],0), MATCH(AB$1, lmic_raw[#Headers],0)))</f>
        <v>9.5381586606715807</v>
      </c>
      <c r="AC117" s="33">
        <f>IF(INDEX(lmic_raw[],MATCH($A117,lmic_raw[[setting]:[setting]],0), MATCH(AC$1, lmic_raw[#Headers],0))=0, INDEX(regions[], MATCH($D117, regions[[setting]:[setting]],0), MATCH(AC$1, regions[#Headers],0)),INDEX(lmic_raw[],MATCH($A117,lmic_raw[[setting]:[setting]],0), MATCH(AC$1, lmic_raw[#Headers],0)))</f>
        <v>1.7496539999999949E-2</v>
      </c>
      <c r="AD117" s="33">
        <f>IF(INDEX(lmic_raw[],MATCH($A117,lmic_raw[[setting]:[setting]],0), MATCH(AD$1, lmic_raw[#Headers],0))=0, INDEX(regions[], MATCH($D117, regions[[setting]:[setting]],0), MATCH(AD$1, regions[#Headers],0)),INDEX(lmic_raw[],MATCH($A117,lmic_raw[[setting]:[setting]],0), MATCH(AD$1, lmic_raw[#Headers],0)))</f>
        <v>5.2713045916398212E-4</v>
      </c>
      <c r="AE117" s="33">
        <f>IF(INDEX(lmic_raw[],MATCH($A117,lmic_raw[[setting]:[setting]],0), MATCH(AE$1, lmic_raw[#Headers],0))=0, INDEX(regions[], MATCH($D117, regions[[setting]:[setting]],0), MATCH(AE$1, regions[#Headers],0)),INDEX(lmic_raw[],MATCH($A117,lmic_raw[[setting]:[setting]],0), MATCH(AE$1, lmic_raw[#Headers],0)))</f>
        <v>5.5092254603772059E-4</v>
      </c>
      <c r="AF117" s="33">
        <f>IF(INDEX(lmic_raw[],MATCH($A117,lmic_raw[[setting]:[setting]],0), MATCH(AF$1, lmic_raw[#Headers],0))=0, INDEX(regions[], MATCH($D117, regions[[setting]:[setting]],0), MATCH(AF$1, regions[#Headers],0)),INDEX(lmic_raw[],MATCH($A117,lmic_raw[[setting]:[setting]],0), MATCH(AF$1, lmic_raw[#Headers],0)))</f>
        <v>3.1541800571920048E-4</v>
      </c>
      <c r="AG117" s="33">
        <f>IF(INDEX(lmic_raw[],MATCH($A117,lmic_raw[[setting]:[setting]],0), MATCH(AG$1, lmic_raw[#Headers],0))=0, INDEX(regions[], MATCH($D117, regions[[setting]:[setting]],0), MATCH(AG$1, regions[#Headers],0)),INDEX(lmic_raw[],MATCH($A117,lmic_raw[[setting]:[setting]],0), MATCH(AG$1, lmic_raw[#Headers],0)))</f>
        <v>5.7519180580934001E-4</v>
      </c>
      <c r="AH117" s="33">
        <f>IF(INDEX(lmic_raw[],MATCH($A117,lmic_raw[[setting]:[setting]],0), MATCH(AH$1, lmic_raw[#Headers],0))=0, INDEX(regions[], MATCH($D117, regions[[setting]:[setting]],0), MATCH(AH$1, regions[#Headers],0)),INDEX(lmic_raw[],MATCH($A117,lmic_raw[[setting]:[setting]],0), MATCH(AH$1, lmic_raw[#Headers],0)))</f>
        <v>1.1746985126604994E-3</v>
      </c>
      <c r="AI117" s="33">
        <f>IF(INDEX(lmic_raw[],MATCH($A117,lmic_raw[[setting]:[setting]],0), MATCH(AI$1, lmic_raw[#Headers],0))=0, INDEX(regions[], MATCH($D117, regions[[setting]:[setting]],0), MATCH(AI$1, regions[#Headers],0)),INDEX(lmic_raw[],MATCH($A117,lmic_raw[[setting]:[setting]],0), MATCH(AI$1, lmic_raw[#Headers],0)))</f>
        <v>1.8961984882942902E-3</v>
      </c>
      <c r="AJ117" s="33">
        <f>IF(INDEX(lmic_raw[],MATCH($A117,lmic_raw[[setting]:[setting]],0), MATCH(AJ$1, lmic_raw[#Headers],0))=0, INDEX(regions[], MATCH($D117, regions[[setting]:[setting]],0), MATCH(AJ$1, regions[#Headers],0)),INDEX(lmic_raw[],MATCH($A117,lmic_raw[[setting]:[setting]],0), MATCH(AJ$1, lmic_raw[#Headers],0)))</f>
        <v>2.568637902467637E-3</v>
      </c>
      <c r="AK117" s="33">
        <f>IF(INDEX(lmic_raw[],MATCH($A117,lmic_raw[[setting]:[setting]],0), MATCH(AK$1, lmic_raw[#Headers],0))=0, INDEX(regions[], MATCH($D117, regions[[setting]:[setting]],0), MATCH(AK$1, regions[#Headers],0)),INDEX(lmic_raw[],MATCH($A117,lmic_raw[[setting]:[setting]],0), MATCH(AK$1, lmic_raw[#Headers],0)))</f>
        <v>3.2158150706266654E-3</v>
      </c>
      <c r="AL117" s="33">
        <f>IF(INDEX(lmic_raw[],MATCH($A117,lmic_raw[[setting]:[setting]],0), MATCH(AL$1, lmic_raw[#Headers],0))=0, INDEX(regions[], MATCH($D117, regions[[setting]:[setting]],0), MATCH(AL$1, regions[#Headers],0)),INDEX(lmic_raw[],MATCH($A117,lmic_raw[[setting]:[setting]],0), MATCH(AL$1, lmic_raw[#Headers],0)))</f>
        <v>3.9342196188770747E-3</v>
      </c>
      <c r="AM117" s="33">
        <f>IF(INDEX(lmic_raw[],MATCH($A117,lmic_raw[[setting]:[setting]],0), MATCH(AM$1, lmic_raw[#Headers],0))=0, INDEX(regions[], MATCH($D117, regions[[setting]:[setting]],0), MATCH(AM$1, regions[#Headers],0)),INDEX(lmic_raw[],MATCH($A117,lmic_raw[[setting]:[setting]],0), MATCH(AM$1, lmic_raw[#Headers],0)))</f>
        <v>5.0566020039156468E-3</v>
      </c>
      <c r="AN117" s="33">
        <f>IF(INDEX(lmic_raw[],MATCH($A117,lmic_raw[[setting]:[setting]],0), MATCH(AN$1, lmic_raw[#Headers],0))=0, INDEX(regions[], MATCH($D117, regions[[setting]:[setting]],0), MATCH(AN$1, regions[#Headers],0)),INDEX(lmic_raw[],MATCH($A117,lmic_raw[[setting]:[setting]],0), MATCH(AN$1, lmic_raw[#Headers],0)))</f>
        <v>7.3277731125225339E-3</v>
      </c>
      <c r="AO117" s="33">
        <f>IF(INDEX(lmic_raw[],MATCH($A117,lmic_raw[[setting]:[setting]],0), MATCH(AO$1, lmic_raw[#Headers],0))=0, INDEX(regions[], MATCH($D117, regions[[setting]:[setting]],0), MATCH(AO$1, regions[#Headers],0)),INDEX(lmic_raw[],MATCH($A117,lmic_raw[[setting]:[setting]],0), MATCH(AO$1, lmic_raw[#Headers],0)))</f>
        <v>1.1357376285848873E-2</v>
      </c>
      <c r="AP117" s="33">
        <f>IF(INDEX(lmic_raw[],MATCH($A117,lmic_raw[[setting]:[setting]],0), MATCH(AP$1, lmic_raw[#Headers],0))=0, INDEX(regions[], MATCH($D117, regions[[setting]:[setting]],0), MATCH(AP$1, regions[#Headers],0)),INDEX(lmic_raw[],MATCH($A117,lmic_raw[[setting]:[setting]],0), MATCH(AP$1, lmic_raw[#Headers],0)))</f>
        <v>1.7535594509055171E-2</v>
      </c>
      <c r="AQ117" s="33">
        <f>IF(INDEX(lmic_raw[],MATCH($A117,lmic_raw[[setting]:[setting]],0), MATCH(AQ$1, lmic_raw[#Headers],0))=0, INDEX(regions[], MATCH($D117, regions[[setting]:[setting]],0), MATCH(AQ$1, regions[#Headers],0)),INDEX(lmic_raw[],MATCH($A117,lmic_raw[[setting]:[setting]],0), MATCH(AQ$1, lmic_raw[#Headers],0)))</f>
        <v>2.6472253876052673E-2</v>
      </c>
      <c r="AR117" s="33">
        <f>IF(INDEX(lmic_raw[],MATCH($A117,lmic_raw[[setting]:[setting]],0), MATCH(AR$1, lmic_raw[#Headers],0))=0, INDEX(regions[], MATCH($D117, regions[[setting]:[setting]],0), MATCH(AR$1, regions[#Headers],0)),INDEX(lmic_raw[],MATCH($A117,lmic_raw[[setting]:[setting]],0), MATCH(AR$1, lmic_raw[#Headers],0)))</f>
        <v>3.9200376957628798E-2</v>
      </c>
      <c r="AS117" s="33">
        <f>IF(INDEX(lmic_raw[],MATCH($A117,lmic_raw[[setting]:[setting]],0), MATCH(AS$1, lmic_raw[#Headers],0))=0, INDEX(regions[], MATCH($D117, regions[[setting]:[setting]],0), MATCH(AS$1, regions[#Headers],0)),INDEX(lmic_raw[],MATCH($A117,lmic_raw[[setting]:[setting]],0), MATCH(AS$1, lmic_raw[#Headers],0)))</f>
        <v>5.680284239063222E-2</v>
      </c>
      <c r="AT117" s="33">
        <f>IF(INDEX(lmic_raw[],MATCH($A117,lmic_raw[[setting]:[setting]],0), MATCH(AT$1, lmic_raw[#Headers],0))=0, INDEX(regions[], MATCH($D117, regions[[setting]:[setting]],0), MATCH(AT$1, regions[#Headers],0)),INDEX(lmic_raw[],MATCH($A117,lmic_raw[[setting]:[setting]],0), MATCH(AT$1, lmic_raw[#Headers],0)))</f>
        <v>7.981422650900577E-2</v>
      </c>
      <c r="AU117" s="33">
        <f>IF(INDEX(lmic_raw[],MATCH($A117,lmic_raw[[setting]:[setting]],0), MATCH(AU$1, lmic_raw[#Headers],0))=0, INDEX(regions[], MATCH($D117, regions[[setting]:[setting]],0), MATCH(AU$1, regions[#Headers],0)),INDEX(lmic_raw[],MATCH($A117,lmic_raw[[setting]:[setting]],0), MATCH(AU$1, lmic_raw[#Headers],0)))</f>
        <v>0.10661921371183349</v>
      </c>
      <c r="AV117" s="33">
        <f>IF(INDEX(lmic_raw[],MATCH($A117,lmic_raw[[setting]:[setting]],0), MATCH(AV$1, lmic_raw[#Headers],0))=0, INDEX(regions[], MATCH($D117, regions[[setting]:[setting]],0), MATCH(AV$1, regions[#Headers],0)),INDEX(lmic_raw[],MATCH($A117,lmic_raw[[setting]:[setting]],0), MATCH(AV$1, lmic_raw[#Headers],0)))</f>
        <v>0.13385074379608689</v>
      </c>
      <c r="AW117" s="33">
        <f>IF(INDEX(lmic_raw[],MATCH($A117,lmic_raw[[setting]:[setting]],0), MATCH(AW$1, lmic_raw[#Headers],0))=0, INDEX(regions[], MATCH($D117, regions[[setting]:[setting]],0), MATCH(AW$1, regions[#Headers],0)),INDEX(lmic_raw[],MATCH($A117,lmic_raw[[setting]:[setting]],0), MATCH(AW$1, lmic_raw[#Headers],0)))</f>
        <v>0.15756882013185389</v>
      </c>
      <c r="AX117" s="33">
        <f>IF(INDEX(lmic_raw[],MATCH($A117,lmic_raw[[setting]:[setting]],0), MATCH(AX$1, lmic_raw[#Headers],0))=0, INDEX(regions[], MATCH($D117, regions[[setting]:[setting]],0), MATCH(AX$1, regions[#Headers],0)),INDEX(lmic_raw[],MATCH($A117,lmic_raw[[setting]:[setting]],0), MATCH(AX$1, lmic_raw[#Headers],0)))</f>
        <v>71.488</v>
      </c>
      <c r="AY117" s="33" t="str">
        <f>IF(VLOOKUP($A117,lmic_raw[],11,FALSE)=0, "Yes", "No")</f>
        <v>No</v>
      </c>
    </row>
    <row r="118" spans="1:51" x14ac:dyDescent="0.25">
      <c r="A118" s="109" t="s">
        <v>648</v>
      </c>
      <c r="B118" s="101" t="s">
        <v>520</v>
      </c>
      <c r="C118" s="102">
        <v>760</v>
      </c>
      <c r="D118" s="82" t="s">
        <v>673</v>
      </c>
      <c r="E118" s="82" t="s">
        <v>579</v>
      </c>
      <c r="F118" s="82" t="s">
        <v>579</v>
      </c>
      <c r="G118" s="82" t="s">
        <v>674</v>
      </c>
      <c r="H118" s="33">
        <f>IF(INDEX(lmic_raw[],MATCH($A118,lmic_raw[[setting]:[setting]],0), MATCH(H$1, lmic_raw[#Headers],0))=0, INDEX(regions[], MATCH($D118, regions[[setting]:[setting]],0), MATCH(H$1, regions[#Headers],0)),INDEX(lmic_raw[],MATCH($A118,lmic_raw[[setting]:[setting]],0), MATCH(H$1, lmic_raw[#Headers],0)))</f>
        <v>17070132</v>
      </c>
      <c r="I118" s="33">
        <f>IF(INDEX(lmic_raw[],MATCH($A118,lmic_raw[[setting]:[setting]],0), MATCH(I$1, lmic_raw[#Headers],0))=0, INDEX(regions[], MATCH($D118, regions[[setting]:[setting]],0), MATCH(I$1, regions[#Headers],0)),INDEX(lmic_raw[],MATCH($A118,lmic_raw[[setting]:[setting]],0), MATCH(I$1, lmic_raw[#Headers],0)))</f>
        <v>409751.44852800004</v>
      </c>
      <c r="J118" s="33">
        <f>IF(INDEX(lmic_raw[],MATCH($A118,lmic_raw[[setting]:[setting]],0), MATCH(J$1, lmic_raw[#Headers],0))=0, INDEX(regions[], MATCH($D118, regions[[setting]:[setting]],0), MATCH(J$1, regions[#Headers],0)),INDEX(lmic_raw[],MATCH($A118,lmic_raw[[setting]:[setting]],0), MATCH(J$1, lmic_raw[#Headers],0)))</f>
        <v>0.78200000000000003</v>
      </c>
      <c r="K118" s="33">
        <f>IF(INDEX(lmic_raw[],MATCH($A118,lmic_raw[[setting]:[setting]],0), MATCH(K$1, lmic_raw[#Headers],0))=0, INDEX(regions[], MATCH($D118, regions[[setting]:[setting]],0), MATCH(K$1, regions[#Headers],0)),INDEX(lmic_raw[],MATCH($A118,lmic_raw[[setting]:[setting]],0), MATCH(K$1, lmic_raw[#Headers],0)))</f>
        <v>0.70987607132960939</v>
      </c>
      <c r="L118" s="33">
        <f>IF(INDEX(lmic_raw[],MATCH($A118,lmic_raw[[setting]:[setting]],0), MATCH(L$1, lmic_raw[#Headers],0))=0, INDEX(regions[], MATCH($D118, regions[[setting]:[setting]],0), MATCH(L$1, regions[#Headers],0)),INDEX(lmic_raw[],MATCH($A118,lmic_raw[[setting]:[setting]],0), MATCH(L$1, lmic_raw[#Headers],0)))</f>
        <v>0.54</v>
      </c>
      <c r="M118" s="33">
        <f>IF(INDEX(lmic_raw[],MATCH($A118,lmic_raw[[setting]:[setting]],0), MATCH(M$1, lmic_raw[#Headers],0))=0, INDEX(regions[], MATCH($D118, regions[[setting]:[setting]],0), MATCH(M$1, regions[#Headers],0)),INDEX(lmic_raw[],MATCH($A118,lmic_raw[[setting]:[setting]],0), MATCH(M$1, lmic_raw[#Headers],0)))</f>
        <v>1.1200000000000002E-2</v>
      </c>
      <c r="N118" s="33">
        <f>IF(INDEX(lmic_raw[],MATCH($A118,lmic_raw[[setting]:[setting]],0), MATCH(N$1, lmic_raw[#Headers],0))=0, INDEX(regions[], MATCH($D118, regions[[setting]:[setting]],0), MATCH(N$1, regions[#Headers],0)),INDEX(lmic_raw[],MATCH($A118,lmic_raw[[setting]:[setting]],0), MATCH(N$1, lmic_raw[#Headers],0)))</f>
        <v>0.25842474074213168</v>
      </c>
      <c r="O118" s="33">
        <f>IF(INDEX(lmic_raw[],MATCH($A118,lmic_raw[[setting]:[setting]],0), MATCH(O$1, lmic_raw[#Headers],0))=0, INDEX(regions[], MATCH($D118, regions[[setting]:[setting]],0), MATCH(O$1, regions[#Headers],0)),INDEX(lmic_raw[],MATCH($A118,lmic_raw[[setting]:[setting]],0), MATCH(O$1, lmic_raw[#Headers],0)))</f>
        <v>0.8</v>
      </c>
      <c r="P118" s="33">
        <f>IF(INDEX(lmic_raw[],MATCH($A118,lmic_raw[[setting]:[setting]],0), MATCH(P$1, lmic_raw[#Headers],0))=0, INDEX(regions[], MATCH($D118, regions[[setting]:[setting]],0), MATCH(P$1, regions[#Headers],0)),INDEX(lmic_raw[],MATCH($A118,lmic_raw[[setting]:[setting]],0), MATCH(P$1, lmic_raw[#Headers],0)))</f>
        <v>0.17499999999999999</v>
      </c>
      <c r="Q118" s="33">
        <f>IF(INDEX(lmic_raw[],MATCH($A118,lmic_raw[[setting]:[setting]],0), MATCH(Q$1, lmic_raw[#Headers],0))=0, INDEX(regions[], MATCH($D118, regions[[setting]:[setting]],0), MATCH(Q$1, regions[#Headers],0)),INDEX(lmic_raw[],MATCH($A118,lmic_raw[[setting]:[setting]],0), MATCH(Q$1, lmic_raw[#Headers],0)))</f>
        <v>7.4770985936050138</v>
      </c>
      <c r="R118" s="33">
        <f>IF(INDEX(lmic_raw[],MATCH($A118,lmic_raw[[setting]:[setting]],0), MATCH(R$1, lmic_raw[#Headers],0))=0, INDEX(regions[], MATCH($D118, regions[[setting]:[setting]],0), MATCH(R$1, regions[#Headers],0)),INDEX(lmic_raw[],MATCH($A118,lmic_raw[[setting]:[setting]],0), MATCH(R$1, lmic_raw[#Headers],0)))</f>
        <v>46.335900000000002</v>
      </c>
      <c r="S118" s="33">
        <f>IF(INDEX(lmic_raw[],MATCH($A118,lmic_raw[[setting]:[setting]],0), MATCH(S$1, lmic_raw[#Headers],0))=0, INDEX(regions[], MATCH($D118, regions[[setting]:[setting]],0), MATCH(S$1, regions[#Headers],0)),INDEX(lmic_raw[],MATCH($A118,lmic_raw[[setting]:[setting]],0), MATCH(S$1, lmic_raw[#Headers],0)))</f>
        <v>94.077900000000014</v>
      </c>
      <c r="T118" s="33">
        <f>IF(INDEX(lmic_raw[],MATCH($A118,lmic_raw[[setting]:[setting]],0), MATCH(T$1, lmic_raw[#Headers],0))=0, INDEX(regions[], MATCH($D118, regions[[setting]:[setting]],0), MATCH(T$1, regions[#Headers],0)),INDEX(lmic_raw[],MATCH($A118,lmic_raw[[setting]:[setting]],0), MATCH(T$1, lmic_raw[#Headers],0)))</f>
        <v>94.077900000000014</v>
      </c>
      <c r="U118" s="33">
        <f>IF(INDEX(lmic_raw[],MATCH($A118,lmic_raw[[setting]:[setting]],0), MATCH(U$1, lmic_raw[#Headers],0))=0, INDEX(regions[], MATCH($D118, regions[[setting]:[setting]],0), MATCH(U$1, regions[#Headers],0)),INDEX(lmic_raw[],MATCH($A118,lmic_raw[[setting]:[setting]],0), MATCH(U$1, lmic_raw[#Headers],0)))</f>
        <v>94.077900000000014</v>
      </c>
      <c r="V118" s="33">
        <f>IF(INDEX(lmic_raw[],MATCH($A118,lmic_raw[[setting]:[setting]],0), MATCH(V$1, lmic_raw[#Headers],0))=0, INDEX(regions[], MATCH($D118, regions[[setting]:[setting]],0), MATCH(V$1, regions[#Headers],0)),INDEX(lmic_raw[],MATCH($A118,lmic_raw[[setting]:[setting]],0), MATCH(V$1, lmic_raw[#Headers],0)))</f>
        <v>1.2261836989596153</v>
      </c>
      <c r="W118" s="33">
        <f>IF(INDEX(lmic_raw[],MATCH($A118,lmic_raw[[setting]:[setting]],0), MATCH(W$1, lmic_raw[#Headers],0))=0, INDEX(regions[], MATCH($D118, regions[[setting]:[setting]],0), MATCH(W$1, regions[#Headers],0)),INDEX(lmic_raw[],MATCH($A118,lmic_raw[[setting]:[setting]],0), MATCH(W$1, lmic_raw[#Headers],0)))</f>
        <v>1.7061836989596153</v>
      </c>
      <c r="X118" s="33">
        <f>IF(INDEX(lmic_raw[],MATCH($A118,lmic_raw[[setting]:[setting]],0), MATCH(X$1, lmic_raw[#Headers],0))=0, INDEX(regions[], MATCH($D118, regions[[setting]:[setting]],0), MATCH(X$1, regions[#Headers],0)),INDEX(lmic_raw[],MATCH($A118,lmic_raw[[setting]:[setting]],0), MATCH(X$1, lmic_raw[#Headers],0)))</f>
        <v>0.7892761005719009</v>
      </c>
      <c r="Y118" s="33">
        <f>IF(INDEX(lmic_raw[],MATCH($A118,lmic_raw[[setting]:[setting]],0), MATCH(Y$1, lmic_raw[#Headers],0))=0, INDEX(regions[], MATCH($D118, regions[[setting]:[setting]],0), MATCH(Y$1, regions[#Headers],0)),INDEX(lmic_raw[],MATCH($A118,lmic_raw[[setting]:[setting]],0), MATCH(Y$1, lmic_raw[#Headers],0)))</f>
        <v>1.2692761005719009</v>
      </c>
      <c r="Z118" s="33">
        <f>IF(INDEX(lmic_raw[],MATCH($A118,lmic_raw[[setting]:[setting]],0), MATCH(Z$1, lmic_raw[#Headers],0))=0, INDEX(regions[], MATCH($D118, regions[[setting]:[setting]],0), MATCH(Z$1, regions[#Headers],0)),INDEX(lmic_raw[],MATCH($A118,lmic_raw[[setting]:[setting]],0), MATCH(Z$1, lmic_raw[#Headers],0)))</f>
        <v>1.261320582178993</v>
      </c>
      <c r="AA118" s="33">
        <f>IF(INDEX(lmic_raw[],MATCH($A118,lmic_raw[[setting]:[setting]],0), MATCH(AA$1, lmic_raw[#Headers],0))=0, INDEX(regions[], MATCH($D118, regions[[setting]:[setting]],0), MATCH(AA$1, regions[#Headers],0)),INDEX(lmic_raw[],MATCH($A118,lmic_raw[[setting]:[setting]],0), MATCH(AA$1, lmic_raw[#Headers],0)))</f>
        <v>1.471899688148234</v>
      </c>
      <c r="AB118" s="33">
        <f>IF(INDEX(lmic_raw[],MATCH($A118,lmic_raw[[setting]:[setting]],0), MATCH(AB$1, lmic_raw[#Headers],0))=0, INDEX(regions[], MATCH($D118, regions[[setting]:[setting]],0), MATCH(AB$1, regions[#Headers],0)),INDEX(lmic_raw[],MATCH($A118,lmic_raw[[setting]:[setting]],0), MATCH(AB$1, lmic_raw[#Headers],0)))</f>
        <v>1.951899688148234</v>
      </c>
      <c r="AC118" s="33">
        <f>IF(INDEX(lmic_raw[],MATCH($A118,lmic_raw[[setting]:[setting]],0), MATCH(AC$1, lmic_raw[#Headers],0))=0, INDEX(regions[], MATCH($D118, regions[[setting]:[setting]],0), MATCH(AC$1, regions[#Headers],0)),INDEX(lmic_raw[],MATCH($A118,lmic_raw[[setting]:[setting]],0), MATCH(AC$1, lmic_raw[#Headers],0)))</f>
        <v>1.5543830000000017E-2</v>
      </c>
      <c r="AD118" s="33">
        <f>IF(INDEX(lmic_raw[],MATCH($A118,lmic_raw[[setting]:[setting]],0), MATCH(AD$1, lmic_raw[#Headers],0))=0, INDEX(regions[], MATCH($D118, regions[[setting]:[setting]],0), MATCH(AD$1, regions[#Headers],0)),INDEX(lmic_raw[],MATCH($A118,lmic_raw[[setting]:[setting]],0), MATCH(AD$1, lmic_raw[#Headers],0)))</f>
        <v>5.6625933889975239E-4</v>
      </c>
      <c r="AE118" s="33">
        <f>IF(INDEX(lmic_raw[],MATCH($A118,lmic_raw[[setting]:[setting]],0), MATCH(AE$1, lmic_raw[#Headers],0))=0, INDEX(regions[], MATCH($D118, regions[[setting]:[setting]],0), MATCH(AE$1, regions[#Headers],0)),INDEX(lmic_raw[],MATCH($A118,lmic_raw[[setting]:[setting]],0), MATCH(AE$1, lmic_raw[#Headers],0)))</f>
        <v>3.5458222388945384E-4</v>
      </c>
      <c r="AF118" s="33">
        <f>IF(INDEX(lmic_raw[],MATCH($A118,lmic_raw[[setting]:[setting]],0), MATCH(AF$1, lmic_raw[#Headers],0))=0, INDEX(regions[], MATCH($D118, regions[[setting]:[setting]],0), MATCH(AF$1, regions[#Headers],0)),INDEX(lmic_raw[],MATCH($A118,lmic_raw[[setting]:[setting]],0), MATCH(AF$1, lmic_raw[#Headers],0)))</f>
        <v>3.160905255719894E-4</v>
      </c>
      <c r="AG118" s="33">
        <f>IF(INDEX(lmic_raw[],MATCH($A118,lmic_raw[[setting]:[setting]],0), MATCH(AG$1, lmic_raw[#Headers],0))=0, INDEX(regions[], MATCH($D118, regions[[setting]:[setting]],0), MATCH(AG$1, regions[#Headers],0)),INDEX(lmic_raw[],MATCH($A118,lmic_raw[[setting]:[setting]],0), MATCH(AG$1, lmic_raw[#Headers],0)))</f>
        <v>2.1476597437748864E-3</v>
      </c>
      <c r="AH118" s="33">
        <f>IF(INDEX(lmic_raw[],MATCH($A118,lmic_raw[[setting]:[setting]],0), MATCH(AH$1, lmic_raw[#Headers],0))=0, INDEX(regions[], MATCH($D118, regions[[setting]:[setting]],0), MATCH(AH$1, regions[#Headers],0)),INDEX(lmic_raw[],MATCH($A118,lmic_raw[[setting]:[setting]],0), MATCH(AH$1, lmic_raw[#Headers],0)))</f>
        <v>3.1342040401075512E-3</v>
      </c>
      <c r="AI118" s="33">
        <f>IF(INDEX(lmic_raw[],MATCH($A118,lmic_raw[[setting]:[setting]],0), MATCH(AI$1, lmic_raw[#Headers],0))=0, INDEX(regions[], MATCH($D118, regions[[setting]:[setting]],0), MATCH(AI$1, regions[#Headers],0)),INDEX(lmic_raw[],MATCH($A118,lmic_raw[[setting]:[setting]],0), MATCH(AI$1, lmic_raw[#Headers],0)))</f>
        <v>4.6487466182035487E-3</v>
      </c>
      <c r="AJ118" s="33">
        <f>IF(INDEX(lmic_raw[],MATCH($A118,lmic_raw[[setting]:[setting]],0), MATCH(AJ$1, lmic_raw[#Headers],0))=0, INDEX(regions[], MATCH($D118, regions[[setting]:[setting]],0), MATCH(AJ$1, regions[#Headers],0)),INDEX(lmic_raw[],MATCH($A118,lmic_raw[[setting]:[setting]],0), MATCH(AJ$1, lmic_raw[#Headers],0)))</f>
        <v>3.9935579591588938E-3</v>
      </c>
      <c r="AK118" s="33">
        <f>IF(INDEX(lmic_raw[],MATCH($A118,lmic_raw[[setting]:[setting]],0), MATCH(AK$1, lmic_raw[#Headers],0))=0, INDEX(regions[], MATCH($D118, regions[[setting]:[setting]],0), MATCH(AK$1, regions[#Headers],0)),INDEX(lmic_raw[],MATCH($A118,lmic_raw[[setting]:[setting]],0), MATCH(AK$1, lmic_raw[#Headers],0)))</f>
        <v>2.7207746224425407E-3</v>
      </c>
      <c r="AL118" s="33">
        <f>IF(INDEX(lmic_raw[],MATCH($A118,lmic_raw[[setting]:[setting]],0), MATCH(AL$1, lmic_raw[#Headers],0))=0, INDEX(regions[], MATCH($D118, regions[[setting]:[setting]],0), MATCH(AL$1, regions[#Headers],0)),INDEX(lmic_raw[],MATCH($A118,lmic_raw[[setting]:[setting]],0), MATCH(AL$1, lmic_raw[#Headers],0)))</f>
        <v>2.7222126681832074E-3</v>
      </c>
      <c r="AM118" s="33">
        <f>IF(INDEX(lmic_raw[],MATCH($A118,lmic_raw[[setting]:[setting]],0), MATCH(AM$1, lmic_raw[#Headers],0))=0, INDEX(regions[], MATCH($D118, regions[[setting]:[setting]],0), MATCH(AM$1, regions[#Headers],0)),INDEX(lmic_raw[],MATCH($A118,lmic_raw[[setting]:[setting]],0), MATCH(AM$1, lmic_raw[#Headers],0)))</f>
        <v>4.0660547201637901E-3</v>
      </c>
      <c r="AN118" s="33">
        <f>IF(INDEX(lmic_raw[],MATCH($A118,lmic_raw[[setting]:[setting]],0), MATCH(AN$1, lmic_raw[#Headers],0))=0, INDEX(regions[], MATCH($D118, regions[[setting]:[setting]],0), MATCH(AN$1, regions[#Headers],0)),INDEX(lmic_raw[],MATCH($A118,lmic_raw[[setting]:[setting]],0), MATCH(AN$1, lmic_raw[#Headers],0)))</f>
        <v>6.6229891408634122E-3</v>
      </c>
      <c r="AO118" s="33">
        <f>IF(INDEX(lmic_raw[],MATCH($A118,lmic_raw[[setting]:[setting]],0), MATCH(AO$1, lmic_raw[#Headers],0))=0, INDEX(regions[], MATCH($D118, regions[[setting]:[setting]],0), MATCH(AO$1, regions[#Headers],0)),INDEX(lmic_raw[],MATCH($A118,lmic_raw[[setting]:[setting]],0), MATCH(AO$1, lmic_raw[#Headers],0)))</f>
        <v>8.1106364299420378E-3</v>
      </c>
      <c r="AP118" s="33">
        <f>IF(INDEX(lmic_raw[],MATCH($A118,lmic_raw[[setting]:[setting]],0), MATCH(AP$1, lmic_raw[#Headers],0))=0, INDEX(regions[], MATCH($D118, regions[[setting]:[setting]],0), MATCH(AP$1, regions[#Headers],0)),INDEX(lmic_raw[],MATCH($A118,lmic_raw[[setting]:[setting]],0), MATCH(AP$1, lmic_raw[#Headers],0)))</f>
        <v>1.3012347206928504E-2</v>
      </c>
      <c r="AQ118" s="33">
        <f>IF(INDEX(lmic_raw[],MATCH($A118,lmic_raw[[setting]:[setting]],0), MATCH(AQ$1, lmic_raw[#Headers],0))=0, INDEX(regions[], MATCH($D118, regions[[setting]:[setting]],0), MATCH(AQ$1, regions[#Headers],0)),INDEX(lmic_raw[],MATCH($A118,lmic_raw[[setting]:[setting]],0), MATCH(AQ$1, lmic_raw[#Headers],0)))</f>
        <v>2.1574450519031115E-2</v>
      </c>
      <c r="AR118" s="33">
        <f>IF(INDEX(lmic_raw[],MATCH($A118,lmic_raw[[setting]:[setting]],0), MATCH(AR$1, lmic_raw[#Headers],0))=0, INDEX(regions[], MATCH($D118, regions[[setting]:[setting]],0), MATCH(AR$1, regions[#Headers],0)),INDEX(lmic_raw[],MATCH($A118,lmic_raw[[setting]:[setting]],0), MATCH(AR$1, lmic_raw[#Headers],0)))</f>
        <v>3.549759510730266E-2</v>
      </c>
      <c r="AS118" s="33">
        <f>IF(INDEX(lmic_raw[],MATCH($A118,lmic_raw[[setting]:[setting]],0), MATCH(AS$1, lmic_raw[#Headers],0))=0, INDEX(regions[], MATCH($D118, regions[[setting]:[setting]],0), MATCH(AS$1, regions[#Headers],0)),INDEX(lmic_raw[],MATCH($A118,lmic_raw[[setting]:[setting]],0), MATCH(AS$1, lmic_raw[#Headers],0)))</f>
        <v>5.2152995053446186E-2</v>
      </c>
      <c r="AT118" s="33">
        <f>IF(INDEX(lmic_raw[],MATCH($A118,lmic_raw[[setting]:[setting]],0), MATCH(AT$1, lmic_raw[#Headers],0))=0, INDEX(regions[], MATCH($D118, regions[[setting]:[setting]],0), MATCH(AT$1, regions[#Headers],0)),INDEX(lmic_raw[],MATCH($A118,lmic_raw[[setting]:[setting]],0), MATCH(AT$1, lmic_raw[#Headers],0)))</f>
        <v>8.2738468449409353E-2</v>
      </c>
      <c r="AU118" s="33">
        <f>IF(INDEX(lmic_raw[],MATCH($A118,lmic_raw[[setting]:[setting]],0), MATCH(AU$1, lmic_raw[#Headers],0))=0, INDEX(regions[], MATCH($D118, regions[[setting]:[setting]],0), MATCH(AU$1, regions[#Headers],0)),INDEX(lmic_raw[],MATCH($A118,lmic_raw[[setting]:[setting]],0), MATCH(AU$1, lmic_raw[#Headers],0)))</f>
        <v>0.11748124899706361</v>
      </c>
      <c r="AV118" s="33">
        <f>IF(INDEX(lmic_raw[],MATCH($A118,lmic_raw[[setting]:[setting]],0), MATCH(AV$1, lmic_raw[#Headers],0))=0, INDEX(regions[], MATCH($D118, regions[[setting]:[setting]],0), MATCH(AV$1, regions[#Headers],0)),INDEX(lmic_raw[],MATCH($A118,lmic_raw[[setting]:[setting]],0), MATCH(AV$1, lmic_raw[#Headers],0)))</f>
        <v>0.15074816066722091</v>
      </c>
      <c r="AW118" s="33">
        <f>IF(INDEX(lmic_raw[],MATCH($A118,lmic_raw[[setting]:[setting]],0), MATCH(AW$1, lmic_raw[#Headers],0))=0, INDEX(regions[], MATCH($D118, regions[[setting]:[setting]],0), MATCH(AW$1, regions[#Headers],0)),INDEX(lmic_raw[],MATCH($A118,lmic_raw[[setting]:[setting]],0), MATCH(AW$1, lmic_raw[#Headers],0)))</f>
        <v>0.17290816915071688</v>
      </c>
      <c r="AX118" s="33">
        <f>IF(INDEX(lmic_raw[],MATCH($A118,lmic_raw[[setting]:[setting]],0), MATCH(AX$1, lmic_raw[#Headers],0))=0, INDEX(regions[], MATCH($D118, regions[[setting]:[setting]],0), MATCH(AX$1, regions[#Headers],0)),INDEX(lmic_raw[],MATCH($A118,lmic_raw[[setting]:[setting]],0), MATCH(AX$1, lmic_raw[#Headers],0)))</f>
        <v>71.319999999999993</v>
      </c>
      <c r="AY118" s="33" t="str">
        <f>IF(VLOOKUP($A118,lmic_raw[],11,FALSE)=0, "Yes", "No")</f>
        <v>Yes</v>
      </c>
    </row>
    <row r="119" spans="1:51" x14ac:dyDescent="0.25">
      <c r="A119" s="110" t="s">
        <v>187</v>
      </c>
      <c r="B119" s="104" t="s">
        <v>521</v>
      </c>
      <c r="C119" s="105">
        <v>762</v>
      </c>
      <c r="D119" s="84" t="s">
        <v>675</v>
      </c>
      <c r="E119" s="84" t="s">
        <v>184</v>
      </c>
      <c r="F119" s="84" t="s">
        <v>663</v>
      </c>
      <c r="G119" s="84" t="s">
        <v>674</v>
      </c>
      <c r="H119" s="33">
        <f>IF(INDEX(lmic_raw[],MATCH($A119,lmic_raw[[setting]:[setting]],0), MATCH(H$1, lmic_raw[#Headers],0))=0, INDEX(regions[], MATCH($D119, regions[[setting]:[setting]],0), MATCH(H$1, regions[#Headers],0)),INDEX(lmic_raw[],MATCH($A119,lmic_raw[[setting]:[setting]],0), MATCH(H$1, lmic_raw[#Headers],0)))</f>
        <v>9321023</v>
      </c>
      <c r="I119" s="33">
        <f>IF(INDEX(lmic_raw[],MATCH($A119,lmic_raw[[setting]:[setting]],0), MATCH(I$1, lmic_raw[#Headers],0))=0, INDEX(regions[], MATCH($D119, regions[[setting]:[setting]],0), MATCH(I$1, regions[#Headers],0)),INDEX(lmic_raw[],MATCH($A119,lmic_raw[[setting]:[setting]],0), MATCH(I$1, lmic_raw[#Headers],0)))</f>
        <v>290927.76987599995</v>
      </c>
      <c r="J119" s="33">
        <f>IF(INDEX(lmic_raw[],MATCH($A119,lmic_raw[[setting]:[setting]],0), MATCH(J$1, lmic_raw[#Headers],0))=0, INDEX(regions[], MATCH($D119, regions[[setting]:[setting]],0), MATCH(J$1, regions[#Headers],0)),INDEX(lmic_raw[],MATCH($A119,lmic_raw[[setting]:[setting]],0), MATCH(J$1, lmic_raw[#Headers],0)))</f>
        <v>0.88200000000000001</v>
      </c>
      <c r="K119" s="33">
        <f>IF(INDEX(lmic_raw[],MATCH($A119,lmic_raw[[setting]:[setting]],0), MATCH(K$1, lmic_raw[#Headers],0))=0, INDEX(regions[], MATCH($D119, regions[[setting]:[setting]],0), MATCH(K$1, regions[#Headers],0)),INDEX(lmic_raw[],MATCH($A119,lmic_raw[[setting]:[setting]],0), MATCH(K$1, lmic_raw[#Headers],0)))</f>
        <v>0.99</v>
      </c>
      <c r="L119" s="33">
        <f>IF(INDEX(lmic_raw[],MATCH($A119,lmic_raw[[setting]:[setting]],0), MATCH(L$1, lmic_raw[#Headers],0))=0, INDEX(regions[], MATCH($D119, regions[[setting]:[setting]],0), MATCH(L$1, regions[#Headers],0)),INDEX(lmic_raw[],MATCH($A119,lmic_raw[[setting]:[setting]],0), MATCH(L$1, lmic_raw[#Headers],0)))</f>
        <v>0.97</v>
      </c>
      <c r="M119" s="33">
        <f>IF(INDEX(lmic_raw[],MATCH($A119,lmic_raw[[setting]:[setting]],0), MATCH(M$1, lmic_raw[#Headers],0))=0, INDEX(regions[], MATCH($D119, regions[[setting]:[setting]],0), MATCH(M$1, regions[#Headers],0)),INDEX(lmic_raw[],MATCH($A119,lmic_raw[[setting]:[setting]],0), MATCH(M$1, lmic_raw[#Headers],0)))</f>
        <v>5.0599999999999999E-2</v>
      </c>
      <c r="N119" s="33">
        <f>IF(INDEX(lmic_raw[],MATCH($A119,lmic_raw[[setting]:[setting]],0), MATCH(N$1, lmic_raw[#Headers],0))=0, INDEX(regions[], MATCH($D119, regions[[setting]:[setting]],0), MATCH(N$1, regions[#Headers],0)),INDEX(lmic_raw[],MATCH($A119,lmic_raw[[setting]:[setting]],0), MATCH(N$1, lmic_raw[#Headers],0)))</f>
        <v>0.31299880290704257</v>
      </c>
      <c r="O119" s="33">
        <f>IF(INDEX(lmic_raw[],MATCH($A119,lmic_raw[[setting]:[setting]],0), MATCH(O$1, lmic_raw[#Headers],0))=0, INDEX(regions[], MATCH($D119, regions[[setting]:[setting]],0), MATCH(O$1, regions[#Headers],0)),INDEX(lmic_raw[],MATCH($A119,lmic_raw[[setting]:[setting]],0), MATCH(O$1, lmic_raw[#Headers],0)))</f>
        <v>0.8</v>
      </c>
      <c r="P119" s="33">
        <f>IF(INDEX(lmic_raw[],MATCH($A119,lmic_raw[[setting]:[setting]],0), MATCH(P$1, lmic_raw[#Headers],0))=0, INDEX(regions[], MATCH($D119, regions[[setting]:[setting]],0), MATCH(P$1, regions[#Headers],0)),INDEX(lmic_raw[],MATCH($A119,lmic_raw[[setting]:[setting]],0), MATCH(P$1, lmic_raw[#Headers],0)))</f>
        <v>0.17499999999999999</v>
      </c>
      <c r="Q119" s="33">
        <f>IF(INDEX(lmic_raw[],MATCH($A119,lmic_raw[[setting]:[setting]],0), MATCH(Q$1, lmic_raw[#Headers],0))=0, INDEX(regions[], MATCH($D119, regions[[setting]:[setting]],0), MATCH(Q$1, regions[#Headers],0)),INDEX(lmic_raw[],MATCH($A119,lmic_raw[[setting]:[setting]],0), MATCH(Q$1, lmic_raw[#Headers],0)))</f>
        <v>3.2398476872990498</v>
      </c>
      <c r="R119" s="33">
        <f>IF(INDEX(lmic_raw[],MATCH($A119,lmic_raw[[setting]:[setting]],0), MATCH(R$1, lmic_raw[#Headers],0))=0, INDEX(regions[], MATCH($D119, regions[[setting]:[setting]],0), MATCH(R$1, regions[#Headers],0)),INDEX(lmic_raw[],MATCH($A119,lmic_raw[[setting]:[setting]],0), MATCH(R$1, lmic_raw[#Headers],0)))</f>
        <v>44.537400000000005</v>
      </c>
      <c r="S119" s="33">
        <f>IF(INDEX(lmic_raw[],MATCH($A119,lmic_raw[[setting]:[setting]],0), MATCH(S$1, lmic_raw[#Headers],0))=0, INDEX(regions[], MATCH($D119, regions[[setting]:[setting]],0), MATCH(S$1, regions[#Headers],0)),INDEX(lmic_raw[],MATCH($A119,lmic_raw[[setting]:[setting]],0), MATCH(S$1, lmic_raw[#Headers],0)))</f>
        <v>92.27940000000001</v>
      </c>
      <c r="T119" s="33">
        <f>IF(INDEX(lmic_raw[],MATCH($A119,lmic_raw[[setting]:[setting]],0), MATCH(T$1, lmic_raw[#Headers],0))=0, INDEX(regions[], MATCH($D119, regions[[setting]:[setting]],0), MATCH(T$1, regions[#Headers],0)),INDEX(lmic_raw[],MATCH($A119,lmic_raw[[setting]:[setting]],0), MATCH(T$1, lmic_raw[#Headers],0)))</f>
        <v>92.27940000000001</v>
      </c>
      <c r="U119" s="33">
        <f>IF(INDEX(lmic_raw[],MATCH($A119,lmic_raw[[setting]:[setting]],0), MATCH(U$1, lmic_raw[#Headers],0))=0, INDEX(regions[], MATCH($D119, regions[[setting]:[setting]],0), MATCH(U$1, regions[#Headers],0)),INDEX(lmic_raw[],MATCH($A119,lmic_raw[[setting]:[setting]],0), MATCH(U$1, lmic_raw[#Headers],0)))</f>
        <v>92.27940000000001</v>
      </c>
      <c r="V119" s="33">
        <f>IF(INDEX(lmic_raw[],MATCH($A119,lmic_raw[[setting]:[setting]],0), MATCH(V$1, lmic_raw[#Headers],0))=0, INDEX(regions[], MATCH($D119, regions[[setting]:[setting]],0), MATCH(V$1, regions[#Headers],0)),INDEX(lmic_raw[],MATCH($A119,lmic_raw[[setting]:[setting]],0), MATCH(V$1, lmic_raw[#Headers],0)))</f>
        <v>3.409491582242365</v>
      </c>
      <c r="W119" s="33">
        <f>IF(INDEX(lmic_raw[],MATCH($A119,lmic_raw[[setting]:[setting]],0), MATCH(W$1, lmic_raw[#Headers],0))=0, INDEX(regions[], MATCH($D119, regions[[setting]:[setting]],0), MATCH(W$1, regions[#Headers],0)),INDEX(lmic_raw[],MATCH($A119,lmic_raw[[setting]:[setting]],0), MATCH(W$1, lmic_raw[#Headers],0)))</f>
        <v>7.4794915822423658</v>
      </c>
      <c r="X119" s="33">
        <f>IF(INDEX(lmic_raw[],MATCH($A119,lmic_raw[[setting]:[setting]],0), MATCH(X$1, lmic_raw[#Headers],0))=0, INDEX(regions[], MATCH($D119, regions[[setting]:[setting]],0), MATCH(X$1, regions[#Headers],0)),INDEX(lmic_raw[],MATCH($A119,lmic_raw[[setting]:[setting]],0), MATCH(X$1, lmic_raw[#Headers],0)))</f>
        <v>2.983674860630475</v>
      </c>
      <c r="Y119" s="33">
        <f>IF(INDEX(lmic_raw[],MATCH($A119,lmic_raw[[setting]:[setting]],0), MATCH(Y$1, lmic_raw[#Headers],0))=0, INDEX(regions[], MATCH($D119, regions[[setting]:[setting]],0), MATCH(Y$1, regions[#Headers],0)),INDEX(lmic_raw[],MATCH($A119,lmic_raw[[setting]:[setting]],0), MATCH(Y$1, lmic_raw[#Headers],0)))</f>
        <v>7.0536748606304753</v>
      </c>
      <c r="Z119" s="33">
        <f>IF(INDEX(lmic_raw[],MATCH($A119,lmic_raw[[setting]:[setting]],0), MATCH(Z$1, lmic_raw[#Headers],0))=0, INDEX(regions[], MATCH($D119, regions[[setting]:[setting]],0), MATCH(Z$1, regions[#Headers],0)),INDEX(lmic_raw[],MATCH($A119,lmic_raw[[setting]:[setting]],0), MATCH(Z$1, lmic_raw[#Headers],0)))</f>
        <v>7.0504787881191007</v>
      </c>
      <c r="AA119" s="33">
        <f>IF(INDEX(lmic_raw[],MATCH($A119,lmic_raw[[setting]:[setting]],0), MATCH(AA$1, lmic_raw[#Headers],0))=0, INDEX(regions[], MATCH($D119, regions[[setting]:[setting]],0), MATCH(AA$1, regions[#Headers],0)),INDEX(lmic_raw[],MATCH($A119,lmic_raw[[setting]:[setting]],0), MATCH(AA$1, lmic_raw[#Headers],0)))</f>
        <v>3.6512096972443491</v>
      </c>
      <c r="AB119" s="33">
        <f>IF(INDEX(lmic_raw[],MATCH($A119,lmic_raw[[setting]:[setting]],0), MATCH(AB$1, lmic_raw[#Headers],0))=0, INDEX(regions[], MATCH($D119, regions[[setting]:[setting]],0), MATCH(AB$1, regions[#Headers],0)),INDEX(lmic_raw[],MATCH($A119,lmic_raw[[setting]:[setting]],0), MATCH(AB$1, lmic_raw[#Headers],0)))</f>
        <v>7.7212096972443494</v>
      </c>
      <c r="AC119" s="33">
        <f>IF(INDEX(lmic_raw[],MATCH($A119,lmic_raw[[setting]:[setting]],0), MATCH(AC$1, lmic_raw[#Headers],0))=0, INDEX(regions[], MATCH($D119, regions[[setting]:[setting]],0), MATCH(AC$1, regions[#Headers],0)),INDEX(lmic_raw[],MATCH($A119,lmic_raw[[setting]:[setting]],0), MATCH(AC$1, lmic_raw[#Headers],0)))</f>
        <v>2.927524000000005E-2</v>
      </c>
      <c r="AD119" s="33">
        <f>IF(INDEX(lmic_raw[],MATCH($A119,lmic_raw[[setting]:[setting]],0), MATCH(AD$1, lmic_raw[#Headers],0))=0, INDEX(regions[], MATCH($D119, regions[[setting]:[setting]],0), MATCH(AD$1, regions[#Headers],0)),INDEX(lmic_raw[],MATCH($A119,lmic_raw[[setting]:[setting]],0), MATCH(AD$1, lmic_raw[#Headers],0)))</f>
        <v>7.7581466037807297E-4</v>
      </c>
      <c r="AE119" s="33">
        <f>IF(INDEX(lmic_raw[],MATCH($A119,lmic_raw[[setting]:[setting]],0), MATCH(AE$1, lmic_raw[#Headers],0))=0, INDEX(regions[], MATCH($D119, regions[[setting]:[setting]],0), MATCH(AE$1, regions[#Headers],0)),INDEX(lmic_raw[],MATCH($A119,lmic_raw[[setting]:[setting]],0), MATCH(AE$1, lmic_raw[#Headers],0)))</f>
        <v>1.9153625558257422E-4</v>
      </c>
      <c r="AF119" s="33">
        <f>IF(INDEX(lmic_raw[],MATCH($A119,lmic_raw[[setting]:[setting]],0), MATCH(AF$1, lmic_raw[#Headers],0))=0, INDEX(regions[], MATCH($D119, regions[[setting]:[setting]],0), MATCH(AF$1, regions[#Headers],0)),INDEX(lmic_raw[],MATCH($A119,lmic_raw[[setting]:[setting]],0), MATCH(AF$1, lmic_raw[#Headers],0)))</f>
        <v>2.0033190606407914E-4</v>
      </c>
      <c r="AG119" s="33">
        <f>IF(INDEX(lmic_raw[],MATCH($A119,lmic_raw[[setting]:[setting]],0), MATCH(AG$1, lmic_raw[#Headers],0))=0, INDEX(regions[], MATCH($D119, regions[[setting]:[setting]],0), MATCH(AG$1, regions[#Headers],0)),INDEX(lmic_raw[],MATCH($A119,lmic_raw[[setting]:[setting]],0), MATCH(AG$1, lmic_raw[#Headers],0)))</f>
        <v>3.3197793536914093E-4</v>
      </c>
      <c r="AH119" s="33">
        <f>IF(INDEX(lmic_raw[],MATCH($A119,lmic_raw[[setting]:[setting]],0), MATCH(AH$1, lmic_raw[#Headers],0))=0, INDEX(regions[], MATCH($D119, regions[[setting]:[setting]],0), MATCH(AH$1, regions[#Headers],0)),INDEX(lmic_raw[],MATCH($A119,lmic_raw[[setting]:[setting]],0), MATCH(AH$1, lmic_raw[#Headers],0)))</f>
        <v>5.1082433407809646E-4</v>
      </c>
      <c r="AI119" s="33">
        <f>IF(INDEX(lmic_raw[],MATCH($A119,lmic_raw[[setting]:[setting]],0), MATCH(AI$1, lmic_raw[#Headers],0))=0, INDEX(regions[], MATCH($D119, regions[[setting]:[setting]],0), MATCH(AI$1, regions[#Headers],0)),INDEX(lmic_raw[],MATCH($A119,lmic_raw[[setting]:[setting]],0), MATCH(AI$1, lmic_raw[#Headers],0)))</f>
        <v>8.5562449911040473E-4</v>
      </c>
      <c r="AJ119" s="33">
        <f>IF(INDEX(lmic_raw[],MATCH($A119,lmic_raw[[setting]:[setting]],0), MATCH(AJ$1, lmic_raw[#Headers],0))=0, INDEX(regions[], MATCH($D119, regions[[setting]:[setting]],0), MATCH(AJ$1, regions[#Headers],0)),INDEX(lmic_raw[],MATCH($A119,lmic_raw[[setting]:[setting]],0), MATCH(AJ$1, lmic_raw[#Headers],0)))</f>
        <v>1.3151874984257913E-3</v>
      </c>
      <c r="AK119" s="33">
        <f>IF(INDEX(lmic_raw[],MATCH($A119,lmic_raw[[setting]:[setting]],0), MATCH(AK$1, lmic_raw[#Headers],0))=0, INDEX(regions[], MATCH($D119, regions[[setting]:[setting]],0), MATCH(AK$1, regions[#Headers],0)),INDEX(lmic_raw[],MATCH($A119,lmic_raw[[setting]:[setting]],0), MATCH(AK$1, lmic_raw[#Headers],0)))</f>
        <v>2.0121145398065451E-3</v>
      </c>
      <c r="AL119" s="33">
        <f>IF(INDEX(lmic_raw[],MATCH($A119,lmic_raw[[setting]:[setting]],0), MATCH(AL$1, lmic_raw[#Headers],0))=0, INDEX(regions[], MATCH($D119, regions[[setting]:[setting]],0), MATCH(AL$1, regions[#Headers],0)),INDEX(lmic_raw[],MATCH($A119,lmic_raw[[setting]:[setting]],0), MATCH(AL$1, lmic_raw[#Headers],0)))</f>
        <v>2.5521857039043322E-3</v>
      </c>
      <c r="AM119" s="33">
        <f>IF(INDEX(lmic_raw[],MATCH($A119,lmic_raw[[setting]:[setting]],0), MATCH(AM$1, lmic_raw[#Headers],0))=0, INDEX(regions[], MATCH($D119, regions[[setting]:[setting]],0), MATCH(AM$1, regions[#Headers],0)),INDEX(lmic_raw[],MATCH($A119,lmic_raw[[setting]:[setting]],0), MATCH(AM$1, lmic_raw[#Headers],0)))</f>
        <v>3.6395738031344445E-3</v>
      </c>
      <c r="AN119" s="33">
        <f>IF(INDEX(lmic_raw[],MATCH($A119,lmic_raw[[setting]:[setting]],0), MATCH(AN$1, lmic_raw[#Headers],0))=0, INDEX(regions[], MATCH($D119, regions[[setting]:[setting]],0), MATCH(AN$1, regions[#Headers],0)),INDEX(lmic_raw[],MATCH($A119,lmic_raw[[setting]:[setting]],0), MATCH(AN$1, lmic_raw[#Headers],0)))</f>
        <v>5.9855955396087698E-3</v>
      </c>
      <c r="AO119" s="33">
        <f>IF(INDEX(lmic_raw[],MATCH($A119,lmic_raw[[setting]:[setting]],0), MATCH(AO$1, lmic_raw[#Headers],0))=0, INDEX(regions[], MATCH($D119, regions[[setting]:[setting]],0), MATCH(AO$1, regions[#Headers],0)),INDEX(lmic_raw[],MATCH($A119,lmic_raw[[setting]:[setting]],0), MATCH(AO$1, lmic_raw[#Headers],0)))</f>
        <v>1.0656165622609622E-2</v>
      </c>
      <c r="AP119" s="33">
        <f>IF(INDEX(lmic_raw[],MATCH($A119,lmic_raw[[setting]:[setting]],0), MATCH(AP$1, lmic_raw[#Headers],0))=0, INDEX(regions[], MATCH($D119, regions[[setting]:[setting]],0), MATCH(AP$1, regions[#Headers],0)),INDEX(lmic_raw[],MATCH($A119,lmic_raw[[setting]:[setting]],0), MATCH(AP$1, lmic_raw[#Headers],0)))</f>
        <v>1.8402639796966141E-2</v>
      </c>
      <c r="AQ119" s="33">
        <f>IF(INDEX(lmic_raw[],MATCH($A119,lmic_raw[[setting]:[setting]],0), MATCH(AQ$1, lmic_raw[#Headers],0))=0, INDEX(regions[], MATCH($D119, regions[[setting]:[setting]],0), MATCH(AQ$1, regions[#Headers],0)),INDEX(lmic_raw[],MATCH($A119,lmic_raw[[setting]:[setting]],0), MATCH(AQ$1, lmic_raw[#Headers],0)))</f>
        <v>2.8834750727873303E-2</v>
      </c>
      <c r="AR119" s="33">
        <f>IF(INDEX(lmic_raw[],MATCH($A119,lmic_raw[[setting]:[setting]],0), MATCH(AR$1, lmic_raw[#Headers],0))=0, INDEX(regions[], MATCH($D119, regions[[setting]:[setting]],0), MATCH(AR$1, regions[#Headers],0)),INDEX(lmic_raw[],MATCH($A119,lmic_raw[[setting]:[setting]],0), MATCH(AR$1, lmic_raw[#Headers],0)))</f>
        <v>4.7612475607663025E-2</v>
      </c>
      <c r="AS119" s="33">
        <f>IF(INDEX(lmic_raw[],MATCH($A119,lmic_raw[[setting]:[setting]],0), MATCH(AS$1, lmic_raw[#Headers],0))=0, INDEX(regions[], MATCH($D119, regions[[setting]:[setting]],0), MATCH(AS$1, regions[#Headers],0)),INDEX(lmic_raw[],MATCH($A119,lmic_raw[[setting]:[setting]],0), MATCH(AS$1, lmic_raw[#Headers],0)))</f>
        <v>7.3903502966553611E-2</v>
      </c>
      <c r="AT119" s="33">
        <f>IF(INDEX(lmic_raw[],MATCH($A119,lmic_raw[[setting]:[setting]],0), MATCH(AT$1, lmic_raw[#Headers],0))=0, INDEX(regions[], MATCH($D119, regions[[setting]:[setting]],0), MATCH(AT$1, regions[#Headers],0)),INDEX(lmic_raw[],MATCH($A119,lmic_raw[[setting]:[setting]],0), MATCH(AT$1, lmic_raw[#Headers],0)))</f>
        <v>0.10565750197029085</v>
      </c>
      <c r="AU119" s="33">
        <f>IF(INDEX(lmic_raw[],MATCH($A119,lmic_raw[[setting]:[setting]],0), MATCH(AU$1, lmic_raw[#Headers],0))=0, INDEX(regions[], MATCH($D119, regions[[setting]:[setting]],0), MATCH(AU$1, regions[#Headers],0)),INDEX(lmic_raw[],MATCH($A119,lmic_raw[[setting]:[setting]],0), MATCH(AU$1, lmic_raw[#Headers],0)))</f>
        <v>0.13716167840228499</v>
      </c>
      <c r="AV119" s="33">
        <f>IF(INDEX(lmic_raw[],MATCH($A119,lmic_raw[[setting]:[setting]],0), MATCH(AV$1, lmic_raw[#Headers],0))=0, INDEX(regions[], MATCH($D119, regions[[setting]:[setting]],0), MATCH(AV$1, regions[#Headers],0)),INDEX(lmic_raw[],MATCH($A119,lmic_raw[[setting]:[setting]],0), MATCH(AV$1, lmic_raw[#Headers],0)))</f>
        <v>0.16443487588606648</v>
      </c>
      <c r="AW119" s="33">
        <f>IF(INDEX(lmic_raw[],MATCH($A119,lmic_raw[[setting]:[setting]],0), MATCH(AW$1, lmic_raw[#Headers],0))=0, INDEX(regions[], MATCH($D119, regions[[setting]:[setting]],0), MATCH(AW$1, regions[#Headers],0)),INDEX(lmic_raw[],MATCH($A119,lmic_raw[[setting]:[setting]],0), MATCH(AW$1, lmic_raw[#Headers],0)))</f>
        <v>0.18225710446641838</v>
      </c>
      <c r="AX119" s="33">
        <f>IF(INDEX(lmic_raw[],MATCH($A119,lmic_raw[[setting]:[setting]],0), MATCH(AX$1, lmic_raw[#Headers],0))=0, INDEX(regions[], MATCH($D119, regions[[setting]:[setting]],0), MATCH(AX$1, regions[#Headers],0)),INDEX(lmic_raw[],MATCH($A119,lmic_raw[[setting]:[setting]],0), MATCH(AX$1, lmic_raw[#Headers],0)))</f>
        <v>70.77</v>
      </c>
      <c r="AY119" s="33" t="str">
        <f>IF(VLOOKUP($A119,lmic_raw[],11,FALSE)=0, "Yes", "No")</f>
        <v>No</v>
      </c>
    </row>
    <row r="120" spans="1:51" x14ac:dyDescent="0.25">
      <c r="A120" s="82" t="s">
        <v>652</v>
      </c>
      <c r="B120" s="101" t="s">
        <v>534</v>
      </c>
      <c r="C120" s="102">
        <v>834</v>
      </c>
      <c r="D120" s="82" t="s">
        <v>677</v>
      </c>
      <c r="E120" s="82" t="s">
        <v>597</v>
      </c>
      <c r="F120" s="82" t="s">
        <v>667</v>
      </c>
      <c r="G120" s="82" t="s">
        <v>674</v>
      </c>
      <c r="H120" s="33">
        <f>IF(INDEX(lmic_raw[],MATCH($A120,lmic_raw[[setting]:[setting]],0), MATCH(H$1, lmic_raw[#Headers],0))=0, INDEX(regions[], MATCH($D120, regions[[setting]:[setting]],0), MATCH(H$1, regions[#Headers],0)),INDEX(lmic_raw[],MATCH($A120,lmic_raw[[setting]:[setting]],0), MATCH(H$1, lmic_raw[#Headers],0)))</f>
        <v>58005461</v>
      </c>
      <c r="I120" s="33">
        <f>IF(INDEX(lmic_raw[],MATCH($A120,lmic_raw[[setting]:[setting]],0), MATCH(I$1, lmic_raw[#Headers],0))=0, INDEX(regions[], MATCH($D120, regions[[setting]:[setting]],0), MATCH(I$1, regions[#Headers],0)),INDEX(lmic_raw[],MATCH($A120,lmic_raw[[setting]:[setting]],0), MATCH(I$1, lmic_raw[#Headers],0)))</f>
        <v>2140459.5163610005</v>
      </c>
      <c r="J120" s="33">
        <f>IF(INDEX(lmic_raw[],MATCH($A120,lmic_raw[[setting]:[setting]],0), MATCH(J$1, lmic_raw[#Headers],0))=0, INDEX(regions[], MATCH($D120, regions[[setting]:[setting]],0), MATCH(J$1, regions[#Headers],0)),INDEX(lmic_raw[],MATCH($A120,lmic_raw[[setting]:[setting]],0), MATCH(J$1, lmic_raw[#Headers],0)))</f>
        <v>0.626</v>
      </c>
      <c r="K120" s="33">
        <f>IF(INDEX(lmic_raw[],MATCH($A120,lmic_raw[[setting]:[setting]],0), MATCH(K$1, lmic_raw[#Headers],0))=0, INDEX(regions[], MATCH($D120, regions[[setting]:[setting]],0), MATCH(K$1, regions[#Headers],0)),INDEX(lmic_raw[],MATCH($A120,lmic_raw[[setting]:[setting]],0), MATCH(K$1, lmic_raw[#Headers],0)))</f>
        <v>0.69252604416320784</v>
      </c>
      <c r="L120" s="33">
        <f>IF(INDEX(lmic_raw[],MATCH($A120,lmic_raw[[setting]:[setting]],0), MATCH(L$1, lmic_raw[#Headers],0))=0, INDEX(regions[], MATCH($D120, regions[[setting]:[setting]],0), MATCH(L$1, regions[#Headers],0)),INDEX(lmic_raw[],MATCH($A120,lmic_raw[[setting]:[setting]],0), MATCH(L$1, lmic_raw[#Headers],0)))</f>
        <v>0.89</v>
      </c>
      <c r="M120" s="33">
        <f>IF(INDEX(lmic_raw[],MATCH($A120,lmic_raw[[setting]:[setting]],0), MATCH(M$1, lmic_raw[#Headers],0))=0, INDEX(regions[], MATCH($D120, regions[[setting]:[setting]],0), MATCH(M$1, regions[#Headers],0)),INDEX(lmic_raw[],MATCH($A120,lmic_raw[[setting]:[setting]],0), MATCH(M$1, lmic_raw[#Headers],0)))</f>
        <v>4.0300000000000002E-2</v>
      </c>
      <c r="N120" s="33">
        <f>IF(INDEX(lmic_raw[],MATCH($A120,lmic_raw[[setting]:[setting]],0), MATCH(N$1, lmic_raw[#Headers],0))=0, INDEX(regions[], MATCH($D120, regions[[setting]:[setting]],0), MATCH(N$1, regions[#Headers],0)),INDEX(lmic_raw[],MATCH($A120,lmic_raw[[setting]:[setting]],0), MATCH(N$1, lmic_raw[#Headers],0)))</f>
        <v>0.29198880212287792</v>
      </c>
      <c r="O120" s="33">
        <f>IF(INDEX(lmic_raw[],MATCH($A120,lmic_raw[[setting]:[setting]],0), MATCH(O$1, lmic_raw[#Headers],0))=0, INDEX(regions[], MATCH($D120, regions[[setting]:[setting]],0), MATCH(O$1, regions[#Headers],0)),INDEX(lmic_raw[],MATCH($A120,lmic_raw[[setting]:[setting]],0), MATCH(O$1, lmic_raw[#Headers],0)))</f>
        <v>0.38300000000000001</v>
      </c>
      <c r="P120" s="33">
        <f>IF(INDEX(lmic_raw[],MATCH($A120,lmic_raw[[setting]:[setting]],0), MATCH(P$1, lmic_raw[#Headers],0))=0, INDEX(regions[], MATCH($D120, regions[[setting]:[setting]],0), MATCH(P$1, regions[#Headers],0)),INDEX(lmic_raw[],MATCH($A120,lmic_raw[[setting]:[setting]],0), MATCH(P$1, lmic_raw[#Headers],0)))</f>
        <v>4.8000000000000001E-2</v>
      </c>
      <c r="Q120" s="33">
        <f>IF(INDEX(lmic_raw[],MATCH($A120,lmic_raw[[setting]:[setting]],0), MATCH(Q$1, lmic_raw[#Headers],0))=0, INDEX(regions[], MATCH($D120, regions[[setting]:[setting]],0), MATCH(Q$1, regions[#Headers],0)),INDEX(lmic_raw[],MATCH($A120,lmic_raw[[setting]:[setting]],0), MATCH(Q$1, lmic_raw[#Headers],0)))</f>
        <v>2.8481690320942974</v>
      </c>
      <c r="R120" s="33">
        <f>IF(INDEX(lmic_raw[],MATCH($A120,lmic_raw[[setting]:[setting]],0), MATCH(R$1, lmic_raw[#Headers],0))=0, INDEX(regions[], MATCH($D120, regions[[setting]:[setting]],0), MATCH(R$1, regions[#Headers],0)),INDEX(lmic_raw[],MATCH($A120,lmic_raw[[setting]:[setting]],0), MATCH(R$1, lmic_raw[#Headers],0)))</f>
        <v>29.920500000000001</v>
      </c>
      <c r="S120" s="33">
        <f>IF(INDEX(lmic_raw[],MATCH($A120,lmic_raw[[setting]:[setting]],0), MATCH(S$1, lmic_raw[#Headers],0))=0, INDEX(regions[], MATCH($D120, regions[[setting]:[setting]],0), MATCH(S$1, regions[#Headers],0)),INDEX(lmic_raw[],MATCH($A120,lmic_raw[[setting]:[setting]],0), MATCH(S$1, lmic_raw[#Headers],0)))</f>
        <v>77.662500000000009</v>
      </c>
      <c r="T120" s="33">
        <f>IF(INDEX(lmic_raw[],MATCH($A120,lmic_raw[[setting]:[setting]],0), MATCH(T$1, lmic_raw[#Headers],0))=0, INDEX(regions[], MATCH($D120, regions[[setting]:[setting]],0), MATCH(T$1, regions[#Headers],0)),INDEX(lmic_raw[],MATCH($A120,lmic_raw[[setting]:[setting]],0), MATCH(T$1, lmic_raw[#Headers],0)))</f>
        <v>77.662500000000009</v>
      </c>
      <c r="U120" s="33">
        <f>IF(INDEX(lmic_raw[],MATCH($A120,lmic_raw[[setting]:[setting]],0), MATCH(U$1, lmic_raw[#Headers],0))=0, INDEX(regions[], MATCH($D120, regions[[setting]:[setting]],0), MATCH(U$1, regions[#Headers],0)),INDEX(lmic_raw[],MATCH($A120,lmic_raw[[setting]:[setting]],0), MATCH(U$1, lmic_raw[#Headers],0)))</f>
        <v>77.662500000000009</v>
      </c>
      <c r="V120" s="33">
        <f>IF(INDEX(lmic_raw[],MATCH($A120,lmic_raw[[setting]:[setting]],0), MATCH(V$1, lmic_raw[#Headers],0))=0, INDEX(regions[], MATCH($D120, regions[[setting]:[setting]],0), MATCH(V$1, regions[#Headers],0)),INDEX(lmic_raw[],MATCH($A120,lmic_raw[[setting]:[setting]],0), MATCH(V$1, lmic_raw[#Headers],0)))</f>
        <v>2.7328700115651938</v>
      </c>
      <c r="W120" s="33">
        <f>IF(INDEX(lmic_raw[],MATCH($A120,lmic_raw[[setting]:[setting]],0), MATCH(W$1, lmic_raw[#Headers],0))=0, INDEX(regions[], MATCH($D120, regions[[setting]:[setting]],0), MATCH(W$1, regions[#Headers],0)),INDEX(lmic_raw[],MATCH($A120,lmic_raw[[setting]:[setting]],0), MATCH(W$1, lmic_raw[#Headers],0)))</f>
        <v>7.5628700115651935</v>
      </c>
      <c r="X120" s="33">
        <f>IF(INDEX(lmic_raw[],MATCH($A120,lmic_raw[[setting]:[setting]],0), MATCH(X$1, lmic_raw[#Headers],0))=0, INDEX(regions[], MATCH($D120, regions[[setting]:[setting]],0), MATCH(X$1, regions[#Headers],0)),INDEX(lmic_raw[],MATCH($A120,lmic_raw[[setting]:[setting]],0), MATCH(X$1, lmic_raw[#Headers],0)))</f>
        <v>2.3053659756214313</v>
      </c>
      <c r="Y120" s="33">
        <f>IF(INDEX(lmic_raw[],MATCH($A120,lmic_raw[[setting]:[setting]],0), MATCH(Y$1, lmic_raw[#Headers],0))=0, INDEX(regions[], MATCH($D120, regions[[setting]:[setting]],0), MATCH(Y$1, regions[#Headers],0)),INDEX(lmic_raw[],MATCH($A120,lmic_raw[[setting]:[setting]],0), MATCH(Y$1, lmic_raw[#Headers],0)))</f>
        <v>7.1353659756214309</v>
      </c>
      <c r="Z120" s="33">
        <f>IF(INDEX(lmic_raw[],MATCH($A120,lmic_raw[[setting]:[setting]],0), MATCH(Z$1, lmic_raw[#Headers],0))=0, INDEX(regions[], MATCH($D120, regions[[setting]:[setting]],0), MATCH(Z$1, regions[#Headers],0)),INDEX(lmic_raw[],MATCH($A120,lmic_raw[[setting]:[setting]],0), MATCH(Z$1, lmic_raw[#Headers],0)))</f>
        <v>7.1317694545232353</v>
      </c>
      <c r="AA120" s="33">
        <f>IF(INDEX(lmic_raw[],MATCH($A120,lmic_raw[[setting]:[setting]],0), MATCH(AA$1, lmic_raw[#Headers],0))=0, INDEX(regions[], MATCH($D120, regions[[setting]:[setting]],0), MATCH(AA$1, regions[#Headers],0)),INDEX(lmic_raw[],MATCH($A120,lmic_raw[[setting]:[setting]],0), MATCH(AA$1, lmic_raw[#Headers],0)))</f>
        <v>2.9751963445240159</v>
      </c>
      <c r="AB120" s="33">
        <f>IF(INDEX(lmic_raw[],MATCH($A120,lmic_raw[[setting]:[setting]],0), MATCH(AB$1, lmic_raw[#Headers],0))=0, INDEX(regions[], MATCH($D120, regions[[setting]:[setting]],0), MATCH(AB$1, regions[#Headers],0)),INDEX(lmic_raw[],MATCH($A120,lmic_raw[[setting]:[setting]],0), MATCH(AB$1, lmic_raw[#Headers],0)))</f>
        <v>7.805196344524016</v>
      </c>
      <c r="AC120" s="33">
        <f>IF(INDEX(lmic_raw[],MATCH($A120,lmic_raw[[setting]:[setting]],0), MATCH(AC$1, lmic_raw[#Headers],0))=0, INDEX(regions[], MATCH($D120, regions[[setting]:[setting]],0), MATCH(AC$1, regions[#Headers],0)),INDEX(lmic_raw[],MATCH($A120,lmic_raw[[setting]:[setting]],0), MATCH(AC$1, lmic_raw[#Headers],0)))</f>
        <v>4.1214049999999988E-2</v>
      </c>
      <c r="AD120" s="33">
        <f>IF(INDEX(lmic_raw[],MATCH($A120,lmic_raw[[setting]:[setting]],0), MATCH(AD$1, lmic_raw[#Headers],0))=0, INDEX(regions[], MATCH($D120, regions[[setting]:[setting]],0), MATCH(AD$1, regions[#Headers],0)),INDEX(lmic_raw[],MATCH($A120,lmic_raw[[setting]:[setting]],0), MATCH(AD$1, lmic_raw[#Headers],0)))</f>
        <v>3.9968514348797191E-3</v>
      </c>
      <c r="AE120" s="33">
        <f>IF(INDEX(lmic_raw[],MATCH($A120,lmic_raw[[setting]:[setting]],0), MATCH(AE$1, lmic_raw[#Headers],0))=0, INDEX(regions[], MATCH($D120, regions[[setting]:[setting]],0), MATCH(AE$1, regions[#Headers],0)),INDEX(lmic_raw[],MATCH($A120,lmic_raw[[setting]:[setting]],0), MATCH(AE$1, lmic_raw[#Headers],0)))</f>
        <v>1.5692769186358136E-3</v>
      </c>
      <c r="AF120" s="33">
        <f>IF(INDEX(lmic_raw[],MATCH($A120,lmic_raw[[setting]:[setting]],0), MATCH(AF$1, lmic_raw[#Headers],0))=0, INDEX(regions[], MATCH($D120, regions[[setting]:[setting]],0), MATCH(AF$1, regions[#Headers],0)),INDEX(lmic_raw[],MATCH($A120,lmic_raw[[setting]:[setting]],0), MATCH(AF$1, lmic_raw[#Headers],0)))</f>
        <v>1.1113239191828232E-3</v>
      </c>
      <c r="AG120" s="33">
        <f>IF(INDEX(lmic_raw[],MATCH($A120,lmic_raw[[setting]:[setting]],0), MATCH(AG$1, lmic_raw[#Headers],0))=0, INDEX(regions[], MATCH($D120, regions[[setting]:[setting]],0), MATCH(AG$1, regions[#Headers],0)),INDEX(lmic_raw[],MATCH($A120,lmic_raw[[setting]:[setting]],0), MATCH(AG$1, lmic_raw[#Headers],0)))</f>
        <v>1.7773475011780174E-3</v>
      </c>
      <c r="AH120" s="33">
        <f>IF(INDEX(lmic_raw[],MATCH($A120,lmic_raw[[setting]:[setting]],0), MATCH(AH$1, lmic_raw[#Headers],0))=0, INDEX(regions[], MATCH($D120, regions[[setting]:[setting]],0), MATCH(AH$1, regions[#Headers],0)),INDEX(lmic_raw[],MATCH($A120,lmic_raw[[setting]:[setting]],0), MATCH(AH$1, lmic_raw[#Headers],0)))</f>
        <v>2.5708480479825877E-3</v>
      </c>
      <c r="AI120" s="33">
        <f>IF(INDEX(lmic_raw[],MATCH($A120,lmic_raw[[setting]:[setting]],0), MATCH(AI$1, lmic_raw[#Headers],0))=0, INDEX(regions[], MATCH($D120, regions[[setting]:[setting]],0), MATCH(AI$1, regions[#Headers],0)),INDEX(lmic_raw[],MATCH($A120,lmic_raw[[setting]:[setting]],0), MATCH(AI$1, lmic_raw[#Headers],0)))</f>
        <v>2.9820183674253557E-3</v>
      </c>
      <c r="AJ120" s="33">
        <f>IF(INDEX(lmic_raw[],MATCH($A120,lmic_raw[[setting]:[setting]],0), MATCH(AJ$1, lmic_raw[#Headers],0))=0, INDEX(regions[], MATCH($D120, regions[[setting]:[setting]],0), MATCH(AJ$1, regions[#Headers],0)),INDEX(lmic_raw[],MATCH($A120,lmic_raw[[setting]:[setting]],0), MATCH(AJ$1, lmic_raw[#Headers],0)))</f>
        <v>3.4975578144642535E-3</v>
      </c>
      <c r="AK120" s="33">
        <f>IF(INDEX(lmic_raw[],MATCH($A120,lmic_raw[[setting]:[setting]],0), MATCH(AK$1, lmic_raw[#Headers],0))=0, INDEX(regions[], MATCH($D120, regions[[setting]:[setting]],0), MATCH(AK$1, regions[#Headers],0)),INDEX(lmic_raw[],MATCH($A120,lmic_raw[[setting]:[setting]],0), MATCH(AK$1, lmic_raw[#Headers],0)))</f>
        <v>4.2742986194550395E-3</v>
      </c>
      <c r="AL120" s="33">
        <f>IF(INDEX(lmic_raw[],MATCH($A120,lmic_raw[[setting]:[setting]],0), MATCH(AL$1, lmic_raw[#Headers],0))=0, INDEX(regions[], MATCH($D120, regions[[setting]:[setting]],0), MATCH(AL$1, regions[#Headers],0)),INDEX(lmic_raw[],MATCH($A120,lmic_raw[[setting]:[setting]],0), MATCH(AL$1, lmic_raw[#Headers],0)))</f>
        <v>5.4100149533494717E-3</v>
      </c>
      <c r="AM120" s="33">
        <f>IF(INDEX(lmic_raw[],MATCH($A120,lmic_raw[[setting]:[setting]],0), MATCH(AM$1, lmic_raw[#Headers],0))=0, INDEX(regions[], MATCH($D120, regions[[setting]:[setting]],0), MATCH(AM$1, regions[#Headers],0)),INDEX(lmic_raw[],MATCH($A120,lmic_raw[[setting]:[setting]],0), MATCH(AM$1, lmic_raw[#Headers],0)))</f>
        <v>6.8191765804846644E-3</v>
      </c>
      <c r="AN120" s="33">
        <f>IF(INDEX(lmic_raw[],MATCH($A120,lmic_raw[[setting]:[setting]],0), MATCH(AN$1, lmic_raw[#Headers],0))=0, INDEX(regions[], MATCH($D120, regions[[setting]:[setting]],0), MATCH(AN$1, regions[#Headers],0)),INDEX(lmic_raw[],MATCH($A120,lmic_raw[[setting]:[setting]],0), MATCH(AN$1, lmic_raw[#Headers],0)))</f>
        <v>9.6619323711781557E-3</v>
      </c>
      <c r="AO120" s="33">
        <f>IF(INDEX(lmic_raw[],MATCH($A120,lmic_raw[[setting]:[setting]],0), MATCH(AO$1, lmic_raw[#Headers],0))=0, INDEX(regions[], MATCH($D120, regions[[setting]:[setting]],0), MATCH(AO$1, regions[#Headers],0)),INDEX(lmic_raw[],MATCH($A120,lmic_raw[[setting]:[setting]],0), MATCH(AO$1, lmic_raw[#Headers],0)))</f>
        <v>1.2971158291646218E-2</v>
      </c>
      <c r="AP120" s="33">
        <f>IF(INDEX(lmic_raw[],MATCH($A120,lmic_raw[[setting]:[setting]],0), MATCH(AP$1, lmic_raw[#Headers],0))=0, INDEX(regions[], MATCH($D120, regions[[setting]:[setting]],0), MATCH(AP$1, regions[#Headers],0)),INDEX(lmic_raw[],MATCH($A120,lmic_raw[[setting]:[setting]],0), MATCH(AP$1, lmic_raw[#Headers],0)))</f>
        <v>1.9534292045119091E-2</v>
      </c>
      <c r="AQ120" s="33">
        <f>IF(INDEX(lmic_raw[],MATCH($A120,lmic_raw[[setting]:[setting]],0), MATCH(AQ$1, lmic_raw[#Headers],0))=0, INDEX(regions[], MATCH($D120, regions[[setting]:[setting]],0), MATCH(AQ$1, regions[#Headers],0)),INDEX(lmic_raw[],MATCH($A120,lmic_raw[[setting]:[setting]],0), MATCH(AQ$1, lmic_raw[#Headers],0)))</f>
        <v>3.0200797379379536E-2</v>
      </c>
      <c r="AR120" s="33">
        <f>IF(INDEX(lmic_raw[],MATCH($A120,lmic_raw[[setting]:[setting]],0), MATCH(AR$1, lmic_raw[#Headers],0))=0, INDEX(regions[], MATCH($D120, regions[[setting]:[setting]],0), MATCH(AR$1, regions[#Headers],0)),INDEX(lmic_raw[],MATCH($A120,lmic_raw[[setting]:[setting]],0), MATCH(AR$1, lmic_raw[#Headers],0)))</f>
        <v>4.6954893484656667E-2</v>
      </c>
      <c r="AS120" s="33">
        <f>IF(INDEX(lmic_raw[],MATCH($A120,lmic_raw[[setting]:[setting]],0), MATCH(AS$1, lmic_raw[#Headers],0))=0, INDEX(regions[], MATCH($D120, regions[[setting]:[setting]],0), MATCH(AS$1, regions[#Headers],0)),INDEX(lmic_raw[],MATCH($A120,lmic_raw[[setting]:[setting]],0), MATCH(AS$1, lmic_raw[#Headers],0)))</f>
        <v>7.1872878971078025E-2</v>
      </c>
      <c r="AT120" s="33">
        <f>IF(INDEX(lmic_raw[],MATCH($A120,lmic_raw[[setting]:[setting]],0), MATCH(AT$1, lmic_raw[#Headers],0))=0, INDEX(regions[], MATCH($D120, regions[[setting]:[setting]],0), MATCH(AT$1, regions[#Headers],0)),INDEX(lmic_raw[],MATCH($A120,lmic_raw[[setting]:[setting]],0), MATCH(AT$1, lmic_raw[#Headers],0)))</f>
        <v>0.10698365598780905</v>
      </c>
      <c r="AU120" s="33">
        <f>IF(INDEX(lmic_raw[],MATCH($A120,lmic_raw[[setting]:[setting]],0), MATCH(AU$1, lmic_raw[#Headers],0))=0, INDEX(regions[], MATCH($D120, regions[[setting]:[setting]],0), MATCH(AU$1, regions[#Headers],0)),INDEX(lmic_raw[],MATCH($A120,lmic_raw[[setting]:[setting]],0), MATCH(AU$1, lmic_raw[#Headers],0)))</f>
        <v>0.14690133868387881</v>
      </c>
      <c r="AV120" s="33">
        <f>IF(INDEX(lmic_raw[],MATCH($A120,lmic_raw[[setting]:[setting]],0), MATCH(AV$1, lmic_raw[#Headers],0))=0, INDEX(regions[], MATCH($D120, regions[[setting]:[setting]],0), MATCH(AV$1, regions[#Headers],0)),INDEX(lmic_raw[],MATCH($A120,lmic_raw[[setting]:[setting]],0), MATCH(AV$1, lmic_raw[#Headers],0)))</f>
        <v>0.17985227207817817</v>
      </c>
      <c r="AW120" s="33">
        <f>IF(INDEX(lmic_raw[],MATCH($A120,lmic_raw[[setting]:[setting]],0), MATCH(AW$1, lmic_raw[#Headers],0))=0, INDEX(regions[], MATCH($D120, regions[[setting]:[setting]],0), MATCH(AW$1, regions[#Headers],0)),INDEX(lmic_raw[],MATCH($A120,lmic_raw[[setting]:[setting]],0), MATCH(AW$1, lmic_raw[#Headers],0)))</f>
        <v>0.18984651902912544</v>
      </c>
      <c r="AX120" s="33">
        <f>IF(INDEX(lmic_raw[],MATCH($A120,lmic_raw[[setting]:[setting]],0), MATCH(AX$1, lmic_raw[#Headers],0))=0, INDEX(regions[], MATCH($D120, regions[[setting]:[setting]],0), MATCH(AX$1, regions[#Headers],0)),INDEX(lmic_raw[],MATCH($A120,lmic_raw[[setting]:[setting]],0), MATCH(AX$1, lmic_raw[#Headers],0)))</f>
        <v>64.841999999999999</v>
      </c>
      <c r="AY120" s="33" t="str">
        <f>IF(VLOOKUP($A120,lmic_raw[],11,FALSE)=0, "Yes", "No")</f>
        <v>Yes</v>
      </c>
    </row>
    <row r="121" spans="1:51" x14ac:dyDescent="0.25">
      <c r="A121" s="110" t="s">
        <v>219</v>
      </c>
      <c r="B121" s="104" t="s">
        <v>522</v>
      </c>
      <c r="C121" s="105">
        <v>764</v>
      </c>
      <c r="D121" s="84" t="s">
        <v>680</v>
      </c>
      <c r="E121" s="84" t="s">
        <v>598</v>
      </c>
      <c r="F121" s="84" t="s">
        <v>666</v>
      </c>
      <c r="G121" s="84" t="s">
        <v>676</v>
      </c>
      <c r="H121" s="33">
        <f>IF(INDEX(lmic_raw[],MATCH($A121,lmic_raw[[setting]:[setting]],0), MATCH(H$1, lmic_raw[#Headers],0))=0, INDEX(regions[], MATCH($D121, regions[[setting]:[setting]],0), MATCH(H$1, regions[#Headers],0)),INDEX(lmic_raw[],MATCH($A121,lmic_raw[[setting]:[setting]],0), MATCH(H$1, lmic_raw[#Headers],0)))</f>
        <v>69625581</v>
      </c>
      <c r="I121" s="33">
        <f>IF(INDEX(lmic_raw[],MATCH($A121,lmic_raw[[setting]:[setting]],0), MATCH(I$1, lmic_raw[#Headers],0))=0, INDEX(regions[], MATCH($D121, regions[[setting]:[setting]],0), MATCH(I$1, regions[#Headers],0)),INDEX(lmic_raw[],MATCH($A121,lmic_raw[[setting]:[setting]],0), MATCH(I$1, lmic_raw[#Headers],0)))</f>
        <v>728422.82842200005</v>
      </c>
      <c r="J121" s="33">
        <f>IF(INDEX(lmic_raw[],MATCH($A121,lmic_raw[[setting]:[setting]],0), MATCH(J$1, lmic_raw[#Headers],0))=0, INDEX(regions[], MATCH($D121, regions[[setting]:[setting]],0), MATCH(J$1, regions[#Headers],0)),INDEX(lmic_raw[],MATCH($A121,lmic_raw[[setting]:[setting]],0), MATCH(J$1, lmic_raw[#Headers],0)))</f>
        <v>0.98599999999999999</v>
      </c>
      <c r="K121" s="33">
        <f>IF(INDEX(lmic_raw[],MATCH($A121,lmic_raw[[setting]:[setting]],0), MATCH(K$1, lmic_raw[#Headers],0))=0, INDEX(regions[], MATCH($D121, regions[[setting]:[setting]],0), MATCH(K$1, regions[#Headers],0)),INDEX(lmic_raw[],MATCH($A121,lmic_raw[[setting]:[setting]],0), MATCH(K$1, lmic_raw[#Headers],0)))</f>
        <v>0.99</v>
      </c>
      <c r="L121" s="33">
        <f>IF(INDEX(lmic_raw[],MATCH($A121,lmic_raw[[setting]:[setting]],0), MATCH(L$1, lmic_raw[#Headers],0))=0, INDEX(regions[], MATCH($D121, regions[[setting]:[setting]],0), MATCH(L$1, regions[#Headers],0)),INDEX(lmic_raw[],MATCH($A121,lmic_raw[[setting]:[setting]],0), MATCH(L$1, lmic_raw[#Headers],0)))</f>
        <v>0.97</v>
      </c>
      <c r="M121" s="33">
        <f>IF(INDEX(lmic_raw[],MATCH($A121,lmic_raw[[setting]:[setting]],0), MATCH(M$1, lmic_raw[#Headers],0))=0, INDEX(regions[], MATCH($D121, regions[[setting]:[setting]],0), MATCH(M$1, regions[#Headers],0)),INDEX(lmic_raw[],MATCH($A121,lmic_raw[[setting]:[setting]],0), MATCH(M$1, lmic_raw[#Headers],0)))</f>
        <v>1.3600000000000001E-2</v>
      </c>
      <c r="N121" s="33">
        <f>IF(INDEX(lmic_raw[],MATCH($A121,lmic_raw[[setting]:[setting]],0), MATCH(N$1, lmic_raw[#Headers],0))=0, INDEX(regions[], MATCH($D121, regions[[setting]:[setting]],0), MATCH(N$1, regions[#Headers],0)),INDEX(lmic_raw[],MATCH($A121,lmic_raw[[setting]:[setting]],0), MATCH(N$1, lmic_raw[#Headers],0)))</f>
        <v>0.33797130006472659</v>
      </c>
      <c r="O121" s="33">
        <f>IF(INDEX(lmic_raw[],MATCH($A121,lmic_raw[[setting]:[setting]],0), MATCH(O$1, lmic_raw[#Headers],0))=0, INDEX(regions[], MATCH($D121, regions[[setting]:[setting]],0), MATCH(O$1, regions[#Headers],0)),INDEX(lmic_raw[],MATCH($A121,lmic_raw[[setting]:[setting]],0), MATCH(O$1, lmic_raw[#Headers],0)))</f>
        <v>0.8</v>
      </c>
      <c r="P121" s="33">
        <f>IF(INDEX(lmic_raw[],MATCH($A121,lmic_raw[[setting]:[setting]],0), MATCH(P$1, lmic_raw[#Headers],0))=0, INDEX(regions[], MATCH($D121, regions[[setting]:[setting]],0), MATCH(P$1, regions[#Headers],0)),INDEX(lmic_raw[],MATCH($A121,lmic_raw[[setting]:[setting]],0), MATCH(P$1, lmic_raw[#Headers],0)))</f>
        <v>0.17499999999999999</v>
      </c>
      <c r="Q121" s="33">
        <f>IF(INDEX(lmic_raw[],MATCH($A121,lmic_raw[[setting]:[setting]],0), MATCH(Q$1, lmic_raw[#Headers],0))=0, INDEX(regions[], MATCH($D121, regions[[setting]:[setting]],0), MATCH(Q$1, regions[#Headers],0)),INDEX(lmic_raw[],MATCH($A121,lmic_raw[[setting]:[setting]],0), MATCH(Q$1, lmic_raw[#Headers],0)))</f>
        <v>7.5008366939204532</v>
      </c>
      <c r="R121" s="33">
        <f>IF(INDEX(lmic_raw[],MATCH($A121,lmic_raw[[setting]:[setting]],0), MATCH(R$1, lmic_raw[#Headers],0))=0, INDEX(regions[], MATCH($D121, regions[[setting]:[setting]],0), MATCH(R$1, regions[#Headers],0)),INDEX(lmic_raw[],MATCH($A121,lmic_raw[[setting]:[setting]],0), MATCH(R$1, lmic_raw[#Headers],0)))</f>
        <v>73.084500000000006</v>
      </c>
      <c r="S121" s="33">
        <f>IF(INDEX(lmic_raw[],MATCH($A121,lmic_raw[[setting]:[setting]],0), MATCH(S$1, lmic_raw[#Headers],0))=0, INDEX(regions[], MATCH($D121, regions[[setting]:[setting]],0), MATCH(S$1, regions[#Headers],0)),INDEX(lmic_raw[],MATCH($A121,lmic_raw[[setting]:[setting]],0), MATCH(S$1, lmic_raw[#Headers],0)))</f>
        <v>120.8265</v>
      </c>
      <c r="T121" s="33">
        <f>IF(INDEX(lmic_raw[],MATCH($A121,lmic_raw[[setting]:[setting]],0), MATCH(T$1, lmic_raw[#Headers],0))=0, INDEX(regions[], MATCH($D121, regions[[setting]:[setting]],0), MATCH(T$1, regions[#Headers],0)),INDEX(lmic_raw[],MATCH($A121,lmic_raw[[setting]:[setting]],0), MATCH(T$1, lmic_raw[#Headers],0)))</f>
        <v>120.8265</v>
      </c>
      <c r="U121" s="33">
        <f>IF(INDEX(lmic_raw[],MATCH($A121,lmic_raw[[setting]:[setting]],0), MATCH(U$1, lmic_raw[#Headers],0))=0, INDEX(regions[], MATCH($D121, regions[[setting]:[setting]],0), MATCH(U$1, regions[#Headers],0)),INDEX(lmic_raw[],MATCH($A121,lmic_raw[[setting]:[setting]],0), MATCH(U$1, lmic_raw[#Headers],0)))</f>
        <v>120.8265</v>
      </c>
      <c r="V121" s="33">
        <f>IF(INDEX(lmic_raw[],MATCH($A121,lmic_raw[[setting]:[setting]],0), MATCH(V$1, lmic_raw[#Headers],0))=0, INDEX(regions[], MATCH($D121, regions[[setting]:[setting]],0), MATCH(V$1, regions[#Headers],0)),INDEX(lmic_raw[],MATCH($A121,lmic_raw[[setting]:[setting]],0), MATCH(V$1, lmic_raw[#Headers],0)))</f>
        <v>4.1710653325395572</v>
      </c>
      <c r="W121" s="33">
        <f>IF(INDEX(lmic_raw[],MATCH($A121,lmic_raw[[setting]:[setting]],0), MATCH(W$1, lmic_raw[#Headers],0))=0, INDEX(regions[], MATCH($D121, regions[[setting]:[setting]],0), MATCH(W$1, regions[#Headers],0)),INDEX(lmic_raw[],MATCH($A121,lmic_raw[[setting]:[setting]],0), MATCH(W$1, lmic_raw[#Headers],0)))</f>
        <v>4.8010653325395571</v>
      </c>
      <c r="X121" s="33">
        <f>IF(INDEX(lmic_raw[],MATCH($A121,lmic_raw[[setting]:[setting]],0), MATCH(X$1, lmic_raw[#Headers],0))=0, INDEX(regions[], MATCH($D121, regions[[setting]:[setting]],0), MATCH(X$1, regions[#Headers],0)),INDEX(lmic_raw[],MATCH($A121,lmic_raw[[setting]:[setting]],0), MATCH(X$1, lmic_raw[#Headers],0)))</f>
        <v>3.7291773607698984</v>
      </c>
      <c r="Y121" s="33">
        <f>IF(INDEX(lmic_raw[],MATCH($A121,lmic_raw[[setting]:[setting]],0), MATCH(Y$1, lmic_raw[#Headers],0))=0, INDEX(regions[], MATCH($D121, regions[[setting]:[setting]],0), MATCH(Y$1, regions[#Headers],0)),INDEX(lmic_raw[],MATCH($A121,lmic_raw[[setting]:[setting]],0), MATCH(Y$1, lmic_raw[#Headers],0)))</f>
        <v>4.3591773607698983</v>
      </c>
      <c r="Z121" s="33">
        <f>IF(INDEX(lmic_raw[],MATCH($A121,lmic_raw[[setting]:[setting]],0), MATCH(Z$1, lmic_raw[#Headers],0))=0, INDEX(regions[], MATCH($D121, regions[[setting]:[setting]],0), MATCH(Z$1, regions[#Headers],0)),INDEX(lmic_raw[],MATCH($A121,lmic_raw[[setting]:[setting]],0), MATCH(Z$1, lmic_raw[#Headers],0)))</f>
        <v>4.3499028723835229</v>
      </c>
      <c r="AA121" s="33">
        <f>IF(INDEX(lmic_raw[],MATCH($A121,lmic_raw[[setting]:[setting]],0), MATCH(AA$1, lmic_raw[#Headers],0))=0, INDEX(regions[], MATCH($D121, regions[[setting]:[setting]],0), MATCH(AA$1, regions[#Headers],0)),INDEX(lmic_raw[],MATCH($A121,lmic_raw[[setting]:[setting]],0), MATCH(AA$1, lmic_raw[#Headers],0)))</f>
        <v>4.4185765725984112</v>
      </c>
      <c r="AB121" s="33">
        <f>IF(INDEX(lmic_raw[],MATCH($A121,lmic_raw[[setting]:[setting]],0), MATCH(AB$1, lmic_raw[#Headers],0))=0, INDEX(regions[], MATCH($D121, regions[[setting]:[setting]],0), MATCH(AB$1, regions[#Headers],0)),INDEX(lmic_raw[],MATCH($A121,lmic_raw[[setting]:[setting]],0), MATCH(AB$1, lmic_raw[#Headers],0)))</f>
        <v>5.0485765725984111</v>
      </c>
      <c r="AC121" s="33">
        <f>IF(INDEX(lmic_raw[],MATCH($A121,lmic_raw[[setting]:[setting]],0), MATCH(AC$1, lmic_raw[#Headers],0))=0, INDEX(regions[], MATCH($D121, regions[[setting]:[setting]],0), MATCH(AC$1, regions[#Headers],0)),INDEX(lmic_raw[],MATCH($A121,lmic_raw[[setting]:[setting]],0), MATCH(AC$1, lmic_raw[#Headers],0)))</f>
        <v>7.7542100000000209E-3</v>
      </c>
      <c r="AD121" s="33">
        <f>IF(INDEX(lmic_raw[],MATCH($A121,lmic_raw[[setting]:[setting]],0), MATCH(AD$1, lmic_raw[#Headers],0))=0, INDEX(regions[], MATCH($D121, regions[[setting]:[setting]],0), MATCH(AD$1, regions[#Headers],0)),INDEX(lmic_raw[],MATCH($A121,lmic_raw[[setting]:[setting]],0), MATCH(AD$1, lmic_raw[#Headers],0)))</f>
        <v>3.1376046453168293E-4</v>
      </c>
      <c r="AE121" s="33">
        <f>IF(INDEX(lmic_raw[],MATCH($A121,lmic_raw[[setting]:[setting]],0), MATCH(AE$1, lmic_raw[#Headers],0))=0, INDEX(regions[], MATCH($D121, regions[[setting]:[setting]],0), MATCH(AE$1, regions[#Headers],0)),INDEX(lmic_raw[],MATCH($A121,lmic_raw[[setting]:[setting]],0), MATCH(AE$1, lmic_raw[#Headers],0)))</f>
        <v>2.6511793415073733E-4</v>
      </c>
      <c r="AF121" s="33">
        <f>IF(INDEX(lmic_raw[],MATCH($A121,lmic_raw[[setting]:[setting]],0), MATCH(AF$1, lmic_raw[#Headers],0))=0, INDEX(regions[], MATCH($D121, regions[[setting]:[setting]],0), MATCH(AF$1, regions[#Headers],0)),INDEX(lmic_raw[],MATCH($A121,lmic_raw[[setting]:[setting]],0), MATCH(AF$1, lmic_raw[#Headers],0)))</f>
        <v>4.1268610609565656E-4</v>
      </c>
      <c r="AG121" s="33">
        <f>IF(INDEX(lmic_raw[],MATCH($A121,lmic_raw[[setting]:[setting]],0), MATCH(AG$1, lmic_raw[#Headers],0))=0, INDEX(regions[], MATCH($D121, regions[[setting]:[setting]],0), MATCH(AG$1, regions[#Headers],0)),INDEX(lmic_raw[],MATCH($A121,lmic_raw[[setting]:[setting]],0), MATCH(AG$1, lmic_raw[#Headers],0)))</f>
        <v>1.0755852102153319E-3</v>
      </c>
      <c r="AH121" s="33">
        <f>IF(INDEX(lmic_raw[],MATCH($A121,lmic_raw[[setting]:[setting]],0), MATCH(AH$1, lmic_raw[#Headers],0))=0, INDEX(regions[], MATCH($D121, regions[[setting]:[setting]],0), MATCH(AH$1, regions[#Headers],0)),INDEX(lmic_raw[],MATCH($A121,lmic_raw[[setting]:[setting]],0), MATCH(AH$1, lmic_raw[#Headers],0)))</f>
        <v>1.030660482926388E-3</v>
      </c>
      <c r="AI121" s="33">
        <f>IF(INDEX(lmic_raw[],MATCH($A121,lmic_raw[[setting]:[setting]],0), MATCH(AI$1, lmic_raw[#Headers],0))=0, INDEX(regions[], MATCH($D121, regions[[setting]:[setting]],0), MATCH(AI$1, regions[#Headers],0)),INDEX(lmic_raw[],MATCH($A121,lmic_raw[[setting]:[setting]],0), MATCH(AI$1, lmic_raw[#Headers],0)))</f>
        <v>1.1309371496397516E-3</v>
      </c>
      <c r="AJ121" s="33">
        <f>IF(INDEX(lmic_raw[],MATCH($A121,lmic_raw[[setting]:[setting]],0), MATCH(AJ$1, lmic_raw[#Headers],0))=0, INDEX(regions[], MATCH($D121, regions[[setting]:[setting]],0), MATCH(AJ$1, regions[#Headers],0)),INDEX(lmic_raw[],MATCH($A121,lmic_raw[[setting]:[setting]],0), MATCH(AJ$1, lmic_raw[#Headers],0)))</f>
        <v>1.6092497209941237E-3</v>
      </c>
      <c r="AK121" s="33">
        <f>IF(INDEX(lmic_raw[],MATCH($A121,lmic_raw[[setting]:[setting]],0), MATCH(AK$1, lmic_raw[#Headers],0))=0, INDEX(regions[], MATCH($D121, regions[[setting]:[setting]],0), MATCH(AK$1, regions[#Headers],0)),INDEX(lmic_raw[],MATCH($A121,lmic_raw[[setting]:[setting]],0), MATCH(AK$1, lmic_raw[#Headers],0)))</f>
        <v>2.4445801003348941E-3</v>
      </c>
      <c r="AL121" s="33">
        <f>IF(INDEX(lmic_raw[],MATCH($A121,lmic_raw[[setting]:[setting]],0), MATCH(AL$1, lmic_raw[#Headers],0))=0, INDEX(regions[], MATCH($D121, regions[[setting]:[setting]],0), MATCH(AL$1, regions[#Headers],0)),INDEX(lmic_raw[],MATCH($A121,lmic_raw[[setting]:[setting]],0), MATCH(AL$1, lmic_raw[#Headers],0)))</f>
        <v>3.3453934851654273E-3</v>
      </c>
      <c r="AM121" s="33">
        <f>IF(INDEX(lmic_raw[],MATCH($A121,lmic_raw[[setting]:[setting]],0), MATCH(AM$1, lmic_raw[#Headers],0))=0, INDEX(regions[], MATCH($D121, regions[[setting]:[setting]],0), MATCH(AM$1, regions[#Headers],0)),INDEX(lmic_raw[],MATCH($A121,lmic_raw[[setting]:[setting]],0), MATCH(AM$1, lmic_raw[#Headers],0)))</f>
        <v>4.3620359040103997E-3</v>
      </c>
      <c r="AN121" s="33">
        <f>IF(INDEX(lmic_raw[],MATCH($A121,lmic_raw[[setting]:[setting]],0), MATCH(AN$1, lmic_raw[#Headers],0))=0, INDEX(regions[], MATCH($D121, regions[[setting]:[setting]],0), MATCH(AN$1, regions[#Headers],0)),INDEX(lmic_raw[],MATCH($A121,lmic_raw[[setting]:[setting]],0), MATCH(AN$1, lmic_raw[#Headers],0)))</f>
        <v>5.7565773076573038E-3</v>
      </c>
      <c r="AO121" s="33">
        <f>IF(INDEX(lmic_raw[],MATCH($A121,lmic_raw[[setting]:[setting]],0), MATCH(AO$1, lmic_raw[#Headers],0))=0, INDEX(regions[], MATCH($D121, regions[[setting]:[setting]],0), MATCH(AO$1, regions[#Headers],0)),INDEX(lmic_raw[],MATCH($A121,lmic_raw[[setting]:[setting]],0), MATCH(AO$1, lmic_raw[#Headers],0)))</f>
        <v>7.698281466240583E-3</v>
      </c>
      <c r="AP121" s="33">
        <f>IF(INDEX(lmic_raw[],MATCH($A121,lmic_raw[[setting]:[setting]],0), MATCH(AP$1, lmic_raw[#Headers],0))=0, INDEX(regions[], MATCH($D121, regions[[setting]:[setting]],0), MATCH(AP$1, regions[#Headers],0)),INDEX(lmic_raw[],MATCH($A121,lmic_raw[[setting]:[setting]],0), MATCH(AP$1, lmic_raw[#Headers],0)))</f>
        <v>1.1153551833355365E-2</v>
      </c>
      <c r="AQ121" s="33">
        <f>IF(INDEX(lmic_raw[],MATCH($A121,lmic_raw[[setting]:[setting]],0), MATCH(AQ$1, lmic_raw[#Headers],0))=0, INDEX(regions[], MATCH($D121, regions[[setting]:[setting]],0), MATCH(AQ$1, regions[#Headers],0)),INDEX(lmic_raw[],MATCH($A121,lmic_raw[[setting]:[setting]],0), MATCH(AQ$1, lmic_raw[#Headers],0)))</f>
        <v>1.551458711682388E-2</v>
      </c>
      <c r="AR121" s="33">
        <f>IF(INDEX(lmic_raw[],MATCH($A121,lmic_raw[[setting]:[setting]],0), MATCH(AR$1, lmic_raw[#Headers],0))=0, INDEX(regions[], MATCH($D121, regions[[setting]:[setting]],0), MATCH(AR$1, regions[#Headers],0)),INDEX(lmic_raw[],MATCH($A121,lmic_raw[[setting]:[setting]],0), MATCH(AR$1, lmic_raw[#Headers],0)))</f>
        <v>2.4142227644320099E-2</v>
      </c>
      <c r="AS121" s="33">
        <f>IF(INDEX(lmic_raw[],MATCH($A121,lmic_raw[[setting]:[setting]],0), MATCH(AS$1, lmic_raw[#Headers],0))=0, INDEX(regions[], MATCH($D121, regions[[setting]:[setting]],0), MATCH(AS$1, regions[#Headers],0)),INDEX(lmic_raw[],MATCH($A121,lmic_raw[[setting]:[setting]],0), MATCH(AS$1, lmic_raw[#Headers],0)))</f>
        <v>3.8239856574070391E-2</v>
      </c>
      <c r="AT121" s="33">
        <f>IF(INDEX(lmic_raw[],MATCH($A121,lmic_raw[[setting]:[setting]],0), MATCH(AT$1, lmic_raw[#Headers],0))=0, INDEX(regions[], MATCH($D121, regions[[setting]:[setting]],0), MATCH(AT$1, regions[#Headers],0)),INDEX(lmic_raw[],MATCH($A121,lmic_raw[[setting]:[setting]],0), MATCH(AT$1, lmic_raw[#Headers],0)))</f>
        <v>5.8128074558650787E-2</v>
      </c>
      <c r="AU121" s="33">
        <f>IF(INDEX(lmic_raw[],MATCH($A121,lmic_raw[[setting]:[setting]],0), MATCH(AU$1, lmic_raw[#Headers],0))=0, INDEX(regions[], MATCH($D121, regions[[setting]:[setting]],0), MATCH(AU$1, regions[#Headers],0)),INDEX(lmic_raw[],MATCH($A121,lmic_raw[[setting]:[setting]],0), MATCH(AU$1, lmic_raw[#Headers],0)))</f>
        <v>8.4472703489192891E-2</v>
      </c>
      <c r="AV121" s="33">
        <f>IF(INDEX(lmic_raw[],MATCH($A121,lmic_raw[[setting]:[setting]],0), MATCH(AV$1, lmic_raw[#Headers],0))=0, INDEX(regions[], MATCH($D121, regions[[setting]:[setting]],0), MATCH(AV$1, regions[#Headers],0)),INDEX(lmic_raw[],MATCH($A121,lmic_raw[[setting]:[setting]],0), MATCH(AV$1, lmic_raw[#Headers],0)))</f>
        <v>0.11348109923047969</v>
      </c>
      <c r="AW121" s="33">
        <f>IF(INDEX(lmic_raw[],MATCH($A121,lmic_raw[[setting]:[setting]],0), MATCH(AW$1, lmic_raw[#Headers],0))=0, INDEX(regions[], MATCH($D121, regions[[setting]:[setting]],0), MATCH(AW$1, regions[#Headers],0)),INDEX(lmic_raw[],MATCH($A121,lmic_raw[[setting]:[setting]],0), MATCH(AW$1, lmic_raw[#Headers],0)))</f>
        <v>0.14059689474071249</v>
      </c>
      <c r="AX121" s="33">
        <f>IF(INDEX(lmic_raw[],MATCH($A121,lmic_raw[[setting]:[setting]],0), MATCH(AX$1, lmic_raw[#Headers],0))=0, INDEX(regions[], MATCH($D121, regions[[setting]:[setting]],0), MATCH(AX$1, regions[#Headers],0)),INDEX(lmic_raw[],MATCH($A121,lmic_raw[[setting]:[setting]],0), MATCH(AX$1, lmic_raw[#Headers],0)))</f>
        <v>76.831999999999994</v>
      </c>
      <c r="AY121" s="33" t="str">
        <f>IF(VLOOKUP($A121,lmic_raw[],11,FALSE)=0, "Yes", "No")</f>
        <v>No</v>
      </c>
    </row>
    <row r="122" spans="1:51" x14ac:dyDescent="0.25">
      <c r="A122" s="109" t="s">
        <v>220</v>
      </c>
      <c r="B122" s="101" t="s">
        <v>523</v>
      </c>
      <c r="C122" s="102">
        <v>626</v>
      </c>
      <c r="D122" s="82" t="s">
        <v>680</v>
      </c>
      <c r="E122" s="82" t="s">
        <v>598</v>
      </c>
      <c r="F122" s="82" t="s">
        <v>666</v>
      </c>
      <c r="G122" s="82" t="s">
        <v>678</v>
      </c>
      <c r="H122" s="33">
        <f>IF(INDEX(lmic_raw[],MATCH($A122,lmic_raw[[setting]:[setting]],0), MATCH(H$1, lmic_raw[#Headers],0))=0, INDEX(regions[], MATCH($D122, regions[[setting]:[setting]],0), MATCH(H$1, regions[#Headers],0)),INDEX(lmic_raw[],MATCH($A122,lmic_raw[[setting]:[setting]],0), MATCH(H$1, lmic_raw[#Headers],0)))</f>
        <v>1293120</v>
      </c>
      <c r="I122" s="33">
        <f>IF(INDEX(lmic_raw[],MATCH($A122,lmic_raw[[setting]:[setting]],0), MATCH(I$1, lmic_raw[#Headers],0))=0, INDEX(regions[], MATCH($D122, regions[[setting]:[setting]],0), MATCH(I$1, regions[#Headers],0)),INDEX(lmic_raw[],MATCH($A122,lmic_raw[[setting]:[setting]],0), MATCH(I$1, lmic_raw[#Headers],0)))</f>
        <v>38458.681919999995</v>
      </c>
      <c r="J122" s="33">
        <f>IF(INDEX(lmic_raw[],MATCH($A122,lmic_raw[[setting]:[setting]],0), MATCH(J$1, lmic_raw[#Headers],0))=0, INDEX(regions[], MATCH($D122, regions[[setting]:[setting]],0), MATCH(J$1, regions[#Headers],0)),INDEX(lmic_raw[],MATCH($A122,lmic_raw[[setting]:[setting]],0), MATCH(J$1, lmic_raw[#Headers],0)))</f>
        <v>0.48499999999999999</v>
      </c>
      <c r="K122" s="33">
        <f>IF(INDEX(lmic_raw[],MATCH($A122,lmic_raw[[setting]:[setting]],0), MATCH(K$1, lmic_raw[#Headers],0))=0, INDEX(regions[], MATCH($D122, regions[[setting]:[setting]],0), MATCH(K$1, regions[#Headers],0)),INDEX(lmic_raw[],MATCH($A122,lmic_raw[[setting]:[setting]],0), MATCH(K$1, lmic_raw[#Headers],0)))</f>
        <v>0.7</v>
      </c>
      <c r="L122" s="33">
        <f>IF(INDEX(lmic_raw[],MATCH($A122,lmic_raw[[setting]:[setting]],0), MATCH(L$1, lmic_raw[#Headers],0))=0, INDEX(regions[], MATCH($D122, regions[[setting]:[setting]],0), MATCH(L$1, regions[#Headers],0)),INDEX(lmic_raw[],MATCH($A122,lmic_raw[[setting]:[setting]],0), MATCH(L$1, lmic_raw[#Headers],0)))</f>
        <v>0.83</v>
      </c>
      <c r="M122" s="33">
        <f>IF(INDEX(lmic_raw[],MATCH($A122,lmic_raw[[setting]:[setting]],0), MATCH(M$1, lmic_raw[#Headers],0))=0, INDEX(regions[], MATCH($D122, regions[[setting]:[setting]],0), MATCH(M$1, regions[#Headers],0)),INDEX(lmic_raw[],MATCH($A122,lmic_raw[[setting]:[setting]],0), MATCH(M$1, lmic_raw[#Headers],0)))</f>
        <v>0.02</v>
      </c>
      <c r="N122" s="33">
        <f>IF(INDEX(lmic_raw[],MATCH($A122,lmic_raw[[setting]:[setting]],0), MATCH(N$1, lmic_raw[#Headers],0))=0, INDEX(regions[], MATCH($D122, regions[[setting]:[setting]],0), MATCH(N$1, regions[#Headers],0)),INDEX(lmic_raw[],MATCH($A122,lmic_raw[[setting]:[setting]],0), MATCH(N$1, lmic_raw[#Headers],0)))</f>
        <v>0.32696072607084226</v>
      </c>
      <c r="O122" s="33">
        <f>IF(INDEX(lmic_raw[],MATCH($A122,lmic_raw[[setting]:[setting]],0), MATCH(O$1, lmic_raw[#Headers],0))=0, INDEX(regions[], MATCH($D122, regions[[setting]:[setting]],0), MATCH(O$1, regions[#Headers],0)),INDEX(lmic_raw[],MATCH($A122,lmic_raw[[setting]:[setting]],0), MATCH(O$1, lmic_raw[#Headers],0)))</f>
        <v>0.8</v>
      </c>
      <c r="P122" s="33">
        <f>IF(INDEX(lmic_raw[],MATCH($A122,lmic_raw[[setting]:[setting]],0), MATCH(P$1, lmic_raw[#Headers],0))=0, INDEX(regions[], MATCH($D122, regions[[setting]:[setting]],0), MATCH(P$1, regions[#Headers],0)),INDEX(lmic_raw[],MATCH($A122,lmic_raw[[setting]:[setting]],0), MATCH(P$1, lmic_raw[#Headers],0)))</f>
        <v>0.17499999999999999</v>
      </c>
      <c r="Q122" s="33">
        <f>IF(INDEX(lmic_raw[],MATCH($A122,lmic_raw[[setting]:[setting]],0), MATCH(Q$1, lmic_raw[#Headers],0))=0, INDEX(regions[], MATCH($D122, regions[[setting]:[setting]],0), MATCH(Q$1, regions[#Headers],0)),INDEX(lmic_raw[],MATCH($A122,lmic_raw[[setting]:[setting]],0), MATCH(Q$1, lmic_raw[#Headers],0)))</f>
        <v>4.0664290368569871</v>
      </c>
      <c r="R122" s="33">
        <f>IF(INDEX(lmic_raw[],MATCH($A122,lmic_raw[[setting]:[setting]],0), MATCH(R$1, lmic_raw[#Headers],0))=0, INDEX(regions[], MATCH($D122, regions[[setting]:[setting]],0), MATCH(R$1, regions[#Headers],0)),INDEX(lmic_raw[],MATCH($A122,lmic_raw[[setting]:[setting]],0), MATCH(R$1, lmic_raw[#Headers],0)))</f>
        <v>73.084500000000006</v>
      </c>
      <c r="S122" s="33">
        <f>IF(INDEX(lmic_raw[],MATCH($A122,lmic_raw[[setting]:[setting]],0), MATCH(S$1, lmic_raw[#Headers],0))=0, INDEX(regions[], MATCH($D122, regions[[setting]:[setting]],0), MATCH(S$1, regions[#Headers],0)),INDEX(lmic_raw[],MATCH($A122,lmic_raw[[setting]:[setting]],0), MATCH(S$1, lmic_raw[#Headers],0)))</f>
        <v>120.8265</v>
      </c>
      <c r="T122" s="33">
        <f>IF(INDEX(lmic_raw[],MATCH($A122,lmic_raw[[setting]:[setting]],0), MATCH(T$1, lmic_raw[#Headers],0))=0, INDEX(regions[], MATCH($D122, regions[[setting]:[setting]],0), MATCH(T$1, regions[#Headers],0)),INDEX(lmic_raw[],MATCH($A122,lmic_raw[[setting]:[setting]],0), MATCH(T$1, lmic_raw[#Headers],0)))</f>
        <v>120.8265</v>
      </c>
      <c r="U122" s="33">
        <f>IF(INDEX(lmic_raw[],MATCH($A122,lmic_raw[[setting]:[setting]],0), MATCH(U$1, lmic_raw[#Headers],0))=0, INDEX(regions[], MATCH($D122, regions[[setting]:[setting]],0), MATCH(U$1, regions[#Headers],0)),INDEX(lmic_raw[],MATCH($A122,lmic_raw[[setting]:[setting]],0), MATCH(U$1, lmic_raw[#Headers],0)))</f>
        <v>120.8265</v>
      </c>
      <c r="V122" s="33">
        <f>IF(INDEX(lmic_raw[],MATCH($A122,lmic_raw[[setting]:[setting]],0), MATCH(V$1, lmic_raw[#Headers],0))=0, INDEX(regions[], MATCH($D122, regions[[setting]:[setting]],0), MATCH(V$1, regions[#Headers],0)),INDEX(lmic_raw[],MATCH($A122,lmic_raw[[setting]:[setting]],0), MATCH(V$1, lmic_raw[#Headers],0)))</f>
        <v>4.21547015891404</v>
      </c>
      <c r="W122" s="33">
        <f>IF(INDEX(lmic_raw[],MATCH($A122,lmic_raw[[setting]:[setting]],0), MATCH(W$1, lmic_raw[#Headers],0))=0, INDEX(regions[], MATCH($D122, regions[[setting]:[setting]],0), MATCH(W$1, regions[#Headers],0)),INDEX(lmic_raw[],MATCH($A122,lmic_raw[[setting]:[setting]],0), MATCH(W$1, lmic_raw[#Headers],0)))</f>
        <v>4.8454701589140399</v>
      </c>
      <c r="X122" s="33">
        <f>IF(INDEX(lmic_raw[],MATCH($A122,lmic_raw[[setting]:[setting]],0), MATCH(X$1, lmic_raw[#Headers],0))=0, INDEX(regions[], MATCH($D122, regions[[setting]:[setting]],0), MATCH(X$1, regions[#Headers],0)),INDEX(lmic_raw[],MATCH($A122,lmic_raw[[setting]:[setting]],0), MATCH(X$1, lmic_raw[#Headers],0)))</f>
        <v>3.7882845632665689</v>
      </c>
      <c r="Y122" s="33">
        <f>IF(INDEX(lmic_raw[],MATCH($A122,lmic_raw[[setting]:[setting]],0), MATCH(Y$1, lmic_raw[#Headers],0))=0, INDEX(regions[], MATCH($D122, regions[[setting]:[setting]],0), MATCH(Y$1, regions[#Headers],0)),INDEX(lmic_raw[],MATCH($A122,lmic_raw[[setting]:[setting]],0), MATCH(Y$1, lmic_raw[#Headers],0)))</f>
        <v>4.4182845632665693</v>
      </c>
      <c r="Z122" s="33">
        <f>IF(INDEX(lmic_raw[],MATCH($A122,lmic_raw[[setting]:[setting]],0), MATCH(Z$1, lmic_raw[#Headers],0))=0, INDEX(regions[], MATCH($D122, regions[[setting]:[setting]],0), MATCH(Z$1, regions[#Headers],0)),INDEX(lmic_raw[],MATCH($A122,lmic_raw[[setting]:[setting]],0), MATCH(Z$1, lmic_raw[#Headers],0)))</f>
        <v>4.4144925461645093</v>
      </c>
      <c r="AA122" s="33">
        <f>IF(INDEX(lmic_raw[],MATCH($A122,lmic_raw[[setting]:[setting]],0), MATCH(AA$1, lmic_raw[#Headers],0))=0, INDEX(regions[], MATCH($D122, regions[[setting]:[setting]],0), MATCH(AA$1, regions[#Headers],0)),INDEX(lmic_raw[],MATCH($A122,lmic_raw[[setting]:[setting]],0), MATCH(AA$1, lmic_raw[#Headers],0)))</f>
        <v>4.45768170525443</v>
      </c>
      <c r="AB122" s="33">
        <f>IF(INDEX(lmic_raw[],MATCH($A122,lmic_raw[[setting]:[setting]],0), MATCH(AB$1, lmic_raw[#Headers],0))=0, INDEX(regions[], MATCH($D122, regions[[setting]:[setting]],0), MATCH(AB$1, regions[#Headers],0)),INDEX(lmic_raw[],MATCH($A122,lmic_raw[[setting]:[setting]],0), MATCH(AB$1, lmic_raw[#Headers],0)))</f>
        <v>5.0876817052544299</v>
      </c>
      <c r="AC122" s="33">
        <f>IF(INDEX(lmic_raw[],MATCH($A122,lmic_raw[[setting]:[setting]],0), MATCH(AC$1, lmic_raw[#Headers],0))=0, INDEX(regions[], MATCH($D122, regions[[setting]:[setting]],0), MATCH(AC$1, regions[#Headers],0)),INDEX(lmic_raw[],MATCH($A122,lmic_raw[[setting]:[setting]],0), MATCH(AC$1, lmic_raw[#Headers],0)))</f>
        <v>3.7353289999999977E-2</v>
      </c>
      <c r="AD122" s="33">
        <f>IF(INDEX(lmic_raw[],MATCH($A122,lmic_raw[[setting]:[setting]],0), MATCH(AD$1, lmic_raw[#Headers],0))=0, INDEX(regions[], MATCH($D122, regions[[setting]:[setting]],0), MATCH(AD$1, regions[#Headers],0)),INDEX(lmic_raw[],MATCH($A122,lmic_raw[[setting]:[setting]],0), MATCH(AD$1, lmic_raw[#Headers],0)))</f>
        <v>2.4417628768502436E-3</v>
      </c>
      <c r="AE122" s="33">
        <f>IF(INDEX(lmic_raw[],MATCH($A122,lmic_raw[[setting]:[setting]],0), MATCH(AE$1, lmic_raw[#Headers],0))=0, INDEX(regions[], MATCH($D122, regions[[setting]:[setting]],0), MATCH(AE$1, regions[#Headers],0)),INDEX(lmic_raw[],MATCH($A122,lmic_raw[[setting]:[setting]],0), MATCH(AE$1, lmic_raw[#Headers],0)))</f>
        <v>7.5046224500073598E-4</v>
      </c>
      <c r="AF122" s="33">
        <f>IF(INDEX(lmic_raw[],MATCH($A122,lmic_raw[[setting]:[setting]],0), MATCH(AF$1, lmic_raw[#Headers],0))=0, INDEX(regions[], MATCH($D122, regions[[setting]:[setting]],0), MATCH(AF$1, regions[#Headers],0)),INDEX(lmic_raw[],MATCH($A122,lmic_raw[[setting]:[setting]],0), MATCH(AF$1, lmic_raw[#Headers],0)))</f>
        <v>5.7988920376164806E-4</v>
      </c>
      <c r="AG122" s="33">
        <f>IF(INDEX(lmic_raw[],MATCH($A122,lmic_raw[[setting]:[setting]],0), MATCH(AG$1, lmic_raw[#Headers],0))=0, INDEX(regions[], MATCH($D122, regions[[setting]:[setting]],0), MATCH(AG$1, regions[#Headers],0)),INDEX(lmic_raw[],MATCH($A122,lmic_raw[[setting]:[setting]],0), MATCH(AG$1, lmic_raw[#Headers],0)))</f>
        <v>9.9963659850836736E-4</v>
      </c>
      <c r="AH122" s="33">
        <f>IF(INDEX(lmic_raw[],MATCH($A122,lmic_raw[[setting]:[setting]],0), MATCH(AH$1, lmic_raw[#Headers],0))=0, INDEX(regions[], MATCH($D122, regions[[setting]:[setting]],0), MATCH(AH$1, regions[#Headers],0)),INDEX(lmic_raw[],MATCH($A122,lmic_raw[[setting]:[setting]],0), MATCH(AH$1, lmic_raw[#Headers],0)))</f>
        <v>1.2610949192515483E-3</v>
      </c>
      <c r="AI122" s="33">
        <f>IF(INDEX(lmic_raw[],MATCH($A122,lmic_raw[[setting]:[setting]],0), MATCH(AI$1, lmic_raw[#Headers],0))=0, INDEX(regions[], MATCH($D122, regions[[setting]:[setting]],0), MATCH(AI$1, regions[#Headers],0)),INDEX(lmic_raw[],MATCH($A122,lmic_raw[[setting]:[setting]],0), MATCH(AI$1, lmic_raw[#Headers],0)))</f>
        <v>1.2042655371105656E-3</v>
      </c>
      <c r="AJ122" s="33">
        <f>IF(INDEX(lmic_raw[],MATCH($A122,lmic_raw[[setting]:[setting]],0), MATCH(AJ$1, lmic_raw[#Headers],0))=0, INDEX(regions[], MATCH($D122, regions[[setting]:[setting]],0), MATCH(AJ$1, regions[#Headers],0)),INDEX(lmic_raw[],MATCH($A122,lmic_raw[[setting]:[setting]],0), MATCH(AJ$1, lmic_raw[#Headers],0)))</f>
        <v>1.3393810969544002E-3</v>
      </c>
      <c r="AK122" s="33">
        <f>IF(INDEX(lmic_raw[],MATCH($A122,lmic_raw[[setting]:[setting]],0), MATCH(AK$1, lmic_raw[#Headers],0))=0, INDEX(regions[], MATCH($D122, regions[[setting]:[setting]],0), MATCH(AK$1, regions[#Headers],0)),INDEX(lmic_raw[],MATCH($A122,lmic_raw[[setting]:[setting]],0), MATCH(AK$1, lmic_raw[#Headers],0)))</f>
        <v>1.7495403549045371E-3</v>
      </c>
      <c r="AL122" s="33">
        <f>IF(INDEX(lmic_raw[],MATCH($A122,lmic_raw[[setting]:[setting]],0), MATCH(AL$1, lmic_raw[#Headers],0))=0, INDEX(regions[], MATCH($D122, regions[[setting]:[setting]],0), MATCH(AL$1, regions[#Headers],0)),INDEX(lmic_raw[],MATCH($A122,lmic_raw[[setting]:[setting]],0), MATCH(AL$1, lmic_raw[#Headers],0)))</f>
        <v>2.5167331458246425E-3</v>
      </c>
      <c r="AM122" s="33">
        <f>IF(INDEX(lmic_raw[],MATCH($A122,lmic_raw[[setting]:[setting]],0), MATCH(AM$1, lmic_raw[#Headers],0))=0, INDEX(regions[], MATCH($D122, regions[[setting]:[setting]],0), MATCH(AM$1, regions[#Headers],0)),INDEX(lmic_raw[],MATCH($A122,lmic_raw[[setting]:[setting]],0), MATCH(AM$1, lmic_raw[#Headers],0)))</f>
        <v>4.0084334484345617E-3</v>
      </c>
      <c r="AN122" s="33">
        <f>IF(INDEX(lmic_raw[],MATCH($A122,lmic_raw[[setting]:[setting]],0), MATCH(AN$1, lmic_raw[#Headers],0))=0, INDEX(regions[], MATCH($D122, regions[[setting]:[setting]],0), MATCH(AN$1, regions[#Headers],0)),INDEX(lmic_raw[],MATCH($A122,lmic_raw[[setting]:[setting]],0), MATCH(AN$1, lmic_raw[#Headers],0)))</f>
        <v>6.5767792764623734E-3</v>
      </c>
      <c r="AO122" s="33">
        <f>IF(INDEX(lmic_raw[],MATCH($A122,lmic_raw[[setting]:[setting]],0), MATCH(AO$1, lmic_raw[#Headers],0))=0, INDEX(regions[], MATCH($D122, regions[[setting]:[setting]],0), MATCH(AO$1, regions[#Headers],0)),INDEX(lmic_raw[],MATCH($A122,lmic_raw[[setting]:[setting]],0), MATCH(AO$1, lmic_raw[#Headers],0)))</f>
        <v>1.127669195844757E-2</v>
      </c>
      <c r="AP122" s="33">
        <f>IF(INDEX(lmic_raw[],MATCH($A122,lmic_raw[[setting]:[setting]],0), MATCH(AP$1, lmic_raw[#Headers],0))=0, INDEX(regions[], MATCH($D122, regions[[setting]:[setting]],0), MATCH(AP$1, regions[#Headers],0)),INDEX(lmic_raw[],MATCH($A122,lmic_raw[[setting]:[setting]],0), MATCH(AP$1, lmic_raw[#Headers],0)))</f>
        <v>1.8097948710298718E-2</v>
      </c>
      <c r="AQ122" s="33">
        <f>IF(INDEX(lmic_raw[],MATCH($A122,lmic_raw[[setting]:[setting]],0), MATCH(AQ$1, lmic_raw[#Headers],0))=0, INDEX(regions[], MATCH($D122, regions[[setting]:[setting]],0), MATCH(AQ$1, regions[#Headers],0)),INDEX(lmic_raw[],MATCH($A122,lmic_raw[[setting]:[setting]],0), MATCH(AQ$1, lmic_raw[#Headers],0)))</f>
        <v>2.8766280262766567E-2</v>
      </c>
      <c r="AR122" s="33">
        <f>IF(INDEX(lmic_raw[],MATCH($A122,lmic_raw[[setting]:[setting]],0), MATCH(AR$1, lmic_raw[#Headers],0))=0, INDEX(regions[], MATCH($D122, regions[[setting]:[setting]],0), MATCH(AR$1, regions[#Headers],0)),INDEX(lmic_raw[],MATCH($A122,lmic_raw[[setting]:[setting]],0), MATCH(AR$1, lmic_raw[#Headers],0)))</f>
        <v>4.5617304860966094E-2</v>
      </c>
      <c r="AS122" s="33">
        <f>IF(INDEX(lmic_raw[],MATCH($A122,lmic_raw[[setting]:[setting]],0), MATCH(AS$1, lmic_raw[#Headers],0))=0, INDEX(regions[], MATCH($D122, regions[[setting]:[setting]],0), MATCH(AS$1, regions[#Headers],0)),INDEX(lmic_raw[],MATCH($A122,lmic_raw[[setting]:[setting]],0), MATCH(AS$1, lmic_raw[#Headers],0)))</f>
        <v>7.006155706294212E-2</v>
      </c>
      <c r="AT122" s="33">
        <f>IF(INDEX(lmic_raw[],MATCH($A122,lmic_raw[[setting]:[setting]],0), MATCH(AT$1, lmic_raw[#Headers],0))=0, INDEX(regions[], MATCH($D122, regions[[setting]:[setting]],0), MATCH(AT$1, regions[#Headers],0)),INDEX(lmic_raw[],MATCH($A122,lmic_raw[[setting]:[setting]],0), MATCH(AT$1, lmic_raw[#Headers],0)))</f>
        <v>0.10010623874858736</v>
      </c>
      <c r="AU122" s="33">
        <f>IF(INDEX(lmic_raw[],MATCH($A122,lmic_raw[[setting]:[setting]],0), MATCH(AU$1, lmic_raw[#Headers],0))=0, INDEX(regions[], MATCH($D122, regions[[setting]:[setting]],0), MATCH(AU$1, regions[#Headers],0)),INDEX(lmic_raw[],MATCH($A122,lmic_raw[[setting]:[setting]],0), MATCH(AU$1, lmic_raw[#Headers],0)))</f>
        <v>0.13269986785632931</v>
      </c>
      <c r="AV122" s="33">
        <f>IF(INDEX(lmic_raw[],MATCH($A122,lmic_raw[[setting]:[setting]],0), MATCH(AV$1, lmic_raw[#Headers],0))=0, INDEX(regions[], MATCH($D122, regions[[setting]:[setting]],0), MATCH(AV$1, regions[#Headers],0)),INDEX(lmic_raw[],MATCH($A122,lmic_raw[[setting]:[setting]],0), MATCH(AV$1, lmic_raw[#Headers],0)))</f>
        <v>0.15930605284793065</v>
      </c>
      <c r="AW122" s="33">
        <f>IF(INDEX(lmic_raw[],MATCH($A122,lmic_raw[[setting]:[setting]],0), MATCH(AW$1, lmic_raw[#Headers],0))=0, INDEX(regions[], MATCH($D122, regions[[setting]:[setting]],0), MATCH(AW$1, regions[#Headers],0)),INDEX(lmic_raw[],MATCH($A122,lmic_raw[[setting]:[setting]],0), MATCH(AW$1, lmic_raw[#Headers],0)))</f>
        <v>0.17797230829114155</v>
      </c>
      <c r="AX122" s="33">
        <f>IF(INDEX(lmic_raw[],MATCH($A122,lmic_raw[[setting]:[setting]],0), MATCH(AX$1, lmic_raw[#Headers],0))=0, INDEX(regions[], MATCH($D122, regions[[setting]:[setting]],0), MATCH(AX$1, regions[#Headers],0)),INDEX(lmic_raw[],MATCH($A122,lmic_raw[[setting]:[setting]],0), MATCH(AX$1, lmic_raw[#Headers],0)))</f>
        <v>69.153000000000006</v>
      </c>
      <c r="AY122" s="33" t="str">
        <f>IF(VLOOKUP($A122,lmic_raw[],11,FALSE)=0, "Yes", "No")</f>
        <v>No</v>
      </c>
    </row>
    <row r="123" spans="1:51" x14ac:dyDescent="0.25">
      <c r="A123" s="110" t="s">
        <v>154</v>
      </c>
      <c r="B123" s="104" t="s">
        <v>524</v>
      </c>
      <c r="C123" s="105">
        <v>768</v>
      </c>
      <c r="D123" s="84" t="s">
        <v>677</v>
      </c>
      <c r="E123" s="84" t="s">
        <v>591</v>
      </c>
      <c r="F123" s="84" t="s">
        <v>667</v>
      </c>
      <c r="G123" s="84" t="s">
        <v>674</v>
      </c>
      <c r="H123" s="33">
        <f>IF(INDEX(lmic_raw[],MATCH($A123,lmic_raw[[setting]:[setting]],0), MATCH(H$1, lmic_raw[#Headers],0))=0, INDEX(regions[], MATCH($D123, regions[[setting]:[setting]],0), MATCH(H$1, regions[#Headers],0)),INDEX(lmic_raw[],MATCH($A123,lmic_raw[[setting]:[setting]],0), MATCH(H$1, lmic_raw[#Headers],0)))</f>
        <v>8082359</v>
      </c>
      <c r="I123" s="33">
        <f>IF(INDEX(lmic_raw[],MATCH($A123,lmic_raw[[setting]:[setting]],0), MATCH(I$1, lmic_raw[#Headers],0))=0, INDEX(regions[], MATCH($D123, regions[[setting]:[setting]],0), MATCH(I$1, regions[#Headers],0)),INDEX(lmic_raw[],MATCH($A123,lmic_raw[[setting]:[setting]],0), MATCH(I$1, lmic_raw[#Headers],0)))</f>
        <v>269255.70772599999</v>
      </c>
      <c r="J123" s="33">
        <f>IF(INDEX(lmic_raw[],MATCH($A123,lmic_raw[[setting]:[setting]],0), MATCH(J$1, lmic_raw[#Headers],0))=0, INDEX(regions[], MATCH($D123, regions[[setting]:[setting]],0), MATCH(J$1, regions[#Headers],0)),INDEX(lmic_raw[],MATCH($A123,lmic_raw[[setting]:[setting]],0), MATCH(J$1, lmic_raw[#Headers],0)))</f>
        <v>0.8</v>
      </c>
      <c r="K123" s="33">
        <f>IF(INDEX(lmic_raw[],MATCH($A123,lmic_raw[[setting]:[setting]],0), MATCH(K$1, lmic_raw[#Headers],0))=0, INDEX(regions[], MATCH($D123, regions[[setting]:[setting]],0), MATCH(K$1, regions[#Headers],0)),INDEX(lmic_raw[],MATCH($A123,lmic_raw[[setting]:[setting]],0), MATCH(K$1, lmic_raw[#Headers],0)))</f>
        <v>0.69252604416320784</v>
      </c>
      <c r="L123" s="33">
        <f>IF(INDEX(lmic_raw[],MATCH($A123,lmic_raw[[setting]:[setting]],0), MATCH(L$1, lmic_raw[#Headers],0))=0, INDEX(regions[], MATCH($D123, regions[[setting]:[setting]],0), MATCH(L$1, regions[#Headers],0)),INDEX(lmic_raw[],MATCH($A123,lmic_raw[[setting]:[setting]],0), MATCH(L$1, lmic_raw[#Headers],0)))</f>
        <v>0.84</v>
      </c>
      <c r="M123" s="33">
        <f>IF(INDEX(lmic_raw[],MATCH($A123,lmic_raw[[setting]:[setting]],0), MATCH(M$1, lmic_raw[#Headers],0))=0, INDEX(regions[], MATCH($D123, regions[[setting]:[setting]],0), MATCH(M$1, regions[#Headers],0)),INDEX(lmic_raw[],MATCH($A123,lmic_raw[[setting]:[setting]],0), MATCH(M$1, lmic_raw[#Headers],0)))</f>
        <v>8.4399999999999989E-2</v>
      </c>
      <c r="N123" s="33">
        <f>IF(INDEX(lmic_raw[],MATCH($A123,lmic_raw[[setting]:[setting]],0), MATCH(N$1, lmic_raw[#Headers],0))=0, INDEX(regions[], MATCH($D123, regions[[setting]:[setting]],0), MATCH(N$1, regions[#Headers],0)),INDEX(lmic_raw[],MATCH($A123,lmic_raw[[setting]:[setting]],0), MATCH(N$1, lmic_raw[#Headers],0)))</f>
        <v>0.29252493331506846</v>
      </c>
      <c r="O123" s="33">
        <f>IF(INDEX(lmic_raw[],MATCH($A123,lmic_raw[[setting]:[setting]],0), MATCH(O$1, lmic_raw[#Headers],0))=0, INDEX(regions[], MATCH($D123, regions[[setting]:[setting]],0), MATCH(O$1, regions[#Headers],0)),INDEX(lmic_raw[],MATCH($A123,lmic_raw[[setting]:[setting]],0), MATCH(O$1, lmic_raw[#Headers],0)))</f>
        <v>0.38300000000000001</v>
      </c>
      <c r="P123" s="33">
        <f>IF(INDEX(lmic_raw[],MATCH($A123,lmic_raw[[setting]:[setting]],0), MATCH(P$1, lmic_raw[#Headers],0))=0, INDEX(regions[], MATCH($D123, regions[[setting]:[setting]],0), MATCH(P$1, regions[#Headers],0)),INDEX(lmic_raw[],MATCH($A123,lmic_raw[[setting]:[setting]],0), MATCH(P$1, lmic_raw[#Headers],0)))</f>
        <v>4.8000000000000001E-2</v>
      </c>
      <c r="Q123" s="33">
        <f>IF(INDEX(lmic_raw[],MATCH($A123,lmic_raw[[setting]:[setting]],0), MATCH(Q$1, lmic_raw[#Headers],0))=0, INDEX(regions[], MATCH($D123, regions[[setting]:[setting]],0), MATCH(Q$1, regions[#Headers],0)),INDEX(lmic_raw[],MATCH($A123,lmic_raw[[setting]:[setting]],0), MATCH(Q$1, lmic_raw[#Headers],0)))</f>
        <v>2.69387138004394</v>
      </c>
      <c r="R123" s="33">
        <f>IF(INDEX(lmic_raw[],MATCH($A123,lmic_raw[[setting]:[setting]],0), MATCH(R$1, lmic_raw[#Headers],0))=0, INDEX(regions[], MATCH($D123, regions[[setting]:[setting]],0), MATCH(R$1, regions[#Headers],0)),INDEX(lmic_raw[],MATCH($A123,lmic_raw[[setting]:[setting]],0), MATCH(R$1, lmic_raw[#Headers],0)))</f>
        <v>29.920500000000001</v>
      </c>
      <c r="S123" s="33">
        <f>IF(INDEX(lmic_raw[],MATCH($A123,lmic_raw[[setting]:[setting]],0), MATCH(S$1, lmic_raw[#Headers],0))=0, INDEX(regions[], MATCH($D123, regions[[setting]:[setting]],0), MATCH(S$1, regions[#Headers],0)),INDEX(lmic_raw[],MATCH($A123,lmic_raw[[setting]:[setting]],0), MATCH(S$1, lmic_raw[#Headers],0)))</f>
        <v>77.662500000000009</v>
      </c>
      <c r="T123" s="33">
        <f>IF(INDEX(lmic_raw[],MATCH($A123,lmic_raw[[setting]:[setting]],0), MATCH(T$1, lmic_raw[#Headers],0))=0, INDEX(regions[], MATCH($D123, regions[[setting]:[setting]],0), MATCH(T$1, regions[#Headers],0)),INDEX(lmic_raw[],MATCH($A123,lmic_raw[[setting]:[setting]],0), MATCH(T$1, lmic_raw[#Headers],0)))</f>
        <v>77.662500000000009</v>
      </c>
      <c r="U123" s="33">
        <f>IF(INDEX(lmic_raw[],MATCH($A123,lmic_raw[[setting]:[setting]],0), MATCH(U$1, lmic_raw[#Headers],0))=0, INDEX(regions[], MATCH($D123, regions[[setting]:[setting]],0), MATCH(U$1, regions[#Headers],0)),INDEX(lmic_raw[],MATCH($A123,lmic_raw[[setting]:[setting]],0), MATCH(U$1, lmic_raw[#Headers],0)))</f>
        <v>77.662500000000009</v>
      </c>
      <c r="V123" s="33">
        <f>IF(INDEX(lmic_raw[],MATCH($A123,lmic_raw[[setting]:[setting]],0), MATCH(V$1, lmic_raw[#Headers],0))=0, INDEX(regions[], MATCH($D123, regions[[setting]:[setting]],0), MATCH(V$1, regions[#Headers],0)),INDEX(lmic_raw[],MATCH($A123,lmic_raw[[setting]:[setting]],0), MATCH(V$1, lmic_raw[#Headers],0)))</f>
        <v>2.6642686712808143</v>
      </c>
      <c r="W123" s="33">
        <f>IF(INDEX(lmic_raw[],MATCH($A123,lmic_raw[[setting]:[setting]],0), MATCH(W$1, lmic_raw[#Headers],0))=0, INDEX(regions[], MATCH($D123, regions[[setting]:[setting]],0), MATCH(W$1, regions[#Headers],0)),INDEX(lmic_raw[],MATCH($A123,lmic_raw[[setting]:[setting]],0), MATCH(W$1, lmic_raw[#Headers],0)))</f>
        <v>7.494268671280814</v>
      </c>
      <c r="X123" s="33">
        <f>IF(INDEX(lmic_raw[],MATCH($A123,lmic_raw[[setting]:[setting]],0), MATCH(X$1, lmic_raw[#Headers],0))=0, INDEX(regions[], MATCH($D123, regions[[setting]:[setting]],0), MATCH(X$1, regions[#Headers],0)),INDEX(lmic_raw[],MATCH($A123,lmic_raw[[setting]:[setting]],0), MATCH(X$1, lmic_raw[#Headers],0)))</f>
        <v>2.2403752233892535</v>
      </c>
      <c r="Y123" s="33">
        <f>IF(INDEX(lmic_raw[],MATCH($A123,lmic_raw[[setting]:[setting]],0), MATCH(Y$1, lmic_raw[#Headers],0))=0, INDEX(regions[], MATCH($D123, regions[[setting]:[setting]],0), MATCH(Y$1, regions[#Headers],0)),INDEX(lmic_raw[],MATCH($A123,lmic_raw[[setting]:[setting]],0), MATCH(Y$1, lmic_raw[#Headers],0)))</f>
        <v>7.0703752233892541</v>
      </c>
      <c r="Z123" s="33">
        <f>IF(INDEX(lmic_raw[],MATCH($A123,lmic_raw[[setting]:[setting]],0), MATCH(Z$1, lmic_raw[#Headers],0))=0, INDEX(regions[], MATCH($D123, regions[[setting]:[setting]],0), MATCH(Z$1, regions[#Headers],0)),INDEX(lmic_raw[],MATCH($A123,lmic_raw[[setting]:[setting]],0), MATCH(Z$1, lmic_raw[#Headers],0)))</f>
        <v>7.0680477842290816</v>
      </c>
      <c r="AA123" s="33">
        <f>IF(INDEX(lmic_raw[],MATCH($A123,lmic_raw[[setting]:[setting]],0), MATCH(AA$1, lmic_raw[#Headers],0))=0, INDEX(regions[], MATCH($D123, regions[[setting]:[setting]],0), MATCH(AA$1, regions[#Headers],0)),INDEX(lmic_raw[],MATCH($A123,lmic_raw[[setting]:[setting]],0), MATCH(AA$1, lmic_raw[#Headers],0)))</f>
        <v>2.9052935131975635</v>
      </c>
      <c r="AB123" s="33">
        <f>IF(INDEX(lmic_raw[],MATCH($A123,lmic_raw[[setting]:[setting]],0), MATCH(AB$1, lmic_raw[#Headers],0))=0, INDEX(regions[], MATCH($D123, regions[[setting]:[setting]],0), MATCH(AB$1, regions[#Headers],0)),INDEX(lmic_raw[],MATCH($A123,lmic_raw[[setting]:[setting]],0), MATCH(AB$1, lmic_raw[#Headers],0)))</f>
        <v>7.7352935131975631</v>
      </c>
      <c r="AC123" s="33">
        <f>IF(INDEX(lmic_raw[],MATCH($A123,lmic_raw[[setting]:[setting]],0), MATCH(AC$1, lmic_raw[#Headers],0))=0, INDEX(regions[], MATCH($D123, regions[[setting]:[setting]],0), MATCH(AC$1, regions[#Headers],0)),INDEX(lmic_raw[],MATCH($A123,lmic_raw[[setting]:[setting]],0), MATCH(AC$1, lmic_raw[#Headers],0)))</f>
        <v>4.969623000000007E-2</v>
      </c>
      <c r="AD123" s="33">
        <f>IF(INDEX(lmic_raw[],MATCH($A123,lmic_raw[[setting]:[setting]],0), MATCH(AD$1, lmic_raw[#Headers],0))=0, INDEX(regions[], MATCH($D123, regions[[setting]:[setting]],0), MATCH(AD$1, regions[#Headers],0)),INDEX(lmic_raw[],MATCH($A123,lmic_raw[[setting]:[setting]],0), MATCH(AD$1, lmic_raw[#Headers],0)))</f>
        <v>6.7678911765234797E-3</v>
      </c>
      <c r="AE123" s="33">
        <f>IF(INDEX(lmic_raw[],MATCH($A123,lmic_raw[[setting]:[setting]],0), MATCH(AE$1, lmic_raw[#Headers],0))=0, INDEX(regions[], MATCH($D123, regions[[setting]:[setting]],0), MATCH(AE$1, regions[#Headers],0)),INDEX(lmic_raw[],MATCH($A123,lmic_raw[[setting]:[setting]],0), MATCH(AE$1, lmic_raw[#Headers],0)))</f>
        <v>3.0947733578997726E-3</v>
      </c>
      <c r="AF123" s="33">
        <f>IF(INDEX(lmic_raw[],MATCH($A123,lmic_raw[[setting]:[setting]],0), MATCH(AF$1, lmic_raw[#Headers],0))=0, INDEX(regions[], MATCH($D123, regions[[setting]:[setting]],0), MATCH(AF$1, regions[#Headers],0)),INDEX(lmic_raw[],MATCH($A123,lmic_raw[[setting]:[setting]],0), MATCH(AF$1, lmic_raw[#Headers],0)))</f>
        <v>1.8112940174932904E-3</v>
      </c>
      <c r="AG123" s="33">
        <f>IF(INDEX(lmic_raw[],MATCH($A123,lmic_raw[[setting]:[setting]],0), MATCH(AG$1, lmic_raw[#Headers],0))=0, INDEX(regions[], MATCH($D123, regions[[setting]:[setting]],0), MATCH(AG$1, regions[#Headers],0)),INDEX(lmic_raw[],MATCH($A123,lmic_raw[[setting]:[setting]],0), MATCH(AG$1, lmic_raw[#Headers],0)))</f>
        <v>2.7661457956693228E-3</v>
      </c>
      <c r="AH123" s="33">
        <f>IF(INDEX(lmic_raw[],MATCH($A123,lmic_raw[[setting]:[setting]],0), MATCH(AH$1, lmic_raw[#Headers],0))=0, INDEX(regions[], MATCH($D123, regions[[setting]:[setting]],0), MATCH(AH$1, regions[#Headers],0)),INDEX(lmic_raw[],MATCH($A123,lmic_raw[[setting]:[setting]],0), MATCH(AH$1, lmic_raw[#Headers],0)))</f>
        <v>3.8635098749342186E-3</v>
      </c>
      <c r="AI123" s="33">
        <f>IF(INDEX(lmic_raw[],MATCH($A123,lmic_raw[[setting]:[setting]],0), MATCH(AI$1, lmic_raw[#Headers],0))=0, INDEX(regions[], MATCH($D123, regions[[setting]:[setting]],0), MATCH(AI$1, regions[#Headers],0)),INDEX(lmic_raw[],MATCH($A123,lmic_raw[[setting]:[setting]],0), MATCH(AI$1, lmic_raw[#Headers],0)))</f>
        <v>4.1076620376263922E-3</v>
      </c>
      <c r="AJ123" s="33">
        <f>IF(INDEX(lmic_raw[],MATCH($A123,lmic_raw[[setting]:[setting]],0), MATCH(AJ$1, lmic_raw[#Headers],0))=0, INDEX(regions[], MATCH($D123, regions[[setting]:[setting]],0), MATCH(AJ$1, regions[#Headers],0)),INDEX(lmic_raw[],MATCH($A123,lmic_raw[[setting]:[setting]],0), MATCH(AJ$1, lmic_raw[#Headers],0)))</f>
        <v>4.4948405076414245E-3</v>
      </c>
      <c r="AK123" s="33">
        <f>IF(INDEX(lmic_raw[],MATCH($A123,lmic_raw[[setting]:[setting]],0), MATCH(AK$1, lmic_raw[#Headers],0))=0, INDEX(regions[], MATCH($D123, regions[[setting]:[setting]],0), MATCH(AK$1, regions[#Headers],0)),INDEX(lmic_raw[],MATCH($A123,lmic_raw[[setting]:[setting]],0), MATCH(AK$1, lmic_raw[#Headers],0)))</f>
        <v>5.1105513966074384E-3</v>
      </c>
      <c r="AL123" s="33">
        <f>IF(INDEX(lmic_raw[],MATCH($A123,lmic_raw[[setting]:[setting]],0), MATCH(AL$1, lmic_raw[#Headers],0))=0, INDEX(regions[], MATCH($D123, regions[[setting]:[setting]],0), MATCH(AL$1, regions[#Headers],0)),INDEX(lmic_raw[],MATCH($A123,lmic_raw[[setting]:[setting]],0), MATCH(AL$1, lmic_raw[#Headers],0)))</f>
        <v>6.2099948399343616E-3</v>
      </c>
      <c r="AM123" s="33">
        <f>IF(INDEX(lmic_raw[],MATCH($A123,lmic_raw[[setting]:[setting]],0), MATCH(AM$1, lmic_raw[#Headers],0))=0, INDEX(regions[], MATCH($D123, regions[[setting]:[setting]],0), MATCH(AM$1, regions[#Headers],0)),INDEX(lmic_raw[],MATCH($A123,lmic_raw[[setting]:[setting]],0), MATCH(AM$1, lmic_raw[#Headers],0)))</f>
        <v>7.6812973015688134E-3</v>
      </c>
      <c r="AN123" s="33">
        <f>IF(INDEX(lmic_raw[],MATCH($A123,lmic_raw[[setting]:[setting]],0), MATCH(AN$1, lmic_raw[#Headers],0))=0, INDEX(regions[], MATCH($D123, regions[[setting]:[setting]],0), MATCH(AN$1, regions[#Headers],0)),INDEX(lmic_raw[],MATCH($A123,lmic_raw[[setting]:[setting]],0), MATCH(AN$1, lmic_raw[#Headers],0)))</f>
        <v>1.068530292173713E-2</v>
      </c>
      <c r="AO123" s="33">
        <f>IF(INDEX(lmic_raw[],MATCH($A123,lmic_raw[[setting]:[setting]],0), MATCH(AO$1, lmic_raw[#Headers],0))=0, INDEX(regions[], MATCH($D123, regions[[setting]:[setting]],0), MATCH(AO$1, regions[#Headers],0)),INDEX(lmic_raw[],MATCH($A123,lmic_raw[[setting]:[setting]],0), MATCH(AO$1, lmic_raw[#Headers],0)))</f>
        <v>1.511104924550352E-2</v>
      </c>
      <c r="AP123" s="33">
        <f>IF(INDEX(lmic_raw[],MATCH($A123,lmic_raw[[setting]:[setting]],0), MATCH(AP$1, lmic_raw[#Headers],0))=0, INDEX(regions[], MATCH($D123, regions[[setting]:[setting]],0), MATCH(AP$1, regions[#Headers],0)),INDEX(lmic_raw[],MATCH($A123,lmic_raw[[setting]:[setting]],0), MATCH(AP$1, lmic_raw[#Headers],0)))</f>
        <v>2.3399658356689515E-2</v>
      </c>
      <c r="AQ123" s="33">
        <f>IF(INDEX(lmic_raw[],MATCH($A123,lmic_raw[[setting]:[setting]],0), MATCH(AQ$1, lmic_raw[#Headers],0))=0, INDEX(regions[], MATCH($D123, regions[[setting]:[setting]],0), MATCH(AQ$1, regions[#Headers],0)),INDEX(lmic_raw[],MATCH($A123,lmic_raw[[setting]:[setting]],0), MATCH(AQ$1, lmic_raw[#Headers],0)))</f>
        <v>3.5843422857449771E-2</v>
      </c>
      <c r="AR123" s="33">
        <f>IF(INDEX(lmic_raw[],MATCH($A123,lmic_raw[[setting]:[setting]],0), MATCH(AR$1, lmic_raw[#Headers],0))=0, INDEX(regions[], MATCH($D123, regions[[setting]:[setting]],0), MATCH(AR$1, regions[#Headers],0)),INDEX(lmic_raw[],MATCH($A123,lmic_raw[[setting]:[setting]],0), MATCH(AR$1, lmic_raw[#Headers],0)))</f>
        <v>5.6966775396661257E-2</v>
      </c>
      <c r="AS123" s="33">
        <f>IF(INDEX(lmic_raw[],MATCH($A123,lmic_raw[[setting]:[setting]],0), MATCH(AS$1, lmic_raw[#Headers],0))=0, INDEX(regions[], MATCH($D123, regions[[setting]:[setting]],0), MATCH(AS$1, regions[#Headers],0)),INDEX(lmic_raw[],MATCH($A123,lmic_raw[[setting]:[setting]],0), MATCH(AS$1, lmic_raw[#Headers],0)))</f>
        <v>8.6854207534117892E-2</v>
      </c>
      <c r="AT123" s="33">
        <f>IF(INDEX(lmic_raw[],MATCH($A123,lmic_raw[[setting]:[setting]],0), MATCH(AT$1, lmic_raw[#Headers],0))=0, INDEX(regions[], MATCH($D123, regions[[setting]:[setting]],0), MATCH(AT$1, regions[#Headers],0)),INDEX(lmic_raw[],MATCH($A123,lmic_raw[[setting]:[setting]],0), MATCH(AT$1, lmic_raw[#Headers],0)))</f>
        <v>0.12301208774582718</v>
      </c>
      <c r="AU123" s="33">
        <f>IF(INDEX(lmic_raw[],MATCH($A123,lmic_raw[[setting]:[setting]],0), MATCH(AU$1, lmic_raw[#Headers],0))=0, INDEX(regions[], MATCH($D123, regions[[setting]:[setting]],0), MATCH(AU$1, regions[#Headers],0)),INDEX(lmic_raw[],MATCH($A123,lmic_raw[[setting]:[setting]],0), MATCH(AU$1, lmic_raw[#Headers],0)))</f>
        <v>0.15561358021648744</v>
      </c>
      <c r="AV123" s="33">
        <f>IF(INDEX(lmic_raw[],MATCH($A123,lmic_raw[[setting]:[setting]],0), MATCH(AV$1, lmic_raw[#Headers],0))=0, INDEX(regions[], MATCH($D123, regions[[setting]:[setting]],0), MATCH(AV$1, regions[#Headers],0)),INDEX(lmic_raw[],MATCH($A123,lmic_raw[[setting]:[setting]],0), MATCH(AV$1, lmic_raw[#Headers],0)))</f>
        <v>0.17778575770131999</v>
      </c>
      <c r="AW123" s="33">
        <f>IF(INDEX(lmic_raw[],MATCH($A123,lmic_raw[[setting]:[setting]],0), MATCH(AW$1, lmic_raw[#Headers],0))=0, INDEX(regions[], MATCH($D123, regions[[setting]:[setting]],0), MATCH(AW$1, regions[#Headers],0)),INDEX(lmic_raw[],MATCH($A123,lmic_raw[[setting]:[setting]],0), MATCH(AW$1, lmic_raw[#Headers],0)))</f>
        <v>0.19405840489771495</v>
      </c>
      <c r="AX123" s="33">
        <f>IF(INDEX(lmic_raw[],MATCH($A123,lmic_raw[[setting]:[setting]],0), MATCH(AX$1, lmic_raw[#Headers],0))=0, INDEX(regions[], MATCH($D123, regions[[setting]:[setting]],0), MATCH(AX$1, regions[#Headers],0)),INDEX(lmic_raw[],MATCH($A123,lmic_raw[[setting]:[setting]],0), MATCH(AX$1, lmic_raw[#Headers],0)))</f>
        <v>60.527999999999999</v>
      </c>
      <c r="AY123" s="33" t="str">
        <f>IF(VLOOKUP($A123,lmic_raw[],11,FALSE)=0, "Yes", "No")</f>
        <v>Yes</v>
      </c>
    </row>
    <row r="124" spans="1:51" x14ac:dyDescent="0.25">
      <c r="A124" s="109" t="s">
        <v>301</v>
      </c>
      <c r="B124" s="101" t="s">
        <v>525</v>
      </c>
      <c r="C124" s="102">
        <v>776</v>
      </c>
      <c r="D124" s="82" t="s">
        <v>681</v>
      </c>
      <c r="E124" s="82" t="s">
        <v>98</v>
      </c>
      <c r="F124" s="82" t="s">
        <v>666</v>
      </c>
      <c r="G124" s="82" t="s">
        <v>676</v>
      </c>
      <c r="H124" s="33">
        <f>IF(INDEX(lmic_raw[],MATCH($A124,lmic_raw[[setting]:[setting]],0), MATCH(H$1, lmic_raw[#Headers],0))=0, INDEX(regions[], MATCH($D124, regions[[setting]:[setting]],0), MATCH(H$1, regions[#Headers],0)),INDEX(lmic_raw[],MATCH($A124,lmic_raw[[setting]:[setting]],0), MATCH(H$1, lmic_raw[#Headers],0)))</f>
        <v>104497</v>
      </c>
      <c r="I124" s="33">
        <f>IF(INDEX(lmic_raw[],MATCH($A124,lmic_raw[[setting]:[setting]],0), MATCH(I$1, lmic_raw[#Headers],0))=0, INDEX(regions[], MATCH($D124, regions[[setting]:[setting]],0), MATCH(I$1, regions[#Headers],0)),INDEX(lmic_raw[],MATCH($A124,lmic_raw[[setting]:[setting]],0), MATCH(I$1, lmic_raw[#Headers],0)))</f>
        <v>2555.3696380000001</v>
      </c>
      <c r="J124" s="33">
        <f>IF(INDEX(lmic_raw[],MATCH($A124,lmic_raw[[setting]:[setting]],0), MATCH(J$1, lmic_raw[#Headers],0))=0, INDEX(regions[], MATCH($D124, regions[[setting]:[setting]],0), MATCH(J$1, regions[#Headers],0)),INDEX(lmic_raw[],MATCH($A124,lmic_raw[[setting]:[setting]],0), MATCH(J$1, lmic_raw[#Headers],0)))</f>
        <v>0.98</v>
      </c>
      <c r="K124" s="33">
        <f>IF(INDEX(lmic_raw[],MATCH($A124,lmic_raw[[setting]:[setting]],0), MATCH(K$1, lmic_raw[#Headers],0))=0, INDEX(regions[], MATCH($D124, regions[[setting]:[setting]],0), MATCH(K$1, regions[#Headers],0)),INDEX(lmic_raw[],MATCH($A124,lmic_raw[[setting]:[setting]],0), MATCH(K$1, lmic_raw[#Headers],0)))</f>
        <v>0.99</v>
      </c>
      <c r="L124" s="33">
        <f>IF(INDEX(lmic_raw[],MATCH($A124,lmic_raw[[setting]:[setting]],0), MATCH(L$1, lmic_raw[#Headers],0))=0, INDEX(regions[], MATCH($D124, regions[[setting]:[setting]],0), MATCH(L$1, regions[#Headers],0)),INDEX(lmic_raw[],MATCH($A124,lmic_raw[[setting]:[setting]],0), MATCH(L$1, lmic_raw[#Headers],0)))</f>
        <v>0.99</v>
      </c>
      <c r="M124" s="33">
        <f>IF(INDEX(lmic_raw[],MATCH($A124,lmic_raw[[setting]:[setting]],0), MATCH(M$1, lmic_raw[#Headers],0))=0, INDEX(regions[], MATCH($D124, regions[[setting]:[setting]],0), MATCH(M$1, regions[#Headers],0)),INDEX(lmic_raw[],MATCH($A124,lmic_raw[[setting]:[setting]],0), MATCH(M$1, lmic_raw[#Headers],0)))</f>
        <v>9.3599999999999989E-2</v>
      </c>
      <c r="N124" s="33">
        <f>IF(INDEX(lmic_raw[],MATCH($A124,lmic_raw[[setting]:[setting]],0), MATCH(N$1, lmic_raw[#Headers],0))=0, INDEX(regions[], MATCH($D124, regions[[setting]:[setting]],0), MATCH(N$1, regions[#Headers],0)),INDEX(lmic_raw[],MATCH($A124,lmic_raw[[setting]:[setting]],0), MATCH(N$1, lmic_raw[#Headers],0)))</f>
        <v>0.3121111146320209</v>
      </c>
      <c r="O124" s="33">
        <f>IF(INDEX(lmic_raw[],MATCH($A124,lmic_raw[[setting]:[setting]],0), MATCH(O$1, lmic_raw[#Headers],0))=0, INDEX(regions[], MATCH($D124, regions[[setting]:[setting]],0), MATCH(O$1, regions[#Headers],0)),INDEX(lmic_raw[],MATCH($A124,lmic_raw[[setting]:[setting]],0), MATCH(O$1, lmic_raw[#Headers],0)))</f>
        <v>0.8</v>
      </c>
      <c r="P124" s="33">
        <f>IF(INDEX(lmic_raw[],MATCH($A124,lmic_raw[[setting]:[setting]],0), MATCH(P$1, lmic_raw[#Headers],0))=0, INDEX(regions[], MATCH($D124, regions[[setting]:[setting]],0), MATCH(P$1, regions[#Headers],0)),INDEX(lmic_raw[],MATCH($A124,lmic_raw[[setting]:[setting]],0), MATCH(P$1, lmic_raw[#Headers],0)))</f>
        <v>0.17499999999999999</v>
      </c>
      <c r="Q124" s="33">
        <f>IF(INDEX(lmic_raw[],MATCH($A124,lmic_raw[[setting]:[setting]],0), MATCH(Q$1, lmic_raw[#Headers],0))=0, INDEX(regions[], MATCH($D124, regions[[setting]:[setting]],0), MATCH(Q$1, regions[#Headers],0)),INDEX(lmic_raw[],MATCH($A124,lmic_raw[[setting]:[setting]],0), MATCH(Q$1, lmic_raw[#Headers],0)))</f>
        <v>7.9993368005446834</v>
      </c>
      <c r="R124" s="33">
        <f>IF(INDEX(lmic_raw[],MATCH($A124,lmic_raw[[setting]:[setting]],0), MATCH(R$1, lmic_raw[#Headers],0))=0, INDEX(regions[], MATCH($D124, regions[[setting]:[setting]],0), MATCH(R$1, regions[#Headers],0)),INDEX(lmic_raw[],MATCH($A124,lmic_raw[[setting]:[setting]],0), MATCH(R$1, lmic_raw[#Headers],0)))</f>
        <v>73.084500000000006</v>
      </c>
      <c r="S124" s="33">
        <f>IF(INDEX(lmic_raw[],MATCH($A124,lmic_raw[[setting]:[setting]],0), MATCH(S$1, lmic_raw[#Headers],0))=0, INDEX(regions[], MATCH($D124, regions[[setting]:[setting]],0), MATCH(S$1, regions[#Headers],0)),INDEX(lmic_raw[],MATCH($A124,lmic_raw[[setting]:[setting]],0), MATCH(S$1, lmic_raw[#Headers],0)))</f>
        <v>120.8265</v>
      </c>
      <c r="T124" s="33">
        <f>IF(INDEX(lmic_raw[],MATCH($A124,lmic_raw[[setting]:[setting]],0), MATCH(T$1, lmic_raw[#Headers],0))=0, INDEX(regions[], MATCH($D124, regions[[setting]:[setting]],0), MATCH(T$1, regions[#Headers],0)),INDEX(lmic_raw[],MATCH($A124,lmic_raw[[setting]:[setting]],0), MATCH(T$1, lmic_raw[#Headers],0)))</f>
        <v>120.8265</v>
      </c>
      <c r="U124" s="33">
        <f>IF(INDEX(lmic_raw[],MATCH($A124,lmic_raw[[setting]:[setting]],0), MATCH(U$1, lmic_raw[#Headers],0))=0, INDEX(regions[], MATCH($D124, regions[[setting]:[setting]],0), MATCH(U$1, regions[#Headers],0)),INDEX(lmic_raw[],MATCH($A124,lmic_raw[[setting]:[setting]],0), MATCH(U$1, lmic_raw[#Headers],0)))</f>
        <v>120.8265</v>
      </c>
      <c r="V124" s="33">
        <f>IF(INDEX(lmic_raw[],MATCH($A124,lmic_raw[[setting]:[setting]],0), MATCH(V$1, lmic_raw[#Headers],0))=0, INDEX(regions[], MATCH($D124, regions[[setting]:[setting]],0), MATCH(V$1, regions[#Headers],0)),INDEX(lmic_raw[],MATCH($A124,lmic_raw[[setting]:[setting]],0), MATCH(V$1, lmic_raw[#Headers],0)))</f>
        <v>8.3559960831028484</v>
      </c>
      <c r="W124" s="33">
        <f>IF(INDEX(lmic_raw[],MATCH($A124,lmic_raw[[setting]:[setting]],0), MATCH(W$1, lmic_raw[#Headers],0))=0, INDEX(regions[], MATCH($D124, regions[[setting]:[setting]],0), MATCH(W$1, regions[#Headers],0)),INDEX(lmic_raw[],MATCH($A124,lmic_raw[[setting]:[setting]],0), MATCH(W$1, lmic_raw[#Headers],0)))</f>
        <v>8.9859960831028491</v>
      </c>
      <c r="X124" s="33">
        <f>IF(INDEX(lmic_raw[],MATCH($A124,lmic_raw[[setting]:[setting]],0), MATCH(X$1, lmic_raw[#Headers],0))=0, INDEX(regions[], MATCH($D124, regions[[setting]:[setting]],0), MATCH(X$1, regions[#Headers],0)),INDEX(lmic_raw[],MATCH($A124,lmic_raw[[setting]:[setting]],0), MATCH(X$1, lmic_raw[#Headers],0)))</f>
        <v>7.9233819104168752</v>
      </c>
      <c r="Y124" s="33">
        <f>IF(INDEX(lmic_raw[],MATCH($A124,lmic_raw[[setting]:[setting]],0), MATCH(Y$1, lmic_raw[#Headers],0))=0, INDEX(regions[], MATCH($D124, regions[[setting]:[setting]],0), MATCH(Y$1, regions[#Headers],0)),INDEX(lmic_raw[],MATCH($A124,lmic_raw[[setting]:[setting]],0), MATCH(Y$1, lmic_raw[#Headers],0)))</f>
        <v>8.553381910416876</v>
      </c>
      <c r="Z124" s="33">
        <f>IF(INDEX(lmic_raw[],MATCH($A124,lmic_raw[[setting]:[setting]],0), MATCH(Z$1, lmic_raw[#Headers],0))=0, INDEX(regions[], MATCH($D124, regions[[setting]:[setting]],0), MATCH(Z$1, regions[#Headers],0)),INDEX(lmic_raw[],MATCH($A124,lmic_raw[[setting]:[setting]],0), MATCH(Z$1, lmic_raw[#Headers],0)))</f>
        <v>8.5478757948579212</v>
      </c>
      <c r="AA124" s="33">
        <f>IF(INDEX(lmic_raw[],MATCH($A124,lmic_raw[[setting]:[setting]],0), MATCH(AA$1, lmic_raw[#Headers],0))=0, INDEX(regions[], MATCH($D124, regions[[setting]:[setting]],0), MATCH(AA$1, regions[#Headers],0)),INDEX(lmic_raw[],MATCH($A124,lmic_raw[[setting]:[setting]],0), MATCH(AA$1, lmic_raw[#Headers],0)))</f>
        <v>8.6001644420966556</v>
      </c>
      <c r="AB124" s="33">
        <f>IF(INDEX(lmic_raw[],MATCH($A124,lmic_raw[[setting]:[setting]],0), MATCH(AB$1, lmic_raw[#Headers],0))=0, INDEX(regions[], MATCH($D124, regions[[setting]:[setting]],0), MATCH(AB$1, regions[#Headers],0)),INDEX(lmic_raw[],MATCH($A124,lmic_raw[[setting]:[setting]],0), MATCH(AB$1, lmic_raw[#Headers],0)))</f>
        <v>9.2301644420966564</v>
      </c>
      <c r="AC124" s="33">
        <f>IF(INDEX(lmic_raw[],MATCH($A124,lmic_raw[[setting]:[setting]],0), MATCH(AC$1, lmic_raw[#Headers],0))=0, INDEX(regions[], MATCH($D124, regions[[setting]:[setting]],0), MATCH(AC$1, regions[#Headers],0)),INDEX(lmic_raw[],MATCH($A124,lmic_raw[[setting]:[setting]],0), MATCH(AC$1, lmic_raw[#Headers],0)))</f>
        <v>1.2516630000000004E-2</v>
      </c>
      <c r="AD124" s="33">
        <f>IF(INDEX(lmic_raw[],MATCH($A124,lmic_raw[[setting]:[setting]],0), MATCH(AD$1, lmic_raw[#Headers],0))=0, INDEX(regions[], MATCH($D124, regions[[setting]:[setting]],0), MATCH(AD$1, regions[#Headers],0)),INDEX(lmic_raw[],MATCH($A124,lmic_raw[[setting]:[setting]],0), MATCH(AD$1, lmic_raw[#Headers],0)))</f>
        <v>7.8586133556862703E-4</v>
      </c>
      <c r="AE124" s="33">
        <f>IF(INDEX(lmic_raw[],MATCH($A124,lmic_raw[[setting]:[setting]],0), MATCH(AE$1, lmic_raw[#Headers],0))=0, INDEX(regions[], MATCH($D124, regions[[setting]:[setting]],0), MATCH(AE$1, regions[#Headers],0)),INDEX(lmic_raw[],MATCH($A124,lmic_raw[[setting]:[setting]],0), MATCH(AE$1, lmic_raw[#Headers],0)))</f>
        <v>3.9811078102040137E-4</v>
      </c>
      <c r="AF124" s="33">
        <f>IF(INDEX(lmic_raw[],MATCH($A124,lmic_raw[[setting]:[setting]],0), MATCH(AF$1, lmic_raw[#Headers],0))=0, INDEX(regions[], MATCH($D124, regions[[setting]:[setting]],0), MATCH(AF$1, regions[#Headers],0)),INDEX(lmic_raw[],MATCH($A124,lmic_raw[[setting]:[setting]],0), MATCH(AF$1, lmic_raw[#Headers],0)))</f>
        <v>3.7813773319574111E-4</v>
      </c>
      <c r="AG124" s="33">
        <f>IF(INDEX(lmic_raw[],MATCH($A124,lmic_raw[[setting]:[setting]],0), MATCH(AG$1, lmic_raw[#Headers],0))=0, INDEX(regions[], MATCH($D124, regions[[setting]:[setting]],0), MATCH(AG$1, regions[#Headers],0)),INDEX(lmic_raw[],MATCH($A124,lmic_raw[[setting]:[setting]],0), MATCH(AG$1, lmic_raw[#Headers],0)))</f>
        <v>9.4484556800651653E-4</v>
      </c>
      <c r="AH124" s="33">
        <f>IF(INDEX(lmic_raw[],MATCH($A124,lmic_raw[[setting]:[setting]],0), MATCH(AH$1, lmic_raw[#Headers],0))=0, INDEX(regions[], MATCH($D124, regions[[setting]:[setting]],0), MATCH(AH$1, regions[#Headers],0)),INDEX(lmic_raw[],MATCH($A124,lmic_raw[[setting]:[setting]],0), MATCH(AH$1, lmic_raw[#Headers],0)))</f>
        <v>1.3732255950006816E-3</v>
      </c>
      <c r="AI124" s="33">
        <f>IF(INDEX(lmic_raw[],MATCH($A124,lmic_raw[[setting]:[setting]],0), MATCH(AI$1, lmic_raw[#Headers],0))=0, INDEX(regions[], MATCH($D124, regions[[setting]:[setting]],0), MATCH(AI$1, regions[#Headers],0)),INDEX(lmic_raw[],MATCH($A124,lmic_raw[[setting]:[setting]],0), MATCH(AI$1, lmic_raw[#Headers],0)))</f>
        <v>1.5029202074101973E-3</v>
      </c>
      <c r="AJ124" s="33">
        <f>IF(INDEX(lmic_raw[],MATCH($A124,lmic_raw[[setting]:[setting]],0), MATCH(AJ$1, lmic_raw[#Headers],0))=0, INDEX(regions[], MATCH($D124, regions[[setting]:[setting]],0), MATCH(AJ$1, regions[#Headers],0)),INDEX(lmic_raw[],MATCH($A124,lmic_raw[[setting]:[setting]],0), MATCH(AJ$1, lmic_raw[#Headers],0)))</f>
        <v>1.7968539659716511E-3</v>
      </c>
      <c r="AK124" s="33">
        <f>IF(INDEX(lmic_raw[],MATCH($A124,lmic_raw[[setting]:[setting]],0), MATCH(AK$1, lmic_raw[#Headers],0))=0, INDEX(regions[], MATCH($D124, regions[[setting]:[setting]],0), MATCH(AK$1, regions[#Headers],0)),INDEX(lmic_raw[],MATCH($A124,lmic_raw[[setting]:[setting]],0), MATCH(AK$1, lmic_raw[#Headers],0)))</f>
        <v>2.4218398057659412E-3</v>
      </c>
      <c r="AL124" s="33">
        <f>IF(INDEX(lmic_raw[],MATCH($A124,lmic_raw[[setting]:[setting]],0), MATCH(AL$1, lmic_raw[#Headers],0))=0, INDEX(regions[], MATCH($D124, regions[[setting]:[setting]],0), MATCH(AL$1, regions[#Headers],0)),INDEX(lmic_raw[],MATCH($A124,lmic_raw[[setting]:[setting]],0), MATCH(AL$1, lmic_raw[#Headers],0)))</f>
        <v>3.4808012206002121E-3</v>
      </c>
      <c r="AM124" s="33">
        <f>IF(INDEX(lmic_raw[],MATCH($A124,lmic_raw[[setting]:[setting]],0), MATCH(AM$1, lmic_raw[#Headers],0))=0, INDEX(regions[], MATCH($D124, regions[[setting]:[setting]],0), MATCH(AM$1, regions[#Headers],0)),INDEX(lmic_raw[],MATCH($A124,lmic_raw[[setting]:[setting]],0), MATCH(AM$1, lmic_raw[#Headers],0)))</f>
        <v>5.2317906143452856E-3</v>
      </c>
      <c r="AN124" s="33">
        <f>IF(INDEX(lmic_raw[],MATCH($A124,lmic_raw[[setting]:[setting]],0), MATCH(AN$1, lmic_raw[#Headers],0))=0, INDEX(regions[], MATCH($D124, regions[[setting]:[setting]],0), MATCH(AN$1, regions[#Headers],0)),INDEX(lmic_raw[],MATCH($A124,lmic_raw[[setting]:[setting]],0), MATCH(AN$1, lmic_raw[#Headers],0)))</f>
        <v>7.9078565328276531E-3</v>
      </c>
      <c r="AO124" s="33">
        <f>IF(INDEX(lmic_raw[],MATCH($A124,lmic_raw[[setting]:[setting]],0), MATCH(AO$1, lmic_raw[#Headers],0))=0, INDEX(regions[], MATCH($D124, regions[[setting]:[setting]],0), MATCH(AO$1, regions[#Headers],0)),INDEX(lmic_raw[],MATCH($A124,lmic_raw[[setting]:[setting]],0), MATCH(AO$1, lmic_raw[#Headers],0)))</f>
        <v>1.1677580060920043E-2</v>
      </c>
      <c r="AP124" s="33">
        <f>IF(INDEX(lmic_raw[],MATCH($A124,lmic_raw[[setting]:[setting]],0), MATCH(AP$1, lmic_raw[#Headers],0))=0, INDEX(regions[], MATCH($D124, regions[[setting]:[setting]],0), MATCH(AP$1, regions[#Headers],0)),INDEX(lmic_raw[],MATCH($A124,lmic_raw[[setting]:[setting]],0), MATCH(AP$1, lmic_raw[#Headers],0)))</f>
        <v>1.8528062502888052E-2</v>
      </c>
      <c r="AQ124" s="33">
        <f>IF(INDEX(lmic_raw[],MATCH($A124,lmic_raw[[setting]:[setting]],0), MATCH(AQ$1, lmic_raw[#Headers],0))=0, INDEX(regions[], MATCH($D124, regions[[setting]:[setting]],0), MATCH(AQ$1, regions[#Headers],0)),INDEX(lmic_raw[],MATCH($A124,lmic_raw[[setting]:[setting]],0), MATCH(AQ$1, lmic_raw[#Headers],0)))</f>
        <v>2.9504773065557197E-2</v>
      </c>
      <c r="AR124" s="33">
        <f>IF(INDEX(lmic_raw[],MATCH($A124,lmic_raw[[setting]:[setting]],0), MATCH(AR$1, lmic_raw[#Headers],0))=0, INDEX(regions[], MATCH($D124, regions[[setting]:[setting]],0), MATCH(AR$1, regions[#Headers],0)),INDEX(lmic_raw[],MATCH($A124,lmic_raw[[setting]:[setting]],0), MATCH(AR$1, lmic_raw[#Headers],0)))</f>
        <v>4.5748277535170925E-2</v>
      </c>
      <c r="AS124" s="33">
        <f>IF(INDEX(lmic_raw[],MATCH($A124,lmic_raw[[setting]:[setting]],0), MATCH(AS$1, lmic_raw[#Headers],0))=0, INDEX(regions[], MATCH($D124, regions[[setting]:[setting]],0), MATCH(AS$1, regions[#Headers],0)),INDEX(lmic_raw[],MATCH($A124,lmic_raw[[setting]:[setting]],0), MATCH(AS$1, lmic_raw[#Headers],0)))</f>
        <v>6.8800985138411583E-2</v>
      </c>
      <c r="AT124" s="33">
        <f>IF(INDEX(lmic_raw[],MATCH($A124,lmic_raw[[setting]:[setting]],0), MATCH(AT$1, lmic_raw[#Headers],0))=0, INDEX(regions[], MATCH($D124, regions[[setting]:[setting]],0), MATCH(AT$1, regions[#Headers],0)),INDEX(lmic_raw[],MATCH($A124,lmic_raw[[setting]:[setting]],0), MATCH(AT$1, lmic_raw[#Headers],0)))</f>
        <v>9.9582487239060005E-2</v>
      </c>
      <c r="AU124" s="33">
        <f>IF(INDEX(lmic_raw[],MATCH($A124,lmic_raw[[setting]:[setting]],0), MATCH(AU$1, lmic_raw[#Headers],0))=0, INDEX(regions[], MATCH($D124, regions[[setting]:[setting]],0), MATCH(AU$1, regions[#Headers],0)),INDEX(lmic_raw[],MATCH($A124,lmic_raw[[setting]:[setting]],0), MATCH(AU$1, lmic_raw[#Headers],0)))</f>
        <v>0.13436603086610061</v>
      </c>
      <c r="AV124" s="33">
        <f>IF(INDEX(lmic_raw[],MATCH($A124,lmic_raw[[setting]:[setting]],0), MATCH(AV$1, lmic_raw[#Headers],0))=0, INDEX(regions[], MATCH($D124, regions[[setting]:[setting]],0), MATCH(AV$1, regions[#Headers],0)),INDEX(lmic_raw[],MATCH($A124,lmic_raw[[setting]:[setting]],0), MATCH(AV$1, lmic_raw[#Headers],0)))</f>
        <v>0.16388950357319268</v>
      </c>
      <c r="AW124" s="33">
        <f>IF(INDEX(lmic_raw[],MATCH($A124,lmic_raw[[setting]:[setting]],0), MATCH(AW$1, lmic_raw[#Headers],0))=0, INDEX(regions[], MATCH($D124, regions[[setting]:[setting]],0), MATCH(AW$1, regions[#Headers],0)),INDEX(lmic_raw[],MATCH($A124,lmic_raw[[setting]:[setting]],0), MATCH(AW$1, lmic_raw[#Headers],0)))</f>
        <v>0.18198957321540954</v>
      </c>
      <c r="AX124" s="33">
        <f>IF(INDEX(lmic_raw[],MATCH($A124,lmic_raw[[setting]:[setting]],0), MATCH(AX$1, lmic_raw[#Headers],0))=0, INDEX(regions[], MATCH($D124, regions[[setting]:[setting]],0), MATCH(AX$1, regions[#Headers],0)),INDEX(lmic_raw[],MATCH($A124,lmic_raw[[setting]:[setting]],0), MATCH(AX$1, lmic_raw[#Headers],0)))</f>
        <v>70.741</v>
      </c>
      <c r="AY124" s="33" t="str">
        <f>IF(VLOOKUP($A124,lmic_raw[],11,FALSE)=0, "Yes", "No")</f>
        <v>No</v>
      </c>
    </row>
    <row r="125" spans="1:51" x14ac:dyDescent="0.25">
      <c r="A125" s="110" t="s">
        <v>162</v>
      </c>
      <c r="B125" s="104" t="s">
        <v>527</v>
      </c>
      <c r="C125" s="105">
        <v>788</v>
      </c>
      <c r="D125" s="84" t="s">
        <v>673</v>
      </c>
      <c r="E125" s="84" t="s">
        <v>579</v>
      </c>
      <c r="F125" s="84" t="s">
        <v>579</v>
      </c>
      <c r="G125" s="84" t="s">
        <v>678</v>
      </c>
      <c r="H125" s="33">
        <f>IF(INDEX(lmic_raw[],MATCH($A125,lmic_raw[[setting]:[setting]],0), MATCH(H$1, lmic_raw[#Headers],0))=0, INDEX(regions[], MATCH($D125, regions[[setting]:[setting]],0), MATCH(H$1, regions[#Headers],0)),INDEX(lmic_raw[],MATCH($A125,lmic_raw[[setting]:[setting]],0), MATCH(H$1, lmic_raw[#Headers],0)))</f>
        <v>11694721</v>
      </c>
      <c r="I125" s="33">
        <f>IF(INDEX(lmic_raw[],MATCH($A125,lmic_raw[[setting]:[setting]],0), MATCH(I$1, lmic_raw[#Headers],0))=0, INDEX(regions[], MATCH($D125, regions[[setting]:[setting]],0), MATCH(I$1, regions[#Headers],0)),INDEX(lmic_raw[],MATCH($A125,lmic_raw[[setting]:[setting]],0), MATCH(I$1, lmic_raw[#Headers],0)))</f>
        <v>207160.28779399997</v>
      </c>
      <c r="J125" s="33">
        <f>IF(INDEX(lmic_raw[],MATCH($A125,lmic_raw[[setting]:[setting]],0), MATCH(J$1, lmic_raw[#Headers],0))=0, INDEX(regions[], MATCH($D125, regions[[setting]:[setting]],0), MATCH(J$1, regions[#Headers],0)),INDEX(lmic_raw[],MATCH($A125,lmic_raw[[setting]:[setting]],0), MATCH(J$1, lmic_raw[#Headers],0)))</f>
        <v>0.997</v>
      </c>
      <c r="K125" s="33">
        <f>IF(INDEX(lmic_raw[],MATCH($A125,lmic_raw[[setting]:[setting]],0), MATCH(K$1, lmic_raw[#Headers],0))=0, INDEX(regions[], MATCH($D125, regions[[setting]:[setting]],0), MATCH(K$1, regions[#Headers],0)),INDEX(lmic_raw[],MATCH($A125,lmic_raw[[setting]:[setting]],0), MATCH(K$1, lmic_raw[#Headers],0)))</f>
        <v>0.74</v>
      </c>
      <c r="L125" s="33">
        <f>IF(INDEX(lmic_raw[],MATCH($A125,lmic_raw[[setting]:[setting]],0), MATCH(L$1, lmic_raw[#Headers],0))=0, INDEX(regions[], MATCH($D125, regions[[setting]:[setting]],0), MATCH(L$1, regions[#Headers],0)),INDEX(lmic_raw[],MATCH($A125,lmic_raw[[setting]:[setting]],0), MATCH(L$1, lmic_raw[#Headers],0)))</f>
        <v>0.92</v>
      </c>
      <c r="M125" s="33">
        <f>IF(INDEX(lmic_raw[],MATCH($A125,lmic_raw[[setting]:[setting]],0), MATCH(M$1, lmic_raw[#Headers],0))=0, INDEX(regions[], MATCH($D125, regions[[setting]:[setting]],0), MATCH(M$1, regions[#Headers],0)),INDEX(lmic_raw[],MATCH($A125,lmic_raw[[setting]:[setting]],0), MATCH(M$1, lmic_raw[#Headers],0)))</f>
        <v>4.9100000000000005E-2</v>
      </c>
      <c r="N125" s="33">
        <f>IF(INDEX(lmic_raw[],MATCH($A125,lmic_raw[[setting]:[setting]],0), MATCH(N$1, lmic_raw[#Headers],0))=0, INDEX(regions[], MATCH($D125, regions[[setting]:[setting]],0), MATCH(N$1, regions[#Headers],0)),INDEX(lmic_raw[],MATCH($A125,lmic_raw[[setting]:[setting]],0), MATCH(N$1, lmic_raw[#Headers],0)))</f>
        <v>0.24242703990008532</v>
      </c>
      <c r="O125" s="33">
        <f>IF(INDEX(lmic_raw[],MATCH($A125,lmic_raw[[setting]:[setting]],0), MATCH(O$1, lmic_raw[#Headers],0))=0, INDEX(regions[], MATCH($D125, regions[[setting]:[setting]],0), MATCH(O$1, regions[#Headers],0)),INDEX(lmic_raw[],MATCH($A125,lmic_raw[[setting]:[setting]],0), MATCH(O$1, lmic_raw[#Headers],0)))</f>
        <v>0.8</v>
      </c>
      <c r="P125" s="33">
        <f>IF(INDEX(lmic_raw[],MATCH($A125,lmic_raw[[setting]:[setting]],0), MATCH(P$1, lmic_raw[#Headers],0))=0, INDEX(regions[], MATCH($D125, regions[[setting]:[setting]],0), MATCH(P$1, regions[#Headers],0)),INDEX(lmic_raw[],MATCH($A125,lmic_raw[[setting]:[setting]],0), MATCH(P$1, lmic_raw[#Headers],0)))</f>
        <v>0.17499999999999999</v>
      </c>
      <c r="Q125" s="33">
        <f>IF(INDEX(lmic_raw[],MATCH($A125,lmic_raw[[setting]:[setting]],0), MATCH(Q$1, lmic_raw[#Headers],0))=0, INDEX(regions[], MATCH($D125, regions[[setting]:[setting]],0), MATCH(Q$1, regions[#Headers],0)),INDEX(lmic_raw[],MATCH($A125,lmic_raw[[setting]:[setting]],0), MATCH(Q$1, lmic_raw[#Headers],0)))</f>
        <v>8.2960630544876786</v>
      </c>
      <c r="R125" s="33">
        <f>IF(INDEX(lmic_raw[],MATCH($A125,lmic_raw[[setting]:[setting]],0), MATCH(R$1, lmic_raw[#Headers],0))=0, INDEX(regions[], MATCH($D125, regions[[setting]:[setting]],0), MATCH(R$1, regions[#Headers],0)),INDEX(lmic_raw[],MATCH($A125,lmic_raw[[setting]:[setting]],0), MATCH(R$1, lmic_raw[#Headers],0)))</f>
        <v>46.335900000000002</v>
      </c>
      <c r="S125" s="33">
        <f>IF(INDEX(lmic_raw[],MATCH($A125,lmic_raw[[setting]:[setting]],0), MATCH(S$1, lmic_raw[#Headers],0))=0, INDEX(regions[], MATCH($D125, regions[[setting]:[setting]],0), MATCH(S$1, regions[#Headers],0)),INDEX(lmic_raw[],MATCH($A125,lmic_raw[[setting]:[setting]],0), MATCH(S$1, lmic_raw[#Headers],0)))</f>
        <v>94.077900000000014</v>
      </c>
      <c r="T125" s="33">
        <f>IF(INDEX(lmic_raw[],MATCH($A125,lmic_raw[[setting]:[setting]],0), MATCH(T$1, lmic_raw[#Headers],0))=0, INDEX(regions[], MATCH($D125, regions[[setting]:[setting]],0), MATCH(T$1, regions[#Headers],0)),INDEX(lmic_raw[],MATCH($A125,lmic_raw[[setting]:[setting]],0), MATCH(T$1, lmic_raw[#Headers],0)))</f>
        <v>94.077900000000014</v>
      </c>
      <c r="U125" s="33">
        <f>IF(INDEX(lmic_raw[],MATCH($A125,lmic_raw[[setting]:[setting]],0), MATCH(U$1, lmic_raw[#Headers],0))=0, INDEX(regions[], MATCH($D125, regions[[setting]:[setting]],0), MATCH(U$1, regions[#Headers],0)),INDEX(lmic_raw[],MATCH($A125,lmic_raw[[setting]:[setting]],0), MATCH(U$1, lmic_raw[#Headers],0)))</f>
        <v>94.077900000000014</v>
      </c>
      <c r="V125" s="33">
        <f>IF(INDEX(lmic_raw[],MATCH($A125,lmic_raw[[setting]:[setting]],0), MATCH(V$1, lmic_raw[#Headers],0))=0, INDEX(regions[], MATCH($D125, regions[[setting]:[setting]],0), MATCH(V$1, regions[#Headers],0)),INDEX(lmic_raw[],MATCH($A125,lmic_raw[[setting]:[setting]],0), MATCH(V$1, lmic_raw[#Headers],0)))</f>
        <v>4.6680054387729486</v>
      </c>
      <c r="W125" s="33">
        <f>IF(INDEX(lmic_raw[],MATCH($A125,lmic_raw[[setting]:[setting]],0), MATCH(W$1, lmic_raw[#Headers],0))=0, INDEX(regions[], MATCH($D125, regions[[setting]:[setting]],0), MATCH(W$1, regions[#Headers],0)),INDEX(lmic_raw[],MATCH($A125,lmic_raw[[setting]:[setting]],0), MATCH(W$1, lmic_raw[#Headers],0)))</f>
        <v>5.1480054387729481</v>
      </c>
      <c r="X125" s="33">
        <f>IF(INDEX(lmic_raw[],MATCH($A125,lmic_raw[[setting]:[setting]],0), MATCH(X$1, lmic_raw[#Headers],0))=0, INDEX(regions[], MATCH($D125, regions[[setting]:[setting]],0), MATCH(X$1, regions[#Headers],0)),INDEX(lmic_raw[],MATCH($A125,lmic_raw[[setting]:[setting]],0), MATCH(X$1, lmic_raw[#Headers],0)))</f>
        <v>4.2302369167806253</v>
      </c>
      <c r="Y125" s="33">
        <f>IF(INDEX(lmic_raw[],MATCH($A125,lmic_raw[[setting]:[setting]],0), MATCH(Y$1, lmic_raw[#Headers],0))=0, INDEX(regions[], MATCH($D125, regions[[setting]:[setting]],0), MATCH(Y$1, regions[#Headers],0)),INDEX(lmic_raw[],MATCH($A125,lmic_raw[[setting]:[setting]],0), MATCH(Y$1, lmic_raw[#Headers],0)))</f>
        <v>4.7102369167806248</v>
      </c>
      <c r="Z125" s="33">
        <f>IF(INDEX(lmic_raw[],MATCH($A125,lmic_raw[[setting]:[setting]],0), MATCH(Z$1, lmic_raw[#Headers],0))=0, INDEX(regions[], MATCH($D125, regions[[setting]:[setting]],0), MATCH(Z$1, regions[#Headers],0)),INDEX(lmic_raw[],MATCH($A125,lmic_raw[[setting]:[setting]],0), MATCH(Z$1, lmic_raw[#Headers],0)))</f>
        <v>4.7020380175216339</v>
      </c>
      <c r="AA125" s="33">
        <f>IF(INDEX(lmic_raw[],MATCH($A125,lmic_raw[[setting]:[setting]],0), MATCH(AA$1, lmic_raw[#Headers],0))=0, INDEX(regions[], MATCH($D125, regions[[setting]:[setting]],0), MATCH(AA$1, regions[#Headers],0)),INDEX(lmic_raw[],MATCH($A125,lmic_raw[[setting]:[setting]],0), MATCH(AA$1, lmic_raw[#Headers],0)))</f>
        <v>4.9140317608888093</v>
      </c>
      <c r="AB125" s="33">
        <f>IF(INDEX(lmic_raw[],MATCH($A125,lmic_raw[[setting]:[setting]],0), MATCH(AB$1, lmic_raw[#Headers],0))=0, INDEX(regions[], MATCH($D125, regions[[setting]:[setting]],0), MATCH(AB$1, regions[#Headers],0)),INDEX(lmic_raw[],MATCH($A125,lmic_raw[[setting]:[setting]],0), MATCH(AB$1, lmic_raw[#Headers],0)))</f>
        <v>5.3940317608888098</v>
      </c>
      <c r="AC125" s="33">
        <f>IF(INDEX(lmic_raw[],MATCH($A125,lmic_raw[[setting]:[setting]],0), MATCH(AC$1, lmic_raw[#Headers],0))=0, INDEX(regions[], MATCH($D125, regions[[setting]:[setting]],0), MATCH(AC$1, regions[#Headers],0)),INDEX(lmic_raw[],MATCH($A125,lmic_raw[[setting]:[setting]],0), MATCH(AC$1, lmic_raw[#Headers],0)))</f>
        <v>1.2677660000000033E-2</v>
      </c>
      <c r="AD125" s="33">
        <f>IF(INDEX(lmic_raw[],MATCH($A125,lmic_raw[[setting]:[setting]],0), MATCH(AD$1, lmic_raw[#Headers],0))=0, INDEX(regions[], MATCH($D125, regions[[setting]:[setting]],0), MATCH(AD$1, regions[#Headers],0)),INDEX(lmic_raw[],MATCH($A125,lmic_raw[[setting]:[setting]],0), MATCH(AD$1, lmic_raw[#Headers],0)))</f>
        <v>1.9627581808793928E-4</v>
      </c>
      <c r="AE125" s="33">
        <f>IF(INDEX(lmic_raw[],MATCH($A125,lmic_raw[[setting]:[setting]],0), MATCH(AE$1, lmic_raw[#Headers],0))=0, INDEX(regions[], MATCH($D125, regions[[setting]:[setting]],0), MATCH(AE$1, regions[#Headers],0)),INDEX(lmic_raw[],MATCH($A125,lmic_raw[[setting]:[setting]],0), MATCH(AE$1, lmic_raw[#Headers],0)))</f>
        <v>1.4528651183933218E-4</v>
      </c>
      <c r="AF125" s="33">
        <f>IF(INDEX(lmic_raw[],MATCH($A125,lmic_raw[[setting]:[setting]],0), MATCH(AF$1, lmic_raw[#Headers],0))=0, INDEX(regions[], MATCH($D125, regions[[setting]:[setting]],0), MATCH(AF$1, regions[#Headers],0)),INDEX(lmic_raw[],MATCH($A125,lmic_raw[[setting]:[setting]],0), MATCH(AF$1, lmic_raw[#Headers],0)))</f>
        <v>2.4567711450364222E-4</v>
      </c>
      <c r="AG125" s="33">
        <f>IF(INDEX(lmic_raw[],MATCH($A125,lmic_raw[[setting]:[setting]],0), MATCH(AG$1, lmic_raw[#Headers],0))=0, INDEX(regions[], MATCH($D125, regions[[setting]:[setting]],0), MATCH(AG$1, regions[#Headers],0)),INDEX(lmic_raw[],MATCH($A125,lmic_raw[[setting]:[setting]],0), MATCH(AG$1, lmic_raw[#Headers],0)))</f>
        <v>3.6946046825902569E-4</v>
      </c>
      <c r="AH125" s="33">
        <f>IF(INDEX(lmic_raw[],MATCH($A125,lmic_raw[[setting]:[setting]],0), MATCH(AH$1, lmic_raw[#Headers],0))=0, INDEX(regions[], MATCH($D125, regions[[setting]:[setting]],0), MATCH(AH$1, regions[#Headers],0)),INDEX(lmic_raw[],MATCH($A125,lmic_raw[[setting]:[setting]],0), MATCH(AH$1, lmic_raw[#Headers],0)))</f>
        <v>5.0218321994208073E-4</v>
      </c>
      <c r="AI125" s="33">
        <f>IF(INDEX(lmic_raw[],MATCH($A125,lmic_raw[[setting]:[setting]],0), MATCH(AI$1, lmic_raw[#Headers],0))=0, INDEX(regions[], MATCH($D125, regions[[setting]:[setting]],0), MATCH(AI$1, regions[#Headers],0)),INDEX(lmic_raw[],MATCH($A125,lmic_raw[[setting]:[setting]],0), MATCH(AI$1, lmic_raw[#Headers],0)))</f>
        <v>5.7026953078073554E-4</v>
      </c>
      <c r="AJ125" s="33">
        <f>IF(INDEX(lmic_raw[],MATCH($A125,lmic_raw[[setting]:[setting]],0), MATCH(AJ$1, lmic_raw[#Headers],0))=0, INDEX(regions[], MATCH($D125, regions[[setting]:[setting]],0), MATCH(AJ$1, regions[#Headers],0)),INDEX(lmic_raw[],MATCH($A125,lmic_raw[[setting]:[setting]],0), MATCH(AJ$1, lmic_raw[#Headers],0)))</f>
        <v>6.6872513126501731E-4</v>
      </c>
      <c r="AK125" s="33">
        <f>IF(INDEX(lmic_raw[],MATCH($A125,lmic_raw[[setting]:[setting]],0), MATCH(AK$1, lmic_raw[#Headers],0))=0, INDEX(regions[], MATCH($D125, regions[[setting]:[setting]],0), MATCH(AK$1, regions[#Headers],0)),INDEX(lmic_raw[],MATCH($A125,lmic_raw[[setting]:[setting]],0), MATCH(AK$1, lmic_raw[#Headers],0)))</f>
        <v>9.3910189950180975E-4</v>
      </c>
      <c r="AL125" s="33">
        <f>IF(INDEX(lmic_raw[],MATCH($A125,lmic_raw[[setting]:[setting]],0), MATCH(AL$1, lmic_raw[#Headers],0))=0, INDEX(regions[], MATCH($D125, regions[[setting]:[setting]],0), MATCH(AL$1, regions[#Headers],0)),INDEX(lmic_raw[],MATCH($A125,lmic_raw[[setting]:[setting]],0), MATCH(AL$1, lmic_raw[#Headers],0)))</f>
        <v>1.4957061989991033E-3</v>
      </c>
      <c r="AM125" s="33">
        <f>IF(INDEX(lmic_raw[],MATCH($A125,lmic_raw[[setting]:[setting]],0), MATCH(AM$1, lmic_raw[#Headers],0))=0, INDEX(regions[], MATCH($D125, regions[[setting]:[setting]],0), MATCH(AM$1, regions[#Headers],0)),INDEX(lmic_raw[],MATCH($A125,lmic_raw[[setting]:[setting]],0), MATCH(AM$1, lmic_raw[#Headers],0)))</f>
        <v>2.4580043509297789E-3</v>
      </c>
      <c r="AN125" s="33">
        <f>IF(INDEX(lmic_raw[],MATCH($A125,lmic_raw[[setting]:[setting]],0), MATCH(AN$1, lmic_raw[#Headers],0))=0, INDEX(regions[], MATCH($D125, regions[[setting]:[setting]],0), MATCH(AN$1, regions[#Headers],0)),INDEX(lmic_raw[],MATCH($A125,lmic_raw[[setting]:[setting]],0), MATCH(AN$1, lmic_raw[#Headers],0)))</f>
        <v>4.2143535591497288E-3</v>
      </c>
      <c r="AO125" s="33">
        <f>IF(INDEX(lmic_raw[],MATCH($A125,lmic_raw[[setting]:[setting]],0), MATCH(AO$1, lmic_raw[#Headers],0))=0, INDEX(regions[], MATCH($D125, regions[[setting]:[setting]],0), MATCH(AO$1, regions[#Headers],0)),INDEX(lmic_raw[],MATCH($A125,lmic_raw[[setting]:[setting]],0), MATCH(AO$1, lmic_raw[#Headers],0)))</f>
        <v>7.0562475351473204E-3</v>
      </c>
      <c r="AP125" s="33">
        <f>IF(INDEX(lmic_raw[],MATCH($A125,lmic_raw[[setting]:[setting]],0), MATCH(AP$1, lmic_raw[#Headers],0))=0, INDEX(regions[], MATCH($D125, regions[[setting]:[setting]],0), MATCH(AP$1, regions[#Headers],0)),INDEX(lmic_raw[],MATCH($A125,lmic_raw[[setting]:[setting]],0), MATCH(AP$1, lmic_raw[#Headers],0)))</f>
        <v>1.1396783036291771E-2</v>
      </c>
      <c r="AQ125" s="33">
        <f>IF(INDEX(lmic_raw[],MATCH($A125,lmic_raw[[setting]:[setting]],0), MATCH(AQ$1, lmic_raw[#Headers],0))=0, INDEX(regions[], MATCH($D125, regions[[setting]:[setting]],0), MATCH(AQ$1, regions[#Headers],0)),INDEX(lmic_raw[],MATCH($A125,lmic_raw[[setting]:[setting]],0), MATCH(AQ$1, lmic_raw[#Headers],0)))</f>
        <v>1.8035765263121787E-2</v>
      </c>
      <c r="AR125" s="33">
        <f>IF(INDEX(lmic_raw[],MATCH($A125,lmic_raw[[setting]:[setting]],0), MATCH(AR$1, lmic_raw[#Headers],0))=0, INDEX(regions[], MATCH($D125, regions[[setting]:[setting]],0), MATCH(AR$1, regions[#Headers],0)),INDEX(lmic_raw[],MATCH($A125,lmic_raw[[setting]:[setting]],0), MATCH(AR$1, lmic_raw[#Headers],0)))</f>
        <v>3.0927293601049979E-2</v>
      </c>
      <c r="AS125" s="33">
        <f>IF(INDEX(lmic_raw[],MATCH($A125,lmic_raw[[setting]:[setting]],0), MATCH(AS$1, lmic_raw[#Headers],0))=0, INDEX(regions[], MATCH($D125, regions[[setting]:[setting]],0), MATCH(AS$1, regions[#Headers],0)),INDEX(lmic_raw[],MATCH($A125,lmic_raw[[setting]:[setting]],0), MATCH(AS$1, lmic_raw[#Headers],0)))</f>
        <v>5.1611262134234469E-2</v>
      </c>
      <c r="AT125" s="33">
        <f>IF(INDEX(lmic_raw[],MATCH($A125,lmic_raw[[setting]:[setting]],0), MATCH(AT$1, lmic_raw[#Headers],0))=0, INDEX(regions[], MATCH($D125, regions[[setting]:[setting]],0), MATCH(AT$1, regions[#Headers],0)),INDEX(lmic_raw[],MATCH($A125,lmic_raw[[setting]:[setting]],0), MATCH(AT$1, lmic_raw[#Headers],0)))</f>
        <v>8.0339742551862076E-2</v>
      </c>
      <c r="AU125" s="33">
        <f>IF(INDEX(lmic_raw[],MATCH($A125,lmic_raw[[setting]:[setting]],0), MATCH(AU$1, lmic_raw[#Headers],0))=0, INDEX(regions[], MATCH($D125, regions[[setting]:[setting]],0), MATCH(AU$1, regions[#Headers],0)),INDEX(lmic_raw[],MATCH($A125,lmic_raw[[setting]:[setting]],0), MATCH(AU$1, lmic_raw[#Headers],0)))</f>
        <v>0.11383684488647333</v>
      </c>
      <c r="AV125" s="33">
        <f>IF(INDEX(lmic_raw[],MATCH($A125,lmic_raw[[setting]:[setting]],0), MATCH(AV$1, lmic_raw[#Headers],0))=0, INDEX(regions[], MATCH($D125, regions[[setting]:[setting]],0), MATCH(AV$1, regions[#Headers],0)),INDEX(lmic_raw[],MATCH($A125,lmic_raw[[setting]:[setting]],0), MATCH(AV$1, lmic_raw[#Headers],0)))</f>
        <v>0.14455560452381014</v>
      </c>
      <c r="AW125" s="33">
        <f>IF(INDEX(lmic_raw[],MATCH($A125,lmic_raw[[setting]:[setting]],0), MATCH(AW$1, lmic_raw[#Headers],0))=0, INDEX(regions[], MATCH($D125, regions[[setting]:[setting]],0), MATCH(AW$1, regions[#Headers],0)),INDEX(lmic_raw[],MATCH($A125,lmic_raw[[setting]:[setting]],0), MATCH(AW$1, lmic_raw[#Headers],0)))</f>
        <v>0.16765105573113256</v>
      </c>
      <c r="AX125" s="33">
        <f>IF(INDEX(lmic_raw[],MATCH($A125,lmic_raw[[setting]:[setting]],0), MATCH(AX$1, lmic_raw[#Headers],0))=0, INDEX(regions[], MATCH($D125, regions[[setting]:[setting]],0), MATCH(AX$1, regions[#Headers],0)),INDEX(lmic_raw[],MATCH($A125,lmic_raw[[setting]:[setting]],0), MATCH(AX$1, lmic_raw[#Headers],0)))</f>
        <v>76.412000000000006</v>
      </c>
      <c r="AY125" s="33" t="str">
        <f>IF(VLOOKUP($A125,lmic_raw[],11,FALSE)=0, "Yes", "No")</f>
        <v>No</v>
      </c>
    </row>
    <row r="126" spans="1:51" x14ac:dyDescent="0.25">
      <c r="A126" s="109" t="s">
        <v>180</v>
      </c>
      <c r="B126" s="101" t="s">
        <v>528</v>
      </c>
      <c r="C126" s="102">
        <v>792</v>
      </c>
      <c r="D126" s="82" t="s">
        <v>675</v>
      </c>
      <c r="E126" s="82" t="s">
        <v>579</v>
      </c>
      <c r="F126" s="82" t="s">
        <v>579</v>
      </c>
      <c r="G126" s="82" t="s">
        <v>676</v>
      </c>
      <c r="H126" s="33">
        <f>IF(INDEX(lmic_raw[],MATCH($A126,lmic_raw[[setting]:[setting]],0), MATCH(H$1, lmic_raw[#Headers],0))=0, INDEX(regions[], MATCH($D126, regions[[setting]:[setting]],0), MATCH(H$1, regions[#Headers],0)),INDEX(lmic_raw[],MATCH($A126,lmic_raw[[setting]:[setting]],0), MATCH(H$1, lmic_raw[#Headers],0)))</f>
        <v>83429607</v>
      </c>
      <c r="I126" s="33">
        <f>IF(INDEX(lmic_raw[],MATCH($A126,lmic_raw[[setting]:[setting]],0), MATCH(I$1, lmic_raw[#Headers],0))=0, INDEX(regions[], MATCH($D126, regions[[setting]:[setting]],0), MATCH(I$1, regions[#Headers],0)),INDEX(lmic_raw[],MATCH($A126,lmic_raw[[setting]:[setting]],0), MATCH(I$1, lmic_raw[#Headers],0)))</f>
        <v>1349807.6116529999</v>
      </c>
      <c r="J126" s="33">
        <f>IF(INDEX(lmic_raw[],MATCH($A126,lmic_raw[[setting]:[setting]],0), MATCH(J$1, lmic_raw[#Headers],0))=0, INDEX(regions[], MATCH($D126, regions[[setting]:[setting]],0), MATCH(J$1, regions[#Headers],0)),INDEX(lmic_raw[],MATCH($A126,lmic_raw[[setting]:[setting]],0), MATCH(J$1, lmic_raw[#Headers],0)))</f>
        <v>0.97199999999999998</v>
      </c>
      <c r="K126" s="33">
        <f>IF(INDEX(lmic_raw[],MATCH($A126,lmic_raw[[setting]:[setting]],0), MATCH(K$1, lmic_raw[#Headers],0))=0, INDEX(regions[], MATCH($D126, regions[[setting]:[setting]],0), MATCH(K$1, regions[#Headers],0)),INDEX(lmic_raw[],MATCH($A126,lmic_raw[[setting]:[setting]],0), MATCH(K$1, lmic_raw[#Headers],0)))</f>
        <v>0.99</v>
      </c>
      <c r="L126" s="33">
        <f>IF(INDEX(lmic_raw[],MATCH($A126,lmic_raw[[setting]:[setting]],0), MATCH(L$1, lmic_raw[#Headers],0))=0, INDEX(regions[], MATCH($D126, regions[[setting]:[setting]],0), MATCH(L$1, regions[#Headers],0)),INDEX(lmic_raw[],MATCH($A126,lmic_raw[[setting]:[setting]],0), MATCH(L$1, lmic_raw[#Headers],0)))</f>
        <v>0.99</v>
      </c>
      <c r="M126" s="33">
        <f>IF(INDEX(lmic_raw[],MATCH($A126,lmic_raw[[setting]:[setting]],0), MATCH(M$1, lmic_raw[#Headers],0))=0, INDEX(regions[], MATCH($D126, regions[[setting]:[setting]],0), MATCH(M$1, regions[#Headers],0)),INDEX(lmic_raw[],MATCH($A126,lmic_raw[[setting]:[setting]],0), MATCH(M$1, lmic_raw[#Headers],0)))</f>
        <v>2.63E-2</v>
      </c>
      <c r="N126" s="33">
        <f>IF(INDEX(lmic_raw[],MATCH($A126,lmic_raw[[setting]:[setting]],0), MATCH(N$1, lmic_raw[#Headers],0))=0, INDEX(regions[], MATCH($D126, regions[[setting]:[setting]],0), MATCH(N$1, regions[#Headers],0)),INDEX(lmic_raw[],MATCH($A126,lmic_raw[[setting]:[setting]],0), MATCH(N$1, lmic_raw[#Headers],0)))</f>
        <v>0.26035290193446103</v>
      </c>
      <c r="O126" s="33">
        <f>IF(INDEX(lmic_raw[],MATCH($A126,lmic_raw[[setting]:[setting]],0), MATCH(O$1, lmic_raw[#Headers],0))=0, INDEX(regions[], MATCH($D126, regions[[setting]:[setting]],0), MATCH(O$1, regions[#Headers],0)),INDEX(lmic_raw[],MATCH($A126,lmic_raw[[setting]:[setting]],0), MATCH(O$1, lmic_raw[#Headers],0)))</f>
        <v>0.8</v>
      </c>
      <c r="P126" s="33">
        <f>IF(INDEX(lmic_raw[],MATCH($A126,lmic_raw[[setting]:[setting]],0), MATCH(P$1, lmic_raw[#Headers],0))=0, INDEX(regions[], MATCH($D126, regions[[setting]:[setting]],0), MATCH(P$1, regions[#Headers],0)),INDEX(lmic_raw[],MATCH($A126,lmic_raw[[setting]:[setting]],0), MATCH(P$1, lmic_raw[#Headers],0)))</f>
        <v>0.17499999999999999</v>
      </c>
      <c r="Q126" s="33">
        <f>IF(INDEX(lmic_raw[],MATCH($A126,lmic_raw[[setting]:[setting]],0), MATCH(Q$1, lmic_raw[#Headers],0))=0, INDEX(regions[], MATCH($D126, regions[[setting]:[setting]],0), MATCH(Q$1, regions[#Headers],0)),INDEX(lmic_raw[],MATCH($A126,lmic_raw[[setting]:[setting]],0), MATCH(Q$1, lmic_raw[#Headers],0)))</f>
        <v>17.280934023881553</v>
      </c>
      <c r="R126" s="33">
        <f>IF(INDEX(lmic_raw[],MATCH($A126,lmic_raw[[setting]:[setting]],0), MATCH(R$1, lmic_raw[#Headers],0))=0, INDEX(regions[], MATCH($D126, regions[[setting]:[setting]],0), MATCH(R$1, regions[#Headers],0)),INDEX(lmic_raw[],MATCH($A126,lmic_raw[[setting]:[setting]],0), MATCH(R$1, lmic_raw[#Headers],0)))</f>
        <v>46.335900000000002</v>
      </c>
      <c r="S126" s="33">
        <f>IF(INDEX(lmic_raw[],MATCH($A126,lmic_raw[[setting]:[setting]],0), MATCH(S$1, lmic_raw[#Headers],0))=0, INDEX(regions[], MATCH($D126, regions[[setting]:[setting]],0), MATCH(S$1, regions[#Headers],0)),INDEX(lmic_raw[],MATCH($A126,lmic_raw[[setting]:[setting]],0), MATCH(S$1, lmic_raw[#Headers],0)))</f>
        <v>94.077900000000014</v>
      </c>
      <c r="T126" s="33">
        <f>IF(INDEX(lmic_raw[],MATCH($A126,lmic_raw[[setting]:[setting]],0), MATCH(T$1, lmic_raw[#Headers],0))=0, INDEX(regions[], MATCH($D126, regions[[setting]:[setting]],0), MATCH(T$1, regions[#Headers],0)),INDEX(lmic_raw[],MATCH($A126,lmic_raw[[setting]:[setting]],0), MATCH(T$1, lmic_raw[#Headers],0)))</f>
        <v>94.077900000000014</v>
      </c>
      <c r="U126" s="33">
        <f>IF(INDEX(lmic_raw[],MATCH($A126,lmic_raw[[setting]:[setting]],0), MATCH(U$1, lmic_raw[#Headers],0))=0, INDEX(regions[], MATCH($D126, regions[[setting]:[setting]],0), MATCH(U$1, regions[#Headers],0)),INDEX(lmic_raw[],MATCH($A126,lmic_raw[[setting]:[setting]],0), MATCH(U$1, lmic_raw[#Headers],0)))</f>
        <v>94.077900000000014</v>
      </c>
      <c r="V126" s="33">
        <f>IF(INDEX(lmic_raw[],MATCH($A126,lmic_raw[[setting]:[setting]],0), MATCH(V$1, lmic_raw[#Headers],0))=0, INDEX(regions[], MATCH($D126, regions[[setting]:[setting]],0), MATCH(V$1, regions[#Headers],0)),INDEX(lmic_raw[],MATCH($A126,lmic_raw[[setting]:[setting]],0), MATCH(V$1, lmic_raw[#Headers],0)))</f>
        <v>4.5206460292020809</v>
      </c>
      <c r="W126" s="33">
        <f>IF(INDEX(lmic_raw[],MATCH($A126,lmic_raw[[setting]:[setting]],0), MATCH(W$1, lmic_raw[#Headers],0))=0, INDEX(regions[], MATCH($D126, regions[[setting]:[setting]],0), MATCH(W$1, regions[#Headers],0)),INDEX(lmic_raw[],MATCH($A126,lmic_raw[[setting]:[setting]],0), MATCH(W$1, lmic_raw[#Headers],0)))</f>
        <v>5.0006460292020805</v>
      </c>
      <c r="X126" s="33">
        <f>IF(INDEX(lmic_raw[],MATCH($A126,lmic_raw[[setting]:[setting]],0), MATCH(X$1, lmic_raw[#Headers],0))=0, INDEX(regions[], MATCH($D126, regions[[setting]:[setting]],0), MATCH(X$1, regions[#Headers],0)),INDEX(lmic_raw[],MATCH($A126,lmic_raw[[setting]:[setting]],0), MATCH(X$1, lmic_raw[#Headers],0)))</f>
        <v>4.0736189221671317</v>
      </c>
      <c r="Y126" s="33">
        <f>IF(INDEX(lmic_raw[],MATCH($A126,lmic_raw[[setting]:[setting]],0), MATCH(Y$1, lmic_raw[#Headers],0))=0, INDEX(regions[], MATCH($D126, regions[[setting]:[setting]],0), MATCH(Y$1, regions[#Headers],0)),INDEX(lmic_raw[],MATCH($A126,lmic_raw[[setting]:[setting]],0), MATCH(Y$1, lmic_raw[#Headers],0)))</f>
        <v>4.5536189221671322</v>
      </c>
      <c r="Z126" s="33">
        <f>IF(INDEX(lmic_raw[],MATCH($A126,lmic_raw[[setting]:[setting]],0), MATCH(Z$1, lmic_raw[#Headers],0))=0, INDEX(regions[], MATCH($D126, regions[[setting]:[setting]],0), MATCH(Z$1, regions[#Headers],0)),INDEX(lmic_raw[],MATCH($A126,lmic_raw[[setting]:[setting]],0), MATCH(Z$1, lmic_raw[#Headers],0)))</f>
        <v>4.5418151892124996</v>
      </c>
      <c r="AA126" s="33">
        <f>IF(INDEX(lmic_raw[],MATCH($A126,lmic_raw[[setting]:[setting]],0), MATCH(AA$1, lmic_raw[#Headers],0))=0, INDEX(regions[], MATCH($D126, regions[[setting]:[setting]],0), MATCH(AA$1, regions[#Headers],0)),INDEX(lmic_raw[],MATCH($A126,lmic_raw[[setting]:[setting]],0), MATCH(AA$1, lmic_raw[#Headers],0)))</f>
        <v>4.770009748251911</v>
      </c>
      <c r="AB126" s="33">
        <f>IF(INDEX(lmic_raw[],MATCH($A126,lmic_raw[[setting]:[setting]],0), MATCH(AB$1, lmic_raw[#Headers],0))=0, INDEX(regions[], MATCH($D126, regions[[setting]:[setting]],0), MATCH(AB$1, regions[#Headers],0)),INDEX(lmic_raw[],MATCH($A126,lmic_raw[[setting]:[setting]],0), MATCH(AB$1, lmic_raw[#Headers],0)))</f>
        <v>5.2500097482519106</v>
      </c>
      <c r="AC126" s="33">
        <f>IF(INDEX(lmic_raw[],MATCH($A126,lmic_raw[[setting]:[setting]],0), MATCH(AC$1, lmic_raw[#Headers],0))=0, INDEX(regions[], MATCH($D126, regions[[setting]:[setting]],0), MATCH(AC$1, regions[#Headers],0)),INDEX(lmic_raw[],MATCH($A126,lmic_raw[[setting]:[setting]],0), MATCH(AC$1, lmic_raw[#Headers],0)))</f>
        <v>8.9014999999999424E-3</v>
      </c>
      <c r="AD126" s="33">
        <f>IF(INDEX(lmic_raw[],MATCH($A126,lmic_raw[[setting]:[setting]],0), MATCH(AD$1, lmic_raw[#Headers],0))=0, INDEX(regions[], MATCH($D126, regions[[setting]:[setting]],0), MATCH(AD$1, regions[#Headers],0)),INDEX(lmic_raw[],MATCH($A126,lmic_raw[[setting]:[setting]],0), MATCH(AD$1, lmic_raw[#Headers],0)))</f>
        <v>1.097020124639483E-3</v>
      </c>
      <c r="AE126" s="33">
        <f>IF(INDEX(lmic_raw[],MATCH($A126,lmic_raw[[setting]:[setting]],0), MATCH(AE$1, lmic_raw[#Headers],0))=0, INDEX(regions[], MATCH($D126, regions[[setting]:[setting]],0), MATCH(AE$1, regions[#Headers],0)),INDEX(lmic_raw[],MATCH($A126,lmic_raw[[setting]:[setting]],0), MATCH(AE$1, lmic_raw[#Headers],0)))</f>
        <v>6.8233732436322344E-4</v>
      </c>
      <c r="AF126" s="33">
        <f>IF(INDEX(lmic_raw[],MATCH($A126,lmic_raw[[setting]:[setting]],0), MATCH(AF$1, lmic_raw[#Headers],0))=0, INDEX(regions[], MATCH($D126, regions[[setting]:[setting]],0), MATCH(AF$1, regions[#Headers],0)),INDEX(lmic_raw[],MATCH($A126,lmic_raw[[setting]:[setting]],0), MATCH(AF$1, lmic_raw[#Headers],0)))</f>
        <v>5.8293869224911119E-4</v>
      </c>
      <c r="AG126" s="33">
        <f>IF(INDEX(lmic_raw[],MATCH($A126,lmic_raw[[setting]:[setting]],0), MATCH(AG$1, lmic_raw[#Headers],0))=0, INDEX(regions[], MATCH($D126, regions[[setting]:[setting]],0), MATCH(AG$1, regions[#Headers],0)),INDEX(lmic_raw[],MATCH($A126,lmic_raw[[setting]:[setting]],0), MATCH(AG$1, lmic_raw[#Headers],0)))</f>
        <v>6.9161083369162935E-4</v>
      </c>
      <c r="AH126" s="33">
        <f>IF(INDEX(lmic_raw[],MATCH($A126,lmic_raw[[setting]:[setting]],0), MATCH(AH$1, lmic_raw[#Headers],0))=0, INDEX(regions[], MATCH($D126, regions[[setting]:[setting]],0), MATCH(AH$1, regions[#Headers],0)),INDEX(lmic_raw[],MATCH($A126,lmic_raw[[setting]:[setting]],0), MATCH(AH$1, lmic_raw[#Headers],0)))</f>
        <v>9.610203211651119E-4</v>
      </c>
      <c r="AI126" s="33">
        <f>IF(INDEX(lmic_raw[],MATCH($A126,lmic_raw[[setting]:[setting]],0), MATCH(AI$1, lmic_raw[#Headers],0))=0, INDEX(regions[], MATCH($D126, regions[[setting]:[setting]],0), MATCH(AI$1, regions[#Headers],0)),INDEX(lmic_raw[],MATCH($A126,lmic_raw[[setting]:[setting]],0), MATCH(AI$1, lmic_raw[#Headers],0)))</f>
        <v>1.1743539157698713E-3</v>
      </c>
      <c r="AJ126" s="33">
        <f>IF(INDEX(lmic_raw[],MATCH($A126,lmic_raw[[setting]:[setting]],0), MATCH(AJ$1, lmic_raw[#Headers],0))=0, INDEX(regions[], MATCH($D126, regions[[setting]:[setting]],0), MATCH(AJ$1, regions[#Headers],0)),INDEX(lmic_raw[],MATCH($A126,lmic_raw[[setting]:[setting]],0), MATCH(AJ$1, lmic_raw[#Headers],0)))</f>
        <v>1.3773674385343317E-3</v>
      </c>
      <c r="AK126" s="33">
        <f>IF(INDEX(lmic_raw[],MATCH($A126,lmic_raw[[setting]:[setting]],0), MATCH(AK$1, lmic_raw[#Headers],0))=0, INDEX(regions[], MATCH($D126, regions[[setting]:[setting]],0), MATCH(AK$1, regions[#Headers],0)),INDEX(lmic_raw[],MATCH($A126,lmic_raw[[setting]:[setting]],0), MATCH(AK$1, lmic_raw[#Headers],0)))</f>
        <v>1.63236314837688E-3</v>
      </c>
      <c r="AL126" s="33">
        <f>IF(INDEX(lmic_raw[],MATCH($A126,lmic_raw[[setting]:[setting]],0), MATCH(AL$1, lmic_raw[#Headers],0))=0, INDEX(regions[], MATCH($D126, regions[[setting]:[setting]],0), MATCH(AL$1, regions[#Headers],0)),INDEX(lmic_raw[],MATCH($A126,lmic_raw[[setting]:[setting]],0), MATCH(AL$1, lmic_raw[#Headers],0)))</f>
        <v>2.0036536018016877E-3</v>
      </c>
      <c r="AM126" s="33">
        <f>IF(INDEX(lmic_raw[],MATCH($A126,lmic_raw[[setting]:[setting]],0), MATCH(AM$1, lmic_raw[#Headers],0))=0, INDEX(regions[], MATCH($D126, regions[[setting]:[setting]],0), MATCH(AM$1, regions[#Headers],0)),INDEX(lmic_raw[],MATCH($A126,lmic_raw[[setting]:[setting]],0), MATCH(AM$1, lmic_raw[#Headers],0)))</f>
        <v>2.5905013303449825E-3</v>
      </c>
      <c r="AN126" s="33">
        <f>IF(INDEX(lmic_raw[],MATCH($A126,lmic_raw[[setting]:[setting]],0), MATCH(AN$1, lmic_raw[#Headers],0))=0, INDEX(regions[], MATCH($D126, regions[[setting]:[setting]],0), MATCH(AN$1, regions[#Headers],0)),INDEX(lmic_raw[],MATCH($A126,lmic_raw[[setting]:[setting]],0), MATCH(AN$1, lmic_raw[#Headers],0)))</f>
        <v>3.5336754952400335E-3</v>
      </c>
      <c r="AO126" s="33">
        <f>IF(INDEX(lmic_raw[],MATCH($A126,lmic_raw[[setting]:[setting]],0), MATCH(AO$1, lmic_raw[#Headers],0))=0, INDEX(regions[], MATCH($D126, regions[[setting]:[setting]],0), MATCH(AO$1, regions[#Headers],0)),INDEX(lmic_raw[],MATCH($A126,lmic_raw[[setting]:[setting]],0), MATCH(AO$1, lmic_raw[#Headers],0)))</f>
        <v>5.2342069954233695E-3</v>
      </c>
      <c r="AP126" s="33">
        <f>IF(INDEX(lmic_raw[],MATCH($A126,lmic_raw[[setting]:[setting]],0), MATCH(AP$1, lmic_raw[#Headers],0))=0, INDEX(regions[], MATCH($D126, regions[[setting]:[setting]],0), MATCH(AP$1, regions[#Headers],0)),INDEX(lmic_raw[],MATCH($A126,lmic_raw[[setting]:[setting]],0), MATCH(AP$1, lmic_raw[#Headers],0)))</f>
        <v>8.141221637455922E-3</v>
      </c>
      <c r="AQ126" s="33">
        <f>IF(INDEX(lmic_raw[],MATCH($A126,lmic_raw[[setting]:[setting]],0), MATCH(AQ$1, lmic_raw[#Headers],0))=0, INDEX(regions[], MATCH($D126, regions[[setting]:[setting]],0), MATCH(AQ$1, regions[#Headers],0)),INDEX(lmic_raw[],MATCH($A126,lmic_raw[[setting]:[setting]],0), MATCH(AQ$1, lmic_raw[#Headers],0)))</f>
        <v>1.3253706198103562E-2</v>
      </c>
      <c r="AR126" s="33">
        <f>IF(INDEX(lmic_raw[],MATCH($A126,lmic_raw[[setting]:[setting]],0), MATCH(AR$1, lmic_raw[#Headers],0))=0, INDEX(regions[], MATCH($D126, regions[[setting]:[setting]],0), MATCH(AR$1, regions[#Headers],0)),INDEX(lmic_raw[],MATCH($A126,lmic_raw[[setting]:[setting]],0), MATCH(AR$1, lmic_raw[#Headers],0)))</f>
        <v>2.3686231366021757E-2</v>
      </c>
      <c r="AS126" s="33">
        <f>IF(INDEX(lmic_raw[],MATCH($A126,lmic_raw[[setting]:[setting]],0), MATCH(AS$1, lmic_raw[#Headers],0))=0, INDEX(regions[], MATCH($D126, regions[[setting]:[setting]],0), MATCH(AS$1, regions[#Headers],0)),INDEX(lmic_raw[],MATCH($A126,lmic_raw[[setting]:[setting]],0), MATCH(AS$1, lmic_raw[#Headers],0)))</f>
        <v>4.1915463863461941E-2</v>
      </c>
      <c r="AT126" s="33">
        <f>IF(INDEX(lmic_raw[],MATCH($A126,lmic_raw[[setting]:[setting]],0), MATCH(AT$1, lmic_raw[#Headers],0))=0, INDEX(regions[], MATCH($D126, regions[[setting]:[setting]],0), MATCH(AT$1, regions[#Headers],0)),INDEX(lmic_raw[],MATCH($A126,lmic_raw[[setting]:[setting]],0), MATCH(AT$1, lmic_raw[#Headers],0)))</f>
        <v>6.9301655157393394E-2</v>
      </c>
      <c r="AU126" s="33">
        <f>IF(INDEX(lmic_raw[],MATCH($A126,lmic_raw[[setting]:[setting]],0), MATCH(AU$1, lmic_raw[#Headers],0))=0, INDEX(regions[], MATCH($D126, regions[[setting]:[setting]],0), MATCH(AU$1, regions[#Headers],0)),INDEX(lmic_raw[],MATCH($A126,lmic_raw[[setting]:[setting]],0), MATCH(AU$1, lmic_raw[#Headers],0)))</f>
        <v>0.10394418678596659</v>
      </c>
      <c r="AV126" s="33">
        <f>IF(INDEX(lmic_raw[],MATCH($A126,lmic_raw[[setting]:[setting]],0), MATCH(AV$1, lmic_raw[#Headers],0))=0, INDEX(regions[], MATCH($D126, regions[[setting]:[setting]],0), MATCH(AV$1, regions[#Headers],0)),INDEX(lmic_raw[],MATCH($A126,lmic_raw[[setting]:[setting]],0), MATCH(AV$1, lmic_raw[#Headers],0)))</f>
        <v>0.13985879158367465</v>
      </c>
      <c r="AW126" s="33">
        <f>IF(INDEX(lmic_raw[],MATCH($A126,lmic_raw[[setting]:[setting]],0), MATCH(AW$1, lmic_raw[#Headers],0))=0, INDEX(regions[], MATCH($D126, regions[[setting]:[setting]],0), MATCH(AW$1, regions[#Headers],0)),INDEX(lmic_raw[],MATCH($A126,lmic_raw[[setting]:[setting]],0), MATCH(AW$1, lmic_raw[#Headers],0)))</f>
        <v>0.16827629047061654</v>
      </c>
      <c r="AX126" s="33">
        <f>IF(INDEX(lmic_raw[],MATCH($A126,lmic_raw[[setting]:[setting]],0), MATCH(AX$1, lmic_raw[#Headers],0))=0, INDEX(regions[], MATCH($D126, regions[[setting]:[setting]],0), MATCH(AX$1, regions[#Headers],0)),INDEX(lmic_raw[],MATCH($A126,lmic_raw[[setting]:[setting]],0), MATCH(AX$1, lmic_raw[#Headers],0)))</f>
        <v>77.307000000000002</v>
      </c>
      <c r="AY126" s="33" t="str">
        <f>IF(VLOOKUP($A126,lmic_raw[],11,FALSE)=0, "Yes", "No")</f>
        <v>No</v>
      </c>
    </row>
    <row r="127" spans="1:51" x14ac:dyDescent="0.25">
      <c r="A127" s="110" t="s">
        <v>188</v>
      </c>
      <c r="B127" s="104" t="s">
        <v>529</v>
      </c>
      <c r="C127" s="105">
        <v>795</v>
      </c>
      <c r="D127" s="84" t="s">
        <v>675</v>
      </c>
      <c r="E127" s="84" t="s">
        <v>184</v>
      </c>
      <c r="F127" s="84" t="s">
        <v>663</v>
      </c>
      <c r="G127" s="84" t="s">
        <v>676</v>
      </c>
      <c r="H127" s="33">
        <f>IF(INDEX(lmic_raw[],MATCH($A127,lmic_raw[[setting]:[setting]],0), MATCH(H$1, lmic_raw[#Headers],0))=0, INDEX(regions[], MATCH($D127, regions[[setting]:[setting]],0), MATCH(H$1, regions[#Headers],0)),INDEX(lmic_raw[],MATCH($A127,lmic_raw[[setting]:[setting]],0), MATCH(H$1, lmic_raw[#Headers],0)))</f>
        <v>5942094</v>
      </c>
      <c r="I127" s="33">
        <f>IF(INDEX(lmic_raw[],MATCH($A127,lmic_raw[[setting]:[setting]],0), MATCH(I$1, lmic_raw[#Headers],0))=0, INDEX(regions[], MATCH($D127, regions[[setting]:[setting]],0), MATCH(I$1, regions[#Headers],0)),INDEX(lmic_raw[],MATCH($A127,lmic_raw[[setting]:[setting]],0), MATCH(I$1, lmic_raw[#Headers],0)))</f>
        <v>142515.18249600002</v>
      </c>
      <c r="J127" s="33">
        <f>IF(INDEX(lmic_raw[],MATCH($A127,lmic_raw[[setting]:[setting]],0), MATCH(J$1, lmic_raw[#Headers],0))=0, INDEX(regions[], MATCH($D127, regions[[setting]:[setting]],0), MATCH(J$1, regions[#Headers],0)),INDEX(lmic_raw[],MATCH($A127,lmic_raw[[setting]:[setting]],0), MATCH(J$1, lmic_raw[#Headers],0)))</f>
        <v>0.99990000000000001</v>
      </c>
      <c r="K127" s="33">
        <f>IF(INDEX(lmic_raw[],MATCH($A127,lmic_raw[[setting]:[setting]],0), MATCH(K$1, lmic_raw[#Headers],0))=0, INDEX(regions[], MATCH($D127, regions[[setting]:[setting]],0), MATCH(K$1, regions[#Headers],0)),INDEX(lmic_raw[],MATCH($A127,lmic_raw[[setting]:[setting]],0), MATCH(K$1, lmic_raw[#Headers],0)))</f>
        <v>0.99</v>
      </c>
      <c r="L127" s="33">
        <f>IF(INDEX(lmic_raw[],MATCH($A127,lmic_raw[[setting]:[setting]],0), MATCH(L$1, lmic_raw[#Headers],0))=0, INDEX(regions[], MATCH($D127, regions[[setting]:[setting]],0), MATCH(L$1, regions[#Headers],0)),INDEX(lmic_raw[],MATCH($A127,lmic_raw[[setting]:[setting]],0), MATCH(L$1, lmic_raw[#Headers],0)))</f>
        <v>0.99</v>
      </c>
      <c r="M127" s="33">
        <f>IF(INDEX(lmic_raw[],MATCH($A127,lmic_raw[[setting]:[setting]],0), MATCH(M$1, lmic_raw[#Headers],0))=0, INDEX(regions[], MATCH($D127, regions[[setting]:[setting]],0), MATCH(M$1, regions[#Headers],0)),INDEX(lmic_raw[],MATCH($A127,lmic_raw[[setting]:[setting]],0), MATCH(M$1, lmic_raw[#Headers],0)))</f>
        <v>1.8500000000000003E-2</v>
      </c>
      <c r="N127" s="33">
        <f>IF(INDEX(lmic_raw[],MATCH($A127,lmic_raw[[setting]:[setting]],0), MATCH(N$1, lmic_raw[#Headers],0))=0, INDEX(regions[], MATCH($D127, regions[[setting]:[setting]],0), MATCH(N$1, regions[#Headers],0)),INDEX(lmic_raw[],MATCH($A127,lmic_raw[[setting]:[setting]],0), MATCH(N$1, lmic_raw[#Headers],0)))</f>
        <v>0.29844783701106414</v>
      </c>
      <c r="O127" s="33">
        <f>IF(INDEX(lmic_raw[],MATCH($A127,lmic_raw[[setting]:[setting]],0), MATCH(O$1, lmic_raw[#Headers],0))=0, INDEX(regions[], MATCH($D127, regions[[setting]:[setting]],0), MATCH(O$1, regions[#Headers],0)),INDEX(lmic_raw[],MATCH($A127,lmic_raw[[setting]:[setting]],0), MATCH(O$1, lmic_raw[#Headers],0)))</f>
        <v>0.8</v>
      </c>
      <c r="P127" s="33">
        <f>IF(INDEX(lmic_raw[],MATCH($A127,lmic_raw[[setting]:[setting]],0), MATCH(P$1, lmic_raw[#Headers],0))=0, INDEX(regions[], MATCH($D127, regions[[setting]:[setting]],0), MATCH(P$1, regions[#Headers],0)),INDEX(lmic_raw[],MATCH($A127,lmic_raw[[setting]:[setting]],0), MATCH(P$1, lmic_raw[#Headers],0)))</f>
        <v>0.17499999999999999</v>
      </c>
      <c r="Q127" s="33">
        <f>IF(INDEX(lmic_raw[],MATCH($A127,lmic_raw[[setting]:[setting]],0), MATCH(Q$1, lmic_raw[#Headers],0))=0, INDEX(regions[], MATCH($D127, regions[[setting]:[setting]],0), MATCH(Q$1, regions[#Headers],0)),INDEX(lmic_raw[],MATCH($A127,lmic_raw[[setting]:[setting]],0), MATCH(Q$1, lmic_raw[#Headers],0)))</f>
        <v>7.9993368005446834</v>
      </c>
      <c r="R127" s="33">
        <f>IF(INDEX(lmic_raw[],MATCH($A127,lmic_raw[[setting]:[setting]],0), MATCH(R$1, lmic_raw[#Headers],0))=0, INDEX(regions[], MATCH($D127, regions[[setting]:[setting]],0), MATCH(R$1, regions[#Headers],0)),INDEX(lmic_raw[],MATCH($A127,lmic_raw[[setting]:[setting]],0), MATCH(R$1, lmic_raw[#Headers],0)))</f>
        <v>44.537400000000005</v>
      </c>
      <c r="S127" s="33">
        <f>IF(INDEX(lmic_raw[],MATCH($A127,lmic_raw[[setting]:[setting]],0), MATCH(S$1, lmic_raw[#Headers],0))=0, INDEX(regions[], MATCH($D127, regions[[setting]:[setting]],0), MATCH(S$1, regions[#Headers],0)),INDEX(lmic_raw[],MATCH($A127,lmic_raw[[setting]:[setting]],0), MATCH(S$1, lmic_raw[#Headers],0)))</f>
        <v>92.27940000000001</v>
      </c>
      <c r="T127" s="33">
        <f>IF(INDEX(lmic_raw[],MATCH($A127,lmic_raw[[setting]:[setting]],0), MATCH(T$1, lmic_raw[#Headers],0))=0, INDEX(regions[], MATCH($D127, regions[[setting]:[setting]],0), MATCH(T$1, regions[#Headers],0)),INDEX(lmic_raw[],MATCH($A127,lmic_raw[[setting]:[setting]],0), MATCH(T$1, lmic_raw[#Headers],0)))</f>
        <v>92.27940000000001</v>
      </c>
      <c r="U127" s="33">
        <f>IF(INDEX(lmic_raw[],MATCH($A127,lmic_raw[[setting]:[setting]],0), MATCH(U$1, lmic_raw[#Headers],0))=0, INDEX(regions[], MATCH($D127, regions[[setting]:[setting]],0), MATCH(U$1, regions[#Headers],0)),INDEX(lmic_raw[],MATCH($A127,lmic_raw[[setting]:[setting]],0), MATCH(U$1, lmic_raw[#Headers],0)))</f>
        <v>92.27940000000001</v>
      </c>
      <c r="V127" s="33">
        <f>IF(INDEX(lmic_raw[],MATCH($A127,lmic_raw[[setting]:[setting]],0), MATCH(V$1, lmic_raw[#Headers],0))=0, INDEX(regions[], MATCH($D127, regions[[setting]:[setting]],0), MATCH(V$1, regions[#Headers],0)),INDEX(lmic_raw[],MATCH($A127,lmic_raw[[setting]:[setting]],0), MATCH(V$1, lmic_raw[#Headers],0)))</f>
        <v>6.8348534122934801</v>
      </c>
      <c r="W127" s="33">
        <f>IF(INDEX(lmic_raw[],MATCH($A127,lmic_raw[[setting]:[setting]],0), MATCH(W$1, lmic_raw[#Headers],0))=0, INDEX(regions[], MATCH($D127, regions[[setting]:[setting]],0), MATCH(W$1, regions[#Headers],0)),INDEX(lmic_raw[],MATCH($A127,lmic_raw[[setting]:[setting]],0), MATCH(W$1, lmic_raw[#Headers],0)))</f>
        <v>10.90485341229348</v>
      </c>
      <c r="X127" s="33">
        <f>IF(INDEX(lmic_raw[],MATCH($A127,lmic_raw[[setting]:[setting]],0), MATCH(X$1, lmic_raw[#Headers],0))=0, INDEX(regions[], MATCH($D127, regions[[setting]:[setting]],0), MATCH(X$1, regions[#Headers],0)),INDEX(lmic_raw[],MATCH($A127,lmic_raw[[setting]:[setting]],0), MATCH(X$1, lmic_raw[#Headers],0)))</f>
        <v>6.3950421389260592</v>
      </c>
      <c r="Y127" s="33">
        <f>IF(INDEX(lmic_raw[],MATCH($A127,lmic_raw[[setting]:[setting]],0), MATCH(Y$1, lmic_raw[#Headers],0))=0, INDEX(regions[], MATCH($D127, regions[[setting]:[setting]],0), MATCH(Y$1, regions[#Headers],0)),INDEX(lmic_raw[],MATCH($A127,lmic_raw[[setting]:[setting]],0), MATCH(Y$1, lmic_raw[#Headers],0)))</f>
        <v>10.465042138926059</v>
      </c>
      <c r="Z127" s="33">
        <f>IF(INDEX(lmic_raw[],MATCH($A127,lmic_raw[[setting]:[setting]],0), MATCH(Z$1, lmic_raw[#Headers],0))=0, INDEX(regions[], MATCH($D127, regions[[setting]:[setting]],0), MATCH(Z$1, regions[#Headers],0)),INDEX(lmic_raw[],MATCH($A127,lmic_raw[[setting]:[setting]],0), MATCH(Z$1, lmic_raw[#Headers],0)))</f>
        <v>10.456321968805099</v>
      </c>
      <c r="AA127" s="33">
        <f>IF(INDEX(lmic_raw[],MATCH($A127,lmic_raw[[setting]:[setting]],0), MATCH(AA$1, lmic_raw[#Headers],0))=0, INDEX(regions[], MATCH($D127, regions[[setting]:[setting]],0), MATCH(AA$1, regions[#Headers],0)),INDEX(lmic_raw[],MATCH($A127,lmic_raw[[setting]:[setting]],0), MATCH(AA$1, lmic_raw[#Headers],0)))</f>
        <v>7.0816160750212935</v>
      </c>
      <c r="AB127" s="33">
        <f>IF(INDEX(lmic_raw[],MATCH($A127,lmic_raw[[setting]:[setting]],0), MATCH(AB$1, lmic_raw[#Headers],0))=0, INDEX(regions[], MATCH($D127, regions[[setting]:[setting]],0), MATCH(AB$1, regions[#Headers],0)),INDEX(lmic_raw[],MATCH($A127,lmic_raw[[setting]:[setting]],0), MATCH(AB$1, lmic_raw[#Headers],0)))</f>
        <v>11.151616075021295</v>
      </c>
      <c r="AC127" s="33">
        <f>IF(INDEX(lmic_raw[],MATCH($A127,lmic_raw[[setting]:[setting]],0), MATCH(AC$1, lmic_raw[#Headers],0))=0, INDEX(regions[], MATCH($D127, regions[[setting]:[setting]],0), MATCH(AC$1, regions[#Headers],0)),INDEX(lmic_raw[],MATCH($A127,lmic_raw[[setting]:[setting]],0), MATCH(AC$1, lmic_raw[#Headers],0)))</f>
        <v>4.3312250000000059E-2</v>
      </c>
      <c r="AD127" s="33">
        <f>IF(INDEX(lmic_raw[],MATCH($A127,lmic_raw[[setting]:[setting]],0), MATCH(AD$1, lmic_raw[#Headers],0))=0, INDEX(regions[], MATCH($D127, regions[[setting]:[setting]],0), MATCH(AD$1, regions[#Headers],0)),INDEX(lmic_raw[],MATCH($A127,lmic_raw[[setting]:[setting]],0), MATCH(AD$1, lmic_raw[#Headers],0)))</f>
        <v>2.129730938856475E-3</v>
      </c>
      <c r="AE127" s="33">
        <f>IF(INDEX(lmic_raw[],MATCH($A127,lmic_raw[[setting]:[setting]],0), MATCH(AE$1, lmic_raw[#Headers],0))=0, INDEX(regions[], MATCH($D127, regions[[setting]:[setting]],0), MATCH(AE$1, regions[#Headers],0)),INDEX(lmic_raw[],MATCH($A127,lmic_raw[[setting]:[setting]],0), MATCH(AE$1, lmic_raw[#Headers],0)))</f>
        <v>3.8614591848633219E-4</v>
      </c>
      <c r="AF127" s="33">
        <f>IF(INDEX(lmic_raw[],MATCH($A127,lmic_raw[[setting]:[setting]],0), MATCH(AF$1, lmic_raw[#Headers],0))=0, INDEX(regions[], MATCH($D127, regions[[setting]:[setting]],0), MATCH(AF$1, regions[#Headers],0)),INDEX(lmic_raw[],MATCH($A127,lmic_raw[[setting]:[setting]],0), MATCH(AF$1, lmic_raw[#Headers],0)))</f>
        <v>3.7855029673770072E-4</v>
      </c>
      <c r="AG127" s="33">
        <f>IF(INDEX(lmic_raw[],MATCH($A127,lmic_raw[[setting]:[setting]],0), MATCH(AG$1, lmic_raw[#Headers],0))=0, INDEX(regions[], MATCH($D127, regions[[setting]:[setting]],0), MATCH(AG$1, regions[#Headers],0)),INDEX(lmic_raw[],MATCH($A127,lmic_raw[[setting]:[setting]],0), MATCH(AG$1, lmic_raw[#Headers],0)))</f>
        <v>8.7258683867233228E-4</v>
      </c>
      <c r="AH127" s="33">
        <f>IF(INDEX(lmic_raw[],MATCH($A127,lmic_raw[[setting]:[setting]],0), MATCH(AH$1, lmic_raw[#Headers],0))=0, INDEX(regions[], MATCH($D127, regions[[setting]:[setting]],0), MATCH(AH$1, regions[#Headers],0)),INDEX(lmic_raw[],MATCH($A127,lmic_raw[[setting]:[setting]],0), MATCH(AH$1, lmic_raw[#Headers],0)))</f>
        <v>1.1692106846790363E-3</v>
      </c>
      <c r="AI127" s="33">
        <f>IF(INDEX(lmic_raw[],MATCH($A127,lmic_raw[[setting]:[setting]],0), MATCH(AI$1, lmic_raw[#Headers],0))=0, INDEX(regions[], MATCH($D127, regions[[setting]:[setting]],0), MATCH(AI$1, regions[#Headers],0)),INDEX(lmic_raw[],MATCH($A127,lmic_raw[[setting]:[setting]],0), MATCH(AI$1, lmic_raw[#Headers],0)))</f>
        <v>1.5081578317309081E-3</v>
      </c>
      <c r="AJ127" s="33">
        <f>IF(INDEX(lmic_raw[],MATCH($A127,lmic_raw[[setting]:[setting]],0), MATCH(AJ$1, lmic_raw[#Headers],0))=0, INDEX(regions[], MATCH($D127, regions[[setting]:[setting]],0), MATCH(AJ$1, regions[#Headers],0)),INDEX(lmic_raw[],MATCH($A127,lmic_raw[[setting]:[setting]],0), MATCH(AJ$1, lmic_raw[#Headers],0)))</f>
        <v>2.0588723473310682E-3</v>
      </c>
      <c r="AK127" s="33">
        <f>IF(INDEX(lmic_raw[],MATCH($A127,lmic_raw[[setting]:[setting]],0), MATCH(AK$1, lmic_raw[#Headers],0))=0, INDEX(regions[], MATCH($D127, regions[[setting]:[setting]],0), MATCH(AK$1, regions[#Headers],0)),INDEX(lmic_raw[],MATCH($A127,lmic_raw[[setting]:[setting]],0), MATCH(AK$1, lmic_raw[#Headers],0)))</f>
        <v>2.9092955576564454E-3</v>
      </c>
      <c r="AL127" s="33">
        <f>IF(INDEX(lmic_raw[],MATCH($A127,lmic_raw[[setting]:[setting]],0), MATCH(AL$1, lmic_raw[#Headers],0))=0, INDEX(regions[], MATCH($D127, regions[[setting]:[setting]],0), MATCH(AL$1, regions[#Headers],0)),INDEX(lmic_raw[],MATCH($A127,lmic_raw[[setting]:[setting]],0), MATCH(AL$1, lmic_raw[#Headers],0)))</f>
        <v>4.1052005978659692E-3</v>
      </c>
      <c r="AM127" s="33">
        <f>IF(INDEX(lmic_raw[],MATCH($A127,lmic_raw[[setting]:[setting]],0), MATCH(AM$1, lmic_raw[#Headers],0))=0, INDEX(regions[], MATCH($D127, regions[[setting]:[setting]],0), MATCH(AM$1, regions[#Headers],0)),INDEX(lmic_raw[],MATCH($A127,lmic_raw[[setting]:[setting]],0), MATCH(AM$1, lmic_raw[#Headers],0)))</f>
        <v>5.6972405639618157E-3</v>
      </c>
      <c r="AN127" s="33">
        <f>IF(INDEX(lmic_raw[],MATCH($A127,lmic_raw[[setting]:[setting]],0), MATCH(AN$1, lmic_raw[#Headers],0))=0, INDEX(regions[], MATCH($D127, regions[[setting]:[setting]],0), MATCH(AN$1, regions[#Headers],0)),INDEX(lmic_raw[],MATCH($A127,lmic_raw[[setting]:[setting]],0), MATCH(AN$1, lmic_raw[#Headers],0)))</f>
        <v>8.9457697662400984E-3</v>
      </c>
      <c r="AO127" s="33">
        <f>IF(INDEX(lmic_raw[],MATCH($A127,lmic_raw[[setting]:[setting]],0), MATCH(AO$1, lmic_raw[#Headers],0))=0, INDEX(regions[], MATCH($D127, regions[[setting]:[setting]],0), MATCH(AO$1, regions[#Headers],0)),INDEX(lmic_raw[],MATCH($A127,lmic_raw[[setting]:[setting]],0), MATCH(AO$1, lmic_raw[#Headers],0)))</f>
        <v>1.3143500886882237E-2</v>
      </c>
      <c r="AP127" s="33">
        <f>IF(INDEX(lmic_raw[],MATCH($A127,lmic_raw[[setting]:[setting]],0), MATCH(AP$1, lmic_raw[#Headers],0))=0, INDEX(regions[], MATCH($D127, regions[[setting]:[setting]],0), MATCH(AP$1, regions[#Headers],0)),INDEX(lmic_raw[],MATCH($A127,lmic_raw[[setting]:[setting]],0), MATCH(AP$1, lmic_raw[#Headers],0)))</f>
        <v>2.1633277094430886E-2</v>
      </c>
      <c r="AQ127" s="33">
        <f>IF(INDEX(lmic_raw[],MATCH($A127,lmic_raw[[setting]:[setting]],0), MATCH(AQ$1, lmic_raw[#Headers],0))=0, INDEX(regions[], MATCH($D127, regions[[setting]:[setting]],0), MATCH(AQ$1, regions[#Headers],0)),INDEX(lmic_raw[],MATCH($A127,lmic_raw[[setting]:[setting]],0), MATCH(AQ$1, lmic_raw[#Headers],0)))</f>
        <v>2.7878235961389927E-2</v>
      </c>
      <c r="AR127" s="33">
        <f>IF(INDEX(lmic_raw[],MATCH($A127,lmic_raw[[setting]:[setting]],0), MATCH(AR$1, lmic_raw[#Headers],0))=0, INDEX(regions[], MATCH($D127, regions[[setting]:[setting]],0), MATCH(AR$1, regions[#Headers],0)),INDEX(lmic_raw[],MATCH($A127,lmic_raw[[setting]:[setting]],0), MATCH(AR$1, lmic_raw[#Headers],0)))</f>
        <v>5.0225199226431996E-2</v>
      </c>
      <c r="AS127" s="33">
        <f>IF(INDEX(lmic_raw[],MATCH($A127,lmic_raw[[setting]:[setting]],0), MATCH(AS$1, lmic_raw[#Headers],0))=0, INDEX(regions[], MATCH($D127, regions[[setting]:[setting]],0), MATCH(AS$1, regions[#Headers],0)),INDEX(lmic_raw[],MATCH($A127,lmic_raw[[setting]:[setting]],0), MATCH(AS$1, lmic_raw[#Headers],0)))</f>
        <v>5.4753581410580343E-2</v>
      </c>
      <c r="AT127" s="33">
        <f>IF(INDEX(lmic_raw[],MATCH($A127,lmic_raw[[setting]:[setting]],0), MATCH(AT$1, lmic_raw[#Headers],0))=0, INDEX(regions[], MATCH($D127, regions[[setting]:[setting]],0), MATCH(AT$1, regions[#Headers],0)),INDEX(lmic_raw[],MATCH($A127,lmic_raw[[setting]:[setting]],0), MATCH(AT$1, lmic_raw[#Headers],0)))</f>
        <v>8.982279599249865E-2</v>
      </c>
      <c r="AU127" s="33">
        <f>IF(INDEX(lmic_raw[],MATCH($A127,lmic_raw[[setting]:[setting]],0), MATCH(AU$1, lmic_raw[#Headers],0))=0, INDEX(regions[], MATCH($D127, regions[[setting]:[setting]],0), MATCH(AU$1, regions[#Headers],0)),INDEX(lmic_raw[],MATCH($A127,lmic_raw[[setting]:[setting]],0), MATCH(AU$1, lmic_raw[#Headers],0)))</f>
        <v>0.1190525940821109</v>
      </c>
      <c r="AV127" s="33">
        <f>IF(INDEX(lmic_raw[],MATCH($A127,lmic_raw[[setting]:[setting]],0), MATCH(AV$1, lmic_raw[#Headers],0))=0, INDEX(regions[], MATCH($D127, regions[[setting]:[setting]],0), MATCH(AV$1, regions[#Headers],0)),INDEX(lmic_raw[],MATCH($A127,lmic_raw[[setting]:[setting]],0), MATCH(AV$1, lmic_raw[#Headers],0)))</f>
        <v>0.14721758250382633</v>
      </c>
      <c r="AW127" s="33">
        <f>IF(INDEX(lmic_raw[],MATCH($A127,lmic_raw[[setting]:[setting]],0), MATCH(AW$1, lmic_raw[#Headers],0))=0, INDEX(regions[], MATCH($D127, regions[[setting]:[setting]],0), MATCH(AW$1, regions[#Headers],0)),INDEX(lmic_raw[],MATCH($A127,lmic_raw[[setting]:[setting]],0), MATCH(AW$1, lmic_raw[#Headers],0)))</f>
        <v>0.16884971526321041</v>
      </c>
      <c r="AX127" s="33">
        <f>IF(INDEX(lmic_raw[],MATCH($A127,lmic_raw[[setting]:[setting]],0), MATCH(AX$1, lmic_raw[#Headers],0))=0, INDEX(regions[], MATCH($D127, regions[[setting]:[setting]],0), MATCH(AX$1, regions[#Headers],0)),INDEX(lmic_raw[],MATCH($A127,lmic_raw[[setting]:[setting]],0), MATCH(AX$1, lmic_raw[#Headers],0)))</f>
        <v>67.983000000000004</v>
      </c>
      <c r="AY127" s="33" t="str">
        <f>IF(VLOOKUP($A127,lmic_raw[],11,FALSE)=0, "Yes", "No")</f>
        <v>No</v>
      </c>
    </row>
    <row r="128" spans="1:51" x14ac:dyDescent="0.25">
      <c r="A128" s="109" t="s">
        <v>302</v>
      </c>
      <c r="B128" s="101" t="s">
        <v>530</v>
      </c>
      <c r="C128" s="102">
        <v>798</v>
      </c>
      <c r="D128" s="82" t="s">
        <v>681</v>
      </c>
      <c r="E128" s="82" t="s">
        <v>98</v>
      </c>
      <c r="F128" s="82" t="s">
        <v>666</v>
      </c>
      <c r="G128" s="82" t="s">
        <v>676</v>
      </c>
      <c r="H128" s="33">
        <f>IF(INDEX(lmic_raw[],MATCH($A128,lmic_raw[[setting]:[setting]],0), MATCH(H$1, lmic_raw[#Headers],0))=0, INDEX(regions[], MATCH($D128, regions[[setting]:[setting]],0), MATCH(H$1, regions[#Headers],0)),INDEX(lmic_raw[],MATCH($A128,lmic_raw[[setting]:[setting]],0), MATCH(H$1, lmic_raw[#Headers],0)))</f>
        <v>11655</v>
      </c>
      <c r="I128" s="33">
        <f>IF(INDEX(lmic_raw[],MATCH($A128,lmic_raw[[setting]:[setting]],0), MATCH(I$1, lmic_raw[#Headers],0))=0, INDEX(regions[], MATCH($D128, regions[[setting]:[setting]],0), MATCH(I$1, regions[#Headers],0)),INDEX(lmic_raw[],MATCH($A128,lmic_raw[[setting]:[setting]],0), MATCH(I$1, lmic_raw[#Headers],0)))</f>
        <v>267.71534999999994</v>
      </c>
      <c r="J128" s="33">
        <f>IF(INDEX(lmic_raw[],MATCH($A128,lmic_raw[[setting]:[setting]],0), MATCH(J$1, lmic_raw[#Headers],0))=0, INDEX(regions[], MATCH($D128, regions[[setting]:[setting]],0), MATCH(J$1, regions[#Headers],0)),INDEX(lmic_raw[],MATCH($A128,lmic_raw[[setting]:[setting]],0), MATCH(J$1, lmic_raw[#Headers],0)))</f>
        <v>0.93</v>
      </c>
      <c r="K128" s="33">
        <f>IF(INDEX(lmic_raw[],MATCH($A128,lmic_raw[[setting]:[setting]],0), MATCH(K$1, lmic_raw[#Headers],0))=0, INDEX(regions[], MATCH($D128, regions[[setting]:[setting]],0), MATCH(K$1, regions[#Headers],0)),INDEX(lmic_raw[],MATCH($A128,lmic_raw[[setting]:[setting]],0), MATCH(K$1, lmic_raw[#Headers],0)))</f>
        <v>0.98</v>
      </c>
      <c r="L128" s="33">
        <f>IF(INDEX(lmic_raw[],MATCH($A128,lmic_raw[[setting]:[setting]],0), MATCH(L$1, lmic_raw[#Headers],0))=0, INDEX(regions[], MATCH($D128, regions[[setting]:[setting]],0), MATCH(L$1, regions[#Headers],0)),INDEX(lmic_raw[],MATCH($A128,lmic_raw[[setting]:[setting]],0), MATCH(L$1, lmic_raw[#Headers],0)))</f>
        <v>0.92</v>
      </c>
      <c r="M128" s="33">
        <f>IF(INDEX(lmic_raw[],MATCH($A128,lmic_raw[[setting]:[setting]],0), MATCH(M$1, lmic_raw[#Headers],0))=0, INDEX(regions[], MATCH($D128, regions[[setting]:[setting]],0), MATCH(M$1, regions[#Headers],0)),INDEX(lmic_raw[],MATCH($A128,lmic_raw[[setting]:[setting]],0), MATCH(M$1, lmic_raw[#Headers],0)))</f>
        <v>5.4699999999999999E-2</v>
      </c>
      <c r="N128" s="33">
        <f>IF(INDEX(lmic_raw[],MATCH($A128,lmic_raw[[setting]:[setting]],0), MATCH(N$1, lmic_raw[#Headers],0))=0, INDEX(regions[], MATCH($D128, regions[[setting]:[setting]],0), MATCH(N$1, regions[#Headers],0)),INDEX(lmic_raw[],MATCH($A128,lmic_raw[[setting]:[setting]],0), MATCH(N$1, lmic_raw[#Headers],0)))</f>
        <v>0.33321530304356067</v>
      </c>
      <c r="O128" s="33">
        <f>IF(INDEX(lmic_raw[],MATCH($A128,lmic_raw[[setting]:[setting]],0), MATCH(O$1, lmic_raw[#Headers],0))=0, INDEX(regions[], MATCH($D128, regions[[setting]:[setting]],0), MATCH(O$1, regions[#Headers],0)),INDEX(lmic_raw[],MATCH($A128,lmic_raw[[setting]:[setting]],0), MATCH(O$1, lmic_raw[#Headers],0)))</f>
        <v>0.8</v>
      </c>
      <c r="P128" s="33">
        <f>IF(INDEX(lmic_raw[],MATCH($A128,lmic_raw[[setting]:[setting]],0), MATCH(P$1, lmic_raw[#Headers],0))=0, INDEX(regions[], MATCH($D128, regions[[setting]:[setting]],0), MATCH(P$1, regions[#Headers],0)),INDEX(lmic_raw[],MATCH($A128,lmic_raw[[setting]:[setting]],0), MATCH(P$1, lmic_raw[#Headers],0)))</f>
        <v>0.17499999999999999</v>
      </c>
      <c r="Q128" s="33">
        <f>IF(INDEX(lmic_raw[],MATCH($A128,lmic_raw[[setting]:[setting]],0), MATCH(Q$1, lmic_raw[#Headers],0))=0, INDEX(regions[], MATCH($D128, regions[[setting]:[setting]],0), MATCH(Q$1, regions[#Headers],0)),INDEX(lmic_raw[],MATCH($A128,lmic_raw[[setting]:[setting]],0), MATCH(Q$1, lmic_raw[#Headers],0)))</f>
        <v>7.2634556907660572</v>
      </c>
      <c r="R128" s="33">
        <f>IF(INDEX(lmic_raw[],MATCH($A128,lmic_raw[[setting]:[setting]],0), MATCH(R$1, lmic_raw[#Headers],0))=0, INDEX(regions[], MATCH($D128, regions[[setting]:[setting]],0), MATCH(R$1, regions[#Headers],0)),INDEX(lmic_raw[],MATCH($A128,lmic_raw[[setting]:[setting]],0), MATCH(R$1, lmic_raw[#Headers],0)))</f>
        <v>73.084500000000006</v>
      </c>
      <c r="S128" s="33">
        <f>IF(INDEX(lmic_raw[],MATCH($A128,lmic_raw[[setting]:[setting]],0), MATCH(S$1, lmic_raw[#Headers],0))=0, INDEX(regions[], MATCH($D128, regions[[setting]:[setting]],0), MATCH(S$1, regions[#Headers],0)),INDEX(lmic_raw[],MATCH($A128,lmic_raw[[setting]:[setting]],0), MATCH(S$1, lmic_raw[#Headers],0)))</f>
        <v>120.8265</v>
      </c>
      <c r="T128" s="33">
        <f>IF(INDEX(lmic_raw[],MATCH($A128,lmic_raw[[setting]:[setting]],0), MATCH(T$1, lmic_raw[#Headers],0))=0, INDEX(regions[], MATCH($D128, regions[[setting]:[setting]],0), MATCH(T$1, regions[#Headers],0)),INDEX(lmic_raw[],MATCH($A128,lmic_raw[[setting]:[setting]],0), MATCH(T$1, lmic_raw[#Headers],0)))</f>
        <v>120.8265</v>
      </c>
      <c r="U128" s="33">
        <f>IF(INDEX(lmic_raw[],MATCH($A128,lmic_raw[[setting]:[setting]],0), MATCH(U$1, lmic_raw[#Headers],0))=0, INDEX(regions[], MATCH($D128, regions[[setting]:[setting]],0), MATCH(U$1, regions[#Headers],0)),INDEX(lmic_raw[],MATCH($A128,lmic_raw[[setting]:[setting]],0), MATCH(U$1, lmic_raw[#Headers],0)))</f>
        <v>120.8265</v>
      </c>
      <c r="V128" s="33">
        <f>IF(INDEX(lmic_raw[],MATCH($A128,lmic_raw[[setting]:[setting]],0), MATCH(V$1, lmic_raw[#Headers],0))=0, INDEX(regions[], MATCH($D128, regions[[setting]:[setting]],0), MATCH(V$1, regions[#Headers],0)),INDEX(lmic_raw[],MATCH($A128,lmic_raw[[setting]:[setting]],0), MATCH(V$1, lmic_raw[#Headers],0)))</f>
        <v>17.106542827638439</v>
      </c>
      <c r="W128" s="33">
        <f>IF(INDEX(lmic_raw[],MATCH($A128,lmic_raw[[setting]:[setting]],0), MATCH(W$1, lmic_raw[#Headers],0))=0, INDEX(regions[], MATCH($D128, regions[[setting]:[setting]],0), MATCH(W$1, regions[#Headers],0)),INDEX(lmic_raw[],MATCH($A128,lmic_raw[[setting]:[setting]],0), MATCH(W$1, lmic_raw[#Headers],0)))</f>
        <v>17.736542827638438</v>
      </c>
      <c r="X128" s="33">
        <f>IF(INDEX(lmic_raw[],MATCH($A128,lmic_raw[[setting]:[setting]],0), MATCH(X$1, lmic_raw[#Headers],0))=0, INDEX(regions[], MATCH($D128, regions[[setting]:[setting]],0), MATCH(X$1, regions[#Headers],0)),INDEX(lmic_raw[],MATCH($A128,lmic_raw[[setting]:[setting]],0), MATCH(X$1, lmic_raw[#Headers],0)))</f>
        <v>16.676292728840981</v>
      </c>
      <c r="Y128" s="33">
        <f>IF(INDEX(lmic_raw[],MATCH($A128,lmic_raw[[setting]:[setting]],0), MATCH(Y$1, lmic_raw[#Headers],0))=0, INDEX(regions[], MATCH($D128, regions[[setting]:[setting]],0), MATCH(Y$1, regions[#Headers],0)),INDEX(lmic_raw[],MATCH($A128,lmic_raw[[setting]:[setting]],0), MATCH(Y$1, lmic_raw[#Headers],0)))</f>
        <v>17.30629272884098</v>
      </c>
      <c r="Z128" s="33">
        <f>IF(INDEX(lmic_raw[],MATCH($A128,lmic_raw[[setting]:[setting]],0), MATCH(Z$1, lmic_raw[#Headers],0))=0, INDEX(regions[], MATCH($D128, regions[[setting]:[setting]],0), MATCH(Z$1, regions[#Headers],0)),INDEX(lmic_raw[],MATCH($A128,lmic_raw[[setting]:[setting]],0), MATCH(Z$1, lmic_raw[#Headers],0)))</f>
        <v>17.3015887679564</v>
      </c>
      <c r="AA128" s="33">
        <f>IF(INDEX(lmic_raw[],MATCH($A128,lmic_raw[[setting]:[setting]],0), MATCH(AA$1, lmic_raw[#Headers],0))=0, INDEX(regions[], MATCH($D128, regions[[setting]:[setting]],0), MATCH(AA$1, regions[#Headers],0)),INDEX(lmic_raw[],MATCH($A128,lmic_raw[[setting]:[setting]],0), MATCH(AA$1, lmic_raw[#Headers],0)))</f>
        <v>17.349859020463132</v>
      </c>
      <c r="AB128" s="33">
        <f>IF(INDEX(lmic_raw[],MATCH($A128,lmic_raw[[setting]:[setting]],0), MATCH(AB$1, lmic_raw[#Headers],0))=0, INDEX(regions[], MATCH($D128, regions[[setting]:[setting]],0), MATCH(AB$1, regions[#Headers],0)),INDEX(lmic_raw[],MATCH($A128,lmic_raw[[setting]:[setting]],0), MATCH(AB$1, lmic_raw[#Headers],0)))</f>
        <v>17.979859020463131</v>
      </c>
      <c r="AC128" s="33">
        <f>IF(INDEX(lmic_raw[],MATCH($A128,lmic_raw[[setting]:[setting]],0), MATCH(AC$1, lmic_raw[#Headers],0))=0, INDEX(regions[], MATCH($D128, regions[[setting]:[setting]],0), MATCH(AC$1, regions[#Headers],0)),INDEX(lmic_raw[],MATCH($A128,lmic_raw[[setting]:[setting]],0), MATCH(AC$1, lmic_raw[#Headers],0)))</f>
        <v>1.2113043019348933E-2</v>
      </c>
      <c r="AD128" s="33">
        <f>IF(INDEX(lmic_raw[],MATCH($A128,lmic_raw[[setting]:[setting]],0), MATCH(AD$1, lmic_raw[#Headers],0))=0, INDEX(regions[], MATCH($D128, regions[[setting]:[setting]],0), MATCH(AD$1, regions[#Headers],0)),INDEX(lmic_raw[],MATCH($A128,lmic_raw[[setting]:[setting]],0), MATCH(AD$1, lmic_raw[#Headers],0)))</f>
        <v>6.7609930209456214E-4</v>
      </c>
      <c r="AE128" s="33">
        <f>IF(INDEX(lmic_raw[],MATCH($A128,lmic_raw[[setting]:[setting]],0), MATCH(AE$1, lmic_raw[#Headers],0))=0, INDEX(regions[], MATCH($D128, regions[[setting]:[setting]],0), MATCH(AE$1, regions[#Headers],0)),INDEX(lmic_raw[],MATCH($A128,lmic_raw[[setting]:[setting]],0), MATCH(AE$1, lmic_raw[#Headers],0)))</f>
        <v>3.9081483963144945E-4</v>
      </c>
      <c r="AF128" s="33">
        <f>IF(INDEX(lmic_raw[],MATCH($A128,lmic_raw[[setting]:[setting]],0), MATCH(AF$1, lmic_raw[#Headers],0))=0, INDEX(regions[], MATCH($D128, regions[[setting]:[setting]],0), MATCH(AF$1, regions[#Headers],0)),INDEX(lmic_raw[],MATCH($A128,lmic_raw[[setting]:[setting]],0), MATCH(AF$1, lmic_raw[#Headers],0)))</f>
        <v>3.0782172099554035E-4</v>
      </c>
      <c r="AG128" s="33">
        <f>IF(INDEX(lmic_raw[],MATCH($A128,lmic_raw[[setting]:[setting]],0), MATCH(AG$1, lmic_raw[#Headers],0))=0, INDEX(regions[], MATCH($D128, regions[[setting]:[setting]],0), MATCH(AG$1, regions[#Headers],0)),INDEX(lmic_raw[],MATCH($A128,lmic_raw[[setting]:[setting]],0), MATCH(AG$1, lmic_raw[#Headers],0)))</f>
        <v>4.8944350359139937E-4</v>
      </c>
      <c r="AH128" s="33">
        <f>IF(INDEX(lmic_raw[],MATCH($A128,lmic_raw[[setting]:[setting]],0), MATCH(AH$1, lmic_raw[#Headers],0))=0, INDEX(regions[], MATCH($D128, regions[[setting]:[setting]],0), MATCH(AH$1, regions[#Headers],0)),INDEX(lmic_raw[],MATCH($A128,lmic_raw[[setting]:[setting]],0), MATCH(AH$1, lmic_raw[#Headers],0)))</f>
        <v>6.8096472237868307E-4</v>
      </c>
      <c r="AI128" s="33">
        <f>IF(INDEX(lmic_raw[],MATCH($A128,lmic_raw[[setting]:[setting]],0), MATCH(AI$1, lmic_raw[#Headers],0))=0, INDEX(regions[], MATCH($D128, regions[[setting]:[setting]],0), MATCH(AI$1, regions[#Headers],0)),INDEX(lmic_raw[],MATCH($A128,lmic_raw[[setting]:[setting]],0), MATCH(AI$1, lmic_raw[#Headers],0)))</f>
        <v>8.5023885699048749E-4</v>
      </c>
      <c r="AJ128" s="33">
        <f>IF(INDEX(lmic_raw[],MATCH($A128,lmic_raw[[setting]:[setting]],0), MATCH(AJ$1, lmic_raw[#Headers],0))=0, INDEX(regions[], MATCH($D128, regions[[setting]:[setting]],0), MATCH(AJ$1, regions[#Headers],0)),INDEX(lmic_raw[],MATCH($A128,lmic_raw[[setting]:[setting]],0), MATCH(AJ$1, lmic_raw[#Headers],0)))</f>
        <v>1.0584115094525045E-3</v>
      </c>
      <c r="AK128" s="33">
        <f>IF(INDEX(lmic_raw[],MATCH($A128,lmic_raw[[setting]:[setting]],0), MATCH(AK$1, lmic_raw[#Headers],0))=0, INDEX(regions[], MATCH($D128, regions[[setting]:[setting]],0), MATCH(AK$1, regions[#Headers],0)),INDEX(lmic_raw[],MATCH($A128,lmic_raw[[setting]:[setting]],0), MATCH(AK$1, lmic_raw[#Headers],0)))</f>
        <v>1.3595292919632098E-3</v>
      </c>
      <c r="AL128" s="33">
        <f>IF(INDEX(lmic_raw[],MATCH($A128,lmic_raw[[setting]:[setting]],0), MATCH(AL$1, lmic_raw[#Headers],0))=0, INDEX(regions[], MATCH($D128, regions[[setting]:[setting]],0), MATCH(AL$1, regions[#Headers],0)),INDEX(lmic_raw[],MATCH($A128,lmic_raw[[setting]:[setting]],0), MATCH(AL$1, lmic_raw[#Headers],0)))</f>
        <v>1.913684162559916E-3</v>
      </c>
      <c r="AM128" s="33">
        <f>IF(INDEX(lmic_raw[],MATCH($A128,lmic_raw[[setting]:[setting]],0), MATCH(AM$1, lmic_raw[#Headers],0))=0, INDEX(regions[], MATCH($D128, regions[[setting]:[setting]],0), MATCH(AM$1, regions[#Headers],0)),INDEX(lmic_raw[],MATCH($A128,lmic_raw[[setting]:[setting]],0), MATCH(AM$1, lmic_raw[#Headers],0)))</f>
        <v>2.8048927139820382E-3</v>
      </c>
      <c r="AN128" s="33">
        <f>IF(INDEX(lmic_raw[],MATCH($A128,lmic_raw[[setting]:[setting]],0), MATCH(AN$1, lmic_raw[#Headers],0))=0, INDEX(regions[], MATCH($D128, regions[[setting]:[setting]],0), MATCH(AN$1, regions[#Headers],0)),INDEX(lmic_raw[],MATCH($A128,lmic_raw[[setting]:[setting]],0), MATCH(AN$1, lmic_raw[#Headers],0)))</f>
        <v>4.4671883657492542E-3</v>
      </c>
      <c r="AO128" s="33">
        <f>IF(INDEX(lmic_raw[],MATCH($A128,lmic_raw[[setting]:[setting]],0), MATCH(AO$1, lmic_raw[#Headers],0))=0, INDEX(regions[], MATCH($D128, regions[[setting]:[setting]],0), MATCH(AO$1, regions[#Headers],0)),INDEX(lmic_raw[],MATCH($A128,lmic_raw[[setting]:[setting]],0), MATCH(AO$1, lmic_raw[#Headers],0)))</f>
        <v>7.1493659984186823E-3</v>
      </c>
      <c r="AP128" s="33">
        <f>IF(INDEX(lmic_raw[],MATCH($A128,lmic_raw[[setting]:[setting]],0), MATCH(AP$1, lmic_raw[#Headers],0))=0, INDEX(regions[], MATCH($D128, regions[[setting]:[setting]],0), MATCH(AP$1, regions[#Headers],0)),INDEX(lmic_raw[],MATCH($A128,lmic_raw[[setting]:[setting]],0), MATCH(AP$1, lmic_raw[#Headers],0)))</f>
        <v>1.2122839216961992E-2</v>
      </c>
      <c r="AQ128" s="33">
        <f>IF(INDEX(lmic_raw[],MATCH($A128,lmic_raw[[setting]:[setting]],0), MATCH(AQ$1, lmic_raw[#Headers],0))=0, INDEX(regions[], MATCH($D128, regions[[setting]:[setting]],0), MATCH(AQ$1, regions[#Headers],0)),INDEX(lmic_raw[],MATCH($A128,lmic_raw[[setting]:[setting]],0), MATCH(AQ$1, lmic_raw[#Headers],0)))</f>
        <v>2.0383567531551045E-2</v>
      </c>
      <c r="AR128" s="33">
        <f>IF(INDEX(lmic_raw[],MATCH($A128,lmic_raw[[setting]:[setting]],0), MATCH(AR$1, lmic_raw[#Headers],0))=0, INDEX(regions[], MATCH($D128, regions[[setting]:[setting]],0), MATCH(AR$1, regions[#Headers],0)),INDEX(lmic_raw[],MATCH($A128,lmic_raw[[setting]:[setting]],0), MATCH(AR$1, lmic_raw[#Headers],0)))</f>
        <v>3.4419302343702933E-2</v>
      </c>
      <c r="AS128" s="33">
        <f>IF(INDEX(lmic_raw[],MATCH($A128,lmic_raw[[setting]:[setting]],0), MATCH(AS$1, lmic_raw[#Headers],0))=0, INDEX(regions[], MATCH($D128, regions[[setting]:[setting]],0), MATCH(AS$1, regions[#Headers],0)),INDEX(lmic_raw[],MATCH($A128,lmic_raw[[setting]:[setting]],0), MATCH(AS$1, lmic_raw[#Headers],0)))</f>
        <v>5.3865001524097247E-2</v>
      </c>
      <c r="AT128" s="33">
        <f>IF(INDEX(lmic_raw[],MATCH($A128,lmic_raw[[setting]:[setting]],0), MATCH(AT$1, lmic_raw[#Headers],0))=0, INDEX(regions[], MATCH($D128, regions[[setting]:[setting]],0), MATCH(AT$1, regions[#Headers],0)),INDEX(lmic_raw[],MATCH($A128,lmic_raw[[setting]:[setting]],0), MATCH(AT$1, lmic_raw[#Headers],0)))</f>
        <v>7.6821618366979399E-2</v>
      </c>
      <c r="AU128" s="33">
        <f>IF(INDEX(lmic_raw[],MATCH($A128,lmic_raw[[setting]:[setting]],0), MATCH(AU$1, lmic_raw[#Headers],0))=0, INDEX(regions[], MATCH($D128, regions[[setting]:[setting]],0), MATCH(AU$1, regions[#Headers],0)),INDEX(lmic_raw[],MATCH($A128,lmic_raw[[setting]:[setting]],0), MATCH(AU$1, lmic_raw[#Headers],0)))</f>
        <v>0.10590462633893205</v>
      </c>
      <c r="AV128" s="33">
        <f>IF(INDEX(lmic_raw[],MATCH($A128,lmic_raw[[setting]:[setting]],0), MATCH(AV$1, lmic_raw[#Headers],0))=0, INDEX(regions[], MATCH($D128, regions[[setting]:[setting]],0), MATCH(AV$1, regions[#Headers],0)),INDEX(lmic_raw[],MATCH($A128,lmic_raw[[setting]:[setting]],0), MATCH(AV$1, lmic_raw[#Headers],0)))</f>
        <v>0.13211014586527225</v>
      </c>
      <c r="AW128" s="33">
        <f>IF(INDEX(lmic_raw[],MATCH($A128,lmic_raw[[setting]:[setting]],0), MATCH(AW$1, lmic_raw[#Headers],0))=0, INDEX(regions[], MATCH($D128, regions[[setting]:[setting]],0), MATCH(AW$1, regions[#Headers],0)),INDEX(lmic_raw[],MATCH($A128,lmic_raw[[setting]:[setting]],0), MATCH(AW$1, lmic_raw[#Headers],0)))</f>
        <v>0.15412931043049904</v>
      </c>
      <c r="AX128" s="33">
        <f>IF(INDEX(lmic_raw[],MATCH($A128,lmic_raw[[setting]:[setting]],0), MATCH(AX$1, lmic_raw[#Headers],0))=0, INDEX(regions[], MATCH($D128, regions[[setting]:[setting]],0), MATCH(AX$1, regions[#Headers],0)),INDEX(lmic_raw[],MATCH($A128,lmic_raw[[setting]:[setting]],0), MATCH(AX$1, lmic_raw[#Headers],0)))</f>
        <v>75.587990106299117</v>
      </c>
      <c r="AY128" s="33" t="str">
        <f>IF(VLOOKUP($A128,lmic_raw[],11,FALSE)=0, "Yes", "No")</f>
        <v>No</v>
      </c>
    </row>
    <row r="129" spans="1:51" x14ac:dyDescent="0.25">
      <c r="A129" s="110" t="s">
        <v>117</v>
      </c>
      <c r="B129" s="104" t="s">
        <v>531</v>
      </c>
      <c r="C129" s="105">
        <v>800</v>
      </c>
      <c r="D129" s="84" t="s">
        <v>677</v>
      </c>
      <c r="E129" s="84" t="s">
        <v>597</v>
      </c>
      <c r="F129" s="84" t="s">
        <v>667</v>
      </c>
      <c r="G129" s="84" t="s">
        <v>674</v>
      </c>
      <c r="H129" s="33">
        <f>IF(INDEX(lmic_raw[],MATCH($A129,lmic_raw[[setting]:[setting]],0), MATCH(H$1, lmic_raw[#Headers],0))=0, INDEX(regions[], MATCH($D129, regions[[setting]:[setting]],0), MATCH(H$1, regions[#Headers],0)),INDEX(lmic_raw[],MATCH($A129,lmic_raw[[setting]:[setting]],0), MATCH(H$1, lmic_raw[#Headers],0)))</f>
        <v>44269587</v>
      </c>
      <c r="I129" s="33">
        <f>IF(INDEX(lmic_raw[],MATCH($A129,lmic_raw[[setting]:[setting]],0), MATCH(I$1, lmic_raw[#Headers],0))=0, INDEX(regions[], MATCH($D129, regions[[setting]:[setting]],0), MATCH(I$1, regions[#Headers],0)),INDEX(lmic_raw[],MATCH($A129,lmic_raw[[setting]:[setting]],0), MATCH(I$1, lmic_raw[#Headers],0)))</f>
        <v>1701590.115519</v>
      </c>
      <c r="J129" s="33">
        <f>IF(INDEX(lmic_raw[],MATCH($A129,lmic_raw[[setting]:[setting]],0), MATCH(J$1, lmic_raw[#Headers],0))=0, INDEX(regions[], MATCH($D129, regions[[setting]:[setting]],0), MATCH(J$1, regions[#Headers],0)),INDEX(lmic_raw[],MATCH($A129,lmic_raw[[setting]:[setting]],0), MATCH(J$1, lmic_raw[#Headers],0)))</f>
        <v>0.7340000000000001</v>
      </c>
      <c r="K129" s="33">
        <f>IF(INDEX(lmic_raw[],MATCH($A129,lmic_raw[[setting]:[setting]],0), MATCH(K$1, lmic_raw[#Headers],0))=0, INDEX(regions[], MATCH($D129, regions[[setting]:[setting]],0), MATCH(K$1, regions[#Headers],0)),INDEX(lmic_raw[],MATCH($A129,lmic_raw[[setting]:[setting]],0), MATCH(K$1, lmic_raw[#Headers],0)))</f>
        <v>0.69252604416320784</v>
      </c>
      <c r="L129" s="33">
        <f>IF(INDEX(lmic_raw[],MATCH($A129,lmic_raw[[setting]:[setting]],0), MATCH(L$1, lmic_raw[#Headers],0))=0, INDEX(regions[], MATCH($D129, regions[[setting]:[setting]],0), MATCH(L$1, regions[#Headers],0)),INDEX(lmic_raw[],MATCH($A129,lmic_raw[[setting]:[setting]],0), MATCH(L$1, lmic_raw[#Headers],0)))</f>
        <v>0.93</v>
      </c>
      <c r="M129" s="33">
        <f>IF(INDEX(lmic_raw[],MATCH($A129,lmic_raw[[setting]:[setting]],0), MATCH(M$1, lmic_raw[#Headers],0))=0, INDEX(regions[], MATCH($D129, regions[[setting]:[setting]],0), MATCH(M$1, regions[#Headers],0)),INDEX(lmic_raw[],MATCH($A129,lmic_raw[[setting]:[setting]],0), MATCH(M$1, lmic_raw[#Headers],0)))</f>
        <v>6.2899999999999998E-2</v>
      </c>
      <c r="N129" s="33">
        <f>IF(INDEX(lmic_raw[],MATCH($A129,lmic_raw[[setting]:[setting]],0), MATCH(N$1, lmic_raw[#Headers],0))=0, INDEX(regions[], MATCH($D129, regions[[setting]:[setting]],0), MATCH(N$1, regions[#Headers],0)),INDEX(lmic_raw[],MATCH($A129,lmic_raw[[setting]:[setting]],0), MATCH(N$1, lmic_raw[#Headers],0)))</f>
        <v>0.29485926570865467</v>
      </c>
      <c r="O129" s="33">
        <f>IF(INDEX(lmic_raw[],MATCH($A129,lmic_raw[[setting]:[setting]],0), MATCH(O$1, lmic_raw[#Headers],0))=0, INDEX(regions[], MATCH($D129, regions[[setting]:[setting]],0), MATCH(O$1, regions[#Headers],0)),INDEX(lmic_raw[],MATCH($A129,lmic_raw[[setting]:[setting]],0), MATCH(O$1, lmic_raw[#Headers],0)))</f>
        <v>0.38300000000000001</v>
      </c>
      <c r="P129" s="33">
        <f>IF(INDEX(lmic_raw[],MATCH($A129,lmic_raw[[setting]:[setting]],0), MATCH(P$1, lmic_raw[#Headers],0))=0, INDEX(regions[], MATCH($D129, regions[[setting]:[setting]],0), MATCH(P$1, regions[#Headers],0)),INDEX(lmic_raw[],MATCH($A129,lmic_raw[[setting]:[setting]],0), MATCH(P$1, lmic_raw[#Headers],0)))</f>
        <v>4.8000000000000001E-2</v>
      </c>
      <c r="Q129" s="33">
        <f>IF(INDEX(lmic_raw[],MATCH($A129,lmic_raw[[setting]:[setting]],0), MATCH(Q$1, lmic_raw[#Headers],0))=0, INDEX(regions[], MATCH($D129, regions[[setting]:[setting]],0), MATCH(Q$1, regions[#Headers],0)),INDEX(lmic_raw[],MATCH($A129,lmic_raw[[setting]:[setting]],0), MATCH(Q$1, lmic_raw[#Headers],0)))</f>
        <v>2.8244309317788576</v>
      </c>
      <c r="R129" s="33">
        <f>IF(INDEX(lmic_raw[],MATCH($A129,lmic_raw[[setting]:[setting]],0), MATCH(R$1, lmic_raw[#Headers],0))=0, INDEX(regions[], MATCH($D129, regions[[setting]:[setting]],0), MATCH(R$1, regions[#Headers],0)),INDEX(lmic_raw[],MATCH($A129,lmic_raw[[setting]:[setting]],0), MATCH(R$1, lmic_raw[#Headers],0)))</f>
        <v>29.920500000000001</v>
      </c>
      <c r="S129" s="33">
        <f>IF(INDEX(lmic_raw[],MATCH($A129,lmic_raw[[setting]:[setting]],0), MATCH(S$1, lmic_raw[#Headers],0))=0, INDEX(regions[], MATCH($D129, regions[[setting]:[setting]],0), MATCH(S$1, regions[#Headers],0)),INDEX(lmic_raw[],MATCH($A129,lmic_raw[[setting]:[setting]],0), MATCH(S$1, lmic_raw[#Headers],0)))</f>
        <v>77.662500000000009</v>
      </c>
      <c r="T129" s="33">
        <f>IF(INDEX(lmic_raw[],MATCH($A129,lmic_raw[[setting]:[setting]],0), MATCH(T$1, lmic_raw[#Headers],0))=0, INDEX(regions[], MATCH($D129, regions[[setting]:[setting]],0), MATCH(T$1, regions[#Headers],0)),INDEX(lmic_raw[],MATCH($A129,lmic_raw[[setting]:[setting]],0), MATCH(T$1, lmic_raw[#Headers],0)))</f>
        <v>77.662500000000009</v>
      </c>
      <c r="U129" s="33">
        <f>IF(INDEX(lmic_raw[],MATCH($A129,lmic_raw[[setting]:[setting]],0), MATCH(U$1, lmic_raw[#Headers],0))=0, INDEX(regions[], MATCH($D129, regions[[setting]:[setting]],0), MATCH(U$1, regions[#Headers],0)),INDEX(lmic_raw[],MATCH($A129,lmic_raw[[setting]:[setting]],0), MATCH(U$1, lmic_raw[#Headers],0)))</f>
        <v>77.662500000000009</v>
      </c>
      <c r="V129" s="33">
        <f>IF(INDEX(lmic_raw[],MATCH($A129,lmic_raw[[setting]:[setting]],0), MATCH(V$1, lmic_raw[#Headers],0))=0, INDEX(regions[], MATCH($D129, regions[[setting]:[setting]],0), MATCH(V$1, regions[#Headers],0)),INDEX(lmic_raw[],MATCH($A129,lmic_raw[[setting]:[setting]],0), MATCH(V$1, lmic_raw[#Headers],0)))</f>
        <v>2.274665772948699</v>
      </c>
      <c r="W129" s="33">
        <f>IF(INDEX(lmic_raw[],MATCH($A129,lmic_raw[[setting]:[setting]],0), MATCH(W$1, lmic_raw[#Headers],0))=0, INDEX(regions[], MATCH($D129, regions[[setting]:[setting]],0), MATCH(W$1, regions[#Headers],0)),INDEX(lmic_raw[],MATCH($A129,lmic_raw[[setting]:[setting]],0), MATCH(W$1, lmic_raw[#Headers],0)))</f>
        <v>7.1046657729486995</v>
      </c>
      <c r="X129" s="33">
        <f>IF(INDEX(lmic_raw[],MATCH($A129,lmic_raw[[setting]:[setting]],0), MATCH(X$1, lmic_raw[#Headers],0))=0, INDEX(regions[], MATCH($D129, regions[[setting]:[setting]],0), MATCH(X$1, regions[#Headers],0)),INDEX(lmic_raw[],MATCH($A129,lmic_raw[[setting]:[setting]],0), MATCH(X$1, lmic_raw[#Headers],0)))</f>
        <v>1.8498183081223352</v>
      </c>
      <c r="Y129" s="33">
        <f>IF(INDEX(lmic_raw[],MATCH($A129,lmic_raw[[setting]:[setting]],0), MATCH(Y$1, lmic_raw[#Headers],0))=0, INDEX(regions[], MATCH($D129, regions[[setting]:[setting]],0), MATCH(Y$1, regions[#Headers],0)),INDEX(lmic_raw[],MATCH($A129,lmic_raw[[setting]:[setting]],0), MATCH(Y$1, lmic_raw[#Headers],0)))</f>
        <v>6.6798183081223357</v>
      </c>
      <c r="Z129" s="33">
        <f>IF(INDEX(lmic_raw[],MATCH($A129,lmic_raw[[setting]:[setting]],0), MATCH(Z$1, lmic_raw[#Headers],0))=0, INDEX(regions[], MATCH($D129, regions[[setting]:[setting]],0), MATCH(Z$1, regions[#Headers],0)),INDEX(lmic_raw[],MATCH($A129,lmic_raw[[setting]:[setting]],0), MATCH(Z$1, lmic_raw[#Headers],0)))</f>
        <v>6.6771470480109612</v>
      </c>
      <c r="AA129" s="33">
        <f>IF(INDEX(lmic_raw[],MATCH($A129,lmic_raw[[setting]:[setting]],0), MATCH(AA$1, lmic_raw[#Headers],0))=0, INDEX(regions[], MATCH($D129, regions[[setting]:[setting]],0), MATCH(AA$1, regions[#Headers],0)),INDEX(lmic_raw[],MATCH($A129,lmic_raw[[setting]:[setting]],0), MATCH(AA$1, lmic_raw[#Headers],0)))</f>
        <v>2.5160345046907842</v>
      </c>
      <c r="AB129" s="33">
        <f>IF(INDEX(lmic_raw[],MATCH($A129,lmic_raw[[setting]:[setting]],0), MATCH(AB$1, lmic_raw[#Headers],0))=0, INDEX(regions[], MATCH($D129, regions[[setting]:[setting]],0), MATCH(AB$1, regions[#Headers],0)),INDEX(lmic_raw[],MATCH($A129,lmic_raw[[setting]:[setting]],0), MATCH(AB$1, lmic_raw[#Headers],0)))</f>
        <v>7.3460345046907847</v>
      </c>
      <c r="AC129" s="33">
        <f>IF(INDEX(lmic_raw[],MATCH($A129,lmic_raw[[setting]:[setting]],0), MATCH(AC$1, lmic_raw[#Headers],0))=0, INDEX(regions[], MATCH($D129, regions[[setting]:[setting]],0), MATCH(AC$1, regions[#Headers],0)),INDEX(lmic_raw[],MATCH($A129,lmic_raw[[setting]:[setting]],0), MATCH(AC$1, lmic_raw[#Headers],0)))</f>
        <v>4.6149780000000029E-2</v>
      </c>
      <c r="AD129" s="33">
        <f>IF(INDEX(lmic_raw[],MATCH($A129,lmic_raw[[setting]:[setting]],0), MATCH(AD$1, lmic_raw[#Headers],0))=0, INDEX(regions[], MATCH($D129, regions[[setting]:[setting]],0), MATCH(AD$1, regions[#Headers],0)),INDEX(lmic_raw[],MATCH($A129,lmic_raw[[setting]:[setting]],0), MATCH(AD$1, lmic_raw[#Headers],0)))</f>
        <v>4.3666682804769756E-3</v>
      </c>
      <c r="AE129" s="33">
        <f>IF(INDEX(lmic_raw[],MATCH($A129,lmic_raw[[setting]:[setting]],0), MATCH(AE$1, lmic_raw[#Headers],0))=0, INDEX(regions[], MATCH($D129, regions[[setting]:[setting]],0), MATCH(AE$1, regions[#Headers],0)),INDEX(lmic_raw[],MATCH($A129,lmic_raw[[setting]:[setting]],0), MATCH(AE$1, lmic_raw[#Headers],0)))</f>
        <v>1.4828482470511555E-3</v>
      </c>
      <c r="AF129" s="33">
        <f>IF(INDEX(lmic_raw[],MATCH($A129,lmic_raw[[setting]:[setting]],0), MATCH(AF$1, lmic_raw[#Headers],0))=0, INDEX(regions[], MATCH($D129, regions[[setting]:[setting]],0), MATCH(AF$1, regions[#Headers],0)),INDEX(lmic_raw[],MATCH($A129,lmic_raw[[setting]:[setting]],0), MATCH(AF$1, lmic_raw[#Headers],0)))</f>
        <v>1.112565357788755E-3</v>
      </c>
      <c r="AG129" s="33">
        <f>IF(INDEX(lmic_raw[],MATCH($A129,lmic_raw[[setting]:[setting]],0), MATCH(AG$1, lmic_raw[#Headers],0))=0, INDEX(regions[], MATCH($D129, regions[[setting]:[setting]],0), MATCH(AG$1, regions[#Headers],0)),INDEX(lmic_raw[],MATCH($A129,lmic_raw[[setting]:[setting]],0), MATCH(AG$1, lmic_raw[#Headers],0)))</f>
        <v>1.8217050840387593E-3</v>
      </c>
      <c r="AH129" s="33">
        <f>IF(INDEX(lmic_raw[],MATCH($A129,lmic_raw[[setting]:[setting]],0), MATCH(AH$1, lmic_raw[#Headers],0))=0, INDEX(regions[], MATCH($D129, regions[[setting]:[setting]],0), MATCH(AH$1, regions[#Headers],0)),INDEX(lmic_raw[],MATCH($A129,lmic_raw[[setting]:[setting]],0), MATCH(AH$1, lmic_raw[#Headers],0)))</f>
        <v>2.8048711625515434E-3</v>
      </c>
      <c r="AI129" s="33">
        <f>IF(INDEX(lmic_raw[],MATCH($A129,lmic_raw[[setting]:[setting]],0), MATCH(AI$1, lmic_raw[#Headers],0))=0, INDEX(regions[], MATCH($D129, regions[[setting]:[setting]],0), MATCH(AI$1, regions[#Headers],0)),INDEX(lmic_raw[],MATCH($A129,lmic_raw[[setting]:[setting]],0), MATCH(AI$1, lmic_raw[#Headers],0)))</f>
        <v>3.6411578979129509E-3</v>
      </c>
      <c r="AJ129" s="33">
        <f>IF(INDEX(lmic_raw[],MATCH($A129,lmic_raw[[setting]:[setting]],0), MATCH(AJ$1, lmic_raw[#Headers],0))=0, INDEX(regions[], MATCH($D129, regions[[setting]:[setting]],0), MATCH(AJ$1, regions[#Headers],0)),INDEX(lmic_raw[],MATCH($A129,lmic_raw[[setting]:[setting]],0), MATCH(AJ$1, lmic_raw[#Headers],0)))</f>
        <v>4.5409485397054335E-3</v>
      </c>
      <c r="AK129" s="33">
        <f>IF(INDEX(lmic_raw[],MATCH($A129,lmic_raw[[setting]:[setting]],0), MATCH(AK$1, lmic_raw[#Headers],0))=0, INDEX(regions[], MATCH($D129, regions[[setting]:[setting]],0), MATCH(AK$1, regions[#Headers],0)),INDEX(lmic_raw[],MATCH($A129,lmic_raw[[setting]:[setting]],0), MATCH(AK$1, lmic_raw[#Headers],0)))</f>
        <v>5.804606999972311E-3</v>
      </c>
      <c r="AL129" s="33">
        <f>IF(INDEX(lmic_raw[],MATCH($A129,lmic_raw[[setting]:[setting]],0), MATCH(AL$1, lmic_raw[#Headers],0))=0, INDEX(regions[], MATCH($D129, regions[[setting]:[setting]],0), MATCH(AL$1, regions[#Headers],0)),INDEX(lmic_raw[],MATCH($A129,lmic_raw[[setting]:[setting]],0), MATCH(AL$1, lmic_raw[#Headers],0)))</f>
        <v>7.1639425081212894E-3</v>
      </c>
      <c r="AM129" s="33">
        <f>IF(INDEX(lmic_raw[],MATCH($A129,lmic_raw[[setting]:[setting]],0), MATCH(AM$1, lmic_raw[#Headers],0))=0, INDEX(regions[], MATCH($D129, regions[[setting]:[setting]],0), MATCH(AM$1, regions[#Headers],0)),INDEX(lmic_raw[],MATCH($A129,lmic_raw[[setting]:[setting]],0), MATCH(AM$1, lmic_raw[#Headers],0)))</f>
        <v>8.8477551169223508E-3</v>
      </c>
      <c r="AN129" s="33">
        <f>IF(INDEX(lmic_raw[],MATCH($A129,lmic_raw[[setting]:[setting]],0), MATCH(AN$1, lmic_raw[#Headers],0))=0, INDEX(regions[], MATCH($D129, regions[[setting]:[setting]],0), MATCH(AN$1, regions[#Headers],0)),INDEX(lmic_raw[],MATCH($A129,lmic_raw[[setting]:[setting]],0), MATCH(AN$1, lmic_raw[#Headers],0)))</f>
        <v>1.1856959713313804E-2</v>
      </c>
      <c r="AO129" s="33">
        <f>IF(INDEX(lmic_raw[],MATCH($A129,lmic_raw[[setting]:[setting]],0), MATCH(AO$1, lmic_raw[#Headers],0))=0, INDEX(regions[], MATCH($D129, regions[[setting]:[setting]],0), MATCH(AO$1, regions[#Headers],0)),INDEX(lmic_raw[],MATCH($A129,lmic_raw[[setting]:[setting]],0), MATCH(AO$1, lmic_raw[#Headers],0)))</f>
        <v>1.5285188012263345E-2</v>
      </c>
      <c r="AP129" s="33">
        <f>IF(INDEX(lmic_raw[],MATCH($A129,lmic_raw[[setting]:[setting]],0), MATCH(AP$1, lmic_raw[#Headers],0))=0, INDEX(regions[], MATCH($D129, regions[[setting]:[setting]],0), MATCH(AP$1, regions[#Headers],0)),INDEX(lmic_raw[],MATCH($A129,lmic_raw[[setting]:[setting]],0), MATCH(AP$1, lmic_raw[#Headers],0)))</f>
        <v>2.1816656292400011E-2</v>
      </c>
      <c r="AQ129" s="33">
        <f>IF(INDEX(lmic_raw[],MATCH($A129,lmic_raw[[setting]:[setting]],0), MATCH(AQ$1, lmic_raw[#Headers],0))=0, INDEX(regions[], MATCH($D129, regions[[setting]:[setting]],0), MATCH(AQ$1, regions[#Headers],0)),INDEX(lmic_raw[],MATCH($A129,lmic_raw[[setting]:[setting]],0), MATCH(AQ$1, lmic_raw[#Headers],0)))</f>
        <v>3.2364169061510205E-2</v>
      </c>
      <c r="AR129" s="33">
        <f>IF(INDEX(lmic_raw[],MATCH($A129,lmic_raw[[setting]:[setting]],0), MATCH(AR$1, lmic_raw[#Headers],0))=0, INDEX(regions[], MATCH($D129, regions[[setting]:[setting]],0), MATCH(AR$1, regions[#Headers],0)),INDEX(lmic_raw[],MATCH($A129,lmic_raw[[setting]:[setting]],0), MATCH(AR$1, lmic_raw[#Headers],0)))</f>
        <v>4.8781801352619794E-2</v>
      </c>
      <c r="AS129" s="33">
        <f>IF(INDEX(lmic_raw[],MATCH($A129,lmic_raw[[setting]:[setting]],0), MATCH(AS$1, lmic_raw[#Headers],0))=0, INDEX(regions[], MATCH($D129, regions[[setting]:[setting]],0), MATCH(AS$1, regions[#Headers],0)),INDEX(lmic_raw[],MATCH($A129,lmic_raw[[setting]:[setting]],0), MATCH(AS$1, lmic_raw[#Headers],0)))</f>
        <v>7.2864429112246387E-2</v>
      </c>
      <c r="AT129" s="33">
        <f>IF(INDEX(lmic_raw[],MATCH($A129,lmic_raw[[setting]:[setting]],0), MATCH(AT$1, lmic_raw[#Headers],0))=0, INDEX(regions[], MATCH($D129, regions[[setting]:[setting]],0), MATCH(AT$1, regions[#Headers],0)),INDEX(lmic_raw[],MATCH($A129,lmic_raw[[setting]:[setting]],0), MATCH(AT$1, lmic_raw[#Headers],0)))</f>
        <v>0.10732075308252817</v>
      </c>
      <c r="AU129" s="33">
        <f>IF(INDEX(lmic_raw[],MATCH($A129,lmic_raw[[setting]:[setting]],0), MATCH(AU$1, lmic_raw[#Headers],0))=0, INDEX(regions[], MATCH($D129, regions[[setting]:[setting]],0), MATCH(AU$1, regions[#Headers],0)),INDEX(lmic_raw[],MATCH($A129,lmic_raw[[setting]:[setting]],0), MATCH(AU$1, lmic_raw[#Headers],0)))</f>
        <v>0.14682779299912954</v>
      </c>
      <c r="AV129" s="33">
        <f>IF(INDEX(lmic_raw[],MATCH($A129,lmic_raw[[setting]:[setting]],0), MATCH(AV$1, lmic_raw[#Headers],0))=0, INDEX(regions[], MATCH($D129, regions[[setting]:[setting]],0), MATCH(AV$1, regions[#Headers],0)),INDEX(lmic_raw[],MATCH($A129,lmic_raw[[setting]:[setting]],0), MATCH(AV$1, lmic_raw[#Headers],0)))</f>
        <v>0.17862055963278439</v>
      </c>
      <c r="AW129" s="33">
        <f>IF(INDEX(lmic_raw[],MATCH($A129,lmic_raw[[setting]:[setting]],0), MATCH(AW$1, lmic_raw[#Headers],0))=0, INDEX(regions[], MATCH($D129, regions[[setting]:[setting]],0), MATCH(AW$1, regions[#Headers],0)),INDEX(lmic_raw[],MATCH($A129,lmic_raw[[setting]:[setting]],0), MATCH(AW$1, lmic_raw[#Headers],0)))</f>
        <v>0.18895943002379714</v>
      </c>
      <c r="AX129" s="33">
        <f>IF(INDEX(lmic_raw[],MATCH($A129,lmic_raw[[setting]:[setting]],0), MATCH(AX$1, lmic_raw[#Headers],0))=0, INDEX(regions[], MATCH($D129, regions[[setting]:[setting]],0), MATCH(AX$1, regions[#Headers],0)),INDEX(lmic_raw[],MATCH($A129,lmic_raw[[setting]:[setting]],0), MATCH(AX$1, lmic_raw[#Headers],0)))</f>
        <v>62.756</v>
      </c>
      <c r="AY129" s="33" t="str">
        <f>IF(VLOOKUP($A129,lmic_raw[],11,FALSE)=0, "Yes", "No")</f>
        <v>Yes</v>
      </c>
    </row>
    <row r="130" spans="1:51" x14ac:dyDescent="0.25">
      <c r="A130" s="109" t="s">
        <v>316</v>
      </c>
      <c r="B130" s="101" t="s">
        <v>532</v>
      </c>
      <c r="C130" s="102">
        <v>804</v>
      </c>
      <c r="D130" s="82" t="s">
        <v>675</v>
      </c>
      <c r="E130" s="82" t="s">
        <v>306</v>
      </c>
      <c r="F130" s="82" t="s">
        <v>663</v>
      </c>
      <c r="G130" s="82" t="s">
        <v>678</v>
      </c>
      <c r="H130" s="33">
        <f>IF(INDEX(lmic_raw[],MATCH($A130,lmic_raw[[setting]:[setting]],0), MATCH(H$1, lmic_raw[#Headers],0))=0, INDEX(regions[], MATCH($D130, regions[[setting]:[setting]],0), MATCH(H$1, regions[#Headers],0)),INDEX(lmic_raw[],MATCH($A130,lmic_raw[[setting]:[setting]],0), MATCH(H$1, lmic_raw[#Headers],0)))</f>
        <v>43993643</v>
      </c>
      <c r="I130" s="33">
        <f>IF(INDEX(lmic_raw[],MATCH($A130,lmic_raw[[setting]:[setting]],0), MATCH(I$1, lmic_raw[#Headers],0))=0, INDEX(regions[], MATCH($D130, regions[[setting]:[setting]],0), MATCH(I$1, regions[#Headers],0)),INDEX(lmic_raw[],MATCH($A130,lmic_raw[[setting]:[setting]],0), MATCH(I$1, lmic_raw[#Headers],0)))</f>
        <v>422602.93465799995</v>
      </c>
      <c r="J130" s="33">
        <f>IF(INDEX(lmic_raw[],MATCH($A130,lmic_raw[[setting]:[setting]],0), MATCH(J$1, lmic_raw[#Headers],0))=0, INDEX(regions[], MATCH($D130, regions[[setting]:[setting]],0), MATCH(J$1, regions[#Headers],0)),INDEX(lmic_raw[],MATCH($A130,lmic_raw[[setting]:[setting]],0), MATCH(J$1, lmic_raw[#Headers],0)))</f>
        <v>0.9890000000000001</v>
      </c>
      <c r="K130" s="33">
        <f>IF(INDEX(lmic_raw[],MATCH($A130,lmic_raw[[setting]:[setting]],0), MATCH(K$1, lmic_raw[#Headers],0))=0, INDEX(regions[], MATCH($D130, regions[[setting]:[setting]],0), MATCH(K$1, regions[#Headers],0)),INDEX(lmic_raw[],MATCH($A130,lmic_raw[[setting]:[setting]],0), MATCH(K$1, lmic_raw[#Headers],0)))</f>
        <v>0.6</v>
      </c>
      <c r="L130" s="33">
        <f>IF(INDEX(lmic_raw[],MATCH($A130,lmic_raw[[setting]:[setting]],0), MATCH(L$1, lmic_raw[#Headers],0))=0, INDEX(regions[], MATCH($D130, regions[[setting]:[setting]],0), MATCH(L$1, regions[#Headers],0)),INDEX(lmic_raw[],MATCH($A130,lmic_raw[[setting]:[setting]],0), MATCH(L$1, lmic_raw[#Headers],0)))</f>
        <v>0.76</v>
      </c>
      <c r="M130" s="33">
        <f>IF(INDEX(lmic_raw[],MATCH($A130,lmic_raw[[setting]:[setting]],0), MATCH(M$1, lmic_raw[#Headers],0))=0, INDEX(regions[], MATCH($D130, regions[[setting]:[setting]],0), MATCH(M$1, regions[#Headers],0)),INDEX(lmic_raw[],MATCH($A130,lmic_raw[[setting]:[setting]],0), MATCH(M$1, lmic_raw[#Headers],0)))</f>
        <v>1.1399999999999999E-2</v>
      </c>
      <c r="N130" s="33">
        <f>IF(INDEX(lmic_raw[],MATCH($A130,lmic_raw[[setting]:[setting]],0), MATCH(N$1, lmic_raw[#Headers],0))=0, INDEX(regions[], MATCH($D130, regions[[setting]:[setting]],0), MATCH(N$1, regions[#Headers],0)),INDEX(lmic_raw[],MATCH($A130,lmic_raw[[setting]:[setting]],0), MATCH(N$1, lmic_raw[#Headers],0)))</f>
        <v>0.29332293798817349</v>
      </c>
      <c r="O130" s="33">
        <f>IF(INDEX(lmic_raw[],MATCH($A130,lmic_raw[[setting]:[setting]],0), MATCH(O$1, lmic_raw[#Headers],0))=0, INDEX(regions[], MATCH($D130, regions[[setting]:[setting]],0), MATCH(O$1, regions[#Headers],0)),INDEX(lmic_raw[],MATCH($A130,lmic_raw[[setting]:[setting]],0), MATCH(O$1, lmic_raw[#Headers],0)))</f>
        <v>0.8</v>
      </c>
      <c r="P130" s="33">
        <f>IF(INDEX(lmic_raw[],MATCH($A130,lmic_raw[[setting]:[setting]],0), MATCH(P$1, lmic_raw[#Headers],0))=0, INDEX(regions[], MATCH($D130, regions[[setting]:[setting]],0), MATCH(P$1, regions[#Headers],0)),INDEX(lmic_raw[],MATCH($A130,lmic_raw[[setting]:[setting]],0), MATCH(P$1, lmic_raw[#Headers],0)))</f>
        <v>0.17499999999999999</v>
      </c>
      <c r="Q130" s="33">
        <f>IF(INDEX(lmic_raw[],MATCH($A130,lmic_raw[[setting]:[setting]],0), MATCH(Q$1, lmic_raw[#Headers],0))=0, INDEX(regions[], MATCH($D130, regions[[setting]:[setting]],0), MATCH(Q$1, regions[#Headers],0)),INDEX(lmic_raw[],MATCH($A130,lmic_raw[[setting]:[setting]],0), MATCH(Q$1, lmic_raw[#Headers],0)))</f>
        <v>6.3139316781484744</v>
      </c>
      <c r="R130" s="33">
        <f>IF(INDEX(lmic_raw[],MATCH($A130,lmic_raw[[setting]:[setting]],0), MATCH(R$1, lmic_raw[#Headers],0))=0, INDEX(regions[], MATCH($D130, regions[[setting]:[setting]],0), MATCH(R$1, regions[#Headers],0)),INDEX(lmic_raw[],MATCH($A130,lmic_raw[[setting]:[setting]],0), MATCH(R$1, lmic_raw[#Headers],0)))</f>
        <v>44.537400000000005</v>
      </c>
      <c r="S130" s="33">
        <f>IF(INDEX(lmic_raw[],MATCH($A130,lmic_raw[[setting]:[setting]],0), MATCH(S$1, lmic_raw[#Headers],0))=0, INDEX(regions[], MATCH($D130, regions[[setting]:[setting]],0), MATCH(S$1, regions[#Headers],0)),INDEX(lmic_raw[],MATCH($A130,lmic_raw[[setting]:[setting]],0), MATCH(S$1, lmic_raw[#Headers],0)))</f>
        <v>92.27940000000001</v>
      </c>
      <c r="T130" s="33">
        <f>IF(INDEX(lmic_raw[],MATCH($A130,lmic_raw[[setting]:[setting]],0), MATCH(T$1, lmic_raw[#Headers],0))=0, INDEX(regions[], MATCH($D130, regions[[setting]:[setting]],0), MATCH(T$1, regions[#Headers],0)),INDEX(lmic_raw[],MATCH($A130,lmic_raw[[setting]:[setting]],0), MATCH(T$1, lmic_raw[#Headers],0)))</f>
        <v>92.27940000000001</v>
      </c>
      <c r="U130" s="33">
        <f>IF(INDEX(lmic_raw[],MATCH($A130,lmic_raw[[setting]:[setting]],0), MATCH(U$1, lmic_raw[#Headers],0))=0, INDEX(regions[], MATCH($D130, regions[[setting]:[setting]],0), MATCH(U$1, regions[#Headers],0)),INDEX(lmic_raw[],MATCH($A130,lmic_raw[[setting]:[setting]],0), MATCH(U$1, lmic_raw[#Headers],0)))</f>
        <v>92.27940000000001</v>
      </c>
      <c r="V130" s="33">
        <f>IF(INDEX(lmic_raw[],MATCH($A130,lmic_raw[[setting]:[setting]],0), MATCH(V$1, lmic_raw[#Headers],0))=0, INDEX(regions[], MATCH($D130, regions[[setting]:[setting]],0), MATCH(V$1, regions[#Headers],0)),INDEX(lmic_raw[],MATCH($A130,lmic_raw[[setting]:[setting]],0), MATCH(V$1, lmic_raw[#Headers],0)))</f>
        <v>1.2622957525439826</v>
      </c>
      <c r="W130" s="33">
        <f>IF(INDEX(lmic_raw[],MATCH($A130,lmic_raw[[setting]:[setting]],0), MATCH(W$1, lmic_raw[#Headers],0))=0, INDEX(regions[], MATCH($D130, regions[[setting]:[setting]],0), MATCH(W$1, regions[#Headers],0)),INDEX(lmic_raw[],MATCH($A130,lmic_raw[[setting]:[setting]],0), MATCH(W$1, lmic_raw[#Headers],0)))</f>
        <v>5.3322957525439829</v>
      </c>
      <c r="X130" s="33">
        <f>IF(INDEX(lmic_raw[],MATCH($A130,lmic_raw[[setting]:[setting]],0), MATCH(X$1, lmic_raw[#Headers],0))=0, INDEX(regions[], MATCH($D130, regions[[setting]:[setting]],0), MATCH(X$1, regions[#Headers],0)),INDEX(lmic_raw[],MATCH($A130,lmic_raw[[setting]:[setting]],0), MATCH(X$1, lmic_raw[#Headers],0)))</f>
        <v>0.8226212615127152</v>
      </c>
      <c r="Y130" s="33">
        <f>IF(INDEX(lmic_raw[],MATCH($A130,lmic_raw[[setting]:[setting]],0), MATCH(Y$1, lmic_raw[#Headers],0))=0, INDEX(regions[], MATCH($D130, regions[[setting]:[setting]],0), MATCH(Y$1, regions[#Headers],0)),INDEX(lmic_raw[],MATCH($A130,lmic_raw[[setting]:[setting]],0), MATCH(Y$1, lmic_raw[#Headers],0)))</f>
        <v>4.8926212615127156</v>
      </c>
      <c r="Z130" s="33">
        <f>IF(INDEX(lmic_raw[],MATCH($A130,lmic_raw[[setting]:[setting]],0), MATCH(Z$1, lmic_raw[#Headers],0))=0, INDEX(regions[], MATCH($D130, regions[[setting]:[setting]],0), MATCH(Z$1, regions[#Headers],0)),INDEX(lmic_raw[],MATCH($A130,lmic_raw[[setting]:[setting]],0), MATCH(Z$1, lmic_raw[#Headers],0)))</f>
        <v>4.8836994955457191</v>
      </c>
      <c r="AA130" s="33">
        <f>IF(INDEX(lmic_raw[],MATCH($A130,lmic_raw[[setting]:[setting]],0), MATCH(AA$1, lmic_raw[#Headers],0))=0, INDEX(regions[], MATCH($D130, regions[[setting]:[setting]],0), MATCH(AA$1, regions[#Headers],0)),INDEX(lmic_raw[],MATCH($A130,lmic_raw[[setting]:[setting]],0), MATCH(AA$1, lmic_raw[#Headers],0)))</f>
        <v>1.5090091100110912</v>
      </c>
      <c r="AB130" s="33">
        <f>IF(INDEX(lmic_raw[],MATCH($A130,lmic_raw[[setting]:[setting]],0), MATCH(AB$1, lmic_raw[#Headers],0))=0, INDEX(regions[], MATCH($D130, regions[[setting]:[setting]],0), MATCH(AB$1, regions[#Headers],0)),INDEX(lmic_raw[],MATCH($A130,lmic_raw[[setting]:[setting]],0), MATCH(AB$1, lmic_raw[#Headers],0)))</f>
        <v>5.579009110011091</v>
      </c>
      <c r="AC130" s="33">
        <f>IF(INDEX(lmic_raw[],MATCH($A130,lmic_raw[[setting]:[setting]],0), MATCH(AC$1, lmic_raw[#Headers],0))=0, INDEX(regions[], MATCH($D130, regions[[setting]:[setting]],0), MATCH(AC$1, regions[#Headers],0)),INDEX(lmic_raw[],MATCH($A130,lmic_raw[[setting]:[setting]],0), MATCH(AC$1, lmic_raw[#Headers],0)))</f>
        <v>7.1988199999999782E-3</v>
      </c>
      <c r="AD130" s="33">
        <f>IF(INDEX(lmic_raw[],MATCH($A130,lmic_raw[[setting]:[setting]],0), MATCH(AD$1, lmic_raw[#Headers],0))=0, INDEX(regions[], MATCH($D130, regions[[setting]:[setting]],0), MATCH(AD$1, regions[#Headers],0)),INDEX(lmic_raw[],MATCH($A130,lmic_raw[[setting]:[setting]],0), MATCH(AD$1, lmic_raw[#Headers],0)))</f>
        <v>3.4605619626682644E-4</v>
      </c>
      <c r="AE130" s="33">
        <f>IF(INDEX(lmic_raw[],MATCH($A130,lmic_raw[[setting]:[setting]],0), MATCH(AE$1, lmic_raw[#Headers],0))=0, INDEX(regions[], MATCH($D130, regions[[setting]:[setting]],0), MATCH(AE$1, regions[#Headers],0)),INDEX(lmic_raw[],MATCH($A130,lmic_raw[[setting]:[setting]],0), MATCH(AE$1, lmic_raw[#Headers],0)))</f>
        <v>2.0387382662555634E-4</v>
      </c>
      <c r="AF130" s="33">
        <f>IF(INDEX(lmic_raw[],MATCH($A130,lmic_raw[[setting]:[setting]],0), MATCH(AF$1, lmic_raw[#Headers],0))=0, INDEX(regions[], MATCH($D130, regions[[setting]:[setting]],0), MATCH(AF$1, regions[#Headers],0)),INDEX(lmic_raw[],MATCH($A130,lmic_raw[[setting]:[setting]],0), MATCH(AF$1, lmic_raw[#Headers],0)))</f>
        <v>2.4994944297614867E-4</v>
      </c>
      <c r="AG130" s="33">
        <f>IF(INDEX(lmic_raw[],MATCH($A130,lmic_raw[[setting]:[setting]],0), MATCH(AG$1, lmic_raw[#Headers],0))=0, INDEX(regions[], MATCH($D130, regions[[setting]:[setting]],0), MATCH(AG$1, regions[#Headers],0)),INDEX(lmic_raw[],MATCH($A130,lmic_raw[[setting]:[setting]],0), MATCH(AG$1, lmic_raw[#Headers],0)))</f>
        <v>4.9423232522274234E-4</v>
      </c>
      <c r="AH130" s="33">
        <f>IF(INDEX(lmic_raw[],MATCH($A130,lmic_raw[[setting]:[setting]],0), MATCH(AH$1, lmic_raw[#Headers],0))=0, INDEX(regions[], MATCH($D130, regions[[setting]:[setting]],0), MATCH(AH$1, regions[#Headers],0)),INDEX(lmic_raw[],MATCH($A130,lmic_raw[[setting]:[setting]],0), MATCH(AH$1, lmic_raw[#Headers],0)))</f>
        <v>9.1381254585202055E-4</v>
      </c>
      <c r="AI130" s="33">
        <f>IF(INDEX(lmic_raw[],MATCH($A130,lmic_raw[[setting]:[setting]],0), MATCH(AI$1, lmic_raw[#Headers],0))=0, INDEX(regions[], MATCH($D130, regions[[setting]:[setting]],0), MATCH(AI$1, regions[#Headers],0)),INDEX(lmic_raw[],MATCH($A130,lmic_raw[[setting]:[setting]],0), MATCH(AI$1, lmic_raw[#Headers],0)))</f>
        <v>1.483689618571862E-3</v>
      </c>
      <c r="AJ130" s="33">
        <f>IF(INDEX(lmic_raw[],MATCH($A130,lmic_raw[[setting]:[setting]],0), MATCH(AJ$1, lmic_raw[#Headers],0))=0, INDEX(regions[], MATCH($D130, regions[[setting]:[setting]],0), MATCH(AJ$1, regions[#Headers],0)),INDEX(lmic_raw[],MATCH($A130,lmic_raw[[setting]:[setting]],0), MATCH(AJ$1, lmic_raw[#Headers],0)))</f>
        <v>2.5375493725730974E-3</v>
      </c>
      <c r="AK130" s="33">
        <f>IF(INDEX(lmic_raw[],MATCH($A130,lmic_raw[[setting]:[setting]],0), MATCH(AK$1, lmic_raw[#Headers],0))=0, INDEX(regions[], MATCH($D130, regions[[setting]:[setting]],0), MATCH(AK$1, regions[#Headers],0)),INDEX(lmic_raw[],MATCH($A130,lmic_raw[[setting]:[setting]],0), MATCH(AK$1, lmic_raw[#Headers],0)))</f>
        <v>3.5228549990708184E-3</v>
      </c>
      <c r="AL130" s="33">
        <f>IF(INDEX(lmic_raw[],MATCH($A130,lmic_raw[[setting]:[setting]],0), MATCH(AL$1, lmic_raw[#Headers],0))=0, INDEX(regions[], MATCH($D130, regions[[setting]:[setting]],0), MATCH(AL$1, regions[#Headers],0)),INDEX(lmic_raw[],MATCH($A130,lmic_raw[[setting]:[setting]],0), MATCH(AL$1, lmic_raw[#Headers],0)))</f>
        <v>4.5385057197526437E-3</v>
      </c>
      <c r="AM130" s="33">
        <f>IF(INDEX(lmic_raw[],MATCH($A130,lmic_raw[[setting]:[setting]],0), MATCH(AM$1, lmic_raw[#Headers],0))=0, INDEX(regions[], MATCH($D130, regions[[setting]:[setting]],0), MATCH(AM$1, regions[#Headers],0)),INDEX(lmic_raw[],MATCH($A130,lmic_raw[[setting]:[setting]],0), MATCH(AM$1, lmic_raw[#Headers],0)))</f>
        <v>6.1813399154259591E-3</v>
      </c>
      <c r="AN130" s="33">
        <f>IF(INDEX(lmic_raw[],MATCH($A130,lmic_raw[[setting]:[setting]],0), MATCH(AN$1, lmic_raw[#Headers],0))=0, INDEX(regions[], MATCH($D130, regions[[setting]:[setting]],0), MATCH(AN$1, regions[#Headers],0)),INDEX(lmic_raw[],MATCH($A130,lmic_raw[[setting]:[setting]],0), MATCH(AN$1, lmic_raw[#Headers],0)))</f>
        <v>8.7357550999179606E-3</v>
      </c>
      <c r="AO130" s="33">
        <f>IF(INDEX(lmic_raw[],MATCH($A130,lmic_raw[[setting]:[setting]],0), MATCH(AO$1, lmic_raw[#Headers],0))=0, INDEX(regions[], MATCH($D130, regions[[setting]:[setting]],0), MATCH(AO$1, regions[#Headers],0)),INDEX(lmic_raw[],MATCH($A130,lmic_raw[[setting]:[setting]],0), MATCH(AO$1, lmic_raw[#Headers],0)))</f>
        <v>1.2623879431564428E-2</v>
      </c>
      <c r="AP130" s="33">
        <f>IF(INDEX(lmic_raw[],MATCH($A130,lmic_raw[[setting]:[setting]],0), MATCH(AP$1, lmic_raw[#Headers],0))=0, INDEX(regions[], MATCH($D130, regions[[setting]:[setting]],0), MATCH(AP$1, regions[#Headers],0)),INDEX(lmic_raw[],MATCH($A130,lmic_raw[[setting]:[setting]],0), MATCH(AP$1, lmic_raw[#Headers],0)))</f>
        <v>1.8374976740519189E-2</v>
      </c>
      <c r="AQ130" s="33">
        <f>IF(INDEX(lmic_raw[],MATCH($A130,lmic_raw[[setting]:[setting]],0), MATCH(AQ$1, lmic_raw[#Headers],0))=0, INDEX(regions[], MATCH($D130, regions[[setting]:[setting]],0), MATCH(AQ$1, regions[#Headers],0)),INDEX(lmic_raw[],MATCH($A130,lmic_raw[[setting]:[setting]],0), MATCH(AQ$1, lmic_raw[#Headers],0)))</f>
        <v>2.5077379297346596E-2</v>
      </c>
      <c r="AR130" s="33">
        <f>IF(INDEX(lmic_raw[],MATCH($A130,lmic_raw[[setting]:[setting]],0), MATCH(AR$1, lmic_raw[#Headers],0))=0, INDEX(regions[], MATCH($D130, regions[[setting]:[setting]],0), MATCH(AR$1, regions[#Headers],0)),INDEX(lmic_raw[],MATCH($A130,lmic_raw[[setting]:[setting]],0), MATCH(AR$1, lmic_raw[#Headers],0)))</f>
        <v>3.8590807488594267E-2</v>
      </c>
      <c r="AS130" s="33">
        <f>IF(INDEX(lmic_raw[],MATCH($A130,lmic_raw[[setting]:[setting]],0), MATCH(AS$1, lmic_raw[#Headers],0))=0, INDEX(regions[], MATCH($D130, regions[[setting]:[setting]],0), MATCH(AS$1, regions[#Headers],0)),INDEX(lmic_raw[],MATCH($A130,lmic_raw[[setting]:[setting]],0), MATCH(AS$1, lmic_raw[#Headers],0)))</f>
        <v>5.8432410142430218E-2</v>
      </c>
      <c r="AT130" s="33">
        <f>IF(INDEX(lmic_raw[],MATCH($A130,lmic_raw[[setting]:[setting]],0), MATCH(AT$1, lmic_raw[#Headers],0))=0, INDEX(regions[], MATCH($D130, regions[[setting]:[setting]],0), MATCH(AT$1, regions[#Headers],0)),INDEX(lmic_raw[],MATCH($A130,lmic_raw[[setting]:[setting]],0), MATCH(AT$1, lmic_raw[#Headers],0)))</f>
        <v>8.5062359967624401E-2</v>
      </c>
      <c r="AU130" s="33">
        <f>IF(INDEX(lmic_raw[],MATCH($A130,lmic_raw[[setting]:[setting]],0), MATCH(AU$1, lmic_raw[#Headers],0))=0, INDEX(regions[], MATCH($D130, regions[[setting]:[setting]],0), MATCH(AU$1, regions[#Headers],0)),INDEX(lmic_raw[],MATCH($A130,lmic_raw[[setting]:[setting]],0), MATCH(AU$1, lmic_raw[#Headers],0)))</f>
        <v>0.1170299537619949</v>
      </c>
      <c r="AV130" s="33">
        <f>IF(INDEX(lmic_raw[],MATCH($A130,lmic_raw[[setting]:[setting]],0), MATCH(AV$1, lmic_raw[#Headers],0))=0, INDEX(regions[], MATCH($D130, regions[[setting]:[setting]],0), MATCH(AV$1, regions[#Headers],0)),INDEX(lmic_raw[],MATCH($A130,lmic_raw[[setting]:[setting]],0), MATCH(AV$1, lmic_raw[#Headers],0)))</f>
        <v>0.14961991461844867</v>
      </c>
      <c r="AW130" s="33">
        <f>IF(INDEX(lmic_raw[],MATCH($A130,lmic_raw[[setting]:[setting]],0), MATCH(AW$1, lmic_raw[#Headers],0))=0, INDEX(regions[], MATCH($D130, regions[[setting]:[setting]],0), MATCH(AW$1, regions[#Headers],0)),INDEX(lmic_raw[],MATCH($A130,lmic_raw[[setting]:[setting]],0), MATCH(AW$1, lmic_raw[#Headers],0)))</f>
        <v>0.17362844380260056</v>
      </c>
      <c r="AX130" s="33">
        <f>IF(INDEX(lmic_raw[],MATCH($A130,lmic_raw[[setting]:[setting]],0), MATCH(AX$1, lmic_raw[#Headers],0))=0, INDEX(regions[], MATCH($D130, regions[[setting]:[setting]],0), MATCH(AX$1, regions[#Headers],0)),INDEX(lmic_raw[],MATCH($A130,lmic_raw[[setting]:[setting]],0), MATCH(AX$1, lmic_raw[#Headers],0)))</f>
        <v>71.819000000000003</v>
      </c>
      <c r="AY130" s="33" t="str">
        <f>IF(VLOOKUP($A130,lmic_raw[],11,FALSE)=0, "Yes", "No")</f>
        <v>No</v>
      </c>
    </row>
    <row r="131" spans="1:51" x14ac:dyDescent="0.25">
      <c r="A131" s="110" t="s">
        <v>189</v>
      </c>
      <c r="B131" s="104" t="s">
        <v>536</v>
      </c>
      <c r="C131" s="105">
        <v>860</v>
      </c>
      <c r="D131" s="84" t="s">
        <v>675</v>
      </c>
      <c r="E131" s="84" t="s">
        <v>184</v>
      </c>
      <c r="F131" s="84" t="s">
        <v>663</v>
      </c>
      <c r="G131" s="84" t="s">
        <v>678</v>
      </c>
      <c r="H131" s="33">
        <f>IF(INDEX(lmic_raw[],MATCH($A131,lmic_raw[[setting]:[setting]],0), MATCH(H$1, lmic_raw[#Headers],0))=0, INDEX(regions[], MATCH($D131, regions[[setting]:[setting]],0), MATCH(H$1, regions[#Headers],0)),INDEX(lmic_raw[],MATCH($A131,lmic_raw[[setting]:[setting]],0), MATCH(H$1, lmic_raw[#Headers],0)))</f>
        <v>32981714.999999996</v>
      </c>
      <c r="I131" s="33">
        <f>IF(INDEX(lmic_raw[],MATCH($A131,lmic_raw[[setting]:[setting]],0), MATCH(I$1, lmic_raw[#Headers],0))=0, INDEX(regions[], MATCH($D131, regions[[setting]:[setting]],0), MATCH(I$1, regions[#Headers],0)),INDEX(lmic_raw[],MATCH($A131,lmic_raw[[setting]:[setting]],0), MATCH(I$1, lmic_raw[#Headers],0)))</f>
        <v>719694.00301500002</v>
      </c>
      <c r="J131" s="33">
        <f>IF(INDEX(lmic_raw[],MATCH($A131,lmic_raw[[setting]:[setting]],0), MATCH(J$1, lmic_raw[#Headers],0))=0, INDEX(regions[], MATCH($D131, regions[[setting]:[setting]],0), MATCH(J$1, regions[#Headers],0)),INDEX(lmic_raw[],MATCH($A131,lmic_raw[[setting]:[setting]],0), MATCH(J$1, lmic_raw[#Headers],0)))</f>
        <v>0.996</v>
      </c>
      <c r="K131" s="33">
        <f>IF(INDEX(lmic_raw[],MATCH($A131,lmic_raw[[setting]:[setting]],0), MATCH(K$1, lmic_raw[#Headers],0))=0, INDEX(regions[], MATCH($D131, regions[[setting]:[setting]],0), MATCH(K$1, regions[#Headers],0)),INDEX(lmic_raw[],MATCH($A131,lmic_raw[[setting]:[setting]],0), MATCH(K$1, lmic_raw[#Headers],0)))</f>
        <v>0.99</v>
      </c>
      <c r="L131" s="33">
        <f>IF(INDEX(lmic_raw[],MATCH($A131,lmic_raw[[setting]:[setting]],0), MATCH(L$1, lmic_raw[#Headers],0))=0, INDEX(regions[], MATCH($D131, regions[[setting]:[setting]],0), MATCH(L$1, regions[#Headers],0)),INDEX(lmic_raw[],MATCH($A131,lmic_raw[[setting]:[setting]],0), MATCH(L$1, lmic_raw[#Headers],0)))</f>
        <v>0.96</v>
      </c>
      <c r="M131" s="33">
        <f>IF(INDEX(lmic_raw[],MATCH($A131,lmic_raw[[setting]:[setting]],0), MATCH(M$1, lmic_raw[#Headers],0))=0, INDEX(regions[], MATCH($D131, regions[[setting]:[setting]],0), MATCH(M$1, regions[#Headers],0)),INDEX(lmic_raw[],MATCH($A131,lmic_raw[[setting]:[setting]],0), MATCH(M$1, lmic_raw[#Headers],0)))</f>
        <v>4.9100000000000005E-2</v>
      </c>
      <c r="N131" s="33">
        <f>IF(INDEX(lmic_raw[],MATCH($A131,lmic_raw[[setting]:[setting]],0), MATCH(N$1, lmic_raw[#Headers],0))=0, INDEX(regions[], MATCH($D131, regions[[setting]:[setting]],0), MATCH(N$1, regions[#Headers],0)),INDEX(lmic_raw[],MATCH($A131,lmic_raw[[setting]:[setting]],0), MATCH(N$1, lmic_raw[#Headers],0)))</f>
        <v>0.30593511955523012</v>
      </c>
      <c r="O131" s="33">
        <f>IF(INDEX(lmic_raw[],MATCH($A131,lmic_raw[[setting]:[setting]],0), MATCH(O$1, lmic_raw[#Headers],0))=0, INDEX(regions[], MATCH($D131, regions[[setting]:[setting]],0), MATCH(O$1, regions[#Headers],0)),INDEX(lmic_raw[],MATCH($A131,lmic_raw[[setting]:[setting]],0), MATCH(O$1, lmic_raw[#Headers],0)))</f>
        <v>0.8</v>
      </c>
      <c r="P131" s="33">
        <f>IF(INDEX(lmic_raw[],MATCH($A131,lmic_raw[[setting]:[setting]],0), MATCH(P$1, lmic_raw[#Headers],0))=0, INDEX(regions[], MATCH($D131, regions[[setting]:[setting]],0), MATCH(P$1, regions[#Headers],0)),INDEX(lmic_raw[],MATCH($A131,lmic_raw[[setting]:[setting]],0), MATCH(P$1, lmic_raw[#Headers],0)))</f>
        <v>0.17499999999999999</v>
      </c>
      <c r="Q131" s="33">
        <f>IF(INDEX(lmic_raw[],MATCH($A131,lmic_raw[[setting]:[setting]],0), MATCH(Q$1, lmic_raw[#Headers],0))=0, INDEX(regions[], MATCH($D131, regions[[setting]:[setting]],0), MATCH(Q$1, regions[#Headers],0)),INDEX(lmic_raw[],MATCH($A131,lmic_raw[[setting]:[setting]],0), MATCH(Q$1, lmic_raw[#Headers],0)))</f>
        <v>3.8451692453427588</v>
      </c>
      <c r="R131" s="33">
        <f>IF(INDEX(lmic_raw[],MATCH($A131,lmic_raw[[setting]:[setting]],0), MATCH(R$1, lmic_raw[#Headers],0))=0, INDEX(regions[], MATCH($D131, regions[[setting]:[setting]],0), MATCH(R$1, regions[#Headers],0)),INDEX(lmic_raw[],MATCH($A131,lmic_raw[[setting]:[setting]],0), MATCH(R$1, lmic_raw[#Headers],0)))</f>
        <v>44.537400000000005</v>
      </c>
      <c r="S131" s="33">
        <f>IF(INDEX(lmic_raw[],MATCH($A131,lmic_raw[[setting]:[setting]],0), MATCH(S$1, lmic_raw[#Headers],0))=0, INDEX(regions[], MATCH($D131, regions[[setting]:[setting]],0), MATCH(S$1, regions[#Headers],0)),INDEX(lmic_raw[],MATCH($A131,lmic_raw[[setting]:[setting]],0), MATCH(S$1, lmic_raw[#Headers],0)))</f>
        <v>92.27940000000001</v>
      </c>
      <c r="T131" s="33">
        <f>IF(INDEX(lmic_raw[],MATCH($A131,lmic_raw[[setting]:[setting]],0), MATCH(T$1, lmic_raw[#Headers],0))=0, INDEX(regions[], MATCH($D131, regions[[setting]:[setting]],0), MATCH(T$1, regions[#Headers],0)),INDEX(lmic_raw[],MATCH($A131,lmic_raw[[setting]:[setting]],0), MATCH(T$1, lmic_raw[#Headers],0)))</f>
        <v>92.27940000000001</v>
      </c>
      <c r="U131" s="33">
        <f>IF(INDEX(lmic_raw[],MATCH($A131,lmic_raw[[setting]:[setting]],0), MATCH(U$1, lmic_raw[#Headers],0))=0, INDEX(regions[], MATCH($D131, regions[[setting]:[setting]],0), MATCH(U$1, regions[#Headers],0)),INDEX(lmic_raw[],MATCH($A131,lmic_raw[[setting]:[setting]],0), MATCH(U$1, lmic_raw[#Headers],0)))</f>
        <v>92.27940000000001</v>
      </c>
      <c r="V131" s="33">
        <f>IF(INDEX(lmic_raw[],MATCH($A131,lmic_raw[[setting]:[setting]],0), MATCH(V$1, lmic_raw[#Headers],0))=0, INDEX(regions[], MATCH($D131, regions[[setting]:[setting]],0), MATCH(V$1, regions[#Headers],0)),INDEX(lmic_raw[],MATCH($A131,lmic_raw[[setting]:[setting]],0), MATCH(V$1, lmic_raw[#Headers],0)))</f>
        <v>3.2589097128978812</v>
      </c>
      <c r="W131" s="33">
        <f>IF(INDEX(lmic_raw[],MATCH($A131,lmic_raw[[setting]:[setting]],0), MATCH(W$1, lmic_raw[#Headers],0))=0, INDEX(regions[], MATCH($D131, regions[[setting]:[setting]],0), MATCH(W$1, regions[#Headers],0)),INDEX(lmic_raw[],MATCH($A131,lmic_raw[[setting]:[setting]],0), MATCH(W$1, lmic_raw[#Headers],0)))</f>
        <v>7.3289097128978815</v>
      </c>
      <c r="X131" s="33">
        <f>IF(INDEX(lmic_raw[],MATCH($A131,lmic_raw[[setting]:[setting]],0), MATCH(X$1, lmic_raw[#Headers],0))=0, INDEX(regions[], MATCH($D131, regions[[setting]:[setting]],0), MATCH(X$1, regions[#Headers],0)),INDEX(lmic_raw[],MATCH($A131,lmic_raw[[setting]:[setting]],0), MATCH(X$1, lmic_raw[#Headers],0)))</f>
        <v>2.8310129959997297</v>
      </c>
      <c r="Y131" s="33">
        <f>IF(INDEX(lmic_raw[],MATCH($A131,lmic_raw[[setting]:[setting]],0), MATCH(Y$1, lmic_raw[#Headers],0))=0, INDEX(regions[], MATCH($D131, regions[[setting]:[setting]],0), MATCH(Y$1, regions[#Headers],0)),INDEX(lmic_raw[],MATCH($A131,lmic_raw[[setting]:[setting]],0), MATCH(Y$1, lmic_raw[#Headers],0)))</f>
        <v>6.9010129959997304</v>
      </c>
      <c r="Z131" s="33">
        <f>IF(INDEX(lmic_raw[],MATCH($A131,lmic_raw[[setting]:[setting]],0), MATCH(Z$1, lmic_raw[#Headers],0))=0, INDEX(regions[], MATCH($D131, regions[[setting]:[setting]],0), MATCH(Z$1, regions[#Headers],0)),INDEX(lmic_raw[],MATCH($A131,lmic_raw[[setting]:[setting]],0), MATCH(Z$1, lmic_raw[#Headers],0)))</f>
        <v>6.8970551083783498</v>
      </c>
      <c r="AA131" s="33">
        <f>IF(INDEX(lmic_raw[],MATCH($A131,lmic_raw[[setting]:[setting]],0), MATCH(AA$1, lmic_raw[#Headers],0))=0, INDEX(regions[], MATCH($D131, regions[[setting]:[setting]],0), MATCH(AA$1, regions[#Headers],0)),INDEX(lmic_raw[],MATCH($A131,lmic_raw[[setting]:[setting]],0), MATCH(AA$1, lmic_raw[#Headers],0)))</f>
        <v>3.5013775936425877</v>
      </c>
      <c r="AB131" s="33">
        <f>IF(INDEX(lmic_raw[],MATCH($A131,lmic_raw[[setting]:[setting]],0), MATCH(AB$1, lmic_raw[#Headers],0))=0, INDEX(regions[], MATCH($D131, regions[[setting]:[setting]],0), MATCH(AB$1, regions[#Headers],0)),INDEX(lmic_raw[],MATCH($A131,lmic_raw[[setting]:[setting]],0), MATCH(AB$1, lmic_raw[#Headers],0)))</f>
        <v>7.5713775936425876</v>
      </c>
      <c r="AC131" s="33">
        <f>IF(INDEX(lmic_raw[],MATCH($A131,lmic_raw[[setting]:[setting]],0), MATCH(AC$1, lmic_raw[#Headers],0))=0, INDEX(regions[], MATCH($D131, regions[[setting]:[setting]],0), MATCH(AC$1, regions[#Headers],0)),INDEX(lmic_raw[],MATCH($A131,lmic_raw[[setting]:[setting]],0), MATCH(AC$1, lmic_raw[#Headers],0)))</f>
        <v>2.0835470000000061E-2</v>
      </c>
      <c r="AD131" s="33">
        <f>IF(INDEX(lmic_raw[],MATCH($A131,lmic_raw[[setting]:[setting]],0), MATCH(AD$1, lmic_raw[#Headers],0))=0, INDEX(regions[], MATCH($D131, regions[[setting]:[setting]],0), MATCH(AD$1, regions[#Headers],0)),INDEX(lmic_raw[],MATCH($A131,lmic_raw[[setting]:[setting]],0), MATCH(AD$1, lmic_raw[#Headers],0)))</f>
        <v>1.2221924542139809E-3</v>
      </c>
      <c r="AE131" s="33">
        <f>IF(INDEX(lmic_raw[],MATCH($A131,lmic_raw[[setting]:[setting]],0), MATCH(AE$1, lmic_raw[#Headers],0))=0, INDEX(regions[], MATCH($D131, regions[[setting]:[setting]],0), MATCH(AE$1, regions[#Headers],0)),INDEX(lmic_raw[],MATCH($A131,lmic_raw[[setting]:[setting]],0), MATCH(AE$1, lmic_raw[#Headers],0)))</f>
        <v>2.8759897009950872E-4</v>
      </c>
      <c r="AF131" s="33">
        <f>IF(INDEX(lmic_raw[],MATCH($A131,lmic_raw[[setting]:[setting]],0), MATCH(AF$1, lmic_raw[#Headers],0))=0, INDEX(regions[], MATCH($D131, regions[[setting]:[setting]],0), MATCH(AF$1, regions[#Headers],0)),INDEX(lmic_raw[],MATCH($A131,lmic_raw[[setting]:[setting]],0), MATCH(AF$1, lmic_raw[#Headers],0)))</f>
        <v>3.0645962075525354E-4</v>
      </c>
      <c r="AG131" s="33">
        <f>IF(INDEX(lmic_raw[],MATCH($A131,lmic_raw[[setting]:[setting]],0), MATCH(AG$1, lmic_raw[#Headers],0))=0, INDEX(regions[], MATCH($D131, regions[[setting]:[setting]],0), MATCH(AG$1, regions[#Headers],0)),INDEX(lmic_raw[],MATCH($A131,lmic_raw[[setting]:[setting]],0), MATCH(AG$1, lmic_raw[#Headers],0)))</f>
        <v>5.0447480651230712E-4</v>
      </c>
      <c r="AH131" s="33">
        <f>IF(INDEX(lmic_raw[],MATCH($A131,lmic_raw[[setting]:[setting]],0), MATCH(AH$1, lmic_raw[#Headers],0))=0, INDEX(regions[], MATCH($D131, regions[[setting]:[setting]],0), MATCH(AH$1, regions[#Headers],0)),INDEX(lmic_raw[],MATCH($A131,lmic_raw[[setting]:[setting]],0), MATCH(AH$1, lmic_raw[#Headers],0)))</f>
        <v>7.2446909122894415E-4</v>
      </c>
      <c r="AI131" s="33">
        <f>IF(INDEX(lmic_raw[],MATCH($A131,lmic_raw[[setting]:[setting]],0), MATCH(AI$1, lmic_raw[#Headers],0))=0, INDEX(regions[], MATCH($D131, regions[[setting]:[setting]],0), MATCH(AI$1, regions[#Headers],0)),INDEX(lmic_raw[],MATCH($A131,lmic_raw[[setting]:[setting]],0), MATCH(AI$1, lmic_raw[#Headers],0)))</f>
        <v>9.7348908487552329E-4</v>
      </c>
      <c r="AJ131" s="33">
        <f>IF(INDEX(lmic_raw[],MATCH($A131,lmic_raw[[setting]:[setting]],0), MATCH(AJ$1, lmic_raw[#Headers],0))=0, INDEX(regions[], MATCH($D131, regions[[setting]:[setting]],0), MATCH(AJ$1, regions[#Headers],0)),INDEX(lmic_raw[],MATCH($A131,lmic_raw[[setting]:[setting]],0), MATCH(AJ$1, lmic_raw[#Headers],0)))</f>
        <v>1.319865314538814E-3</v>
      </c>
      <c r="AK131" s="33">
        <f>IF(INDEX(lmic_raw[],MATCH($A131,lmic_raw[[setting]:[setting]],0), MATCH(AK$1, lmic_raw[#Headers],0))=0, INDEX(regions[], MATCH($D131, regions[[setting]:[setting]],0), MATCH(AK$1, regions[#Headers],0)),INDEX(lmic_raw[],MATCH($A131,lmic_raw[[setting]:[setting]],0), MATCH(AK$1, lmic_raw[#Headers],0)))</f>
        <v>1.8403965508041662E-3</v>
      </c>
      <c r="AL131" s="33">
        <f>IF(INDEX(lmic_raw[],MATCH($A131,lmic_raw[[setting]:[setting]],0), MATCH(AL$1, lmic_raw[#Headers],0))=0, INDEX(regions[], MATCH($D131, regions[[setting]:[setting]],0), MATCH(AL$1, regions[#Headers],0)),INDEX(lmic_raw[],MATCH($A131,lmic_raw[[setting]:[setting]],0), MATCH(AL$1, lmic_raw[#Headers],0)))</f>
        <v>2.5695807395264944E-3</v>
      </c>
      <c r="AM131" s="33">
        <f>IF(INDEX(lmic_raw[],MATCH($A131,lmic_raw[[setting]:[setting]],0), MATCH(AM$1, lmic_raw[#Headers],0))=0, INDEX(regions[], MATCH($D131, regions[[setting]:[setting]],0), MATCH(AM$1, regions[#Headers],0)),INDEX(lmic_raw[],MATCH($A131,lmic_raw[[setting]:[setting]],0), MATCH(AM$1, lmic_raw[#Headers],0)))</f>
        <v>3.8966223465779679E-3</v>
      </c>
      <c r="AN131" s="33">
        <f>IF(INDEX(lmic_raw[],MATCH($A131,lmic_raw[[setting]:[setting]],0), MATCH(AN$1, lmic_raw[#Headers],0))=0, INDEX(regions[], MATCH($D131, regions[[setting]:[setting]],0), MATCH(AN$1, regions[#Headers],0)),INDEX(lmic_raw[],MATCH($A131,lmic_raw[[setting]:[setting]],0), MATCH(AN$1, lmic_raw[#Headers],0)))</f>
        <v>6.2610641946699601E-3</v>
      </c>
      <c r="AO131" s="33">
        <f>IF(INDEX(lmic_raw[],MATCH($A131,lmic_raw[[setting]:[setting]],0), MATCH(AO$1, lmic_raw[#Headers],0))=0, INDEX(regions[], MATCH($D131, regions[[setting]:[setting]],0), MATCH(AO$1, regions[#Headers],0)),INDEX(lmic_raw[],MATCH($A131,lmic_raw[[setting]:[setting]],0), MATCH(AO$1, lmic_raw[#Headers],0)))</f>
        <v>1.0593543607104964E-2</v>
      </c>
      <c r="AP131" s="33">
        <f>IF(INDEX(lmic_raw[],MATCH($A131,lmic_raw[[setting]:[setting]],0), MATCH(AP$1, lmic_raw[#Headers],0))=0, INDEX(regions[], MATCH($D131, regions[[setting]:[setting]],0), MATCH(AP$1, regions[#Headers],0)),INDEX(lmic_raw[],MATCH($A131,lmic_raw[[setting]:[setting]],0), MATCH(AP$1, lmic_raw[#Headers],0)))</f>
        <v>1.8161334786417935E-2</v>
      </c>
      <c r="AQ131" s="33">
        <f>IF(INDEX(lmic_raw[],MATCH($A131,lmic_raw[[setting]:[setting]],0), MATCH(AQ$1, lmic_raw[#Headers],0))=0, INDEX(regions[], MATCH($D131, regions[[setting]:[setting]],0), MATCH(AQ$1, regions[#Headers],0)),INDEX(lmic_raw[],MATCH($A131,lmic_raw[[setting]:[setting]],0), MATCH(AQ$1, lmic_raw[#Headers],0)))</f>
        <v>2.8615281557734854E-2</v>
      </c>
      <c r="AR131" s="33">
        <f>IF(INDEX(lmic_raw[],MATCH($A131,lmic_raw[[setting]:[setting]],0), MATCH(AR$1, lmic_raw[#Headers],0))=0, INDEX(regions[], MATCH($D131, regions[[setting]:[setting]],0), MATCH(AR$1, regions[#Headers],0)),INDEX(lmic_raw[],MATCH($A131,lmic_raw[[setting]:[setting]],0), MATCH(AR$1, lmic_raw[#Headers],0)))</f>
        <v>4.4290652552574764E-2</v>
      </c>
      <c r="AS131" s="33">
        <f>IF(INDEX(lmic_raw[],MATCH($A131,lmic_raw[[setting]:[setting]],0), MATCH(AS$1, lmic_raw[#Headers],0))=0, INDEX(regions[], MATCH($D131, regions[[setting]:[setting]],0), MATCH(AS$1, regions[#Headers],0)),INDEX(lmic_raw[],MATCH($A131,lmic_raw[[setting]:[setting]],0), MATCH(AS$1, lmic_raw[#Headers],0)))</f>
        <v>6.6937789309553714E-2</v>
      </c>
      <c r="AT131" s="33">
        <f>IF(INDEX(lmic_raw[],MATCH($A131,lmic_raw[[setting]:[setting]],0), MATCH(AT$1, lmic_raw[#Headers],0))=0, INDEX(regions[], MATCH($D131, regions[[setting]:[setting]],0), MATCH(AT$1, regions[#Headers],0)),INDEX(lmic_raw[],MATCH($A131,lmic_raw[[setting]:[setting]],0), MATCH(AT$1, lmic_raw[#Headers],0)))</f>
        <v>9.5342529249283853E-2</v>
      </c>
      <c r="AU131" s="33">
        <f>IF(INDEX(lmic_raw[],MATCH($A131,lmic_raw[[setting]:[setting]],0), MATCH(AU$1, lmic_raw[#Headers],0))=0, INDEX(regions[], MATCH($D131, regions[[setting]:[setting]],0), MATCH(AU$1, regions[#Headers],0)),INDEX(lmic_raw[],MATCH($A131,lmic_raw[[setting]:[setting]],0), MATCH(AU$1, lmic_raw[#Headers],0)))</f>
        <v>0.12569422224177099</v>
      </c>
      <c r="AV131" s="33">
        <f>IF(INDEX(lmic_raw[],MATCH($A131,lmic_raw[[setting]:[setting]],0), MATCH(AV$1, lmic_raw[#Headers],0))=0, INDEX(regions[], MATCH($D131, regions[[setting]:[setting]],0), MATCH(AV$1, regions[#Headers],0)),INDEX(lmic_raw[],MATCH($A131,lmic_raw[[setting]:[setting]],0), MATCH(AV$1, lmic_raw[#Headers],0)))</f>
        <v>0.15364270326612647</v>
      </c>
      <c r="AW131" s="33">
        <f>IF(INDEX(lmic_raw[],MATCH($A131,lmic_raw[[setting]:[setting]],0), MATCH(AW$1, lmic_raw[#Headers],0))=0, INDEX(regions[], MATCH($D131, regions[[setting]:[setting]],0), MATCH(AW$1, regions[#Headers],0)),INDEX(lmic_raw[],MATCH($A131,lmic_raw[[setting]:[setting]],0), MATCH(AW$1, lmic_raw[#Headers],0)))</f>
        <v>0.17363588120761062</v>
      </c>
      <c r="AX131" s="33">
        <f>IF(INDEX(lmic_raw[],MATCH($A131,lmic_raw[[setting]:[setting]],0), MATCH(AX$1, lmic_raw[#Headers],0))=0, INDEX(regions[], MATCH($D131, regions[[setting]:[setting]],0), MATCH(AX$1, regions[#Headers],0)),INDEX(lmic_raw[],MATCH($A131,lmic_raw[[setting]:[setting]],0), MATCH(AX$1, lmic_raw[#Headers],0)))</f>
        <v>71.531999999999996</v>
      </c>
      <c r="AY131" s="33" t="str">
        <f>IF(VLOOKUP($A131,lmic_raw[],11,FALSE)=0, "Yes", "No")</f>
        <v>No</v>
      </c>
    </row>
    <row r="132" spans="1:51" x14ac:dyDescent="0.25">
      <c r="A132" s="109" t="s">
        <v>285</v>
      </c>
      <c r="B132" s="101" t="s">
        <v>537</v>
      </c>
      <c r="C132" s="102">
        <v>548</v>
      </c>
      <c r="D132" s="82" t="s">
        <v>681</v>
      </c>
      <c r="E132" s="82" t="s">
        <v>98</v>
      </c>
      <c r="F132" s="82" t="s">
        <v>666</v>
      </c>
      <c r="G132" s="82" t="s">
        <v>678</v>
      </c>
      <c r="H132" s="33">
        <f>IF(INDEX(lmic_raw[],MATCH($A132,lmic_raw[[setting]:[setting]],0), MATCH(H$1, lmic_raw[#Headers],0))=0, INDEX(regions[], MATCH($D132, regions[[setting]:[setting]],0), MATCH(H$1, regions[#Headers],0)),INDEX(lmic_raw[],MATCH($A132,lmic_raw[[setting]:[setting]],0), MATCH(H$1, lmic_raw[#Headers],0)))</f>
        <v>299882</v>
      </c>
      <c r="I132" s="33">
        <f>IF(INDEX(lmic_raw[],MATCH($A132,lmic_raw[[setting]:[setting]],0), MATCH(I$1, lmic_raw[#Headers],0))=0, INDEX(regions[], MATCH($D132, regions[[setting]:[setting]],0), MATCH(I$1, regions[#Headers],0)),INDEX(lmic_raw[],MATCH($A132,lmic_raw[[setting]:[setting]],0), MATCH(I$1, lmic_raw[#Headers],0)))</f>
        <v>8935.5839539999997</v>
      </c>
      <c r="J132" s="33">
        <f>IF(INDEX(lmic_raw[],MATCH($A132,lmic_raw[[setting]:[setting]],0), MATCH(J$1, lmic_raw[#Headers],0))=0, INDEX(regions[], MATCH($D132, regions[[setting]:[setting]],0), MATCH(J$1, regions[#Headers],0)),INDEX(lmic_raw[],MATCH($A132,lmic_raw[[setting]:[setting]],0), MATCH(J$1, lmic_raw[#Headers],0)))</f>
        <v>0.88500000000000001</v>
      </c>
      <c r="K132" s="33">
        <f>IF(INDEX(lmic_raw[],MATCH($A132,lmic_raw[[setting]:[setting]],0), MATCH(K$1, lmic_raw[#Headers],0))=0, INDEX(regions[], MATCH($D132, regions[[setting]:[setting]],0), MATCH(K$1, regions[#Headers],0)),INDEX(lmic_raw[],MATCH($A132,lmic_raw[[setting]:[setting]],0), MATCH(K$1, lmic_raw[#Headers],0)))</f>
        <v>0.82</v>
      </c>
      <c r="L132" s="33">
        <f>IF(INDEX(lmic_raw[],MATCH($A132,lmic_raw[[setting]:[setting]],0), MATCH(L$1, lmic_raw[#Headers],0))=0, INDEX(regions[], MATCH($D132, regions[[setting]:[setting]],0), MATCH(L$1, regions[#Headers],0)),INDEX(lmic_raw[],MATCH($A132,lmic_raw[[setting]:[setting]],0), MATCH(L$1, lmic_raw[#Headers],0)))</f>
        <v>0.9</v>
      </c>
      <c r="M132" s="33">
        <f>IF(INDEX(lmic_raw[],MATCH($A132,lmic_raw[[setting]:[setting]],0), MATCH(M$1, lmic_raw[#Headers],0))=0, INDEX(regions[], MATCH($D132, regions[[setting]:[setting]],0), MATCH(M$1, regions[#Headers],0)),INDEX(lmic_raw[],MATCH($A132,lmic_raw[[setting]:[setting]],0), MATCH(M$1, lmic_raw[#Headers],0)))</f>
        <v>0.1331</v>
      </c>
      <c r="N132" s="33">
        <f>IF(INDEX(lmic_raw[],MATCH($A132,lmic_raw[[setting]:[setting]],0), MATCH(N$1, lmic_raw[#Headers],0))=0, INDEX(regions[], MATCH($D132, regions[[setting]:[setting]],0), MATCH(N$1, regions[#Headers],0)),INDEX(lmic_raw[],MATCH($A132,lmic_raw[[setting]:[setting]],0), MATCH(N$1, lmic_raw[#Headers],0)))</f>
        <v>0.33217937182255036</v>
      </c>
      <c r="O132" s="33">
        <f>IF(INDEX(lmic_raw[],MATCH($A132,lmic_raw[[setting]:[setting]],0), MATCH(O$1, lmic_raw[#Headers],0))=0, INDEX(regions[], MATCH($D132, regions[[setting]:[setting]],0), MATCH(O$1, regions[#Headers],0)),INDEX(lmic_raw[],MATCH($A132,lmic_raw[[setting]:[setting]],0), MATCH(O$1, lmic_raw[#Headers],0)))</f>
        <v>0.8</v>
      </c>
      <c r="P132" s="33">
        <f>IF(INDEX(lmic_raw[],MATCH($A132,lmic_raw[[setting]:[setting]],0), MATCH(P$1, lmic_raw[#Headers],0))=0, INDEX(regions[], MATCH($D132, regions[[setting]:[setting]],0), MATCH(P$1, regions[#Headers],0)),INDEX(lmic_raw[],MATCH($A132,lmic_raw[[setting]:[setting]],0), MATCH(P$1, lmic_raw[#Headers],0)))</f>
        <v>0.17499999999999999</v>
      </c>
      <c r="Q132" s="33">
        <f>IF(INDEX(lmic_raw[],MATCH($A132,lmic_raw[[setting]:[setting]],0), MATCH(Q$1, lmic_raw[#Headers],0))=0, INDEX(regions[], MATCH($D132, regions[[setting]:[setting]],0), MATCH(Q$1, regions[#Headers],0)),INDEX(lmic_raw[],MATCH($A132,lmic_raw[[setting]:[setting]],0), MATCH(Q$1, lmic_raw[#Headers],0)))</f>
        <v>10.290063480984603</v>
      </c>
      <c r="R132" s="33">
        <f>IF(INDEX(lmic_raw[],MATCH($A132,lmic_raw[[setting]:[setting]],0), MATCH(R$1, lmic_raw[#Headers],0))=0, INDEX(regions[], MATCH($D132, regions[[setting]:[setting]],0), MATCH(R$1, regions[#Headers],0)),INDEX(lmic_raw[],MATCH($A132,lmic_raw[[setting]:[setting]],0), MATCH(R$1, lmic_raw[#Headers],0)))</f>
        <v>73.084500000000006</v>
      </c>
      <c r="S132" s="33">
        <f>IF(INDEX(lmic_raw[],MATCH($A132,lmic_raw[[setting]:[setting]],0), MATCH(S$1, lmic_raw[#Headers],0))=0, INDEX(regions[], MATCH($D132, regions[[setting]:[setting]],0), MATCH(S$1, regions[#Headers],0)),INDEX(lmic_raw[],MATCH($A132,lmic_raw[[setting]:[setting]],0), MATCH(S$1, lmic_raw[#Headers],0)))</f>
        <v>120.8265</v>
      </c>
      <c r="T132" s="33">
        <f>IF(INDEX(lmic_raw[],MATCH($A132,lmic_raw[[setting]:[setting]],0), MATCH(T$1, lmic_raw[#Headers],0))=0, INDEX(regions[], MATCH($D132, regions[[setting]:[setting]],0), MATCH(T$1, regions[#Headers],0)),INDEX(lmic_raw[],MATCH($A132,lmic_raw[[setting]:[setting]],0), MATCH(T$1, lmic_raw[#Headers],0)))</f>
        <v>120.8265</v>
      </c>
      <c r="U132" s="33">
        <f>IF(INDEX(lmic_raw[],MATCH($A132,lmic_raw[[setting]:[setting]],0), MATCH(U$1, lmic_raw[#Headers],0))=0, INDEX(regions[], MATCH($D132, regions[[setting]:[setting]],0), MATCH(U$1, regions[#Headers],0)),INDEX(lmic_raw[],MATCH($A132,lmic_raw[[setting]:[setting]],0), MATCH(U$1, lmic_raw[#Headers],0)))</f>
        <v>120.8265</v>
      </c>
      <c r="V132" s="33">
        <f>IF(INDEX(lmic_raw[],MATCH($A132,lmic_raw[[setting]:[setting]],0), MATCH(V$1, lmic_raw[#Headers],0))=0, INDEX(regions[], MATCH($D132, regions[[setting]:[setting]],0), MATCH(V$1, regions[#Headers],0)),INDEX(lmic_raw[],MATCH($A132,lmic_raw[[setting]:[setting]],0), MATCH(V$1, lmic_raw[#Headers],0)))</f>
        <v>6.7137627885238551</v>
      </c>
      <c r="W132" s="33">
        <f>IF(INDEX(lmic_raw[],MATCH($A132,lmic_raw[[setting]:[setting]],0), MATCH(W$1, lmic_raw[#Headers],0))=0, INDEX(regions[], MATCH($D132, regions[[setting]:[setting]],0), MATCH(W$1, regions[#Headers],0)),INDEX(lmic_raw[],MATCH($A132,lmic_raw[[setting]:[setting]],0), MATCH(W$1, lmic_raw[#Headers],0)))</f>
        <v>7.343762788523855</v>
      </c>
      <c r="X132" s="33">
        <f>IF(INDEX(lmic_raw[],MATCH($A132,lmic_raw[[setting]:[setting]],0), MATCH(X$1, lmic_raw[#Headers],0))=0, INDEX(regions[], MATCH($D132, regions[[setting]:[setting]],0), MATCH(X$1, regions[#Headers],0)),INDEX(lmic_raw[],MATCH($A132,lmic_raw[[setting]:[setting]],0), MATCH(X$1, lmic_raw[#Headers],0)))</f>
        <v>6.2780872783921611</v>
      </c>
      <c r="Y132" s="33">
        <f>IF(INDEX(lmic_raw[],MATCH($A132,lmic_raw[[setting]:[setting]],0), MATCH(Y$1, lmic_raw[#Headers],0))=0, INDEX(regions[], MATCH($D132, regions[[setting]:[setting]],0), MATCH(Y$1, regions[#Headers],0)),INDEX(lmic_raw[],MATCH($A132,lmic_raw[[setting]:[setting]],0), MATCH(Y$1, lmic_raw[#Headers],0)))</f>
        <v>6.908087278392161</v>
      </c>
      <c r="Z132" s="33">
        <f>IF(INDEX(lmic_raw[],MATCH($A132,lmic_raw[[setting]:[setting]],0), MATCH(Z$1, lmic_raw[#Headers],0))=0, INDEX(regions[], MATCH($D132, regions[[setting]:[setting]],0), MATCH(Z$1, regions[#Headers],0)),INDEX(lmic_raw[],MATCH($A132,lmic_raw[[setting]:[setting]],0), MATCH(Z$1, lmic_raw[#Headers],0)))</f>
        <v>6.9011691575982548</v>
      </c>
      <c r="AA132" s="33">
        <f>IF(INDEX(lmic_raw[],MATCH($A132,lmic_raw[[setting]:[setting]],0), MATCH(AA$1, lmic_raw[#Headers],0))=0, INDEX(regions[], MATCH($D132, regions[[setting]:[setting]],0), MATCH(AA$1, regions[#Headers],0)),INDEX(lmic_raw[],MATCH($A132,lmic_raw[[setting]:[setting]],0), MATCH(AA$1, lmic_raw[#Headers],0)))</f>
        <v>6.9590346528759994</v>
      </c>
      <c r="AB132" s="33">
        <f>IF(INDEX(lmic_raw[],MATCH($A132,lmic_raw[[setting]:[setting]],0), MATCH(AB$1, lmic_raw[#Headers],0))=0, INDEX(regions[], MATCH($D132, regions[[setting]:[setting]],0), MATCH(AB$1, regions[#Headers],0)),INDEX(lmic_raw[],MATCH($A132,lmic_raw[[setting]:[setting]],0), MATCH(AB$1, lmic_raw[#Headers],0)))</f>
        <v>7.5890346528759993</v>
      </c>
      <c r="AC132" s="33">
        <f>IF(INDEX(lmic_raw[],MATCH($A132,lmic_raw[[setting]:[setting]],0), MATCH(AC$1, lmic_raw[#Headers],0))=0, INDEX(regions[], MATCH($D132, regions[[setting]:[setting]],0), MATCH(AC$1, regions[#Headers],0)),INDEX(lmic_raw[],MATCH($A132,lmic_raw[[setting]:[setting]],0), MATCH(AC$1, lmic_raw[#Headers],0)))</f>
        <v>2.2365599999999975E-2</v>
      </c>
      <c r="AD132" s="33">
        <f>IF(INDEX(lmic_raw[],MATCH($A132,lmic_raw[[setting]:[setting]],0), MATCH(AD$1, lmic_raw[#Headers],0))=0, INDEX(regions[], MATCH($D132, regions[[setting]:[setting]],0), MATCH(AD$1, regions[#Headers],0)),INDEX(lmic_raw[],MATCH($A132,lmic_raw[[setting]:[setting]],0), MATCH(AD$1, lmic_raw[#Headers],0)))</f>
        <v>1.0929417991020081E-3</v>
      </c>
      <c r="AE132" s="33">
        <f>IF(INDEX(lmic_raw[],MATCH($A132,lmic_raw[[setting]:[setting]],0), MATCH(AE$1, lmic_raw[#Headers],0))=0, INDEX(regions[], MATCH($D132, regions[[setting]:[setting]],0), MATCH(AE$1, regions[#Headers],0)),INDEX(lmic_raw[],MATCH($A132,lmic_raw[[setting]:[setting]],0), MATCH(AE$1, lmic_raw[#Headers],0)))</f>
        <v>4.2713469309892517E-4</v>
      </c>
      <c r="AF132" s="33">
        <f>IF(INDEX(lmic_raw[],MATCH($A132,lmic_raw[[setting]:[setting]],0), MATCH(AF$1, lmic_raw[#Headers],0))=0, INDEX(regions[], MATCH($D132, regions[[setting]:[setting]],0), MATCH(AF$1, regions[#Headers],0)),INDEX(lmic_raw[],MATCH($A132,lmic_raw[[setting]:[setting]],0), MATCH(AF$1, lmic_raw[#Headers],0)))</f>
        <v>3.6316758096208623E-4</v>
      </c>
      <c r="AG132" s="33">
        <f>IF(INDEX(lmic_raw[],MATCH($A132,lmic_raw[[setting]:[setting]],0), MATCH(AG$1, lmic_raw[#Headers],0))=0, INDEX(regions[], MATCH($D132, regions[[setting]:[setting]],0), MATCH(AG$1, regions[#Headers],0)),INDEX(lmic_raw[],MATCH($A132,lmic_raw[[setting]:[setting]],0), MATCH(AG$1, lmic_raw[#Headers],0)))</f>
        <v>7.3020412598037775E-4</v>
      </c>
      <c r="AH132" s="33">
        <f>IF(INDEX(lmic_raw[],MATCH($A132,lmic_raw[[setting]:[setting]],0), MATCH(AH$1, lmic_raw[#Headers],0))=0, INDEX(regions[], MATCH($D132, regions[[setting]:[setting]],0), MATCH(AH$1, regions[#Headers],0)),INDEX(lmic_raw[],MATCH($A132,lmic_raw[[setting]:[setting]],0), MATCH(AH$1, lmic_raw[#Headers],0)))</f>
        <v>9.042212246174623E-4</v>
      </c>
      <c r="AI132" s="33">
        <f>IF(INDEX(lmic_raw[],MATCH($A132,lmic_raw[[setting]:[setting]],0), MATCH(AI$1, lmic_raw[#Headers],0))=0, INDEX(regions[], MATCH($D132, regions[[setting]:[setting]],0), MATCH(AI$1, regions[#Headers],0)),INDEX(lmic_raw[],MATCH($A132,lmic_raw[[setting]:[setting]],0), MATCH(AI$1, lmic_raw[#Headers],0)))</f>
        <v>9.2983137088334909E-4</v>
      </c>
      <c r="AJ132" s="33">
        <f>IF(INDEX(lmic_raw[],MATCH($A132,lmic_raw[[setting]:[setting]],0), MATCH(AJ$1, lmic_raw[#Headers],0))=0, INDEX(regions[], MATCH($D132, regions[[setting]:[setting]],0), MATCH(AJ$1, regions[#Headers],0)),INDEX(lmic_raw[],MATCH($A132,lmic_raw[[setting]:[setting]],0), MATCH(AJ$1, lmic_raw[#Headers],0)))</f>
        <v>1.1272768136882424E-3</v>
      </c>
      <c r="AK132" s="33">
        <f>IF(INDEX(lmic_raw[],MATCH($A132,lmic_raw[[setting]:[setting]],0), MATCH(AK$1, lmic_raw[#Headers],0))=0, INDEX(regions[], MATCH($D132, regions[[setting]:[setting]],0), MATCH(AK$1, regions[#Headers],0)),INDEX(lmic_raw[],MATCH($A132,lmic_raw[[setting]:[setting]],0), MATCH(AK$1, lmic_raw[#Headers],0)))</f>
        <v>1.5717165040655993E-3</v>
      </c>
      <c r="AL132" s="33">
        <f>IF(INDEX(lmic_raw[],MATCH($A132,lmic_raw[[setting]:[setting]],0), MATCH(AL$1, lmic_raw[#Headers],0))=0, INDEX(regions[], MATCH($D132, regions[[setting]:[setting]],0), MATCH(AL$1, regions[#Headers],0)),INDEX(lmic_raw[],MATCH($A132,lmic_raw[[setting]:[setting]],0), MATCH(AL$1, lmic_raw[#Headers],0)))</f>
        <v>2.351146667285709E-3</v>
      </c>
      <c r="AM132" s="33">
        <f>IF(INDEX(lmic_raw[],MATCH($A132,lmic_raw[[setting]:[setting]],0), MATCH(AM$1, lmic_raw[#Headers],0))=0, INDEX(regions[], MATCH($D132, regions[[setting]:[setting]],0), MATCH(AM$1, regions[#Headers],0)),INDEX(lmic_raw[],MATCH($A132,lmic_raw[[setting]:[setting]],0), MATCH(AM$1, lmic_raw[#Headers],0)))</f>
        <v>3.7690140973061256E-3</v>
      </c>
      <c r="AN132" s="33">
        <f>IF(INDEX(lmic_raw[],MATCH($A132,lmic_raw[[setting]:[setting]],0), MATCH(AN$1, lmic_raw[#Headers],0))=0, INDEX(regions[], MATCH($D132, regions[[setting]:[setting]],0), MATCH(AN$1, regions[#Headers],0)),INDEX(lmic_raw[],MATCH($A132,lmic_raw[[setting]:[setting]],0), MATCH(AN$1, lmic_raw[#Headers],0)))</f>
        <v>6.0679485172212225E-3</v>
      </c>
      <c r="AO132" s="33">
        <f>IF(INDEX(lmic_raw[],MATCH($A132,lmic_raw[[setting]:[setting]],0), MATCH(AO$1, lmic_raw[#Headers],0))=0, INDEX(regions[], MATCH($D132, regions[[setting]:[setting]],0), MATCH(AO$1, regions[#Headers],0)),INDEX(lmic_raw[],MATCH($A132,lmic_raw[[setting]:[setting]],0), MATCH(AO$1, lmic_raw[#Headers],0)))</f>
        <v>9.7874537245933452E-3</v>
      </c>
      <c r="AP132" s="33">
        <f>IF(INDEX(lmic_raw[],MATCH($A132,lmic_raw[[setting]:[setting]],0), MATCH(AP$1, lmic_raw[#Headers],0))=0, INDEX(regions[], MATCH($D132, regions[[setting]:[setting]],0), MATCH(AP$1, regions[#Headers],0)),INDEX(lmic_raw[],MATCH($A132,lmic_raw[[setting]:[setting]],0), MATCH(AP$1, lmic_raw[#Headers],0)))</f>
        <v>1.8251739662412808E-2</v>
      </c>
      <c r="AQ132" s="33">
        <f>IF(INDEX(lmic_raw[],MATCH($A132,lmic_raw[[setting]:[setting]],0), MATCH(AQ$1, lmic_raw[#Headers],0))=0, INDEX(regions[], MATCH($D132, regions[[setting]:[setting]],0), MATCH(AQ$1, regions[#Headers],0)),INDEX(lmic_raw[],MATCH($A132,lmic_raw[[setting]:[setting]],0), MATCH(AQ$1, lmic_raw[#Headers],0)))</f>
        <v>3.3313885056041562E-2</v>
      </c>
      <c r="AR132" s="33">
        <f>IF(INDEX(lmic_raw[],MATCH($A132,lmic_raw[[setting]:[setting]],0), MATCH(AR$1, lmic_raw[#Headers],0))=0, INDEX(regions[], MATCH($D132, regions[[setting]:[setting]],0), MATCH(AR$1, regions[#Headers],0)),INDEX(lmic_raw[],MATCH($A132,lmic_raw[[setting]:[setting]],0), MATCH(AR$1, lmic_raw[#Headers],0)))</f>
        <v>5.4982650823014151E-2</v>
      </c>
      <c r="AS132" s="33">
        <f>IF(INDEX(lmic_raw[],MATCH($A132,lmic_raw[[setting]:[setting]],0), MATCH(AS$1, lmic_raw[#Headers],0))=0, INDEX(regions[], MATCH($D132, regions[[setting]:[setting]],0), MATCH(AS$1, regions[#Headers],0)),INDEX(lmic_raw[],MATCH($A132,lmic_raw[[setting]:[setting]],0), MATCH(AS$1, lmic_raw[#Headers],0)))</f>
        <v>8.3190798891907114E-2</v>
      </c>
      <c r="AT132" s="33">
        <f>IF(INDEX(lmic_raw[],MATCH($A132,lmic_raw[[setting]:[setting]],0), MATCH(AT$1, lmic_raw[#Headers],0))=0, INDEX(regions[], MATCH($D132, regions[[setting]:[setting]],0), MATCH(AT$1, regions[#Headers],0)),INDEX(lmic_raw[],MATCH($A132,lmic_raw[[setting]:[setting]],0), MATCH(AT$1, lmic_raw[#Headers],0)))</f>
        <v>0.11701161385805187</v>
      </c>
      <c r="AU132" s="33">
        <f>IF(INDEX(lmic_raw[],MATCH($A132,lmic_raw[[setting]:[setting]],0), MATCH(AU$1, lmic_raw[#Headers],0))=0, INDEX(regions[], MATCH($D132, regions[[setting]:[setting]],0), MATCH(AU$1, regions[#Headers],0)),INDEX(lmic_raw[],MATCH($A132,lmic_raw[[setting]:[setting]],0), MATCH(AU$1, lmic_raw[#Headers],0)))</f>
        <v>0.15147798322094647</v>
      </c>
      <c r="AV132" s="33">
        <f>IF(INDEX(lmic_raw[],MATCH($A132,lmic_raw[[setting]:[setting]],0), MATCH(AV$1, lmic_raw[#Headers],0))=0, INDEX(regions[], MATCH($D132, regions[[setting]:[setting]],0), MATCH(AV$1, regions[#Headers],0)),INDEX(lmic_raw[],MATCH($A132,lmic_raw[[setting]:[setting]],0), MATCH(AV$1, lmic_raw[#Headers],0)))</f>
        <v>0.17593865686013324</v>
      </c>
      <c r="AW132" s="33">
        <f>IF(INDEX(lmic_raw[],MATCH($A132,lmic_raw[[setting]:[setting]],0), MATCH(AW$1, lmic_raw[#Headers],0))=0, INDEX(regions[], MATCH($D132, regions[[setting]:[setting]],0), MATCH(AW$1, regions[#Headers],0)),INDEX(lmic_raw[],MATCH($A132,lmic_raw[[setting]:[setting]],0), MATCH(AW$1, lmic_raw[#Headers],0)))</f>
        <v>0.18801125334265398</v>
      </c>
      <c r="AX132" s="33">
        <f>IF(INDEX(lmic_raw[],MATCH($A132,lmic_raw[[setting]:[setting]],0), MATCH(AX$1, lmic_raw[#Headers],0))=0, INDEX(regions[], MATCH($D132, regions[[setting]:[setting]],0), MATCH(AX$1, regions[#Headers],0)),INDEX(lmic_raw[],MATCH($A132,lmic_raw[[setting]:[setting]],0), MATCH(AX$1, lmic_raw[#Headers],0)))</f>
        <v>70.247</v>
      </c>
      <c r="AY132" s="33" t="str">
        <f>IF(VLOOKUP($A132,lmic_raw[],11,FALSE)=0, "Yes", "No")</f>
        <v>No</v>
      </c>
    </row>
    <row r="133" spans="1:51" x14ac:dyDescent="0.25">
      <c r="A133" s="84" t="s">
        <v>275</v>
      </c>
      <c r="B133" s="104" t="s">
        <v>538</v>
      </c>
      <c r="C133" s="105">
        <v>862</v>
      </c>
      <c r="D133" s="84" t="s">
        <v>679</v>
      </c>
      <c r="E133" s="84" t="s">
        <v>604</v>
      </c>
      <c r="F133" s="84" t="s">
        <v>665</v>
      </c>
      <c r="G133" s="84" t="s">
        <v>676</v>
      </c>
      <c r="H133" s="33">
        <f>IF(INDEX(lmic_raw[],MATCH($A133,lmic_raw[[setting]:[setting]],0), MATCH(H$1, lmic_raw[#Headers],0))=0, INDEX(regions[], MATCH($D133, regions[[setting]:[setting]],0), MATCH(H$1, regions[#Headers],0)),INDEX(lmic_raw[],MATCH($A133,lmic_raw[[setting]:[setting]],0), MATCH(H$1, lmic_raw[#Headers],0)))</f>
        <v>28515829</v>
      </c>
      <c r="I133" s="33">
        <f>IF(INDEX(lmic_raw[],MATCH($A133,lmic_raw[[setting]:[setting]],0), MATCH(I$1, lmic_raw[#Headers],0))=0, INDEX(regions[], MATCH($D133, regions[[setting]:[setting]],0), MATCH(I$1, regions[#Headers],0)),INDEX(lmic_raw[],MATCH($A133,lmic_raw[[setting]:[setting]],0), MATCH(I$1, lmic_raw[#Headers],0)))</f>
        <v>514111.88104100002</v>
      </c>
      <c r="J133" s="33">
        <f>IF(INDEX(lmic_raw[],MATCH($A133,lmic_raw[[setting]:[setting]],0), MATCH(J$1, lmic_raw[#Headers],0))=0, INDEX(regions[], MATCH($D133, regions[[setting]:[setting]],0), MATCH(J$1, regions[#Headers],0)),INDEX(lmic_raw[],MATCH($A133,lmic_raw[[setting]:[setting]],0), MATCH(J$1, lmic_raw[#Headers],0)))</f>
        <v>0.9890000000000001</v>
      </c>
      <c r="K133" s="33">
        <f>IF(INDEX(lmic_raw[],MATCH($A133,lmic_raw[[setting]:[setting]],0), MATCH(K$1, lmic_raw[#Headers],0))=0, INDEX(regions[], MATCH($D133, regions[[setting]:[setting]],0), MATCH(K$1, regions[#Headers],0)),INDEX(lmic_raw[],MATCH($A133,lmic_raw[[setting]:[setting]],0), MATCH(K$1, lmic_raw[#Headers],0)))</f>
        <v>0.52</v>
      </c>
      <c r="L133" s="33">
        <f>IF(INDEX(lmic_raw[],MATCH($A133,lmic_raw[[setting]:[setting]],0), MATCH(L$1, lmic_raw[#Headers],0))=0, INDEX(regions[], MATCH($D133, regions[[setting]:[setting]],0), MATCH(L$1, regions[#Headers],0)),INDEX(lmic_raw[],MATCH($A133,lmic_raw[[setting]:[setting]],0), MATCH(L$1, lmic_raw[#Headers],0)))</f>
        <v>0.64</v>
      </c>
      <c r="M133" s="33">
        <f>IF(INDEX(lmic_raw[],MATCH($A133,lmic_raw[[setting]:[setting]],0), MATCH(M$1, lmic_raw[#Headers],0))=0, INDEX(regions[], MATCH($D133, regions[[setting]:[setting]],0), MATCH(M$1, regions[#Headers],0)),INDEX(lmic_raw[],MATCH($A133,lmic_raw[[setting]:[setting]],0), MATCH(M$1, lmic_raw[#Headers],0)))</f>
        <v>2.8300000000000002E-2</v>
      </c>
      <c r="N133" s="33">
        <f>IF(INDEX(lmic_raw[],MATCH($A133,lmic_raw[[setting]:[setting]],0), MATCH(N$1, lmic_raw[#Headers],0))=0, INDEX(regions[], MATCH($D133, regions[[setting]:[setting]],0), MATCH(N$1, regions[#Headers],0)),INDEX(lmic_raw[],MATCH($A133,lmic_raw[[setting]:[setting]],0), MATCH(N$1, lmic_raw[#Headers],0)))</f>
        <v>0.32005043651541387</v>
      </c>
      <c r="O133" s="33">
        <f>IF(INDEX(lmic_raw[],MATCH($A133,lmic_raw[[setting]:[setting]],0), MATCH(O$1, lmic_raw[#Headers],0))=0, INDEX(regions[], MATCH($D133, regions[[setting]:[setting]],0), MATCH(O$1, regions[#Headers],0)),INDEX(lmic_raw[],MATCH($A133,lmic_raw[[setting]:[setting]],0), MATCH(O$1, lmic_raw[#Headers],0)))</f>
        <v>0.8</v>
      </c>
      <c r="P133" s="33">
        <f>IF(INDEX(lmic_raw[],MATCH($A133,lmic_raw[[setting]:[setting]],0), MATCH(P$1, lmic_raw[#Headers],0))=0, INDEX(regions[], MATCH($D133, regions[[setting]:[setting]],0), MATCH(P$1, regions[#Headers],0)),INDEX(lmic_raw[],MATCH($A133,lmic_raw[[setting]:[setting]],0), MATCH(P$1, lmic_raw[#Headers],0)))</f>
        <v>0.17499999999999999</v>
      </c>
      <c r="Q133" s="33">
        <f>IF(INDEX(lmic_raw[],MATCH($A133,lmic_raw[[setting]:[setting]],0), MATCH(Q$1, lmic_raw[#Headers],0))=0, INDEX(regions[], MATCH($D133, regions[[setting]:[setting]],0), MATCH(Q$1, regions[#Headers],0)),INDEX(lmic_raw[],MATCH($A133,lmic_raw[[setting]:[setting]],0), MATCH(Q$1, lmic_raw[#Headers],0)))</f>
        <v>18.135505635237379</v>
      </c>
      <c r="R133" s="33">
        <f>IF(INDEX(lmic_raw[],MATCH($A133,lmic_raw[[setting]:[setting]],0), MATCH(R$1, lmic_raw[#Headers],0))=0, INDEX(regions[], MATCH($D133, regions[[setting]:[setting]],0), MATCH(R$1, regions[#Headers],0)),INDEX(lmic_raw[],MATCH($A133,lmic_raw[[setting]:[setting]],0), MATCH(R$1, lmic_raw[#Headers],0)))</f>
        <v>86.883899999999997</v>
      </c>
      <c r="S133" s="33">
        <f>IF(INDEX(lmic_raw[],MATCH($A133,lmic_raw[[setting]:[setting]],0), MATCH(S$1, lmic_raw[#Headers],0))=0, INDEX(regions[], MATCH($D133, regions[[setting]:[setting]],0), MATCH(S$1, regions[#Headers],0)),INDEX(lmic_raw[],MATCH($A133,lmic_raw[[setting]:[setting]],0), MATCH(S$1, lmic_raw[#Headers],0)))</f>
        <v>134.6259</v>
      </c>
      <c r="T133" s="33">
        <f>IF(INDEX(lmic_raw[],MATCH($A133,lmic_raw[[setting]:[setting]],0), MATCH(T$1, lmic_raw[#Headers],0))=0, INDEX(regions[], MATCH($D133, regions[[setting]:[setting]],0), MATCH(T$1, regions[#Headers],0)),INDEX(lmic_raw[],MATCH($A133,lmic_raw[[setting]:[setting]],0), MATCH(T$1, lmic_raw[#Headers],0)))</f>
        <v>134.6259</v>
      </c>
      <c r="U133" s="33">
        <f>IF(INDEX(lmic_raw[],MATCH($A133,lmic_raw[[setting]:[setting]],0), MATCH(U$1, lmic_raw[#Headers],0))=0, INDEX(regions[], MATCH($D133, regions[[setting]:[setting]],0), MATCH(U$1, regions[#Headers],0)),INDEX(lmic_raw[],MATCH($A133,lmic_raw[[setting]:[setting]],0), MATCH(U$1, lmic_raw[#Headers],0)))</f>
        <v>134.6259</v>
      </c>
      <c r="V133" s="33">
        <f>IF(INDEX(lmic_raw[],MATCH($A133,lmic_raw[[setting]:[setting]],0), MATCH(V$1, lmic_raw[#Headers],0))=0, INDEX(regions[], MATCH($D133, regions[[setting]:[setting]],0), MATCH(V$1, regions[#Headers],0)),INDEX(lmic_raw[],MATCH($A133,lmic_raw[[setting]:[setting]],0), MATCH(V$1, lmic_raw[#Headers],0)))</f>
        <v>2.4664506943986586</v>
      </c>
      <c r="W133" s="33">
        <f>IF(INDEX(lmic_raw[],MATCH($A133,lmic_raw[[setting]:[setting]],0), MATCH(W$1, lmic_raw[#Headers],0))=0, INDEX(regions[], MATCH($D133, regions[[setting]:[setting]],0), MATCH(W$1, regions[#Headers],0)),INDEX(lmic_raw[],MATCH($A133,lmic_raw[[setting]:[setting]],0), MATCH(W$1, lmic_raw[#Headers],0)))</f>
        <v>2.4864506943986586</v>
      </c>
      <c r="X133" s="33">
        <f>IF(INDEX(lmic_raw[],MATCH($A133,lmic_raw[[setting]:[setting]],0), MATCH(X$1, lmic_raw[#Headers],0))=0, INDEX(regions[], MATCH($D133, regions[[setting]:[setting]],0), MATCH(X$1, regions[#Headers],0)),INDEX(lmic_raw[],MATCH($A133,lmic_raw[[setting]:[setting]],0), MATCH(X$1, lmic_raw[#Headers],0)))</f>
        <v>1.994470493493921</v>
      </c>
      <c r="Y133" s="33">
        <f>IF(INDEX(lmic_raw[],MATCH($A133,lmic_raw[[setting]:[setting]],0), MATCH(Y$1, lmic_raw[#Headers],0))=0, INDEX(regions[], MATCH($D133, regions[[setting]:[setting]],0), MATCH(Y$1, regions[#Headers],0)),INDEX(lmic_raw[],MATCH($A133,lmic_raw[[setting]:[setting]],0), MATCH(Y$1, lmic_raw[#Headers],0)))</f>
        <v>2.014470493493921</v>
      </c>
      <c r="Z133" s="33">
        <f>IF(INDEX(lmic_raw[],MATCH($A133,lmic_raw[[setting]:[setting]],0), MATCH(Z$1, lmic_raw[#Headers],0))=0, INDEX(regions[], MATCH($D133, regions[[setting]:[setting]],0), MATCH(Z$1, regions[#Headers],0)),INDEX(lmic_raw[],MATCH($A133,lmic_raw[[setting]:[setting]],0), MATCH(Z$1, lmic_raw[#Headers],0)))</f>
        <v>1.991178142942807</v>
      </c>
      <c r="AA133" s="33">
        <f>IF(INDEX(lmic_raw[],MATCH($A133,lmic_raw[[setting]:[setting]],0), MATCH(AA$1, lmic_raw[#Headers],0))=0, INDEX(regions[], MATCH($D133, regions[[setting]:[setting]],0), MATCH(AA$1, regions[#Headers],0)),INDEX(lmic_raw[],MATCH($A133,lmic_raw[[setting]:[setting]],0), MATCH(AA$1, lmic_raw[#Headers],0)))</f>
        <v>2.7248091333317852</v>
      </c>
      <c r="AB133" s="33">
        <f>IF(INDEX(lmic_raw[],MATCH($A133,lmic_raw[[setting]:[setting]],0), MATCH(AB$1, lmic_raw[#Headers],0))=0, INDEX(regions[], MATCH($D133, regions[[setting]:[setting]],0), MATCH(AB$1, regions[#Headers],0)),INDEX(lmic_raw[],MATCH($A133,lmic_raw[[setting]:[setting]],0), MATCH(AB$1, lmic_raw[#Headers],0)))</f>
        <v>2.7448091333317852</v>
      </c>
      <c r="AC133" s="33">
        <f>IF(INDEX(lmic_raw[],MATCH($A133,lmic_raw[[setting]:[setting]],0), MATCH(AC$1, lmic_raw[#Headers],0))=0, INDEX(regions[], MATCH($D133, regions[[setting]:[setting]],0), MATCH(AC$1, regions[#Headers],0)),INDEX(lmic_raw[],MATCH($A133,lmic_raw[[setting]:[setting]],0), MATCH(AC$1, lmic_raw[#Headers],0)))</f>
        <v>2.5699989999999961E-2</v>
      </c>
      <c r="AD133" s="33">
        <f>IF(INDEX(lmic_raw[],MATCH($A133,lmic_raw[[setting]:[setting]],0), MATCH(AD$1, lmic_raw[#Headers],0))=0, INDEX(regions[], MATCH($D133, regions[[setting]:[setting]],0), MATCH(AD$1, regions[#Headers],0)),INDEX(lmic_raw[],MATCH($A133,lmic_raw[[setting]:[setting]],0), MATCH(AD$1, lmic_raw[#Headers],0)))</f>
        <v>1.3222108044523197E-3</v>
      </c>
      <c r="AE133" s="33">
        <f>IF(INDEX(lmic_raw[],MATCH($A133,lmic_raw[[setting]:[setting]],0), MATCH(AE$1, lmic_raw[#Headers],0))=0, INDEX(regions[], MATCH($D133, regions[[setting]:[setting]],0), MATCH(AE$1, regions[#Headers],0)),INDEX(lmic_raw[],MATCH($A133,lmic_raw[[setting]:[setting]],0), MATCH(AE$1, lmic_raw[#Headers],0)))</f>
        <v>2.4073538723623375E-4</v>
      </c>
      <c r="AF133" s="33">
        <f>IF(INDEX(lmic_raw[],MATCH($A133,lmic_raw[[setting]:[setting]],0), MATCH(AF$1, lmic_raw[#Headers],0))=0, INDEX(regions[], MATCH($D133, regions[[setting]:[setting]],0), MATCH(AF$1, regions[#Headers],0)),INDEX(lmic_raw[],MATCH($A133,lmic_raw[[setting]:[setting]],0), MATCH(AF$1, lmic_raw[#Headers],0)))</f>
        <v>3.4713920646440243E-4</v>
      </c>
      <c r="AG133" s="33">
        <f>IF(INDEX(lmic_raw[],MATCH($A133,lmic_raw[[setting]:[setting]],0), MATCH(AG$1, lmic_raw[#Headers],0))=0, INDEX(regions[], MATCH($D133, regions[[setting]:[setting]],0), MATCH(AG$1, regions[#Headers],0)),INDEX(lmic_raw[],MATCH($A133,lmic_raw[[setting]:[setting]],0), MATCH(AG$1, lmic_raw[#Headers],0)))</f>
        <v>1.4184656835969935E-3</v>
      </c>
      <c r="AH133" s="33">
        <f>IF(INDEX(lmic_raw[],MATCH($A133,lmic_raw[[setting]:[setting]],0), MATCH(AH$1, lmic_raw[#Headers],0))=0, INDEX(regions[], MATCH($D133, regions[[setting]:[setting]],0), MATCH(AH$1, regions[#Headers],0)),INDEX(lmic_raw[],MATCH($A133,lmic_raw[[setting]:[setting]],0), MATCH(AH$1, lmic_raw[#Headers],0)))</f>
        <v>2.2033272891926218E-3</v>
      </c>
      <c r="AI133" s="33">
        <f>IF(INDEX(lmic_raw[],MATCH($A133,lmic_raw[[setting]:[setting]],0), MATCH(AI$1, lmic_raw[#Headers],0))=0, INDEX(regions[], MATCH($D133, regions[[setting]:[setting]],0), MATCH(AI$1, regions[#Headers],0)),INDEX(lmic_raw[],MATCH($A133,lmic_raw[[setting]:[setting]],0), MATCH(AI$1, lmic_raw[#Headers],0)))</f>
        <v>2.1654139598228104E-3</v>
      </c>
      <c r="AJ133" s="33">
        <f>IF(INDEX(lmic_raw[],MATCH($A133,lmic_raw[[setting]:[setting]],0), MATCH(AJ$1, lmic_raw[#Headers],0))=0, INDEX(regions[], MATCH($D133, regions[[setting]:[setting]],0), MATCH(AJ$1, regions[#Headers],0)),INDEX(lmic_raw[],MATCH($A133,lmic_raw[[setting]:[setting]],0), MATCH(AJ$1, lmic_raw[#Headers],0)))</f>
        <v>2.1285661497573356E-3</v>
      </c>
      <c r="AK133" s="33">
        <f>IF(INDEX(lmic_raw[],MATCH($A133,lmic_raw[[setting]:[setting]],0), MATCH(AK$1, lmic_raw[#Headers],0))=0, INDEX(regions[], MATCH($D133, regions[[setting]:[setting]],0), MATCH(AK$1, regions[#Headers],0)),INDEX(lmic_raw[],MATCH($A133,lmic_raw[[setting]:[setting]],0), MATCH(AK$1, lmic_raw[#Headers],0)))</f>
        <v>2.0966897267258268E-3</v>
      </c>
      <c r="AL133" s="33">
        <f>IF(INDEX(lmic_raw[],MATCH($A133,lmic_raw[[setting]:[setting]],0), MATCH(AL$1, lmic_raw[#Headers],0))=0, INDEX(regions[], MATCH($D133, regions[[setting]:[setting]],0), MATCH(AL$1, regions[#Headers],0)),INDEX(lmic_raw[],MATCH($A133,lmic_raw[[setting]:[setting]],0), MATCH(AL$1, lmic_raw[#Headers],0)))</f>
        <v>2.6490402944047372E-3</v>
      </c>
      <c r="AM133" s="33">
        <f>IF(INDEX(lmic_raw[],MATCH($A133,lmic_raw[[setting]:[setting]],0), MATCH(AM$1, lmic_raw[#Headers],0))=0, INDEX(regions[], MATCH($D133, regions[[setting]:[setting]],0), MATCH(AM$1, regions[#Headers],0)),INDEX(lmic_raw[],MATCH($A133,lmic_raw[[setting]:[setting]],0), MATCH(AM$1, lmic_raw[#Headers],0)))</f>
        <v>3.9420058344002418E-3</v>
      </c>
      <c r="AN133" s="33">
        <f>IF(INDEX(lmic_raw[],MATCH($A133,lmic_raw[[setting]:[setting]],0), MATCH(AN$1, lmic_raw[#Headers],0))=0, INDEX(regions[], MATCH($D133, regions[[setting]:[setting]],0), MATCH(AN$1, regions[#Headers],0)),INDEX(lmic_raw[],MATCH($A133,lmic_raw[[setting]:[setting]],0), MATCH(AN$1, lmic_raw[#Headers],0)))</f>
        <v>6.3232546972606593E-3</v>
      </c>
      <c r="AO133" s="33">
        <f>IF(INDEX(lmic_raw[],MATCH($A133,lmic_raw[[setting]:[setting]],0), MATCH(AO$1, lmic_raw[#Headers],0))=0, INDEX(regions[], MATCH($D133, regions[[setting]:[setting]],0), MATCH(AO$1, regions[#Headers],0)),INDEX(lmic_raw[],MATCH($A133,lmic_raw[[setting]:[setting]],0), MATCH(AO$1, lmic_raw[#Headers],0)))</f>
        <v>9.5742306335507461E-3</v>
      </c>
      <c r="AP133" s="33">
        <f>IF(INDEX(lmic_raw[],MATCH($A133,lmic_raw[[setting]:[setting]],0), MATCH(AP$1, lmic_raw[#Headers],0))=0, INDEX(regions[], MATCH($D133, regions[[setting]:[setting]],0), MATCH(AP$1, regions[#Headers],0)),INDEX(lmic_raw[],MATCH($A133,lmic_raw[[setting]:[setting]],0), MATCH(AP$1, lmic_raw[#Headers],0)))</f>
        <v>1.4907524922666745E-2</v>
      </c>
      <c r="AQ133" s="33">
        <f>IF(INDEX(lmic_raw[],MATCH($A133,lmic_raw[[setting]:[setting]],0), MATCH(AQ$1, lmic_raw[#Headers],0))=0, INDEX(regions[], MATCH($D133, regions[[setting]:[setting]],0), MATCH(AQ$1, regions[#Headers],0)),INDEX(lmic_raw[],MATCH($A133,lmic_raw[[setting]:[setting]],0), MATCH(AQ$1, lmic_raw[#Headers],0)))</f>
        <v>2.4610677860725554E-2</v>
      </c>
      <c r="AR133" s="33">
        <f>IF(INDEX(lmic_raw[],MATCH($A133,lmic_raw[[setting]:[setting]],0), MATCH(AR$1, lmic_raw[#Headers],0))=0, INDEX(regions[], MATCH($D133, regions[[setting]:[setting]],0), MATCH(AR$1, regions[#Headers],0)),INDEX(lmic_raw[],MATCH($A133,lmic_raw[[setting]:[setting]],0), MATCH(AR$1, lmic_raw[#Headers],0)))</f>
        <v>3.6409941346616043E-2</v>
      </c>
      <c r="AS133" s="33">
        <f>IF(INDEX(lmic_raw[],MATCH($A133,lmic_raw[[setting]:[setting]],0), MATCH(AS$1, lmic_raw[#Headers],0))=0, INDEX(regions[], MATCH($D133, regions[[setting]:[setting]],0), MATCH(AS$1, regions[#Headers],0)),INDEX(lmic_raw[],MATCH($A133,lmic_raw[[setting]:[setting]],0), MATCH(AS$1, lmic_raw[#Headers],0)))</f>
        <v>5.2218420994053362E-2</v>
      </c>
      <c r="AT133" s="33">
        <f>IF(INDEX(lmic_raw[],MATCH($A133,lmic_raw[[setting]:[setting]],0), MATCH(AT$1, lmic_raw[#Headers],0))=0, INDEX(regions[], MATCH($D133, regions[[setting]:[setting]],0), MATCH(AT$1, regions[#Headers],0)),INDEX(lmic_raw[],MATCH($A133,lmic_raw[[setting]:[setting]],0), MATCH(AT$1, lmic_raw[#Headers],0)))</f>
        <v>6.5955992816426945E-2</v>
      </c>
      <c r="AU133" s="33">
        <f>IF(INDEX(lmic_raw[],MATCH($A133,lmic_raw[[setting]:[setting]],0), MATCH(AU$1, lmic_raw[#Headers],0))=0, INDEX(regions[], MATCH($D133, regions[[setting]:[setting]],0), MATCH(AU$1, regions[#Headers],0)),INDEX(lmic_raw[],MATCH($A133,lmic_raw[[setting]:[setting]],0), MATCH(AU$1, lmic_raw[#Headers],0)))</f>
        <v>9.2410300253510005E-2</v>
      </c>
      <c r="AV133" s="33">
        <f>IF(INDEX(lmic_raw[],MATCH($A133,lmic_raw[[setting]:[setting]],0), MATCH(AV$1, lmic_raw[#Headers],0))=0, INDEX(regions[], MATCH($D133, regions[[setting]:[setting]],0), MATCH(AV$1, regions[#Headers],0)),INDEX(lmic_raw[],MATCH($A133,lmic_raw[[setting]:[setting]],0), MATCH(AV$1, lmic_raw[#Headers],0)))</f>
        <v>0.11340137220322517</v>
      </c>
      <c r="AW133" s="33">
        <f>IF(INDEX(lmic_raw[],MATCH($A133,lmic_raw[[setting]:[setting]],0), MATCH(AW$1, lmic_raw[#Headers],0))=0, INDEX(regions[], MATCH($D133, regions[[setting]:[setting]],0), MATCH(AW$1, regions[#Headers],0)),INDEX(lmic_raw[],MATCH($A133,lmic_raw[[setting]:[setting]],0), MATCH(AW$1, lmic_raw[#Headers],0)))</f>
        <v>0.14518603818032744</v>
      </c>
      <c r="AX133" s="33">
        <f>IF(INDEX(lmic_raw[],MATCH($A133,lmic_raw[[setting]:[setting]],0), MATCH(AX$1, lmic_raw[#Headers],0))=0, INDEX(regions[], MATCH($D133, regions[[setting]:[setting]],0), MATCH(AX$1, regions[#Headers],0)),INDEX(lmic_raw[],MATCH($A133,lmic_raw[[setting]:[setting]],0), MATCH(AX$1, lmic_raw[#Headers],0)))</f>
        <v>72.126000000000005</v>
      </c>
      <c r="AY133" s="33" t="str">
        <f>IF(VLOOKUP($A133,lmic_raw[],11,FALSE)=0, "Yes", "No")</f>
        <v>No</v>
      </c>
    </row>
    <row r="134" spans="1:51" x14ac:dyDescent="0.25">
      <c r="A134" s="109" t="s">
        <v>221</v>
      </c>
      <c r="B134" s="101" t="s">
        <v>539</v>
      </c>
      <c r="C134" s="102">
        <v>704</v>
      </c>
      <c r="D134" s="82" t="s">
        <v>681</v>
      </c>
      <c r="E134" s="82" t="s">
        <v>598</v>
      </c>
      <c r="F134" s="82" t="s">
        <v>666</v>
      </c>
      <c r="G134" s="82" t="s">
        <v>678</v>
      </c>
      <c r="H134" s="33">
        <f>IF(INDEX(lmic_raw[],MATCH($A134,lmic_raw[[setting]:[setting]],0), MATCH(H$1, lmic_raw[#Headers],0))=0, INDEX(regions[], MATCH($D134, regions[[setting]:[setting]],0), MATCH(H$1, regions[#Headers],0)),INDEX(lmic_raw[],MATCH($A134,lmic_raw[[setting]:[setting]],0), MATCH(H$1, lmic_raw[#Headers],0)))</f>
        <v>96462108</v>
      </c>
      <c r="I134" s="33">
        <f>IF(INDEX(lmic_raw[],MATCH($A134,lmic_raw[[setting]:[setting]],0), MATCH(I$1, lmic_raw[#Headers],0))=0, INDEX(regions[], MATCH($D134, regions[[setting]:[setting]],0), MATCH(I$1, regions[#Headers],0)),INDEX(lmic_raw[],MATCH($A134,lmic_raw[[setting]:[setting]],0), MATCH(I$1, lmic_raw[#Headers],0)))</f>
        <v>1634550.4200599999</v>
      </c>
      <c r="J134" s="33">
        <f>IF(INDEX(lmic_raw[],MATCH($A134,lmic_raw[[setting]:[setting]],0), MATCH(J$1, lmic_raw[#Headers],0))=0, INDEX(regions[], MATCH($D134, regions[[setting]:[setting]],0), MATCH(J$1, regions[#Headers],0)),INDEX(lmic_raw[],MATCH($A134,lmic_raw[[setting]:[setting]],0), MATCH(J$1, lmic_raw[#Headers],0)))</f>
        <v>0.93599999999999994</v>
      </c>
      <c r="K134" s="33">
        <f>IF(INDEX(lmic_raw[],MATCH($A134,lmic_raw[[setting]:[setting]],0), MATCH(K$1, lmic_raw[#Headers],0))=0, INDEX(regions[], MATCH($D134, regions[[setting]:[setting]],0), MATCH(K$1, regions[#Headers],0)),INDEX(lmic_raw[],MATCH($A134,lmic_raw[[setting]:[setting]],0), MATCH(K$1, lmic_raw[#Headers],0)))</f>
        <v>0.79</v>
      </c>
      <c r="L134" s="33">
        <f>IF(INDEX(lmic_raw[],MATCH($A134,lmic_raw[[setting]:[setting]],0), MATCH(L$1, lmic_raw[#Headers],0))=0, INDEX(regions[], MATCH($D134, regions[[setting]:[setting]],0), MATCH(L$1, regions[#Headers],0)),INDEX(lmic_raw[],MATCH($A134,lmic_raw[[setting]:[setting]],0), MATCH(L$1, lmic_raw[#Headers],0)))</f>
        <v>0.89</v>
      </c>
      <c r="M134" s="33">
        <f>IF(INDEX(lmic_raw[],MATCH($A134,lmic_raw[[setting]:[setting]],0), MATCH(M$1, lmic_raw[#Headers],0))=0, INDEX(regions[], MATCH($D134, regions[[setting]:[setting]],0), MATCH(M$1, regions[#Headers],0)),INDEX(lmic_raw[],MATCH($A134,lmic_raw[[setting]:[setting]],0), MATCH(M$1, lmic_raw[#Headers],0)))</f>
        <v>6.2400000000000004E-2</v>
      </c>
      <c r="N134" s="33">
        <f>IF(INDEX(lmic_raw[],MATCH($A134,lmic_raw[[setting]:[setting]],0), MATCH(N$1, lmic_raw[#Headers],0))=0, INDEX(regions[], MATCH($D134, regions[[setting]:[setting]],0), MATCH(N$1, regions[#Headers],0)),INDEX(lmic_raw[],MATCH($A134,lmic_raw[[setting]:[setting]],0), MATCH(N$1, lmic_raw[#Headers],0)))</f>
        <v>0.33293982634150898</v>
      </c>
      <c r="O134" s="33">
        <f>IF(INDEX(lmic_raw[],MATCH($A134,lmic_raw[[setting]:[setting]],0), MATCH(O$1, lmic_raw[#Headers],0))=0, INDEX(regions[], MATCH($D134, regions[[setting]:[setting]],0), MATCH(O$1, regions[#Headers],0)),INDEX(lmic_raw[],MATCH($A134,lmic_raw[[setting]:[setting]],0), MATCH(O$1, lmic_raw[#Headers],0)))</f>
        <v>0.8</v>
      </c>
      <c r="P134" s="33">
        <f>IF(INDEX(lmic_raw[],MATCH($A134,lmic_raw[[setting]:[setting]],0), MATCH(P$1, lmic_raw[#Headers],0))=0, INDEX(regions[], MATCH($D134, regions[[setting]:[setting]],0), MATCH(P$1, regions[#Headers],0)),INDEX(lmic_raw[],MATCH($A134,lmic_raw[[setting]:[setting]],0), MATCH(P$1, lmic_raw[#Headers],0)))</f>
        <v>0.17499999999999999</v>
      </c>
      <c r="Q134" s="33">
        <f>IF(INDEX(lmic_raw[],MATCH($A134,lmic_raw[[setting]:[setting]],0), MATCH(Q$1, lmic_raw[#Headers],0))=0, INDEX(regions[], MATCH($D134, regions[[setting]:[setting]],0), MATCH(Q$1, regions[#Headers],0)),INDEX(lmic_raw[],MATCH($A134,lmic_raw[[setting]:[setting]],0), MATCH(Q$1, lmic_raw[#Headers],0)))</f>
        <v>3.6315263425038031</v>
      </c>
      <c r="R134" s="33">
        <f>IF(INDEX(lmic_raw[],MATCH($A134,lmic_raw[[setting]:[setting]],0), MATCH(R$1, lmic_raw[#Headers],0))=0, INDEX(regions[], MATCH($D134, regions[[setting]:[setting]],0), MATCH(R$1, regions[#Headers],0)),INDEX(lmic_raw[],MATCH($A134,lmic_raw[[setting]:[setting]],0), MATCH(R$1, lmic_raw[#Headers],0)))</f>
        <v>73.084500000000006</v>
      </c>
      <c r="S134" s="33">
        <f>IF(INDEX(lmic_raw[],MATCH($A134,lmic_raw[[setting]:[setting]],0), MATCH(S$1, lmic_raw[#Headers],0))=0, INDEX(regions[], MATCH($D134, regions[[setting]:[setting]],0), MATCH(S$1, regions[#Headers],0)),INDEX(lmic_raw[],MATCH($A134,lmic_raw[[setting]:[setting]],0), MATCH(S$1, lmic_raw[#Headers],0)))</f>
        <v>120.8265</v>
      </c>
      <c r="T134" s="33">
        <f>IF(INDEX(lmic_raw[],MATCH($A134,lmic_raw[[setting]:[setting]],0), MATCH(T$1, lmic_raw[#Headers],0))=0, INDEX(regions[], MATCH($D134, regions[[setting]:[setting]],0), MATCH(T$1, regions[#Headers],0)),INDEX(lmic_raw[],MATCH($A134,lmic_raw[[setting]:[setting]],0), MATCH(T$1, lmic_raw[#Headers],0)))</f>
        <v>120.8265</v>
      </c>
      <c r="U134" s="33">
        <f>IF(INDEX(lmic_raw[],MATCH($A134,lmic_raw[[setting]:[setting]],0), MATCH(U$1, lmic_raw[#Headers],0))=0, INDEX(regions[], MATCH($D134, regions[[setting]:[setting]],0), MATCH(U$1, regions[#Headers],0)),INDEX(lmic_raw[],MATCH($A134,lmic_raw[[setting]:[setting]],0), MATCH(U$1, lmic_raw[#Headers],0)))</f>
        <v>120.8265</v>
      </c>
      <c r="V134" s="33">
        <f>IF(INDEX(lmic_raw[],MATCH($A134,lmic_raw[[setting]:[setting]],0), MATCH(V$1, lmic_raw[#Headers],0))=0, INDEX(regions[], MATCH($D134, regions[[setting]:[setting]],0), MATCH(V$1, regions[#Headers],0)),INDEX(lmic_raw[],MATCH($A134,lmic_raw[[setting]:[setting]],0), MATCH(V$1, lmic_raw[#Headers],0)))</f>
        <v>1.7052590348850647</v>
      </c>
      <c r="W134" s="33">
        <f>IF(INDEX(lmic_raw[],MATCH($A134,lmic_raw[[setting]:[setting]],0), MATCH(W$1, lmic_raw[#Headers],0))=0, INDEX(regions[], MATCH($D134, regions[[setting]:[setting]],0), MATCH(W$1, regions[#Headers],0)),INDEX(lmic_raw[],MATCH($A134,lmic_raw[[setting]:[setting]],0), MATCH(W$1, lmic_raw[#Headers],0)))</f>
        <v>2.3352590348850648</v>
      </c>
      <c r="X134" s="33">
        <f>IF(INDEX(lmic_raw[],MATCH($A134,lmic_raw[[setting]:[setting]],0), MATCH(X$1, lmic_raw[#Headers],0))=0, INDEX(regions[], MATCH($D134, regions[[setting]:[setting]],0), MATCH(X$1, regions[#Headers],0)),INDEX(lmic_raw[],MATCH($A134,lmic_raw[[setting]:[setting]],0), MATCH(X$1, lmic_raw[#Headers],0)))</f>
        <v>1.2710188507591487</v>
      </c>
      <c r="Y134" s="33">
        <f>IF(INDEX(lmic_raw[],MATCH($A134,lmic_raw[[setting]:[setting]],0), MATCH(Y$1, lmic_raw[#Headers],0))=0, INDEX(regions[], MATCH($D134, regions[[setting]:[setting]],0), MATCH(Y$1, regions[#Headers],0)),INDEX(lmic_raw[],MATCH($A134,lmic_raw[[setting]:[setting]],0), MATCH(Y$1, lmic_raw[#Headers],0)))</f>
        <v>1.9010188507591486</v>
      </c>
      <c r="Z134" s="33">
        <f>IF(INDEX(lmic_raw[],MATCH($A134,lmic_raw[[setting]:[setting]],0), MATCH(Z$1, lmic_raw[#Headers],0))=0, INDEX(regions[], MATCH($D134, regions[[setting]:[setting]],0), MATCH(Z$1, regions[#Headers],0)),INDEX(lmic_raw[],MATCH($A134,lmic_raw[[setting]:[setting]],0), MATCH(Z$1, lmic_raw[#Headers],0)))</f>
        <v>1.8942429992135907</v>
      </c>
      <c r="AA134" s="33">
        <f>IF(INDEX(lmic_raw[],MATCH($A134,lmic_raw[[setting]:[setting]],0), MATCH(AA$1, lmic_raw[#Headers],0))=0, INDEX(regions[], MATCH($D134, regions[[setting]:[setting]],0), MATCH(AA$1, regions[#Headers],0)),INDEX(lmic_raw[],MATCH($A134,lmic_raw[[setting]:[setting]],0), MATCH(AA$1, lmic_raw[#Headers],0)))</f>
        <v>1.950013514281639</v>
      </c>
      <c r="AB134" s="33">
        <f>IF(INDEX(lmic_raw[],MATCH($A134,lmic_raw[[setting]:[setting]],0), MATCH(AB$1, lmic_raw[#Headers],0))=0, INDEX(regions[], MATCH($D134, regions[[setting]:[setting]],0), MATCH(AB$1, regions[#Headers],0)),INDEX(lmic_raw[],MATCH($A134,lmic_raw[[setting]:[setting]],0), MATCH(AB$1, lmic_raw[#Headers],0)))</f>
        <v>2.5800135142816392</v>
      </c>
      <c r="AC134" s="33">
        <f>IF(INDEX(lmic_raw[],MATCH($A134,lmic_raw[[setting]:[setting]],0), MATCH(AC$1, lmic_raw[#Headers],0))=0, INDEX(regions[], MATCH($D134, regions[[setting]:[setting]],0), MATCH(AC$1, regions[#Headers],0)),INDEX(lmic_raw[],MATCH($A134,lmic_raw[[setting]:[setting]],0), MATCH(AC$1, lmic_raw[#Headers],0)))</f>
        <v>1.6719989999999962E-2</v>
      </c>
      <c r="AD134" s="33">
        <f>IF(INDEX(lmic_raw[],MATCH($A134,lmic_raw[[setting]:[setting]],0), MATCH(AD$1, lmic_raw[#Headers],0))=0, INDEX(regions[], MATCH($D134, regions[[setting]:[setting]],0), MATCH(AD$1, regions[#Headers],0)),INDEX(lmic_raw[],MATCH($A134,lmic_raw[[setting]:[setting]],0), MATCH(AD$1, lmic_raw[#Headers],0)))</f>
        <v>1.074007392868686E-3</v>
      </c>
      <c r="AE134" s="33">
        <f>IF(INDEX(lmic_raw[],MATCH($A134,lmic_raw[[setting]:[setting]],0), MATCH(AE$1, lmic_raw[#Headers],0))=0, INDEX(regions[], MATCH($D134, regions[[setting]:[setting]],0), MATCH(AE$1, regions[#Headers],0)),INDEX(lmic_raw[],MATCH($A134,lmic_raw[[setting]:[setting]],0), MATCH(AE$1, lmic_raw[#Headers],0)))</f>
        <v>5.1986004761057371E-4</v>
      </c>
      <c r="AF134" s="33">
        <f>IF(INDEX(lmic_raw[],MATCH($A134,lmic_raw[[setting]:[setting]],0), MATCH(AF$1, lmic_raw[#Headers],0))=0, INDEX(regions[], MATCH($D134, regions[[setting]:[setting]],0), MATCH(AF$1, regions[#Headers],0)),INDEX(lmic_raw[],MATCH($A134,lmic_raw[[setting]:[setting]],0), MATCH(AF$1, lmic_raw[#Headers],0)))</f>
        <v>4.6425695482473959E-4</v>
      </c>
      <c r="AG134" s="33">
        <f>IF(INDEX(lmic_raw[],MATCH($A134,lmic_raw[[setting]:[setting]],0), MATCH(AG$1, lmic_raw[#Headers],0))=0, INDEX(regions[], MATCH($D134, regions[[setting]:[setting]],0), MATCH(AG$1, regions[#Headers],0)),INDEX(lmic_raw[],MATCH($A134,lmic_raw[[setting]:[setting]],0), MATCH(AG$1, lmic_raw[#Headers],0)))</f>
        <v>7.4709195853657256E-4</v>
      </c>
      <c r="AH134" s="33">
        <f>IF(INDEX(lmic_raw[],MATCH($A134,lmic_raw[[setting]:[setting]],0), MATCH(AH$1, lmic_raw[#Headers],0))=0, INDEX(regions[], MATCH($D134, regions[[setting]:[setting]],0), MATCH(AH$1, regions[#Headers],0)),INDEX(lmic_raw[],MATCH($A134,lmic_raw[[setting]:[setting]],0), MATCH(AH$1, lmic_raw[#Headers],0)))</f>
        <v>1.0949769120276764E-3</v>
      </c>
      <c r="AI134" s="33">
        <f>IF(INDEX(lmic_raw[],MATCH($A134,lmic_raw[[setting]:[setting]],0), MATCH(AI$1, lmic_raw[#Headers],0))=0, INDEX(regions[], MATCH($D134, regions[[setting]:[setting]],0), MATCH(AI$1, regions[#Headers],0)),INDEX(lmic_raw[],MATCH($A134,lmic_raw[[setting]:[setting]],0), MATCH(AI$1, lmic_raw[#Headers],0)))</f>
        <v>1.3478919967957097E-3</v>
      </c>
      <c r="AJ134" s="33">
        <f>IF(INDEX(lmic_raw[],MATCH($A134,lmic_raw[[setting]:[setting]],0), MATCH(AJ$1, lmic_raw[#Headers],0))=0, INDEX(regions[], MATCH($D134, regions[[setting]:[setting]],0), MATCH(AJ$1, regions[#Headers],0)),INDEX(lmic_raw[],MATCH($A134,lmic_raw[[setting]:[setting]],0), MATCH(AJ$1, lmic_raw[#Headers],0)))</f>
        <v>1.5740664399944847E-3</v>
      </c>
      <c r="AK134" s="33">
        <f>IF(INDEX(lmic_raw[],MATCH($A134,lmic_raw[[setting]:[setting]],0), MATCH(AK$1, lmic_raw[#Headers],0))=0, INDEX(regions[], MATCH($D134, regions[[setting]:[setting]],0), MATCH(AK$1, regions[#Headers],0)),INDEX(lmic_raw[],MATCH($A134,lmic_raw[[setting]:[setting]],0), MATCH(AK$1, lmic_raw[#Headers],0)))</f>
        <v>1.9469040335993407E-3</v>
      </c>
      <c r="AL134" s="33">
        <f>IF(INDEX(lmic_raw[],MATCH($A134,lmic_raw[[setting]:[setting]],0), MATCH(AL$1, lmic_raw[#Headers],0))=0, INDEX(regions[], MATCH($D134, regions[[setting]:[setting]],0), MATCH(AL$1, regions[#Headers],0)),INDEX(lmic_raw[],MATCH($A134,lmic_raw[[setting]:[setting]],0), MATCH(AL$1, lmic_raw[#Headers],0)))</f>
        <v>2.7465583305660434E-3</v>
      </c>
      <c r="AM134" s="33">
        <f>IF(INDEX(lmic_raw[],MATCH($A134,lmic_raw[[setting]:[setting]],0), MATCH(AM$1, lmic_raw[#Headers],0))=0, INDEX(regions[], MATCH($D134, regions[[setting]:[setting]],0), MATCH(AM$1, regions[#Headers],0)),INDEX(lmic_raw[],MATCH($A134,lmic_raw[[setting]:[setting]],0), MATCH(AM$1, lmic_raw[#Headers],0)))</f>
        <v>3.8466848305787659E-3</v>
      </c>
      <c r="AN134" s="33">
        <f>IF(INDEX(lmic_raw[],MATCH($A134,lmic_raw[[setting]:[setting]],0), MATCH(AN$1, lmic_raw[#Headers],0))=0, INDEX(regions[], MATCH($D134, regions[[setting]:[setting]],0), MATCH(AN$1, regions[#Headers],0)),INDEX(lmic_raw[],MATCH($A134,lmic_raw[[setting]:[setting]],0), MATCH(AN$1, lmic_raw[#Headers],0)))</f>
        <v>6.0966317411740006E-3</v>
      </c>
      <c r="AO134" s="33">
        <f>IF(INDEX(lmic_raw[],MATCH($A134,lmic_raw[[setting]:[setting]],0), MATCH(AO$1, lmic_raw[#Headers],0))=0, INDEX(regions[], MATCH($D134, regions[[setting]:[setting]],0), MATCH(AO$1, regions[#Headers],0)),INDEX(lmic_raw[],MATCH($A134,lmic_raw[[setting]:[setting]],0), MATCH(AO$1, lmic_raw[#Headers],0)))</f>
        <v>9.0932409918666086E-3</v>
      </c>
      <c r="AP134" s="33">
        <f>IF(INDEX(lmic_raw[],MATCH($A134,lmic_raw[[setting]:[setting]],0), MATCH(AP$1, lmic_raw[#Headers],0))=0, INDEX(regions[], MATCH($D134, regions[[setting]:[setting]],0), MATCH(AP$1, regions[#Headers],0)),INDEX(lmic_raw[],MATCH($A134,lmic_raw[[setting]:[setting]],0), MATCH(AP$1, lmic_raw[#Headers],0)))</f>
        <v>1.2370075602446197E-2</v>
      </c>
      <c r="AQ134" s="33">
        <f>IF(INDEX(lmic_raw[],MATCH($A134,lmic_raw[[setting]:[setting]],0), MATCH(AQ$1, lmic_raw[#Headers],0))=0, INDEX(regions[], MATCH($D134, regions[[setting]:[setting]],0), MATCH(AQ$1, regions[#Headers],0)),INDEX(lmic_raw[],MATCH($A134,lmic_raw[[setting]:[setting]],0), MATCH(AQ$1, lmic_raw[#Headers],0)))</f>
        <v>1.9666568842624615E-2</v>
      </c>
      <c r="AR134" s="33">
        <f>IF(INDEX(lmic_raw[],MATCH($A134,lmic_raw[[setting]:[setting]],0), MATCH(AR$1, lmic_raw[#Headers],0))=0, INDEX(regions[], MATCH($D134, regions[[setting]:[setting]],0), MATCH(AR$1, regions[#Headers],0)),INDEX(lmic_raw[],MATCH($A134,lmic_raw[[setting]:[setting]],0), MATCH(AR$1, lmic_raw[#Headers],0)))</f>
        <v>2.8573098496802996E-2</v>
      </c>
      <c r="AS134" s="33">
        <f>IF(INDEX(lmic_raw[],MATCH($A134,lmic_raw[[setting]:[setting]],0), MATCH(AS$1, lmic_raw[#Headers],0))=0, INDEX(regions[], MATCH($D134, regions[[setting]:[setting]],0), MATCH(AS$1, regions[#Headers],0)),INDEX(lmic_raw[],MATCH($A134,lmic_raw[[setting]:[setting]],0), MATCH(AS$1, lmic_raw[#Headers],0)))</f>
        <v>4.1358156500670547E-2</v>
      </c>
      <c r="AT134" s="33">
        <f>IF(INDEX(lmic_raw[],MATCH($A134,lmic_raw[[setting]:[setting]],0), MATCH(AT$1, lmic_raw[#Headers],0))=0, INDEX(regions[], MATCH($D134, regions[[setting]:[setting]],0), MATCH(AT$1, regions[#Headers],0)),INDEX(lmic_raw[],MATCH($A134,lmic_raw[[setting]:[setting]],0), MATCH(AT$1, lmic_raw[#Headers],0)))</f>
        <v>5.8806692514714494E-2</v>
      </c>
      <c r="AU134" s="33">
        <f>IF(INDEX(lmic_raw[],MATCH($A134,lmic_raw[[setting]:[setting]],0), MATCH(AU$1, lmic_raw[#Headers],0))=0, INDEX(regions[], MATCH($D134, regions[[setting]:[setting]],0), MATCH(AU$1, regions[#Headers],0)),INDEX(lmic_raw[],MATCH($A134,lmic_raw[[setting]:[setting]],0), MATCH(AU$1, lmic_raw[#Headers],0)))</f>
        <v>8.1261666688670561E-2</v>
      </c>
      <c r="AV134" s="33">
        <f>IF(INDEX(lmic_raw[],MATCH($A134,lmic_raw[[setting]:[setting]],0), MATCH(AV$1, lmic_raw[#Headers],0))=0, INDEX(regions[], MATCH($D134, regions[[setting]:[setting]],0), MATCH(AV$1, regions[#Headers],0)),INDEX(lmic_raw[],MATCH($A134,lmic_raw[[setting]:[setting]],0), MATCH(AV$1, lmic_raw[#Headers],0)))</f>
        <v>0.10752480831792274</v>
      </c>
      <c r="AW134" s="33">
        <f>IF(INDEX(lmic_raw[],MATCH($A134,lmic_raw[[setting]:[setting]],0), MATCH(AW$1, lmic_raw[#Headers],0))=0, INDEX(regions[], MATCH($D134, regions[[setting]:[setting]],0), MATCH(AW$1, regions[#Headers],0)),INDEX(lmic_raw[],MATCH($A134,lmic_raw[[setting]:[setting]],0), MATCH(AW$1, lmic_raw[#Headers],0)))</f>
        <v>0.13494558564392925</v>
      </c>
      <c r="AX134" s="33">
        <f>IF(INDEX(lmic_raw[],MATCH($A134,lmic_raw[[setting]:[setting]],0), MATCH(AX$1, lmic_raw[#Headers],0))=0, INDEX(regions[], MATCH($D134, regions[[setting]:[setting]],0), MATCH(AX$1, regions[#Headers],0)),INDEX(lmic_raw[],MATCH($A134,lmic_raw[[setting]:[setting]],0), MATCH(AX$1, lmic_raw[#Headers],0)))</f>
        <v>75.274000000000001</v>
      </c>
      <c r="AY134" s="33" t="str">
        <f>IF(VLOOKUP($A134,lmic_raw[],11,FALSE)=0, "Yes", "No")</f>
        <v>No</v>
      </c>
    </row>
    <row r="135" spans="1:51" x14ac:dyDescent="0.25">
      <c r="A135" s="110" t="s">
        <v>182</v>
      </c>
      <c r="B135" s="104" t="s">
        <v>540</v>
      </c>
      <c r="C135" s="105">
        <v>887</v>
      </c>
      <c r="D135" s="84" t="s">
        <v>673</v>
      </c>
      <c r="E135" s="84" t="s">
        <v>579</v>
      </c>
      <c r="F135" s="84" t="s">
        <v>579</v>
      </c>
      <c r="G135" s="84" t="s">
        <v>674</v>
      </c>
      <c r="H135" s="33">
        <f>IF(INDEX(lmic_raw[],MATCH($A135,lmic_raw[[setting]:[setting]],0), MATCH(H$1, lmic_raw[#Headers],0))=0, INDEX(regions[], MATCH($D135, regions[[setting]:[setting]],0), MATCH(H$1, regions[#Headers],0)),INDEX(lmic_raw[],MATCH($A135,lmic_raw[[setting]:[setting]],0), MATCH(H$1, lmic_raw[#Headers],0)))</f>
        <v>29161922</v>
      </c>
      <c r="I135" s="33">
        <f>IF(INDEX(lmic_raw[],MATCH($A135,lmic_raw[[setting]:[setting]],0), MATCH(I$1, lmic_raw[#Headers],0))=0, INDEX(regions[], MATCH($D135, regions[[setting]:[setting]],0), MATCH(I$1, regions[#Headers],0)),INDEX(lmic_raw[],MATCH($A135,lmic_raw[[setting]:[setting]],0), MATCH(I$1, lmic_raw[#Headers],0)))</f>
        <v>895475.13885400002</v>
      </c>
      <c r="J135" s="33">
        <f>IF(INDEX(lmic_raw[],MATCH($A135,lmic_raw[[setting]:[setting]],0), MATCH(J$1, lmic_raw[#Headers],0))=0, INDEX(regions[], MATCH($D135, regions[[setting]:[setting]],0), MATCH(J$1, regions[#Headers],0)),INDEX(lmic_raw[],MATCH($A135,lmic_raw[[setting]:[setting]],0), MATCH(J$1, lmic_raw[#Headers],0)))</f>
        <v>0.29799999999999999</v>
      </c>
      <c r="K135" s="33">
        <f>IF(INDEX(lmic_raw[],MATCH($A135,lmic_raw[[setting]:[setting]],0), MATCH(K$1, lmic_raw[#Headers],0))=0, INDEX(regions[], MATCH($D135, regions[[setting]:[setting]],0), MATCH(K$1, regions[#Headers],0)),INDEX(lmic_raw[],MATCH($A135,lmic_raw[[setting]:[setting]],0), MATCH(K$1, lmic_raw[#Headers],0)))</f>
        <v>0.70987607132960939</v>
      </c>
      <c r="L135" s="33">
        <f>IF(INDEX(lmic_raw[],MATCH($A135,lmic_raw[[setting]:[setting]],0), MATCH(L$1, lmic_raw[#Headers],0))=0, INDEX(regions[], MATCH($D135, regions[[setting]:[setting]],0), MATCH(L$1, regions[#Headers],0)),INDEX(lmic_raw[],MATCH($A135,lmic_raw[[setting]:[setting]],0), MATCH(L$1, lmic_raw[#Headers],0)))</f>
        <v>0.73</v>
      </c>
      <c r="M135" s="33">
        <f>IF(INDEX(lmic_raw[],MATCH($A135,lmic_raw[[setting]:[setting]],0), MATCH(M$1, lmic_raw[#Headers],0))=0, INDEX(regions[], MATCH($D135, regions[[setting]:[setting]],0), MATCH(M$1, regions[#Headers],0)),INDEX(lmic_raw[],MATCH($A135,lmic_raw[[setting]:[setting]],0), MATCH(M$1, lmic_raw[#Headers],0)))</f>
        <v>4.8899999999999999E-2</v>
      </c>
      <c r="N135" s="33">
        <f>IF(INDEX(lmic_raw[],MATCH($A135,lmic_raw[[setting]:[setting]],0), MATCH(N$1, lmic_raw[#Headers],0))=0, INDEX(regions[], MATCH($D135, regions[[setting]:[setting]],0), MATCH(N$1, regions[#Headers],0)),INDEX(lmic_raw[],MATCH($A135,lmic_raw[[setting]:[setting]],0), MATCH(N$1, lmic_raw[#Headers],0)))</f>
        <v>0.26474528561701743</v>
      </c>
      <c r="O135" s="33">
        <f>IF(INDEX(lmic_raw[],MATCH($A135,lmic_raw[[setting]:[setting]],0), MATCH(O$1, lmic_raw[#Headers],0))=0, INDEX(regions[], MATCH($D135, regions[[setting]:[setting]],0), MATCH(O$1, regions[#Headers],0)),INDEX(lmic_raw[],MATCH($A135,lmic_raw[[setting]:[setting]],0), MATCH(O$1, lmic_raw[#Headers],0)))</f>
        <v>0.8</v>
      </c>
      <c r="P135" s="33">
        <f>IF(INDEX(lmic_raw[],MATCH($A135,lmic_raw[[setting]:[setting]],0), MATCH(P$1, lmic_raw[#Headers],0))=0, INDEX(regions[], MATCH($D135, regions[[setting]:[setting]],0), MATCH(P$1, regions[#Headers],0)),INDEX(lmic_raw[],MATCH($A135,lmic_raw[[setting]:[setting]],0), MATCH(P$1, lmic_raw[#Headers],0)))</f>
        <v>0.17499999999999999</v>
      </c>
      <c r="Q135" s="33">
        <f>IF(INDEX(lmic_raw[],MATCH($A135,lmic_raw[[setting]:[setting]],0), MATCH(Q$1, lmic_raw[#Headers],0))=0, INDEX(regions[], MATCH($D135, regions[[setting]:[setting]],0), MATCH(Q$1, regions[#Headers],0)),INDEX(lmic_raw[],MATCH($A135,lmic_raw[[setting]:[setting]],0), MATCH(Q$1, lmic_raw[#Headers],0)))</f>
        <v>4.3911455525978695</v>
      </c>
      <c r="R135" s="33">
        <f>IF(INDEX(lmic_raw[],MATCH($A135,lmic_raw[[setting]:[setting]],0), MATCH(R$1, lmic_raw[#Headers],0))=0, INDEX(regions[], MATCH($D135, regions[[setting]:[setting]],0), MATCH(R$1, regions[#Headers],0)),INDEX(lmic_raw[],MATCH($A135,lmic_raw[[setting]:[setting]],0), MATCH(R$1, lmic_raw[#Headers],0)))</f>
        <v>46.335900000000002</v>
      </c>
      <c r="S135" s="33">
        <f>IF(INDEX(lmic_raw[],MATCH($A135,lmic_raw[[setting]:[setting]],0), MATCH(S$1, lmic_raw[#Headers],0))=0, INDEX(regions[], MATCH($D135, regions[[setting]:[setting]],0), MATCH(S$1, regions[#Headers],0)),INDEX(lmic_raw[],MATCH($A135,lmic_raw[[setting]:[setting]],0), MATCH(S$1, lmic_raw[#Headers],0)))</f>
        <v>94.077900000000014</v>
      </c>
      <c r="T135" s="33">
        <f>IF(INDEX(lmic_raw[],MATCH($A135,lmic_raw[[setting]:[setting]],0), MATCH(T$1, lmic_raw[#Headers],0))=0, INDEX(regions[], MATCH($D135, regions[[setting]:[setting]],0), MATCH(T$1, regions[#Headers],0)),INDEX(lmic_raw[],MATCH($A135,lmic_raw[[setting]:[setting]],0), MATCH(T$1, lmic_raw[#Headers],0)))</f>
        <v>94.077900000000014</v>
      </c>
      <c r="U135" s="33">
        <f>IF(INDEX(lmic_raw[],MATCH($A135,lmic_raw[[setting]:[setting]],0), MATCH(U$1, lmic_raw[#Headers],0))=0, INDEX(regions[], MATCH($D135, regions[[setting]:[setting]],0), MATCH(U$1, regions[#Headers],0)),INDEX(lmic_raw[],MATCH($A135,lmic_raw[[setting]:[setting]],0), MATCH(U$1, lmic_raw[#Headers],0)))</f>
        <v>94.077900000000014</v>
      </c>
      <c r="V135" s="33">
        <f>IF(INDEX(lmic_raw[],MATCH($A135,lmic_raw[[setting]:[setting]],0), MATCH(V$1, lmic_raw[#Headers],0))=0, INDEX(regions[], MATCH($D135, regions[[setting]:[setting]],0), MATCH(V$1, regions[#Headers],0)),INDEX(lmic_raw[],MATCH($A135,lmic_raw[[setting]:[setting]],0), MATCH(V$1, lmic_raw[#Headers],0)))</f>
        <v>1.3480996051170335</v>
      </c>
      <c r="W135" s="33">
        <f>IF(INDEX(lmic_raw[],MATCH($A135,lmic_raw[[setting]:[setting]],0), MATCH(W$1, lmic_raw[#Headers],0))=0, INDEX(regions[], MATCH($D135, regions[[setting]:[setting]],0), MATCH(W$1, regions[#Headers],0)),INDEX(lmic_raw[],MATCH($A135,lmic_raw[[setting]:[setting]],0), MATCH(W$1, lmic_raw[#Headers],0)))</f>
        <v>1.8280996051170335</v>
      </c>
      <c r="X135" s="33">
        <f>IF(INDEX(lmic_raw[],MATCH($A135,lmic_raw[[setting]:[setting]],0), MATCH(X$1, lmic_raw[#Headers],0))=0, INDEX(regions[], MATCH($D135, regions[[setting]:[setting]],0), MATCH(X$1, regions[#Headers],0)),INDEX(lmic_raw[],MATCH($A135,lmic_raw[[setting]:[setting]],0), MATCH(X$1, lmic_raw[#Headers],0)))</f>
        <v>0.9230218343247637</v>
      </c>
      <c r="Y135" s="33">
        <f>IF(INDEX(lmic_raw[],MATCH($A135,lmic_raw[[setting]:[setting]],0), MATCH(Y$1, lmic_raw[#Headers],0))=0, INDEX(regions[], MATCH($D135, regions[[setting]:[setting]],0), MATCH(Y$1, regions[#Headers],0)),INDEX(lmic_raw[],MATCH($A135,lmic_raw[[setting]:[setting]],0), MATCH(Y$1, lmic_raw[#Headers],0)))</f>
        <v>1.4030218343247638</v>
      </c>
      <c r="Z135" s="33">
        <f>IF(INDEX(lmic_raw[],MATCH($A135,lmic_raw[[setting]:[setting]],0), MATCH(Z$1, lmic_raw[#Headers],0))=0, INDEX(regions[], MATCH($D135, regions[[setting]:[setting]],0), MATCH(Z$1, regions[#Headers],0)),INDEX(lmic_raw[],MATCH($A135,lmic_raw[[setting]:[setting]],0), MATCH(Z$1, lmic_raw[#Headers],0)))</f>
        <v>1.4000602292984023</v>
      </c>
      <c r="AA135" s="33">
        <f>IF(INDEX(lmic_raw[],MATCH($A135,lmic_raw[[setting]:[setting]],0), MATCH(AA$1, lmic_raw[#Headers],0))=0, INDEX(regions[], MATCH($D135, regions[[setting]:[setting]],0), MATCH(AA$1, regions[#Headers],0)),INDEX(lmic_raw[],MATCH($A135,lmic_raw[[setting]:[setting]],0), MATCH(AA$1, lmic_raw[#Headers],0)))</f>
        <v>1.5895513541258988</v>
      </c>
      <c r="AB135" s="33">
        <f>IF(INDEX(lmic_raw[],MATCH($A135,lmic_raw[[setting]:[setting]],0), MATCH(AB$1, lmic_raw[#Headers],0))=0, INDEX(regions[], MATCH($D135, regions[[setting]:[setting]],0), MATCH(AB$1, regions[#Headers],0)),INDEX(lmic_raw[],MATCH($A135,lmic_raw[[setting]:[setting]],0), MATCH(AB$1, lmic_raw[#Headers],0)))</f>
        <v>2.069551354125899</v>
      </c>
      <c r="AC135" s="33">
        <f>IF(INDEX(lmic_raw[],MATCH($A135,lmic_raw[[setting]:[setting]],0), MATCH(AC$1, lmic_raw[#Headers],0))=0, INDEX(regions[], MATCH($D135, regions[[setting]:[setting]],0), MATCH(AC$1, regions[#Headers],0)),INDEX(lmic_raw[],MATCH($A135,lmic_raw[[setting]:[setting]],0), MATCH(AC$1, lmic_raw[#Headers],0)))</f>
        <v>4.3243819999999975E-2</v>
      </c>
      <c r="AD135" s="33">
        <f>IF(INDEX(lmic_raw[],MATCH($A135,lmic_raw[[setting]:[setting]],0), MATCH(AD$1, lmic_raw[#Headers],0))=0, INDEX(regions[], MATCH($D135, regions[[setting]:[setting]],0), MATCH(AD$1, regions[#Headers],0)),INDEX(lmic_raw[],MATCH($A135,lmic_raw[[setting]:[setting]],0), MATCH(AD$1, lmic_raw[#Headers],0)))</f>
        <v>3.1878628680506588E-3</v>
      </c>
      <c r="AE135" s="33">
        <f>IF(INDEX(lmic_raw[],MATCH($A135,lmic_raw[[setting]:[setting]],0), MATCH(AE$1, lmic_raw[#Headers],0))=0, INDEX(regions[], MATCH($D135, regions[[setting]:[setting]],0), MATCH(AE$1, regions[#Headers],0)),INDEX(lmic_raw[],MATCH($A135,lmic_raw[[setting]:[setting]],0), MATCH(AE$1, lmic_raw[#Headers],0)))</f>
        <v>1.0755104394799659E-3</v>
      </c>
      <c r="AF135" s="33">
        <f>IF(INDEX(lmic_raw[],MATCH($A135,lmic_raw[[setting]:[setting]],0), MATCH(AF$1, lmic_raw[#Headers],0))=0, INDEX(regions[], MATCH($D135, regions[[setting]:[setting]],0), MATCH(AF$1, regions[#Headers],0)),INDEX(lmic_raw[],MATCH($A135,lmic_raw[[setting]:[setting]],0), MATCH(AF$1, lmic_raw[#Headers],0)))</f>
        <v>8.2982149371977341E-4</v>
      </c>
      <c r="AG135" s="33">
        <f>IF(INDEX(lmic_raw[],MATCH($A135,lmic_raw[[setting]:[setting]],0), MATCH(AG$1, lmic_raw[#Headers],0))=0, INDEX(regions[], MATCH($D135, regions[[setting]:[setting]],0), MATCH(AG$1, regions[#Headers],0)),INDEX(lmic_raw[],MATCH($A135,lmic_raw[[setting]:[setting]],0), MATCH(AG$1, lmic_raw[#Headers],0)))</f>
        <v>1.446398804521814E-3</v>
      </c>
      <c r="AH135" s="33">
        <f>IF(INDEX(lmic_raw[],MATCH($A135,lmic_raw[[setting]:[setting]],0), MATCH(AH$1, lmic_raw[#Headers],0))=0, INDEX(regions[], MATCH($D135, regions[[setting]:[setting]],0), MATCH(AH$1, regions[#Headers],0)),INDEX(lmic_raw[],MATCH($A135,lmic_raw[[setting]:[setting]],0), MATCH(AH$1, lmic_raw[#Headers],0)))</f>
        <v>1.8867766078899048E-3</v>
      </c>
      <c r="AI135" s="33">
        <f>IF(INDEX(lmic_raw[],MATCH($A135,lmic_raw[[setting]:[setting]],0), MATCH(AI$1, lmic_raw[#Headers],0))=0, INDEX(regions[], MATCH($D135, regions[[setting]:[setting]],0), MATCH(AI$1, regions[#Headers],0)),INDEX(lmic_raw[],MATCH($A135,lmic_raw[[setting]:[setting]],0), MATCH(AI$1, lmic_raw[#Headers],0)))</f>
        <v>2.0189155952171694E-3</v>
      </c>
      <c r="AJ135" s="33">
        <f>IF(INDEX(lmic_raw[],MATCH($A135,lmic_raw[[setting]:[setting]],0), MATCH(AJ$1, lmic_raw[#Headers],0))=0, INDEX(regions[], MATCH($D135, regions[[setting]:[setting]],0), MATCH(AJ$1, regions[#Headers],0)),INDEX(lmic_raw[],MATCH($A135,lmic_raw[[setting]:[setting]],0), MATCH(AJ$1, lmic_raw[#Headers],0)))</f>
        <v>2.3586579614804717E-3</v>
      </c>
      <c r="AK135" s="33">
        <f>IF(INDEX(lmic_raw[],MATCH($A135,lmic_raw[[setting]:[setting]],0), MATCH(AK$1, lmic_raw[#Headers],0))=0, INDEX(regions[], MATCH($D135, regions[[setting]:[setting]],0), MATCH(AK$1, regions[#Headers],0)),INDEX(lmic_raw[],MATCH($A135,lmic_raw[[setting]:[setting]],0), MATCH(AK$1, lmic_raw[#Headers],0)))</f>
        <v>3.054114436365872E-3</v>
      </c>
      <c r="AL135" s="33">
        <f>IF(INDEX(lmic_raw[],MATCH($A135,lmic_raw[[setting]:[setting]],0), MATCH(AL$1, lmic_raw[#Headers],0))=0, INDEX(regions[], MATCH($D135, regions[[setting]:[setting]],0), MATCH(AL$1, regions[#Headers],0)),INDEX(lmic_raw[],MATCH($A135,lmic_raw[[setting]:[setting]],0), MATCH(AL$1, lmic_raw[#Headers],0)))</f>
        <v>4.1560499368770336E-3</v>
      </c>
      <c r="AM135" s="33">
        <f>IF(INDEX(lmic_raw[],MATCH($A135,lmic_raw[[setting]:[setting]],0), MATCH(AM$1, lmic_raw[#Headers],0))=0, INDEX(regions[], MATCH($D135, regions[[setting]:[setting]],0), MATCH(AM$1, regions[#Headers],0)),INDEX(lmic_raw[],MATCH($A135,lmic_raw[[setting]:[setting]],0), MATCH(AM$1, lmic_raw[#Headers],0)))</f>
        <v>5.9924111580954504E-3</v>
      </c>
      <c r="AN135" s="33">
        <f>IF(INDEX(lmic_raw[],MATCH($A135,lmic_raw[[setting]:[setting]],0), MATCH(AN$1, lmic_raw[#Headers],0))=0, INDEX(regions[], MATCH($D135, regions[[setting]:[setting]],0), MATCH(AN$1, regions[#Headers],0)),INDEX(lmic_raw[],MATCH($A135,lmic_raw[[setting]:[setting]],0), MATCH(AN$1, lmic_raw[#Headers],0)))</f>
        <v>8.8663325937431287E-3</v>
      </c>
      <c r="AO135" s="33">
        <f>IF(INDEX(lmic_raw[],MATCH($A135,lmic_raw[[setting]:[setting]],0), MATCH(AO$1, lmic_raw[#Headers],0))=0, INDEX(regions[], MATCH($D135, regions[[setting]:[setting]],0), MATCH(AO$1, regions[#Headers],0)),INDEX(lmic_raw[],MATCH($A135,lmic_raw[[setting]:[setting]],0), MATCH(AO$1, lmic_raw[#Headers],0)))</f>
        <v>1.3350100903980642E-2</v>
      </c>
      <c r="AP135" s="33">
        <f>IF(INDEX(lmic_raw[],MATCH($A135,lmic_raw[[setting]:[setting]],0), MATCH(AP$1, lmic_raw[#Headers],0))=0, INDEX(regions[], MATCH($D135, regions[[setting]:[setting]],0), MATCH(AP$1, regions[#Headers],0)),INDEX(lmic_raw[],MATCH($A135,lmic_raw[[setting]:[setting]],0), MATCH(AP$1, lmic_raw[#Headers],0)))</f>
        <v>2.0719238188878747E-2</v>
      </c>
      <c r="AQ135" s="33">
        <f>IF(INDEX(lmic_raw[],MATCH($A135,lmic_raw[[setting]:[setting]],0), MATCH(AQ$1, lmic_raw[#Headers],0))=0, INDEX(regions[], MATCH($D135, regions[[setting]:[setting]],0), MATCH(AQ$1, regions[#Headers],0)),INDEX(lmic_raw[],MATCH($A135,lmic_raw[[setting]:[setting]],0), MATCH(AQ$1, lmic_raw[#Headers],0)))</f>
        <v>3.1931810153579147E-2</v>
      </c>
      <c r="AR135" s="33">
        <f>IF(INDEX(lmic_raw[],MATCH($A135,lmic_raw[[setting]:[setting]],0), MATCH(AR$1, lmic_raw[#Headers],0))=0, INDEX(regions[], MATCH($D135, regions[[setting]:[setting]],0), MATCH(AR$1, regions[#Headers],0)),INDEX(lmic_raw[],MATCH($A135,lmic_raw[[setting]:[setting]],0), MATCH(AR$1, lmic_raw[#Headers],0)))</f>
        <v>4.9280370540045165E-2</v>
      </c>
      <c r="AS135" s="33">
        <f>IF(INDEX(lmic_raw[],MATCH($A135,lmic_raw[[setting]:[setting]],0), MATCH(AS$1, lmic_raw[#Headers],0))=0, INDEX(regions[], MATCH($D135, regions[[setting]:[setting]],0), MATCH(AS$1, regions[#Headers],0)),INDEX(lmic_raw[],MATCH($A135,lmic_raw[[setting]:[setting]],0), MATCH(AS$1, lmic_raw[#Headers],0)))</f>
        <v>7.3902786181256466E-2</v>
      </c>
      <c r="AT135" s="33">
        <f>IF(INDEX(lmic_raw[],MATCH($A135,lmic_raw[[setting]:[setting]],0), MATCH(AT$1, lmic_raw[#Headers],0))=0, INDEX(regions[], MATCH($D135, regions[[setting]:[setting]],0), MATCH(AT$1, regions[#Headers],0)),INDEX(lmic_raw[],MATCH($A135,lmic_raw[[setting]:[setting]],0), MATCH(AT$1, lmic_raw[#Headers],0)))</f>
        <v>0.10372426533424323</v>
      </c>
      <c r="AU135" s="33">
        <f>IF(INDEX(lmic_raw[],MATCH($A135,lmic_raw[[setting]:[setting]],0), MATCH(AU$1, lmic_raw[#Headers],0))=0, INDEX(regions[], MATCH($D135, regions[[setting]:[setting]],0), MATCH(AU$1, regions[#Headers],0)),INDEX(lmic_raw[],MATCH($A135,lmic_raw[[setting]:[setting]],0), MATCH(AU$1, lmic_raw[#Headers],0)))</f>
        <v>0.13277904193486845</v>
      </c>
      <c r="AV135" s="33">
        <f>IF(INDEX(lmic_raw[],MATCH($A135,lmic_raw[[setting]:[setting]],0), MATCH(AV$1, lmic_raw[#Headers],0))=0, INDEX(regions[], MATCH($D135, regions[[setting]:[setting]],0), MATCH(AV$1, regions[#Headers],0)),INDEX(lmic_raw[],MATCH($A135,lmic_raw[[setting]:[setting]],0), MATCH(AV$1, lmic_raw[#Headers],0)))</f>
        <v>0.15834114184673809</v>
      </c>
      <c r="AW135" s="33">
        <f>IF(INDEX(lmic_raw[],MATCH($A135,lmic_raw[[setting]:[setting]],0), MATCH(AW$1, lmic_raw[#Headers],0))=0, INDEX(regions[], MATCH($D135, regions[[setting]:[setting]],0), MATCH(AW$1, regions[#Headers],0)),INDEX(lmic_raw[],MATCH($A135,lmic_raw[[setting]:[setting]],0), MATCH(AW$1, lmic_raw[#Headers],0)))</f>
        <v>0.17720592465305168</v>
      </c>
      <c r="AX135" s="33">
        <f>IF(INDEX(lmic_raw[],MATCH($A135,lmic_raw[[setting]:[setting]],0), MATCH(AX$1, lmic_raw[#Headers],0))=0, INDEX(regions[], MATCH($D135, regions[[setting]:[setting]],0), MATCH(AX$1, regions[#Headers],0)),INDEX(lmic_raw[],MATCH($A135,lmic_raw[[setting]:[setting]],0), MATCH(AX$1, lmic_raw[#Headers],0)))</f>
        <v>66.033000000000001</v>
      </c>
      <c r="AY135" s="33" t="str">
        <f>IF(VLOOKUP($A135,lmic_raw[],11,FALSE)=0, "Yes", "No")</f>
        <v>Yes</v>
      </c>
    </row>
    <row r="136" spans="1:51" x14ac:dyDescent="0.25">
      <c r="A136" s="109" t="s">
        <v>119</v>
      </c>
      <c r="B136" s="101" t="s">
        <v>541</v>
      </c>
      <c r="C136" s="102">
        <v>894</v>
      </c>
      <c r="D136" s="82" t="s">
        <v>677</v>
      </c>
      <c r="E136" s="82" t="s">
        <v>597</v>
      </c>
      <c r="F136" s="82" t="s">
        <v>667</v>
      </c>
      <c r="G136" s="82" t="s">
        <v>678</v>
      </c>
      <c r="H136" s="33">
        <f>IF(INDEX(lmic_raw[],MATCH($A136,lmic_raw[[setting]:[setting]],0), MATCH(H$1, lmic_raw[#Headers],0))=0, INDEX(regions[], MATCH($D136, regions[[setting]:[setting]],0), MATCH(H$1, regions[#Headers],0)),INDEX(lmic_raw[],MATCH($A136,lmic_raw[[setting]:[setting]],0), MATCH(H$1, lmic_raw[#Headers],0)))</f>
        <v>17861034</v>
      </c>
      <c r="I136" s="33">
        <f>IF(INDEX(lmic_raw[],MATCH($A136,lmic_raw[[setting]:[setting]],0), MATCH(I$1, lmic_raw[#Headers],0))=0, INDEX(regions[], MATCH($D136, regions[[setting]:[setting]],0), MATCH(I$1, regions[#Headers],0)),INDEX(lmic_raw[],MATCH($A136,lmic_raw[[setting]:[setting]],0), MATCH(I$1, lmic_raw[#Headers],0)))</f>
        <v>648051.89662200003</v>
      </c>
      <c r="J136" s="33">
        <f>IF(INDEX(lmic_raw[],MATCH($A136,lmic_raw[[setting]:[setting]],0), MATCH(J$1, lmic_raw[#Headers],0))=0, INDEX(regions[], MATCH($D136, regions[[setting]:[setting]],0), MATCH(J$1, regions[#Headers],0)),INDEX(lmic_raw[],MATCH($A136,lmic_raw[[setting]:[setting]],0), MATCH(J$1, lmic_raw[#Headers],0)))</f>
        <v>0.83799999999999997</v>
      </c>
      <c r="K136" s="33">
        <f>IF(INDEX(lmic_raw[],MATCH($A136,lmic_raw[[setting]:[setting]],0), MATCH(K$1, lmic_raw[#Headers],0))=0, INDEX(regions[], MATCH($D136, regions[[setting]:[setting]],0), MATCH(K$1, regions[#Headers],0)),INDEX(lmic_raw[],MATCH($A136,lmic_raw[[setting]:[setting]],0), MATCH(K$1, lmic_raw[#Headers],0)))</f>
        <v>0.94</v>
      </c>
      <c r="L136" s="33">
        <f>IF(INDEX(lmic_raw[],MATCH($A136,lmic_raw[[setting]:[setting]],0), MATCH(L$1, lmic_raw[#Headers],0))=0, INDEX(regions[], MATCH($D136, regions[[setting]:[setting]],0), MATCH(L$1, regions[#Headers],0)),INDEX(lmic_raw[],MATCH($A136,lmic_raw[[setting]:[setting]],0), MATCH(L$1, lmic_raw[#Headers],0)))</f>
        <v>0.88</v>
      </c>
      <c r="M136" s="33">
        <f>IF(INDEX(lmic_raw[],MATCH($A136,lmic_raw[[setting]:[setting]],0), MATCH(M$1, lmic_raw[#Headers],0))=0, INDEX(regions[], MATCH($D136, regions[[setting]:[setting]],0), MATCH(M$1, regions[#Headers],0)),INDEX(lmic_raw[],MATCH($A136,lmic_raw[[setting]:[setting]],0), MATCH(M$1, lmic_raw[#Headers],0)))</f>
        <v>4.0599999999999997E-2</v>
      </c>
      <c r="N136" s="33">
        <f>IF(INDEX(lmic_raw[],MATCH($A136,lmic_raw[[setting]:[setting]],0), MATCH(N$1, lmic_raw[#Headers],0))=0, INDEX(regions[], MATCH($D136, regions[[setting]:[setting]],0), MATCH(N$1, regions[#Headers],0)),INDEX(lmic_raw[],MATCH($A136,lmic_raw[[setting]:[setting]],0), MATCH(N$1, lmic_raw[#Headers],0)))</f>
        <v>0.29477307241722039</v>
      </c>
      <c r="O136" s="33">
        <f>IF(INDEX(lmic_raw[],MATCH($A136,lmic_raw[[setting]:[setting]],0), MATCH(O$1, lmic_raw[#Headers],0))=0, INDEX(regions[], MATCH($D136, regions[[setting]:[setting]],0), MATCH(O$1, regions[#Headers],0)),INDEX(lmic_raw[],MATCH($A136,lmic_raw[[setting]:[setting]],0), MATCH(O$1, lmic_raw[#Headers],0)))</f>
        <v>0.38300000000000001</v>
      </c>
      <c r="P136" s="33">
        <f>IF(INDEX(lmic_raw[],MATCH($A136,lmic_raw[[setting]:[setting]],0), MATCH(P$1, lmic_raw[#Headers],0))=0, INDEX(regions[], MATCH($D136, regions[[setting]:[setting]],0), MATCH(P$1, regions[#Headers],0)),INDEX(lmic_raw[],MATCH($A136,lmic_raw[[setting]:[setting]],0), MATCH(P$1, lmic_raw[#Headers],0)))</f>
        <v>4.8000000000000001E-2</v>
      </c>
      <c r="Q136" s="33">
        <f>IF(INDEX(lmic_raw[],MATCH($A136,lmic_raw[[setting]:[setting]],0), MATCH(Q$1, lmic_raw[#Headers],0))=0, INDEX(regions[], MATCH($D136, regions[[setting]:[setting]],0), MATCH(Q$1, regions[#Headers],0)),INDEX(lmic_raw[],MATCH($A136,lmic_raw[[setting]:[setting]],0), MATCH(Q$1, lmic_raw[#Headers],0)))</f>
        <v>3.26358578761449</v>
      </c>
      <c r="R136" s="33">
        <f>IF(INDEX(lmic_raw[],MATCH($A136,lmic_raw[[setting]:[setting]],0), MATCH(R$1, lmic_raw[#Headers],0))=0, INDEX(regions[], MATCH($D136, regions[[setting]:[setting]],0), MATCH(R$1, regions[#Headers],0)),INDEX(lmic_raw[],MATCH($A136,lmic_raw[[setting]:[setting]],0), MATCH(R$1, lmic_raw[#Headers],0)))</f>
        <v>29.920500000000001</v>
      </c>
      <c r="S136" s="33">
        <f>IF(INDEX(lmic_raw[],MATCH($A136,lmic_raw[[setting]:[setting]],0), MATCH(S$1, lmic_raw[#Headers],0))=0, INDEX(regions[], MATCH($D136, regions[[setting]:[setting]],0), MATCH(S$1, regions[#Headers],0)),INDEX(lmic_raw[],MATCH($A136,lmic_raw[[setting]:[setting]],0), MATCH(S$1, lmic_raw[#Headers],0)))</f>
        <v>77.662500000000009</v>
      </c>
      <c r="T136" s="33">
        <f>IF(INDEX(lmic_raw[],MATCH($A136,lmic_raw[[setting]:[setting]],0), MATCH(T$1, lmic_raw[#Headers],0))=0, INDEX(regions[], MATCH($D136, regions[[setting]:[setting]],0), MATCH(T$1, regions[#Headers],0)),INDEX(lmic_raw[],MATCH($A136,lmic_raw[[setting]:[setting]],0), MATCH(T$1, lmic_raw[#Headers],0)))</f>
        <v>77.662500000000009</v>
      </c>
      <c r="U136" s="33">
        <f>IF(INDEX(lmic_raw[],MATCH($A136,lmic_raw[[setting]:[setting]],0), MATCH(U$1, lmic_raw[#Headers],0))=0, INDEX(regions[], MATCH($D136, regions[[setting]:[setting]],0), MATCH(U$1, regions[#Headers],0)),INDEX(lmic_raw[],MATCH($A136,lmic_raw[[setting]:[setting]],0), MATCH(U$1, lmic_raw[#Headers],0)))</f>
        <v>77.662500000000009</v>
      </c>
      <c r="V136" s="33">
        <f>IF(INDEX(lmic_raw[],MATCH($A136,lmic_raw[[setting]:[setting]],0), MATCH(V$1, lmic_raw[#Headers],0))=0, INDEX(regions[], MATCH($D136, regions[[setting]:[setting]],0), MATCH(V$1, regions[#Headers],0)),INDEX(lmic_raw[],MATCH($A136,lmic_raw[[setting]:[setting]],0), MATCH(V$1, lmic_raw[#Headers],0)))</f>
        <v>2.9050076754459182</v>
      </c>
      <c r="W136" s="33">
        <f>IF(INDEX(lmic_raw[],MATCH($A136,lmic_raw[[setting]:[setting]],0), MATCH(W$1, lmic_raw[#Headers],0))=0, INDEX(regions[], MATCH($D136, regions[[setting]:[setting]],0), MATCH(W$1, regions[#Headers],0)),INDEX(lmic_raw[],MATCH($A136,lmic_raw[[setting]:[setting]],0), MATCH(W$1, lmic_raw[#Headers],0)))</f>
        <v>7.7350076754459183</v>
      </c>
      <c r="X136" s="33">
        <f>IF(INDEX(lmic_raw[],MATCH($A136,lmic_raw[[setting]:[setting]],0), MATCH(X$1, lmic_raw[#Headers],0))=0, INDEX(regions[], MATCH($D136, regions[[setting]:[setting]],0), MATCH(X$1, regions[#Headers],0)),INDEX(lmic_raw[],MATCH($A136,lmic_raw[[setting]:[setting]],0), MATCH(X$1, lmic_raw[#Headers],0)))</f>
        <v>2.4790762376889317</v>
      </c>
      <c r="Y136" s="33">
        <f>IF(INDEX(lmic_raw[],MATCH($A136,lmic_raw[[setting]:[setting]],0), MATCH(Y$1, lmic_raw[#Headers],0))=0, INDEX(regions[], MATCH($D136, regions[[setting]:[setting]],0), MATCH(Y$1, regions[#Headers],0)),INDEX(lmic_raw[],MATCH($A136,lmic_raw[[setting]:[setting]],0), MATCH(Y$1, lmic_raw[#Headers],0)))</f>
        <v>7.3090762376889318</v>
      </c>
      <c r="Z136" s="33">
        <f>IF(INDEX(lmic_raw[],MATCH($A136,lmic_raw[[setting]:[setting]],0), MATCH(Z$1, lmic_raw[#Headers],0))=0, INDEX(regions[], MATCH($D136, regions[[setting]:[setting]],0), MATCH(Z$1, regions[#Headers],0)),INDEX(lmic_raw[],MATCH($A136,lmic_raw[[setting]:[setting]],0), MATCH(Z$1, lmic_raw[#Headers],0)))</f>
        <v>7.3056735113802382</v>
      </c>
      <c r="AA136" s="33">
        <f>IF(INDEX(lmic_raw[],MATCH($A136,lmic_raw[[setting]:[setting]],0), MATCH(AA$1, lmic_raw[#Headers],0))=0, INDEX(regions[], MATCH($D136, regions[[setting]:[setting]],0), MATCH(AA$1, regions[#Headers],0)),INDEX(lmic_raw[],MATCH($A136,lmic_raw[[setting]:[setting]],0), MATCH(AA$1, lmic_raw[#Headers],0)))</f>
        <v>3.1467671416164835</v>
      </c>
      <c r="AB136" s="33">
        <f>IF(INDEX(lmic_raw[],MATCH($A136,lmic_raw[[setting]:[setting]],0), MATCH(AB$1, lmic_raw[#Headers],0))=0, INDEX(regions[], MATCH($D136, regions[[setting]:[setting]],0), MATCH(AB$1, regions[#Headers],0)),INDEX(lmic_raw[],MATCH($A136,lmic_raw[[setting]:[setting]],0), MATCH(AB$1, lmic_raw[#Headers],0)))</f>
        <v>7.9767671416164836</v>
      </c>
      <c r="AC136" s="33">
        <f>IF(INDEX(lmic_raw[],MATCH($A136,lmic_raw[[setting]:[setting]],0), MATCH(AC$1, lmic_raw[#Headers],0))=0, INDEX(regions[], MATCH($D136, regions[[setting]:[setting]],0), MATCH(AC$1, regions[#Headers],0)),INDEX(lmic_raw[],MATCH($A136,lmic_raw[[setting]:[setting]],0), MATCH(AC$1, lmic_raw[#Headers],0)))</f>
        <v>4.562187000000005E-2</v>
      </c>
      <c r="AD136" s="33">
        <f>IF(INDEX(lmic_raw[],MATCH($A136,lmic_raw[[setting]:[setting]],0), MATCH(AD$1, lmic_raw[#Headers],0))=0, INDEX(regions[], MATCH($D136, regions[[setting]:[setting]],0), MATCH(AD$1, regions[#Headers],0)),INDEX(lmic_raw[],MATCH($A136,lmic_raw[[setting]:[setting]],0), MATCH(AD$1, lmic_raw[#Headers],0)))</f>
        <v>3.9584650792448229E-3</v>
      </c>
      <c r="AE136" s="33">
        <f>IF(INDEX(lmic_raw[],MATCH($A136,lmic_raw[[setting]:[setting]],0), MATCH(AE$1, lmic_raw[#Headers],0))=0, INDEX(regions[], MATCH($D136, regions[[setting]:[setting]],0), MATCH(AE$1, regions[#Headers],0)),INDEX(lmic_raw[],MATCH($A136,lmic_raw[[setting]:[setting]],0), MATCH(AE$1, lmic_raw[#Headers],0)))</f>
        <v>1.1583547777231982E-3</v>
      </c>
      <c r="AF136" s="33">
        <f>IF(INDEX(lmic_raw[],MATCH($A136,lmic_raw[[setting]:[setting]],0), MATCH(AF$1, lmic_raw[#Headers],0))=0, INDEX(regions[], MATCH($D136, regions[[setting]:[setting]],0), MATCH(AF$1, regions[#Headers],0)),INDEX(lmic_raw[],MATCH($A136,lmic_raw[[setting]:[setting]],0), MATCH(AF$1, lmic_raw[#Headers],0)))</f>
        <v>9.1470513016646152E-4</v>
      </c>
      <c r="AG136" s="33">
        <f>IF(INDEX(lmic_raw[],MATCH($A136,lmic_raw[[setting]:[setting]],0), MATCH(AG$1, lmic_raw[#Headers],0))=0, INDEX(regions[], MATCH($D136, regions[[setting]:[setting]],0), MATCH(AG$1, regions[#Headers],0)),INDEX(lmic_raw[],MATCH($A136,lmic_raw[[setting]:[setting]],0), MATCH(AG$1, lmic_raw[#Headers],0)))</f>
        <v>1.531452003082653E-3</v>
      </c>
      <c r="AH136" s="33">
        <f>IF(INDEX(lmic_raw[],MATCH($A136,lmic_raw[[setting]:[setting]],0), MATCH(AH$1, lmic_raw[#Headers],0))=0, INDEX(regions[], MATCH($D136, regions[[setting]:[setting]],0), MATCH(AH$1, regions[#Headers],0)),INDEX(lmic_raw[],MATCH($A136,lmic_raw[[setting]:[setting]],0), MATCH(AH$1, lmic_raw[#Headers],0)))</f>
        <v>2.4741698327244675E-3</v>
      </c>
      <c r="AI136" s="33">
        <f>IF(INDEX(lmic_raw[],MATCH($A136,lmic_raw[[setting]:[setting]],0), MATCH(AI$1, lmic_raw[#Headers],0))=0, INDEX(regions[], MATCH($D136, regions[[setting]:[setting]],0), MATCH(AI$1, regions[#Headers],0)),INDEX(lmic_raw[],MATCH($A136,lmic_raw[[setting]:[setting]],0), MATCH(AI$1, lmic_raw[#Headers],0)))</f>
        <v>3.4911013295935273E-3</v>
      </c>
      <c r="AJ136" s="33">
        <f>IF(INDEX(lmic_raw[],MATCH($A136,lmic_raw[[setting]:[setting]],0), MATCH(AJ$1, lmic_raw[#Headers],0))=0, INDEX(regions[], MATCH($D136, regions[[setting]:[setting]],0), MATCH(AJ$1, regions[#Headers],0)),INDEX(lmic_raw[],MATCH($A136,lmic_raw[[setting]:[setting]],0), MATCH(AJ$1, lmic_raw[#Headers],0)))</f>
        <v>4.6009529940942706E-3</v>
      </c>
      <c r="AK136" s="33">
        <f>IF(INDEX(lmic_raw[],MATCH($A136,lmic_raw[[setting]:[setting]],0), MATCH(AK$1, lmic_raw[#Headers],0))=0, INDEX(regions[], MATCH($D136, regions[[setting]:[setting]],0), MATCH(AK$1, regions[#Headers],0)),INDEX(lmic_raw[],MATCH($A136,lmic_raw[[setting]:[setting]],0), MATCH(AK$1, lmic_raw[#Headers],0)))</f>
        <v>6.1717718734134166E-3</v>
      </c>
      <c r="AL136" s="33">
        <f>IF(INDEX(lmic_raw[],MATCH($A136,lmic_raw[[setting]:[setting]],0), MATCH(AL$1, lmic_raw[#Headers],0))=0, INDEX(regions[], MATCH($D136, regions[[setting]:[setting]],0), MATCH(AL$1, regions[#Headers],0)),INDEX(lmic_raw[],MATCH($A136,lmic_raw[[setting]:[setting]],0), MATCH(AL$1, lmic_raw[#Headers],0)))</f>
        <v>7.6011520993801212E-3</v>
      </c>
      <c r="AM136" s="33">
        <f>IF(INDEX(lmic_raw[],MATCH($A136,lmic_raw[[setting]:[setting]],0), MATCH(AM$1, lmic_raw[#Headers],0))=0, INDEX(regions[], MATCH($D136, regions[[setting]:[setting]],0), MATCH(AM$1, regions[#Headers],0)),INDEX(lmic_raw[],MATCH($A136,lmic_raw[[setting]:[setting]],0), MATCH(AM$1, lmic_raw[#Headers],0)))</f>
        <v>9.3461649765706496E-3</v>
      </c>
      <c r="AN136" s="33">
        <f>IF(INDEX(lmic_raw[],MATCH($A136,lmic_raw[[setting]:[setting]],0), MATCH(AN$1, lmic_raw[#Headers],0))=0, INDEX(regions[], MATCH($D136, regions[[setting]:[setting]],0), MATCH(AN$1, regions[#Headers],0)),INDEX(lmic_raw[],MATCH($A136,lmic_raw[[setting]:[setting]],0), MATCH(AN$1, lmic_raw[#Headers],0)))</f>
        <v>1.2159368343164913E-2</v>
      </c>
      <c r="AO136" s="33">
        <f>IF(INDEX(lmic_raw[],MATCH($A136,lmic_raw[[setting]:[setting]],0), MATCH(AO$1, lmic_raw[#Headers],0))=0, INDEX(regions[], MATCH($D136, regions[[setting]:[setting]],0), MATCH(AO$1, regions[#Headers],0)),INDEX(lmic_raw[],MATCH($A136,lmic_raw[[setting]:[setting]],0), MATCH(AO$1, lmic_raw[#Headers],0)))</f>
        <v>1.5391839618814176E-2</v>
      </c>
      <c r="AP136" s="33">
        <f>IF(INDEX(lmic_raw[],MATCH($A136,lmic_raw[[setting]:[setting]],0), MATCH(AP$1, lmic_raw[#Headers],0))=0, INDEX(regions[], MATCH($D136, regions[[setting]:[setting]],0), MATCH(AP$1, regions[#Headers],0)),INDEX(lmic_raw[],MATCH($A136,lmic_raw[[setting]:[setting]],0), MATCH(AP$1, lmic_raw[#Headers],0)))</f>
        <v>2.1392777652369688E-2</v>
      </c>
      <c r="AQ136" s="33">
        <f>IF(INDEX(lmic_raw[],MATCH($A136,lmic_raw[[setting]:[setting]],0), MATCH(AQ$1, lmic_raw[#Headers],0))=0, INDEX(regions[], MATCH($D136, regions[[setting]:[setting]],0), MATCH(AQ$1, regions[#Headers],0)),INDEX(lmic_raw[],MATCH($A136,lmic_raw[[setting]:[setting]],0), MATCH(AQ$1, lmic_raw[#Headers],0)))</f>
        <v>3.1143819134226772E-2</v>
      </c>
      <c r="AR136" s="33">
        <f>IF(INDEX(lmic_raw[],MATCH($A136,lmic_raw[[setting]:[setting]],0), MATCH(AR$1, lmic_raw[#Headers],0))=0, INDEX(regions[], MATCH($D136, regions[[setting]:[setting]],0), MATCH(AR$1, regions[#Headers],0)),INDEX(lmic_raw[],MATCH($A136,lmic_raw[[setting]:[setting]],0), MATCH(AR$1, lmic_raw[#Headers],0)))</f>
        <v>4.631751204944709E-2</v>
      </c>
      <c r="AS136" s="33">
        <f>IF(INDEX(lmic_raw[],MATCH($A136,lmic_raw[[setting]:[setting]],0), MATCH(AS$1, lmic_raw[#Headers],0))=0, INDEX(regions[], MATCH($D136, regions[[setting]:[setting]],0), MATCH(AS$1, regions[#Headers],0)),INDEX(lmic_raw[],MATCH($A136,lmic_raw[[setting]:[setting]],0), MATCH(AS$1, lmic_raw[#Headers],0)))</f>
        <v>6.8688758505868031E-2</v>
      </c>
      <c r="AT136" s="33">
        <f>IF(INDEX(lmic_raw[],MATCH($A136,lmic_raw[[setting]:[setting]],0), MATCH(AT$1, lmic_raw[#Headers],0))=0, INDEX(regions[], MATCH($D136, regions[[setting]:[setting]],0), MATCH(AT$1, regions[#Headers],0)),INDEX(lmic_raw[],MATCH($A136,lmic_raw[[setting]:[setting]],0), MATCH(AT$1, lmic_raw[#Headers],0)))</f>
        <v>0.10188175021677477</v>
      </c>
      <c r="AU136" s="33">
        <f>IF(INDEX(lmic_raw[],MATCH($A136,lmic_raw[[setting]:[setting]],0), MATCH(AU$1, lmic_raw[#Headers],0))=0, INDEX(regions[], MATCH($D136, regions[[setting]:[setting]],0), MATCH(AU$1, regions[#Headers],0)),INDEX(lmic_raw[],MATCH($A136,lmic_raw[[setting]:[setting]],0), MATCH(AU$1, lmic_raw[#Headers],0)))</f>
        <v>0.14150118876299858</v>
      </c>
      <c r="AV136" s="33">
        <f>IF(INDEX(lmic_raw[],MATCH($A136,lmic_raw[[setting]:[setting]],0), MATCH(AV$1, lmic_raw[#Headers],0))=0, INDEX(regions[], MATCH($D136, regions[[setting]:[setting]],0), MATCH(AV$1, regions[#Headers],0)),INDEX(lmic_raw[],MATCH($A136,lmic_raw[[setting]:[setting]],0), MATCH(AV$1, lmic_raw[#Headers],0)))</f>
        <v>0.17482671250688042</v>
      </c>
      <c r="AW136" s="33">
        <f>IF(INDEX(lmic_raw[],MATCH($A136,lmic_raw[[setting]:[setting]],0), MATCH(AW$1, lmic_raw[#Headers],0))=0, INDEX(regions[], MATCH($D136, regions[[setting]:[setting]],0), MATCH(AW$1, regions[#Headers],0)),INDEX(lmic_raw[],MATCH($A136,lmic_raw[[setting]:[setting]],0), MATCH(AW$1, lmic_raw[#Headers],0)))</f>
        <v>0.18744568488376726</v>
      </c>
      <c r="AX136" s="33">
        <f>IF(INDEX(lmic_raw[],MATCH($A136,lmic_raw[[setting]:[setting]],0), MATCH(AX$1, lmic_raw[#Headers],0))=0, INDEX(regions[], MATCH($D136, regions[[setting]:[setting]],0), MATCH(AX$1, regions[#Headers],0)),INDEX(lmic_raw[],MATCH($A136,lmic_raw[[setting]:[setting]],0), MATCH(AX$1, lmic_raw[#Headers],0)))</f>
        <v>63.258000000000003</v>
      </c>
      <c r="AY136" s="33" t="str">
        <f>IF(VLOOKUP($A136,lmic_raw[],11,FALSE)=0, "Yes", "No")</f>
        <v>No</v>
      </c>
    </row>
    <row r="137" spans="1:51" x14ac:dyDescent="0.25">
      <c r="A137" s="111" t="s">
        <v>120</v>
      </c>
      <c r="B137" s="104" t="s">
        <v>542</v>
      </c>
      <c r="C137" s="105">
        <v>716</v>
      </c>
      <c r="D137" s="84" t="s">
        <v>677</v>
      </c>
      <c r="E137" s="84" t="s">
        <v>594</v>
      </c>
      <c r="F137" s="84" t="s">
        <v>667</v>
      </c>
      <c r="G137" s="84" t="s">
        <v>678</v>
      </c>
      <c r="H137" s="33">
        <f>IF(INDEX(lmic_raw[],MATCH($A137,lmic_raw[[setting]:[setting]],0), MATCH(H$1, lmic_raw[#Headers],0))=0, INDEX(regions[], MATCH($D137, regions[[setting]:[setting]],0), MATCH(H$1, regions[#Headers],0)),INDEX(lmic_raw[],MATCH($A137,lmic_raw[[setting]:[setting]],0), MATCH(H$1, lmic_raw[#Headers],0)))</f>
        <v>14645473</v>
      </c>
      <c r="I137" s="33">
        <f>IF(INDEX(lmic_raw[],MATCH($A137,lmic_raw[[setting]:[setting]],0), MATCH(I$1, lmic_raw[#Headers],0))=0, INDEX(regions[], MATCH($D137, regions[[setting]:[setting]],0), MATCH(I$1, regions[#Headers],0)),INDEX(lmic_raw[],MATCH($A137,lmic_raw[[setting]:[setting]],0), MATCH(I$1, lmic_raw[#Headers],0)))</f>
        <v>451739.61468499998</v>
      </c>
      <c r="J137" s="33">
        <f>IF(INDEX(lmic_raw[],MATCH($A137,lmic_raw[[setting]:[setting]],0), MATCH(J$1, lmic_raw[#Headers],0))=0, INDEX(regions[], MATCH($D137, regions[[setting]:[setting]],0), MATCH(J$1, regions[#Headers],0)),INDEX(lmic_raw[],MATCH($A137,lmic_raw[[setting]:[setting]],0), MATCH(J$1, lmic_raw[#Headers],0)))</f>
        <v>0.85499999999999998</v>
      </c>
      <c r="K137" s="33">
        <f>IF(INDEX(lmic_raw[],MATCH($A137,lmic_raw[[setting]:[setting]],0), MATCH(K$1, lmic_raw[#Headers],0))=0, INDEX(regions[], MATCH($D137, regions[[setting]:[setting]],0), MATCH(K$1, regions[#Headers],0)),INDEX(lmic_raw[],MATCH($A137,lmic_raw[[setting]:[setting]],0), MATCH(K$1, lmic_raw[#Headers],0)))</f>
        <v>0.69252604416320784</v>
      </c>
      <c r="L137" s="33">
        <f>IF(INDEX(lmic_raw[],MATCH($A137,lmic_raw[[setting]:[setting]],0), MATCH(L$1, lmic_raw[#Headers],0))=0, INDEX(regions[], MATCH($D137, regions[[setting]:[setting]],0), MATCH(L$1, regions[#Headers],0)),INDEX(lmic_raw[],MATCH($A137,lmic_raw[[setting]:[setting]],0), MATCH(L$1, lmic_raw[#Headers],0)))</f>
        <v>0.9</v>
      </c>
      <c r="M137" s="33">
        <f>IF(INDEX(lmic_raw[],MATCH($A137,lmic_raw[[setting]:[setting]],0), MATCH(M$1, lmic_raw[#Headers],0))=0, INDEX(regions[], MATCH($D137, regions[[setting]:[setting]],0), MATCH(M$1, regions[#Headers],0)),INDEX(lmic_raw[],MATCH($A137,lmic_raw[[setting]:[setting]],0), MATCH(M$1, lmic_raw[#Headers],0)))</f>
        <v>0.10050000000000001</v>
      </c>
      <c r="N137" s="33">
        <f>IF(INDEX(lmic_raw[],MATCH($A137,lmic_raw[[setting]:[setting]],0), MATCH(N$1, lmic_raw[#Headers],0))=0, INDEX(regions[], MATCH($D137, regions[[setting]:[setting]],0), MATCH(N$1, regions[#Headers],0)),INDEX(lmic_raw[],MATCH($A137,lmic_raw[[setting]:[setting]],0), MATCH(N$1, lmic_raw[#Headers],0)))</f>
        <v>0.26470111064233304</v>
      </c>
      <c r="O137" s="33">
        <f>IF(INDEX(lmic_raw[],MATCH($A137,lmic_raw[[setting]:[setting]],0), MATCH(O$1, lmic_raw[#Headers],0))=0, INDEX(regions[], MATCH($D137, regions[[setting]:[setting]],0), MATCH(O$1, regions[#Headers],0)),INDEX(lmic_raw[],MATCH($A137,lmic_raw[[setting]:[setting]],0), MATCH(O$1, lmic_raw[#Headers],0)))</f>
        <v>0.38300000000000001</v>
      </c>
      <c r="P137" s="33">
        <f>IF(INDEX(lmic_raw[],MATCH($A137,lmic_raw[[setting]:[setting]],0), MATCH(P$1, lmic_raw[#Headers],0))=0, INDEX(regions[], MATCH($D137, regions[[setting]:[setting]],0), MATCH(P$1, regions[#Headers],0)),INDEX(lmic_raw[],MATCH($A137,lmic_raw[[setting]:[setting]],0), MATCH(P$1, lmic_raw[#Headers],0)))</f>
        <v>4.8000000000000001E-2</v>
      </c>
      <c r="Q137" s="33">
        <f>IF(INDEX(lmic_raw[],MATCH($A137,lmic_raw[[setting]:[setting]],0), MATCH(Q$1, lmic_raw[#Headers],0))=0, INDEX(regions[], MATCH($D137, regions[[setting]:[setting]],0), MATCH(Q$1, regions[#Headers],0)),INDEX(lmic_raw[],MATCH($A137,lmic_raw[[setting]:[setting]],0), MATCH(Q$1, lmic_raw[#Headers],0)))</f>
        <v>4.6578711530420058</v>
      </c>
      <c r="R137" s="33">
        <f>IF(INDEX(lmic_raw[],MATCH($A137,lmic_raw[[setting]:[setting]],0), MATCH(R$1, lmic_raw[#Headers],0))=0, INDEX(regions[], MATCH($D137, regions[[setting]:[setting]],0), MATCH(R$1, regions[#Headers],0)),INDEX(lmic_raw[],MATCH($A137,lmic_raw[[setting]:[setting]],0), MATCH(R$1, lmic_raw[#Headers],0)))</f>
        <v>29.920500000000001</v>
      </c>
      <c r="S137" s="33">
        <f>IF(INDEX(lmic_raw[],MATCH($A137,lmic_raw[[setting]:[setting]],0), MATCH(S$1, lmic_raw[#Headers],0))=0, INDEX(regions[], MATCH($D137, regions[[setting]:[setting]],0), MATCH(S$1, regions[#Headers],0)),INDEX(lmic_raw[],MATCH($A137,lmic_raw[[setting]:[setting]],0), MATCH(S$1, lmic_raw[#Headers],0)))</f>
        <v>77.662500000000009</v>
      </c>
      <c r="T137" s="33">
        <f>IF(INDEX(lmic_raw[],MATCH($A137,lmic_raw[[setting]:[setting]],0), MATCH(T$1, lmic_raw[#Headers],0))=0, INDEX(regions[], MATCH($D137, regions[[setting]:[setting]],0), MATCH(T$1, regions[#Headers],0)),INDEX(lmic_raw[],MATCH($A137,lmic_raw[[setting]:[setting]],0), MATCH(T$1, lmic_raw[#Headers],0)))</f>
        <v>77.662500000000009</v>
      </c>
      <c r="U137" s="33">
        <f>IF(INDEX(lmic_raw[],MATCH($A137,lmic_raw[[setting]:[setting]],0), MATCH(U$1, lmic_raw[#Headers],0))=0, INDEX(regions[], MATCH($D137, regions[[setting]:[setting]],0), MATCH(U$1, regions[#Headers],0)),INDEX(lmic_raw[],MATCH($A137,lmic_raw[[setting]:[setting]],0), MATCH(U$1, lmic_raw[#Headers],0)))</f>
        <v>77.662500000000009</v>
      </c>
      <c r="V137" s="33">
        <f>IF(INDEX(lmic_raw[],MATCH($A137,lmic_raw[[setting]:[setting]],0), MATCH(V$1, lmic_raw[#Headers],0))=0, INDEX(regions[], MATCH($D137, regions[[setting]:[setting]],0), MATCH(V$1, regions[#Headers],0)),INDEX(lmic_raw[],MATCH($A137,lmic_raw[[setting]:[setting]],0), MATCH(V$1, lmic_raw[#Headers],0)))</f>
        <v>3.1631184546252995</v>
      </c>
      <c r="W137" s="33">
        <f>IF(INDEX(lmic_raw[],MATCH($A137,lmic_raw[[setting]:[setting]],0), MATCH(W$1, lmic_raw[#Headers],0))=0, INDEX(regions[], MATCH($D137, regions[[setting]:[setting]],0), MATCH(W$1, regions[#Headers],0)),INDEX(lmic_raw[],MATCH($A137,lmic_raw[[setting]:[setting]],0), MATCH(W$1, lmic_raw[#Headers],0)))</f>
        <v>7.9931184546253</v>
      </c>
      <c r="X137" s="33">
        <f>IF(INDEX(lmic_raw[],MATCH($A137,lmic_raw[[setting]:[setting]],0), MATCH(X$1, lmic_raw[#Headers],0))=0, INDEX(regions[], MATCH($D137, regions[[setting]:[setting]],0), MATCH(X$1, regions[#Headers],0)),INDEX(lmic_raw[],MATCH($A137,lmic_raw[[setting]:[setting]],0), MATCH(X$1, lmic_raw[#Headers],0)))</f>
        <v>2.7368627760693824</v>
      </c>
      <c r="Y137" s="33">
        <f>IF(INDEX(lmic_raw[],MATCH($A137,lmic_raw[[setting]:[setting]],0), MATCH(Y$1, lmic_raw[#Headers],0))=0, INDEX(regions[], MATCH($D137, regions[[setting]:[setting]],0), MATCH(Y$1, regions[#Headers],0)),INDEX(lmic_raw[],MATCH($A137,lmic_raw[[setting]:[setting]],0), MATCH(Y$1, lmic_raw[#Headers],0)))</f>
        <v>7.5668627760693825</v>
      </c>
      <c r="Z137" s="33">
        <f>IF(INDEX(lmic_raw[],MATCH($A137,lmic_raw[[setting]:[setting]],0), MATCH(Z$1, lmic_raw[#Headers],0))=0, INDEX(regions[], MATCH($D137, regions[[setting]:[setting]],0), MATCH(Z$1, regions[#Headers],0)),INDEX(lmic_raw[],MATCH($A137,lmic_raw[[setting]:[setting]],0), MATCH(Z$1, lmic_raw[#Headers],0)))</f>
        <v>7.5636208492286556</v>
      </c>
      <c r="AA137" s="33">
        <f>IF(INDEX(lmic_raw[],MATCH($A137,lmic_raw[[setting]:[setting]],0), MATCH(AA$1, lmic_raw[#Headers],0))=0, INDEX(regions[], MATCH($D137, regions[[setting]:[setting]],0), MATCH(AA$1, regions[#Headers],0)),INDEX(lmic_raw[],MATCH($A137,lmic_raw[[setting]:[setting]],0), MATCH(AA$1, lmic_raw[#Headers],0)))</f>
        <v>3.4049947982931541</v>
      </c>
      <c r="AB137" s="33">
        <f>IF(INDEX(lmic_raw[],MATCH($A137,lmic_raw[[setting]:[setting]],0), MATCH(AB$1, lmic_raw[#Headers],0))=0, INDEX(regions[], MATCH($D137, regions[[setting]:[setting]],0), MATCH(AB$1, regions[#Headers],0)),INDEX(lmic_raw[],MATCH($A137,lmic_raw[[setting]:[setting]],0), MATCH(AB$1, lmic_raw[#Headers],0)))</f>
        <v>8.2349947982931546</v>
      </c>
      <c r="AC137" s="33">
        <f>IF(INDEX(lmic_raw[],MATCH($A137,lmic_raw[[setting]:[setting]],0), MATCH(AC$1, lmic_raw[#Headers],0))=0, INDEX(regions[], MATCH($D137, regions[[setting]:[setting]],0), MATCH(AC$1, regions[#Headers],0)),INDEX(lmic_raw[],MATCH($A137,lmic_raw[[setting]:[setting]],0), MATCH(AC$1, lmic_raw[#Headers],0)))</f>
        <v>3.875650999999998E-2</v>
      </c>
      <c r="AD137" s="33">
        <f>IF(INDEX(lmic_raw[],MATCH($A137,lmic_raw[[setting]:[setting]],0), MATCH(AD$1, lmic_raw[#Headers],0))=0, INDEX(regions[], MATCH($D137, regions[[setting]:[setting]],0), MATCH(AD$1, regions[#Headers],0)),INDEX(lmic_raw[],MATCH($A137,lmic_raw[[setting]:[setting]],0), MATCH(AD$1, lmic_raw[#Headers],0)))</f>
        <v>3.2526800259526263E-3</v>
      </c>
      <c r="AE137" s="33">
        <f>IF(INDEX(lmic_raw[],MATCH($A137,lmic_raw[[setting]:[setting]],0), MATCH(AE$1, lmic_raw[#Headers],0))=0, INDEX(regions[], MATCH($D137, regions[[setting]:[setting]],0), MATCH(AE$1, regions[#Headers],0)),INDEX(lmic_raw[],MATCH($A137,lmic_raw[[setting]:[setting]],0), MATCH(AE$1, lmic_raw[#Headers],0)))</f>
        <v>1.0638522358914809E-3</v>
      </c>
      <c r="AF137" s="33">
        <f>IF(INDEX(lmic_raw[],MATCH($A137,lmic_raw[[setting]:[setting]],0), MATCH(AF$1, lmic_raw[#Headers],0))=0, INDEX(regions[], MATCH($D137, regions[[setting]:[setting]],0), MATCH(AF$1, regions[#Headers],0)),INDEX(lmic_raw[],MATCH($A137,lmic_raw[[setting]:[setting]],0), MATCH(AF$1, lmic_raw[#Headers],0)))</f>
        <v>9.1060157396529416E-4</v>
      </c>
      <c r="AG137" s="33">
        <f>IF(INDEX(lmic_raw[],MATCH($A137,lmic_raw[[setting]:[setting]],0), MATCH(AG$1, lmic_raw[#Headers],0))=0, INDEX(regions[], MATCH($D137, regions[[setting]:[setting]],0), MATCH(AG$1, regions[#Headers],0)),INDEX(lmic_raw[],MATCH($A137,lmic_raw[[setting]:[setting]],0), MATCH(AG$1, lmic_raw[#Headers],0)))</f>
        <v>1.5706660873143156E-3</v>
      </c>
      <c r="AH137" s="33">
        <f>IF(INDEX(lmic_raw[],MATCH($A137,lmic_raw[[setting]:[setting]],0), MATCH(AH$1, lmic_raw[#Headers],0))=0, INDEX(regions[], MATCH($D137, regions[[setting]:[setting]],0), MATCH(AH$1, regions[#Headers],0)),INDEX(lmic_raw[],MATCH($A137,lmic_raw[[setting]:[setting]],0), MATCH(AH$1, lmic_raw[#Headers],0)))</f>
        <v>2.8353147933742433E-3</v>
      </c>
      <c r="AI137" s="33">
        <f>IF(INDEX(lmic_raw[],MATCH($A137,lmic_raw[[setting]:[setting]],0), MATCH(AI$1, lmic_raw[#Headers],0))=0, INDEX(regions[], MATCH($D137, regions[[setting]:[setting]],0), MATCH(AI$1, regions[#Headers],0)),INDEX(lmic_raw[],MATCH($A137,lmic_raw[[setting]:[setting]],0), MATCH(AI$1, lmic_raw[#Headers],0)))</f>
        <v>4.8215242159902784E-3</v>
      </c>
      <c r="AJ137" s="33">
        <f>IF(INDEX(lmic_raw[],MATCH($A137,lmic_raw[[setting]:[setting]],0), MATCH(AJ$1, lmic_raw[#Headers],0))=0, INDEX(regions[], MATCH($D137, regions[[setting]:[setting]],0), MATCH(AJ$1, regions[#Headers],0)),INDEX(lmic_raw[],MATCH($A137,lmic_raw[[setting]:[setting]],0), MATCH(AJ$1, lmic_raw[#Headers],0)))</f>
        <v>6.8929795141483155E-3</v>
      </c>
      <c r="AK137" s="33">
        <f>IF(INDEX(lmic_raw[],MATCH($A137,lmic_raw[[setting]:[setting]],0), MATCH(AK$1, lmic_raw[#Headers],0))=0, INDEX(regions[], MATCH($D137, regions[[setting]:[setting]],0), MATCH(AK$1, regions[#Headers],0)),INDEX(lmic_raw[],MATCH($A137,lmic_raw[[setting]:[setting]],0), MATCH(AK$1, lmic_raw[#Headers],0)))</f>
        <v>9.6863229863942257E-3</v>
      </c>
      <c r="AL137" s="33">
        <f>IF(INDEX(lmic_raw[],MATCH($A137,lmic_raw[[setting]:[setting]],0), MATCH(AL$1, lmic_raw[#Headers],0))=0, INDEX(regions[], MATCH($D137, regions[[setting]:[setting]],0), MATCH(AL$1, regions[#Headers],0)),INDEX(lmic_raw[],MATCH($A137,lmic_raw[[setting]:[setting]],0), MATCH(AL$1, lmic_raw[#Headers],0)))</f>
        <v>1.1323427399634064E-2</v>
      </c>
      <c r="AM137" s="33">
        <f>IF(INDEX(lmic_raw[],MATCH($A137,lmic_raw[[setting]:[setting]],0), MATCH(AM$1, lmic_raw[#Headers],0))=0, INDEX(regions[], MATCH($D137, regions[[setting]:[setting]],0), MATCH(AM$1, regions[#Headers],0)),INDEX(lmic_raw[],MATCH($A137,lmic_raw[[setting]:[setting]],0), MATCH(AM$1, lmic_raw[#Headers],0)))</f>
        <v>1.3401073426724686E-2</v>
      </c>
      <c r="AN137" s="33">
        <f>IF(INDEX(lmic_raw[],MATCH($A137,lmic_raw[[setting]:[setting]],0), MATCH(AN$1, lmic_raw[#Headers],0))=0, INDEX(regions[], MATCH($D137, regions[[setting]:[setting]],0), MATCH(AN$1, regions[#Headers],0)),INDEX(lmic_raw[],MATCH($A137,lmic_raw[[setting]:[setting]],0), MATCH(AN$1, lmic_raw[#Headers],0)))</f>
        <v>1.6031317582619459E-2</v>
      </c>
      <c r="AO137" s="33">
        <f>IF(INDEX(lmic_raw[],MATCH($A137,lmic_raw[[setting]:[setting]],0), MATCH(AO$1, lmic_raw[#Headers],0))=0, INDEX(regions[], MATCH($D137, regions[[setting]:[setting]],0), MATCH(AO$1, regions[#Headers],0)),INDEX(lmic_raw[],MATCH($A137,lmic_raw[[setting]:[setting]],0), MATCH(AO$1, lmic_raw[#Headers],0)))</f>
        <v>1.9157607118950946E-2</v>
      </c>
      <c r="AP137" s="33">
        <f>IF(INDEX(lmic_raw[],MATCH($A137,lmic_raw[[setting]:[setting]],0), MATCH(AP$1, lmic_raw[#Headers],0))=0, INDEX(regions[], MATCH($D137, regions[[setting]:[setting]],0), MATCH(AP$1, regions[#Headers],0)),INDEX(lmic_raw[],MATCH($A137,lmic_raw[[setting]:[setting]],0), MATCH(AP$1, lmic_raw[#Headers],0)))</f>
        <v>2.4843485887357467E-2</v>
      </c>
      <c r="AQ137" s="33">
        <f>IF(INDEX(lmic_raw[],MATCH($A137,lmic_raw[[setting]:[setting]],0), MATCH(AQ$1, lmic_raw[#Headers],0))=0, INDEX(regions[], MATCH($D137, regions[[setting]:[setting]],0), MATCH(AQ$1, regions[#Headers],0)),INDEX(lmic_raw[],MATCH($A137,lmic_raw[[setting]:[setting]],0), MATCH(AQ$1, lmic_raw[#Headers],0)))</f>
        <v>3.4380513825671297E-2</v>
      </c>
      <c r="AR137" s="33">
        <f>IF(INDEX(lmic_raw[],MATCH($A137,lmic_raw[[setting]:[setting]],0), MATCH(AR$1, lmic_raw[#Headers],0))=0, INDEX(regions[], MATCH($D137, regions[[setting]:[setting]],0), MATCH(AR$1, regions[#Headers],0)),INDEX(lmic_raw[],MATCH($A137,lmic_raw[[setting]:[setting]],0), MATCH(AR$1, lmic_raw[#Headers],0)))</f>
        <v>4.927703836195485E-2</v>
      </c>
      <c r="AS137" s="33">
        <f>IF(INDEX(lmic_raw[],MATCH($A137,lmic_raw[[setting]:[setting]],0), MATCH(AS$1, lmic_raw[#Headers],0))=0, INDEX(regions[], MATCH($D137, regions[[setting]:[setting]],0), MATCH(AS$1, regions[#Headers],0)),INDEX(lmic_raw[],MATCH($A137,lmic_raw[[setting]:[setting]],0), MATCH(AS$1, lmic_raw[#Headers],0)))</f>
        <v>7.1001716925981367E-2</v>
      </c>
      <c r="AT137" s="33">
        <f>IF(INDEX(lmic_raw[],MATCH($A137,lmic_raw[[setting]:[setting]],0), MATCH(AT$1, lmic_raw[#Headers],0))=0, INDEX(regions[], MATCH($D137, regions[[setting]:[setting]],0), MATCH(AT$1, regions[#Headers],0)),INDEX(lmic_raw[],MATCH($A137,lmic_raw[[setting]:[setting]],0), MATCH(AT$1, lmic_raw[#Headers],0)))</f>
        <v>0.10392577378203825</v>
      </c>
      <c r="AU137" s="33">
        <f>IF(INDEX(lmic_raw[],MATCH($A137,lmic_raw[[setting]:[setting]],0), MATCH(AU$1, lmic_raw[#Headers],0))=0, INDEX(regions[], MATCH($D137, regions[[setting]:[setting]],0), MATCH(AU$1, regions[#Headers],0)),INDEX(lmic_raw[],MATCH($A137,lmic_raw[[setting]:[setting]],0), MATCH(AU$1, lmic_raw[#Headers],0)))</f>
        <v>0.14303205028467894</v>
      </c>
      <c r="AV137" s="33">
        <f>IF(INDEX(lmic_raw[],MATCH($A137,lmic_raw[[setting]:[setting]],0), MATCH(AV$1, lmic_raw[#Headers],0))=0, INDEX(regions[], MATCH($D137, regions[[setting]:[setting]],0), MATCH(AV$1, regions[#Headers],0)),INDEX(lmic_raw[],MATCH($A137,lmic_raw[[setting]:[setting]],0), MATCH(AV$1, lmic_raw[#Headers],0)))</f>
        <v>0.17373202878536326</v>
      </c>
      <c r="AW137" s="33">
        <f>IF(INDEX(lmic_raw[],MATCH($A137,lmic_raw[[setting]:[setting]],0), MATCH(AW$1, lmic_raw[#Headers],0))=0, INDEX(regions[], MATCH($D137, regions[[setting]:[setting]],0), MATCH(AW$1, regions[#Headers],0)),INDEX(lmic_raw[],MATCH($A137,lmic_raw[[setting]:[setting]],0), MATCH(AW$1, lmic_raw[#Headers],0)))</f>
        <v>0.18559452784452807</v>
      </c>
      <c r="AX137" s="33">
        <f>IF(INDEX(lmic_raw[],MATCH($A137,lmic_raw[[setting]:[setting]],0), MATCH(AX$1, lmic_raw[#Headers],0))=0, INDEX(regions[], MATCH($D137, regions[[setting]:[setting]],0), MATCH(AX$1, regions[#Headers],0)),INDEX(lmic_raw[],MATCH($A137,lmic_raw[[setting]:[setting]],0), MATCH(AX$1, lmic_raw[#Headers],0)))</f>
        <v>60.832999999999998</v>
      </c>
      <c r="AY137" s="33" t="str">
        <f>IF(VLOOKUP($A137,lmic_raw[],11,FALSE)=0, "Yes", "No")</f>
        <v>Yes</v>
      </c>
    </row>
    <row r="139" spans="1:51" x14ac:dyDescent="0.25">
      <c r="A139" s="88" t="s">
        <v>668</v>
      </c>
      <c r="B139" s="88" t="s">
        <v>571</v>
      </c>
      <c r="C139" s="88" t="s">
        <v>669</v>
      </c>
      <c r="D139" s="88" t="s">
        <v>670</v>
      </c>
      <c r="E139" s="123" t="s">
        <v>575</v>
      </c>
      <c r="F139" s="108" t="s">
        <v>671</v>
      </c>
      <c r="G139" s="108" t="s">
        <v>672</v>
      </c>
      <c r="H139" s="108" t="s">
        <v>685</v>
      </c>
      <c r="I139" s="108" t="s">
        <v>686</v>
      </c>
      <c r="J139" s="108" t="s">
        <v>687</v>
      </c>
      <c r="K139" s="108" t="s">
        <v>688</v>
      </c>
      <c r="L139" s="108" t="s">
        <v>689</v>
      </c>
      <c r="M139" s="108" t="s">
        <v>690</v>
      </c>
      <c r="N139" s="108" t="s">
        <v>691</v>
      </c>
      <c r="O139" s="108" t="s">
        <v>657</v>
      </c>
      <c r="P139" s="108" t="s">
        <v>660</v>
      </c>
      <c r="Q139" s="108" t="s">
        <v>692</v>
      </c>
      <c r="R139" s="108" t="s">
        <v>693</v>
      </c>
      <c r="S139" s="108" t="s">
        <v>694</v>
      </c>
      <c r="T139" s="108" t="s">
        <v>695</v>
      </c>
      <c r="U139" s="108" t="s">
        <v>696</v>
      </c>
      <c r="V139" s="108" t="s">
        <v>697</v>
      </c>
      <c r="W139" s="108" t="s">
        <v>698</v>
      </c>
      <c r="X139" s="108" t="s">
        <v>699</v>
      </c>
      <c r="Y139" s="108" t="s">
        <v>700</v>
      </c>
      <c r="Z139" s="108" t="s">
        <v>701</v>
      </c>
      <c r="AA139" s="108" t="s">
        <v>702</v>
      </c>
      <c r="AB139" s="108" t="s">
        <v>703</v>
      </c>
      <c r="AC139" s="108" t="s">
        <v>544</v>
      </c>
      <c r="AD139" s="108" t="s">
        <v>545</v>
      </c>
      <c r="AE139" s="108" t="s">
        <v>546</v>
      </c>
      <c r="AF139" s="108" t="s">
        <v>547</v>
      </c>
      <c r="AG139" s="108" t="s">
        <v>548</v>
      </c>
      <c r="AH139" s="108" t="s">
        <v>549</v>
      </c>
      <c r="AI139" s="108" t="s">
        <v>550</v>
      </c>
      <c r="AJ139" s="108" t="s">
        <v>551</v>
      </c>
      <c r="AK139" s="108" t="s">
        <v>552</v>
      </c>
      <c r="AL139" s="108" t="s">
        <v>553</v>
      </c>
      <c r="AM139" s="108" t="s">
        <v>554</v>
      </c>
      <c r="AN139" s="108" t="s">
        <v>555</v>
      </c>
      <c r="AO139" s="108" t="s">
        <v>556</v>
      </c>
      <c r="AP139" s="108" t="s">
        <v>557</v>
      </c>
      <c r="AQ139" s="108" t="s">
        <v>558</v>
      </c>
      <c r="AR139" s="108" t="s">
        <v>559</v>
      </c>
      <c r="AS139" s="108" t="s">
        <v>560</v>
      </c>
      <c r="AT139" s="108" t="s">
        <v>561</v>
      </c>
      <c r="AU139" s="108" t="s">
        <v>562</v>
      </c>
      <c r="AV139" s="108" t="s">
        <v>563</v>
      </c>
      <c r="AW139" s="108" t="s">
        <v>564</v>
      </c>
      <c r="AX139" s="108" t="s">
        <v>704</v>
      </c>
      <c r="AY139" s="108" t="s">
        <v>725</v>
      </c>
    </row>
    <row r="140" spans="1:51" x14ac:dyDescent="0.25">
      <c r="A140" s="109" t="s">
        <v>191</v>
      </c>
      <c r="B140" s="101" t="s">
        <v>369</v>
      </c>
      <c r="C140" s="102">
        <v>4</v>
      </c>
      <c r="D140" s="82" t="s">
        <v>673</v>
      </c>
      <c r="E140" s="121" t="s">
        <v>579</v>
      </c>
      <c r="F140" s="98" t="s">
        <v>579</v>
      </c>
      <c r="G140" s="98" t="s">
        <v>674</v>
      </c>
      <c r="H140" s="98"/>
      <c r="I140" s="98"/>
      <c r="J140" s="98">
        <f>IF(INDEX(lmic_raw_lb[],MATCH($A140,lmic_raw_lb[[setting]:[setting]],0), MATCH(J$139, lmic_raw_lb[#Headers],0))=0, INDEX(regions_lb[], MATCH($D140, regions_lb[[setting]:[setting]],0), MATCH(J$139, regions_lb[#Headers],0)),INDEX(lmic_raw_lb[],MATCH($A140,lmic_raw_lb[[setting]:[setting]],0), MATCH(J$139, lmic_raw_lb[#Headers],0)))</f>
        <v>0.53484999999999994</v>
      </c>
      <c r="K140" s="98">
        <f>IF(INDEX(lmic_raw_lb[],MATCH($A140,lmic_raw_lb[[setting]:[setting]],0), MATCH(K$139, lmic_raw_lb[#Headers],0))=0, INDEX(regions_lb[], MATCH($D140, regions_lb[[setting]:[setting]],0), MATCH(K$139, regions_lb[#Headers],0)),INDEX(lmic_raw_lb[],MATCH($A140,lmic_raw_lb[[setting]:[setting]],0), MATCH(K$139, lmic_raw_lb[#Headers],0)))</f>
        <v>0.35149999999999998</v>
      </c>
      <c r="L140" s="98">
        <f>IF(INDEX(lmic_raw_lb[],MATCH($A140,lmic_raw_lb[[setting]:[setting]],0), MATCH(L$139, lmic_raw_lb[#Headers],0))=0, INDEX(regions_lb[], MATCH($D140, regions_lb[[setting]:[setting]],0), MATCH(L$139, regions_lb[#Headers],0)),INDEX(lmic_raw_lb[],MATCH($A140,lmic_raw_lb[[setting]:[setting]],0), MATCH(L$139, lmic_raw_lb[#Headers],0)))</f>
        <v>0.627</v>
      </c>
      <c r="M140" s="98">
        <f>IF(INDEX(lmic_raw_lb[],MATCH($A140,lmic_raw_lb[[setting]:[setting]],0), MATCH(M$139, lmic_raw_lb[#Headers],0))=0, INDEX(regions_lb[], MATCH($D140, regions_lb[[setting]:[setting]],0), MATCH(M$139, regions_lb[#Headers],0)),INDEX(lmic_raw_lb[],MATCH($A140,lmic_raw_lb[[setting]:[setting]],0), MATCH(M$139, lmic_raw_lb[#Headers],0)))</f>
        <v>7.1999999999999998E-3</v>
      </c>
      <c r="N140" s="98">
        <f>IF(INDEX(lmic_raw_lb[],MATCH($A140,lmic_raw_lb[[setting]:[setting]],0), MATCH(N$139, lmic_raw_lb[#Headers],0))=0, INDEX(regions_lb[], MATCH($D140, regions_lb[[setting]:[setting]],0), MATCH(N$139, regions_lb[#Headers],0)),INDEX(lmic_raw_lb[],MATCH($A140,lmic_raw_lb[[setting]:[setting]],0), MATCH(N$139, lmic_raw_lb[#Headers],0)))</f>
        <v>0.14980000000000002</v>
      </c>
      <c r="O140" s="98">
        <f>IF(INDEX(lmic_raw_lb[],MATCH($A140,lmic_raw_lb[[setting]:[setting]],0), MATCH(O$139, lmic_raw_lb[#Headers],0))=0, INDEX(regions_lb[], MATCH($D140, regions_lb[[setting]:[setting]],0), MATCH(O$139, regions_lb[#Headers],0)),INDEX(lmic_raw_lb[],MATCH($A140,lmic_raw_lb[[setting]:[setting]],0), MATCH(O$139, lmic_raw_lb[#Headers],0)))</f>
        <v>0.7</v>
      </c>
      <c r="P140" s="98">
        <f>IF(INDEX(lmic_raw_lb[],MATCH($A140,lmic_raw_lb[[setting]:[setting]],0), MATCH(P$139, lmic_raw_lb[#Headers],0))=0, INDEX(regions_lb[], MATCH($D140, regions_lb[[setting]:[setting]],0), MATCH(P$139, regions_lb[#Headers],0)),INDEX(lmic_raw_lb[],MATCH($A140,lmic_raw_lb[[setting]:[setting]],0), MATCH(P$139, lmic_raw_lb[#Headers],0)))</f>
        <v>0.05</v>
      </c>
      <c r="Q140" s="98">
        <f>IF(INDEX(lmic_raw_lb[],MATCH($A140,lmic_raw_lb[[setting]:[setting]],0), MATCH(Q$139, lmic_raw_lb[#Headers],0))=0, INDEX(regions_lb[], MATCH($D140, regions_lb[[setting]:[setting]],0), MATCH(Q$139, regions_lb[#Headers],0)),INDEX(lmic_raw_lb[],MATCH($A140,lmic_raw_lb[[setting]:[setting]],0), MATCH(Q$139, lmic_raw_lb[#Headers],0)))</f>
        <v>2.1870830885972277</v>
      </c>
      <c r="R140" s="98">
        <f>IF(INDEX(lmic_raw_lb[],MATCH($A140,lmic_raw_lb[[setting]:[setting]],0), MATCH(R$139, lmic_raw_lb[#Headers],0))=0, INDEX(regions_lb[], MATCH($D140, regions_lb[[setting]:[setting]],0), MATCH(R$139, regions_lb[#Headers],0)),INDEX(lmic_raw_lb[],MATCH($A140,lmic_raw_lb[[setting]:[setting]],0), MATCH(R$139, lmic_raw_lb[#Headers],0)))</f>
        <v>44.019105000000003</v>
      </c>
      <c r="S140" s="98">
        <f>IF(INDEX(lmic_raw_lb[],MATCH($A140,lmic_raw_lb[[setting]:[setting]],0), MATCH(S$139, lmic_raw_lb[#Headers],0))=0, INDEX(regions_lb[], MATCH($D140, regions_lb[[setting]:[setting]],0), MATCH(S$139, regions_lb[#Headers],0)),INDEX(lmic_raw_lb[],MATCH($A140,lmic_raw_lb[[setting]:[setting]],0), MATCH(S$139, lmic_raw_lb[#Headers],0)))</f>
        <v>89.374005000000011</v>
      </c>
      <c r="T140" s="98">
        <f>IF(INDEX(lmic_raw_lb[],MATCH($A140,lmic_raw_lb[[setting]:[setting]],0), MATCH(T$139, lmic_raw_lb[#Headers],0))=0, INDEX(regions_lb[], MATCH($D140, regions_lb[[setting]:[setting]],0), MATCH(T$139, regions_lb[#Headers],0)),INDEX(lmic_raw_lb[],MATCH($A140,lmic_raw_lb[[setting]:[setting]],0), MATCH(T$139, lmic_raw_lb[#Headers],0)))</f>
        <v>89.374005000000011</v>
      </c>
      <c r="U140" s="98">
        <f>IF(INDEX(lmic_raw_lb[],MATCH($A140,lmic_raw_lb[[setting]:[setting]],0), MATCH(U$139, lmic_raw_lb[#Headers],0))=0, INDEX(regions_lb[], MATCH($D140, regions_lb[[setting]:[setting]],0), MATCH(U$139, regions_lb[#Headers],0)),INDEX(lmic_raw_lb[],MATCH($A140,lmic_raw_lb[[setting]:[setting]],0), MATCH(U$139, lmic_raw_lb[#Headers],0)))</f>
        <v>89.374005000000011</v>
      </c>
      <c r="V140" s="98">
        <f>IF(INDEX(lmic_raw_lb[],MATCH($A140,lmic_raw_lb[[setting]:[setting]],0), MATCH(V$139, lmic_raw_lb[#Headers],0))=0, INDEX(regions_lb[], MATCH($D140, regions_lb[[setting]:[setting]],0), MATCH(V$139, regions_lb[#Headers],0)),INDEX(lmic_raw_lb[],MATCH($A140,lmic_raw_lb[[setting]:[setting]],0), MATCH(V$139, lmic_raw_lb[#Headers],0)))</f>
        <v>0.57284939743872676</v>
      </c>
      <c r="W140" s="98">
        <f>IF(INDEX(lmic_raw_lb[],MATCH($A140,lmic_raw_lb[[setting]:[setting]],0), MATCH(W$139, lmic_raw_lb[#Headers],0))=0, INDEX(regions_lb[], MATCH($D140, regions_lb[[setting]:[setting]],0), MATCH(W$139, regions_lb[#Headers],0)),INDEX(lmic_raw_lb[],MATCH($A140,lmic_raw_lb[[setting]:[setting]],0), MATCH(W$139, lmic_raw_lb[#Headers],0)))</f>
        <v>1.0284693974387267</v>
      </c>
      <c r="X140" s="98">
        <f>IF(INDEX(lmic_raw_lb[],MATCH($A140,lmic_raw_lb[[setting]:[setting]],0), MATCH(X$139, lmic_raw_lb[#Headers],0))=0, INDEX(regions_lb[], MATCH($D140, regions_lb[[setting]:[setting]],0), MATCH(X$139, regions_lb[#Headers],0)),INDEX(lmic_raw_lb[],MATCH($A140,lmic_raw_lb[[setting]:[setting]],0), MATCH(X$139, lmic_raw_lb[#Headers],0)))</f>
        <v>0.2088396495950465</v>
      </c>
      <c r="Y140" s="98">
        <f>IF(INDEX(lmic_raw_lb[],MATCH($A140,lmic_raw_lb[[setting]:[setting]],0), MATCH(Y$139, lmic_raw_lb[#Headers],0))=0, INDEX(regions_lb[], MATCH($D140, regions_lb[[setting]:[setting]],0), MATCH(Y$139, regions_lb[#Headers],0)),INDEX(lmic_raw_lb[],MATCH($A140,lmic_raw_lb[[setting]:[setting]],0), MATCH(Y$139, lmic_raw_lb[#Headers],0)))</f>
        <v>0.66445964959504655</v>
      </c>
      <c r="Z140" s="98">
        <f>IF(INDEX(lmic_raw_lb[],MATCH($A140,lmic_raw_lb[[setting]:[setting]],0), MATCH(Z$139, lmic_raw_lb[#Headers],0))=0, INDEX(regions_lb[], MATCH($D140, regions_lb[[setting]:[setting]],0), MATCH(Z$139, regions_lb[#Headers],0)),INDEX(lmic_raw_lb[],MATCH($A140,lmic_raw_lb[[setting]:[setting]],0), MATCH(Z$139, lmic_raw_lb[#Headers],0)))</f>
        <v>0.66306774899531362</v>
      </c>
      <c r="AA140" s="98">
        <f>IF(INDEX(lmic_raw_lb[],MATCH($A140,lmic_raw_lb[[setting]:[setting]],0), MATCH(AA$139, lmic_raw_lb[#Headers],0))=0, INDEX(regions_lb[], MATCH($D140, regions_lb[[setting]:[setting]],0), MATCH(AA$139, regions_lb[#Headers],0)),INDEX(lmic_raw_lb[],MATCH($A140,lmic_raw_lb[[setting]:[setting]],0), MATCH(AA$139, lmic_raw_lb[#Headers],0)))</f>
        <v>0.78349510675023049</v>
      </c>
      <c r="AB140" s="98">
        <f>IF(INDEX(lmic_raw_lb[],MATCH($A140,lmic_raw_lb[[setting]:[setting]],0), MATCH(AB$139, lmic_raw_lb[#Headers],0))=0, INDEX(regions_lb[], MATCH($D140, regions_lb[[setting]:[setting]],0), MATCH(AB$139, regions_lb[#Headers],0)),INDEX(lmic_raw_lb[],MATCH($A140,lmic_raw_lb[[setting]:[setting]],0), MATCH(AB$139, lmic_raw_lb[#Headers],0)))</f>
        <v>1.2391151067502304</v>
      </c>
      <c r="AC140" s="98">
        <f>IF(INDEX(lmic_raw_lb[],MATCH($A140,lmic_raw_lb[[setting]:[setting]],0), MATCH(AC$139, lmic_raw_lb[#Headers],0))=0, INDEX(regions_lb[], MATCH($D140, regions_lb[[setting]:[setting]],0), MATCH(AC$139, regions_lb[#Headers],0)),INDEX(lmic_raw_lb[],MATCH($A140,lmic_raw_lb[[setting]:[setting]],0), MATCH(AC$139, lmic_raw_lb[#Headers],0)))</f>
        <v>4.9120624000000036E-2</v>
      </c>
      <c r="AD140" s="98">
        <f>IF(INDEX(lmic_raw_lb[],MATCH($A140,lmic_raw_lb[[setting]:[setting]],0), MATCH(AD$139, lmic_raw_lb[#Headers],0))=0, INDEX(regions_lb[], MATCH($D140, regions_lb[[setting]:[setting]],0), MATCH(AD$139, regions_lb[#Headers],0)),INDEX(lmic_raw_lb[],MATCH($A140,lmic_raw_lb[[setting]:[setting]],0), MATCH(AD$139, lmic_raw_lb[#Headers],0)))</f>
        <v>4.0475832665748312E-3</v>
      </c>
      <c r="AE140" s="98">
        <f>IF(INDEX(lmic_raw_lb[],MATCH($A140,lmic_raw_lb[[setting]:[setting]],0), MATCH(AE$139, lmic_raw_lb[#Headers],0))=0, INDEX(regions_lb[], MATCH($D140, regions_lb[[setting]:[setting]],0), MATCH(AE$139, regions_lb[#Headers],0)),INDEX(lmic_raw_lb[],MATCH($A140,lmic_raw_lb[[setting]:[setting]],0), MATCH(AE$139, lmic_raw_lb[#Headers],0)))</f>
        <v>1.2562550903421946E-3</v>
      </c>
      <c r="AF140" s="98">
        <f>IF(INDEX(lmic_raw_lb[],MATCH($A140,lmic_raw_lb[[setting]:[setting]],0), MATCH(AF$139, lmic_raw_lb[#Headers],0))=0, INDEX(regions_lb[], MATCH($D140, regions_lb[[setting]:[setting]],0), MATCH(AF$139, regions_lb[#Headers],0)),INDEX(lmic_raw_lb[],MATCH($A140,lmic_raw_lb[[setting]:[setting]],0), MATCH(AF$139, lmic_raw_lb[#Headers],0)))</f>
        <v>9.8832577325858105E-4</v>
      </c>
      <c r="AG140" s="98">
        <f>IF(INDEX(lmic_raw_lb[],MATCH($A140,lmic_raw_lb[[setting]:[setting]],0), MATCH(AG$139, lmic_raw_lb[#Headers],0))=0, INDEX(regions_lb[], MATCH($D140, regions_lb[[setting]:[setting]],0), MATCH(AG$139, regions_lb[#Headers],0)),INDEX(lmic_raw_lb[],MATCH($A140,lmic_raw_lb[[setting]:[setting]],0), MATCH(AG$139, lmic_raw_lb[#Headers],0)))</f>
        <v>1.5937485090018349E-3</v>
      </c>
      <c r="AH140" s="98">
        <f>IF(INDEX(lmic_raw_lb[],MATCH($A140,lmic_raw_lb[[setting]:[setting]],0), MATCH(AH$139, lmic_raw_lb[#Headers],0))=0, INDEX(regions_lb[], MATCH($D140, regions_lb[[setting]:[setting]],0), MATCH(AH$139, regions_lb[#Headers],0)),INDEX(lmic_raw_lb[],MATCH($A140,lmic_raw_lb[[setting]:[setting]],0), MATCH(AH$139, lmic_raw_lb[#Headers],0)))</f>
        <v>2.2207789992641841E-3</v>
      </c>
      <c r="AI140" s="98">
        <f>IF(INDEX(lmic_raw_lb[],MATCH($A140,lmic_raw_lb[[setting]:[setting]],0), MATCH(AI$139, lmic_raw_lb[#Headers],0))=0, INDEX(regions_lb[], MATCH($D140, regions_lb[[setting]:[setting]],0), MATCH(AI$139, regions_lb[#Headers],0)),INDEX(lmic_raw_lb[],MATCH($A140,lmic_raw_lb[[setting]:[setting]],0), MATCH(AI$139, lmic_raw_lb[#Headers],0)))</f>
        <v>2.4186840370301011E-3</v>
      </c>
      <c r="AJ140" s="98">
        <f>IF(INDEX(lmic_raw_lb[],MATCH($A140,lmic_raw_lb[[setting]:[setting]],0), MATCH(AJ$139, lmic_raw_lb[#Headers],0))=0, INDEX(regions_lb[], MATCH($D140, regions_lb[[setting]:[setting]],0), MATCH(AJ$139, regions_lb[#Headers],0)),INDEX(lmic_raw_lb[],MATCH($A140,lmic_raw_lb[[setting]:[setting]],0), MATCH(AJ$139, lmic_raw_lb[#Headers],0)))</f>
        <v>2.7687203549625491E-3</v>
      </c>
      <c r="AK140" s="98">
        <f>IF(INDEX(lmic_raw_lb[],MATCH($A140,lmic_raw_lb[[setting]:[setting]],0), MATCH(AK$139, lmic_raw_lb[#Headers],0))=0, INDEX(regions_lb[], MATCH($D140, regions_lb[[setting]:[setting]],0), MATCH(AK$139, regions_lb[#Headers],0)),INDEX(lmic_raw_lb[],MATCH($A140,lmic_raw_lb[[setting]:[setting]],0), MATCH(AK$139, lmic_raw_lb[#Headers],0)))</f>
        <v>3.4285849844365602E-3</v>
      </c>
      <c r="AL140" s="98">
        <f>IF(INDEX(lmic_raw_lb[],MATCH($A140,lmic_raw_lb[[setting]:[setting]],0), MATCH(AL$139, lmic_raw_lb[#Headers],0))=0, INDEX(regions_lb[], MATCH($D140, regions_lb[[setting]:[setting]],0), MATCH(AL$139, regions_lb[#Headers],0)),INDEX(lmic_raw_lb[],MATCH($A140,lmic_raw_lb[[setting]:[setting]],0), MATCH(AL$139, lmic_raw_lb[#Headers],0)))</f>
        <v>4.5264417542140289E-3</v>
      </c>
      <c r="AM140" s="98">
        <f>IF(INDEX(lmic_raw_lb[],MATCH($A140,lmic_raw_lb[[setting]:[setting]],0), MATCH(AM$139, lmic_raw_lb[#Headers],0))=0, INDEX(regions_lb[], MATCH($D140, regions_lb[[setting]:[setting]],0), MATCH(AM$139, regions_lb[#Headers],0)),INDEX(lmic_raw_lb[],MATCH($A140,lmic_raw_lb[[setting]:[setting]],0), MATCH(AM$139, lmic_raw_lb[#Headers],0)))</f>
        <v>6.3359280504008799E-3</v>
      </c>
      <c r="AN140" s="98">
        <f>IF(INDEX(lmic_raw_lb[],MATCH($A140,lmic_raw_lb[[setting]:[setting]],0), MATCH(AN$139, lmic_raw_lb[#Headers],0))=0, INDEX(regions_lb[], MATCH($D140, regions_lb[[setting]:[setting]],0), MATCH(AN$139, regions_lb[#Headers],0)),INDEX(lmic_raw_lb[],MATCH($A140,lmic_raw_lb[[setting]:[setting]],0), MATCH(AN$139, lmic_raw_lb[#Headers],0)))</f>
        <v>9.2255564240715168E-3</v>
      </c>
      <c r="AO140" s="98">
        <f>IF(INDEX(lmic_raw_lb[],MATCH($A140,lmic_raw_lb[[setting]:[setting]],0), MATCH(AO$139, lmic_raw_lb[#Headers],0))=0, INDEX(regions_lb[], MATCH($D140, regions_lb[[setting]:[setting]],0), MATCH(AO$139, regions_lb[#Headers],0)),INDEX(lmic_raw_lb[],MATCH($A140,lmic_raw_lb[[setting]:[setting]],0), MATCH(AO$139, lmic_raw_lb[#Headers],0)))</f>
        <v>1.3603326594448448E-2</v>
      </c>
      <c r="AP140" s="98">
        <f>IF(INDEX(lmic_raw_lb[],MATCH($A140,lmic_raw_lb[[setting]:[setting]],0), MATCH(AP$139, lmic_raw_lb[#Headers],0))=0, INDEX(regions_lb[], MATCH($D140, regions_lb[[setting]:[setting]],0), MATCH(AP$139, regions_lb[#Headers],0)),INDEX(lmic_raw_lb[],MATCH($A140,lmic_raw_lb[[setting]:[setting]],0), MATCH(AP$139, lmic_raw_lb[#Headers],0)))</f>
        <v>2.0497586203941633E-2</v>
      </c>
      <c r="AQ140" s="98">
        <f>IF(INDEX(lmic_raw_lb[],MATCH($A140,lmic_raw_lb[[setting]:[setting]],0), MATCH(AQ$139, lmic_raw_lb[#Headers],0))=0, INDEX(regions_lb[], MATCH($D140, regions_lb[[setting]:[setting]],0), MATCH(AQ$139, regions_lb[#Headers],0)),INDEX(lmic_raw_lb[],MATCH($A140,lmic_raw_lb[[setting]:[setting]],0), MATCH(AQ$139, lmic_raw_lb[#Headers],0)))</f>
        <v>3.0872546857944796E-2</v>
      </c>
      <c r="AR140" s="98">
        <f>IF(INDEX(lmic_raw_lb[],MATCH($A140,lmic_raw_lb[[setting]:[setting]],0), MATCH(AR$139, lmic_raw_lb[#Headers],0))=0, INDEX(regions_lb[], MATCH($D140, regions_lb[[setting]:[setting]],0), MATCH(AR$139, regions_lb[#Headers],0)),INDEX(lmic_raw_lb[],MATCH($A140,lmic_raw_lb[[setting]:[setting]],0), MATCH(AR$139, lmic_raw_lb[#Headers],0)))</f>
        <v>4.7064547908596689E-2</v>
      </c>
      <c r="AS140" s="98">
        <f>IF(INDEX(lmic_raw_lb[],MATCH($A140,lmic_raw_lb[[setting]:[setting]],0), MATCH(AS$139, lmic_raw_lb[#Headers],0))=0, INDEX(regions_lb[], MATCH($D140, regions_lb[[setting]:[setting]],0), MATCH(AS$139, regions_lb[#Headers],0)),INDEX(lmic_raw_lb[],MATCH($A140,lmic_raw_lb[[setting]:[setting]],0), MATCH(AS$139, lmic_raw_lb[#Headers],0)))</f>
        <v>7.0094918319276972E-2</v>
      </c>
      <c r="AT140" s="98">
        <f>IF(INDEX(lmic_raw_lb[],MATCH($A140,lmic_raw_lb[[setting]:[setting]],0), MATCH(AT$139, lmic_raw_lb[#Headers],0))=0, INDEX(regions_lb[], MATCH($D140, regions_lb[[setting]:[setting]],0), MATCH(AT$139, regions_lb[#Headers],0)),INDEX(lmic_raw_lb[],MATCH($A140,lmic_raw_lb[[setting]:[setting]],0), MATCH(AT$139, lmic_raw_lb[#Headers],0)))</f>
        <v>9.9604592682606283E-2</v>
      </c>
      <c r="AU140" s="98">
        <f>IF(INDEX(lmic_raw_lb[],MATCH($A140,lmic_raw_lb[[setting]:[setting]],0), MATCH(AU$139, lmic_raw_lb[#Headers],0))=0, INDEX(regions_lb[], MATCH($D140, regions_lb[[setting]:[setting]],0), MATCH(AU$139, regions_lb[#Headers],0)),INDEX(lmic_raw_lb[],MATCH($A140,lmic_raw_lb[[setting]:[setting]],0), MATCH(AU$139, lmic_raw_lb[#Headers],0)))</f>
        <v>0.13043837450783241</v>
      </c>
      <c r="AV140" s="98">
        <f>IF(INDEX(lmic_raw_lb[],MATCH($A140,lmic_raw_lb[[setting]:[setting]],0), MATCH(AV$139, lmic_raw_lb[#Headers],0))=0, INDEX(regions_lb[], MATCH($D140, regions_lb[[setting]:[setting]],0), MATCH(AV$139, regions_lb[#Headers],0)),INDEX(lmic_raw_lb[],MATCH($A140,lmic_raw_lb[[setting]:[setting]],0), MATCH(AV$139, lmic_raw_lb[#Headers],0)))</f>
        <v>0.15520510485122921</v>
      </c>
      <c r="AW140" s="98">
        <f>IF(INDEX(lmic_raw_lb[],MATCH($A140,lmic_raw_lb[[setting]:[setting]],0), MATCH(AW$139, lmic_raw_lb[#Headers],0))=0, INDEX(regions_lb[], MATCH($D140, regions_lb[[setting]:[setting]],0), MATCH(AW$139, regions_lb[#Headers],0)),INDEX(lmic_raw_lb[],MATCH($A140,lmic_raw_lb[[setting]:[setting]],0), MATCH(AW$139, lmic_raw_lb[#Headers],0)))</f>
        <v>0.17104372515538666</v>
      </c>
      <c r="AX140" s="98">
        <f>IF(INDEX(lmic_raw_lb[],MATCH($A140,lmic_raw_lb[[setting]:[setting]],0), MATCH(AX$139, lmic_raw_lb[#Headers],0))=0, INDEX(regions_lb[], MATCH($D140, regions_lb[[setting]:[setting]],0), MATCH(AX$139, regions_lb[#Headers],0)),INDEX(lmic_raw_lb[],MATCH($A140,lmic_raw_lb[[setting]:[setting]],0), MATCH(AX$139, lmic_raw_lb[#Headers],0)))</f>
        <v>61.065049999999992</v>
      </c>
      <c r="AY140" s="98" t="str">
        <f>IF(VLOOKUP(lmics_lb[[#This Row],[setting]],lmic_raw_lb[],11,FALSE)=0, "Yes", "No")</f>
        <v>No</v>
      </c>
    </row>
    <row r="141" spans="1:51" x14ac:dyDescent="0.25">
      <c r="A141" s="110" t="s">
        <v>332</v>
      </c>
      <c r="B141" s="104" t="s">
        <v>370</v>
      </c>
      <c r="C141" s="105">
        <v>8</v>
      </c>
      <c r="D141" s="84" t="s">
        <v>675</v>
      </c>
      <c r="E141" s="122" t="s">
        <v>580</v>
      </c>
      <c r="F141" s="94" t="s">
        <v>663</v>
      </c>
      <c r="G141" s="94" t="s">
        <v>676</v>
      </c>
      <c r="H141" s="94"/>
      <c r="I141" s="94"/>
      <c r="J141" s="94">
        <f>IF(INDEX(lmic_raw_lb[],MATCH($A141,lmic_raw_lb[[setting]:[setting]],0), MATCH(J$139, lmic_raw_lb[#Headers],0))=0, INDEX(regions_lb[], MATCH($D141, regions_lb[[setting]:[setting]],0), MATCH(J$139, regions_lb[#Headers],0)),INDEX(lmic_raw_lb[],MATCH($A141,lmic_raw_lb[[setting]:[setting]],0), MATCH(J$139, lmic_raw_lb[#Headers],0)))</f>
        <v>0.93669999999999998</v>
      </c>
      <c r="K141" s="94">
        <f>IF(INDEX(lmic_raw_lb[],MATCH($A141,lmic_raw_lb[[setting]:[setting]],0), MATCH(K$139, lmic_raw_lb[#Headers],0))=0, INDEX(regions_lb[], MATCH($D141, regions_lb[[setting]:[setting]],0), MATCH(K$139, regions_lb[#Headers],0)),INDEX(lmic_raw_lb[],MATCH($A141,lmic_raw_lb[[setting]:[setting]],0), MATCH(K$139, lmic_raw_lb[#Headers],0)))</f>
        <v>0.9405</v>
      </c>
      <c r="L141" s="94">
        <f>IF(INDEX(lmic_raw_lb[],MATCH($A141,lmic_raw_lb[[setting]:[setting]],0), MATCH(L$139, lmic_raw_lb[#Headers],0))=0, INDEX(regions_lb[], MATCH($D141, regions_lb[[setting]:[setting]],0), MATCH(L$139, regions_lb[#Headers],0)),INDEX(lmic_raw_lb[],MATCH($A141,lmic_raw_lb[[setting]:[setting]],0), MATCH(L$139, lmic_raw_lb[#Headers],0)))</f>
        <v>0.9405</v>
      </c>
      <c r="M141" s="94">
        <f>IF(INDEX(lmic_raw_lb[],MATCH($A141,lmic_raw_lb[[setting]:[setting]],0), MATCH(M$139, lmic_raw_lb[#Headers],0))=0, INDEX(regions_lb[], MATCH($D141, regions_lb[[setting]:[setting]],0), MATCH(M$139, regions_lb[#Headers],0)),INDEX(lmic_raw_lb[],MATCH($A141,lmic_raw_lb[[setting]:[setting]],0), MATCH(M$139, lmic_raw_lb[#Headers],0)))</f>
        <v>7.7699999999999991E-2</v>
      </c>
      <c r="N141" s="94">
        <f>IF(INDEX(lmic_raw_lb[],MATCH($A141,lmic_raw_lb[[setting]:[setting]],0), MATCH(N$139, lmic_raw_lb[#Headers],0))=0, INDEX(regions_lb[], MATCH($D141, regions_lb[[setting]:[setting]],0), MATCH(N$139, regions_lb[#Headers],0)),INDEX(lmic_raw_lb[],MATCH($A141,lmic_raw_lb[[setting]:[setting]],0), MATCH(N$139, lmic_raw_lb[#Headers],0)))</f>
        <v>0.16329999999999997</v>
      </c>
      <c r="O141" s="94">
        <f>IF(INDEX(lmic_raw_lb[],MATCH($A141,lmic_raw_lb[[setting]:[setting]],0), MATCH(O$139, lmic_raw_lb[#Headers],0))=0, INDEX(regions_lb[], MATCH($D141, regions_lb[[setting]:[setting]],0), MATCH(O$139, regions_lb[#Headers],0)),INDEX(lmic_raw_lb[],MATCH($A141,lmic_raw_lb[[setting]:[setting]],0), MATCH(O$139, lmic_raw_lb[#Headers],0)))</f>
        <v>0.7</v>
      </c>
      <c r="P141" s="94">
        <f>IF(INDEX(lmic_raw_lb[],MATCH($A141,lmic_raw_lb[[setting]:[setting]],0), MATCH(P$139, lmic_raw_lb[#Headers],0))=0, INDEX(regions_lb[], MATCH($D141, regions_lb[[setting]:[setting]],0), MATCH(P$139, regions_lb[#Headers],0)),INDEX(lmic_raw_lb[],MATCH($A141,lmic_raw_lb[[setting]:[setting]],0), MATCH(P$139, lmic_raw_lb[#Headers],0)))</f>
        <v>0.05</v>
      </c>
      <c r="Q141" s="94">
        <f>IF(INDEX(lmic_raw_lb[],MATCH($A141,lmic_raw_lb[[setting]:[setting]],0), MATCH(Q$139, lmic_raw_lb[#Headers],0))=0, INDEX(regions_lb[], MATCH($D141, regions_lb[[setting]:[setting]],0), MATCH(Q$139, regions_lb[#Headers],0)),INDEX(lmic_raw_lb[],MATCH($A141,lmic_raw_lb[[setting]:[setting]],0), MATCH(Q$139, lmic_raw_lb[#Headers],0)))</f>
        <v>7.8136063158642921</v>
      </c>
      <c r="R141" s="94">
        <f>IF(INDEX(lmic_raw_lb[],MATCH($A141,lmic_raw_lb[[setting]:[setting]],0), MATCH(R$139, lmic_raw_lb[#Headers],0))=0, INDEX(regions_lb[], MATCH($D141, regions_lb[[setting]:[setting]],0), MATCH(R$139, regions_lb[#Headers],0)),INDEX(lmic_raw_lb[],MATCH($A141,lmic_raw_lb[[setting]:[setting]],0), MATCH(R$139, lmic_raw_lb[#Headers],0)))</f>
        <v>42.31053</v>
      </c>
      <c r="S141" s="94">
        <f>IF(INDEX(lmic_raw_lb[],MATCH($A141,lmic_raw_lb[[setting]:[setting]],0), MATCH(S$139, lmic_raw_lb[#Headers],0))=0, INDEX(regions_lb[], MATCH($D141, regions_lb[[setting]:[setting]],0), MATCH(S$139, regions_lb[#Headers],0)),INDEX(lmic_raw_lb[],MATCH($A141,lmic_raw_lb[[setting]:[setting]],0), MATCH(S$139, lmic_raw_lb[#Headers],0)))</f>
        <v>87.665430000000001</v>
      </c>
      <c r="T141" s="94">
        <f>IF(INDEX(lmic_raw_lb[],MATCH($A141,lmic_raw_lb[[setting]:[setting]],0), MATCH(T$139, lmic_raw_lb[#Headers],0))=0, INDEX(regions_lb[], MATCH($D141, regions_lb[[setting]:[setting]],0), MATCH(T$139, regions_lb[#Headers],0)),INDEX(lmic_raw_lb[],MATCH($A141,lmic_raw_lb[[setting]:[setting]],0), MATCH(T$139, lmic_raw_lb[#Headers],0)))</f>
        <v>87.665430000000001</v>
      </c>
      <c r="U141" s="94">
        <f>IF(INDEX(lmic_raw_lb[],MATCH($A141,lmic_raw_lb[[setting]:[setting]],0), MATCH(U$139, lmic_raw_lb[#Headers],0))=0, INDEX(regions_lb[], MATCH($D141, regions_lb[[setting]:[setting]],0), MATCH(U$139, regions_lb[#Headers],0)),INDEX(lmic_raw_lb[],MATCH($A141,lmic_raw_lb[[setting]:[setting]],0), MATCH(U$139, lmic_raw_lb[#Headers],0)))</f>
        <v>87.665430000000001</v>
      </c>
      <c r="V141" s="94">
        <f>IF(INDEX(lmic_raw_lb[],MATCH($A141,lmic_raw_lb[[setting]:[setting]],0), MATCH(V$139, lmic_raw_lb[#Headers],0))=0, INDEX(regions_lb[], MATCH($D141, regions_lb[[setting]:[setting]],0), MATCH(V$139, regions_lb[#Headers],0)),INDEX(lmic_raw_lb[],MATCH($A141,lmic_raw_lb[[setting]:[setting]],0), MATCH(V$139, lmic_raw_lb[#Headers],0)))</f>
        <v>3.365347789993355</v>
      </c>
      <c r="W141" s="94">
        <f>IF(INDEX(lmic_raw_lb[],MATCH($A141,lmic_raw_lb[[setting]:[setting]],0), MATCH(W$139, lmic_raw_lb[#Headers],0))=0, INDEX(regions_lb[], MATCH($D141, regions_lb[[setting]:[setting]],0), MATCH(W$139, regions_lb[#Headers],0)),INDEX(lmic_raw_lb[],MATCH($A141,lmic_raw_lb[[setting]:[setting]],0), MATCH(W$139, lmic_raw_lb[#Headers],0)))</f>
        <v>7.2277627899933554</v>
      </c>
      <c r="X141" s="94">
        <f>IF(INDEX(lmic_raw_lb[],MATCH($A141,lmic_raw_lb[[setting]:[setting]],0), MATCH(X$139, lmic_raw_lb[#Headers],0))=0, INDEX(regions_lb[], MATCH($D141, regions_lb[[setting]:[setting]],0), MATCH(X$139, regions_lb[#Headers],0)),INDEX(lmic_raw_lb[],MATCH($A141,lmic_raw_lb[[setting]:[setting]],0), MATCH(X$139, lmic_raw_lb[#Headers],0)))</f>
        <v>2.9966034099212981</v>
      </c>
      <c r="Y141" s="94">
        <f>IF(INDEX(lmic_raw_lb[],MATCH($A141,lmic_raw_lb[[setting]:[setting]],0), MATCH(Y$139, lmic_raw_lb[#Headers],0))=0, INDEX(regions_lb[], MATCH($D141, regions_lb[[setting]:[setting]],0), MATCH(Y$139, regions_lb[#Headers],0)),INDEX(lmic_raw_lb[],MATCH($A141,lmic_raw_lb[[setting]:[setting]],0), MATCH(Y$139, lmic_raw_lb[#Headers],0)))</f>
        <v>6.8590184099212985</v>
      </c>
      <c r="Z141" s="94">
        <f>IF(INDEX(lmic_raw_lb[],MATCH($A141,lmic_raw_lb[[setting]:[setting]],0), MATCH(Z$139, lmic_raw_lb[#Headers],0))=0, INDEX(regions_lb[], MATCH($D141, regions_lb[[setting]:[setting]],0), MATCH(Z$139, regions_lb[#Headers],0)),INDEX(lmic_raw_lb[],MATCH($A141,lmic_raw_lb[[setting]:[setting]],0), MATCH(Z$139, lmic_raw_lb[#Headers],0)))</f>
        <v>6.8547847672170699</v>
      </c>
      <c r="AA141" s="94">
        <f>IF(INDEX(lmic_raw_lb[],MATCH($A141,lmic_raw_lb[[setting]:[setting]],0), MATCH(AA$139, lmic_raw_lb[#Headers],0))=0, INDEX(regions_lb[], MATCH($D141, regions_lb[[setting]:[setting]],0), MATCH(AA$139, regions_lb[#Headers],0)),INDEX(lmic_raw_lb[],MATCH($A141,lmic_raw_lb[[setting]:[setting]],0), MATCH(AA$139, lmic_raw_lb[#Headers],0)))</f>
        <v>3.578022627402734</v>
      </c>
      <c r="AB141" s="94">
        <f>IF(INDEX(lmic_raw_lb[],MATCH($A141,lmic_raw_lb[[setting]:[setting]],0), MATCH(AB$139, lmic_raw_lb[#Headers],0))=0, INDEX(regions_lb[], MATCH($D141, regions_lb[[setting]:[setting]],0), MATCH(AB$139, regions_lb[#Headers],0)),INDEX(lmic_raw_lb[],MATCH($A141,lmic_raw_lb[[setting]:[setting]],0), MATCH(AB$139, lmic_raw_lb[#Headers],0)))</f>
        <v>7.4404376274027344</v>
      </c>
      <c r="AC141" s="94">
        <f>IF(INDEX(lmic_raw_lb[],MATCH($A141,lmic_raw_lb[[setting]:[setting]],0), MATCH(AC$139, lmic_raw_lb[#Headers],0))=0, INDEX(regions_lb[], MATCH($D141, regions_lb[[setting]:[setting]],0), MATCH(AC$139, regions_lb[#Headers],0)),INDEX(lmic_raw_lb[],MATCH($A141,lmic_raw_lb[[setting]:[setting]],0), MATCH(AC$139, lmic_raw_lb[#Headers],0)))</f>
        <v>7.6302479999999402E-3</v>
      </c>
      <c r="AD141" s="94">
        <f>IF(INDEX(lmic_raw_lb[],MATCH($A141,lmic_raw_lb[[setting]:[setting]],0), MATCH(AD$139, lmic_raw_lb[#Headers],0))=0, INDEX(regions_lb[], MATCH($D141, regions_lb[[setting]:[setting]],0), MATCH(AD$139, regions_lb[#Headers],0)),INDEX(lmic_raw_lb[],MATCH($A141,lmic_raw_lb[[setting]:[setting]],0), MATCH(AD$139, lmic_raw_lb[#Headers],0)))</f>
        <v>8.0037914220959505E-4</v>
      </c>
      <c r="AE141" s="94">
        <f>IF(INDEX(lmic_raw_lb[],MATCH($A141,lmic_raw_lb[[setting]:[setting]],0), MATCH(AE$139, lmic_raw_lb[#Headers],0))=0, INDEX(regions_lb[], MATCH($D141, regions_lb[[setting]:[setting]],0), MATCH(AE$139, regions_lb[#Headers],0)),INDEX(lmic_raw_lb[],MATCH($A141,lmic_raw_lb[[setting]:[setting]],0), MATCH(AE$139, lmic_raw_lb[#Headers],0)))</f>
        <v>2.1201967932821136E-4</v>
      </c>
      <c r="AF141" s="94">
        <f>IF(INDEX(lmic_raw_lb[],MATCH($A141,lmic_raw_lb[[setting]:[setting]],0), MATCH(AF$139, lmic_raw_lb[#Headers],0))=0, INDEX(regions_lb[], MATCH($D141, regions_lb[[setting]:[setting]],0), MATCH(AF$139, regions_lb[#Headers],0)),INDEX(lmic_raw_lb[],MATCH($A141,lmic_raw_lb[[setting]:[setting]],0), MATCH(AF$139, lmic_raw_lb[#Headers],0)))</f>
        <v>2.545904774314929E-4</v>
      </c>
      <c r="AG141" s="94">
        <f>IF(INDEX(lmic_raw_lb[],MATCH($A141,lmic_raw_lb[[setting]:[setting]],0), MATCH(AG$139, lmic_raw_lb[#Headers],0))=0, INDEX(regions_lb[], MATCH($D141, regions_lb[[setting]:[setting]],0), MATCH(AG$139, regions_lb[#Headers],0)),INDEX(lmic_raw_lb[],MATCH($A141,lmic_raw_lb[[setting]:[setting]],0), MATCH(AG$139, lmic_raw_lb[#Headers],0)))</f>
        <v>3.5317271432844846E-4</v>
      </c>
      <c r="AH141" s="94">
        <f>IF(INDEX(lmic_raw_lb[],MATCH($A141,lmic_raw_lb[[setting]:[setting]],0), MATCH(AH$139, lmic_raw_lb[#Headers],0))=0, INDEX(regions_lb[], MATCH($D141, regions_lb[[setting]:[setting]],0), MATCH(AH$139, regions_lb[#Headers],0)),INDEX(lmic_raw_lb[],MATCH($A141,lmic_raw_lb[[setting]:[setting]],0), MATCH(AH$139, lmic_raw_lb[#Headers],0)))</f>
        <v>4.0285498387421969E-4</v>
      </c>
      <c r="AI141" s="94">
        <f>IF(INDEX(lmic_raw_lb[],MATCH($A141,lmic_raw_lb[[setting]:[setting]],0), MATCH(AI$139, lmic_raw_lb[#Headers],0))=0, INDEX(regions_lb[], MATCH($D141, regions_lb[[setting]:[setting]],0), MATCH(AI$139, regions_lb[#Headers],0)),INDEX(lmic_raw_lb[],MATCH($A141,lmic_raw_lb[[setting]:[setting]],0), MATCH(AI$139, lmic_raw_lb[#Headers],0)))</f>
        <v>4.6464073543951235E-4</v>
      </c>
      <c r="AJ141" s="94">
        <f>IF(INDEX(lmic_raw_lb[],MATCH($A141,lmic_raw_lb[[setting]:[setting]],0), MATCH(AJ$139, lmic_raw_lb[#Headers],0))=0, INDEX(regions_lb[], MATCH($D141, regions_lb[[setting]:[setting]],0), MATCH(AJ$139, regions_lb[#Headers],0)),INDEX(lmic_raw_lb[],MATCH($A141,lmic_raw_lb[[setting]:[setting]],0), MATCH(AJ$139, lmic_raw_lb[#Headers],0)))</f>
        <v>5.9841264665688645E-4</v>
      </c>
      <c r="AK141" s="94">
        <f>IF(INDEX(lmic_raw_lb[],MATCH($A141,lmic_raw_lb[[setting]:[setting]],0), MATCH(AK$139, lmic_raw_lb[#Headers],0))=0, INDEX(regions_lb[], MATCH($D141, regions_lb[[setting]:[setting]],0), MATCH(AK$139, regions_lb[#Headers],0)),INDEX(lmic_raw_lb[],MATCH($A141,lmic_raw_lb[[setting]:[setting]],0), MATCH(AK$139, lmic_raw_lb[#Headers],0)))</f>
        <v>9.7982280104594224E-4</v>
      </c>
      <c r="AL141" s="94">
        <f>IF(INDEX(lmic_raw_lb[],MATCH($A141,lmic_raw_lb[[setting]:[setting]],0), MATCH(AL$139, lmic_raw_lb[#Headers],0))=0, INDEX(regions_lb[], MATCH($D141, regions_lb[[setting]:[setting]],0), MATCH(AL$139, regions_lb[#Headers],0)),INDEX(lmic_raw_lb[],MATCH($A141,lmic_raw_lb[[setting]:[setting]],0), MATCH(AL$139, lmic_raw_lb[#Headers],0)))</f>
        <v>1.3261774402489005E-3</v>
      </c>
      <c r="AM141" s="94">
        <f>IF(INDEX(lmic_raw_lb[],MATCH($A141,lmic_raw_lb[[setting]:[setting]],0), MATCH(AM$139, lmic_raw_lb[#Headers],0))=0, INDEX(regions_lb[], MATCH($D141, regions_lb[[setting]:[setting]],0), MATCH(AM$139, regions_lb[#Headers],0)),INDEX(lmic_raw_lb[],MATCH($A141,lmic_raw_lb[[setting]:[setting]],0), MATCH(AM$139, lmic_raw_lb[#Headers],0)))</f>
        <v>2.061931860693728E-3</v>
      </c>
      <c r="AN141" s="94">
        <f>IF(INDEX(lmic_raw_lb[],MATCH($A141,lmic_raw_lb[[setting]:[setting]],0), MATCH(AN$139, lmic_raw_lb[#Headers],0))=0, INDEX(regions_lb[], MATCH($D141, regions_lb[[setting]:[setting]],0), MATCH(AN$139, regions_lb[#Headers],0)),INDEX(lmic_raw_lb[],MATCH($A141,lmic_raw_lb[[setting]:[setting]],0), MATCH(AN$139, lmic_raw_lb[#Headers],0)))</f>
        <v>3.1369112864009065E-3</v>
      </c>
      <c r="AO141" s="94">
        <f>IF(INDEX(lmic_raw_lb[],MATCH($A141,lmic_raw_lb[[setting]:[setting]],0), MATCH(AO$139, lmic_raw_lb[#Headers],0))=0, INDEX(regions_lb[], MATCH($D141, regions_lb[[setting]:[setting]],0), MATCH(AO$139, regions_lb[#Headers],0)),INDEX(lmic_raw_lb[],MATCH($A141,lmic_raw_lb[[setting]:[setting]],0), MATCH(AO$139, lmic_raw_lb[#Headers],0)))</f>
        <v>4.8072604314003215E-3</v>
      </c>
      <c r="AP141" s="94">
        <f>IF(INDEX(lmic_raw_lb[],MATCH($A141,lmic_raw_lb[[setting]:[setting]],0), MATCH(AP$139, lmic_raw_lb[#Headers],0))=0, INDEX(regions_lb[], MATCH($D141, regions_lb[[setting]:[setting]],0), MATCH(AP$139, regions_lb[#Headers],0)),INDEX(lmic_raw_lb[],MATCH($A141,lmic_raw_lb[[setting]:[setting]],0), MATCH(AP$139, lmic_raw_lb[#Headers],0)))</f>
        <v>7.4734241012397234E-3</v>
      </c>
      <c r="AQ141" s="94">
        <f>IF(INDEX(lmic_raw_lb[],MATCH($A141,lmic_raw_lb[[setting]:[setting]],0), MATCH(AQ$139, lmic_raw_lb[#Headers],0))=0, INDEX(regions_lb[], MATCH($D141, regions_lb[[setting]:[setting]],0), MATCH(AQ$139, regions_lb[#Headers],0)),INDEX(lmic_raw_lb[],MATCH($A141,lmic_raw_lb[[setting]:[setting]],0), MATCH(AQ$139, lmic_raw_lb[#Headers],0)))</f>
        <v>1.2467345457055731E-2</v>
      </c>
      <c r="AR141" s="94">
        <f>IF(INDEX(lmic_raw_lb[],MATCH($A141,lmic_raw_lb[[setting]:[setting]],0), MATCH(AR$139, lmic_raw_lb[#Headers],0))=0, INDEX(regions_lb[], MATCH($D141, regions_lb[[setting]:[setting]],0), MATCH(AR$139, regions_lb[#Headers],0)),INDEX(lmic_raw_lb[],MATCH($A141,lmic_raw_lb[[setting]:[setting]],0), MATCH(AR$139, lmic_raw_lb[#Headers],0)))</f>
        <v>2.1902085151518924E-2</v>
      </c>
      <c r="AS141" s="94">
        <f>IF(INDEX(lmic_raw_lb[],MATCH($A141,lmic_raw_lb[[setting]:[setting]],0), MATCH(AS$139, lmic_raw_lb[#Headers],0))=0, INDEX(regions_lb[], MATCH($D141, regions_lb[[setting]:[setting]],0), MATCH(AS$139, regions_lb[#Headers],0)),INDEX(lmic_raw_lb[],MATCH($A141,lmic_raw_lb[[setting]:[setting]],0), MATCH(AS$139, lmic_raw_lb[#Headers],0)))</f>
        <v>3.9831435152768241E-2</v>
      </c>
      <c r="AT141" s="94">
        <f>IF(INDEX(lmic_raw_lb[],MATCH($A141,lmic_raw_lb[[setting]:[setting]],0), MATCH(AT$139, lmic_raw_lb[#Headers],0))=0, INDEX(regions_lb[], MATCH($D141, regions_lb[[setting]:[setting]],0), MATCH(AT$139, regions_lb[#Headers],0)),INDEX(lmic_raw_lb[],MATCH($A141,lmic_raw_lb[[setting]:[setting]],0), MATCH(AT$139, lmic_raw_lb[#Headers],0)))</f>
        <v>7.2251191886059524E-2</v>
      </c>
      <c r="AU141" s="94">
        <f>IF(INDEX(lmic_raw_lb[],MATCH($A141,lmic_raw_lb[[setting]:[setting]],0), MATCH(AU$139, lmic_raw_lb[#Headers],0))=0, INDEX(regions_lb[], MATCH($D141, regions_lb[[setting]:[setting]],0), MATCH(AU$139, regions_lb[#Headers],0)),INDEX(lmic_raw_lb[],MATCH($A141,lmic_raw_lb[[setting]:[setting]],0), MATCH(AU$139, lmic_raw_lb[#Headers],0)))</f>
        <v>0.10729775969544417</v>
      </c>
      <c r="AV141" s="94">
        <f>IF(INDEX(lmic_raw_lb[],MATCH($A141,lmic_raw_lb[[setting]:[setting]],0), MATCH(AV$139, lmic_raw_lb[#Headers],0))=0, INDEX(regions_lb[], MATCH($D141, regions_lb[[setting]:[setting]],0), MATCH(AV$139, regions_lb[#Headers],0)),INDEX(lmic_raw_lb[],MATCH($A141,lmic_raw_lb[[setting]:[setting]],0), MATCH(AV$139, lmic_raw_lb[#Headers],0)))</f>
        <v>0.14261418920031074</v>
      </c>
      <c r="AW141" s="94">
        <f>IF(INDEX(lmic_raw_lb[],MATCH($A141,lmic_raw_lb[[setting]:[setting]],0), MATCH(AW$139, lmic_raw_lb[#Headers],0))=0, INDEX(regions_lb[], MATCH($D141, regions_lb[[setting]:[setting]],0), MATCH(AW$139, regions_lb[#Headers],0)),INDEX(lmic_raw_lb[],MATCH($A141,lmic_raw_lb[[setting]:[setting]],0), MATCH(AW$139, lmic_raw_lb[#Headers],0)))</f>
        <v>0.16891924765651314</v>
      </c>
      <c r="AX141" s="94">
        <f>IF(INDEX(lmic_raw_lb[],MATCH($A141,lmic_raw_lb[[setting]:[setting]],0), MATCH(AX$139, lmic_raw_lb[#Headers],0))=0, INDEX(regions_lb[], MATCH($D141, regions_lb[[setting]:[setting]],0), MATCH(AX$139, regions_lb[#Headers],0)),INDEX(lmic_raw_lb[],MATCH($A141,lmic_raw_lb[[setting]:[setting]],0), MATCH(AX$139, lmic_raw_lb[#Headers],0)))</f>
        <v>74.458149999999989</v>
      </c>
      <c r="AY141" s="94" t="str">
        <f>IF(VLOOKUP(lmics_lb[[#This Row],[setting]],lmic_raw_lb[],11,FALSE)=0, "Yes", "No")</f>
        <v>No</v>
      </c>
    </row>
    <row r="142" spans="1:51" x14ac:dyDescent="0.25">
      <c r="A142" s="109" t="s">
        <v>157</v>
      </c>
      <c r="B142" s="101" t="s">
        <v>371</v>
      </c>
      <c r="C142" s="102">
        <v>12</v>
      </c>
      <c r="D142" s="82" t="s">
        <v>677</v>
      </c>
      <c r="E142" s="121" t="s">
        <v>579</v>
      </c>
      <c r="F142" s="98" t="s">
        <v>579</v>
      </c>
      <c r="G142" s="98" t="s">
        <v>676</v>
      </c>
      <c r="H142" s="98"/>
      <c r="I142" s="98"/>
      <c r="J142" s="98">
        <f>IF(INDEX(lmic_raw_lb[],MATCH($A142,lmic_raw_lb[[setting]:[setting]],0), MATCH(J$139, lmic_raw_lb[#Headers],0))=0, INDEX(regions_lb[], MATCH($D142, regions_lb[[setting]:[setting]],0), MATCH(J$139, regions_lb[#Headers],0)),INDEX(lmic_raw_lb[],MATCH($A142,lmic_raw_lb[[setting]:[setting]],0), MATCH(J$139, lmic_raw_lb[#Headers],0)))</f>
        <v>0.91959999999999997</v>
      </c>
      <c r="K142" s="98">
        <f>IF(INDEX(lmic_raw_lb[],MATCH($A142,lmic_raw_lb[[setting]:[setting]],0), MATCH(K$139, lmic_raw_lb[#Headers],0))=0, INDEX(regions_lb[], MATCH($D142, regions_lb[[setting]:[setting]],0), MATCH(K$139, regions_lb[#Headers],0)),INDEX(lmic_raw_lb[],MATCH($A142,lmic_raw_lb[[setting]:[setting]],0), MATCH(K$139, lmic_raw_lb[#Headers],0)))</f>
        <v>0.9405</v>
      </c>
      <c r="L142" s="98">
        <f>IF(INDEX(lmic_raw_lb[],MATCH($A142,lmic_raw_lb[[setting]:[setting]],0), MATCH(L$139, lmic_raw_lb[#Headers],0))=0, INDEX(regions_lb[], MATCH($D142, regions_lb[[setting]:[setting]],0), MATCH(L$139, regions_lb[#Headers],0)),INDEX(lmic_raw_lb[],MATCH($A142,lmic_raw_lb[[setting]:[setting]],0), MATCH(L$139, lmic_raw_lb[#Headers],0)))</f>
        <v>0.86449999999999994</v>
      </c>
      <c r="M142" s="98">
        <f>IF(INDEX(lmic_raw_lb[],MATCH($A142,lmic_raw_lb[[setting]:[setting]],0), MATCH(M$139, lmic_raw_lb[#Headers],0))=0, INDEX(regions_lb[], MATCH($D142, regions_lb[[setting]:[setting]],0), MATCH(M$139, regions_lb[#Headers],0)),INDEX(lmic_raw_lb[],MATCH($A142,lmic_raw_lb[[setting]:[setting]],0), MATCH(M$139, lmic_raw_lb[#Headers],0)))</f>
        <v>1.23E-2</v>
      </c>
      <c r="N142" s="98">
        <f>IF(INDEX(lmic_raw_lb[],MATCH($A142,lmic_raw_lb[[setting]:[setting]],0), MATCH(N$139, lmic_raw_lb[#Headers],0))=0, INDEX(regions_lb[], MATCH($D142, regions_lb[[setting]:[setting]],0), MATCH(N$139, regions_lb[#Headers],0)),INDEX(lmic_raw_lb[],MATCH($A142,lmic_raw_lb[[setting]:[setting]],0), MATCH(N$139, lmic_raw_lb[#Headers],0)))</f>
        <v>0.14980000000000002</v>
      </c>
      <c r="O142" s="98">
        <f>IF(INDEX(lmic_raw_lb[],MATCH($A142,lmic_raw_lb[[setting]:[setting]],0), MATCH(O$139, lmic_raw_lb[#Headers],0))=0, INDEX(regions_lb[], MATCH($D142, regions_lb[[setting]:[setting]],0), MATCH(O$139, regions_lb[#Headers],0)),INDEX(lmic_raw_lb[],MATCH($A142,lmic_raw_lb[[setting]:[setting]],0), MATCH(O$139, lmic_raw_lb[#Headers],0)))</f>
        <v>0.7</v>
      </c>
      <c r="P142" s="98">
        <f>IF(INDEX(lmic_raw_lb[],MATCH($A142,lmic_raw_lb[[setting]:[setting]],0), MATCH(P$139, lmic_raw_lb[#Headers],0))=0, INDEX(regions_lb[], MATCH($D142, regions_lb[[setting]:[setting]],0), MATCH(P$139, regions_lb[#Headers],0)),INDEX(lmic_raw_lb[],MATCH($A142,lmic_raw_lb[[setting]:[setting]],0), MATCH(P$139, lmic_raw_lb[#Headers],0)))</f>
        <v>0.05</v>
      </c>
      <c r="Q142" s="98">
        <f>IF(INDEX(lmic_raw_lb[],MATCH($A142,lmic_raw_lb[[setting]:[setting]],0), MATCH(Q$139, lmic_raw_lb[#Headers],0))=0, INDEX(regions_lb[], MATCH($D142, regions_lb[[setting]:[setting]],0), MATCH(Q$139, regions_lb[#Headers],0)),INDEX(lmic_raw_lb[],MATCH($A142,lmic_raw_lb[[setting]:[setting]],0), MATCH(Q$139, lmic_raw_lb[#Headers],0)))</f>
        <v>6.3365030237360642</v>
      </c>
      <c r="R142" s="98">
        <f>IF(INDEX(lmic_raw_lb[],MATCH($A142,lmic_raw_lb[[setting]:[setting]],0), MATCH(R$139, lmic_raw_lb[#Headers],0))=0, INDEX(regions_lb[], MATCH($D142, regions_lb[[setting]:[setting]],0), MATCH(R$139, regions_lb[#Headers],0)),INDEX(lmic_raw_lb[],MATCH($A142,lmic_raw_lb[[setting]:[setting]],0), MATCH(R$139, lmic_raw_lb[#Headers],0)))</f>
        <v>44.019105000000003</v>
      </c>
      <c r="S142" s="98">
        <f>IF(INDEX(lmic_raw_lb[],MATCH($A142,lmic_raw_lb[[setting]:[setting]],0), MATCH(S$139, lmic_raw_lb[#Headers],0))=0, INDEX(regions_lb[], MATCH($D142, regions_lb[[setting]:[setting]],0), MATCH(S$139, regions_lb[#Headers],0)),INDEX(lmic_raw_lb[],MATCH($A142,lmic_raw_lb[[setting]:[setting]],0), MATCH(S$139, lmic_raw_lb[#Headers],0)))</f>
        <v>89.374005000000011</v>
      </c>
      <c r="T142" s="98">
        <f>IF(INDEX(lmic_raw_lb[],MATCH($A142,lmic_raw_lb[[setting]:[setting]],0), MATCH(T$139, lmic_raw_lb[#Headers],0))=0, INDEX(regions_lb[], MATCH($D142, regions_lb[[setting]:[setting]],0), MATCH(T$139, regions_lb[#Headers],0)),INDEX(lmic_raw_lb[],MATCH($A142,lmic_raw_lb[[setting]:[setting]],0), MATCH(T$139, lmic_raw_lb[#Headers],0)))</f>
        <v>89.374005000000011</v>
      </c>
      <c r="U142" s="98">
        <f>IF(INDEX(lmic_raw_lb[],MATCH($A142,lmic_raw_lb[[setting]:[setting]],0), MATCH(U$139, lmic_raw_lb[#Headers],0))=0, INDEX(regions_lb[], MATCH($D142, regions_lb[[setting]:[setting]],0), MATCH(U$139, regions_lb[#Headers],0)),INDEX(lmic_raw_lb[],MATCH($A142,lmic_raw_lb[[setting]:[setting]],0), MATCH(U$139, lmic_raw_lb[#Headers],0)))</f>
        <v>89.374005000000011</v>
      </c>
      <c r="V142" s="98">
        <f>IF(INDEX(lmic_raw_lb[],MATCH($A142,lmic_raw_lb[[setting]:[setting]],0), MATCH(V$139, lmic_raw_lb[#Headers],0))=0, INDEX(regions_lb[], MATCH($D142, regions_lb[[setting]:[setting]],0), MATCH(V$139, regions_lb[#Headers],0)),INDEX(lmic_raw_lb[],MATCH($A142,lmic_raw_lb[[setting]:[setting]],0), MATCH(V$139, lmic_raw_lb[#Headers],0)))</f>
        <v>1.2915614699033051</v>
      </c>
      <c r="W142" s="98">
        <f>IF(INDEX(lmic_raw_lb[],MATCH($A142,lmic_raw_lb[[setting]:[setting]],0), MATCH(W$139, lmic_raw_lb[#Headers],0))=0, INDEX(regions_lb[], MATCH($D142, regions_lb[[setting]:[setting]],0), MATCH(W$139, regions_lb[#Headers],0)),INDEX(lmic_raw_lb[],MATCH($A142,lmic_raw_lb[[setting]:[setting]],0), MATCH(W$139, lmic_raw_lb[#Headers],0)))</f>
        <v>1.747181469903305</v>
      </c>
      <c r="X142" s="98">
        <f>IF(INDEX(lmic_raw_lb[],MATCH($A142,lmic_raw_lb[[setting]:[setting]],0), MATCH(X$139, lmic_raw_lb[#Headers],0))=0, INDEX(regions_lb[], MATCH($D142, regions_lb[[setting]:[setting]],0), MATCH(X$139, regions_lb[#Headers],0)),INDEX(lmic_raw_lb[],MATCH($A142,lmic_raw_lb[[setting]:[setting]],0), MATCH(X$139, lmic_raw_lb[#Headers],0)))</f>
        <v>0.92425263339773966</v>
      </c>
      <c r="Y142" s="98">
        <f>IF(INDEX(lmic_raw_lb[],MATCH($A142,lmic_raw_lb[[setting]:[setting]],0), MATCH(Y$139, lmic_raw_lb[#Headers],0))=0, INDEX(regions_lb[], MATCH($D142, regions_lb[[setting]:[setting]],0), MATCH(Y$139, regions_lb[#Headers],0)),INDEX(lmic_raw_lb[],MATCH($A142,lmic_raw_lb[[setting]:[setting]],0), MATCH(Y$139, lmic_raw_lb[#Headers],0)))</f>
        <v>1.3798726333977398</v>
      </c>
      <c r="Z142" s="98">
        <f>IF(INDEX(lmic_raw_lb[],MATCH($A142,lmic_raw_lb[[setting]:[setting]],0), MATCH(Z$139, lmic_raw_lb[#Headers],0))=0, INDEX(regions_lb[], MATCH($D142, regions_lb[[setting]:[setting]],0), MATCH(Z$139, regions_lb[#Headers],0)),INDEX(lmic_raw_lb[],MATCH($A142,lmic_raw_lb[[setting]:[setting]],0), MATCH(Z$139, lmic_raw_lb[#Headers],0)))</f>
        <v>1.3763062293931254</v>
      </c>
      <c r="AA142" s="98">
        <f>IF(INDEX(lmic_raw_lb[],MATCH($A142,lmic_raw_lb[[setting]:[setting]],0), MATCH(AA$139, lmic_raw_lb[#Headers],0))=0, INDEX(regions_lb[], MATCH($D142, regions_lb[[setting]:[setting]],0), MATCH(AA$139, regions_lb[#Headers],0)),INDEX(lmic_raw_lb[],MATCH($A142,lmic_raw_lb[[setting]:[setting]],0), MATCH(AA$139, lmic_raw_lb[#Headers],0)))</f>
        <v>1.5036210743556166</v>
      </c>
      <c r="AB142" s="98">
        <f>IF(INDEX(lmic_raw_lb[],MATCH($A142,lmic_raw_lb[[setting]:[setting]],0), MATCH(AB$139, lmic_raw_lb[#Headers],0))=0, INDEX(regions_lb[], MATCH($D142, regions_lb[[setting]:[setting]],0), MATCH(AB$139, regions_lb[#Headers],0)),INDEX(lmic_raw_lb[],MATCH($A142,lmic_raw_lb[[setting]:[setting]],0), MATCH(AB$139, lmic_raw_lb[#Headers],0)))</f>
        <v>1.9592410743556168</v>
      </c>
      <c r="AC142" s="98">
        <f>IF(INDEX(lmic_raw_lb[],MATCH($A142,lmic_raw_lb[[setting]:[setting]],0), MATCH(AC$139, lmic_raw_lb[#Headers],0))=0, INDEX(regions_lb[], MATCH($D142, regions_lb[[setting]:[setting]],0), MATCH(AC$139, regions_lb[#Headers],0)),INDEX(lmic_raw_lb[],MATCH($A142,lmic_raw_lb[[setting]:[setting]],0), MATCH(AC$139, lmic_raw_lb[#Headers],0)))</f>
        <v>2.0186663999999965E-2</v>
      </c>
      <c r="AD142" s="98">
        <f>IF(INDEX(lmic_raw_lb[],MATCH($A142,lmic_raw_lb[[setting]:[setting]],0), MATCH(AD$139, lmic_raw_lb[#Headers],0))=0, INDEX(regions_lb[], MATCH($D142, regions_lb[[setting]:[setting]],0), MATCH(AD$139, regions_lb[#Headers],0)),INDEX(lmic_raw_lb[],MATCH($A142,lmic_raw_lb[[setting]:[setting]],0), MATCH(AD$139, lmic_raw_lb[#Headers],0)))</f>
        <v>8.2992556287665037E-4</v>
      </c>
      <c r="AE142" s="98">
        <f>IF(INDEX(lmic_raw_lb[],MATCH($A142,lmic_raw_lb[[setting]:[setting]],0), MATCH(AE$139, lmic_raw_lb[#Headers],0))=0, INDEX(regions_lb[], MATCH($D142, regions_lb[[setting]:[setting]],0), MATCH(AE$139, regions_lb[#Headers],0)),INDEX(lmic_raw_lb[],MATCH($A142,lmic_raw_lb[[setting]:[setting]],0), MATCH(AE$139, lmic_raw_lb[#Headers],0)))</f>
        <v>4.2336152831688696E-4</v>
      </c>
      <c r="AF142" s="98">
        <f>IF(INDEX(lmic_raw_lb[],MATCH($A142,lmic_raw_lb[[setting]:[setting]],0), MATCH(AF$139, lmic_raw_lb[#Headers],0))=0, INDEX(regions_lb[], MATCH($D142, regions_lb[[setting]:[setting]],0), MATCH(AF$139, regions_lb[#Headers],0)),INDEX(lmic_raw_lb[],MATCH($A142,lmic_raw_lb[[setting]:[setting]],0), MATCH(AF$139, lmic_raw_lb[#Headers],0)))</f>
        <v>3.7614108204030806E-4</v>
      </c>
      <c r="AG142" s="98">
        <f>IF(INDEX(lmic_raw_lb[],MATCH($A142,lmic_raw_lb[[setting]:[setting]],0), MATCH(AG$139, lmic_raw_lb[#Headers],0))=0, INDEX(regions_lb[], MATCH($D142, regions_lb[[setting]:[setting]],0), MATCH(AG$139, regions_lb[#Headers],0)),INDEX(lmic_raw_lb[],MATCH($A142,lmic_raw_lb[[setting]:[setting]],0), MATCH(AG$139, lmic_raw_lb[#Headers],0)))</f>
        <v>5.3869702314149391E-4</v>
      </c>
      <c r="AH142" s="98">
        <f>IF(INDEX(lmic_raw_lb[],MATCH($A142,lmic_raw_lb[[setting]:[setting]],0), MATCH(AH$139, lmic_raw_lb[#Headers],0))=0, INDEX(regions_lb[], MATCH($D142, regions_lb[[setting]:[setting]],0), MATCH(AH$139, regions_lb[#Headers],0)),INDEX(lmic_raw_lb[],MATCH($A142,lmic_raw_lb[[setting]:[setting]],0), MATCH(AH$139, lmic_raw_lb[#Headers],0)))</f>
        <v>7.0094678426253527E-4</v>
      </c>
      <c r="AI142" s="98">
        <f>IF(INDEX(lmic_raw_lb[],MATCH($A142,lmic_raw_lb[[setting]:[setting]],0), MATCH(AI$139, lmic_raw_lb[#Headers],0))=0, INDEX(regions_lb[], MATCH($D142, regions_lb[[setting]:[setting]],0), MATCH(AI$139, regions_lb[#Headers],0)),INDEX(lmic_raw_lb[],MATCH($A142,lmic_raw_lb[[setting]:[setting]],0), MATCH(AI$139, lmic_raw_lb[#Headers],0)))</f>
        <v>8.2717071028172776E-4</v>
      </c>
      <c r="AJ142" s="98">
        <f>IF(INDEX(lmic_raw_lb[],MATCH($A142,lmic_raw_lb[[setting]:[setting]],0), MATCH(AJ$139, lmic_raw_lb[#Headers],0))=0, INDEX(regions_lb[], MATCH($D142, regions_lb[[setting]:[setting]],0), MATCH(AJ$139, regions_lb[#Headers],0)),INDEX(lmic_raw_lb[],MATCH($A142,lmic_raw_lb[[setting]:[setting]],0), MATCH(AJ$139, lmic_raw_lb[#Headers],0)))</f>
        <v>9.7713864064980448E-4</v>
      </c>
      <c r="AK142" s="98">
        <f>IF(INDEX(lmic_raw_lb[],MATCH($A142,lmic_raw_lb[[setting]:[setting]],0), MATCH(AK$139, lmic_raw_lb[#Headers],0))=0, INDEX(regions_lb[], MATCH($D142, regions_lb[[setting]:[setting]],0), MATCH(AK$139, regions_lb[#Headers],0)),INDEX(lmic_raw_lb[],MATCH($A142,lmic_raw_lb[[setting]:[setting]],0), MATCH(AK$139, lmic_raw_lb[#Headers],0)))</f>
        <v>1.3118978206780056E-3</v>
      </c>
      <c r="AL142" s="98">
        <f>IF(INDEX(lmic_raw_lb[],MATCH($A142,lmic_raw_lb[[setting]:[setting]],0), MATCH(AL$139, lmic_raw_lb[#Headers],0))=0, INDEX(regions_lb[], MATCH($D142, regions_lb[[setting]:[setting]],0), MATCH(AL$139, regions_lb[#Headers],0)),INDEX(lmic_raw_lb[],MATCH($A142,lmic_raw_lb[[setting]:[setting]],0), MATCH(AL$139, lmic_raw_lb[#Headers],0)))</f>
        <v>1.7781776011483394E-3</v>
      </c>
      <c r="AM142" s="98">
        <f>IF(INDEX(lmic_raw_lb[],MATCH($A142,lmic_raw_lb[[setting]:[setting]],0), MATCH(AM$139, lmic_raw_lb[#Headers],0))=0, INDEX(regions_lb[], MATCH($D142, regions_lb[[setting]:[setting]],0), MATCH(AM$139, regions_lb[#Headers],0)),INDEX(lmic_raw_lb[],MATCH($A142,lmic_raw_lb[[setting]:[setting]],0), MATCH(AM$139, lmic_raw_lb[#Headers],0)))</f>
        <v>2.6000108201753576E-3</v>
      </c>
      <c r="AN142" s="98">
        <f>IF(INDEX(lmic_raw_lb[],MATCH($A142,lmic_raw_lb[[setting]:[setting]],0), MATCH(AN$139, lmic_raw_lb[#Headers],0))=0, INDEX(regions_lb[], MATCH($D142, regions_lb[[setting]:[setting]],0), MATCH(AN$139, regions_lb[#Headers],0)),INDEX(lmic_raw_lb[],MATCH($A142,lmic_raw_lb[[setting]:[setting]],0), MATCH(AN$139, lmic_raw_lb[#Headers],0)))</f>
        <v>3.8434594210008718E-3</v>
      </c>
      <c r="AO142" s="98">
        <f>IF(INDEX(lmic_raw_lb[],MATCH($A142,lmic_raw_lb[[setting]:[setting]],0), MATCH(AO$139, lmic_raw_lb[#Headers],0))=0, INDEX(regions_lb[], MATCH($D142, regions_lb[[setting]:[setting]],0), MATCH(AO$139, regions_lb[#Headers],0)),INDEX(lmic_raw_lb[],MATCH($A142,lmic_raw_lb[[setting]:[setting]],0), MATCH(AO$139, lmic_raw_lb[#Headers],0)))</f>
        <v>5.8169663787848739E-3</v>
      </c>
      <c r="AP142" s="98">
        <f>IF(INDEX(lmic_raw_lb[],MATCH($A142,lmic_raw_lb[[setting]:[setting]],0), MATCH(AP$139, lmic_raw_lb[#Headers],0))=0, INDEX(regions_lb[], MATCH($D142, regions_lb[[setting]:[setting]],0), MATCH(AP$139, regions_lb[#Headers],0)),INDEX(lmic_raw_lb[],MATCH($A142,lmic_raw_lb[[setting]:[setting]],0), MATCH(AP$139, lmic_raw_lb[#Headers],0)))</f>
        <v>9.2189509831527832E-3</v>
      </c>
      <c r="AQ142" s="98">
        <f>IF(INDEX(lmic_raw_lb[],MATCH($A142,lmic_raw_lb[[setting]:[setting]],0), MATCH(AQ$139, lmic_raw_lb[#Headers],0))=0, INDEX(regions_lb[], MATCH($D142, regions_lb[[setting]:[setting]],0), MATCH(AQ$139, regions_lb[#Headers],0)),INDEX(lmic_raw_lb[],MATCH($A142,lmic_raw_lb[[setting]:[setting]],0), MATCH(AQ$139, lmic_raw_lb[#Headers],0)))</f>
        <v>1.4005109466546116E-2</v>
      </c>
      <c r="AR142" s="98">
        <f>IF(INDEX(lmic_raw_lb[],MATCH($A142,lmic_raw_lb[[setting]:[setting]],0), MATCH(AR$139, lmic_raw_lb[#Headers],0))=0, INDEX(regions_lb[], MATCH($D142, regions_lb[[setting]:[setting]],0), MATCH(AR$139, regions_lb[#Headers],0)),INDEX(lmic_raw_lb[],MATCH($A142,lmic_raw_lb[[setting]:[setting]],0), MATCH(AR$139, lmic_raw_lb[#Headers],0)))</f>
        <v>2.2821019478876475E-2</v>
      </c>
      <c r="AS142" s="98">
        <f>IF(INDEX(lmic_raw_lb[],MATCH($A142,lmic_raw_lb[[setting]:[setting]],0), MATCH(AS$139, lmic_raw_lb[#Headers],0))=0, INDEX(regions_lb[], MATCH($D142, regions_lb[[setting]:[setting]],0), MATCH(AS$139, regions_lb[#Headers],0)),INDEX(lmic_raw_lb[],MATCH($A142,lmic_raw_lb[[setting]:[setting]],0), MATCH(AS$139, lmic_raw_lb[#Headers],0)))</f>
        <v>3.8590593731897077E-2</v>
      </c>
      <c r="AT142" s="98">
        <f>IF(INDEX(lmic_raw_lb[],MATCH($A142,lmic_raw_lb[[setting]:[setting]],0), MATCH(AT$139, lmic_raw_lb[#Headers],0))=0, INDEX(regions_lb[], MATCH($D142, regions_lb[[setting]:[setting]],0), MATCH(AT$139, regions_lb[#Headers],0)),INDEX(lmic_raw_lb[],MATCH($A142,lmic_raw_lb[[setting]:[setting]],0), MATCH(AT$139, lmic_raw_lb[#Headers],0)))</f>
        <v>6.3757035771533702E-2</v>
      </c>
      <c r="AU142" s="98">
        <f>IF(INDEX(lmic_raw_lb[],MATCH($A142,lmic_raw_lb[[setting]:[setting]],0), MATCH(AU$139, lmic_raw_lb[#Headers],0))=0, INDEX(regions_lb[], MATCH($D142, regions_lb[[setting]:[setting]],0), MATCH(AU$139, regions_lb[#Headers],0)),INDEX(lmic_raw_lb[],MATCH($A142,lmic_raw_lb[[setting]:[setting]],0), MATCH(AU$139, lmic_raw_lb[#Headers],0)))</f>
        <v>9.5857457972641932E-2</v>
      </c>
      <c r="AV142" s="98">
        <f>IF(INDEX(lmic_raw_lb[],MATCH($A142,lmic_raw_lb[[setting]:[setting]],0), MATCH(AV$139, lmic_raw_lb[#Headers],0))=0, INDEX(regions_lb[], MATCH($D142, regions_lb[[setting]:[setting]],0), MATCH(AV$139, regions_lb[#Headers],0)),INDEX(lmic_raw_lb[],MATCH($A142,lmic_raw_lb[[setting]:[setting]],0), MATCH(AV$139, lmic_raw_lb[#Headers],0)))</f>
        <v>0.12825981641374856</v>
      </c>
      <c r="AW142" s="98">
        <f>IF(INDEX(lmic_raw_lb[],MATCH($A142,lmic_raw_lb[[setting]:[setting]],0), MATCH(AW$139, lmic_raw_lb[#Headers],0))=0, INDEX(regions_lb[], MATCH($D142, regions_lb[[setting]:[setting]],0), MATCH(AW$139, regions_lb[#Headers],0)),INDEX(lmic_raw_lb[],MATCH($A142,lmic_raw_lb[[setting]:[setting]],0), MATCH(AW$139, lmic_raw_lb[#Headers],0)))</f>
        <v>0.15461667525804973</v>
      </c>
      <c r="AX142" s="98">
        <f>IF(INDEX(lmic_raw_lb[],MATCH($A142,lmic_raw_lb[[setting]:[setting]],0), MATCH(AX$139, lmic_raw_lb[#Headers],0))=0, INDEX(regions_lb[], MATCH($D142, regions_lb[[setting]:[setting]],0), MATCH(AX$139, regions_lb[#Headers],0)),INDEX(lmic_raw_lb[],MATCH($A142,lmic_raw_lb[[setting]:[setting]],0), MATCH(AX$139, lmic_raw_lb[#Headers],0)))</f>
        <v>72.763350000000003</v>
      </c>
      <c r="AY142" s="98" t="str">
        <f>IF(VLOOKUP(lmics_lb[[#This Row],[setting]],lmic_raw_lb[],11,FALSE)=0, "Yes", "No")</f>
        <v>No</v>
      </c>
    </row>
    <row r="143" spans="1:51" x14ac:dyDescent="0.25">
      <c r="A143" s="110" t="s">
        <v>122</v>
      </c>
      <c r="B143" s="104" t="s">
        <v>372</v>
      </c>
      <c r="C143" s="105">
        <v>24</v>
      </c>
      <c r="D143" s="84" t="s">
        <v>677</v>
      </c>
      <c r="E143" s="122" t="s">
        <v>582</v>
      </c>
      <c r="F143" s="94" t="s">
        <v>667</v>
      </c>
      <c r="G143" s="94" t="s">
        <v>678</v>
      </c>
      <c r="H143" s="94"/>
      <c r="I143" s="94"/>
      <c r="J143" s="94">
        <f>IF(INDEX(lmic_raw_lb[],MATCH($A143,lmic_raw_lb[[setting]:[setting]],0), MATCH(J$139, lmic_raw_lb[#Headers],0))=0, INDEX(regions_lb[], MATCH($D143, regions_lb[[setting]:[setting]],0), MATCH(J$139, regions_lb[#Headers],0)),INDEX(lmic_raw_lb[],MATCH($A143,lmic_raw_lb[[setting]:[setting]],0), MATCH(J$139, lmic_raw_lb[#Headers],0)))</f>
        <v>0.43319999999999997</v>
      </c>
      <c r="K143" s="94">
        <f>IF(INDEX(lmic_raw_lb[],MATCH($A143,lmic_raw_lb[[setting]:[setting]],0), MATCH(K$139, lmic_raw_lb[#Headers],0))=0, INDEX(regions_lb[], MATCH($D143, regions_lb[[setting]:[setting]],0), MATCH(K$139, regions_lb[#Headers],0)),INDEX(lmic_raw_lb[],MATCH($A143,lmic_raw_lb[[setting]:[setting]],0), MATCH(K$139, lmic_raw_lb[#Headers],0)))</f>
        <v>0.65789974195504752</v>
      </c>
      <c r="L143" s="94">
        <f>IF(INDEX(lmic_raw_lb[],MATCH($A143,lmic_raw_lb[[setting]:[setting]],0), MATCH(L$139, lmic_raw_lb[#Headers],0))=0, INDEX(regions_lb[], MATCH($D143, regions_lb[[setting]:[setting]],0), MATCH(L$139, regions_lb[#Headers],0)),INDEX(lmic_raw_lb[],MATCH($A143,lmic_raw_lb[[setting]:[setting]],0), MATCH(L$139, lmic_raw_lb[#Headers],0)))</f>
        <v>0.50349999999999995</v>
      </c>
      <c r="M143" s="94">
        <f>IF(INDEX(lmic_raw_lb[],MATCH($A143,lmic_raw_lb[[setting]:[setting]],0), MATCH(M$139, lmic_raw_lb[#Headers],0))=0, INDEX(regions_lb[], MATCH($D143, regions_lb[[setting]:[setting]],0), MATCH(M$139, regions_lb[#Headers],0)),INDEX(lmic_raw_lb[],MATCH($A143,lmic_raw_lb[[setting]:[setting]],0), MATCH(M$139, lmic_raw_lb[#Headers],0)))</f>
        <v>7.1500000000000008E-2</v>
      </c>
      <c r="N143" s="94">
        <f>IF(INDEX(lmic_raw_lb[],MATCH($A143,lmic_raw_lb[[setting]:[setting]],0), MATCH(N$139, lmic_raw_lb[#Headers],0))=0, INDEX(regions_lb[], MATCH($D143, regions_lb[[setting]:[setting]],0), MATCH(N$139, regions_lb[#Headers],0)),INDEX(lmic_raw_lb[],MATCH($A143,lmic_raw_lb[[setting]:[setting]],0), MATCH(N$139, lmic_raw_lb[#Headers],0)))</f>
        <v>0.15279999999999999</v>
      </c>
      <c r="O143" s="94">
        <f>IF(INDEX(lmic_raw_lb[],MATCH($A143,lmic_raw_lb[[setting]:[setting]],0), MATCH(O$139, lmic_raw_lb[#Headers],0))=0, INDEX(regions_lb[], MATCH($D143, regions_lb[[setting]:[setting]],0), MATCH(O$139, regions_lb[#Headers],0)),INDEX(lmic_raw_lb[],MATCH($A143,lmic_raw_lb[[setting]:[setting]],0), MATCH(O$139, lmic_raw_lb[#Headers],0)))</f>
        <v>7.0000000000000007E-2</v>
      </c>
      <c r="P143" s="94">
        <f>IF(INDEX(lmic_raw_lb[],MATCH($A143,lmic_raw_lb[[setting]:[setting]],0), MATCH(P$139, lmic_raw_lb[#Headers],0))=0, INDEX(regions_lb[], MATCH($D143, regions_lb[[setting]:[setting]],0), MATCH(P$139, regions_lb[#Headers],0)),INDEX(lmic_raw_lb[],MATCH($A143,lmic_raw_lb[[setting]:[setting]],0), MATCH(P$139, lmic_raw_lb[#Headers],0)))</f>
        <v>1E-3</v>
      </c>
      <c r="Q143" s="94">
        <f>IF(INDEX(lmic_raw_lb[],MATCH($A143,lmic_raw_lb[[setting]:[setting]],0), MATCH(Q$139, lmic_raw_lb[#Headers],0))=0, INDEX(regions_lb[], MATCH($D143, regions_lb[[setting]:[setting]],0), MATCH(Q$139, regions_lb[#Headers],0)),INDEX(lmic_raw_lb[],MATCH($A143,lmic_raw_lb[[setting]:[setting]],0), MATCH(Q$139, lmic_raw_lb[#Headers],0)))</f>
        <v>7.5317163746184468</v>
      </c>
      <c r="R143" s="94">
        <f>IF(INDEX(lmic_raw_lb[],MATCH($A143,lmic_raw_lb[[setting]:[setting]],0), MATCH(R$139, lmic_raw_lb[#Headers],0))=0, INDEX(regions_lb[], MATCH($D143, regions_lb[[setting]:[setting]],0), MATCH(R$139, regions_lb[#Headers],0)),INDEX(lmic_raw_lb[],MATCH($A143,lmic_raw_lb[[setting]:[setting]],0), MATCH(R$139, lmic_raw_lb[#Headers],0)))</f>
        <v>28.424474999999997</v>
      </c>
      <c r="S143" s="94">
        <f>IF(INDEX(lmic_raw_lb[],MATCH($A143,lmic_raw_lb[[setting]:[setting]],0), MATCH(S$139, lmic_raw_lb[#Headers],0))=0, INDEX(regions_lb[], MATCH($D143, regions_lb[[setting]:[setting]],0), MATCH(S$139, regions_lb[#Headers],0)),INDEX(lmic_raw_lb[],MATCH($A143,lmic_raw_lb[[setting]:[setting]],0), MATCH(S$139, lmic_raw_lb[#Headers],0)))</f>
        <v>73.779375000000002</v>
      </c>
      <c r="T143" s="94">
        <f>IF(INDEX(lmic_raw_lb[],MATCH($A143,lmic_raw_lb[[setting]:[setting]],0), MATCH(T$139, lmic_raw_lb[#Headers],0))=0, INDEX(regions_lb[], MATCH($D143, regions_lb[[setting]:[setting]],0), MATCH(T$139, regions_lb[#Headers],0)),INDEX(lmic_raw_lb[],MATCH($A143,lmic_raw_lb[[setting]:[setting]],0), MATCH(T$139, lmic_raw_lb[#Headers],0)))</f>
        <v>73.779375000000002</v>
      </c>
      <c r="U143" s="94">
        <f>IF(INDEX(lmic_raw_lb[],MATCH($A143,lmic_raw_lb[[setting]:[setting]],0), MATCH(U$139, lmic_raw_lb[#Headers],0))=0, INDEX(regions_lb[], MATCH($D143, regions_lb[[setting]:[setting]],0), MATCH(U$139, regions_lb[#Headers],0)),INDEX(lmic_raw_lb[],MATCH($A143,lmic_raw_lb[[setting]:[setting]],0), MATCH(U$139, lmic_raw_lb[#Headers],0)))</f>
        <v>73.779375000000002</v>
      </c>
      <c r="V143" s="94">
        <f>IF(INDEX(lmic_raw_lb[],MATCH($A143,lmic_raw_lb[[setting]:[setting]],0), MATCH(V$139, lmic_raw_lb[#Headers],0))=0, INDEX(regions_lb[], MATCH($D143, regions_lb[[setting]:[setting]],0), MATCH(V$139, regions_lb[#Headers],0)),INDEX(lmic_raw_lb[],MATCH($A143,lmic_raw_lb[[setting]:[setting]],0), MATCH(V$139, lmic_raw_lb[#Headers],0)))</f>
        <v>0.62573381300553232</v>
      </c>
      <c r="W143" s="94">
        <f>IF(INDEX(lmic_raw_lb[],MATCH($A143,lmic_raw_lb[[setting]:[setting]],0), MATCH(W$139, lmic_raw_lb[#Headers],0))=0, INDEX(regions_lb[], MATCH($D143, regions_lb[[setting]:[setting]],0), MATCH(W$139, regions_lb[#Headers],0)),INDEX(lmic_raw_lb[],MATCH($A143,lmic_raw_lb[[setting]:[setting]],0), MATCH(W$139, lmic_raw_lb[#Headers],0)))</f>
        <v>5.2129988130055329</v>
      </c>
      <c r="X143" s="94">
        <f>IF(INDEX(lmic_raw_lb[],MATCH($A143,lmic_raw_lb[[setting]:[setting]],0), MATCH(X$139, lmic_raw_lb[#Headers],0))=0, INDEX(regions_lb[], MATCH($D143, regions_lb[[setting]:[setting]],0), MATCH(X$139, regions_lb[#Headers],0)),INDEX(lmic_raw_lb[],MATCH($A143,lmic_raw_lb[[setting]:[setting]],0), MATCH(X$139, lmic_raw_lb[#Headers],0)))</f>
        <v>0.25691283522257918</v>
      </c>
      <c r="Y143" s="94">
        <f>IF(INDEX(lmic_raw_lb[],MATCH($A143,lmic_raw_lb[[setting]:[setting]],0), MATCH(Y$139, lmic_raw_lb[#Headers],0))=0, INDEX(regions_lb[], MATCH($D143, regions_lb[[setting]:[setting]],0), MATCH(Y$139, regions_lb[#Headers],0)),INDEX(lmic_raw_lb[],MATCH($A143,lmic_raw_lb[[setting]:[setting]],0), MATCH(Y$139, lmic_raw_lb[#Headers],0)))</f>
        <v>4.8441778352225793</v>
      </c>
      <c r="Z143" s="94">
        <f>IF(INDEX(lmic_raw_lb[],MATCH($A143,lmic_raw_lb[[setting]:[setting]],0), MATCH(Z$139, lmic_raw_lb[#Headers],0))=0, INDEX(regions_lb[], MATCH($D143, regions_lb[[setting]:[setting]],0), MATCH(Z$139, regions_lb[#Headers],0)),INDEX(lmic_raw_lb[],MATCH($A143,lmic_raw_lb[[setting]:[setting]],0), MATCH(Z$139, lmic_raw_lb[#Headers],0)))</f>
        <v>4.839633012250383</v>
      </c>
      <c r="AA143" s="94">
        <f>IF(INDEX(lmic_raw_lb[],MATCH($A143,lmic_raw_lb[[setting]:[setting]],0), MATCH(AA$139, lmic_raw_lb[#Headers],0))=0, INDEX(regions_lb[], MATCH($D143, regions_lb[[setting]:[setting]],0), MATCH(AA$139, regions_lb[#Headers],0)),INDEX(lmic_raw_lb[],MATCH($A143,lmic_raw_lb[[setting]:[setting]],0), MATCH(AA$139, lmic_raw_lb[#Headers],0)))</f>
        <v>0.83844147800529578</v>
      </c>
      <c r="AB143" s="94">
        <f>IF(INDEX(lmic_raw_lb[],MATCH($A143,lmic_raw_lb[[setting]:[setting]],0), MATCH(AB$139, lmic_raw_lb[#Headers],0))=0, INDEX(regions_lb[], MATCH($D143, regions_lb[[setting]:[setting]],0), MATCH(AB$139, regions_lb[#Headers],0)),INDEX(lmic_raw_lb[],MATCH($A143,lmic_raw_lb[[setting]:[setting]],0), MATCH(AB$139, lmic_raw_lb[#Headers],0)))</f>
        <v>5.4257064780052957</v>
      </c>
      <c r="AC143" s="94">
        <f>IF(INDEX(lmic_raw_lb[],MATCH($A143,lmic_raw_lb[[setting]:[setting]],0), MATCH(AC$139, lmic_raw_lb[#Headers],0))=0, INDEX(regions_lb[], MATCH($D143, regions_lb[[setting]:[setting]],0), MATCH(AC$139, regions_lb[#Headers],0)),INDEX(lmic_raw_lb[],MATCH($A143,lmic_raw_lb[[setting]:[setting]],0), MATCH(AC$139, lmic_raw_lb[#Headers],0)))</f>
        <v>5.8386448999999951E-2</v>
      </c>
      <c r="AD143" s="94">
        <f>IF(INDEX(lmic_raw_lb[],MATCH($A143,lmic_raw_lb[[setting]:[setting]],0), MATCH(AD$139, lmic_raw_lb[#Headers],0))=0, INDEX(regions_lb[], MATCH($D143, regions_lb[[setting]:[setting]],0), MATCH(AD$139, regions_lb[#Headers],0)),INDEX(lmic_raw_lb[],MATCH($A143,lmic_raw_lb[[setting]:[setting]],0), MATCH(AD$139, lmic_raw_lb[#Headers],0)))</f>
        <v>4.9169560148374309E-3</v>
      </c>
      <c r="AE143" s="94">
        <f>IF(INDEX(lmic_raw_lb[],MATCH($A143,lmic_raw_lb[[setting]:[setting]],0), MATCH(AE$139, lmic_raw_lb[#Headers],0))=0, INDEX(regions_lb[], MATCH($D143, regions_lb[[setting]:[setting]],0), MATCH(AE$139, regions_lb[#Headers],0)),INDEX(lmic_raw_lb[],MATCH($A143,lmic_raw_lb[[setting]:[setting]],0), MATCH(AE$139, lmic_raw_lb[#Headers],0)))</f>
        <v>1.8127096865446031E-3</v>
      </c>
      <c r="AF143" s="94">
        <f>IF(INDEX(lmic_raw_lb[],MATCH($A143,lmic_raw_lb[[setting]:[setting]],0), MATCH(AF$139, lmic_raw_lb[#Headers],0))=0, INDEX(regions_lb[], MATCH($D143, regions_lb[[setting]:[setting]],0), MATCH(AF$139, regions_lb[#Headers],0)),INDEX(lmic_raw_lb[],MATCH($A143,lmic_raw_lb[[setting]:[setting]],0), MATCH(AF$139, lmic_raw_lb[#Headers],0)))</f>
        <v>1.3218459769521905E-3</v>
      </c>
      <c r="AG143" s="94">
        <f>IF(INDEX(lmic_raw_lb[],MATCH($A143,lmic_raw_lb[[setting]:[setting]],0), MATCH(AG$139, lmic_raw_lb[#Headers],0))=0, INDEX(regions_lb[], MATCH($D143, regions_lb[[setting]:[setting]],0), MATCH(AG$139, regions_lb[#Headers],0)),INDEX(lmic_raw_lb[],MATCH($A143,lmic_raw_lb[[setting]:[setting]],0), MATCH(AG$139, lmic_raw_lb[#Headers],0)))</f>
        <v>2.2205048575684775E-3</v>
      </c>
      <c r="AH143" s="94">
        <f>IF(INDEX(lmic_raw_lb[],MATCH($A143,lmic_raw_lb[[setting]:[setting]],0), MATCH(AH$139, lmic_raw_lb[#Headers],0))=0, INDEX(regions_lb[], MATCH($D143, regions_lb[[setting]:[setting]],0), MATCH(AH$139, regions_lb[#Headers],0)),INDEX(lmic_raw_lb[],MATCH($A143,lmic_raw_lb[[setting]:[setting]],0), MATCH(AH$139, lmic_raw_lb[#Headers],0)))</f>
        <v>3.0923920794394067E-3</v>
      </c>
      <c r="AI143" s="94">
        <f>IF(INDEX(lmic_raw_lb[],MATCH($A143,lmic_raw_lb[[setting]:[setting]],0), MATCH(AI$139, lmic_raw_lb[#Headers],0))=0, INDEX(regions_lb[], MATCH($D143, regions_lb[[setting]:[setting]],0), MATCH(AI$139, regions_lb[#Headers],0)),INDEX(lmic_raw_lb[],MATCH($A143,lmic_raw_lb[[setting]:[setting]],0), MATCH(AI$139, lmic_raw_lb[#Headers],0)))</f>
        <v>3.4091900437019399E-3</v>
      </c>
      <c r="AJ143" s="94">
        <f>IF(INDEX(lmic_raw_lb[],MATCH($A143,lmic_raw_lb[[setting]:[setting]],0), MATCH(AJ$139, lmic_raw_lb[#Headers],0))=0, INDEX(regions_lb[], MATCH($D143, regions_lb[[setting]:[setting]],0), MATCH(AJ$139, regions_lb[#Headers],0)),INDEX(lmic_raw_lb[],MATCH($A143,lmic_raw_lb[[setting]:[setting]],0), MATCH(AJ$139, lmic_raw_lb[#Headers],0)))</f>
        <v>3.9337033543511979E-3</v>
      </c>
      <c r="AK143" s="94">
        <f>IF(INDEX(lmic_raw_lb[],MATCH($A143,lmic_raw_lb[[setting]:[setting]],0), MATCH(AK$139, lmic_raw_lb[#Headers],0))=0, INDEX(regions_lb[], MATCH($D143, regions_lb[[setting]:[setting]],0), MATCH(AK$139, regions_lb[#Headers],0)),INDEX(lmic_raw_lb[],MATCH($A143,lmic_raw_lb[[setting]:[setting]],0), MATCH(AK$139, lmic_raw_lb[#Headers],0)))</f>
        <v>4.8817971213014882E-3</v>
      </c>
      <c r="AL143" s="94">
        <f>IF(INDEX(lmic_raw_lb[],MATCH($A143,lmic_raw_lb[[setting]:[setting]],0), MATCH(AL$139, lmic_raw_lb[#Headers],0))=0, INDEX(regions_lb[], MATCH($D143, regions_lb[[setting]:[setting]],0), MATCH(AL$139, regions_lb[#Headers],0)),INDEX(lmic_raw_lb[],MATCH($A143,lmic_raw_lb[[setting]:[setting]],0), MATCH(AL$139, lmic_raw_lb[#Headers],0)))</f>
        <v>6.2658914538164818E-3</v>
      </c>
      <c r="AM143" s="94">
        <f>IF(INDEX(lmic_raw_lb[],MATCH($A143,lmic_raw_lb[[setting]:[setting]],0), MATCH(AM$139, lmic_raw_lb[#Headers],0))=0, INDEX(regions_lb[], MATCH($D143, regions_lb[[setting]:[setting]],0), MATCH(AM$139, regions_lb[#Headers],0)),INDEX(lmic_raw_lb[],MATCH($A143,lmic_raw_lb[[setting]:[setting]],0), MATCH(AM$139, lmic_raw_lb[#Headers],0)))</f>
        <v>8.3727751440962686E-3</v>
      </c>
      <c r="AN143" s="94">
        <f>IF(INDEX(lmic_raw_lb[],MATCH($A143,lmic_raw_lb[[setting]:[setting]],0), MATCH(AN$139, lmic_raw_lb[#Headers],0))=0, INDEX(regions_lb[], MATCH($D143, regions_lb[[setting]:[setting]],0), MATCH(AN$139, regions_lb[#Headers],0)),INDEX(lmic_raw_lb[],MATCH($A143,lmic_raw_lb[[setting]:[setting]],0), MATCH(AN$139, lmic_raw_lb[#Headers],0)))</f>
        <v>1.1720959685636653E-2</v>
      </c>
      <c r="AO143" s="94">
        <f>IF(INDEX(lmic_raw_lb[],MATCH($A143,lmic_raw_lb[[setting]:[setting]],0), MATCH(AO$139, lmic_raw_lb[#Headers],0))=0, INDEX(regions_lb[], MATCH($D143, regions_lb[[setting]:[setting]],0), MATCH(AO$139, regions_lb[#Headers],0)),INDEX(lmic_raw_lb[],MATCH($A143,lmic_raw_lb[[setting]:[setting]],0), MATCH(AO$139, lmic_raw_lb[#Headers],0)))</f>
        <v>1.6518209164100343E-2</v>
      </c>
      <c r="AP143" s="94">
        <f>IF(INDEX(lmic_raw_lb[],MATCH($A143,lmic_raw_lb[[setting]:[setting]],0), MATCH(AP$139, lmic_raw_lb[#Headers],0))=0, INDEX(regions_lb[], MATCH($D143, regions_lb[[setting]:[setting]],0), MATCH(AP$139, regions_lb[#Headers],0)),INDEX(lmic_raw_lb[],MATCH($A143,lmic_raw_lb[[setting]:[setting]],0), MATCH(AP$139, lmic_raw_lb[#Headers],0)))</f>
        <v>2.4357071053399203E-2</v>
      </c>
      <c r="AQ143" s="94">
        <f>IF(INDEX(lmic_raw_lb[],MATCH($A143,lmic_raw_lb[[setting]:[setting]],0), MATCH(AQ$139, lmic_raw_lb[#Headers],0))=0, INDEX(regions_lb[], MATCH($D143, regions_lb[[setting]:[setting]],0), MATCH(AQ$139, regions_lb[#Headers],0)),INDEX(lmic_raw_lb[],MATCH($A143,lmic_raw_lb[[setting]:[setting]],0), MATCH(AQ$139, lmic_raw_lb[#Headers],0)))</f>
        <v>3.5718379214068688E-2</v>
      </c>
      <c r="AR143" s="94">
        <f>IF(INDEX(lmic_raw_lb[],MATCH($A143,lmic_raw_lb[[setting]:[setting]],0), MATCH(AR$139, lmic_raw_lb[#Headers],0))=0, INDEX(regions_lb[], MATCH($D143, regions_lb[[setting]:[setting]],0), MATCH(AR$139, regions_lb[#Headers],0)),INDEX(lmic_raw_lb[],MATCH($A143,lmic_raw_lb[[setting]:[setting]],0), MATCH(AR$139, lmic_raw_lb[#Headers],0)))</f>
        <v>5.278151494322194E-2</v>
      </c>
      <c r="AS143" s="94">
        <f>IF(INDEX(lmic_raw_lb[],MATCH($A143,lmic_raw_lb[[setting]:[setting]],0), MATCH(AS$139, lmic_raw_lb[#Headers],0))=0, INDEX(regions_lb[], MATCH($D143, regions_lb[[setting]:[setting]],0), MATCH(AS$139, regions_lb[#Headers],0)),INDEX(lmic_raw_lb[],MATCH($A143,lmic_raw_lb[[setting]:[setting]],0), MATCH(AS$139, lmic_raw_lb[#Headers],0)))</f>
        <v>7.5827468705273057E-2</v>
      </c>
      <c r="AT143" s="94">
        <f>IF(INDEX(lmic_raw_lb[],MATCH($A143,lmic_raw_lb[[setting]:[setting]],0), MATCH(AT$139, lmic_raw_lb[#Headers],0))=0, INDEX(regions_lb[], MATCH($D143, regions_lb[[setting]:[setting]],0), MATCH(AT$139, regions_lb[#Headers],0)),INDEX(lmic_raw_lb[],MATCH($A143,lmic_raw_lb[[setting]:[setting]],0), MATCH(AT$139, lmic_raw_lb[#Headers],0)))</f>
        <v>0.1033802966395635</v>
      </c>
      <c r="AU143" s="94">
        <f>IF(INDEX(lmic_raw_lb[],MATCH($A143,lmic_raw_lb[[setting]:[setting]],0), MATCH(AU$139, lmic_raw_lb[#Headers],0))=0, INDEX(regions_lb[], MATCH($D143, regions_lb[[setting]:[setting]],0), MATCH(AU$139, regions_lb[#Headers],0)),INDEX(lmic_raw_lb[],MATCH($A143,lmic_raw_lb[[setting]:[setting]],0), MATCH(AU$139, lmic_raw_lb[#Headers],0)))</f>
        <v>0.12916288540862567</v>
      </c>
      <c r="AV143" s="94">
        <f>IF(INDEX(lmic_raw_lb[],MATCH($A143,lmic_raw_lb[[setting]:[setting]],0), MATCH(AV$139, lmic_raw_lb[#Headers],0))=0, INDEX(regions_lb[], MATCH($D143, regions_lb[[setting]:[setting]],0), MATCH(AV$139, regions_lb[#Headers],0)),INDEX(lmic_raw_lb[],MATCH($A143,lmic_raw_lb[[setting]:[setting]],0), MATCH(AV$139, lmic_raw_lb[#Headers],0)))</f>
        <v>0.15191212177695404</v>
      </c>
      <c r="AW143" s="94">
        <f>IF(INDEX(lmic_raw_lb[],MATCH($A143,lmic_raw_lb[[setting]:[setting]],0), MATCH(AW$139, lmic_raw_lb[#Headers],0))=0, INDEX(regions_lb[], MATCH($D143, regions_lb[[setting]:[setting]],0), MATCH(AW$139, regions_lb[#Headers],0)),INDEX(lmic_raw_lb[],MATCH($A143,lmic_raw_lb[[setting]:[setting]],0), MATCH(AW$139, lmic_raw_lb[#Headers],0)))</f>
        <v>0.16908633138284643</v>
      </c>
      <c r="AX143" s="94">
        <f>IF(INDEX(lmic_raw_lb[],MATCH($A143,lmic_raw_lb[[setting]:[setting]],0), MATCH(AX$139, lmic_raw_lb[#Headers],0))=0, INDEX(regions_lb[], MATCH($D143, regions_lb[[setting]:[setting]],0), MATCH(AX$139, regions_lb[#Headers],0)),INDEX(lmic_raw_lb[],MATCH($A143,lmic_raw_lb[[setting]:[setting]],0), MATCH(AX$139, lmic_raw_lb[#Headers],0)))</f>
        <v>57.512999999999998</v>
      </c>
      <c r="AY143" s="94" t="str">
        <f>IF(VLOOKUP(lmics_lb[[#This Row],[setting]],lmic_raw_lb[],11,FALSE)=0, "Yes", "No")</f>
        <v>Yes</v>
      </c>
    </row>
    <row r="144" spans="1:51" x14ac:dyDescent="0.25">
      <c r="A144" s="109" t="s">
        <v>262</v>
      </c>
      <c r="B144" s="101" t="s">
        <v>373</v>
      </c>
      <c r="C144" s="102">
        <v>32</v>
      </c>
      <c r="D144" s="82" t="s">
        <v>679</v>
      </c>
      <c r="E144" s="121" t="s">
        <v>583</v>
      </c>
      <c r="F144" s="98" t="s">
        <v>665</v>
      </c>
      <c r="G144" s="98" t="s">
        <v>676</v>
      </c>
      <c r="H144" s="98"/>
      <c r="I144" s="98"/>
      <c r="J144" s="98">
        <f>IF(INDEX(lmic_raw_lb[],MATCH($A144,lmic_raw_lb[[setting]:[setting]],0), MATCH(J$139, lmic_raw_lb[#Headers],0))=0, INDEX(regions_lb[], MATCH($D144, regions_lb[[setting]:[setting]],0), MATCH(J$139, regions_lb[#Headers],0)),INDEX(lmic_raw_lb[],MATCH($A144,lmic_raw_lb[[setting]:[setting]],0), MATCH(J$139, lmic_raw_lb[#Headers],0)))</f>
        <v>0.94334999999999991</v>
      </c>
      <c r="K144" s="98">
        <f>IF(INDEX(lmic_raw_lb[],MATCH($A144,lmic_raw_lb[[setting]:[setting]],0), MATCH(K$139, lmic_raw_lb[#Headers],0))=0, INDEX(regions_lb[], MATCH($D144, regions_lb[[setting]:[setting]],0), MATCH(K$139, regions_lb[#Headers],0)),INDEX(lmic_raw_lb[],MATCH($A144,lmic_raw_lb[[setting]:[setting]],0), MATCH(K$139, lmic_raw_lb[#Headers],0)))</f>
        <v>0.77899999999999991</v>
      </c>
      <c r="L144" s="98">
        <f>IF(INDEX(lmic_raw_lb[],MATCH($A144,lmic_raw_lb[[setting]:[setting]],0), MATCH(L$139, lmic_raw_lb[#Headers],0))=0, INDEX(regions_lb[], MATCH($D144, regions_lb[[setting]:[setting]],0), MATCH(L$139, regions_lb[#Headers],0)),INDEX(lmic_raw_lb[],MATCH($A144,lmic_raw_lb[[setting]:[setting]],0), MATCH(L$139, lmic_raw_lb[#Headers],0)))</f>
        <v>0.81699999999999995</v>
      </c>
      <c r="M144" s="98">
        <f>IF(INDEX(lmic_raw_lb[],MATCH($A144,lmic_raw_lb[[setting]:[setting]],0), MATCH(M$139, lmic_raw_lb[#Headers],0))=0, INDEX(regions_lb[], MATCH($D144, regions_lb[[setting]:[setting]],0), MATCH(M$139, regions_lb[#Headers],0)),INDEX(lmic_raw_lb[],MATCH($A144,lmic_raw_lb[[setting]:[setting]],0), MATCH(M$139, lmic_raw_lb[#Headers],0)))</f>
        <v>5.0000000000000001E-4</v>
      </c>
      <c r="N144" s="98">
        <f>IF(INDEX(lmic_raw_lb[],MATCH($A144,lmic_raw_lb[[setting]:[setting]],0), MATCH(N$139, lmic_raw_lb[#Headers],0))=0, INDEX(regions_lb[], MATCH($D144, regions_lb[[setting]:[setting]],0), MATCH(N$139, regions_lb[#Headers],0)),INDEX(lmic_raw_lb[],MATCH($A144,lmic_raw_lb[[setting]:[setting]],0), MATCH(N$139, lmic_raw_lb[#Headers],0)))</f>
        <v>0.17660000000000001</v>
      </c>
      <c r="O144" s="98">
        <f>IF(INDEX(lmic_raw_lb[],MATCH($A144,lmic_raw_lb[[setting]:[setting]],0), MATCH(O$139, lmic_raw_lb[#Headers],0))=0, INDEX(regions_lb[], MATCH($D144, regions_lb[[setting]:[setting]],0), MATCH(O$139, regions_lb[#Headers],0)),INDEX(lmic_raw_lb[],MATCH($A144,lmic_raw_lb[[setting]:[setting]],0), MATCH(O$139, lmic_raw_lb[#Headers],0)))</f>
        <v>0.7</v>
      </c>
      <c r="P144" s="98">
        <f>IF(INDEX(lmic_raw_lb[],MATCH($A144,lmic_raw_lb[[setting]:[setting]],0), MATCH(P$139, lmic_raw_lb[#Headers],0))=0, INDEX(regions_lb[], MATCH($D144, regions_lb[[setting]:[setting]],0), MATCH(P$139, regions_lb[#Headers],0)),INDEX(lmic_raw_lb[],MATCH($A144,lmic_raw_lb[[setting]:[setting]],0), MATCH(P$139, lmic_raw_lb[#Headers],0)))</f>
        <v>0.05</v>
      </c>
      <c r="Q144" s="98">
        <f>IF(INDEX(lmic_raw_lb[],MATCH($A144,lmic_raw_lb[[setting]:[setting]],0), MATCH(Q$139, lmic_raw_lb[#Headers],0))=0, INDEX(regions_lb[], MATCH($D144, regions_lb[[setting]:[setting]],0), MATCH(Q$139, regions_lb[#Headers],0)),INDEX(lmic_raw_lb[],MATCH($A144,lmic_raw_lb[[setting]:[setting]],0), MATCH(Q$139, lmic_raw_lb[#Headers],0)))</f>
        <v>15.266776362404427</v>
      </c>
      <c r="R144" s="98">
        <f>IF(INDEX(lmic_raw_lb[],MATCH($A144,lmic_raw_lb[[setting]:[setting]],0), MATCH(R$139, lmic_raw_lb[#Headers],0))=0, INDEX(regions_lb[], MATCH($D144, regions_lb[[setting]:[setting]],0), MATCH(R$139, regions_lb[#Headers],0)),INDEX(lmic_raw_lb[],MATCH($A144,lmic_raw_lb[[setting]:[setting]],0), MATCH(R$139, lmic_raw_lb[#Headers],0)))</f>
        <v>82.539704999999998</v>
      </c>
      <c r="S144" s="98">
        <f>IF(INDEX(lmic_raw_lb[],MATCH($A144,lmic_raw_lb[[setting]:[setting]],0), MATCH(S$139, lmic_raw_lb[#Headers],0))=0, INDEX(regions_lb[], MATCH($D144, regions_lb[[setting]:[setting]],0), MATCH(S$139, regions_lb[#Headers],0)),INDEX(lmic_raw_lb[],MATCH($A144,lmic_raw_lb[[setting]:[setting]],0), MATCH(S$139, lmic_raw_lb[#Headers],0)))</f>
        <v>127.894605</v>
      </c>
      <c r="T144" s="98">
        <f>IF(INDEX(lmic_raw_lb[],MATCH($A144,lmic_raw_lb[[setting]:[setting]],0), MATCH(T$139, lmic_raw_lb[#Headers],0))=0, INDEX(regions_lb[], MATCH($D144, regions_lb[[setting]:[setting]],0), MATCH(T$139, regions_lb[#Headers],0)),INDEX(lmic_raw_lb[],MATCH($A144,lmic_raw_lb[[setting]:[setting]],0), MATCH(T$139, lmic_raw_lb[#Headers],0)))</f>
        <v>127.894605</v>
      </c>
      <c r="U144" s="98">
        <f>IF(INDEX(lmic_raw_lb[],MATCH($A144,lmic_raw_lb[[setting]:[setting]],0), MATCH(U$139, lmic_raw_lb[#Headers],0))=0, INDEX(regions_lb[], MATCH($D144, regions_lb[[setting]:[setting]],0), MATCH(U$139, regions_lb[#Headers],0)),INDEX(lmic_raw_lb[],MATCH($A144,lmic_raw_lb[[setting]:[setting]],0), MATCH(U$139, lmic_raw_lb[#Headers],0)))</f>
        <v>127.894605</v>
      </c>
      <c r="V144" s="98">
        <f>IF(INDEX(lmic_raw_lb[],MATCH($A144,lmic_raw_lb[[setting]:[setting]],0), MATCH(V$139, lmic_raw_lb[#Headers],0))=0, INDEX(regions_lb[], MATCH($D144, regions_lb[[setting]:[setting]],0), MATCH(V$139, regions_lb[#Headers],0)),INDEX(lmic_raw_lb[],MATCH($A144,lmic_raw_lb[[setting]:[setting]],0), MATCH(V$139, lmic_raw_lb[#Headers],0)))</f>
        <v>1.2700630613114585</v>
      </c>
      <c r="W144" s="98">
        <f>IF(INDEX(lmic_raw_lb[],MATCH($A144,lmic_raw_lb[[setting]:[setting]],0), MATCH(W$139, lmic_raw_lb[#Headers],0))=0, INDEX(regions_lb[], MATCH($D144, regions_lb[[setting]:[setting]],0), MATCH(W$139, regions_lb[#Headers],0)),INDEX(lmic_raw_lb[],MATCH($A144,lmic_raw_lb[[setting]:[setting]],0), MATCH(W$139, lmic_raw_lb[#Headers],0)))</f>
        <v>1.2907730613114585</v>
      </c>
      <c r="X144" s="98">
        <f>IF(INDEX(lmic_raw_lb[],MATCH($A144,lmic_raw_lb[[setting]:[setting]],0), MATCH(X$139, lmic_raw_lb[#Headers],0))=0, INDEX(regions_lb[], MATCH($D144, regions_lb[[setting]:[setting]],0), MATCH(X$139, regions_lb[#Headers],0)),INDEX(lmic_raw_lb[],MATCH($A144,lmic_raw_lb[[setting]:[setting]],0), MATCH(X$139, lmic_raw_lb[#Headers],0)))</f>
        <v>0.89464180481430045</v>
      </c>
      <c r="Y144" s="98">
        <f>IF(INDEX(lmic_raw_lb[],MATCH($A144,lmic_raw_lb[[setting]:[setting]],0), MATCH(Y$139, lmic_raw_lb[#Headers],0))=0, INDEX(regions_lb[], MATCH($D144, regions_lb[[setting]:[setting]],0), MATCH(Y$139, regions_lb[#Headers],0)),INDEX(lmic_raw_lb[],MATCH($A144,lmic_raw_lb[[setting]:[setting]],0), MATCH(Y$139, lmic_raw_lb[#Headers],0)))</f>
        <v>0.91535180481430045</v>
      </c>
      <c r="Z144" s="98">
        <f>IF(INDEX(lmic_raw_lb[],MATCH($A144,lmic_raw_lb[[setting]:[setting]],0), MATCH(Z$139, lmic_raw_lb[#Headers],0))=0, INDEX(regions_lb[], MATCH($D144, regions_lb[[setting]:[setting]],0), MATCH(Z$139, regions_lb[#Headers],0)),INDEX(lmic_raw_lb[],MATCH($A144,lmic_raw_lb[[setting]:[setting]],0), MATCH(Z$139, lmic_raw_lb[#Headers],0)))</f>
        <v>0.90615287527097022</v>
      </c>
      <c r="AA144" s="98">
        <f>IF(INDEX(lmic_raw_lb[],MATCH($A144,lmic_raw_lb[[setting]:[setting]],0), MATCH(AA$139, lmic_raw_lb[#Headers],0))=0, INDEX(regions_lb[], MATCH($D144, regions_lb[[setting]:[setting]],0), MATCH(AA$139, regions_lb[#Headers],0)),INDEX(lmic_raw_lb[],MATCH($A144,lmic_raw_lb[[setting]:[setting]],0), MATCH(AA$139, lmic_raw_lb[#Headers],0)))</f>
        <v>1.4855994171887386</v>
      </c>
      <c r="AB144" s="98">
        <f>IF(INDEX(lmic_raw_lb[],MATCH($A144,lmic_raw_lb[[setting]:[setting]],0), MATCH(AB$139, lmic_raw_lb[#Headers],0))=0, INDEX(regions_lb[], MATCH($D144, regions_lb[[setting]:[setting]],0), MATCH(AB$139, regions_lb[#Headers],0)),INDEX(lmic_raw_lb[],MATCH($A144,lmic_raw_lb[[setting]:[setting]],0), MATCH(AB$139, lmic_raw_lb[#Headers],0)))</f>
        <v>1.5063094171887386</v>
      </c>
      <c r="AC144" s="98">
        <f>IF(INDEX(lmic_raw_lb[],MATCH($A144,lmic_raw_lb[[setting]:[setting]],0), MATCH(AC$139, lmic_raw_lb[#Headers],0))=0, INDEX(regions_lb[], MATCH($D144, regions_lb[[setting]:[setting]],0), MATCH(AC$139, regions_lb[#Headers],0)),INDEX(lmic_raw_lb[],MATCH($A144,lmic_raw_lb[[setting]:[setting]],0), MATCH(AC$139, lmic_raw_lb[#Headers],0)))</f>
        <v>9.7139305000000023E-3</v>
      </c>
      <c r="AD144" s="98">
        <f>IF(INDEX(lmic_raw_lb[],MATCH($A144,lmic_raw_lb[[setting]:[setting]],0), MATCH(AD$139, lmic_raw_lb[#Headers],0))=0, INDEX(regions_lb[], MATCH($D144, regions_lb[[setting]:[setting]],0), MATCH(AD$139, regions_lb[#Headers],0)),INDEX(lmic_raw_lb[],MATCH($A144,lmic_raw_lb[[setting]:[setting]],0), MATCH(AD$139, lmic_raw_lb[#Headers],0)))</f>
        <v>3.9281839270087433E-4</v>
      </c>
      <c r="AE144" s="98">
        <f>IF(INDEX(lmic_raw_lb[],MATCH($A144,lmic_raw_lb[[setting]:[setting]],0), MATCH(AE$139, lmic_raw_lb[#Headers],0))=0, INDEX(regions_lb[], MATCH($D144, regions_lb[[setting]:[setting]],0), MATCH(AE$139, regions_lb[#Headers],0)),INDEX(lmic_raw_lb[],MATCH($A144,lmic_raw_lb[[setting]:[setting]],0), MATCH(AE$139, lmic_raw_lb[#Headers],0)))</f>
        <v>1.7318546933358059E-4</v>
      </c>
      <c r="AF144" s="98">
        <f>IF(INDEX(lmic_raw_lb[],MATCH($A144,lmic_raw_lb[[setting]:[setting]],0), MATCH(AF$139, lmic_raw_lb[#Headers],0))=0, INDEX(regions_lb[], MATCH($D144, regions_lb[[setting]:[setting]],0), MATCH(AF$139, regions_lb[#Headers],0)),INDEX(lmic_raw_lb[],MATCH($A144,lmic_raw_lb[[setting]:[setting]],0), MATCH(AF$139, lmic_raw_lb[#Headers],0)))</f>
        <v>2.2672122944818041E-4</v>
      </c>
      <c r="AG144" s="98">
        <f>IF(INDEX(lmic_raw_lb[],MATCH($A144,lmic_raw_lb[[setting]:[setting]],0), MATCH(AG$139, lmic_raw_lb[#Headers],0))=0, INDEX(regions_lb[], MATCH($D144, regions_lb[[setting]:[setting]],0), MATCH(AG$139, regions_lb[#Headers],0)),INDEX(lmic_raw_lb[],MATCH($A144,lmic_raw_lb[[setting]:[setting]],0), MATCH(AG$139, lmic_raw_lb[#Headers],0)))</f>
        <v>7.0583472782388809E-4</v>
      </c>
      <c r="AH144" s="98">
        <f>IF(INDEX(lmic_raw_lb[],MATCH($A144,lmic_raw_lb[[setting]:[setting]],0), MATCH(AH$139, lmic_raw_lb[#Headers],0))=0, INDEX(regions_lb[], MATCH($D144, regions_lb[[setting]:[setting]],0), MATCH(AH$139, regions_lb[#Headers],0)),INDEX(lmic_raw_lb[],MATCH($A144,lmic_raw_lb[[setting]:[setting]],0), MATCH(AH$139, lmic_raw_lb[#Headers],0)))</f>
        <v>9.7098838636224894E-4</v>
      </c>
      <c r="AI144" s="98">
        <f>IF(INDEX(lmic_raw_lb[],MATCH($A144,lmic_raw_lb[[setting]:[setting]],0), MATCH(AI$139, lmic_raw_lb[#Headers],0))=0, INDEX(regions_lb[], MATCH($D144, regions_lb[[setting]:[setting]],0), MATCH(AI$139, regions_lb[#Headers],0)),INDEX(lmic_raw_lb[],MATCH($A144,lmic_raw_lb[[setting]:[setting]],0), MATCH(AI$139, lmic_raw_lb[#Headers],0)))</f>
        <v>9.7658065648656076E-4</v>
      </c>
      <c r="AJ144" s="98">
        <f>IF(INDEX(lmic_raw_lb[],MATCH($A144,lmic_raw_lb[[setting]:[setting]],0), MATCH(AJ$139, lmic_raw_lb[#Headers],0))=0, INDEX(regions_lb[], MATCH($D144, regions_lb[[setting]:[setting]],0), MATCH(AJ$139, regions_lb[#Headers],0)),INDEX(lmic_raw_lb[],MATCH($A144,lmic_raw_lb[[setting]:[setting]],0), MATCH(AJ$139, lmic_raw_lb[#Headers],0)))</f>
        <v>1.1068752298679441E-3</v>
      </c>
      <c r="AK144" s="98">
        <f>IF(INDEX(lmic_raw_lb[],MATCH($A144,lmic_raw_lb[[setting]:[setting]],0), MATCH(AK$139, lmic_raw_lb[#Headers],0))=0, INDEX(regions_lb[], MATCH($D144, regions_lb[[setting]:[setting]],0), MATCH(AK$139, regions_lb[#Headers],0)),INDEX(lmic_raw_lb[],MATCH($A144,lmic_raw_lb[[setting]:[setting]],0), MATCH(AK$139, lmic_raw_lb[#Headers],0)))</f>
        <v>1.339992412643845E-3</v>
      </c>
      <c r="AL144" s="98">
        <f>IF(INDEX(lmic_raw_lb[],MATCH($A144,lmic_raw_lb[[setting]:[setting]],0), MATCH(AL$139, lmic_raw_lb[#Headers],0))=0, INDEX(regions_lb[], MATCH($D144, regions_lb[[setting]:[setting]],0), MATCH(AL$139, regions_lb[#Headers],0)),INDEX(lmic_raw_lb[],MATCH($A144,lmic_raw_lb[[setting]:[setting]],0), MATCH(AL$139, lmic_raw_lb[#Headers],0)))</f>
        <v>1.8888962764668934E-3</v>
      </c>
      <c r="AM144" s="98">
        <f>IF(INDEX(lmic_raw_lb[],MATCH($A144,lmic_raw_lb[[setting]:[setting]],0), MATCH(AM$139, lmic_raw_lb[#Headers],0))=0, INDEX(regions_lb[], MATCH($D144, regions_lb[[setting]:[setting]],0), MATCH(AM$139, regions_lb[#Headers],0)),INDEX(lmic_raw_lb[],MATCH($A144,lmic_raw_lb[[setting]:[setting]],0), MATCH(AM$139, lmic_raw_lb[#Headers],0)))</f>
        <v>2.990760737562599E-3</v>
      </c>
      <c r="AN144" s="98">
        <f>IF(INDEX(lmic_raw_lb[],MATCH($A144,lmic_raw_lb[[setting]:[setting]],0), MATCH(AN$139, lmic_raw_lb[#Headers],0))=0, INDEX(regions_lb[], MATCH($D144, regions_lb[[setting]:[setting]],0), MATCH(AN$139, regions_lb[#Headers],0)),INDEX(lmic_raw_lb[],MATCH($A144,lmic_raw_lb[[setting]:[setting]],0), MATCH(AN$139, lmic_raw_lb[#Headers],0)))</f>
        <v>4.8247513794009581E-3</v>
      </c>
      <c r="AO144" s="98">
        <f>IF(INDEX(lmic_raw_lb[],MATCH($A144,lmic_raw_lb[[setting]:[setting]],0), MATCH(AO$139, lmic_raw_lb[#Headers],0))=0, INDEX(regions_lb[], MATCH($D144, regions_lb[[setting]:[setting]],0), MATCH(AO$139, regions_lb[#Headers],0)),INDEX(lmic_raw_lb[],MATCH($A144,lmic_raw_lb[[setting]:[setting]],0), MATCH(AO$139, lmic_raw_lb[#Headers],0)))</f>
        <v>7.9367144353653541E-3</v>
      </c>
      <c r="AP144" s="98">
        <f>IF(INDEX(lmic_raw_lb[],MATCH($A144,lmic_raw_lb[[setting]:[setting]],0), MATCH(AP$139, lmic_raw_lb[#Headers],0))=0, INDEX(regions_lb[], MATCH($D144, regions_lb[[setting]:[setting]],0), MATCH(AP$139, regions_lb[#Headers],0)),INDEX(lmic_raw_lb[],MATCH($A144,lmic_raw_lb[[setting]:[setting]],0), MATCH(AP$139, lmic_raw_lb[#Headers],0)))</f>
        <v>1.1923028644476218E-2</v>
      </c>
      <c r="AQ144" s="98">
        <f>IF(INDEX(lmic_raw_lb[],MATCH($A144,lmic_raw_lb[[setting]:[setting]],0), MATCH(AQ$139, lmic_raw_lb[#Headers],0))=0, INDEX(regions_lb[], MATCH($D144, regions_lb[[setting]:[setting]],0), MATCH(AQ$139, regions_lb[#Headers],0)),INDEX(lmic_raw_lb[],MATCH($A144,lmic_raw_lb[[setting]:[setting]],0), MATCH(AQ$139, lmic_raw_lb[#Headers],0)))</f>
        <v>1.7955726729232856E-2</v>
      </c>
      <c r="AR144" s="98">
        <f>IF(INDEX(lmic_raw_lb[],MATCH($A144,lmic_raw_lb[[setting]:[setting]],0), MATCH(AR$139, lmic_raw_lb[#Headers],0))=0, INDEX(regions_lb[], MATCH($D144, regions_lb[[setting]:[setting]],0), MATCH(AR$139, regions_lb[#Headers],0)),INDEX(lmic_raw_lb[],MATCH($A144,lmic_raw_lb[[setting]:[setting]],0), MATCH(AR$139, lmic_raw_lb[#Headers],0)))</f>
        <v>2.6211941494153169E-2</v>
      </c>
      <c r="AS144" s="98">
        <f>IF(INDEX(lmic_raw_lb[],MATCH($A144,lmic_raw_lb[[setting]:[setting]],0), MATCH(AS$139, lmic_raw_lb[#Headers],0))=0, INDEX(regions_lb[], MATCH($D144, regions_lb[[setting]:[setting]],0), MATCH(AS$139, regions_lb[#Headers],0)),INDEX(lmic_raw_lb[],MATCH($A144,lmic_raw_lb[[setting]:[setting]],0), MATCH(AS$139, lmic_raw_lb[#Headers],0)))</f>
        <v>3.9663215596794331E-2</v>
      </c>
      <c r="AT144" s="98">
        <f>IF(INDEX(lmic_raw_lb[],MATCH($A144,lmic_raw_lb[[setting]:[setting]],0), MATCH(AT$139, lmic_raw_lb[#Headers],0))=0, INDEX(regions_lb[], MATCH($D144, regions_lb[[setting]:[setting]],0), MATCH(AT$139, regions_lb[#Headers],0)),INDEX(lmic_raw_lb[],MATCH($A144,lmic_raw_lb[[setting]:[setting]],0), MATCH(AT$139, lmic_raw_lb[#Headers],0)))</f>
        <v>6.1373419430890794E-2</v>
      </c>
      <c r="AU144" s="98">
        <f>IF(INDEX(lmic_raw_lb[],MATCH($A144,lmic_raw_lb[[setting]:[setting]],0), MATCH(AU$139, lmic_raw_lb[#Headers],0))=0, INDEX(regions_lb[], MATCH($D144, regions_lb[[setting]:[setting]],0), MATCH(AU$139, regions_lb[#Headers],0)),INDEX(lmic_raw_lb[],MATCH($A144,lmic_raw_lb[[setting]:[setting]],0), MATCH(AU$139, lmic_raw_lb[#Headers],0)))</f>
        <v>9.0385007061269076E-2</v>
      </c>
      <c r="AV144" s="98">
        <f>IF(INDEX(lmic_raw_lb[],MATCH($A144,lmic_raw_lb[[setting]:[setting]],0), MATCH(AV$139, lmic_raw_lb[#Headers],0))=0, INDEX(regions_lb[], MATCH($D144, regions_lb[[setting]:[setting]],0), MATCH(AV$139, regions_lb[#Headers],0)),INDEX(lmic_raw_lb[],MATCH($A144,lmic_raw_lb[[setting]:[setting]],0), MATCH(AV$139, lmic_raw_lb[#Headers],0)))</f>
        <v>0.12301239983003993</v>
      </c>
      <c r="AW144" s="98">
        <f>IF(INDEX(lmic_raw_lb[],MATCH($A144,lmic_raw_lb[[setting]:[setting]],0), MATCH(AW$139, lmic_raw_lb[#Headers],0))=0, INDEX(regions_lb[], MATCH($D144, regions_lb[[setting]:[setting]],0), MATCH(AW$139, regions_lb[#Headers],0)),INDEX(lmic_raw_lb[],MATCH($A144,lmic_raw_lb[[setting]:[setting]],0), MATCH(AW$139, lmic_raw_lb[#Headers],0)))</f>
        <v>0.15320241329225157</v>
      </c>
      <c r="AX144" s="98">
        <f>IF(INDEX(lmic_raw_lb[],MATCH($A144,lmic_raw_lb[[setting]:[setting]],0), MATCH(AX$139, lmic_raw_lb[#Headers],0))=0, INDEX(regions_lb[], MATCH($D144, regions_lb[[setting]:[setting]],0), MATCH(AX$139, regions_lb[#Headers],0)),INDEX(lmic_raw_lb[],MATCH($A144,lmic_raw_lb[[setting]:[setting]],0), MATCH(AX$139, lmic_raw_lb[#Headers],0)))</f>
        <v>72.625599999999991</v>
      </c>
      <c r="AY144" s="98" t="str">
        <f>IF(VLOOKUP(lmics_lb[[#This Row],[setting]],lmic_raw_lb[],11,FALSE)=0, "Yes", "No")</f>
        <v>No</v>
      </c>
    </row>
    <row r="145" spans="1:51" x14ac:dyDescent="0.25">
      <c r="A145" s="110" t="s">
        <v>165</v>
      </c>
      <c r="B145" s="104" t="s">
        <v>374</v>
      </c>
      <c r="C145" s="105">
        <v>51</v>
      </c>
      <c r="D145" s="84" t="s">
        <v>675</v>
      </c>
      <c r="E145" s="122" t="s">
        <v>184</v>
      </c>
      <c r="F145" s="94" t="s">
        <v>663</v>
      </c>
      <c r="G145" s="94" t="s">
        <v>676</v>
      </c>
      <c r="H145" s="94"/>
      <c r="I145" s="94"/>
      <c r="J145" s="94">
        <f>IF(INDEX(lmic_raw_lb[],MATCH($A145,lmic_raw_lb[[setting]:[setting]],0), MATCH(J$139, lmic_raw_lb[#Headers],0))=0, INDEX(regions_lb[], MATCH($D145, regions_lb[[setting]:[setting]],0), MATCH(J$139, regions_lb[#Headers],0)),INDEX(lmic_raw_lb[],MATCH($A145,lmic_raw_lb[[setting]:[setting]],0), MATCH(J$139, lmic_raw_lb[#Headers],0)))</f>
        <v>0.94334999999999991</v>
      </c>
      <c r="K145" s="94">
        <f>IF(INDEX(lmic_raw_lb[],MATCH($A145,lmic_raw_lb[[setting]:[setting]],0), MATCH(K$139, lmic_raw_lb[#Headers],0))=0, INDEX(regions_lb[], MATCH($D145, regions_lb[[setting]:[setting]],0), MATCH(K$139, regions_lb[#Headers],0)),INDEX(lmic_raw_lb[],MATCH($A145,lmic_raw_lb[[setting]:[setting]],0), MATCH(K$139, lmic_raw_lb[#Headers],0)))</f>
        <v>0.91199999999999992</v>
      </c>
      <c r="L145" s="94">
        <f>IF(INDEX(lmic_raw_lb[],MATCH($A145,lmic_raw_lb[[setting]:[setting]],0), MATCH(L$139, lmic_raw_lb[#Headers],0))=0, INDEX(regions_lb[], MATCH($D145, regions_lb[[setting]:[setting]],0), MATCH(L$139, regions_lb[#Headers],0)),INDEX(lmic_raw_lb[],MATCH($A145,lmic_raw_lb[[setting]:[setting]],0), MATCH(L$139, lmic_raw_lb[#Headers],0)))</f>
        <v>0.874</v>
      </c>
      <c r="M145" s="94">
        <f>IF(INDEX(lmic_raw_lb[],MATCH($A145,lmic_raw_lb[[setting]:[setting]],0), MATCH(M$139, lmic_raw_lb[#Headers],0))=0, INDEX(regions_lb[], MATCH($D145, regions_lb[[setting]:[setting]],0), MATCH(M$139, regions_lb[#Headers],0)),INDEX(lmic_raw_lb[],MATCH($A145,lmic_raw_lb[[setting]:[setting]],0), MATCH(M$139, lmic_raw_lb[#Headers],0)))</f>
        <v>3.5999999999999999E-3</v>
      </c>
      <c r="N145" s="94">
        <f>IF(INDEX(lmic_raw_lb[],MATCH($A145,lmic_raw_lb[[setting]:[setting]],0), MATCH(N$139, lmic_raw_lb[#Headers],0))=0, INDEX(regions_lb[], MATCH($D145, regions_lb[[setting]:[setting]],0), MATCH(N$139, regions_lb[#Headers],0)),INDEX(lmic_raw_lb[],MATCH($A145,lmic_raw_lb[[setting]:[setting]],0), MATCH(N$139, lmic_raw_lb[#Headers],0)))</f>
        <v>0.16309999999999999</v>
      </c>
      <c r="O145" s="94">
        <f>IF(INDEX(lmic_raw_lb[],MATCH($A145,lmic_raw_lb[[setting]:[setting]],0), MATCH(O$139, lmic_raw_lb[#Headers],0))=0, INDEX(regions_lb[], MATCH($D145, regions_lb[[setting]:[setting]],0), MATCH(O$139, regions_lb[#Headers],0)),INDEX(lmic_raw_lb[],MATCH($A145,lmic_raw_lb[[setting]:[setting]],0), MATCH(O$139, lmic_raw_lb[#Headers],0)))</f>
        <v>0.7</v>
      </c>
      <c r="P145" s="94">
        <f>IF(INDEX(lmic_raw_lb[],MATCH($A145,lmic_raw_lb[[setting]:[setting]],0), MATCH(P$139, lmic_raw_lb[#Headers],0))=0, INDEX(regions_lb[], MATCH($D145, regions_lb[[setting]:[setting]],0), MATCH(P$139, regions_lb[#Headers],0)),INDEX(lmic_raw_lb[],MATCH($A145,lmic_raw_lb[[setting]:[setting]],0), MATCH(P$139, lmic_raw_lb[#Headers],0)))</f>
        <v>0.05</v>
      </c>
      <c r="Q145" s="94">
        <f>IF(INDEX(lmic_raw_lb[],MATCH($A145,lmic_raw_lb[[setting]:[setting]],0), MATCH(Q$139, lmic_raw_lb[#Headers],0))=0, INDEX(regions_lb[], MATCH($D145, regions_lb[[setting]:[setting]],0), MATCH(Q$139, regions_lb[#Headers],0)),INDEX(lmic_raw_lb[],MATCH($A145,lmic_raw_lb[[setting]:[setting]],0), MATCH(Q$139, lmic_raw_lb[#Headers],0)))</f>
        <v>6.4492590002344024</v>
      </c>
      <c r="R145" s="94">
        <f>IF(INDEX(lmic_raw_lb[],MATCH($A145,lmic_raw_lb[[setting]:[setting]],0), MATCH(R$139, lmic_raw_lb[#Headers],0))=0, INDEX(regions_lb[], MATCH($D145, regions_lb[[setting]:[setting]],0), MATCH(R$139, regions_lb[#Headers],0)),INDEX(lmic_raw_lb[],MATCH($A145,lmic_raw_lb[[setting]:[setting]],0), MATCH(R$139, lmic_raw_lb[#Headers],0)))</f>
        <v>42.31053</v>
      </c>
      <c r="S145" s="94">
        <f>IF(INDEX(lmic_raw_lb[],MATCH($A145,lmic_raw_lb[[setting]:[setting]],0), MATCH(S$139, lmic_raw_lb[#Headers],0))=0, INDEX(regions_lb[], MATCH($D145, regions_lb[[setting]:[setting]],0), MATCH(S$139, regions_lb[#Headers],0)),INDEX(lmic_raw_lb[],MATCH($A145,lmic_raw_lb[[setting]:[setting]],0), MATCH(S$139, lmic_raw_lb[#Headers],0)))</f>
        <v>87.665430000000001</v>
      </c>
      <c r="T145" s="94">
        <f>IF(INDEX(lmic_raw_lb[],MATCH($A145,lmic_raw_lb[[setting]:[setting]],0), MATCH(T$139, lmic_raw_lb[#Headers],0))=0, INDEX(regions_lb[], MATCH($D145, regions_lb[[setting]:[setting]],0), MATCH(T$139, regions_lb[#Headers],0)),INDEX(lmic_raw_lb[],MATCH($A145,lmic_raw_lb[[setting]:[setting]],0), MATCH(T$139, lmic_raw_lb[#Headers],0)))</f>
        <v>87.665430000000001</v>
      </c>
      <c r="U145" s="94">
        <f>IF(INDEX(lmic_raw_lb[],MATCH($A145,lmic_raw_lb[[setting]:[setting]],0), MATCH(U$139, lmic_raw_lb[#Headers],0))=0, INDEX(regions_lb[], MATCH($D145, regions_lb[[setting]:[setting]],0), MATCH(U$139, regions_lb[#Headers],0)),INDEX(lmic_raw_lb[],MATCH($A145,lmic_raw_lb[[setting]:[setting]],0), MATCH(U$139, lmic_raw_lb[#Headers],0)))</f>
        <v>87.665430000000001</v>
      </c>
      <c r="V145" s="94">
        <f>IF(INDEX(lmic_raw_lb[],MATCH($A145,lmic_raw_lb[[setting]:[setting]],0), MATCH(V$139, lmic_raw_lb[#Headers],0))=0, INDEX(regions_lb[], MATCH($D145, regions_lb[[setting]:[setting]],0), MATCH(V$139, regions_lb[#Headers],0)),INDEX(lmic_raw_lb[],MATCH($A145,lmic_raw_lb[[setting]:[setting]],0), MATCH(V$139, lmic_raw_lb[#Headers],0)))</f>
        <v>2.6426322821476838</v>
      </c>
      <c r="W145" s="94">
        <f>IF(INDEX(lmic_raw_lb[],MATCH($A145,lmic_raw_lb[[setting]:[setting]],0), MATCH(W$139, lmic_raw_lb[#Headers],0))=0, INDEX(regions_lb[], MATCH($D145, regions_lb[[setting]:[setting]],0), MATCH(W$139, regions_lb[#Headers],0)),INDEX(lmic_raw_lb[],MATCH($A145,lmic_raw_lb[[setting]:[setting]],0), MATCH(W$139, lmic_raw_lb[#Headers],0)))</f>
        <v>6.5050472821476841</v>
      </c>
      <c r="X145" s="94">
        <f>IF(INDEX(lmic_raw_lb[],MATCH($A145,lmic_raw_lb[[setting]:[setting]],0), MATCH(X$139, lmic_raw_lb[#Headers],0))=0, INDEX(regions_lb[], MATCH($D145, regions_lb[[setting]:[setting]],0), MATCH(X$139, regions_lb[#Headers],0)),INDEX(lmic_raw_lb[],MATCH($A145,lmic_raw_lb[[setting]:[setting]],0), MATCH(X$139, lmic_raw_lb[#Headers],0)))</f>
        <v>2.2745942876591392</v>
      </c>
      <c r="Y145" s="94">
        <f>IF(INDEX(lmic_raw_lb[],MATCH($A145,lmic_raw_lb[[setting]:[setting]],0), MATCH(Y$139, lmic_raw_lb[#Headers],0))=0, INDEX(regions_lb[], MATCH($D145, regions_lb[[setting]:[setting]],0), MATCH(Y$139, regions_lb[#Headers],0)),INDEX(lmic_raw_lb[],MATCH($A145,lmic_raw_lb[[setting]:[setting]],0), MATCH(Y$139, lmic_raw_lb[#Headers],0)))</f>
        <v>6.13700928765914</v>
      </c>
      <c r="Z145" s="94">
        <f>IF(INDEX(lmic_raw_lb[],MATCH($A145,lmic_raw_lb[[setting]:[setting]],0), MATCH(Z$139, lmic_raw_lb[#Headers],0))=0, INDEX(regions_lb[], MATCH($D145, regions_lb[[setting]:[setting]],0), MATCH(Z$139, regions_lb[#Headers],0)),INDEX(lmic_raw_lb[],MATCH($A145,lmic_raw_lb[[setting]:[setting]],0), MATCH(Z$139, lmic_raw_lb[#Headers],0)))</f>
        <v>6.1330520011892542</v>
      </c>
      <c r="AA145" s="94">
        <f>IF(INDEX(lmic_raw_lb[],MATCH($A145,lmic_raw_lb[[setting]:[setting]],0), MATCH(AA$139, lmic_raw_lb[#Headers],0))=0, INDEX(regions_lb[], MATCH($D145, regions_lb[[setting]:[setting]],0), MATCH(AA$139, regions_lb[#Headers],0)),INDEX(lmic_raw_lb[],MATCH($A145,lmic_raw_lb[[setting]:[setting]],0), MATCH(AA$139, lmic_raw_lb[#Headers],0)))</f>
        <v>2.8550043828784148</v>
      </c>
      <c r="AB145" s="94">
        <f>IF(INDEX(lmic_raw_lb[],MATCH($A145,lmic_raw_lb[[setting]:[setting]],0), MATCH(AB$139, lmic_raw_lb[#Headers],0))=0, INDEX(regions_lb[], MATCH($D145, regions_lb[[setting]:[setting]],0), MATCH(AB$139, regions_lb[#Headers],0)),INDEX(lmic_raw_lb[],MATCH($A145,lmic_raw_lb[[setting]:[setting]],0), MATCH(AB$139, lmic_raw_lb[#Headers],0)))</f>
        <v>6.7174193828784148</v>
      </c>
      <c r="AC145" s="94">
        <f>IF(INDEX(lmic_raw_lb[],MATCH($A145,lmic_raw_lb[[setting]:[setting]],0), MATCH(AC$139, lmic_raw_lb[#Headers],0))=0, INDEX(regions_lb[], MATCH($D145, regions_lb[[setting]:[setting]],0), MATCH(AC$139, regions_lb[#Headers],0)),INDEX(lmic_raw_lb[],MATCH($A145,lmic_raw_lb[[setting]:[setting]],0), MATCH(AC$139, lmic_raw_lb[#Headers],0)))</f>
        <v>1.0228896999999952E-2</v>
      </c>
      <c r="AD145" s="94">
        <f>IF(INDEX(lmic_raw_lb[],MATCH($A145,lmic_raw_lb[[setting]:[setting]],0), MATCH(AD$139, lmic_raw_lb[#Headers],0))=0, INDEX(regions_lb[], MATCH($D145, regions_lb[[setting]:[setting]],0), MATCH(AD$139, regions_lb[#Headers],0)),INDEX(lmic_raw_lb[],MATCH($A145,lmic_raw_lb[[setting]:[setting]],0), MATCH(AD$139, lmic_raw_lb[#Headers],0)))</f>
        <v>5.7487406856350672E-4</v>
      </c>
      <c r="AE145" s="94">
        <f>IF(INDEX(lmic_raw_lb[],MATCH($A145,lmic_raw_lb[[setting]:[setting]],0), MATCH(AE$139, lmic_raw_lb[#Headers],0))=0, INDEX(regions_lb[], MATCH($D145, regions_lb[[setting]:[setting]],0), MATCH(AE$139, regions_lb[#Headers],0)),INDEX(lmic_raw_lb[],MATCH($A145,lmic_raw_lb[[setting]:[setting]],0), MATCH(AE$139, lmic_raw_lb[#Headers],0)))</f>
        <v>1.842281594507818E-4</v>
      </c>
      <c r="AF145" s="94">
        <f>IF(INDEX(lmic_raw_lb[],MATCH($A145,lmic_raw_lb[[setting]:[setting]],0), MATCH(AF$139, lmic_raw_lb[#Headers],0))=0, INDEX(regions_lb[], MATCH($D145, regions_lb[[setting]:[setting]],0), MATCH(AF$139, regions_lb[#Headers],0)),INDEX(lmic_raw_lb[],MATCH($A145,lmic_raw_lb[[setting]:[setting]],0), MATCH(AF$139, lmic_raw_lb[#Headers],0)))</f>
        <v>2.3590778290560234E-4</v>
      </c>
      <c r="AG145" s="94">
        <f>IF(INDEX(lmic_raw_lb[],MATCH($A145,lmic_raw_lb[[setting]:[setting]],0), MATCH(AG$139, lmic_raw_lb[#Headers],0))=0, INDEX(regions_lb[], MATCH($D145, regions_lb[[setting]:[setting]],0), MATCH(AG$139, regions_lb[#Headers],0)),INDEX(lmic_raw_lb[],MATCH($A145,lmic_raw_lb[[setting]:[setting]],0), MATCH(AG$139, lmic_raw_lb[#Headers],0)))</f>
        <v>5.9840340598489919E-4</v>
      </c>
      <c r="AH145" s="94">
        <f>IF(INDEX(lmic_raw_lb[],MATCH($A145,lmic_raw_lb[[setting]:[setting]],0), MATCH(AH$139, lmic_raw_lb[#Headers],0))=0, INDEX(regions_lb[], MATCH($D145, regions_lb[[setting]:[setting]],0), MATCH(AH$139, regions_lb[#Headers],0)),INDEX(lmic_raw_lb[],MATCH($A145,lmic_raw_lb[[setting]:[setting]],0), MATCH(AH$139, lmic_raw_lb[#Headers],0)))</f>
        <v>5.8636665272416362E-4</v>
      </c>
      <c r="AI145" s="94">
        <f>IF(INDEX(lmic_raw_lb[],MATCH($A145,lmic_raw_lb[[setting]:[setting]],0), MATCH(AI$139, lmic_raw_lb[#Headers],0))=0, INDEX(regions_lb[], MATCH($D145, regions_lb[[setting]:[setting]],0), MATCH(AI$139, regions_lb[#Headers],0)),INDEX(lmic_raw_lb[],MATCH($A145,lmic_raw_lb[[setting]:[setting]],0), MATCH(AI$139, lmic_raw_lb[#Headers],0)))</f>
        <v>5.5465463219642967E-4</v>
      </c>
      <c r="AJ145" s="94">
        <f>IF(INDEX(lmic_raw_lb[],MATCH($A145,lmic_raw_lb[[setting]:[setting]],0), MATCH(AJ$139, lmic_raw_lb[#Headers],0))=0, INDEX(regions_lb[], MATCH($D145, regions_lb[[setting]:[setting]],0), MATCH(AJ$139, regions_lb[#Headers],0)),INDEX(lmic_raw_lb[],MATCH($A145,lmic_raw_lb[[setting]:[setting]],0), MATCH(AJ$139, lmic_raw_lb[#Headers],0)))</f>
        <v>7.3037421992483995E-4</v>
      </c>
      <c r="AK145" s="94">
        <f>IF(INDEX(lmic_raw_lb[],MATCH($A145,lmic_raw_lb[[setting]:[setting]],0), MATCH(AK$139, lmic_raw_lb[#Headers],0))=0, INDEX(regions_lb[], MATCH($D145, regions_lb[[setting]:[setting]],0), MATCH(AK$139, regions_lb[#Headers],0)),INDEX(lmic_raw_lb[],MATCH($A145,lmic_raw_lb[[setting]:[setting]],0), MATCH(AK$139, lmic_raw_lb[#Headers],0)))</f>
        <v>1.0983746355049135E-3</v>
      </c>
      <c r="AL145" s="94">
        <f>IF(INDEX(lmic_raw_lb[],MATCH($A145,lmic_raw_lb[[setting]:[setting]],0), MATCH(AL$139, lmic_raw_lb[#Headers],0))=0, INDEX(regions_lb[], MATCH($D145, regions_lb[[setting]:[setting]],0), MATCH(AL$139, regions_lb[#Headers],0)),INDEX(lmic_raw_lb[],MATCH($A145,lmic_raw_lb[[setting]:[setting]],0), MATCH(AL$139, lmic_raw_lb[#Headers],0)))</f>
        <v>2.0664061026517363E-3</v>
      </c>
      <c r="AM145" s="94">
        <f>IF(INDEX(lmic_raw_lb[],MATCH($A145,lmic_raw_lb[[setting]:[setting]],0), MATCH(AM$139, lmic_raw_lb[#Headers],0))=0, INDEX(regions_lb[], MATCH($D145, regions_lb[[setting]:[setting]],0), MATCH(AM$139, regions_lb[#Headers],0)),INDEX(lmic_raw_lb[],MATCH($A145,lmic_raw_lb[[setting]:[setting]],0), MATCH(AM$139, lmic_raw_lb[#Headers],0)))</f>
        <v>3.4307117449715202E-3</v>
      </c>
      <c r="AN145" s="94">
        <f>IF(INDEX(lmic_raw_lb[],MATCH($A145,lmic_raw_lb[[setting]:[setting]],0), MATCH(AN$139, lmic_raw_lb[#Headers],0))=0, INDEX(regions_lb[], MATCH($D145, regions_lb[[setting]:[setting]],0), MATCH(AN$139, regions_lb[#Headers],0)),INDEX(lmic_raw_lb[],MATCH($A145,lmic_raw_lb[[setting]:[setting]],0), MATCH(AN$139, lmic_raw_lb[#Headers],0)))</f>
        <v>5.6418149846261803E-3</v>
      </c>
      <c r="AO145" s="94">
        <f>IF(INDEX(lmic_raw_lb[],MATCH($A145,lmic_raw_lb[[setting]:[setting]],0), MATCH(AO$139, lmic_raw_lb[#Headers],0))=0, INDEX(regions_lb[], MATCH($D145, regions_lb[[setting]:[setting]],0), MATCH(AO$139, regions_lb[#Headers],0)),INDEX(lmic_raw_lb[],MATCH($A145,lmic_raw_lb[[setting]:[setting]],0), MATCH(AO$139, lmic_raw_lb[#Headers],0)))</f>
        <v>8.4799947168289203E-3</v>
      </c>
      <c r="AP145" s="94">
        <f>IF(INDEX(lmic_raw_lb[],MATCH($A145,lmic_raw_lb[[setting]:[setting]],0), MATCH(AP$139, lmic_raw_lb[#Headers],0))=0, INDEX(regions_lb[], MATCH($D145, regions_lb[[setting]:[setting]],0), MATCH(AP$139, regions_lb[#Headers],0)),INDEX(lmic_raw_lb[],MATCH($A145,lmic_raw_lb[[setting]:[setting]],0), MATCH(AP$139, lmic_raw_lb[#Headers],0)))</f>
        <v>1.3207949318084675E-2</v>
      </c>
      <c r="AQ145" s="94">
        <f>IF(INDEX(lmic_raw_lb[],MATCH($A145,lmic_raw_lb[[setting]:[setting]],0), MATCH(AQ$139, lmic_raw_lb[#Headers],0))=0, INDEX(regions_lb[], MATCH($D145, regions_lb[[setting]:[setting]],0), MATCH(AQ$139, regions_lb[#Headers],0)),INDEX(lmic_raw_lb[],MATCH($A145,lmic_raw_lb[[setting]:[setting]],0), MATCH(AQ$139, lmic_raw_lb[#Headers],0)))</f>
        <v>1.993389993764861E-2</v>
      </c>
      <c r="AR145" s="94">
        <f>IF(INDEX(lmic_raw_lb[],MATCH($A145,lmic_raw_lb[[setting]:[setting]],0), MATCH(AR$139, lmic_raw_lb[#Headers],0))=0, INDEX(regions_lb[], MATCH($D145, regions_lb[[setting]:[setting]],0), MATCH(AR$139, regions_lb[#Headers],0)),INDEX(lmic_raw_lb[],MATCH($A145,lmic_raw_lb[[setting]:[setting]],0), MATCH(AR$139, lmic_raw_lb[#Headers],0)))</f>
        <v>3.1731424447423377E-2</v>
      </c>
      <c r="AS145" s="94">
        <f>IF(INDEX(lmic_raw_lb[],MATCH($A145,lmic_raw_lb[[setting]:[setting]],0), MATCH(AS$139, lmic_raw_lb[#Headers],0))=0, INDEX(regions_lb[], MATCH($D145, regions_lb[[setting]:[setting]],0), MATCH(AS$139, regions_lb[#Headers],0)),INDEX(lmic_raw_lb[],MATCH($A145,lmic_raw_lb[[setting]:[setting]],0), MATCH(AS$139, lmic_raw_lb[#Headers],0)))</f>
        <v>5.1925861798801598E-2</v>
      </c>
      <c r="AT145" s="94">
        <f>IF(INDEX(lmic_raw_lb[],MATCH($A145,lmic_raw_lb[[setting]:[setting]],0), MATCH(AT$139, lmic_raw_lb[#Headers],0))=0, INDEX(regions_lb[], MATCH($D145, regions_lb[[setting]:[setting]],0), MATCH(AT$139, regions_lb[#Headers],0)),INDEX(lmic_raw_lb[],MATCH($A145,lmic_raw_lb[[setting]:[setting]],0), MATCH(AT$139, lmic_raw_lb[#Headers],0)))</f>
        <v>7.8772112660733501E-2</v>
      </c>
      <c r="AU145" s="94">
        <f>IF(INDEX(lmic_raw_lb[],MATCH($A145,lmic_raw_lb[[setting]:[setting]],0), MATCH(AU$139, lmic_raw_lb[#Headers],0))=0, INDEX(regions_lb[], MATCH($D145, regions_lb[[setting]:[setting]],0), MATCH(AU$139, regions_lb[#Headers],0)),INDEX(lmic_raw_lb[],MATCH($A145,lmic_raw_lb[[setting]:[setting]],0), MATCH(AU$139, lmic_raw_lb[#Headers],0)))</f>
        <v>0.11028399495492208</v>
      </c>
      <c r="AV145" s="94">
        <f>IF(INDEX(lmic_raw_lb[],MATCH($A145,lmic_raw_lb[[setting]:[setting]],0), MATCH(AV$139, lmic_raw_lb[#Headers],0))=0, INDEX(regions_lb[], MATCH($D145, regions_lb[[setting]:[setting]],0), MATCH(AV$139, regions_lb[#Headers],0)),INDEX(lmic_raw_lb[],MATCH($A145,lmic_raw_lb[[setting]:[setting]],0), MATCH(AV$139, lmic_raw_lb[#Headers],0)))</f>
        <v>0.1417351121261167</v>
      </c>
      <c r="AW145" s="94">
        <f>IF(INDEX(lmic_raw_lb[],MATCH($A145,lmic_raw_lb[[setting]:[setting]],0), MATCH(AW$139, lmic_raw_lb[#Headers],0))=0, INDEX(regions_lb[], MATCH($D145, regions_lb[[setting]:[setting]],0), MATCH(AW$139, regions_lb[#Headers],0)),INDEX(lmic_raw_lb[],MATCH($A145,lmic_raw_lb[[setting]:[setting]],0), MATCH(AW$139, lmic_raw_lb[#Headers],0)))</f>
        <v>0.16202733090679061</v>
      </c>
      <c r="AX145" s="94">
        <f>IF(INDEX(lmic_raw_lb[],MATCH($A145,lmic_raw_lb[[setting]:[setting]],0), MATCH(AX$139, lmic_raw_lb[#Headers],0))=0, INDEX(regions_lb[], MATCH($D145, regions_lb[[setting]:[setting]],0), MATCH(AX$139, regions_lb[#Headers],0)),INDEX(lmic_raw_lb[],MATCH($A145,lmic_raw_lb[[setting]:[setting]],0), MATCH(AX$139, lmic_raw_lb[#Headers],0)))</f>
        <v>71.122699999999995</v>
      </c>
      <c r="AY145" s="94" t="str">
        <f>IF(VLOOKUP(lmics_lb[[#This Row],[setting]],lmic_raw_lb[],11,FALSE)=0, "Yes", "No")</f>
        <v>No</v>
      </c>
    </row>
    <row r="146" spans="1:51" x14ac:dyDescent="0.25">
      <c r="A146" s="109" t="s">
        <v>166</v>
      </c>
      <c r="B146" s="101" t="s">
        <v>377</v>
      </c>
      <c r="C146" s="102">
        <v>31</v>
      </c>
      <c r="D146" s="82" t="s">
        <v>675</v>
      </c>
      <c r="E146" s="121" t="s">
        <v>184</v>
      </c>
      <c r="F146" s="98" t="s">
        <v>663</v>
      </c>
      <c r="G146" s="98" t="s">
        <v>676</v>
      </c>
      <c r="H146" s="98"/>
      <c r="I146" s="98"/>
      <c r="J146" s="98">
        <f>IF(INDEX(lmic_raw_lb[],MATCH($A146,lmic_raw_lb[[setting]:[setting]],0), MATCH(J$139, lmic_raw_lb[#Headers],0))=0, INDEX(regions_lb[], MATCH($D146, regions_lb[[setting]:[setting]],0), MATCH(J$139, regions_lb[#Headers],0)),INDEX(lmic_raw_lb[],MATCH($A146,lmic_raw_lb[[setting]:[setting]],0), MATCH(J$139, lmic_raw_lb[#Headers],0)))</f>
        <v>0.90915000000000001</v>
      </c>
      <c r="K146" s="98">
        <f>IF(INDEX(lmic_raw_lb[],MATCH($A146,lmic_raw_lb[[setting]:[setting]],0), MATCH(K$139, lmic_raw_lb[#Headers],0))=0, INDEX(regions_lb[], MATCH($D146, regions_lb[[setting]:[setting]],0), MATCH(K$139, regions_lb[#Headers],0)),INDEX(lmic_raw_lb[],MATCH($A146,lmic_raw_lb[[setting]:[setting]],0), MATCH(K$139, lmic_raw_lb[#Headers],0)))</f>
        <v>0.93099999999999994</v>
      </c>
      <c r="L146" s="98">
        <f>IF(INDEX(lmic_raw_lb[],MATCH($A146,lmic_raw_lb[[setting]:[setting]],0), MATCH(L$139, lmic_raw_lb[#Headers],0))=0, INDEX(regions_lb[], MATCH($D146, regions_lb[[setting]:[setting]],0), MATCH(L$139, regions_lb[#Headers],0)),INDEX(lmic_raw_lb[],MATCH($A146,lmic_raw_lb[[setting]:[setting]],0), MATCH(L$139, lmic_raw_lb[#Headers],0)))</f>
        <v>0.8929999999999999</v>
      </c>
      <c r="M146" s="98">
        <f>IF(INDEX(lmic_raw_lb[],MATCH($A146,lmic_raw_lb[[setting]:[setting]],0), MATCH(M$139, lmic_raw_lb[#Headers],0))=0, INDEX(regions_lb[], MATCH($D146, regions_lb[[setting]:[setting]],0), MATCH(M$139, regions_lb[#Headers],0)),INDEX(lmic_raw_lb[],MATCH($A146,lmic_raw_lb[[setting]:[setting]],0), MATCH(M$139, lmic_raw_lb[#Headers],0)))</f>
        <v>1.26E-2</v>
      </c>
      <c r="N146" s="98">
        <f>IF(INDEX(lmic_raw_lb[],MATCH($A146,lmic_raw_lb[[setting]:[setting]],0), MATCH(N$139, lmic_raw_lb[#Headers],0))=0, INDEX(regions_lb[], MATCH($D146, regions_lb[[setting]:[setting]],0), MATCH(N$139, regions_lb[#Headers],0)),INDEX(lmic_raw_lb[],MATCH($A146,lmic_raw_lb[[setting]:[setting]],0), MATCH(N$139, lmic_raw_lb[#Headers],0)))</f>
        <v>0.16309999999999999</v>
      </c>
      <c r="O146" s="98">
        <f>IF(INDEX(lmic_raw_lb[],MATCH($A146,lmic_raw_lb[[setting]:[setting]],0), MATCH(O$139, lmic_raw_lb[#Headers],0))=0, INDEX(regions_lb[], MATCH($D146, regions_lb[[setting]:[setting]],0), MATCH(O$139, regions_lb[#Headers],0)),INDEX(lmic_raw_lb[],MATCH($A146,lmic_raw_lb[[setting]:[setting]],0), MATCH(O$139, lmic_raw_lb[#Headers],0)))</f>
        <v>0.7</v>
      </c>
      <c r="P146" s="98">
        <f>IF(INDEX(lmic_raw_lb[],MATCH($A146,lmic_raw_lb[[setting]:[setting]],0), MATCH(P$139, lmic_raw_lb[#Headers],0))=0, INDEX(regions_lb[], MATCH($D146, regions_lb[[setting]:[setting]],0), MATCH(P$139, regions_lb[#Headers],0)),INDEX(lmic_raw_lb[],MATCH($A146,lmic_raw_lb[[setting]:[setting]],0), MATCH(P$139, lmic_raw_lb[#Headers],0)))</f>
        <v>0.05</v>
      </c>
      <c r="Q146" s="98">
        <f>IF(INDEX(lmic_raw_lb[],MATCH($A146,lmic_raw_lb[[setting]:[setting]],0), MATCH(Q$139, lmic_raw_lb[#Headers],0))=0, INDEX(regions_lb[], MATCH($D146, regions_lb[[setting]:[setting]],0), MATCH(Q$139, regions_lb[#Headers],0)),INDEX(lmic_raw_lb[],MATCH($A146,lmic_raw_lb[[setting]:[setting]],0), MATCH(Q$139, lmic_raw_lb[#Headers],0)))</f>
        <v>9.8128573059501871</v>
      </c>
      <c r="R146" s="98">
        <f>IF(INDEX(lmic_raw_lb[],MATCH($A146,lmic_raw_lb[[setting]:[setting]],0), MATCH(R$139, lmic_raw_lb[#Headers],0))=0, INDEX(regions_lb[], MATCH($D146, regions_lb[[setting]:[setting]],0), MATCH(R$139, regions_lb[#Headers],0)),INDEX(lmic_raw_lb[],MATCH($A146,lmic_raw_lb[[setting]:[setting]],0), MATCH(R$139, lmic_raw_lb[#Headers],0)))</f>
        <v>42.31053</v>
      </c>
      <c r="S146" s="98">
        <f>IF(INDEX(lmic_raw_lb[],MATCH($A146,lmic_raw_lb[[setting]:[setting]],0), MATCH(S$139, lmic_raw_lb[#Headers],0))=0, INDEX(regions_lb[], MATCH($D146, regions_lb[[setting]:[setting]],0), MATCH(S$139, regions_lb[#Headers],0)),INDEX(lmic_raw_lb[],MATCH($A146,lmic_raw_lb[[setting]:[setting]],0), MATCH(S$139, lmic_raw_lb[#Headers],0)))</f>
        <v>87.665430000000001</v>
      </c>
      <c r="T146" s="98">
        <f>IF(INDEX(lmic_raw_lb[],MATCH($A146,lmic_raw_lb[[setting]:[setting]],0), MATCH(T$139, lmic_raw_lb[#Headers],0))=0, INDEX(regions_lb[], MATCH($D146, regions_lb[[setting]:[setting]],0), MATCH(T$139, regions_lb[#Headers],0)),INDEX(lmic_raw_lb[],MATCH($A146,lmic_raw_lb[[setting]:[setting]],0), MATCH(T$139, lmic_raw_lb[#Headers],0)))</f>
        <v>87.665430000000001</v>
      </c>
      <c r="U146" s="98">
        <f>IF(INDEX(lmic_raw_lb[],MATCH($A146,lmic_raw_lb[[setting]:[setting]],0), MATCH(U$139, lmic_raw_lb[#Headers],0))=0, INDEX(regions_lb[], MATCH($D146, regions_lb[[setting]:[setting]],0), MATCH(U$139, regions_lb[#Headers],0)),INDEX(lmic_raw_lb[],MATCH($A146,lmic_raw_lb[[setting]:[setting]],0), MATCH(U$139, lmic_raw_lb[#Headers],0)))</f>
        <v>87.665430000000001</v>
      </c>
      <c r="V146" s="98">
        <f>IF(INDEX(lmic_raw_lb[],MATCH($A146,lmic_raw_lb[[setting]:[setting]],0), MATCH(V$139, lmic_raw_lb[#Headers],0))=0, INDEX(regions_lb[], MATCH($D146, regions_lb[[setting]:[setting]],0), MATCH(V$139, regions_lb[#Headers],0)),INDEX(lmic_raw_lb[],MATCH($A146,lmic_raw_lb[[setting]:[setting]],0), MATCH(V$139, lmic_raw_lb[#Headers],0)))</f>
        <v>2.2412518995677488</v>
      </c>
      <c r="W146" s="98">
        <f>IF(INDEX(lmic_raw_lb[],MATCH($A146,lmic_raw_lb[[setting]:[setting]],0), MATCH(W$139, lmic_raw_lb[#Headers],0))=0, INDEX(regions_lb[], MATCH($D146, regions_lb[[setting]:[setting]],0), MATCH(W$139, regions_lb[#Headers],0)),INDEX(lmic_raw_lb[],MATCH($A146,lmic_raw_lb[[setting]:[setting]],0), MATCH(W$139, lmic_raw_lb[#Headers],0)))</f>
        <v>6.1036668995677488</v>
      </c>
      <c r="X146" s="98">
        <f>IF(INDEX(lmic_raw_lb[],MATCH($A146,lmic_raw_lb[[setting]:[setting]],0), MATCH(X$139, lmic_raw_lb[#Headers],0))=0, INDEX(regions_lb[], MATCH($D146, regions_lb[[setting]:[setting]],0), MATCH(X$139, regions_lb[#Headers],0)),INDEX(lmic_raw_lb[],MATCH($A146,lmic_raw_lb[[setting]:[setting]],0), MATCH(X$139, lmic_raw_lb[#Headers],0)))</f>
        <v>1.8730822979062356</v>
      </c>
      <c r="Y146" s="98">
        <f>IF(INDEX(lmic_raw_lb[],MATCH($A146,lmic_raw_lb[[setting]:[setting]],0), MATCH(Y$139, lmic_raw_lb[#Headers],0))=0, INDEX(regions_lb[], MATCH($D146, regions_lb[[setting]:[setting]],0), MATCH(Y$139, regions_lb[#Headers],0)),INDEX(lmic_raw_lb[],MATCH($A146,lmic_raw_lb[[setting]:[setting]],0), MATCH(Y$139, lmic_raw_lb[#Headers],0)))</f>
        <v>5.7354972979062362</v>
      </c>
      <c r="Z146" s="98">
        <f>IF(INDEX(lmic_raw_lb[],MATCH($A146,lmic_raw_lb[[setting]:[setting]],0), MATCH(Z$139, lmic_raw_lb[#Headers],0))=0, INDEX(regions_lb[], MATCH($D146, regions_lb[[setting]:[setting]],0), MATCH(Z$139, regions_lb[#Headers],0)),INDEX(lmic_raw_lb[],MATCH($A146,lmic_raw_lb[[setting]:[setting]],0), MATCH(Z$139, lmic_raw_lb[#Headers],0)))</f>
        <v>5.7315233820413365</v>
      </c>
      <c r="AA146" s="98">
        <f>IF(INDEX(lmic_raw_lb[],MATCH($A146,lmic_raw_lb[[setting]:[setting]],0), MATCH(AA$139, lmic_raw_lb[#Headers],0))=0, INDEX(regions_lb[], MATCH($D146, regions_lb[[setting]:[setting]],0), MATCH(AA$139, regions_lb[#Headers],0)),INDEX(lmic_raw_lb[],MATCH($A146,lmic_raw_lb[[setting]:[setting]],0), MATCH(AA$139, lmic_raw_lb[#Headers],0)))</f>
        <v>2.4536804033726085</v>
      </c>
      <c r="AB146" s="98">
        <f>IF(INDEX(lmic_raw_lb[],MATCH($A146,lmic_raw_lb[[setting]:[setting]],0), MATCH(AB$139, lmic_raw_lb[#Headers],0))=0, INDEX(regions_lb[], MATCH($D146, regions_lb[[setting]:[setting]],0), MATCH(AB$139, regions_lb[#Headers],0)),INDEX(lmic_raw_lb[],MATCH($A146,lmic_raw_lb[[setting]:[setting]],0), MATCH(AB$139, lmic_raw_lb[#Headers],0)))</f>
        <v>6.3160954033726089</v>
      </c>
      <c r="AC146" s="98">
        <f>IF(INDEX(lmic_raw_lb[],MATCH($A146,lmic_raw_lb[[setting]:[setting]],0), MATCH(AC$139, lmic_raw_lb[#Headers],0))=0, INDEX(regions_lb[], MATCH($D146, regions_lb[[setting]:[setting]],0), MATCH(AC$139, regions_lb[#Headers],0)),INDEX(lmic_raw_lb[],MATCH($A146,lmic_raw_lb[[setting]:[setting]],0), MATCH(AC$139, lmic_raw_lb[#Headers],0)))</f>
        <v>1.9765528999999948E-2</v>
      </c>
      <c r="AD146" s="98">
        <f>IF(INDEX(lmic_raw_lb[],MATCH($A146,lmic_raw_lb[[setting]:[setting]],0), MATCH(AD$139, lmic_raw_lb[#Headers],0))=0, INDEX(regions_lb[], MATCH($D146, regions_lb[[setting]:[setting]],0), MATCH(AD$139, regions_lb[#Headers],0)),INDEX(lmic_raw_lb[],MATCH($A146,lmic_raw_lb[[setting]:[setting]],0), MATCH(AD$139, lmic_raw_lb[#Headers],0)))</f>
        <v>1.0670658040471588E-3</v>
      </c>
      <c r="AE146" s="98">
        <f>IF(INDEX(lmic_raw_lb[],MATCH($A146,lmic_raw_lb[[setting]:[setting]],0), MATCH(AE$139, lmic_raw_lb[#Headers],0))=0, INDEX(regions_lb[], MATCH($D146, regions_lb[[setting]:[setting]],0), MATCH(AE$139, regions_lb[#Headers],0)),INDEX(lmic_raw_lb[],MATCH($A146,lmic_raw_lb[[setting]:[setting]],0), MATCH(AE$139, lmic_raw_lb[#Headers],0)))</f>
        <v>3.6399385614254256E-4</v>
      </c>
      <c r="AF146" s="98">
        <f>IF(INDEX(lmic_raw_lb[],MATCH($A146,lmic_raw_lb[[setting]:[setting]],0), MATCH(AF$139, lmic_raw_lb[#Headers],0))=0, INDEX(regions_lb[], MATCH($D146, regions_lb[[setting]:[setting]],0), MATCH(AF$139, regions_lb[#Headers],0)),INDEX(lmic_raw_lb[],MATCH($A146,lmic_raw_lb[[setting]:[setting]],0), MATCH(AF$139, lmic_raw_lb[#Headers],0)))</f>
        <v>3.1115850713940807E-4</v>
      </c>
      <c r="AG146" s="98">
        <f>IF(INDEX(lmic_raw_lb[],MATCH($A146,lmic_raw_lb[[setting]:[setting]],0), MATCH(AG$139, lmic_raw_lb[#Headers],0))=0, INDEX(regions_lb[], MATCH($D146, regions_lb[[setting]:[setting]],0), MATCH(AG$139, regions_lb[#Headers],0)),INDEX(lmic_raw_lb[],MATCH($A146,lmic_raw_lb[[setting]:[setting]],0), MATCH(AG$139, lmic_raw_lb[#Headers],0)))</f>
        <v>6.3750958810314081E-4</v>
      </c>
      <c r="AH146" s="98">
        <f>IF(INDEX(lmic_raw_lb[],MATCH($A146,lmic_raw_lb[[setting]:[setting]],0), MATCH(AH$139, lmic_raw_lb[#Headers],0))=0, INDEX(regions_lb[], MATCH($D146, regions_lb[[setting]:[setting]],0), MATCH(AH$139, regions_lb[#Headers],0)),INDEX(lmic_raw_lb[],MATCH($A146,lmic_raw_lb[[setting]:[setting]],0), MATCH(AH$139, lmic_raw_lb[#Headers],0)))</f>
        <v>7.9251943349295301E-4</v>
      </c>
      <c r="AI146" s="98">
        <f>IF(INDEX(lmic_raw_lb[],MATCH($A146,lmic_raw_lb[[setting]:[setting]],0), MATCH(AI$139, lmic_raw_lb[#Headers],0))=0, INDEX(regions_lb[], MATCH($D146, regions_lb[[setting]:[setting]],0), MATCH(AI$139, regions_lb[#Headers],0)),INDEX(lmic_raw_lb[],MATCH($A146,lmic_raw_lb[[setting]:[setting]],0), MATCH(AI$139, lmic_raw_lb[#Headers],0)))</f>
        <v>7.9831836713456777E-4</v>
      </c>
      <c r="AJ146" s="98">
        <f>IF(INDEX(lmic_raw_lb[],MATCH($A146,lmic_raw_lb[[setting]:[setting]],0), MATCH(AJ$139, lmic_raw_lb[#Headers],0))=0, INDEX(regions_lb[], MATCH($D146, regions_lb[[setting]:[setting]],0), MATCH(AJ$139, regions_lb[#Headers],0)),INDEX(lmic_raw_lb[],MATCH($A146,lmic_raw_lb[[setting]:[setting]],0), MATCH(AJ$139, lmic_raw_lb[#Headers],0)))</f>
        <v>9.5742371310006923E-4</v>
      </c>
      <c r="AK146" s="98">
        <f>IF(INDEX(lmic_raw_lb[],MATCH($A146,lmic_raw_lb[[setting]:[setting]],0), MATCH(AK$139, lmic_raw_lb[#Headers],0))=0, INDEX(regions_lb[], MATCH($D146, regions_lb[[setting]:[setting]],0), MATCH(AK$139, regions_lb[#Headers],0)),INDEX(lmic_raw_lb[],MATCH($A146,lmic_raw_lb[[setting]:[setting]],0), MATCH(AK$139, lmic_raw_lb[#Headers],0)))</f>
        <v>1.3407872015251488E-3</v>
      </c>
      <c r="AL146" s="98">
        <f>IF(INDEX(lmic_raw_lb[],MATCH($A146,lmic_raw_lb[[setting]:[setting]],0), MATCH(AL$139, lmic_raw_lb[#Headers],0))=0, INDEX(regions_lb[], MATCH($D146, regions_lb[[setting]:[setting]],0), MATCH(AL$139, regions_lb[#Headers],0)),INDEX(lmic_raw_lb[],MATCH($A146,lmic_raw_lb[[setting]:[setting]],0), MATCH(AL$139, lmic_raw_lb[#Headers],0)))</f>
        <v>2.0274303940789203E-3</v>
      </c>
      <c r="AM146" s="98">
        <f>IF(INDEX(lmic_raw_lb[],MATCH($A146,lmic_raw_lb[[setting]:[setting]],0), MATCH(AM$139, lmic_raw_lb[#Headers],0))=0, INDEX(regions_lb[], MATCH($D146, regions_lb[[setting]:[setting]],0), MATCH(AM$139, regions_lb[#Headers],0)),INDEX(lmic_raw_lb[],MATCH($A146,lmic_raw_lb[[setting]:[setting]],0), MATCH(AM$139, lmic_raw_lb[#Headers],0)))</f>
        <v>3.2908820984320682E-3</v>
      </c>
      <c r="AN146" s="98">
        <f>IF(INDEX(lmic_raw_lb[],MATCH($A146,lmic_raw_lb[[setting]:[setting]],0), MATCH(AN$139, lmic_raw_lb[#Headers],0))=0, INDEX(regions_lb[], MATCH($D146, regions_lb[[setting]:[setting]],0), MATCH(AN$139, regions_lb[#Headers],0)),INDEX(lmic_raw_lb[],MATCH($A146,lmic_raw_lb[[setting]:[setting]],0), MATCH(AN$139, lmic_raw_lb[#Headers],0)))</f>
        <v>5.3522594179292978E-3</v>
      </c>
      <c r="AO146" s="98">
        <f>IF(INDEX(lmic_raw_lb[],MATCH($A146,lmic_raw_lb[[setting]:[setting]],0), MATCH(AO$139, lmic_raw_lb[#Headers],0))=0, INDEX(regions_lb[], MATCH($D146, regions_lb[[setting]:[setting]],0), MATCH(AO$139, regions_lb[#Headers],0)),INDEX(lmic_raw_lb[],MATCH($A146,lmic_raw_lb[[setting]:[setting]],0), MATCH(AO$139, lmic_raw_lb[#Headers],0)))</f>
        <v>8.6761703189182325E-3</v>
      </c>
      <c r="AP146" s="98">
        <f>IF(INDEX(lmic_raw_lb[],MATCH($A146,lmic_raw_lb[[setting]:[setting]],0), MATCH(AP$139, lmic_raw_lb[#Headers],0))=0, INDEX(regions_lb[], MATCH($D146, regions_lb[[setting]:[setting]],0), MATCH(AP$139, regions_lb[#Headers],0)),INDEX(lmic_raw_lb[],MATCH($A146,lmic_raw_lb[[setting]:[setting]],0), MATCH(AP$139, lmic_raw_lb[#Headers],0)))</f>
        <v>1.4153498349725003E-2</v>
      </c>
      <c r="AQ146" s="98">
        <f>IF(INDEX(lmic_raw_lb[],MATCH($A146,lmic_raw_lb[[setting]:[setting]],0), MATCH(AQ$139, lmic_raw_lb[#Headers],0))=0, INDEX(regions_lb[], MATCH($D146, regions_lb[[setting]:[setting]],0), MATCH(AQ$139, regions_lb[#Headers],0)),INDEX(lmic_raw_lb[],MATCH($A146,lmic_raw_lb[[setting]:[setting]],0), MATCH(AQ$139, lmic_raw_lb[#Headers],0)))</f>
        <v>2.2884013189161702E-2</v>
      </c>
      <c r="AR146" s="98">
        <f>IF(INDEX(lmic_raw_lb[],MATCH($A146,lmic_raw_lb[[setting]:[setting]],0), MATCH(AR$139, lmic_raw_lb[#Headers],0))=0, INDEX(regions_lb[], MATCH($D146, regions_lb[[setting]:[setting]],0), MATCH(AR$139, regions_lb[#Headers],0)),INDEX(lmic_raw_lb[],MATCH($A146,lmic_raw_lb[[setting]:[setting]],0), MATCH(AR$139, lmic_raw_lb[#Headers],0)))</f>
        <v>3.6953343010679887E-2</v>
      </c>
      <c r="AS146" s="98">
        <f>IF(INDEX(lmic_raw_lb[],MATCH($A146,lmic_raw_lb[[setting]:[setting]],0), MATCH(AS$139, lmic_raw_lb[#Headers],0))=0, INDEX(regions_lb[], MATCH($D146, regions_lb[[setting]:[setting]],0), MATCH(AS$139, regions_lb[#Headers],0)),INDEX(lmic_raw_lb[],MATCH($A146,lmic_raw_lb[[setting]:[setting]],0), MATCH(AS$139, lmic_raw_lb[#Headers],0)))</f>
        <v>5.8540897644734198E-2</v>
      </c>
      <c r="AT146" s="98">
        <f>IF(INDEX(lmic_raw_lb[],MATCH($A146,lmic_raw_lb[[setting]:[setting]],0), MATCH(AT$139, lmic_raw_lb[#Headers],0))=0, INDEX(regions_lb[], MATCH($D146, regions_lb[[setting]:[setting]],0), MATCH(AT$139, regions_lb[#Headers],0)),INDEX(lmic_raw_lb[],MATCH($A146,lmic_raw_lb[[setting]:[setting]],0), MATCH(AT$139, lmic_raw_lb[#Headers],0)))</f>
        <v>8.6891324874703038E-2</v>
      </c>
      <c r="AU146" s="98">
        <f>IF(INDEX(lmic_raw_lb[],MATCH($A146,lmic_raw_lb[[setting]:[setting]],0), MATCH(AU$139, lmic_raw_lb[#Headers],0))=0, INDEX(regions_lb[], MATCH($D146, regions_lb[[setting]:[setting]],0), MATCH(AU$139, regions_lb[#Headers],0)),INDEX(lmic_raw_lb[],MATCH($A146,lmic_raw_lb[[setting]:[setting]],0), MATCH(AU$139, lmic_raw_lb[#Headers],0)))</f>
        <v>0.11917905432427373</v>
      </c>
      <c r="AV146" s="98">
        <f>IF(INDEX(lmic_raw_lb[],MATCH($A146,lmic_raw_lb[[setting]:[setting]],0), MATCH(AV$139, lmic_raw_lb[#Headers],0))=0, INDEX(regions_lb[], MATCH($D146, regions_lb[[setting]:[setting]],0), MATCH(AV$139, regions_lb[#Headers],0)),INDEX(lmic_raw_lb[],MATCH($A146,lmic_raw_lb[[setting]:[setting]],0), MATCH(AV$139, lmic_raw_lb[#Headers],0)))</f>
        <v>0.14701136650012112</v>
      </c>
      <c r="AW146" s="98">
        <f>IF(INDEX(lmic_raw_lb[],MATCH($A146,lmic_raw_lb[[setting]:[setting]],0), MATCH(AW$139, lmic_raw_lb[#Headers],0))=0, INDEX(regions_lb[], MATCH($D146, regions_lb[[setting]:[setting]],0), MATCH(AW$139, regions_lb[#Headers],0)),INDEX(lmic_raw_lb[],MATCH($A146,lmic_raw_lb[[setting]:[setting]],0), MATCH(AW$139, lmic_raw_lb[#Headers],0)))</f>
        <v>0.16541481194961458</v>
      </c>
      <c r="AX146" s="98">
        <f>IF(INDEX(lmic_raw_lb[],MATCH($A146,lmic_raw_lb[[setting]:[setting]],0), MATCH(AX$139, lmic_raw_lb[#Headers],0))=0, INDEX(regions_lb[], MATCH($D146, regions_lb[[setting]:[setting]],0), MATCH(AX$139, regions_lb[#Headers],0)),INDEX(lmic_raw_lb[],MATCH($A146,lmic_raw_lb[[setting]:[setting]],0), MATCH(AX$139, lmic_raw_lb[#Headers],0)))</f>
        <v>69.169499999999999</v>
      </c>
      <c r="AY146" s="98" t="str">
        <f>IF(VLOOKUP(lmics_lb[[#This Row],[setting]],lmic_raw_lb[],11,FALSE)=0, "Yes", "No")</f>
        <v>No</v>
      </c>
    </row>
    <row r="147" spans="1:51" x14ac:dyDescent="0.25">
      <c r="A147" s="110" t="s">
        <v>192</v>
      </c>
      <c r="B147" s="104" t="s">
        <v>379</v>
      </c>
      <c r="C147" s="105">
        <v>50</v>
      </c>
      <c r="D147" s="84" t="s">
        <v>680</v>
      </c>
      <c r="E147" s="122" t="s">
        <v>589</v>
      </c>
      <c r="F147" s="94" t="s">
        <v>589</v>
      </c>
      <c r="G147" s="94" t="s">
        <v>678</v>
      </c>
      <c r="H147" s="94"/>
      <c r="I147" s="94"/>
      <c r="J147" s="94">
        <f>IF(INDEX(lmic_raw_lb[],MATCH($A147,lmic_raw_lb[[setting]:[setting]],0), MATCH(J$139, lmic_raw_lb[#Headers],0))=0, INDEX(regions_lb[], MATCH($D147, regions_lb[[setting]:[setting]],0), MATCH(J$139, regions_lb[#Headers],0)),INDEX(lmic_raw_lb[],MATCH($A147,lmic_raw_lb[[setting]:[setting]],0), MATCH(J$139, lmic_raw_lb[#Headers],0)))</f>
        <v>0.50729999999999997</v>
      </c>
      <c r="K147" s="94">
        <f>IF(INDEX(lmic_raw_lb[],MATCH($A147,lmic_raw_lb[[setting]:[setting]],0), MATCH(K$139, lmic_raw_lb[#Headers],0))=0, INDEX(regions_lb[], MATCH($D147, regions_lb[[setting]:[setting]],0), MATCH(K$139, regions_lb[#Headers],0)),INDEX(lmic_raw_lb[],MATCH($A147,lmic_raw_lb[[setting]:[setting]],0), MATCH(K$139, lmic_raw_lb[#Headers],0)))</f>
        <v>0.57649863203958862</v>
      </c>
      <c r="L147" s="94">
        <f>IF(INDEX(lmic_raw_lb[],MATCH($A147,lmic_raw_lb[[setting]:[setting]],0), MATCH(L$139, lmic_raw_lb[#Headers],0))=0, INDEX(regions_lb[], MATCH($D147, regions_lb[[setting]:[setting]],0), MATCH(L$139, regions_lb[#Headers],0)),INDEX(lmic_raw_lb[],MATCH($A147,lmic_raw_lb[[setting]:[setting]],0), MATCH(L$139, lmic_raw_lb[#Headers],0)))</f>
        <v>0.93099999999999994</v>
      </c>
      <c r="M147" s="94">
        <f>IF(INDEX(lmic_raw_lb[],MATCH($A147,lmic_raw_lb[[setting]:[setting]],0), MATCH(M$139, lmic_raw_lb[#Headers],0))=0, INDEX(regions_lb[], MATCH($D147, regions_lb[[setting]:[setting]],0), MATCH(M$139, regions_lb[#Headers],0)),INDEX(lmic_raw_lb[],MATCH($A147,lmic_raw_lb[[setting]:[setting]],0), MATCH(M$139, lmic_raw_lb[#Headers],0)))</f>
        <v>3.2199999999999999E-2</v>
      </c>
      <c r="N147" s="94">
        <f>IF(INDEX(lmic_raw_lb[],MATCH($A147,lmic_raw_lb[[setting]:[setting]],0), MATCH(N$139, lmic_raw_lb[#Headers],0))=0, INDEX(regions_lb[], MATCH($D147, regions_lb[[setting]:[setting]],0), MATCH(N$139, regions_lb[#Headers],0)),INDEX(lmic_raw_lb[],MATCH($A147,lmic_raw_lb[[setting]:[setting]],0), MATCH(N$139, lmic_raw_lb[#Headers],0)))</f>
        <v>0.1482</v>
      </c>
      <c r="O147" s="94">
        <f>IF(INDEX(lmic_raw_lb[],MATCH($A147,lmic_raw_lb[[setting]:[setting]],0), MATCH(O$139, lmic_raw_lb[#Headers],0))=0, INDEX(regions_lb[], MATCH($D147, regions_lb[[setting]:[setting]],0), MATCH(O$139, regions_lb[#Headers],0)),INDEX(lmic_raw_lb[],MATCH($A147,lmic_raw_lb[[setting]:[setting]],0), MATCH(O$139, lmic_raw_lb[#Headers],0)))</f>
        <v>0.7</v>
      </c>
      <c r="P147" s="94">
        <f>IF(INDEX(lmic_raw_lb[],MATCH($A147,lmic_raw_lb[[setting]:[setting]],0), MATCH(P$139, lmic_raw_lb[#Headers],0))=0, INDEX(regions_lb[], MATCH($D147, regions_lb[[setting]:[setting]],0), MATCH(P$139, regions_lb[#Headers],0)),INDEX(lmic_raw_lb[],MATCH($A147,lmic_raw_lb[[setting]:[setting]],0), MATCH(P$139, lmic_raw_lb[#Headers],0)))</f>
        <v>0.05</v>
      </c>
      <c r="Q147" s="94">
        <f>IF(INDEX(lmic_raw_lb[],MATCH($A147,lmic_raw_lb[[setting]:[setting]],0), MATCH(Q$139, lmic_raw_lb[#Headers],0))=0, INDEX(regions_lb[], MATCH($D147, regions_lb[[setting]:[setting]],0), MATCH(Q$139, regions_lb[#Headers],0)),INDEX(lmic_raw_lb[],MATCH($A147,lmic_raw_lb[[setting]:[setting]],0), MATCH(Q$139, lmic_raw_lb[#Headers],0)))</f>
        <v>3.8631075850141383</v>
      </c>
      <c r="R147" s="94">
        <f>IF(INDEX(lmic_raw_lb[],MATCH($A147,lmic_raw_lb[[setting]:[setting]],0), MATCH(R$139, lmic_raw_lb[#Headers],0))=0, INDEX(regions_lb[], MATCH($D147, regions_lb[[setting]:[setting]],0), MATCH(R$139, regions_lb[#Headers],0)),INDEX(lmic_raw_lb[],MATCH($A147,lmic_raw_lb[[setting]:[setting]],0), MATCH(R$139, lmic_raw_lb[#Headers],0)))</f>
        <v>43.604905000000002</v>
      </c>
      <c r="S147" s="94">
        <f>IF(INDEX(lmic_raw_lb[],MATCH($A147,lmic_raw_lb[[setting]:[setting]],0), MATCH(S$139, lmic_raw_lb[#Headers],0))=0, INDEX(regions_lb[], MATCH($D147, regions_lb[[setting]:[setting]],0), MATCH(S$139, regions_lb[#Headers],0)),INDEX(lmic_raw_lb[],MATCH($A147,lmic_raw_lb[[setting]:[setting]],0), MATCH(S$139, lmic_raw_lb[#Headers],0)))</f>
        <v>88.959805000000003</v>
      </c>
      <c r="T147" s="94">
        <f>IF(INDEX(lmic_raw_lb[],MATCH($A147,lmic_raw_lb[[setting]:[setting]],0), MATCH(T$139, lmic_raw_lb[#Headers],0))=0, INDEX(regions_lb[], MATCH($D147, regions_lb[[setting]:[setting]],0), MATCH(T$139, regions_lb[#Headers],0)),INDEX(lmic_raw_lb[],MATCH($A147,lmic_raw_lb[[setting]:[setting]],0), MATCH(T$139, lmic_raw_lb[#Headers],0)))</f>
        <v>88.959805000000003</v>
      </c>
      <c r="U147" s="94">
        <f>IF(INDEX(lmic_raw_lb[],MATCH($A147,lmic_raw_lb[[setting]:[setting]],0), MATCH(U$139, lmic_raw_lb[#Headers],0))=0, INDEX(regions_lb[], MATCH($D147, regions_lb[[setting]:[setting]],0), MATCH(U$139, regions_lb[#Headers],0)),INDEX(lmic_raw_lb[],MATCH($A147,lmic_raw_lb[[setting]:[setting]],0), MATCH(U$139, lmic_raw_lb[#Headers],0)))</f>
        <v>88.959805000000003</v>
      </c>
      <c r="V147" s="94">
        <f>IF(INDEX(lmic_raw_lb[],MATCH($A147,lmic_raw_lb[[setting]:[setting]],0), MATCH(V$139, lmic_raw_lb[#Headers],0))=0, INDEX(regions_lb[], MATCH($D147, regions_lb[[setting]:[setting]],0), MATCH(V$139, regions_lb[#Headers],0)),INDEX(lmic_raw_lb[],MATCH($A147,lmic_raw_lb[[setting]:[setting]],0), MATCH(V$139, lmic_raw_lb[#Headers],0)))</f>
        <v>1.0430275748452755</v>
      </c>
      <c r="W147" s="94">
        <f>IF(INDEX(lmic_raw_lb[],MATCH($A147,lmic_raw_lb[[setting]:[setting]],0), MATCH(W$139, lmic_raw_lb[#Headers],0))=0, INDEX(regions_lb[], MATCH($D147, regions_lb[[setting]:[setting]],0), MATCH(W$139, regions_lb[#Headers],0)),INDEX(lmic_raw_lb[],MATCH($A147,lmic_raw_lb[[setting]:[setting]],0), MATCH(W$139, lmic_raw_lb[#Headers],0)))</f>
        <v>3.3705275748452754</v>
      </c>
      <c r="X147" s="94">
        <f>IF(INDEX(lmic_raw_lb[],MATCH($A147,lmic_raw_lb[[setting]:[setting]],0), MATCH(X$139, lmic_raw_lb[#Headers],0))=0, INDEX(regions_lb[], MATCH($D147, regions_lb[[setting]:[setting]],0), MATCH(X$139, regions_lb[#Headers],0)),INDEX(lmic_raw_lb[],MATCH($A147,lmic_raw_lb[[setting]:[setting]],0), MATCH(X$139, lmic_raw_lb[#Headers],0)))</f>
        <v>0.67626798924595766</v>
      </c>
      <c r="Y147" s="94">
        <f>IF(INDEX(lmic_raw_lb[],MATCH($A147,lmic_raw_lb[[setting]:[setting]],0), MATCH(Y$139, lmic_raw_lb[#Headers],0))=0, INDEX(regions_lb[], MATCH($D147, regions_lb[[setting]:[setting]],0), MATCH(Y$139, regions_lb[#Headers],0)),INDEX(lmic_raw_lb[],MATCH($A147,lmic_raw_lb[[setting]:[setting]],0), MATCH(Y$139, lmic_raw_lb[#Headers],0)))</f>
        <v>3.0037679892459579</v>
      </c>
      <c r="Z147" s="94">
        <f>IF(INDEX(lmic_raw_lb[],MATCH($A147,lmic_raw_lb[[setting]:[setting]],0), MATCH(Z$139, lmic_raw_lb[#Headers],0))=0, INDEX(regions_lb[], MATCH($D147, regions_lb[[setting]:[setting]],0), MATCH(Z$139, regions_lb[#Headers],0)),INDEX(lmic_raw_lb[],MATCH($A147,lmic_raw_lb[[setting]:[setting]],0), MATCH(Z$139, lmic_raw_lb[#Headers],0)))</f>
        <v>3.0004365552297787</v>
      </c>
      <c r="AA147" s="94">
        <f>IF(INDEX(lmic_raw_lb[],MATCH($A147,lmic_raw_lb[[setting]:[setting]],0), MATCH(AA$139, lmic_raw_lb[#Headers],0))=0, INDEX(regions_lb[], MATCH($D147, regions_lb[[setting]:[setting]],0), MATCH(AA$139, regions_lb[#Headers],0)),INDEX(lmic_raw_lb[],MATCH($A147,lmic_raw_lb[[setting]:[setting]],0), MATCH(AA$139, lmic_raw_lb[#Headers],0)))</f>
        <v>1.2548517860520527</v>
      </c>
      <c r="AB147" s="94">
        <f>IF(INDEX(lmic_raw_lb[],MATCH($A147,lmic_raw_lb[[setting]:[setting]],0), MATCH(AB$139, lmic_raw_lb[#Headers],0))=0, INDEX(regions_lb[], MATCH($D147, regions_lb[[setting]:[setting]],0), MATCH(AB$139, regions_lb[#Headers],0)),INDEX(lmic_raw_lb[],MATCH($A147,lmic_raw_lb[[setting]:[setting]],0), MATCH(AB$139, lmic_raw_lb[#Headers],0)))</f>
        <v>3.5823517860520528</v>
      </c>
      <c r="AC147" s="94">
        <f>IF(INDEX(lmic_raw_lb[],MATCH($A147,lmic_raw_lb[[setting]:[setting]],0), MATCH(AC$139, lmic_raw_lb[#Headers],0))=0, INDEX(regions_lb[], MATCH($D147, regions_lb[[setting]:[setting]],0), MATCH(AC$139, regions_lb[#Headers],0)),INDEX(lmic_raw_lb[],MATCH($A147,lmic_raw_lb[[setting]:[setting]],0), MATCH(AC$139, lmic_raw_lb[#Headers],0)))</f>
        <v>2.5507861000000003E-2</v>
      </c>
      <c r="AD147" s="94">
        <f>IF(INDEX(lmic_raw_lb[],MATCH($A147,lmic_raw_lb[[setting]:[setting]],0), MATCH(AD$139, lmic_raw_lb[#Headers],0))=0, INDEX(regions_lb[], MATCH($D147, regions_lb[[setting]:[setting]],0), MATCH(AD$139, regions_lb[#Headers],0)),INDEX(lmic_raw_lb[],MATCH($A147,lmic_raw_lb[[setting]:[setting]],0), MATCH(AD$139, lmic_raw_lb[#Headers],0)))</f>
        <v>1.3559604277500394E-3</v>
      </c>
      <c r="AE147" s="94">
        <f>IF(INDEX(lmic_raw_lb[],MATCH($A147,lmic_raw_lb[[setting]:[setting]],0), MATCH(AE$139, lmic_raw_lb[#Headers],0))=0, INDEX(regions_lb[], MATCH($D147, regions_lb[[setting]:[setting]],0), MATCH(AE$139, regions_lb[#Headers],0)),INDEX(lmic_raw_lb[],MATCH($A147,lmic_raw_lb[[setting]:[setting]],0), MATCH(AE$139, lmic_raw_lb[#Headers],0)))</f>
        <v>7.1080812532444099E-4</v>
      </c>
      <c r="AF147" s="94">
        <f>IF(INDEX(lmic_raw_lb[],MATCH($A147,lmic_raw_lb[[setting]:[setting]],0), MATCH(AF$139, lmic_raw_lb[#Headers],0))=0, INDEX(regions_lb[], MATCH($D147, regions_lb[[setting]:[setting]],0), MATCH(AF$139, regions_lb[#Headers],0)),INDEX(lmic_raw_lb[],MATCH($A147,lmic_raw_lb[[setting]:[setting]],0), MATCH(AF$139, lmic_raw_lb[#Headers],0)))</f>
        <v>6.0419477190120068E-4</v>
      </c>
      <c r="AG147" s="94">
        <f>IF(INDEX(lmic_raw_lb[],MATCH($A147,lmic_raw_lb[[setting]:[setting]],0), MATCH(AG$139, lmic_raw_lb[#Headers],0))=0, INDEX(regions_lb[], MATCH($D147, regions_lb[[setting]:[setting]],0), MATCH(AG$139, regions_lb[#Headers],0)),INDEX(lmic_raw_lb[],MATCH($A147,lmic_raw_lb[[setting]:[setting]],0), MATCH(AG$139, lmic_raw_lb[#Headers],0)))</f>
        <v>9.6195439411005622E-4</v>
      </c>
      <c r="AH147" s="94">
        <f>IF(INDEX(lmic_raw_lb[],MATCH($A147,lmic_raw_lb[[setting]:[setting]],0), MATCH(AH$139, lmic_raw_lb[#Headers],0))=0, INDEX(regions_lb[], MATCH($D147, regions_lb[[setting]:[setting]],0), MATCH(AH$139, regions_lb[#Headers],0)),INDEX(lmic_raw_lb[],MATCH($A147,lmic_raw_lb[[setting]:[setting]],0), MATCH(AH$139, lmic_raw_lb[#Headers],0)))</f>
        <v>9.874106753361301E-4</v>
      </c>
      <c r="AI147" s="94">
        <f>IF(INDEX(lmic_raw_lb[],MATCH($A147,lmic_raw_lb[[setting]:[setting]],0), MATCH(AI$139, lmic_raw_lb[#Headers],0))=0, INDEX(regions_lb[], MATCH($D147, regions_lb[[setting]:[setting]],0), MATCH(AI$139, regions_lb[#Headers],0)),INDEX(lmic_raw_lb[],MATCH($A147,lmic_raw_lb[[setting]:[setting]],0), MATCH(AI$139, lmic_raw_lb[#Headers],0)))</f>
        <v>9.4635923934821347E-4</v>
      </c>
      <c r="AJ147" s="94">
        <f>IF(INDEX(lmic_raw_lb[],MATCH($A147,lmic_raw_lb[[setting]:[setting]],0), MATCH(AJ$139, lmic_raw_lb[#Headers],0))=0, INDEX(regions_lb[], MATCH($D147, regions_lb[[setting]:[setting]],0), MATCH(AJ$139, regions_lb[#Headers],0)),INDEX(lmic_raw_lb[],MATCH($A147,lmic_raw_lb[[setting]:[setting]],0), MATCH(AJ$139, lmic_raw_lb[#Headers],0)))</f>
        <v>1.1838738586487489E-3</v>
      </c>
      <c r="AK147" s="94">
        <f>IF(INDEX(lmic_raw_lb[],MATCH($A147,lmic_raw_lb[[setting]:[setting]],0), MATCH(AK$139, lmic_raw_lb[#Headers],0))=0, INDEX(regions_lb[], MATCH($D147, regions_lb[[setting]:[setting]],0), MATCH(AK$139, regions_lb[#Headers],0)),INDEX(lmic_raw_lb[],MATCH($A147,lmic_raw_lb[[setting]:[setting]],0), MATCH(AK$139, lmic_raw_lb[#Headers],0)))</f>
        <v>1.6101673684685033E-3</v>
      </c>
      <c r="AL147" s="94">
        <f>IF(INDEX(lmic_raw_lb[],MATCH($A147,lmic_raw_lb[[setting]:[setting]],0), MATCH(AL$139, lmic_raw_lb[#Headers],0))=0, INDEX(regions_lb[], MATCH($D147, regions_lb[[setting]:[setting]],0), MATCH(AL$139, regions_lb[#Headers],0)),INDEX(lmic_raw_lb[],MATCH($A147,lmic_raw_lb[[setting]:[setting]],0), MATCH(AL$139, lmic_raw_lb[#Headers],0)))</f>
        <v>2.3653842018845845E-3</v>
      </c>
      <c r="AM147" s="94">
        <f>IF(INDEX(lmic_raw_lb[],MATCH($A147,lmic_raw_lb[[setting]:[setting]],0), MATCH(AM$139, lmic_raw_lb[#Headers],0))=0, INDEX(regions_lb[], MATCH($D147, regions_lb[[setting]:[setting]],0), MATCH(AM$139, regions_lb[#Headers],0)),INDEX(lmic_raw_lb[],MATCH($A147,lmic_raw_lb[[setting]:[setting]],0), MATCH(AM$139, lmic_raw_lb[#Headers],0)))</f>
        <v>3.6849672424003692E-3</v>
      </c>
      <c r="AN147" s="94">
        <f>IF(INDEX(lmic_raw_lb[],MATCH($A147,lmic_raw_lb[[setting]:[setting]],0), MATCH(AN$139, lmic_raw_lb[#Headers],0))=0, INDEX(regions_lb[], MATCH($D147, regions_lb[[setting]:[setting]],0), MATCH(AN$139, regions_lb[#Headers],0)),INDEX(lmic_raw_lb[],MATCH($A147,lmic_raw_lb[[setting]:[setting]],0), MATCH(AN$139, lmic_raw_lb[#Headers],0)))</f>
        <v>6.0492437831762454E-3</v>
      </c>
      <c r="AO147" s="94">
        <f>IF(INDEX(lmic_raw_lb[],MATCH($A147,lmic_raw_lb[[setting]:[setting]],0), MATCH(AO$139, lmic_raw_lb[#Headers],0))=0, INDEX(regions_lb[], MATCH($D147, regions_lb[[setting]:[setting]],0), MATCH(AO$139, regions_lb[#Headers],0)),INDEX(lmic_raw_lb[],MATCH($A147,lmic_raw_lb[[setting]:[setting]],0), MATCH(AO$139, lmic_raw_lb[#Headers],0)))</f>
        <v>9.5221827091242651E-3</v>
      </c>
      <c r="AP147" s="94">
        <f>IF(INDEX(lmic_raw_lb[],MATCH($A147,lmic_raw_lb[[setting]:[setting]],0), MATCH(AP$139, lmic_raw_lb[#Headers],0))=0, INDEX(regions_lb[], MATCH($D147, regions_lb[[setting]:[setting]],0), MATCH(AP$139, regions_lb[#Headers],0)),INDEX(lmic_raw_lb[],MATCH($A147,lmic_raw_lb[[setting]:[setting]],0), MATCH(AP$139, lmic_raw_lb[#Headers],0)))</f>
        <v>1.5817246767574348E-2</v>
      </c>
      <c r="AQ147" s="94">
        <f>IF(INDEX(lmic_raw_lb[],MATCH($A147,lmic_raw_lb[[setting]:[setting]],0), MATCH(AQ$139, lmic_raw_lb[#Headers],0))=0, INDEX(regions_lb[], MATCH($D147, regions_lb[[setting]:[setting]],0), MATCH(AQ$139, regions_lb[#Headers],0)),INDEX(lmic_raw_lb[],MATCH($A147,lmic_raw_lb[[setting]:[setting]],0), MATCH(AQ$139, lmic_raw_lb[#Headers],0)))</f>
        <v>2.2928372503334401E-2</v>
      </c>
      <c r="AR147" s="94">
        <f>IF(INDEX(lmic_raw_lb[],MATCH($A147,lmic_raw_lb[[setting]:[setting]],0), MATCH(AR$139, lmic_raw_lb[#Headers],0))=0, INDEX(regions_lb[], MATCH($D147, regions_lb[[setting]:[setting]],0), MATCH(AR$139, regions_lb[#Headers],0)),INDEX(lmic_raw_lb[],MATCH($A147,lmic_raw_lb[[setting]:[setting]],0), MATCH(AR$139, lmic_raw_lb[#Headers],0)))</f>
        <v>3.7183125402074489E-2</v>
      </c>
      <c r="AS147" s="94">
        <f>IF(INDEX(lmic_raw_lb[],MATCH($A147,lmic_raw_lb[[setting]:[setting]],0), MATCH(AS$139, lmic_raw_lb[#Headers],0))=0, INDEX(regions_lb[], MATCH($D147, regions_lb[[setting]:[setting]],0), MATCH(AS$139, regions_lb[#Headers],0)),INDEX(lmic_raw_lb[],MATCH($A147,lmic_raw_lb[[setting]:[setting]],0), MATCH(AS$139, lmic_raw_lb[#Headers],0)))</f>
        <v>5.0315646378126543E-2</v>
      </c>
      <c r="AT147" s="94">
        <f>IF(INDEX(lmic_raw_lb[],MATCH($A147,lmic_raw_lb[[setting]:[setting]],0), MATCH(AT$139, lmic_raw_lb[#Headers],0))=0, INDEX(regions_lb[], MATCH($D147, regions_lb[[setting]:[setting]],0), MATCH(AT$139, regions_lb[#Headers],0)),INDEX(lmic_raw_lb[],MATCH($A147,lmic_raw_lb[[setting]:[setting]],0), MATCH(AT$139, lmic_raw_lb[#Headers],0)))</f>
        <v>7.2383826159743897E-2</v>
      </c>
      <c r="AU147" s="94">
        <f>IF(INDEX(lmic_raw_lb[],MATCH($A147,lmic_raw_lb[[setting]:[setting]],0), MATCH(AU$139, lmic_raw_lb[#Headers],0))=0, INDEX(regions_lb[], MATCH($D147, regions_lb[[setting]:[setting]],0), MATCH(AU$139, regions_lb[#Headers],0)),INDEX(lmic_raw_lb[],MATCH($A147,lmic_raw_lb[[setting]:[setting]],0), MATCH(AU$139, lmic_raw_lb[#Headers],0)))</f>
        <v>9.5652095344908622E-2</v>
      </c>
      <c r="AV147" s="94">
        <f>IF(INDEX(lmic_raw_lb[],MATCH($A147,lmic_raw_lb[[setting]:[setting]],0), MATCH(AV$139, lmic_raw_lb[#Headers],0))=0, INDEX(regions_lb[], MATCH($D147, regions_lb[[setting]:[setting]],0), MATCH(AV$139, regions_lb[#Headers],0)),INDEX(lmic_raw_lb[],MATCH($A147,lmic_raw_lb[[setting]:[setting]],0), MATCH(AV$139, lmic_raw_lb[#Headers],0)))</f>
        <v>0.1183681347274174</v>
      </c>
      <c r="AW147" s="94">
        <f>IF(INDEX(lmic_raw_lb[],MATCH($A147,lmic_raw_lb[[setting]:[setting]],0), MATCH(AW$139, lmic_raw_lb[#Headers],0))=0, INDEX(regions_lb[], MATCH($D147, regions_lb[[setting]:[setting]],0), MATCH(AW$139, regions_lb[#Headers],0)),INDEX(lmic_raw_lb[],MATCH($A147,lmic_raw_lb[[setting]:[setting]],0), MATCH(AW$139, lmic_raw_lb[#Headers],0)))</f>
        <v>0.13416654537373876</v>
      </c>
      <c r="AX147" s="94">
        <f>IF(INDEX(lmic_raw_lb[],MATCH($A147,lmic_raw_lb[[setting]:[setting]],0), MATCH(AX$139, lmic_raw_lb[#Headers],0))=0, INDEX(regions_lb[], MATCH($D147, regions_lb[[setting]:[setting]],0), MATCH(AX$139, regions_lb[#Headers],0)),INDEX(lmic_raw_lb[],MATCH($A147,lmic_raw_lb[[setting]:[setting]],0), MATCH(AX$139, lmic_raw_lb[#Headers],0)))</f>
        <v>68.542500000000004</v>
      </c>
      <c r="AY147" s="94" t="str">
        <f>IF(VLOOKUP(lmics_lb[[#This Row],[setting]],lmic_raw_lb[],11,FALSE)=0, "Yes", "No")</f>
        <v>Yes</v>
      </c>
    </row>
    <row r="148" spans="1:51" x14ac:dyDescent="0.25">
      <c r="A148" s="109" t="s">
        <v>307</v>
      </c>
      <c r="B148" s="101" t="s">
        <v>381</v>
      </c>
      <c r="C148" s="102">
        <v>112</v>
      </c>
      <c r="D148" s="82" t="s">
        <v>675</v>
      </c>
      <c r="E148" s="121" t="s">
        <v>306</v>
      </c>
      <c r="F148" s="98" t="s">
        <v>663</v>
      </c>
      <c r="G148" s="98" t="s">
        <v>676</v>
      </c>
      <c r="H148" s="98"/>
      <c r="I148" s="98"/>
      <c r="J148" s="98">
        <f>IF(INDEX(lmic_raw_lb[],MATCH($A148,lmic_raw_lb[[setting]:[setting]],0), MATCH(J$139, lmic_raw_lb[#Headers],0))=0, INDEX(regions_lb[], MATCH($D148, regions_lb[[setting]:[setting]],0), MATCH(J$139, regions_lb[#Headers],0)),INDEX(lmic_raw_lb[],MATCH($A148,lmic_raw_lb[[setting]:[setting]],0), MATCH(J$139, lmic_raw_lb[#Headers],0)))</f>
        <v>0.94905000000000006</v>
      </c>
      <c r="K148" s="98">
        <f>IF(INDEX(lmic_raw_lb[],MATCH($A148,lmic_raw_lb[[setting]:[setting]],0), MATCH(K$139, lmic_raw_lb[#Headers],0))=0, INDEX(regions_lb[], MATCH($D148, regions_lb[[setting]:[setting]],0), MATCH(K$139, regions_lb[#Headers],0)),INDEX(lmic_raw_lb[],MATCH($A148,lmic_raw_lb[[setting]:[setting]],0), MATCH(K$139, lmic_raw_lb[#Headers],0)))</f>
        <v>0.93099999999999994</v>
      </c>
      <c r="L148" s="98">
        <f>IF(INDEX(lmic_raw_lb[],MATCH($A148,lmic_raw_lb[[setting]:[setting]],0), MATCH(L$139, lmic_raw_lb[#Headers],0))=0, INDEX(regions_lb[], MATCH($D148, regions_lb[[setting]:[setting]],0), MATCH(L$139, regions_lb[#Headers],0)),INDEX(lmic_raw_lb[],MATCH($A148,lmic_raw_lb[[setting]:[setting]],0), MATCH(L$139, lmic_raw_lb[#Headers],0)))</f>
        <v>0.92149999999999999</v>
      </c>
      <c r="M148" s="98">
        <f>IF(INDEX(lmic_raw_lb[],MATCH($A148,lmic_raw_lb[[setting]:[setting]],0), MATCH(M$139, lmic_raw_lb[#Headers],0))=0, INDEX(regions_lb[], MATCH($D148, regions_lb[[setting]:[setting]],0), MATCH(M$139, regions_lb[#Headers],0)),INDEX(lmic_raw_lb[],MATCH($A148,lmic_raw_lb[[setting]:[setting]],0), MATCH(M$139, lmic_raw_lb[#Headers],0)))</f>
        <v>2.8000000000000004E-3</v>
      </c>
      <c r="N148" s="98">
        <f>IF(INDEX(lmic_raw_lb[],MATCH($A148,lmic_raw_lb[[setting]:[setting]],0), MATCH(N$139, lmic_raw_lb[#Headers],0))=0, INDEX(regions_lb[], MATCH($D148, regions_lb[[setting]:[setting]],0), MATCH(N$139, regions_lb[#Headers],0)),INDEX(lmic_raw_lb[],MATCH($A148,lmic_raw_lb[[setting]:[setting]],0), MATCH(N$139, lmic_raw_lb[#Headers],0)))</f>
        <v>0.16339999999999999</v>
      </c>
      <c r="O148" s="98">
        <f>IF(INDEX(lmic_raw_lb[],MATCH($A148,lmic_raw_lb[[setting]:[setting]],0), MATCH(O$139, lmic_raw_lb[#Headers],0))=0, INDEX(regions_lb[], MATCH($D148, regions_lb[[setting]:[setting]],0), MATCH(O$139, regions_lb[#Headers],0)),INDEX(lmic_raw_lb[],MATCH($A148,lmic_raw_lb[[setting]:[setting]],0), MATCH(O$139, lmic_raw_lb[#Headers],0)))</f>
        <v>0.7</v>
      </c>
      <c r="P148" s="98">
        <f>IF(INDEX(lmic_raw_lb[],MATCH($A148,lmic_raw_lb[[setting]:[setting]],0), MATCH(P$139, lmic_raw_lb[#Headers],0))=0, INDEX(regions_lb[], MATCH($D148, regions_lb[[setting]:[setting]],0), MATCH(P$139, regions_lb[#Headers],0)),INDEX(lmic_raw_lb[],MATCH($A148,lmic_raw_lb[[setting]:[setting]],0), MATCH(P$139, lmic_raw_lb[#Headers],0)))</f>
        <v>0.05</v>
      </c>
      <c r="Q148" s="98">
        <f>IF(INDEX(lmic_raw_lb[],MATCH($A148,lmic_raw_lb[[setting]:[setting]],0), MATCH(Q$139, lmic_raw_lb[#Headers],0))=0, INDEX(regions_lb[], MATCH($D148, regions_lb[[setting]:[setting]],0), MATCH(Q$139, regions_lb[#Headers],0)),INDEX(lmic_raw_lb[],MATCH($A148,lmic_raw_lb[[setting]:[setting]],0), MATCH(Q$139, lmic_raw_lb[#Headers],0)))</f>
        <v>9.5951507445380315</v>
      </c>
      <c r="R148" s="98">
        <f>IF(INDEX(lmic_raw_lb[],MATCH($A148,lmic_raw_lb[[setting]:[setting]],0), MATCH(R$139, lmic_raw_lb[#Headers],0))=0, INDEX(regions_lb[], MATCH($D148, regions_lb[[setting]:[setting]],0), MATCH(R$139, regions_lb[#Headers],0)),INDEX(lmic_raw_lb[],MATCH($A148,lmic_raw_lb[[setting]:[setting]],0), MATCH(R$139, lmic_raw_lb[#Headers],0)))</f>
        <v>42.31053</v>
      </c>
      <c r="S148" s="98">
        <f>IF(INDEX(lmic_raw_lb[],MATCH($A148,lmic_raw_lb[[setting]:[setting]],0), MATCH(S$139, lmic_raw_lb[#Headers],0))=0, INDEX(regions_lb[], MATCH($D148, regions_lb[[setting]:[setting]],0), MATCH(S$139, regions_lb[#Headers],0)),INDEX(lmic_raw_lb[],MATCH($A148,lmic_raw_lb[[setting]:[setting]],0), MATCH(S$139, lmic_raw_lb[#Headers],0)))</f>
        <v>87.665430000000001</v>
      </c>
      <c r="T148" s="98">
        <f>IF(INDEX(lmic_raw_lb[],MATCH($A148,lmic_raw_lb[[setting]:[setting]],0), MATCH(T$139, lmic_raw_lb[#Headers],0))=0, INDEX(regions_lb[], MATCH($D148, regions_lb[[setting]:[setting]],0), MATCH(T$139, regions_lb[#Headers],0)),INDEX(lmic_raw_lb[],MATCH($A148,lmic_raw_lb[[setting]:[setting]],0), MATCH(T$139, lmic_raw_lb[#Headers],0)))</f>
        <v>87.665430000000001</v>
      </c>
      <c r="U148" s="98">
        <f>IF(INDEX(lmic_raw_lb[],MATCH($A148,lmic_raw_lb[[setting]:[setting]],0), MATCH(U$139, lmic_raw_lb[#Headers],0))=0, INDEX(regions_lb[], MATCH($D148, regions_lb[[setting]:[setting]],0), MATCH(U$139, regions_lb[#Headers],0)),INDEX(lmic_raw_lb[],MATCH($A148,lmic_raw_lb[[setting]:[setting]],0), MATCH(U$139, lmic_raw_lb[#Headers],0)))</f>
        <v>87.665430000000001</v>
      </c>
      <c r="V148" s="98">
        <f>IF(INDEX(lmic_raw_lb[],MATCH($A148,lmic_raw_lb[[setting]:[setting]],0), MATCH(V$139, lmic_raw_lb[#Headers],0))=0, INDEX(regions_lb[], MATCH($D148, regions_lb[[setting]:[setting]],0), MATCH(V$139, regions_lb[#Headers],0)),INDEX(lmic_raw_lb[],MATCH($A148,lmic_raw_lb[[setting]:[setting]],0), MATCH(V$139, lmic_raw_lb[#Headers],0)))</f>
        <v>2.6280520832924794</v>
      </c>
      <c r="W148" s="98">
        <f>IF(INDEX(lmic_raw_lb[],MATCH($A148,lmic_raw_lb[[setting]:[setting]],0), MATCH(W$139, lmic_raw_lb[#Headers],0))=0, INDEX(regions_lb[], MATCH($D148, regions_lb[[setting]:[setting]],0), MATCH(W$139, regions_lb[#Headers],0)),INDEX(lmic_raw_lb[],MATCH($A148,lmic_raw_lb[[setting]:[setting]],0), MATCH(W$139, lmic_raw_lb[#Headers],0)))</f>
        <v>6.4904670832924793</v>
      </c>
      <c r="X148" s="98">
        <f>IF(INDEX(lmic_raw_lb[],MATCH($A148,lmic_raw_lb[[setting]:[setting]],0), MATCH(X$139, lmic_raw_lb[#Headers],0))=0, INDEX(regions_lb[], MATCH($D148, regions_lb[[setting]:[setting]],0), MATCH(X$139, regions_lb[#Headers],0)),INDEX(lmic_raw_lb[],MATCH($A148,lmic_raw_lb[[setting]:[setting]],0), MATCH(X$139, lmic_raw_lb[#Headers],0)))</f>
        <v>2.2575353471560771</v>
      </c>
      <c r="Y148" s="98">
        <f>IF(INDEX(lmic_raw_lb[],MATCH($A148,lmic_raw_lb[[setting]:[setting]],0), MATCH(Y$139, lmic_raw_lb[#Headers],0))=0, INDEX(regions_lb[], MATCH($D148, regions_lb[[setting]:[setting]],0), MATCH(Y$139, regions_lb[#Headers],0)),INDEX(lmic_raw_lb[],MATCH($A148,lmic_raw_lb[[setting]:[setting]],0), MATCH(Y$139, lmic_raw_lb[#Headers],0)))</f>
        <v>6.1199503471560774</v>
      </c>
      <c r="Z148" s="98">
        <f>IF(INDEX(lmic_raw_lb[],MATCH($A148,lmic_raw_lb[[setting]:[setting]],0), MATCH(Z$139, lmic_raw_lb[#Headers],0))=0, INDEX(regions_lb[], MATCH($D148, regions_lb[[setting]:[setting]],0), MATCH(Z$139, regions_lb[#Headers],0)),INDEX(lmic_raw_lb[],MATCH($A148,lmic_raw_lb[[setting]:[setting]],0), MATCH(Z$139, lmic_raw_lb[#Headers],0)))</f>
        <v>6.1144988610190385</v>
      </c>
      <c r="AA148" s="98">
        <f>IF(INDEX(lmic_raw_lb[],MATCH($A148,lmic_raw_lb[[setting]:[setting]],0), MATCH(AA$139, lmic_raw_lb[#Headers],0))=0, INDEX(regions_lb[], MATCH($D148, regions_lb[[setting]:[setting]],0), MATCH(AA$139, regions_lb[#Headers],0)),INDEX(lmic_raw_lb[],MATCH($A148,lmic_raw_lb[[setting]:[setting]],0), MATCH(AA$139, lmic_raw_lb[#Headers],0)))</f>
        <v>2.8414865018722919</v>
      </c>
      <c r="AB148" s="98">
        <f>IF(INDEX(lmic_raw_lb[],MATCH($A148,lmic_raw_lb[[setting]:[setting]],0), MATCH(AB$139, lmic_raw_lb[#Headers],0))=0, INDEX(regions_lb[], MATCH($D148, regions_lb[[setting]:[setting]],0), MATCH(AB$139, regions_lb[#Headers],0)),INDEX(lmic_raw_lb[],MATCH($A148,lmic_raw_lb[[setting]:[setting]],0), MATCH(AB$139, lmic_raw_lb[#Headers],0)))</f>
        <v>6.7039015018722923</v>
      </c>
      <c r="AC148" s="98">
        <f>IF(INDEX(lmic_raw_lb[],MATCH($A148,lmic_raw_lb[[setting]:[setting]],0), MATCH(AC$139, lmic_raw_lb[#Headers],0))=0, INDEX(regions_lb[], MATCH($D148, regions_lb[[setting]:[setting]],0), MATCH(AC$139, regions_lb[#Headers],0)),INDEX(lmic_raw_lb[],MATCH($A148,lmic_raw_lb[[setting]:[setting]],0), MATCH(AC$139, lmic_raw_lb[#Headers],0)))</f>
        <v>2.8176240000000398E-3</v>
      </c>
      <c r="AD148" s="98">
        <f>IF(INDEX(lmic_raw_lb[],MATCH($A148,lmic_raw_lb[[setting]:[setting]],0), MATCH(AD$139, lmic_raw_lb[#Headers],0))=0, INDEX(regions_lb[], MATCH($D148, regions_lb[[setting]:[setting]],0), MATCH(AD$139, regions_lb[#Headers],0)),INDEX(lmic_raw_lb[],MATCH($A148,lmic_raw_lb[[setting]:[setting]],0), MATCH(AD$139, lmic_raw_lb[#Headers],0)))</f>
        <v>2.0722298178614442E-4</v>
      </c>
      <c r="AE148" s="98">
        <f>IF(INDEX(lmic_raw_lb[],MATCH($A148,lmic_raw_lb[[setting]:[setting]],0), MATCH(AE$139, lmic_raw_lb[#Headers],0))=0, INDEX(regions_lb[], MATCH($D148, regions_lb[[setting]:[setting]],0), MATCH(AE$139, regions_lb[#Headers],0)),INDEX(lmic_raw_lb[],MATCH($A148,lmic_raw_lb[[setting]:[setting]],0), MATCH(AE$139, lmic_raw_lb[#Headers],0)))</f>
        <v>1.3176312357757262E-4</v>
      </c>
      <c r="AF148" s="98">
        <f>IF(INDEX(lmic_raw_lb[],MATCH($A148,lmic_raw_lb[[setting]:[setting]],0), MATCH(AF$139, lmic_raw_lb[#Headers],0))=0, INDEX(regions_lb[], MATCH($D148, regions_lb[[setting]:[setting]],0), MATCH(AF$139, regions_lb[#Headers],0)),INDEX(lmic_raw_lb[],MATCH($A148,lmic_raw_lb[[setting]:[setting]],0), MATCH(AF$139, lmic_raw_lb[#Headers],0)))</f>
        <v>1.2510179579699503E-4</v>
      </c>
      <c r="AG148" s="98">
        <f>IF(INDEX(lmic_raw_lb[],MATCH($A148,lmic_raw_lb[[setting]:[setting]],0), MATCH(AG$139, lmic_raw_lb[#Headers],0))=0, INDEX(regions_lb[], MATCH($D148, regions_lb[[setting]:[setting]],0), MATCH(AG$139, regions_lb[#Headers],0)),INDEX(lmic_raw_lb[],MATCH($A148,lmic_raw_lb[[setting]:[setting]],0), MATCH(AG$139, lmic_raw_lb[#Headers],0)))</f>
        <v>3.3411171031736948E-4</v>
      </c>
      <c r="AH148" s="98">
        <f>IF(INDEX(lmic_raw_lb[],MATCH($A148,lmic_raw_lb[[setting]:[setting]],0), MATCH(AH$139, lmic_raw_lb[#Headers],0))=0, INDEX(regions_lb[], MATCH($D148, regions_lb[[setting]:[setting]],0), MATCH(AH$139, regions_lb[#Headers],0)),INDEX(lmic_raw_lb[],MATCH($A148,lmic_raw_lb[[setting]:[setting]],0), MATCH(AH$139, lmic_raw_lb[#Headers],0)))</f>
        <v>5.6878976626486579E-4</v>
      </c>
      <c r="AI148" s="98">
        <f>IF(INDEX(lmic_raw_lb[],MATCH($A148,lmic_raw_lb[[setting]:[setting]],0), MATCH(AI$139, lmic_raw_lb[#Headers],0))=0, INDEX(regions_lb[], MATCH($D148, regions_lb[[setting]:[setting]],0), MATCH(AI$139, regions_lb[#Headers],0)),INDEX(lmic_raw_lb[],MATCH($A148,lmic_raw_lb[[setting]:[setting]],0), MATCH(AI$139, lmic_raw_lb[#Headers],0)))</f>
        <v>8.3087419374707405E-4</v>
      </c>
      <c r="AJ148" s="98">
        <f>IF(INDEX(lmic_raw_lb[],MATCH($A148,lmic_raw_lb[[setting]:[setting]],0), MATCH(AJ$139, lmic_raw_lb[#Headers],0))=0, INDEX(regions_lb[], MATCH($D148, regions_lb[[setting]:[setting]],0), MATCH(AJ$139, regions_lb[#Headers],0)),INDEX(lmic_raw_lb[],MATCH($A148,lmic_raw_lb[[setting]:[setting]],0), MATCH(AJ$139, lmic_raw_lb[#Headers],0)))</f>
        <v>1.3614323506074529E-3</v>
      </c>
      <c r="AK148" s="98">
        <f>IF(INDEX(lmic_raw_lb[],MATCH($A148,lmic_raw_lb[[setting]:[setting]],0), MATCH(AK$139, lmic_raw_lb[#Headers],0))=0, INDEX(regions_lb[], MATCH($D148, regions_lb[[setting]:[setting]],0), MATCH(AK$139, regions_lb[#Headers],0)),INDEX(lmic_raw_lb[],MATCH($A148,lmic_raw_lb[[setting]:[setting]],0), MATCH(AK$139, lmic_raw_lb[#Headers],0)))</f>
        <v>2.1797664411739043E-3</v>
      </c>
      <c r="AL148" s="98">
        <f>IF(INDEX(lmic_raw_lb[],MATCH($A148,lmic_raw_lb[[setting]:[setting]],0), MATCH(AL$139, lmic_raw_lb[#Headers],0))=0, INDEX(regions_lb[], MATCH($D148, regions_lb[[setting]:[setting]],0), MATCH(AL$139, regions_lb[#Headers],0)),INDEX(lmic_raw_lb[],MATCH($A148,lmic_raw_lb[[setting]:[setting]],0), MATCH(AL$139, lmic_raw_lb[#Headers],0)))</f>
        <v>3.149837719211868E-3</v>
      </c>
      <c r="AM148" s="98">
        <f>IF(INDEX(lmic_raw_lb[],MATCH($A148,lmic_raw_lb[[setting]:[setting]],0), MATCH(AM$139, lmic_raw_lb[#Headers],0))=0, INDEX(regions_lb[], MATCH($D148, regions_lb[[setting]:[setting]],0), MATCH(AM$139, regions_lb[#Headers],0)),INDEX(lmic_raw_lb[],MATCH($A148,lmic_raw_lb[[setting]:[setting]],0), MATCH(AM$139, lmic_raw_lb[#Headers],0)))</f>
        <v>4.7270393440345462E-3</v>
      </c>
      <c r="AN148" s="98">
        <f>IF(INDEX(lmic_raw_lb[],MATCH($A148,lmic_raw_lb[[setting]:[setting]],0), MATCH(AN$139, lmic_raw_lb[#Headers],0))=0, INDEX(regions_lb[], MATCH($D148, regions_lb[[setting]:[setting]],0), MATCH(AN$139, regions_lb[#Headers],0)),INDEX(lmic_raw_lb[],MATCH($A148,lmic_raw_lb[[setting]:[setting]],0), MATCH(AN$139, lmic_raw_lb[#Headers],0)))</f>
        <v>6.938605091791842E-3</v>
      </c>
      <c r="AO148" s="98">
        <f>IF(INDEX(lmic_raw_lb[],MATCH($A148,lmic_raw_lb[[setting]:[setting]],0), MATCH(AO$139, lmic_raw_lb[#Headers],0))=0, INDEX(regions_lb[], MATCH($D148, regions_lb[[setting]:[setting]],0), MATCH(AO$139, regions_lb[#Headers],0)),INDEX(lmic_raw_lb[],MATCH($A148,lmic_raw_lb[[setting]:[setting]],0), MATCH(AO$139, lmic_raw_lb[#Headers],0)))</f>
        <v>1.0322221054409138E-2</v>
      </c>
      <c r="AP148" s="98">
        <f>IF(INDEX(lmic_raw_lb[],MATCH($A148,lmic_raw_lb[[setting]:[setting]],0), MATCH(AP$139, lmic_raw_lb[#Headers],0))=0, INDEX(regions_lb[], MATCH($D148, regions_lb[[setting]:[setting]],0), MATCH(AP$139, regions_lb[#Headers],0)),INDEX(lmic_raw_lb[],MATCH($A148,lmic_raw_lb[[setting]:[setting]],0), MATCH(AP$139, lmic_raw_lb[#Headers],0)))</f>
        <v>1.5614240723267865E-2</v>
      </c>
      <c r="AQ148" s="98">
        <f>IF(INDEX(lmic_raw_lb[],MATCH($A148,lmic_raw_lb[[setting]:[setting]],0), MATCH(AQ$139, lmic_raw_lb[#Headers],0))=0, INDEX(regions_lb[], MATCH($D148, regions_lb[[setting]:[setting]],0), MATCH(AQ$139, regions_lb[#Headers],0)),INDEX(lmic_raw_lb[],MATCH($A148,lmic_raw_lb[[setting]:[setting]],0), MATCH(AQ$139, lmic_raw_lb[#Headers],0)))</f>
        <v>2.2008633497369683E-2</v>
      </c>
      <c r="AR148" s="98">
        <f>IF(INDEX(lmic_raw_lb[],MATCH($A148,lmic_raw_lb[[setting]:[setting]],0), MATCH(AR$139, lmic_raw_lb[#Headers],0))=0, INDEX(regions_lb[], MATCH($D148, regions_lb[[setting]:[setting]],0), MATCH(AR$139, regions_lb[#Headers],0)),INDEX(lmic_raw_lb[],MATCH($A148,lmic_raw_lb[[setting]:[setting]],0), MATCH(AR$139, lmic_raw_lb[#Headers],0)))</f>
        <v>3.161782668119225E-2</v>
      </c>
      <c r="AS148" s="98">
        <f>IF(INDEX(lmic_raw_lb[],MATCH($A148,lmic_raw_lb[[setting]:[setting]],0), MATCH(AS$139, lmic_raw_lb[#Headers],0))=0, INDEX(regions_lb[], MATCH($D148, regions_lb[[setting]:[setting]],0), MATCH(AS$139, regions_lb[#Headers],0)),INDEX(lmic_raw_lb[],MATCH($A148,lmic_raw_lb[[setting]:[setting]],0), MATCH(AS$139, lmic_raw_lb[#Headers],0)))</f>
        <v>4.7810987820282209E-2</v>
      </c>
      <c r="AT148" s="98">
        <f>IF(INDEX(lmic_raw_lb[],MATCH($A148,lmic_raw_lb[[setting]:[setting]],0), MATCH(AT$139, lmic_raw_lb[#Headers],0))=0, INDEX(regions_lb[], MATCH($D148, regions_lb[[setting]:[setting]],0), MATCH(AT$139, regions_lb[#Headers],0)),INDEX(lmic_raw_lb[],MATCH($A148,lmic_raw_lb[[setting]:[setting]],0), MATCH(AT$139, lmic_raw_lb[#Headers],0)))</f>
        <v>7.349030466836047E-2</v>
      </c>
      <c r="AU148" s="98">
        <f>IF(INDEX(lmic_raw_lb[],MATCH($A148,lmic_raw_lb[[setting]:[setting]],0), MATCH(AU$139, lmic_raw_lb[#Headers],0))=0, INDEX(regions_lb[], MATCH($D148, regions_lb[[setting]:[setting]],0), MATCH(AU$139, regions_lb[#Headers],0)),INDEX(lmic_raw_lb[],MATCH($A148,lmic_raw_lb[[setting]:[setting]],0), MATCH(AU$139, lmic_raw_lb[#Headers],0)))</f>
        <v>0.10427226691314793</v>
      </c>
      <c r="AV148" s="98">
        <f>IF(INDEX(lmic_raw_lb[],MATCH($A148,lmic_raw_lb[[setting]:[setting]],0), MATCH(AV$139, lmic_raw_lb[#Headers],0))=0, INDEX(regions_lb[], MATCH($D148, regions_lb[[setting]:[setting]],0), MATCH(AV$139, regions_lb[#Headers],0)),INDEX(lmic_raw_lb[],MATCH($A148,lmic_raw_lb[[setting]:[setting]],0), MATCH(AV$139, lmic_raw_lb[#Headers],0)))</f>
        <v>0.13805827750168115</v>
      </c>
      <c r="AW148" s="98">
        <f>IF(INDEX(lmic_raw_lb[],MATCH($A148,lmic_raw_lb[[setting]:[setting]],0), MATCH(AW$139, lmic_raw_lb[#Headers],0))=0, INDEX(regions_lb[], MATCH($D148, regions_lb[[setting]:[setting]],0), MATCH(AW$139, regions_lb[#Headers],0)),INDEX(lmic_raw_lb[],MATCH($A148,lmic_raw_lb[[setting]:[setting]],0), MATCH(AW$139, lmic_raw_lb[#Headers],0)))</f>
        <v>0.16340325326333346</v>
      </c>
      <c r="AX148" s="98">
        <f>IF(INDEX(lmic_raw_lb[],MATCH($A148,lmic_raw_lb[[setting]:[setting]],0), MATCH(AX$139, lmic_raw_lb[#Headers],0))=0, INDEX(regions_lb[], MATCH($D148, regions_lb[[setting]:[setting]],0), MATCH(AX$139, regions_lb[#Headers],0)),INDEX(lmic_raw_lb[],MATCH($A148,lmic_raw_lb[[setting]:[setting]],0), MATCH(AX$139, lmic_raw_lb[#Headers],0)))</f>
        <v>70.765499999999989</v>
      </c>
      <c r="AY148" s="98" t="str">
        <f>IF(VLOOKUP(lmics_lb[[#This Row],[setting]],lmic_raw_lb[],11,FALSE)=0, "Yes", "No")</f>
        <v>No</v>
      </c>
    </row>
    <row r="149" spans="1:51" x14ac:dyDescent="0.25">
      <c r="A149" s="110" t="s">
        <v>253</v>
      </c>
      <c r="B149" s="104" t="s">
        <v>382</v>
      </c>
      <c r="C149" s="105">
        <v>84</v>
      </c>
      <c r="D149" s="84" t="s">
        <v>679</v>
      </c>
      <c r="E149" s="122" t="s">
        <v>223</v>
      </c>
      <c r="F149" s="94" t="s">
        <v>665</v>
      </c>
      <c r="G149" s="94" t="s">
        <v>676</v>
      </c>
      <c r="H149" s="94"/>
      <c r="I149" s="94"/>
      <c r="J149" s="94">
        <f>IF(INDEX(lmic_raw_lb[],MATCH($A149,lmic_raw_lb[[setting]:[setting]],0), MATCH(J$139, lmic_raw_lb[#Headers],0))=0, INDEX(regions_lb[], MATCH($D149, regions_lb[[setting]:[setting]],0), MATCH(J$139, regions_lb[#Headers],0)),INDEX(lmic_raw_lb[],MATCH($A149,lmic_raw_lb[[setting]:[setting]],0), MATCH(J$139, lmic_raw_lb[#Headers],0)))</f>
        <v>0.91580000000000006</v>
      </c>
      <c r="K149" s="94">
        <f>IF(INDEX(lmic_raw_lb[],MATCH($A149,lmic_raw_lb[[setting]:[setting]],0), MATCH(K$139, lmic_raw_lb[#Headers],0))=0, INDEX(regions_lb[], MATCH($D149, regions_lb[[setting]:[setting]],0), MATCH(K$139, regions_lb[#Headers],0)),INDEX(lmic_raw_lb[],MATCH($A149,lmic_raw_lb[[setting]:[setting]],0), MATCH(K$139, lmic_raw_lb[#Headers],0)))</f>
        <v>0.66499999999999992</v>
      </c>
      <c r="L149" s="94">
        <f>IF(INDEX(lmic_raw_lb[],MATCH($A149,lmic_raw_lb[[setting]:[setting]],0), MATCH(L$139, lmic_raw_lb[#Headers],0))=0, INDEX(regions_lb[], MATCH($D149, regions_lb[[setting]:[setting]],0), MATCH(L$139, regions_lb[#Headers],0)),INDEX(lmic_raw_lb[],MATCH($A149,lmic_raw_lb[[setting]:[setting]],0), MATCH(L$139, lmic_raw_lb[#Headers],0)))</f>
        <v>0.93099999999999994</v>
      </c>
      <c r="M149" s="94">
        <f>IF(INDEX(lmic_raw_lb[],MATCH($A149,lmic_raw_lb[[setting]:[setting]],0), MATCH(M$139, lmic_raw_lb[#Headers],0))=0, INDEX(regions_lb[], MATCH($D149, regions_lb[[setting]:[setting]],0), MATCH(M$139, regions_lb[#Headers],0)),INDEX(lmic_raw_lb[],MATCH($A149,lmic_raw_lb[[setting]:[setting]],0), MATCH(M$139, lmic_raw_lb[#Headers],0)))</f>
        <v>3.04E-2</v>
      </c>
      <c r="N149" s="94">
        <f>IF(INDEX(lmic_raw_lb[],MATCH($A149,lmic_raw_lb[[setting]:[setting]],0), MATCH(N$139, lmic_raw_lb[#Headers],0))=0, INDEX(regions_lb[], MATCH($D149, regions_lb[[setting]:[setting]],0), MATCH(N$139, regions_lb[#Headers],0)),INDEX(lmic_raw_lb[],MATCH($A149,lmic_raw_lb[[setting]:[setting]],0), MATCH(N$139, lmic_raw_lb[#Headers],0)))</f>
        <v>0.16309999999999999</v>
      </c>
      <c r="O149" s="94">
        <f>IF(INDEX(lmic_raw_lb[],MATCH($A149,lmic_raw_lb[[setting]:[setting]],0), MATCH(O$139, lmic_raw_lb[#Headers],0))=0, INDEX(regions_lb[], MATCH($D149, regions_lb[[setting]:[setting]],0), MATCH(O$139, regions_lb[#Headers],0)),INDEX(lmic_raw_lb[],MATCH($A149,lmic_raw_lb[[setting]:[setting]],0), MATCH(O$139, lmic_raw_lb[#Headers],0)))</f>
        <v>0.7</v>
      </c>
      <c r="P149" s="94">
        <f>IF(INDEX(lmic_raw_lb[],MATCH($A149,lmic_raw_lb[[setting]:[setting]],0), MATCH(P$139, lmic_raw_lb[#Headers],0))=0, INDEX(regions_lb[], MATCH($D149, regions_lb[[setting]:[setting]],0), MATCH(P$139, regions_lb[#Headers],0)),INDEX(lmic_raw_lb[],MATCH($A149,lmic_raw_lb[[setting]:[setting]],0), MATCH(P$139, lmic_raw_lb[#Headers],0)))</f>
        <v>0.05</v>
      </c>
      <c r="Q149" s="94">
        <f>IF(INDEX(lmic_raw_lb[],MATCH($A149,lmic_raw_lb[[setting]:[setting]],0), MATCH(Q$139, lmic_raw_lb[#Headers],0))=0, INDEX(regions_lb[], MATCH($D149, regions_lb[[setting]:[setting]],0), MATCH(Q$139, regions_lb[#Headers],0)),INDEX(lmic_raw_lb[],MATCH($A149,lmic_raw_lb[[setting]:[setting]],0), MATCH(Q$139, lmic_raw_lb[#Headers],0)))</f>
        <v>8.4901421748543182</v>
      </c>
      <c r="R149" s="94">
        <f>IF(INDEX(lmic_raw_lb[],MATCH($A149,lmic_raw_lb[[setting]:[setting]],0), MATCH(R$139, lmic_raw_lb[#Headers],0))=0, INDEX(regions_lb[], MATCH($D149, regions_lb[[setting]:[setting]],0), MATCH(R$139, regions_lb[#Headers],0)),INDEX(lmic_raw_lb[],MATCH($A149,lmic_raw_lb[[setting]:[setting]],0), MATCH(R$139, lmic_raw_lb[#Headers],0)))</f>
        <v>82.539704999999998</v>
      </c>
      <c r="S149" s="94">
        <f>IF(INDEX(lmic_raw_lb[],MATCH($A149,lmic_raw_lb[[setting]:[setting]],0), MATCH(S$139, lmic_raw_lb[#Headers],0))=0, INDEX(regions_lb[], MATCH($D149, regions_lb[[setting]:[setting]],0), MATCH(S$139, regions_lb[#Headers],0)),INDEX(lmic_raw_lb[],MATCH($A149,lmic_raw_lb[[setting]:[setting]],0), MATCH(S$139, lmic_raw_lb[#Headers],0)))</f>
        <v>127.894605</v>
      </c>
      <c r="T149" s="94">
        <f>IF(INDEX(lmic_raw_lb[],MATCH($A149,lmic_raw_lb[[setting]:[setting]],0), MATCH(T$139, lmic_raw_lb[#Headers],0))=0, INDEX(regions_lb[], MATCH($D149, regions_lb[[setting]:[setting]],0), MATCH(T$139, regions_lb[#Headers],0)),INDEX(lmic_raw_lb[],MATCH($A149,lmic_raw_lb[[setting]:[setting]],0), MATCH(T$139, lmic_raw_lb[#Headers],0)))</f>
        <v>127.894605</v>
      </c>
      <c r="U149" s="94">
        <f>IF(INDEX(lmic_raw_lb[],MATCH($A149,lmic_raw_lb[[setting]:[setting]],0), MATCH(U$139, lmic_raw_lb[#Headers],0))=0, INDEX(regions_lb[], MATCH($D149, regions_lb[[setting]:[setting]],0), MATCH(U$139, regions_lb[#Headers],0)),INDEX(lmic_raw_lb[],MATCH($A149,lmic_raw_lb[[setting]:[setting]],0), MATCH(U$139, lmic_raw_lb[#Headers],0)))</f>
        <v>127.894605</v>
      </c>
      <c r="V149" s="94">
        <f>IF(INDEX(lmic_raw_lb[],MATCH($A149,lmic_raw_lb[[setting]:[setting]],0), MATCH(V$139, lmic_raw_lb[#Headers],0))=0, INDEX(regions_lb[], MATCH($D149, regions_lb[[setting]:[setting]],0), MATCH(V$139, regions_lb[#Headers],0)),INDEX(lmic_raw_lb[],MATCH($A149,lmic_raw_lb[[setting]:[setting]],0), MATCH(V$139, lmic_raw_lb[#Headers],0)))</f>
        <v>4.1982414321036279</v>
      </c>
      <c r="W149" s="94">
        <f>IF(INDEX(lmic_raw_lb[],MATCH($A149,lmic_raw_lb[[setting]:[setting]],0), MATCH(W$139, lmic_raw_lb[#Headers],0))=0, INDEX(regions_lb[], MATCH($D149, regions_lb[[setting]:[setting]],0), MATCH(W$139, regions_lb[#Headers],0)),INDEX(lmic_raw_lb[],MATCH($A149,lmic_raw_lb[[setting]:[setting]],0), MATCH(W$139, lmic_raw_lb[#Headers],0)))</f>
        <v>4.2189514321036281</v>
      </c>
      <c r="X149" s="94">
        <f>IF(INDEX(lmic_raw_lb[],MATCH($A149,lmic_raw_lb[[setting]:[setting]],0), MATCH(X$139, lmic_raw_lb[#Headers],0))=0, INDEX(regions_lb[], MATCH($D149, regions_lb[[setting]:[setting]],0), MATCH(X$139, regions_lb[#Headers],0)),INDEX(lmic_raw_lb[],MATCH($A149,lmic_raw_lb[[setting]:[setting]],0), MATCH(X$139, lmic_raw_lb[#Headers],0)))</f>
        <v>3.8300761405743997</v>
      </c>
      <c r="Y149" s="94">
        <f>IF(INDEX(lmic_raw_lb[],MATCH($A149,lmic_raw_lb[[setting]:[setting]],0), MATCH(Y$139, lmic_raw_lb[#Headers],0))=0, INDEX(regions_lb[], MATCH($D149, regions_lb[[setting]:[setting]],0), MATCH(Y$139, regions_lb[#Headers],0)),INDEX(lmic_raw_lb[],MATCH($A149,lmic_raw_lb[[setting]:[setting]],0), MATCH(Y$139, lmic_raw_lb[#Headers],0)))</f>
        <v>3.8507861405743995</v>
      </c>
      <c r="Z149" s="94">
        <f>IF(INDEX(lmic_raw_lb[],MATCH($A149,lmic_raw_lb[[setting]:[setting]],0), MATCH(Z$139, lmic_raw_lb[#Headers],0))=0, INDEX(regions_lb[], MATCH($D149, regions_lb[[setting]:[setting]],0), MATCH(Z$139, regions_lb[#Headers],0)),INDEX(lmic_raw_lb[],MATCH($A149,lmic_raw_lb[[setting]:[setting]],0), MATCH(Z$139, lmic_raw_lb[#Headers],0)))</f>
        <v>3.8468400253271859</v>
      </c>
      <c r="AA149" s="94">
        <f>IF(INDEX(lmic_raw_lb[],MATCH($A149,lmic_raw_lb[[setting]:[setting]],0), MATCH(AA$139, lmic_raw_lb[#Headers],0))=0, INDEX(regions_lb[], MATCH($D149, regions_lb[[setting]:[setting]],0), MATCH(AA$139, regions_lb[#Headers],0)),INDEX(lmic_raw_lb[],MATCH($A149,lmic_raw_lb[[setting]:[setting]],0), MATCH(AA$139, lmic_raw_lb[#Headers],0)))</f>
        <v>4.4106680887089373</v>
      </c>
      <c r="AB149" s="94">
        <f>IF(INDEX(lmic_raw_lb[],MATCH($A149,lmic_raw_lb[[setting]:[setting]],0), MATCH(AB$139, lmic_raw_lb[#Headers],0))=0, INDEX(regions_lb[], MATCH($D149, regions_lb[[setting]:[setting]],0), MATCH(AB$139, regions_lb[#Headers],0)),INDEX(lmic_raw_lb[],MATCH($A149,lmic_raw_lb[[setting]:[setting]],0), MATCH(AB$139, lmic_raw_lb[#Headers],0)))</f>
        <v>4.4313780887089376</v>
      </c>
      <c r="AC149" s="94">
        <f>IF(INDEX(lmic_raw_lb[],MATCH($A149,lmic_raw_lb[[setting]:[setting]],0), MATCH(AC$139, lmic_raw_lb[#Headers],0))=0, INDEX(regions_lb[], MATCH($D149, regions_lb[[setting]:[setting]],0), MATCH(AC$139, regions_lb[#Headers],0)),INDEX(lmic_raw_lb[],MATCH($A149,lmic_raw_lb[[setting]:[setting]],0), MATCH(AC$139, lmic_raw_lb[#Headers],0)))</f>
        <v>1.2175266500000033E-2</v>
      </c>
      <c r="AD149" s="94">
        <f>IF(INDEX(lmic_raw_lb[],MATCH($A149,lmic_raw_lb[[setting]:[setting]],0), MATCH(AD$139, lmic_raw_lb[#Headers],0))=0, INDEX(regions_lb[], MATCH($D149, regions_lb[[setting]:[setting]],0), MATCH(AD$139, regions_lb[#Headers],0)),INDEX(lmic_raw_lb[],MATCH($A149,lmic_raw_lb[[setting]:[setting]],0), MATCH(AD$139, lmic_raw_lb[#Headers],0)))</f>
        <v>5.0197471812570634E-4</v>
      </c>
      <c r="AE149" s="94">
        <f>IF(INDEX(lmic_raw_lb[],MATCH($A149,lmic_raw_lb[[setting]:[setting]],0), MATCH(AE$139, lmic_raw_lb[#Headers],0))=0, INDEX(regions_lb[], MATCH($D149, regions_lb[[setting]:[setting]],0), MATCH(AE$139, regions_lb[#Headers],0)),INDEX(lmic_raw_lb[],MATCH($A149,lmic_raw_lb[[setting]:[setting]],0), MATCH(AE$139, lmic_raw_lb[#Headers],0)))</f>
        <v>2.8911474990738173E-4</v>
      </c>
      <c r="AF149" s="94">
        <f>IF(INDEX(lmic_raw_lb[],MATCH($A149,lmic_raw_lb[[setting]:[setting]],0), MATCH(AF$139, lmic_raw_lb[#Headers],0))=0, INDEX(regions_lb[], MATCH($D149, regions_lb[[setting]:[setting]],0), MATCH(AF$139, regions_lb[#Headers],0)),INDEX(lmic_raw_lb[],MATCH($A149,lmic_raw_lb[[setting]:[setting]],0), MATCH(AF$139, lmic_raw_lb[#Headers],0)))</f>
        <v>3.1359707496900972E-4</v>
      </c>
      <c r="AG149" s="94">
        <f>IF(INDEX(lmic_raw_lb[],MATCH($A149,lmic_raw_lb[[setting]:[setting]],0), MATCH(AG$139, lmic_raw_lb[#Headers],0))=0, INDEX(regions_lb[], MATCH($D149, regions_lb[[setting]:[setting]],0), MATCH(AG$139, regions_lb[#Headers],0)),INDEX(lmic_raw_lb[],MATCH($A149,lmic_raw_lb[[setting]:[setting]],0), MATCH(AG$139, lmic_raw_lb[#Headers],0)))</f>
        <v>9.4370099149770556E-4</v>
      </c>
      <c r="AH149" s="94">
        <f>IF(INDEX(lmic_raw_lb[],MATCH($A149,lmic_raw_lb[[setting]:[setting]],0), MATCH(AH$139, lmic_raw_lb[#Headers],0))=0, INDEX(regions_lb[], MATCH($D149, regions_lb[[setting]:[setting]],0), MATCH(AH$139, regions_lb[#Headers],0)),INDEX(lmic_raw_lb[],MATCH($A149,lmic_raw_lb[[setting]:[setting]],0), MATCH(AH$139, lmic_raw_lb[#Headers],0)))</f>
        <v>1.4805023080087254E-3</v>
      </c>
      <c r="AI149" s="94">
        <f>IF(INDEX(lmic_raw_lb[],MATCH($A149,lmic_raw_lb[[setting]:[setting]],0), MATCH(AI$139, lmic_raw_lb[#Headers],0))=0, INDEX(regions_lb[], MATCH($D149, regions_lb[[setting]:[setting]],0), MATCH(AI$139, regions_lb[#Headers],0)),INDEX(lmic_raw_lb[],MATCH($A149,lmic_raw_lb[[setting]:[setting]],0), MATCH(AI$139, lmic_raw_lb[#Headers],0)))</f>
        <v>2.2121871134670673E-3</v>
      </c>
      <c r="AJ149" s="94">
        <f>IF(INDEX(lmic_raw_lb[],MATCH($A149,lmic_raw_lb[[setting]:[setting]],0), MATCH(AJ$139, lmic_raw_lb[#Headers],0))=0, INDEX(regions_lb[], MATCH($D149, regions_lb[[setting]:[setting]],0), MATCH(AJ$139, regions_lb[#Headers],0)),INDEX(lmic_raw_lb[],MATCH($A149,lmic_raw_lb[[setting]:[setting]],0), MATCH(AJ$139, lmic_raw_lb[#Headers],0)))</f>
        <v>2.6137435833212606E-3</v>
      </c>
      <c r="AK149" s="94">
        <f>IF(INDEX(lmic_raw_lb[],MATCH($A149,lmic_raw_lb[[setting]:[setting]],0), MATCH(AK$139, lmic_raw_lb[#Headers],0))=0, INDEX(regions_lb[], MATCH($D149, regions_lb[[setting]:[setting]],0), MATCH(AK$139, regions_lb[#Headers],0)),INDEX(lmic_raw_lb[],MATCH($A149,lmic_raw_lb[[setting]:[setting]],0), MATCH(AK$139, lmic_raw_lb[#Headers],0)))</f>
        <v>2.7236747556477494E-3</v>
      </c>
      <c r="AL149" s="94">
        <f>IF(INDEX(lmic_raw_lb[],MATCH($A149,lmic_raw_lb[[setting]:[setting]],0), MATCH(AL$139, lmic_raw_lb[#Headers],0))=0, INDEX(regions_lb[], MATCH($D149, regions_lb[[setting]:[setting]],0), MATCH(AL$139, regions_lb[#Headers],0)),INDEX(lmic_raw_lb[],MATCH($A149,lmic_raw_lb[[setting]:[setting]],0), MATCH(AL$139, lmic_raw_lb[#Headers],0)))</f>
        <v>3.3395115389218749E-3</v>
      </c>
      <c r="AM149" s="94">
        <f>IF(INDEX(lmic_raw_lb[],MATCH($A149,lmic_raw_lb[[setting]:[setting]],0), MATCH(AM$139, lmic_raw_lb[#Headers],0))=0, INDEX(regions_lb[], MATCH($D149, regions_lb[[setting]:[setting]],0), MATCH(AM$139, regions_lb[#Headers],0)),INDEX(lmic_raw_lb[],MATCH($A149,lmic_raw_lb[[setting]:[setting]],0), MATCH(AM$139, lmic_raw_lb[#Headers],0)))</f>
        <v>4.6025046726243168E-3</v>
      </c>
      <c r="AN149" s="94">
        <f>IF(INDEX(lmic_raw_lb[],MATCH($A149,lmic_raw_lb[[setting]:[setting]],0), MATCH(AN$139, lmic_raw_lb[#Headers],0))=0, INDEX(regions_lb[], MATCH($D149, regions_lb[[setting]:[setting]],0), MATCH(AN$139, regions_lb[#Headers],0)),INDEX(lmic_raw_lb[],MATCH($A149,lmic_raw_lb[[setting]:[setting]],0), MATCH(AN$139, lmic_raw_lb[#Headers],0)))</f>
        <v>6.3856309653817752E-3</v>
      </c>
      <c r="AO149" s="94">
        <f>IF(INDEX(lmic_raw_lb[],MATCH($A149,lmic_raw_lb[[setting]:[setting]],0), MATCH(AO$139, lmic_raw_lb[#Headers],0))=0, INDEX(regions_lb[], MATCH($D149, regions_lb[[setting]:[setting]],0), MATCH(AO$139, regions_lb[#Headers],0)),INDEX(lmic_raw_lb[],MATCH($A149,lmic_raw_lb[[setting]:[setting]],0), MATCH(AO$139, lmic_raw_lb[#Headers],0)))</f>
        <v>1.0048965085874698E-2</v>
      </c>
      <c r="AP149" s="94">
        <f>IF(INDEX(lmic_raw_lb[],MATCH($A149,lmic_raw_lb[[setting]:[setting]],0), MATCH(AP$139, lmic_raw_lb[#Headers],0))=0, INDEX(regions_lb[], MATCH($D149, regions_lb[[setting]:[setting]],0), MATCH(AP$139, regions_lb[#Headers],0)),INDEX(lmic_raw_lb[],MATCH($A149,lmic_raw_lb[[setting]:[setting]],0), MATCH(AP$139, lmic_raw_lb[#Headers],0)))</f>
        <v>1.3381747843825873E-2</v>
      </c>
      <c r="AQ149" s="94">
        <f>IF(INDEX(lmic_raw_lb[],MATCH($A149,lmic_raw_lb[[setting]:[setting]],0), MATCH(AQ$139, lmic_raw_lb[#Headers],0))=0, INDEX(regions_lb[], MATCH($D149, regions_lb[[setting]:[setting]],0), MATCH(AQ$139, regions_lb[#Headers],0)),INDEX(lmic_raw_lb[],MATCH($A149,lmic_raw_lb[[setting]:[setting]],0), MATCH(AQ$139, lmic_raw_lb[#Headers],0)))</f>
        <v>1.8075578910110829E-2</v>
      </c>
      <c r="AR149" s="94">
        <f>IF(INDEX(lmic_raw_lb[],MATCH($A149,lmic_raw_lb[[setting]:[setting]],0), MATCH(AR$139, lmic_raw_lb[#Headers],0))=0, INDEX(regions_lb[], MATCH($D149, regions_lb[[setting]:[setting]],0), MATCH(AR$139, regions_lb[#Headers],0)),INDEX(lmic_raw_lb[],MATCH($A149,lmic_raw_lb[[setting]:[setting]],0), MATCH(AR$139, lmic_raw_lb[#Headers],0)))</f>
        <v>2.5224479044451999E-2</v>
      </c>
      <c r="AS149" s="94">
        <f>IF(INDEX(lmic_raw_lb[],MATCH($A149,lmic_raw_lb[[setting]:[setting]],0), MATCH(AS$139, lmic_raw_lb[#Headers],0))=0, INDEX(regions_lb[], MATCH($D149, regions_lb[[setting]:[setting]],0), MATCH(AS$139, regions_lb[#Headers],0)),INDEX(lmic_raw_lb[],MATCH($A149,lmic_raw_lb[[setting]:[setting]],0), MATCH(AS$139, lmic_raw_lb[#Headers],0)))</f>
        <v>3.6736667093888217E-2</v>
      </c>
      <c r="AT149" s="94">
        <f>IF(INDEX(lmic_raw_lb[],MATCH($A149,lmic_raw_lb[[setting]:[setting]],0), MATCH(AT$139, lmic_raw_lb[#Headers],0))=0, INDEX(regions_lb[], MATCH($D149, regions_lb[[setting]:[setting]],0), MATCH(AT$139, regions_lb[#Headers],0)),INDEX(lmic_raw_lb[],MATCH($A149,lmic_raw_lb[[setting]:[setting]],0), MATCH(AT$139, lmic_raw_lb[#Headers],0)))</f>
        <v>5.8129694248748552E-2</v>
      </c>
      <c r="AU149" s="94">
        <f>IF(INDEX(lmic_raw_lb[],MATCH($A149,lmic_raw_lb[[setting]:[setting]],0), MATCH(AU$139, lmic_raw_lb[#Headers],0))=0, INDEX(regions_lb[], MATCH($D149, regions_lb[[setting]:[setting]],0), MATCH(AU$139, regions_lb[#Headers],0)),INDEX(lmic_raw_lb[],MATCH($A149,lmic_raw_lb[[setting]:[setting]],0), MATCH(AU$139, lmic_raw_lb[#Headers],0)))</f>
        <v>8.0996679050755874E-2</v>
      </c>
      <c r="AV149" s="94">
        <f>IF(INDEX(lmic_raw_lb[],MATCH($A149,lmic_raw_lb[[setting]:[setting]],0), MATCH(AV$139, lmic_raw_lb[#Headers],0))=0, INDEX(regions_lb[], MATCH($D149, regions_lb[[setting]:[setting]],0), MATCH(AV$139, regions_lb[#Headers],0)),INDEX(lmic_raw_lb[],MATCH($A149,lmic_raw_lb[[setting]:[setting]],0), MATCH(AV$139, lmic_raw_lb[#Headers],0)))</f>
        <v>0.10390891448629154</v>
      </c>
      <c r="AW149" s="94">
        <f>IF(INDEX(lmic_raw_lb[],MATCH($A149,lmic_raw_lb[[setting]:[setting]],0), MATCH(AW$139, lmic_raw_lb[#Headers],0))=0, INDEX(regions_lb[], MATCH($D149, regions_lb[[setting]:[setting]],0), MATCH(AW$139, regions_lb[#Headers],0)),INDEX(lmic_raw_lb[],MATCH($A149,lmic_raw_lb[[setting]:[setting]],0), MATCH(AW$139, lmic_raw_lb[#Headers],0)))</f>
        <v>0.14356974935585201</v>
      </c>
      <c r="AX149" s="94">
        <f>IF(INDEX(lmic_raw_lb[],MATCH($A149,lmic_raw_lb[[setting]:[setting]],0), MATCH(AX$139, lmic_raw_lb[#Headers],0))=0, INDEX(regions_lb[], MATCH($D149, regions_lb[[setting]:[setting]],0), MATCH(AX$139, regions_lb[#Headers],0)),INDEX(lmic_raw_lb[],MATCH($A149,lmic_raw_lb[[setting]:[setting]],0), MATCH(AX$139, lmic_raw_lb[#Headers],0)))</f>
        <v>70.651499999999999</v>
      </c>
      <c r="AY149" s="94" t="str">
        <f>IF(VLOOKUP(lmics_lb[[#This Row],[setting]],lmic_raw_lb[],11,FALSE)=0, "Yes", "No")</f>
        <v>No</v>
      </c>
    </row>
    <row r="150" spans="1:51" x14ac:dyDescent="0.25">
      <c r="A150" s="109" t="s">
        <v>138</v>
      </c>
      <c r="B150" s="101" t="s">
        <v>383</v>
      </c>
      <c r="C150" s="102">
        <v>204</v>
      </c>
      <c r="D150" s="82" t="s">
        <v>677</v>
      </c>
      <c r="E150" s="121" t="s">
        <v>591</v>
      </c>
      <c r="F150" s="98" t="s">
        <v>667</v>
      </c>
      <c r="G150" s="98" t="s">
        <v>674</v>
      </c>
      <c r="H150" s="98"/>
      <c r="I150" s="98"/>
      <c r="J150" s="98">
        <f>IF(INDEX(lmic_raw_lb[],MATCH($A150,lmic_raw_lb[[setting]:[setting]],0), MATCH(J$139, lmic_raw_lb[#Headers],0))=0, INDEX(regions_lb[], MATCH($D150, regions_lb[[setting]:[setting]],0), MATCH(J$139, regions_lb[#Headers],0)),INDEX(lmic_raw_lb[],MATCH($A150,lmic_raw_lb[[setting]:[setting]],0), MATCH(J$139, lmic_raw_lb[#Headers],0)))</f>
        <v>0.79705000000000004</v>
      </c>
      <c r="K150" s="98">
        <f>IF(INDEX(lmic_raw_lb[],MATCH($A150,lmic_raw_lb[[setting]:[setting]],0), MATCH(K$139, lmic_raw_lb[#Headers],0))=0, INDEX(regions_lb[], MATCH($D150, regions_lb[[setting]:[setting]],0), MATCH(K$139, regions_lb[#Headers],0)),INDEX(lmic_raw_lb[],MATCH($A150,lmic_raw_lb[[setting]:[setting]],0), MATCH(K$139, lmic_raw_lb[#Headers],0)))</f>
        <v>0.65789974195504752</v>
      </c>
      <c r="L150" s="98">
        <f>IF(INDEX(lmic_raw_lb[],MATCH($A150,lmic_raw_lb[[setting]:[setting]],0), MATCH(L$139, lmic_raw_lb[#Headers],0))=0, INDEX(regions_lb[], MATCH($D150, regions_lb[[setting]:[setting]],0), MATCH(L$139, regions_lb[#Headers],0)),INDEX(lmic_raw_lb[],MATCH($A150,lmic_raw_lb[[setting]:[setting]],0), MATCH(L$139, lmic_raw_lb[#Headers],0)))</f>
        <v>0.72199999999999998</v>
      </c>
      <c r="M150" s="98">
        <f>IF(INDEX(lmic_raw_lb[],MATCH($A150,lmic_raw_lb[[setting]:[setting]],0), MATCH(M$139, lmic_raw_lb[#Headers],0))=0, INDEX(regions_lb[], MATCH($D150, regions_lb[[setting]:[setting]],0), MATCH(M$139, regions_lb[#Headers],0)),INDEX(lmic_raw_lb[],MATCH($A150,lmic_raw_lb[[setting]:[setting]],0), MATCH(M$139, lmic_raw_lb[#Headers],0)))</f>
        <v>8.1500000000000003E-2</v>
      </c>
      <c r="N150" s="98">
        <f>IF(INDEX(lmic_raw_lb[],MATCH($A150,lmic_raw_lb[[setting]:[setting]],0), MATCH(N$139, lmic_raw_lb[#Headers],0))=0, INDEX(regions_lb[], MATCH($D150, regions_lb[[setting]:[setting]],0), MATCH(N$139, regions_lb[#Headers],0)),INDEX(lmic_raw_lb[],MATCH($A150,lmic_raw_lb[[setting]:[setting]],0), MATCH(N$139, lmic_raw_lb[#Headers],0)))</f>
        <v>0.155</v>
      </c>
      <c r="O150" s="98">
        <f>IF(INDEX(lmic_raw_lb[],MATCH($A150,lmic_raw_lb[[setting]:[setting]],0), MATCH(O$139, lmic_raw_lb[#Headers],0))=0, INDEX(regions_lb[], MATCH($D150, regions_lb[[setting]:[setting]],0), MATCH(O$139, regions_lb[#Headers],0)),INDEX(lmic_raw_lb[],MATCH($A150,lmic_raw_lb[[setting]:[setting]],0), MATCH(O$139, lmic_raw_lb[#Headers],0)))</f>
        <v>7.0000000000000007E-2</v>
      </c>
      <c r="P150" s="98">
        <f>IF(INDEX(lmic_raw_lb[],MATCH($A150,lmic_raw_lb[[setting]:[setting]],0), MATCH(P$139, lmic_raw_lb[#Headers],0))=0, INDEX(regions_lb[], MATCH($D150, regions_lb[[setting]:[setting]],0), MATCH(P$139, regions_lb[#Headers],0)),INDEX(lmic_raw_lb[],MATCH($A150,lmic_raw_lb[[setting]:[setting]],0), MATCH(P$139, lmic_raw_lb[#Headers],0)))</f>
        <v>1E-3</v>
      </c>
      <c r="Q150" s="98">
        <f>IF(INDEX(lmic_raw_lb[],MATCH($A150,lmic_raw_lb[[setting]:[setting]],0), MATCH(Q$139, lmic_raw_lb[#Headers],0))=0, INDEX(regions_lb[], MATCH($D150, regions_lb[[setting]:[setting]],0), MATCH(Q$139, regions_lb[#Headers],0)),INDEX(lmic_raw_lb[],MATCH($A150,lmic_raw_lb[[setting]:[setting]],0), MATCH(Q$139, lmic_raw_lb[#Headers],0)))</f>
        <v>3.0214773146849283</v>
      </c>
      <c r="R150" s="98">
        <f>IF(INDEX(lmic_raw_lb[],MATCH($A150,lmic_raw_lb[[setting]:[setting]],0), MATCH(R$139, lmic_raw_lb[#Headers],0))=0, INDEX(regions_lb[], MATCH($D150, regions_lb[[setting]:[setting]],0), MATCH(R$139, regions_lb[#Headers],0)),INDEX(lmic_raw_lb[],MATCH($A150,lmic_raw_lb[[setting]:[setting]],0), MATCH(R$139, lmic_raw_lb[#Headers],0)))</f>
        <v>28.424474999999997</v>
      </c>
      <c r="S150" s="98">
        <f>IF(INDEX(lmic_raw_lb[],MATCH($A150,lmic_raw_lb[[setting]:[setting]],0), MATCH(S$139, lmic_raw_lb[#Headers],0))=0, INDEX(regions_lb[], MATCH($D150, regions_lb[[setting]:[setting]],0), MATCH(S$139, regions_lb[#Headers],0)),INDEX(lmic_raw_lb[],MATCH($A150,lmic_raw_lb[[setting]:[setting]],0), MATCH(S$139, lmic_raw_lb[#Headers],0)))</f>
        <v>73.779375000000002</v>
      </c>
      <c r="T150" s="98">
        <f>IF(INDEX(lmic_raw_lb[],MATCH($A150,lmic_raw_lb[[setting]:[setting]],0), MATCH(T$139, lmic_raw_lb[#Headers],0))=0, INDEX(regions_lb[], MATCH($D150, regions_lb[[setting]:[setting]],0), MATCH(T$139, regions_lb[#Headers],0)),INDEX(lmic_raw_lb[],MATCH($A150,lmic_raw_lb[[setting]:[setting]],0), MATCH(T$139, lmic_raw_lb[#Headers],0)))</f>
        <v>73.779375000000002</v>
      </c>
      <c r="U150" s="98">
        <f>IF(INDEX(lmic_raw_lb[],MATCH($A150,lmic_raw_lb[[setting]:[setting]],0), MATCH(U$139, lmic_raw_lb[#Headers],0))=0, INDEX(regions_lb[], MATCH($D150, regions_lb[[setting]:[setting]],0), MATCH(U$139, regions_lb[#Headers],0)),INDEX(lmic_raw_lb[],MATCH($A150,lmic_raw_lb[[setting]:[setting]],0), MATCH(U$139, lmic_raw_lb[#Headers],0)))</f>
        <v>73.779375000000002</v>
      </c>
      <c r="V150" s="98">
        <f>IF(INDEX(lmic_raw_lb[],MATCH($A150,lmic_raw_lb[[setting]:[setting]],0), MATCH(V$139, lmic_raw_lb[#Headers],0))=0, INDEX(regions_lb[], MATCH($D150, regions_lb[[setting]:[setting]],0), MATCH(V$139, regions_lb[#Headers],0)),INDEX(lmic_raw_lb[],MATCH($A150,lmic_raw_lb[[setting]:[setting]],0), MATCH(V$139, lmic_raw_lb[#Headers],0)))</f>
        <v>0.90823722241061067</v>
      </c>
      <c r="W150" s="98">
        <f>IF(INDEX(lmic_raw_lb[],MATCH($A150,lmic_raw_lb[[setting]:[setting]],0), MATCH(W$139, lmic_raw_lb[#Headers],0))=0, INDEX(regions_lb[], MATCH($D150, regions_lb[[setting]:[setting]],0), MATCH(W$139, regions_lb[#Headers],0)),INDEX(lmic_raw_lb[],MATCH($A150,lmic_raw_lb[[setting]:[setting]],0), MATCH(W$139, lmic_raw_lb[#Headers],0)))</f>
        <v>5.4955022224106109</v>
      </c>
      <c r="X150" s="98">
        <f>IF(INDEX(lmic_raw_lb[],MATCH($A150,lmic_raw_lb[[setting]:[setting]],0), MATCH(X$139, lmic_raw_lb[#Headers],0))=0, INDEX(regions_lb[], MATCH($D150, regions_lb[[setting]:[setting]],0), MATCH(X$139, regions_lb[#Headers],0)),INDEX(lmic_raw_lb[],MATCH($A150,lmic_raw_lb[[setting]:[setting]],0), MATCH(X$139, lmic_raw_lb[#Headers],0)))</f>
        <v>0.54184425251968404</v>
      </c>
      <c r="Y150" s="98">
        <f>IF(INDEX(lmic_raw_lb[],MATCH($A150,lmic_raw_lb[[setting]:[setting]],0), MATCH(Y$139, lmic_raw_lb[#Headers],0))=0, INDEX(regions_lb[], MATCH($D150, regions_lb[[setting]:[setting]],0), MATCH(Y$139, regions_lb[#Headers],0)),INDEX(lmic_raw_lb[],MATCH($A150,lmic_raw_lb[[setting]:[setting]],0), MATCH(Y$139, lmic_raw_lb[#Headers],0)))</f>
        <v>5.1291092525196849</v>
      </c>
      <c r="Z150" s="98">
        <f>IF(INDEX(lmic_raw_lb[],MATCH($A150,lmic_raw_lb[[setting]:[setting]],0), MATCH(Z$139, lmic_raw_lb[#Headers],0))=0, INDEX(regions_lb[], MATCH($D150, regions_lb[[setting]:[setting]],0), MATCH(Z$139, regions_lb[#Headers],0)),INDEX(lmic_raw_lb[],MATCH($A150,lmic_raw_lb[[setting]:[setting]],0), MATCH(Z$139, lmic_raw_lb[#Headers],0)))</f>
        <v>5.1263464050045355</v>
      </c>
      <c r="AA150" s="98">
        <f>IF(INDEX(lmic_raw_lb[],MATCH($A150,lmic_raw_lb[[setting]:[setting]],0), MATCH(AA$139, lmic_raw_lb[#Headers],0))=0, INDEX(regions_lb[], MATCH($D150, regions_lb[[setting]:[setting]],0), MATCH(AA$139, regions_lb[#Headers],0)),INDEX(lmic_raw_lb[],MATCH($A150,lmic_raw_lb[[setting]:[setting]],0), MATCH(AA$139, lmic_raw_lb[#Headers],0)))</f>
        <v>1.1199043125995054</v>
      </c>
      <c r="AB150" s="98">
        <f>IF(INDEX(lmic_raw_lb[],MATCH($A150,lmic_raw_lb[[setting]:[setting]],0), MATCH(AB$139, lmic_raw_lb[#Headers],0))=0, INDEX(regions_lb[], MATCH($D150, regions_lb[[setting]:[setting]],0), MATCH(AB$139, regions_lb[#Headers],0)),INDEX(lmic_raw_lb[],MATCH($A150,lmic_raw_lb[[setting]:[setting]],0), MATCH(AB$139, lmic_raw_lb[#Headers],0)))</f>
        <v>5.7071693125995058</v>
      </c>
      <c r="AC150" s="98">
        <f>IF(INDEX(lmic_raw_lb[],MATCH($A150,lmic_raw_lb[[setting]:[setting]],0), MATCH(AC$139, lmic_raw_lb[#Headers],0))=0, INDEX(regions_lb[], MATCH($D150, regions_lb[[setting]:[setting]],0), MATCH(AC$139, regions_lb[#Headers],0)),INDEX(lmic_raw_lb[],MATCH($A150,lmic_raw_lb[[setting]:[setting]],0), MATCH(AC$139, lmic_raw_lb[#Headers],0)))</f>
        <v>5.8106702499999954E-2</v>
      </c>
      <c r="AD150" s="98">
        <f>IF(INDEX(lmic_raw_lb[],MATCH($A150,lmic_raw_lb[[setting]:[setting]],0), MATCH(AD$139, lmic_raw_lb[#Headers],0))=0, INDEX(regions_lb[], MATCH($D150, regions_lb[[setting]:[setting]],0), MATCH(AD$139, regions_lb[#Headers],0)),INDEX(lmic_raw_lb[],MATCH($A150,lmic_raw_lb[[setting]:[setting]],0), MATCH(AD$139, lmic_raw_lb[#Headers],0)))</f>
        <v>8.7324917992782809E-3</v>
      </c>
      <c r="AE150" s="98">
        <f>IF(INDEX(lmic_raw_lb[],MATCH($A150,lmic_raw_lb[[setting]:[setting]],0), MATCH(AE$139, lmic_raw_lb[#Headers],0))=0, INDEX(regions_lb[], MATCH($D150, regions_lb[[setting]:[setting]],0), MATCH(AE$139, regions_lb[#Headers],0)),INDEX(lmic_raw_lb[],MATCH($A150,lmic_raw_lb[[setting]:[setting]],0), MATCH(AE$139, lmic_raw_lb[#Headers],0)))</f>
        <v>2.9416631759973957E-3</v>
      </c>
      <c r="AF150" s="98">
        <f>IF(INDEX(lmic_raw_lb[],MATCH($A150,lmic_raw_lb[[setting]:[setting]],0), MATCH(AF$139, lmic_raw_lb[#Headers],0))=0, INDEX(regions_lb[], MATCH($D150, regions_lb[[setting]:[setting]],0), MATCH(AF$139, regions_lb[#Headers],0)),INDEX(lmic_raw_lb[],MATCH($A150,lmic_raw_lb[[setting]:[setting]],0), MATCH(AF$139, lmic_raw_lb[#Headers],0)))</f>
        <v>1.740807257803104E-3</v>
      </c>
      <c r="AG150" s="98">
        <f>IF(INDEX(lmic_raw_lb[],MATCH($A150,lmic_raw_lb[[setting]:[setting]],0), MATCH(AG$139, lmic_raw_lb[#Headers],0))=0, INDEX(regions_lb[], MATCH($D150, regions_lb[[setting]:[setting]],0), MATCH(AG$139, regions_lb[#Headers],0)),INDEX(lmic_raw_lb[],MATCH($A150,lmic_raw_lb[[setting]:[setting]],0), MATCH(AG$139, lmic_raw_lb[#Headers],0)))</f>
        <v>2.3401131136008384E-3</v>
      </c>
      <c r="AH150" s="98">
        <f>IF(INDEX(lmic_raw_lb[],MATCH($A150,lmic_raw_lb[[setting]:[setting]],0), MATCH(AH$139, lmic_raw_lb[#Headers],0))=0, INDEX(regions_lb[], MATCH($D150, regions_lb[[setting]:[setting]],0), MATCH(AH$139, regions_lb[#Headers],0)),INDEX(lmic_raw_lb[],MATCH($A150,lmic_raw_lb[[setting]:[setting]],0), MATCH(AH$139, lmic_raw_lb[#Headers],0)))</f>
        <v>3.167586872471438E-3</v>
      </c>
      <c r="AI150" s="98">
        <f>IF(INDEX(lmic_raw_lb[],MATCH($A150,lmic_raw_lb[[setting]:[setting]],0), MATCH(AI$139, lmic_raw_lb[#Headers],0))=0, INDEX(regions_lb[], MATCH($D150, regions_lb[[setting]:[setting]],0), MATCH(AI$139, regions_lb[#Headers],0)),INDEX(lmic_raw_lb[],MATCH($A150,lmic_raw_lb[[setting]:[setting]],0), MATCH(AI$139, lmic_raw_lb[#Headers],0)))</f>
        <v>3.4819964105745685E-3</v>
      </c>
      <c r="AJ150" s="98">
        <f>IF(INDEX(lmic_raw_lb[],MATCH($A150,lmic_raw_lb[[setting]:[setting]],0), MATCH(AJ$139, lmic_raw_lb[#Headers],0))=0, INDEX(regions_lb[], MATCH($D150, regions_lb[[setting]:[setting]],0), MATCH(AJ$139, regions_lb[#Headers],0)),INDEX(lmic_raw_lb[],MATCH($A150,lmic_raw_lb[[setting]:[setting]],0), MATCH(AJ$139, lmic_raw_lb[#Headers],0)))</f>
        <v>3.8422382167263005E-3</v>
      </c>
      <c r="AK150" s="98">
        <f>IF(INDEX(lmic_raw_lb[],MATCH($A150,lmic_raw_lb[[setting]:[setting]],0), MATCH(AK$139, lmic_raw_lb[#Headers],0))=0, INDEX(regions_lb[], MATCH($D150, regions_lb[[setting]:[setting]],0), MATCH(AK$139, regions_lb[#Headers],0)),INDEX(lmic_raw_lb[],MATCH($A150,lmic_raw_lb[[setting]:[setting]],0), MATCH(AK$139, lmic_raw_lb[#Headers],0)))</f>
        <v>4.3778228401940341E-3</v>
      </c>
      <c r="AL150" s="98">
        <f>IF(INDEX(lmic_raw_lb[],MATCH($A150,lmic_raw_lb[[setting]:[setting]],0), MATCH(AL$139, lmic_raw_lb[#Headers],0))=0, INDEX(regions_lb[], MATCH($D150, regions_lb[[setting]:[setting]],0), MATCH(AL$139, regions_lb[#Headers],0)),INDEX(lmic_raw_lb[],MATCH($A150,lmic_raw_lb[[setting]:[setting]],0), MATCH(AL$139, lmic_raw_lb[#Headers],0)))</f>
        <v>5.4099829136548096E-3</v>
      </c>
      <c r="AM150" s="98">
        <f>IF(INDEX(lmic_raw_lb[],MATCH($A150,lmic_raw_lb[[setting]:[setting]],0), MATCH(AM$139, lmic_raw_lb[#Headers],0))=0, INDEX(regions_lb[], MATCH($D150, regions_lb[[setting]:[setting]],0), MATCH(AM$139, regions_lb[#Headers],0)),INDEX(lmic_raw_lb[],MATCH($A150,lmic_raw_lb[[setting]:[setting]],0), MATCH(AM$139, lmic_raw_lb[#Headers],0)))</f>
        <v>6.5723699295530914E-3</v>
      </c>
      <c r="AN150" s="98">
        <f>IF(INDEX(lmic_raw_lb[],MATCH($A150,lmic_raw_lb[[setting]:[setting]],0), MATCH(AN$139, lmic_raw_lb[#Headers],0))=0, INDEX(regions_lb[], MATCH($D150, regions_lb[[setting]:[setting]],0), MATCH(AN$139, regions_lb[#Headers],0)),INDEX(lmic_raw_lb[],MATCH($A150,lmic_raw_lb[[setting]:[setting]],0), MATCH(AN$139, lmic_raw_lb[#Headers],0)))</f>
        <v>9.1378258815910992E-3</v>
      </c>
      <c r="AO150" s="98">
        <f>IF(INDEX(lmic_raw_lb[],MATCH($A150,lmic_raw_lb[[setting]:[setting]],0), MATCH(AO$139, lmic_raw_lb[#Headers],0))=0, INDEX(regions_lb[], MATCH($D150, regions_lb[[setting]:[setting]],0), MATCH(AO$139, regions_lb[#Headers],0)),INDEX(lmic_raw_lb[],MATCH($A150,lmic_raw_lb[[setting]:[setting]],0), MATCH(AO$139, lmic_raw_lb[#Headers],0)))</f>
        <v>1.222131611364697E-2</v>
      </c>
      <c r="AP150" s="98">
        <f>IF(INDEX(lmic_raw_lb[],MATCH($A150,lmic_raw_lb[[setting]:[setting]],0), MATCH(AP$139, lmic_raw_lb[#Headers],0))=0, INDEX(regions_lb[], MATCH($D150, regions_lb[[setting]:[setting]],0), MATCH(AP$139, regions_lb[#Headers],0)),INDEX(lmic_raw_lb[],MATCH($A150,lmic_raw_lb[[setting]:[setting]],0), MATCH(AP$139, lmic_raw_lb[#Headers],0)))</f>
        <v>1.8373125188166646E-2</v>
      </c>
      <c r="AQ150" s="98">
        <f>IF(INDEX(lmic_raw_lb[],MATCH($A150,lmic_raw_lb[[setting]:[setting]],0), MATCH(AQ$139, lmic_raw_lb[#Headers],0))=0, INDEX(regions_lb[], MATCH($D150, regions_lb[[setting]:[setting]],0), MATCH(AQ$139, regions_lb[#Headers],0)),INDEX(lmic_raw_lb[],MATCH($A150,lmic_raw_lb[[setting]:[setting]],0), MATCH(AQ$139, lmic_raw_lb[#Headers],0)))</f>
        <v>2.8009476073596461E-2</v>
      </c>
      <c r="AR150" s="98">
        <f>IF(INDEX(lmic_raw_lb[],MATCH($A150,lmic_raw_lb[[setting]:[setting]],0), MATCH(AR$139, lmic_raw_lb[#Headers],0))=0, INDEX(regions_lb[], MATCH($D150, regions_lb[[setting]:[setting]],0), MATCH(AR$139, regions_lb[#Headers],0)),INDEX(lmic_raw_lb[],MATCH($A150,lmic_raw_lb[[setting]:[setting]],0), MATCH(AR$139, lmic_raw_lb[#Headers],0)))</f>
        <v>4.2988637149515362E-2</v>
      </c>
      <c r="AS150" s="98">
        <f>IF(INDEX(lmic_raw_lb[],MATCH($A150,lmic_raw_lb[[setting]:[setting]],0), MATCH(AS$139, lmic_raw_lb[#Headers],0))=0, INDEX(regions_lb[], MATCH($D150, regions_lb[[setting]:[setting]],0), MATCH(AS$139, regions_lb[#Headers],0)),INDEX(lmic_raw_lb[],MATCH($A150,lmic_raw_lb[[setting]:[setting]],0), MATCH(AS$139, lmic_raw_lb[#Headers],0)))</f>
        <v>6.4353521784876133E-2</v>
      </c>
      <c r="AT150" s="98">
        <f>IF(INDEX(lmic_raw_lb[],MATCH($A150,lmic_raw_lb[[setting]:[setting]],0), MATCH(AT$139, lmic_raw_lb[#Headers],0))=0, INDEX(regions_lb[], MATCH($D150, regions_lb[[setting]:[setting]],0), MATCH(AT$139, regions_lb[#Headers],0)),INDEX(lmic_raw_lb[],MATCH($A150,lmic_raw_lb[[setting]:[setting]],0), MATCH(AT$139, lmic_raw_lb[#Headers],0)))</f>
        <v>9.2687393607720533E-2</v>
      </c>
      <c r="AU150" s="98">
        <f>IF(INDEX(lmic_raw_lb[],MATCH($A150,lmic_raw_lb[[setting]:[setting]],0), MATCH(AU$139, lmic_raw_lb[#Headers],0))=0, INDEX(regions_lb[], MATCH($D150, regions_lb[[setting]:[setting]],0), MATCH(AU$139, regions_lb[#Headers],0)),INDEX(lmic_raw_lb[],MATCH($A150,lmic_raw_lb[[setting]:[setting]],0), MATCH(AU$139, lmic_raw_lb[#Headers],0)))</f>
        <v>0.12306702086755865</v>
      </c>
      <c r="AV150" s="98">
        <f>IF(INDEX(lmic_raw_lb[],MATCH($A150,lmic_raw_lb[[setting]:[setting]],0), MATCH(AV$139, lmic_raw_lb[#Headers],0))=0, INDEX(regions_lb[], MATCH($D150, regions_lb[[setting]:[setting]],0), MATCH(AV$139, regions_lb[#Headers],0)),INDEX(lmic_raw_lb[],MATCH($A150,lmic_raw_lb[[setting]:[setting]],0), MATCH(AV$139, lmic_raw_lb[#Headers],0)))</f>
        <v>0.14953303490317804</v>
      </c>
      <c r="AW150" s="98">
        <f>IF(INDEX(lmic_raw_lb[],MATCH($A150,lmic_raw_lb[[setting]:[setting]],0), MATCH(AW$139, lmic_raw_lb[#Headers],0))=0, INDEX(regions_lb[], MATCH($D150, regions_lb[[setting]:[setting]],0), MATCH(AW$139, regions_lb[#Headers],0)),INDEX(lmic_raw_lb[],MATCH($A150,lmic_raw_lb[[setting]:[setting]],0), MATCH(AW$139, lmic_raw_lb[#Headers],0)))</f>
        <v>0.16730598402636218</v>
      </c>
      <c r="AX150" s="98">
        <f>IF(INDEX(lmic_raw_lb[],MATCH($A150,lmic_raw_lb[[setting]:[setting]],0), MATCH(AX$139, lmic_raw_lb[#Headers],0))=0, INDEX(regions_lb[], MATCH($D150, regions_lb[[setting]:[setting]],0), MATCH(AX$139, regions_lb[#Headers],0)),INDEX(lmic_raw_lb[],MATCH($A150,lmic_raw_lb[[setting]:[setting]],0), MATCH(AX$139, lmic_raw_lb[#Headers],0)))</f>
        <v>58.237849999999995</v>
      </c>
      <c r="AY150" s="98" t="str">
        <f>IF(VLOOKUP(lmics_lb[[#This Row],[setting]],lmic_raw_lb[],11,FALSE)=0, "Yes", "No")</f>
        <v>Yes</v>
      </c>
    </row>
    <row r="151" spans="1:51" x14ac:dyDescent="0.25">
      <c r="A151" s="110" t="s">
        <v>193</v>
      </c>
      <c r="B151" s="104" t="s">
        <v>384</v>
      </c>
      <c r="C151" s="105">
        <v>64</v>
      </c>
      <c r="D151" s="84" t="s">
        <v>680</v>
      </c>
      <c r="E151" s="122" t="s">
        <v>589</v>
      </c>
      <c r="F151" s="94" t="s">
        <v>589</v>
      </c>
      <c r="G151" s="94" t="s">
        <v>678</v>
      </c>
      <c r="H151" s="94"/>
      <c r="I151" s="94"/>
      <c r="J151" s="94">
        <f>IF(INDEX(lmic_raw_lb[],MATCH($A151,lmic_raw_lb[[setting]:[setting]],0), MATCH(J$139, lmic_raw_lb[#Headers],0))=0, INDEX(regions_lb[], MATCH($D151, regions_lb[[setting]:[setting]],0), MATCH(J$139, regions_lb[#Headers],0)),INDEX(lmic_raw_lb[],MATCH($A151,lmic_raw_lb[[setting]:[setting]],0), MATCH(J$139, lmic_raw_lb[#Headers],0)))</f>
        <v>0.70109999999999995</v>
      </c>
      <c r="K151" s="94">
        <f>IF(INDEX(lmic_raw_lb[],MATCH($A151,lmic_raw_lb[[setting]:[setting]],0), MATCH(K$139, lmic_raw_lb[#Headers],0))=0, INDEX(regions_lb[], MATCH($D151, regions_lb[[setting]:[setting]],0), MATCH(K$139, regions_lb[#Headers],0)),INDEX(lmic_raw_lb[],MATCH($A151,lmic_raw_lb[[setting]:[setting]],0), MATCH(K$139, lmic_raw_lb[#Headers],0)))</f>
        <v>0.81699999999999995</v>
      </c>
      <c r="L151" s="94">
        <f>IF(INDEX(lmic_raw_lb[],MATCH($A151,lmic_raw_lb[[setting]:[setting]],0), MATCH(L$139, lmic_raw_lb[#Headers],0))=0, INDEX(regions_lb[], MATCH($D151, regions_lb[[setting]:[setting]],0), MATCH(L$139, regions_lb[#Headers],0)),INDEX(lmic_raw_lb[],MATCH($A151,lmic_raw_lb[[setting]:[setting]],0), MATCH(L$139, lmic_raw_lb[#Headers],0)))</f>
        <v>0.92149999999999999</v>
      </c>
      <c r="M151" s="94">
        <f>IF(INDEX(lmic_raw_lb[],MATCH($A151,lmic_raw_lb[[setting]:[setting]],0), MATCH(M$139, lmic_raw_lb[#Headers],0))=0, INDEX(regions_lb[], MATCH($D151, regions_lb[[setting]:[setting]],0), MATCH(M$139, regions_lb[#Headers],0)),INDEX(lmic_raw_lb[],MATCH($A151,lmic_raw_lb[[setting]:[setting]],0), MATCH(M$139, lmic_raw_lb[#Headers],0)))</f>
        <v>3.3099999999999997E-2</v>
      </c>
      <c r="N151" s="94">
        <f>IF(INDEX(lmic_raw_lb[],MATCH($A151,lmic_raw_lb[[setting]:[setting]],0), MATCH(N$139, lmic_raw_lb[#Headers],0))=0, INDEX(regions_lb[], MATCH($D151, regions_lb[[setting]:[setting]],0), MATCH(N$139, regions_lb[#Headers],0)),INDEX(lmic_raw_lb[],MATCH($A151,lmic_raw_lb[[setting]:[setting]],0), MATCH(N$139, lmic_raw_lb[#Headers],0)))</f>
        <v>0.1482</v>
      </c>
      <c r="O151" s="94">
        <f>IF(INDEX(lmic_raw_lb[],MATCH($A151,lmic_raw_lb[[setting]:[setting]],0), MATCH(O$139, lmic_raw_lb[#Headers],0))=0, INDEX(regions_lb[], MATCH($D151, regions_lb[[setting]:[setting]],0), MATCH(O$139, regions_lb[#Headers],0)),INDEX(lmic_raw_lb[],MATCH($A151,lmic_raw_lb[[setting]:[setting]],0), MATCH(O$139, lmic_raw_lb[#Headers],0)))</f>
        <v>0.7</v>
      </c>
      <c r="P151" s="94">
        <f>IF(INDEX(lmic_raw_lb[],MATCH($A151,lmic_raw_lb[[setting]:[setting]],0), MATCH(P$139, lmic_raw_lb[#Headers],0))=0, INDEX(regions_lb[], MATCH($D151, regions_lb[[setting]:[setting]],0), MATCH(P$139, regions_lb[#Headers],0)),INDEX(lmic_raw_lb[],MATCH($A151,lmic_raw_lb[[setting]:[setting]],0), MATCH(P$139, lmic_raw_lb[#Headers],0)))</f>
        <v>0.05</v>
      </c>
      <c r="Q151" s="94">
        <f>IF(INDEX(lmic_raw_lb[],MATCH($A151,lmic_raw_lb[[setting]:[setting]],0), MATCH(Q$139, lmic_raw_lb[#Headers],0))=0, INDEX(regions_lb[], MATCH($D151, regions_lb[[setting]:[setting]],0), MATCH(Q$139, regions_lb[#Headers],0)),INDEX(lmic_raw_lb[],MATCH($A151,lmic_raw_lb[[setting]:[setting]],0), MATCH(Q$139, lmic_raw_lb[#Headers],0)))</f>
        <v>4.9834313057560093</v>
      </c>
      <c r="R151" s="94">
        <f>IF(INDEX(lmic_raw_lb[],MATCH($A151,lmic_raw_lb[[setting]:[setting]],0), MATCH(R$139, lmic_raw_lb[#Headers],0))=0, INDEX(regions_lb[], MATCH($D151, regions_lb[[setting]:[setting]],0), MATCH(R$139, regions_lb[#Headers],0)),INDEX(lmic_raw_lb[],MATCH($A151,lmic_raw_lb[[setting]:[setting]],0), MATCH(R$139, lmic_raw_lb[#Headers],0)))</f>
        <v>43.604905000000002</v>
      </c>
      <c r="S151" s="94">
        <f>IF(INDEX(lmic_raw_lb[],MATCH($A151,lmic_raw_lb[[setting]:[setting]],0), MATCH(S$139, lmic_raw_lb[#Headers],0))=0, INDEX(regions_lb[], MATCH($D151, regions_lb[[setting]:[setting]],0), MATCH(S$139, regions_lb[#Headers],0)),INDEX(lmic_raw_lb[],MATCH($A151,lmic_raw_lb[[setting]:[setting]],0), MATCH(S$139, lmic_raw_lb[#Headers],0)))</f>
        <v>88.959805000000003</v>
      </c>
      <c r="T151" s="94">
        <f>IF(INDEX(lmic_raw_lb[],MATCH($A151,lmic_raw_lb[[setting]:[setting]],0), MATCH(T$139, lmic_raw_lb[#Headers],0))=0, INDEX(regions_lb[], MATCH($D151, regions_lb[[setting]:[setting]],0), MATCH(T$139, regions_lb[#Headers],0)),INDEX(lmic_raw_lb[],MATCH($A151,lmic_raw_lb[[setting]:[setting]],0), MATCH(T$139, lmic_raw_lb[#Headers],0)))</f>
        <v>88.959805000000003</v>
      </c>
      <c r="U151" s="94">
        <f>IF(INDEX(lmic_raw_lb[],MATCH($A151,lmic_raw_lb[[setting]:[setting]],0), MATCH(U$139, lmic_raw_lb[#Headers],0))=0, INDEX(regions_lb[], MATCH($D151, regions_lb[[setting]:[setting]],0), MATCH(U$139, regions_lb[#Headers],0)),INDEX(lmic_raw_lb[],MATCH($A151,lmic_raw_lb[[setting]:[setting]],0), MATCH(U$139, lmic_raw_lb[#Headers],0)))</f>
        <v>88.959805000000003</v>
      </c>
      <c r="V151" s="94">
        <f>IF(INDEX(lmic_raw_lb[],MATCH($A151,lmic_raw_lb[[setting]:[setting]],0), MATCH(V$139, lmic_raw_lb[#Headers],0))=0, INDEX(regions_lb[], MATCH($D151, regions_lb[[setting]:[setting]],0), MATCH(V$139, regions_lb[#Headers],0)),INDEX(lmic_raw_lb[],MATCH($A151,lmic_raw_lb[[setting]:[setting]],0), MATCH(V$139, lmic_raw_lb[#Headers],0)))</f>
        <v>3.6255209839403388</v>
      </c>
      <c r="W151" s="94">
        <f>IF(INDEX(lmic_raw_lb[],MATCH($A151,lmic_raw_lb[[setting]:[setting]],0), MATCH(W$139, lmic_raw_lb[#Headers],0))=0, INDEX(regions_lb[], MATCH($D151, regions_lb[[setting]:[setting]],0), MATCH(W$139, regions_lb[#Headers],0)),INDEX(lmic_raw_lb[],MATCH($A151,lmic_raw_lb[[setting]:[setting]],0), MATCH(W$139, lmic_raw_lb[#Headers],0)))</f>
        <v>5.9530209839403394</v>
      </c>
      <c r="X151" s="94">
        <f>IF(INDEX(lmic_raw_lb[],MATCH($A151,lmic_raw_lb[[setting]:[setting]],0), MATCH(X$139, lmic_raw_lb[#Headers],0))=0, INDEX(regions_lb[], MATCH($D151, regions_lb[[setting]:[setting]],0), MATCH(X$139, regions_lb[#Headers],0)),INDEX(lmic_raw_lb[],MATCH($A151,lmic_raw_lb[[setting]:[setting]],0), MATCH(X$139, lmic_raw_lb[#Headers],0)))</f>
        <v>3.2556758769489362</v>
      </c>
      <c r="Y151" s="94">
        <f>IF(INDEX(lmic_raw_lb[],MATCH($A151,lmic_raw_lb[[setting]:[setting]],0), MATCH(Y$139, lmic_raw_lb[#Headers],0))=0, INDEX(regions_lb[], MATCH($D151, regions_lb[[setting]:[setting]],0), MATCH(Y$139, regions_lb[#Headers],0)),INDEX(lmic_raw_lb[],MATCH($A151,lmic_raw_lb[[setting]:[setting]],0), MATCH(Y$139, lmic_raw_lb[#Headers],0)))</f>
        <v>5.5831758769489364</v>
      </c>
      <c r="Z151" s="94">
        <f>IF(INDEX(lmic_raw_lb[],MATCH($A151,lmic_raw_lb[[setting]:[setting]],0), MATCH(Z$139, lmic_raw_lb[#Headers],0))=0, INDEX(regions_lb[], MATCH($D151, regions_lb[[setting]:[setting]],0), MATCH(Z$139, regions_lb[#Headers],0)),INDEX(lmic_raw_lb[],MATCH($A151,lmic_raw_lb[[setting]:[setting]],0), MATCH(Z$139, lmic_raw_lb[#Headers],0)))</f>
        <v>5.5781410661361122</v>
      </c>
      <c r="AA151" s="94">
        <f>IF(INDEX(lmic_raw_lb[],MATCH($A151,lmic_raw_lb[[setting]:[setting]],0), MATCH(AA$139, lmic_raw_lb[#Headers],0))=0, INDEX(regions_lb[], MATCH($D151, regions_lb[[setting]:[setting]],0), MATCH(AA$139, regions_lb[#Headers],0)),INDEX(lmic_raw_lb[],MATCH($A151,lmic_raw_lb[[setting]:[setting]],0), MATCH(AA$139, lmic_raw_lb[#Headers],0)))</f>
        <v>3.8386675614580095</v>
      </c>
      <c r="AB151" s="94">
        <f>IF(INDEX(lmic_raw_lb[],MATCH($A151,lmic_raw_lb[[setting]:[setting]],0), MATCH(AB$139, lmic_raw_lb[#Headers],0))=0, INDEX(regions_lb[], MATCH($D151, regions_lb[[setting]:[setting]],0), MATCH(AB$139, regions_lb[#Headers],0)),INDEX(lmic_raw_lb[],MATCH($A151,lmic_raw_lb[[setting]:[setting]],0), MATCH(AB$139, lmic_raw_lb[#Headers],0)))</f>
        <v>6.1661675614580096</v>
      </c>
      <c r="AC151" s="94">
        <f>IF(INDEX(lmic_raw_lb[],MATCH($A151,lmic_raw_lb[[setting]:[setting]],0), MATCH(AC$139, lmic_raw_lb[#Headers],0))=0, INDEX(regions_lb[], MATCH($D151, regions_lb[[setting]:[setting]],0), MATCH(AC$139, regions_lb[#Headers],0)),INDEX(lmic_raw_lb[],MATCH($A151,lmic_raw_lb[[setting]:[setting]],0), MATCH(AC$139, lmic_raw_lb[#Headers],0)))</f>
        <v>2.2866623500000061E-2</v>
      </c>
      <c r="AD151" s="94">
        <f>IF(INDEX(lmic_raw_lb[],MATCH($A151,lmic_raw_lb[[setting]:[setting]],0), MATCH(AD$139, lmic_raw_lb[#Headers],0))=0, INDEX(regions_lb[], MATCH($D151, regions_lb[[setting]:[setting]],0), MATCH(AD$139, regions_lb[#Headers],0)),INDEX(lmic_raw_lb[],MATCH($A151,lmic_raw_lb[[setting]:[setting]],0), MATCH(AD$139, lmic_raw_lb[#Headers],0)))</f>
        <v>1.3463421300958602E-3</v>
      </c>
      <c r="AE151" s="94">
        <f>IF(INDEX(lmic_raw_lb[],MATCH($A151,lmic_raw_lb[[setting]:[setting]],0), MATCH(AE$139, lmic_raw_lb[#Headers],0))=0, INDEX(regions_lb[], MATCH($D151, regions_lb[[setting]:[setting]],0), MATCH(AE$139, regions_lb[#Headers],0)),INDEX(lmic_raw_lb[],MATCH($A151,lmic_raw_lb[[setting]:[setting]],0), MATCH(AE$139, lmic_raw_lb[#Headers],0)))</f>
        <v>7.349576772924855E-4</v>
      </c>
      <c r="AF151" s="94">
        <f>IF(INDEX(lmic_raw_lb[],MATCH($A151,lmic_raw_lb[[setting]:[setting]],0), MATCH(AF$139, lmic_raw_lb[#Headers],0))=0, INDEX(regions_lb[], MATCH($D151, regions_lb[[setting]:[setting]],0), MATCH(AF$139, regions_lb[#Headers],0)),INDEX(lmic_raw_lb[],MATCH($A151,lmic_raw_lb[[setting]:[setting]],0), MATCH(AF$139, lmic_raw_lb[#Headers],0)))</f>
        <v>5.9562869806583437E-4</v>
      </c>
      <c r="AG151" s="94">
        <f>IF(INDEX(lmic_raw_lb[],MATCH($A151,lmic_raw_lb[[setting]:[setting]],0), MATCH(AG$139, lmic_raw_lb[#Headers],0))=0, INDEX(regions_lb[], MATCH($D151, regions_lb[[setting]:[setting]],0), MATCH(AG$139, regions_lb[#Headers],0)),INDEX(lmic_raw_lb[],MATCH($A151,lmic_raw_lb[[setting]:[setting]],0), MATCH(AG$139, lmic_raw_lb[#Headers],0)))</f>
        <v>8.0590931945226233E-4</v>
      </c>
      <c r="AH151" s="94">
        <f>IF(INDEX(lmic_raw_lb[],MATCH($A151,lmic_raw_lb[[setting]:[setting]],0), MATCH(AH$139, lmic_raw_lb[#Headers],0))=0, INDEX(regions_lb[], MATCH($D151, regions_lb[[setting]:[setting]],0), MATCH(AH$139, regions_lb[#Headers],0)),INDEX(lmic_raw_lb[],MATCH($A151,lmic_raw_lb[[setting]:[setting]],0), MATCH(AH$139, lmic_raw_lb[#Headers],0)))</f>
        <v>1.3124334560908047E-3</v>
      </c>
      <c r="AI151" s="94">
        <f>IF(INDEX(lmic_raw_lb[],MATCH($A151,lmic_raw_lb[[setting]:[setting]],0), MATCH(AI$139, lmic_raw_lb[#Headers],0))=0, INDEX(regions_lb[], MATCH($D151, regions_lb[[setting]:[setting]],0), MATCH(AI$139, regions_lb[#Headers],0)),INDEX(lmic_raw_lb[],MATCH($A151,lmic_raw_lb[[setting]:[setting]],0), MATCH(AI$139, lmic_raw_lb[#Headers],0)))</f>
        <v>1.89944720645092E-3</v>
      </c>
      <c r="AJ151" s="94">
        <f>IF(INDEX(lmic_raw_lb[],MATCH($A151,lmic_raw_lb[[setting]:[setting]],0), MATCH(AJ$139, lmic_raw_lb[#Headers],0))=0, INDEX(regions_lb[], MATCH($D151, regions_lb[[setting]:[setting]],0), MATCH(AJ$139, regions_lb[#Headers],0)),INDEX(lmic_raw_lb[],MATCH($A151,lmic_raw_lb[[setting]:[setting]],0), MATCH(AJ$139, lmic_raw_lb[#Headers],0)))</f>
        <v>2.7530877717457628E-3</v>
      </c>
      <c r="AK151" s="94">
        <f>IF(INDEX(lmic_raw_lb[],MATCH($A151,lmic_raw_lb[[setting]:[setting]],0), MATCH(AK$139, lmic_raw_lb[#Headers],0))=0, INDEX(regions_lb[], MATCH($D151, regions_lb[[setting]:[setting]],0), MATCH(AK$139, regions_lb[#Headers],0)),INDEX(lmic_raw_lb[],MATCH($A151,lmic_raw_lb[[setting]:[setting]],0), MATCH(AK$139, lmic_raw_lb[#Headers],0)))</f>
        <v>3.7432510005914518E-3</v>
      </c>
      <c r="AL151" s="94">
        <f>IF(INDEX(lmic_raw_lb[],MATCH($A151,lmic_raw_lb[[setting]:[setting]],0), MATCH(AL$139, lmic_raw_lb[#Headers],0))=0, INDEX(regions_lb[], MATCH($D151, regions_lb[[setting]:[setting]],0), MATCH(AL$139, regions_lb[#Headers],0)),INDEX(lmic_raw_lb[],MATCH($A151,lmic_raw_lb[[setting]:[setting]],0), MATCH(AL$139, lmic_raw_lb[#Headers],0)))</f>
        <v>4.8946918510709148E-3</v>
      </c>
      <c r="AM151" s="94">
        <f>IF(INDEX(lmic_raw_lb[],MATCH($A151,lmic_raw_lb[[setting]:[setting]],0), MATCH(AM$139, lmic_raw_lb[#Headers],0))=0, INDEX(regions_lb[], MATCH($D151, regions_lb[[setting]:[setting]],0), MATCH(AM$139, regions_lb[#Headers],0)),INDEX(lmic_raw_lb[],MATCH($A151,lmic_raw_lb[[setting]:[setting]],0), MATCH(AM$139, lmic_raw_lb[#Headers],0)))</f>
        <v>6.3547087757053321E-3</v>
      </c>
      <c r="AN151" s="94">
        <f>IF(INDEX(lmic_raw_lb[],MATCH($A151,lmic_raw_lb[[setting]:[setting]],0), MATCH(AN$139, lmic_raw_lb[#Headers],0))=0, INDEX(regions_lb[], MATCH($D151, regions_lb[[setting]:[setting]],0), MATCH(AN$139, regions_lb[#Headers],0)),INDEX(lmic_raw_lb[],MATCH($A151,lmic_raw_lb[[setting]:[setting]],0), MATCH(AN$139, lmic_raw_lb[#Headers],0)))</f>
        <v>8.3566542175876161E-3</v>
      </c>
      <c r="AO151" s="94">
        <f>IF(INDEX(lmic_raw_lb[],MATCH($A151,lmic_raw_lb[[setting]:[setting]],0), MATCH(AO$139, lmic_raw_lb[#Headers],0))=0, INDEX(regions_lb[], MATCH($D151, regions_lb[[setting]:[setting]],0), MATCH(AO$139, regions_lb[#Headers],0)),INDEX(lmic_raw_lb[],MATCH($A151,lmic_raw_lb[[setting]:[setting]],0), MATCH(AO$139, lmic_raw_lb[#Headers],0)))</f>
        <v>1.13186137785497E-2</v>
      </c>
      <c r="AP151" s="94">
        <f>IF(INDEX(lmic_raw_lb[],MATCH($A151,lmic_raw_lb[[setting]:[setting]],0), MATCH(AP$139, lmic_raw_lb[#Headers],0))=0, INDEX(regions_lb[], MATCH($D151, regions_lb[[setting]:[setting]],0), MATCH(AP$139, regions_lb[#Headers],0)),INDEX(lmic_raw_lb[],MATCH($A151,lmic_raw_lb[[setting]:[setting]],0), MATCH(AP$139, lmic_raw_lb[#Headers],0)))</f>
        <v>1.5188009821042469E-2</v>
      </c>
      <c r="AQ151" s="94">
        <f>IF(INDEX(lmic_raw_lb[],MATCH($A151,lmic_raw_lb[[setting]:[setting]],0), MATCH(AQ$139, lmic_raw_lb[#Headers],0))=0, INDEX(regions_lb[], MATCH($D151, regions_lb[[setting]:[setting]],0), MATCH(AQ$139, regions_lb[#Headers],0)),INDEX(lmic_raw_lb[],MATCH($A151,lmic_raw_lb[[setting]:[setting]],0), MATCH(AQ$139, lmic_raw_lb[#Headers],0)))</f>
        <v>2.1252733815658474E-2</v>
      </c>
      <c r="AR151" s="94">
        <f>IF(INDEX(lmic_raw_lb[],MATCH($A151,lmic_raw_lb[[setting]:[setting]],0), MATCH(AR$139, lmic_raw_lb[#Headers],0))=0, INDEX(regions_lb[], MATCH($D151, regions_lb[[setting]:[setting]],0), MATCH(AR$139, regions_lb[#Headers],0)),INDEX(lmic_raw_lb[],MATCH($A151,lmic_raw_lb[[setting]:[setting]],0), MATCH(AR$139, lmic_raw_lb[#Headers],0)))</f>
        <v>3.0081514124853288E-2</v>
      </c>
      <c r="AS151" s="94">
        <f>IF(INDEX(lmic_raw_lb[],MATCH($A151,lmic_raw_lb[[setting]:[setting]],0), MATCH(AS$139, lmic_raw_lb[#Headers],0))=0, INDEX(regions_lb[], MATCH($D151, regions_lb[[setting]:[setting]],0), MATCH(AS$139, regions_lb[#Headers],0)),INDEX(lmic_raw_lb[],MATCH($A151,lmic_raw_lb[[setting]:[setting]],0), MATCH(AS$139, lmic_raw_lb[#Headers],0)))</f>
        <v>4.2963623201066663E-2</v>
      </c>
      <c r="AT151" s="94">
        <f>IF(INDEX(lmic_raw_lb[],MATCH($A151,lmic_raw_lb[[setting]:[setting]],0), MATCH(AT$139, lmic_raw_lb[#Headers],0))=0, INDEX(regions_lb[], MATCH($D151, regions_lb[[setting]:[setting]],0), MATCH(AT$139, regions_lb[#Headers],0)),INDEX(lmic_raw_lb[],MATCH($A151,lmic_raw_lb[[setting]:[setting]],0), MATCH(AT$139, lmic_raw_lb[#Headers],0)))</f>
        <v>6.0659566605135246E-2</v>
      </c>
      <c r="AU151" s="94">
        <f>IF(INDEX(lmic_raw_lb[],MATCH($A151,lmic_raw_lb[[setting]:[setting]],0), MATCH(AU$139, lmic_raw_lb[#Headers],0))=0, INDEX(regions_lb[], MATCH($D151, regions_lb[[setting]:[setting]],0), MATCH(AU$139, regions_lb[#Headers],0)),INDEX(lmic_raw_lb[],MATCH($A151,lmic_raw_lb[[setting]:[setting]],0), MATCH(AU$139, lmic_raw_lb[#Headers],0)))</f>
        <v>7.9931113413177046E-2</v>
      </c>
      <c r="AV151" s="94">
        <f>IF(INDEX(lmic_raw_lb[],MATCH($A151,lmic_raw_lb[[setting]:[setting]],0), MATCH(AV$139, lmic_raw_lb[#Headers],0))=0, INDEX(regions_lb[], MATCH($D151, regions_lb[[setting]:[setting]],0), MATCH(AV$139, regions_lb[#Headers],0)),INDEX(lmic_raw_lb[],MATCH($A151,lmic_raw_lb[[setting]:[setting]],0), MATCH(AV$139, lmic_raw_lb[#Headers],0)))</f>
        <v>0.10219321371818435</v>
      </c>
      <c r="AW151" s="94">
        <f>IF(INDEX(lmic_raw_lb[],MATCH($A151,lmic_raw_lb[[setting]:[setting]],0), MATCH(AW$139, lmic_raw_lb[#Headers],0))=0, INDEX(regions_lb[], MATCH($D151, regions_lb[[setting]:[setting]],0), MATCH(AW$139, regions_lb[#Headers],0)),INDEX(lmic_raw_lb[],MATCH($A151,lmic_raw_lb[[setting]:[setting]],0), MATCH(AW$139, lmic_raw_lb[#Headers],0)))</f>
        <v>0.12395490066379476</v>
      </c>
      <c r="AX151" s="94">
        <f>IF(INDEX(lmic_raw_lb[],MATCH($A151,lmic_raw_lb[[setting]:[setting]],0), MATCH(AX$139, lmic_raw_lb[#Headers],0))=0, INDEX(regions_lb[], MATCH($D151, regions_lb[[setting]:[setting]],0), MATCH(AX$139, regions_lb[#Headers],0)),INDEX(lmic_raw_lb[],MATCH($A151,lmic_raw_lb[[setting]:[setting]],0), MATCH(AX$139, lmic_raw_lb[#Headers],0)))</f>
        <v>67.718850000000003</v>
      </c>
      <c r="AY151" s="94" t="str">
        <f>IF(VLOOKUP(lmics_lb[[#This Row],[setting]],lmic_raw_lb[],11,FALSE)=0, "Yes", "No")</f>
        <v>No</v>
      </c>
    </row>
    <row r="152" spans="1:51" x14ac:dyDescent="0.25">
      <c r="A152" s="82" t="s">
        <v>263</v>
      </c>
      <c r="B152" s="101" t="s">
        <v>385</v>
      </c>
      <c r="C152" s="102">
        <v>68</v>
      </c>
      <c r="D152" s="82" t="s">
        <v>679</v>
      </c>
      <c r="E152" s="121" t="s">
        <v>593</v>
      </c>
      <c r="F152" s="98" t="s">
        <v>665</v>
      </c>
      <c r="G152" s="98" t="s">
        <v>678</v>
      </c>
      <c r="H152" s="98"/>
      <c r="I152" s="98"/>
      <c r="J152" s="98">
        <f>IF(INDEX(lmic_raw_lb[],MATCH($A152,lmic_raw_lb[[setting]:[setting]],0), MATCH(J$139, lmic_raw_lb[#Headers],0))=0, INDEX(regions_lb[], MATCH($D152, regions_lb[[setting]:[setting]],0), MATCH(J$139, regions_lb[#Headers],0)),INDEX(lmic_raw_lb[],MATCH($A152,lmic_raw_lb[[setting]:[setting]],0), MATCH(J$139, lmic_raw_lb[#Headers],0)))</f>
        <v>0.83314999999999995</v>
      </c>
      <c r="K152" s="98">
        <f>IF(INDEX(lmic_raw_lb[],MATCH($A152,lmic_raw_lb[[setting]:[setting]],0), MATCH(K$139, lmic_raw_lb[#Headers],0))=0, INDEX(regions_lb[], MATCH($D152, regions_lb[[setting]:[setting]],0), MATCH(K$139, regions_lb[#Headers],0)),INDEX(lmic_raw_lb[],MATCH($A152,lmic_raw_lb[[setting]:[setting]],0), MATCH(K$139, lmic_raw_lb[#Headers],0)))</f>
        <v>0.70839362529601158</v>
      </c>
      <c r="L152" s="98">
        <f>IF(INDEX(lmic_raw_lb[],MATCH($A152,lmic_raw_lb[[setting]:[setting]],0), MATCH(L$139, lmic_raw_lb[#Headers],0))=0, INDEX(regions_lb[], MATCH($D152, regions_lb[[setting]:[setting]],0), MATCH(L$139, regions_lb[#Headers],0)),INDEX(lmic_raw_lb[],MATCH($A152,lmic_raw_lb[[setting]:[setting]],0), MATCH(L$139, lmic_raw_lb[#Headers],0)))</f>
        <v>0.71249999999999991</v>
      </c>
      <c r="M152" s="98">
        <f>IF(INDEX(lmic_raw_lb[],MATCH($A152,lmic_raw_lb[[setting]:[setting]],0), MATCH(M$139, lmic_raw_lb[#Headers],0))=0, INDEX(regions_lb[], MATCH($D152, regions_lb[[setting]:[setting]],0), MATCH(M$139, regions_lb[#Headers],0)),INDEX(lmic_raw_lb[],MATCH($A152,lmic_raw_lb[[setting]:[setting]],0), MATCH(M$139, lmic_raw_lb[#Headers],0)))</f>
        <v>2.3E-3</v>
      </c>
      <c r="N152" s="98">
        <f>IF(INDEX(lmic_raw_lb[],MATCH($A152,lmic_raw_lb[[setting]:[setting]],0), MATCH(N$139, lmic_raw_lb[#Headers],0))=0, INDEX(regions_lb[], MATCH($D152, regions_lb[[setting]:[setting]],0), MATCH(N$139, regions_lb[#Headers],0)),INDEX(lmic_raw_lb[],MATCH($A152,lmic_raw_lb[[setting]:[setting]],0), MATCH(N$139, lmic_raw_lb[#Headers],0)))</f>
        <v>0.16269999999999998</v>
      </c>
      <c r="O152" s="98">
        <f>IF(INDEX(lmic_raw_lb[],MATCH($A152,lmic_raw_lb[[setting]:[setting]],0), MATCH(O$139, lmic_raw_lb[#Headers],0))=0, INDEX(regions_lb[], MATCH($D152, regions_lb[[setting]:[setting]],0), MATCH(O$139, regions_lb[#Headers],0)),INDEX(lmic_raw_lb[],MATCH($A152,lmic_raw_lb[[setting]:[setting]],0), MATCH(O$139, lmic_raw_lb[#Headers],0)))</f>
        <v>0.7</v>
      </c>
      <c r="P152" s="98">
        <f>IF(INDEX(lmic_raw_lb[],MATCH($A152,lmic_raw_lb[[setting]:[setting]],0), MATCH(P$139, lmic_raw_lb[#Headers],0))=0, INDEX(regions_lb[], MATCH($D152, regions_lb[[setting]:[setting]],0), MATCH(P$139, regions_lb[#Headers],0)),INDEX(lmic_raw_lb[],MATCH($A152,lmic_raw_lb[[setting]:[setting]],0), MATCH(P$139, lmic_raw_lb[#Headers],0)))</f>
        <v>0.05</v>
      </c>
      <c r="Q152" s="98">
        <f>IF(INDEX(lmic_raw_lb[],MATCH($A152,lmic_raw_lb[[setting]:[setting]],0), MATCH(Q$139, lmic_raw_lb[#Headers],0))=0, INDEX(regions_lb[], MATCH($D152, regions_lb[[setting]:[setting]],0), MATCH(Q$139, regions_lb[#Headers],0)),INDEX(lmic_raw_lb[],MATCH($A152,lmic_raw_lb[[setting]:[setting]],0), MATCH(Q$139, lmic_raw_lb[#Headers],0)))</f>
        <v>4.7804705480590002</v>
      </c>
      <c r="R152" s="98">
        <f>IF(INDEX(lmic_raw_lb[],MATCH($A152,lmic_raw_lb[[setting]:[setting]],0), MATCH(R$139, lmic_raw_lb[#Headers],0))=0, INDEX(regions_lb[], MATCH($D152, regions_lb[[setting]:[setting]],0), MATCH(R$139, regions_lb[#Headers],0)),INDEX(lmic_raw_lb[],MATCH($A152,lmic_raw_lb[[setting]:[setting]],0), MATCH(R$139, lmic_raw_lb[#Headers],0)))</f>
        <v>82.539704999999998</v>
      </c>
      <c r="S152" s="98">
        <f>IF(INDEX(lmic_raw_lb[],MATCH($A152,lmic_raw_lb[[setting]:[setting]],0), MATCH(S$139, lmic_raw_lb[#Headers],0))=0, INDEX(regions_lb[], MATCH($D152, regions_lb[[setting]:[setting]],0), MATCH(S$139, regions_lb[#Headers],0)),INDEX(lmic_raw_lb[],MATCH($A152,lmic_raw_lb[[setting]:[setting]],0), MATCH(S$139, lmic_raw_lb[#Headers],0)))</f>
        <v>127.894605</v>
      </c>
      <c r="T152" s="98">
        <f>IF(INDEX(lmic_raw_lb[],MATCH($A152,lmic_raw_lb[[setting]:[setting]],0), MATCH(T$139, lmic_raw_lb[#Headers],0))=0, INDEX(regions_lb[], MATCH($D152, regions_lb[[setting]:[setting]],0), MATCH(T$139, regions_lb[#Headers],0)),INDEX(lmic_raw_lb[],MATCH($A152,lmic_raw_lb[[setting]:[setting]],0), MATCH(T$139, lmic_raw_lb[#Headers],0)))</f>
        <v>127.894605</v>
      </c>
      <c r="U152" s="98">
        <f>IF(INDEX(lmic_raw_lb[],MATCH($A152,lmic_raw_lb[[setting]:[setting]],0), MATCH(U$139, lmic_raw_lb[#Headers],0))=0, INDEX(regions_lb[], MATCH($D152, regions_lb[[setting]:[setting]],0), MATCH(U$139, regions_lb[#Headers],0)),INDEX(lmic_raw_lb[],MATCH($A152,lmic_raw_lb[[setting]:[setting]],0), MATCH(U$139, lmic_raw_lb[#Headers],0)))</f>
        <v>127.894605</v>
      </c>
      <c r="V152" s="98">
        <f>IF(INDEX(lmic_raw_lb[],MATCH($A152,lmic_raw_lb[[setting]:[setting]],0), MATCH(V$139, lmic_raw_lb[#Headers],0))=0, INDEX(regions_lb[], MATCH($D152, regions_lb[[setting]:[setting]],0), MATCH(V$139, regions_lb[#Headers],0)),INDEX(lmic_raw_lb[],MATCH($A152,lmic_raw_lb[[setting]:[setting]],0), MATCH(V$139, lmic_raw_lb[#Headers],0)))</f>
        <v>1.4137086089029822</v>
      </c>
      <c r="W152" s="98">
        <f>IF(INDEX(lmic_raw_lb[],MATCH($A152,lmic_raw_lb[[setting]:[setting]],0), MATCH(W$139, lmic_raw_lb[#Headers],0))=0, INDEX(regions_lb[], MATCH($D152, regions_lb[[setting]:[setting]],0), MATCH(W$139, regions_lb[#Headers],0)),INDEX(lmic_raw_lb[],MATCH($A152,lmic_raw_lb[[setting]:[setting]],0), MATCH(W$139, lmic_raw_lb[#Headers],0)))</f>
        <v>1.4344186089029822</v>
      </c>
      <c r="X152" s="98">
        <f>IF(INDEX(lmic_raw_lb[],MATCH($A152,lmic_raw_lb[[setting]:[setting]],0), MATCH(X$139, lmic_raw_lb[#Headers],0))=0, INDEX(regions_lb[], MATCH($D152, regions_lb[[setting]:[setting]],0), MATCH(X$139, regions_lb[#Headers],0)),INDEX(lmic_raw_lb[],MATCH($A152,lmic_raw_lb[[setting]:[setting]],0), MATCH(X$139, lmic_raw_lb[#Headers],0)))</f>
        <v>1.0427568328093144</v>
      </c>
      <c r="Y152" s="98">
        <f>IF(INDEX(lmic_raw_lb[],MATCH($A152,lmic_raw_lb[[setting]:[setting]],0), MATCH(Y$139, lmic_raw_lb[#Headers],0))=0, INDEX(regions_lb[], MATCH($D152, regions_lb[[setting]:[setting]],0), MATCH(Y$139, regions_lb[#Headers],0)),INDEX(lmic_raw_lb[],MATCH($A152,lmic_raw_lb[[setting]:[setting]],0), MATCH(Y$139, lmic_raw_lb[#Headers],0)))</f>
        <v>1.0634668328093144</v>
      </c>
      <c r="Z152" s="98">
        <f>IF(INDEX(lmic_raw_lb[],MATCH($A152,lmic_raw_lb[[setting]:[setting]],0), MATCH(Z$139, lmic_raw_lb[#Headers],0))=0, INDEX(regions_lb[], MATCH($D152, regions_lb[[setting]:[setting]],0), MATCH(Z$139, regions_lb[#Headers],0)),INDEX(lmic_raw_lb[],MATCH($A152,lmic_raw_lb[[setting]:[setting]],0), MATCH(Z$139, lmic_raw_lb[#Headers],0)))</f>
        <v>1.0572879051115984</v>
      </c>
      <c r="AA152" s="98">
        <f>IF(INDEX(lmic_raw_lb[],MATCH($A152,lmic_raw_lb[[setting]:[setting]],0), MATCH(AA$139, lmic_raw_lb[#Headers],0))=0, INDEX(regions_lb[], MATCH($D152, regions_lb[[setting]:[setting]],0), MATCH(AA$139, regions_lb[#Headers],0)),INDEX(lmic_raw_lb[],MATCH($A152,lmic_raw_lb[[setting]:[setting]],0), MATCH(AA$139, lmic_raw_lb[#Headers],0)))</f>
        <v>1.6273294731787664</v>
      </c>
      <c r="AB152" s="98">
        <f>IF(INDEX(lmic_raw_lb[],MATCH($A152,lmic_raw_lb[[setting]:[setting]],0), MATCH(AB$139, lmic_raw_lb[#Headers],0))=0, INDEX(regions_lb[], MATCH($D152, regions_lb[[setting]:[setting]],0), MATCH(AB$139, regions_lb[#Headers],0)),INDEX(lmic_raw_lb[],MATCH($A152,lmic_raw_lb[[setting]:[setting]],0), MATCH(AB$139, lmic_raw_lb[#Headers],0)))</f>
        <v>1.6480394731787664</v>
      </c>
      <c r="AC152" s="98">
        <f>IF(INDEX(lmic_raw_lb[],MATCH($A152,lmic_raw_lb[[setting]:[setting]],0), MATCH(AC$139, lmic_raw_lb[#Headers],0))=0, INDEX(regions_lb[], MATCH($D152, regions_lb[[setting]:[setting]],0), MATCH(AC$139, regions_lb[#Headers],0)),INDEX(lmic_raw_lb[],MATCH($A152,lmic_raw_lb[[setting]:[setting]],0), MATCH(AC$139, lmic_raw_lb[#Headers],0)))</f>
        <v>2.822364500000003E-2</v>
      </c>
      <c r="AD152" s="98">
        <f>IF(INDEX(lmic_raw_lb[],MATCH($A152,lmic_raw_lb[[setting]:[setting]],0), MATCH(AD$139, lmic_raw_lb[#Headers],0))=0, INDEX(regions_lb[], MATCH($D152, regions_lb[[setting]:[setting]],0), MATCH(AD$139, regions_lb[#Headers],0)),INDEX(lmic_raw_lb[],MATCH($A152,lmic_raw_lb[[setting]:[setting]],0), MATCH(AD$139, lmic_raw_lb[#Headers],0)))</f>
        <v>4.6523340319897799E-3</v>
      </c>
      <c r="AE152" s="98">
        <f>IF(INDEX(lmic_raw_lb[],MATCH($A152,lmic_raw_lb[[setting]:[setting]],0), MATCH(AE$139, lmic_raw_lb[#Headers],0))=0, INDEX(regions_lb[], MATCH($D152, regions_lb[[setting]:[setting]],0), MATCH(AE$139, regions_lb[#Headers],0)),INDEX(lmic_raw_lb[],MATCH($A152,lmic_raw_lb[[setting]:[setting]],0), MATCH(AE$139, lmic_raw_lb[#Headers],0)))</f>
        <v>1.2984788802680354E-3</v>
      </c>
      <c r="AF152" s="98">
        <f>IF(INDEX(lmic_raw_lb[],MATCH($A152,lmic_raw_lb[[setting]:[setting]],0), MATCH(AF$139, lmic_raw_lb[#Headers],0))=0, INDEX(regions_lb[], MATCH($D152, regions_lb[[setting]:[setting]],0), MATCH(AF$139, regions_lb[#Headers],0)),INDEX(lmic_raw_lb[],MATCH($A152,lmic_raw_lb[[setting]:[setting]],0), MATCH(AF$139, lmic_raw_lb[#Headers],0)))</f>
        <v>7.6137923831222918E-4</v>
      </c>
      <c r="AG152" s="98">
        <f>IF(INDEX(lmic_raw_lb[],MATCH($A152,lmic_raw_lb[[setting]:[setting]],0), MATCH(AG$139, lmic_raw_lb[#Headers],0))=0, INDEX(regions_lb[], MATCH($D152, regions_lb[[setting]:[setting]],0), MATCH(AG$139, regions_lb[#Headers],0)),INDEX(lmic_raw_lb[],MATCH($A152,lmic_raw_lb[[setting]:[setting]],0), MATCH(AG$139, lmic_raw_lb[#Headers],0)))</f>
        <v>1.510775492115564E-3</v>
      </c>
      <c r="AH152" s="98">
        <f>IF(INDEX(lmic_raw_lb[],MATCH($A152,lmic_raw_lb[[setting]:[setting]],0), MATCH(AH$139, lmic_raw_lb[#Headers],0))=0, INDEX(regions_lb[], MATCH($D152, regions_lb[[setting]:[setting]],0), MATCH(AH$139, regions_lb[#Headers],0)),INDEX(lmic_raw_lb[],MATCH($A152,lmic_raw_lb[[setting]:[setting]],0), MATCH(AH$139, lmic_raw_lb[#Headers],0)))</f>
        <v>2.1058752758285849E-3</v>
      </c>
      <c r="AI152" s="98">
        <f>IF(INDEX(lmic_raw_lb[],MATCH($A152,lmic_raw_lb[[setting]:[setting]],0), MATCH(AI$139, lmic_raw_lb[#Headers],0))=0, INDEX(regions_lb[], MATCH($D152, regions_lb[[setting]:[setting]],0), MATCH(AI$139, regions_lb[#Headers],0)),INDEX(lmic_raw_lb[],MATCH($A152,lmic_raw_lb[[setting]:[setting]],0), MATCH(AI$139, lmic_raw_lb[#Headers],0)))</f>
        <v>2.2617843612816831E-3</v>
      </c>
      <c r="AJ152" s="98">
        <f>IF(INDEX(lmic_raw_lb[],MATCH($A152,lmic_raw_lb[[setting]:[setting]],0), MATCH(AJ$139, lmic_raw_lb[#Headers],0))=0, INDEX(regions_lb[], MATCH($D152, regions_lb[[setting]:[setting]],0), MATCH(AJ$139, regions_lb[#Headers],0)),INDEX(lmic_raw_lb[],MATCH($A152,lmic_raw_lb[[setting]:[setting]],0), MATCH(AJ$139, lmic_raw_lb[#Headers],0)))</f>
        <v>2.566678974565118E-3</v>
      </c>
      <c r="AK152" s="98">
        <f>IF(INDEX(lmic_raw_lb[],MATCH($A152,lmic_raw_lb[[setting]:[setting]],0), MATCH(AK$139, lmic_raw_lb[#Headers],0))=0, INDEX(regions_lb[], MATCH($D152, regions_lb[[setting]:[setting]],0), MATCH(AK$139, regions_lb[#Headers],0)),INDEX(lmic_raw_lb[],MATCH($A152,lmic_raw_lb[[setting]:[setting]],0), MATCH(AK$139, lmic_raw_lb[#Headers],0)))</f>
        <v>3.2348115698511751E-3</v>
      </c>
      <c r="AL152" s="98">
        <f>IF(INDEX(lmic_raw_lb[],MATCH($A152,lmic_raw_lb[[setting]:[setting]],0), MATCH(AL$139, lmic_raw_lb[#Headers],0))=0, INDEX(regions_lb[], MATCH($D152, regions_lb[[setting]:[setting]],0), MATCH(AL$139, regions_lb[#Headers],0)),INDEX(lmic_raw_lb[],MATCH($A152,lmic_raw_lb[[setting]:[setting]],0), MATCH(AL$139, lmic_raw_lb[#Headers],0)))</f>
        <v>3.8212153029534243E-3</v>
      </c>
      <c r="AM152" s="98">
        <f>IF(INDEX(lmic_raw_lb[],MATCH($A152,lmic_raw_lb[[setting]:[setting]],0), MATCH(AM$139, lmic_raw_lb[#Headers],0))=0, INDEX(regions_lb[], MATCH($D152, regions_lb[[setting]:[setting]],0), MATCH(AM$139, regions_lb[#Headers],0)),INDEX(lmic_raw_lb[],MATCH($A152,lmic_raw_lb[[setting]:[setting]],0), MATCH(AM$139, lmic_raw_lb[#Headers],0)))</f>
        <v>5.1735227722607387E-3</v>
      </c>
      <c r="AN152" s="98">
        <f>IF(INDEX(lmic_raw_lb[],MATCH($A152,lmic_raw_lb[[setting]:[setting]],0), MATCH(AN$139, lmic_raw_lb[#Headers],0))=0, INDEX(regions_lb[], MATCH($D152, regions_lb[[setting]:[setting]],0), MATCH(AN$139, regions_lb[#Headers],0)),INDEX(lmic_raw_lb[],MATCH($A152,lmic_raw_lb[[setting]:[setting]],0), MATCH(AN$139, lmic_raw_lb[#Headers],0)))</f>
        <v>6.9977071216973576E-3</v>
      </c>
      <c r="AO152" s="98">
        <f>IF(INDEX(lmic_raw_lb[],MATCH($A152,lmic_raw_lb[[setting]:[setting]],0), MATCH(AO$139, lmic_raw_lb[#Headers],0))=0, INDEX(regions_lb[], MATCH($D152, regions_lb[[setting]:[setting]],0), MATCH(AO$139, regions_lb[#Headers],0)),INDEX(lmic_raw_lb[],MATCH($A152,lmic_raw_lb[[setting]:[setting]],0), MATCH(AO$139, lmic_raw_lb[#Headers],0)))</f>
        <v>9.8277476820648815E-3</v>
      </c>
      <c r="AP152" s="98">
        <f>IF(INDEX(lmic_raw_lb[],MATCH($A152,lmic_raw_lb[[setting]:[setting]],0), MATCH(AP$139, lmic_raw_lb[#Headers],0))=0, INDEX(regions_lb[], MATCH($D152, regions_lb[[setting]:[setting]],0), MATCH(AP$139, regions_lb[#Headers],0)),INDEX(lmic_raw_lb[],MATCH($A152,lmic_raw_lb[[setting]:[setting]],0), MATCH(AP$139, lmic_raw_lb[#Headers],0)))</f>
        <v>1.4509784440702255E-2</v>
      </c>
      <c r="AQ152" s="98">
        <f>IF(INDEX(lmic_raw_lb[],MATCH($A152,lmic_raw_lb[[setting]:[setting]],0), MATCH(AQ$139, lmic_raw_lb[#Headers],0))=0, INDEX(regions_lb[], MATCH($D152, regions_lb[[setting]:[setting]],0), MATCH(AQ$139, regions_lb[#Headers],0)),INDEX(lmic_raw_lb[],MATCH($A152,lmic_raw_lb[[setting]:[setting]],0), MATCH(AQ$139, lmic_raw_lb[#Headers],0)))</f>
        <v>1.9208894688906842E-2</v>
      </c>
      <c r="AR152" s="98">
        <f>IF(INDEX(lmic_raw_lb[],MATCH($A152,lmic_raw_lb[[setting]:[setting]],0), MATCH(AR$139, lmic_raw_lb[#Headers],0))=0, INDEX(regions_lb[], MATCH($D152, regions_lb[[setting]:[setting]],0), MATCH(AR$139, regions_lb[#Headers],0)),INDEX(lmic_raw_lb[],MATCH($A152,lmic_raw_lb[[setting]:[setting]],0), MATCH(AR$139, lmic_raw_lb[#Headers],0)))</f>
        <v>2.4915136708573014E-2</v>
      </c>
      <c r="AS152" s="98">
        <f>IF(INDEX(lmic_raw_lb[],MATCH($A152,lmic_raw_lb[[setting]:[setting]],0), MATCH(AS$139, lmic_raw_lb[#Headers],0))=0, INDEX(regions_lb[], MATCH($D152, regions_lb[[setting]:[setting]],0), MATCH(AS$139, regions_lb[#Headers],0)),INDEX(lmic_raw_lb[],MATCH($A152,lmic_raw_lb[[setting]:[setting]],0), MATCH(AS$139, lmic_raw_lb[#Headers],0)))</f>
        <v>3.5822532833163494E-2</v>
      </c>
      <c r="AT152" s="98">
        <f>IF(INDEX(lmic_raw_lb[],MATCH($A152,lmic_raw_lb[[setting]:[setting]],0), MATCH(AT$139, lmic_raw_lb[#Headers],0))=0, INDEX(regions_lb[], MATCH($D152, regions_lb[[setting]:[setting]],0), MATCH(AT$139, regions_lb[#Headers],0)),INDEX(lmic_raw_lb[],MATCH($A152,lmic_raw_lb[[setting]:[setting]],0), MATCH(AT$139, lmic_raw_lb[#Headers],0)))</f>
        <v>5.0745047387093636E-2</v>
      </c>
      <c r="AU152" s="98">
        <f>IF(INDEX(lmic_raw_lb[],MATCH($A152,lmic_raw_lb[[setting]:[setting]],0), MATCH(AU$139, lmic_raw_lb[#Headers],0))=0, INDEX(regions_lb[], MATCH($D152, regions_lb[[setting]:[setting]],0), MATCH(AU$139, regions_lb[#Headers],0)),INDEX(lmic_raw_lb[],MATCH($A152,lmic_raw_lb[[setting]:[setting]],0), MATCH(AU$139, lmic_raw_lb[#Headers],0)))</f>
        <v>7.1305994384417842E-2</v>
      </c>
      <c r="AV152" s="98">
        <f>IF(INDEX(lmic_raw_lb[],MATCH($A152,lmic_raw_lb[[setting]:[setting]],0), MATCH(AV$139, lmic_raw_lb[#Headers],0))=0, INDEX(regions_lb[], MATCH($D152, regions_lb[[setting]:[setting]],0), MATCH(AV$139, regions_lb[#Headers],0)),INDEX(lmic_raw_lb[],MATCH($A152,lmic_raw_lb[[setting]:[setting]],0), MATCH(AV$139, lmic_raw_lb[#Headers],0)))</f>
        <v>9.5117117597254788E-2</v>
      </c>
      <c r="AW152" s="98">
        <f>IF(INDEX(lmic_raw_lb[],MATCH($A152,lmic_raw_lb[[setting]:[setting]],0), MATCH(AW$139, lmic_raw_lb[#Headers],0))=0, INDEX(regions_lb[], MATCH($D152, regions_lb[[setting]:[setting]],0), MATCH(AW$139, regions_lb[#Headers],0)),INDEX(lmic_raw_lb[],MATCH($A152,lmic_raw_lb[[setting]:[setting]],0), MATCH(AW$139, lmic_raw_lb[#Headers],0)))</f>
        <v>0.11828160760404921</v>
      </c>
      <c r="AX152" s="98">
        <f>IF(INDEX(lmic_raw_lb[],MATCH($A152,lmic_raw_lb[[setting]:[setting]],0), MATCH(AX$139, lmic_raw_lb[#Headers],0))=0, INDEX(regions_lb[], MATCH($D152, regions_lb[[setting]:[setting]],0), MATCH(AX$139, regions_lb[#Headers],0)),INDEX(lmic_raw_lb[],MATCH($A152,lmic_raw_lb[[setting]:[setting]],0), MATCH(AX$139, lmic_raw_lb[#Headers],0)))</f>
        <v>67.527899999999988</v>
      </c>
      <c r="AY152" s="98" t="str">
        <f>IF(VLOOKUP(lmics_lb[[#This Row],[setting]],lmic_raw_lb[],11,FALSE)=0, "Yes", "No")</f>
        <v>Yes</v>
      </c>
    </row>
    <row r="153" spans="1:51" x14ac:dyDescent="0.25">
      <c r="A153" s="110" t="s">
        <v>334</v>
      </c>
      <c r="B153" s="104" t="s">
        <v>386</v>
      </c>
      <c r="C153" s="105">
        <v>70</v>
      </c>
      <c r="D153" s="84" t="s">
        <v>675</v>
      </c>
      <c r="E153" s="122" t="s">
        <v>580</v>
      </c>
      <c r="F153" s="94" t="s">
        <v>663</v>
      </c>
      <c r="G153" s="94" t="s">
        <v>676</v>
      </c>
      <c r="H153" s="94"/>
      <c r="I153" s="94"/>
      <c r="J153" s="94">
        <f>IF(INDEX(lmic_raw_lb[],MATCH($A153,lmic_raw_lb[[setting]:[setting]],0), MATCH(J$139, lmic_raw_lb[#Headers],0))=0, INDEX(regions_lb[], MATCH($D153, regions_lb[[setting]:[setting]],0), MATCH(J$139, regions_lb[#Headers],0)),INDEX(lmic_raw_lb[],MATCH($A153,lmic_raw_lb[[setting]:[setting]],0), MATCH(J$139, lmic_raw_lb[#Headers],0)))</f>
        <v>0.94714999999999994</v>
      </c>
      <c r="K153" s="94">
        <f>IF(INDEX(lmic_raw_lb[],MATCH($A153,lmic_raw_lb[[setting]:[setting]],0), MATCH(K$139, lmic_raw_lb[#Headers],0))=0, INDEX(regions_lb[], MATCH($D153, regions_lb[[setting]:[setting]],0), MATCH(K$139, regions_lb[#Headers],0)),INDEX(lmic_raw_lb[],MATCH($A153,lmic_raw_lb[[setting]:[setting]],0), MATCH(K$139, lmic_raw_lb[#Headers],0)))</f>
        <v>0.89520609099924997</v>
      </c>
      <c r="L153" s="94">
        <f>IF(INDEX(lmic_raw_lb[],MATCH($A153,lmic_raw_lb[[setting]:[setting]],0), MATCH(L$139, lmic_raw_lb[#Headers],0))=0, INDEX(regions_lb[], MATCH($D153, regions_lb[[setting]:[setting]],0), MATCH(L$139, regions_lb[#Headers],0)),INDEX(lmic_raw_lb[],MATCH($A153,lmic_raw_lb[[setting]:[setting]],0), MATCH(L$139, lmic_raw_lb[#Headers],0)))</f>
        <v>0.76</v>
      </c>
      <c r="M153" s="94">
        <f>IF(INDEX(lmic_raw_lb[],MATCH($A153,lmic_raw_lb[[setting]:[setting]],0), MATCH(M$139, lmic_raw_lb[#Headers],0))=0, INDEX(regions_lb[], MATCH($D153, regions_lb[[setting]:[setting]],0), MATCH(M$139, regions_lb[#Headers],0)),INDEX(lmic_raw_lb[],MATCH($A153,lmic_raw_lb[[setting]:[setting]],0), MATCH(M$139, lmic_raw_lb[#Headers],0)))</f>
        <v>2.3E-3</v>
      </c>
      <c r="N153" s="94">
        <f>IF(INDEX(lmic_raw_lb[],MATCH($A153,lmic_raw_lb[[setting]:[setting]],0), MATCH(N$139, lmic_raw_lb[#Headers],0))=0, INDEX(regions_lb[], MATCH($D153, regions_lb[[setting]:[setting]],0), MATCH(N$139, regions_lb[#Headers],0)),INDEX(lmic_raw_lb[],MATCH($A153,lmic_raw_lb[[setting]:[setting]],0), MATCH(N$139, lmic_raw_lb[#Headers],0)))</f>
        <v>0.16329999999999997</v>
      </c>
      <c r="O153" s="94">
        <f>IF(INDEX(lmic_raw_lb[],MATCH($A153,lmic_raw_lb[[setting]:[setting]],0), MATCH(O$139, lmic_raw_lb[#Headers],0))=0, INDEX(regions_lb[], MATCH($D153, regions_lb[[setting]:[setting]],0), MATCH(O$139, regions_lb[#Headers],0)),INDEX(lmic_raw_lb[],MATCH($A153,lmic_raw_lb[[setting]:[setting]],0), MATCH(O$139, lmic_raw_lb[#Headers],0)))</f>
        <v>0.7</v>
      </c>
      <c r="P153" s="94">
        <f>IF(INDEX(lmic_raw_lb[],MATCH($A153,lmic_raw_lb[[setting]:[setting]],0), MATCH(P$139, lmic_raw_lb[#Headers],0))=0, INDEX(regions_lb[], MATCH($D153, regions_lb[[setting]:[setting]],0), MATCH(P$139, regions_lb[#Headers],0)),INDEX(lmic_raw_lb[],MATCH($A153,lmic_raw_lb[[setting]:[setting]],0), MATCH(P$139, lmic_raw_lb[#Headers],0)))</f>
        <v>0.05</v>
      </c>
      <c r="Q153" s="94">
        <f>IF(INDEX(lmic_raw_lb[],MATCH($A153,lmic_raw_lb[[setting]:[setting]],0), MATCH(Q$139, lmic_raw_lb[#Headers],0))=0, INDEX(regions_lb[], MATCH($D153, regions_lb[[setting]:[setting]],0), MATCH(Q$139, regions_lb[#Headers],0)),INDEX(lmic_raw_lb[],MATCH($A153,lmic_raw_lb[[setting]:[setting]],0), MATCH(Q$139, lmic_raw_lb[#Headers],0)))</f>
        <v>8.569071358403157</v>
      </c>
      <c r="R153" s="94">
        <f>IF(INDEX(lmic_raw_lb[],MATCH($A153,lmic_raw_lb[[setting]:[setting]],0), MATCH(R$139, lmic_raw_lb[#Headers],0))=0, INDEX(regions_lb[], MATCH($D153, regions_lb[[setting]:[setting]],0), MATCH(R$139, regions_lb[#Headers],0)),INDEX(lmic_raw_lb[],MATCH($A153,lmic_raw_lb[[setting]:[setting]],0), MATCH(R$139, lmic_raw_lb[#Headers],0)))</f>
        <v>42.31053</v>
      </c>
      <c r="S153" s="94">
        <f>IF(INDEX(lmic_raw_lb[],MATCH($A153,lmic_raw_lb[[setting]:[setting]],0), MATCH(S$139, lmic_raw_lb[#Headers],0))=0, INDEX(regions_lb[], MATCH($D153, regions_lb[[setting]:[setting]],0), MATCH(S$139, regions_lb[#Headers],0)),INDEX(lmic_raw_lb[],MATCH($A153,lmic_raw_lb[[setting]:[setting]],0), MATCH(S$139, lmic_raw_lb[#Headers],0)))</f>
        <v>87.665430000000001</v>
      </c>
      <c r="T153" s="94">
        <f>IF(INDEX(lmic_raw_lb[],MATCH($A153,lmic_raw_lb[[setting]:[setting]],0), MATCH(T$139, lmic_raw_lb[#Headers],0))=0, INDEX(regions_lb[], MATCH($D153, regions_lb[[setting]:[setting]],0), MATCH(T$139, regions_lb[#Headers],0)),INDEX(lmic_raw_lb[],MATCH($A153,lmic_raw_lb[[setting]:[setting]],0), MATCH(T$139, lmic_raw_lb[#Headers],0)))</f>
        <v>87.665430000000001</v>
      </c>
      <c r="U153" s="94">
        <f>IF(INDEX(lmic_raw_lb[],MATCH($A153,lmic_raw_lb[[setting]:[setting]],0), MATCH(U$139, lmic_raw_lb[#Headers],0))=0, INDEX(regions_lb[], MATCH($D153, regions_lb[[setting]:[setting]],0), MATCH(U$139, regions_lb[#Headers],0)),INDEX(lmic_raw_lb[],MATCH($A153,lmic_raw_lb[[setting]:[setting]],0), MATCH(U$139, lmic_raw_lb[#Headers],0)))</f>
        <v>87.665430000000001</v>
      </c>
      <c r="V153" s="94">
        <f>IF(INDEX(lmic_raw_lb[],MATCH($A153,lmic_raw_lb[[setting]:[setting]],0), MATCH(V$139, lmic_raw_lb[#Headers],0))=0, INDEX(regions_lb[], MATCH($D153, regions_lb[[setting]:[setting]],0), MATCH(V$139, regions_lb[#Headers],0)),INDEX(lmic_raw_lb[],MATCH($A153,lmic_raw_lb[[setting]:[setting]],0), MATCH(V$139, lmic_raw_lb[#Headers],0)))</f>
        <v>1.3592470650563835</v>
      </c>
      <c r="W153" s="94">
        <f>IF(INDEX(lmic_raw_lb[],MATCH($A153,lmic_raw_lb[[setting]:[setting]],0), MATCH(W$139, lmic_raw_lb[#Headers],0))=0, INDEX(regions_lb[], MATCH($D153, regions_lb[[setting]:[setting]],0), MATCH(W$139, regions_lb[#Headers],0)),INDEX(lmic_raw_lb[],MATCH($A153,lmic_raw_lb[[setting]:[setting]],0), MATCH(W$139, lmic_raw_lb[#Headers],0)))</f>
        <v>5.2216620650563836</v>
      </c>
      <c r="X153" s="94">
        <f>IF(INDEX(lmic_raw_lb[],MATCH($A153,lmic_raw_lb[[setting]:[setting]],0), MATCH(X$139, lmic_raw_lb[#Headers],0))=0, INDEX(regions_lb[], MATCH($D153, regions_lb[[setting]:[setting]],0), MATCH(X$139, regions_lb[#Headers],0)),INDEX(lmic_raw_lb[],MATCH($A153,lmic_raw_lb[[setting]:[setting]],0), MATCH(X$139, lmic_raw_lb[#Headers],0)))</f>
        <v>0.98951474819366803</v>
      </c>
      <c r="Y153" s="94">
        <f>IF(INDEX(lmic_raw_lb[],MATCH($A153,lmic_raw_lb[[setting]:[setting]],0), MATCH(Y$139, lmic_raw_lb[#Headers],0))=0, INDEX(regions_lb[], MATCH($D153, regions_lb[[setting]:[setting]],0), MATCH(Y$139, regions_lb[#Headers],0)),INDEX(lmic_raw_lb[],MATCH($A153,lmic_raw_lb[[setting]:[setting]],0), MATCH(Y$139, lmic_raw_lb[#Headers],0)))</f>
        <v>4.8519297481936681</v>
      </c>
      <c r="Z153" s="94">
        <f>IF(INDEX(lmic_raw_lb[],MATCH($A153,lmic_raw_lb[[setting]:[setting]],0), MATCH(Z$139, lmic_raw_lb[#Headers],0))=0, INDEX(regions_lb[], MATCH($D153, regions_lb[[setting]:[setting]],0), MATCH(Z$139, regions_lb[#Headers],0)),INDEX(lmic_raw_lb[],MATCH($A153,lmic_raw_lb[[setting]:[setting]],0), MATCH(Z$139, lmic_raw_lb[#Headers],0)))</f>
        <v>4.8470423641238876</v>
      </c>
      <c r="AA153" s="94">
        <f>IF(INDEX(lmic_raw_lb[],MATCH($A153,lmic_raw_lb[[setting]:[setting]],0), MATCH(AA$139, lmic_raw_lb[#Headers],0))=0, INDEX(regions_lb[], MATCH($D153, regions_lb[[setting]:[setting]],0), MATCH(AA$139, regions_lb[#Headers],0)),INDEX(lmic_raw_lb[],MATCH($A153,lmic_raw_lb[[setting]:[setting]],0), MATCH(AA$139, lmic_raw_lb[#Headers],0)))</f>
        <v>1.5723453039474735</v>
      </c>
      <c r="AB153" s="94">
        <f>IF(INDEX(lmic_raw_lb[],MATCH($A153,lmic_raw_lb[[setting]:[setting]],0), MATCH(AB$139, lmic_raw_lb[#Headers],0))=0, INDEX(regions_lb[], MATCH($D153, regions_lb[[setting]:[setting]],0), MATCH(AB$139, regions_lb[#Headers],0)),INDEX(lmic_raw_lb[],MATCH($A153,lmic_raw_lb[[setting]:[setting]],0), MATCH(AB$139, lmic_raw_lb[#Headers],0)))</f>
        <v>5.4347603039474741</v>
      </c>
      <c r="AC153" s="94">
        <f>IF(INDEX(lmic_raw_lb[],MATCH($A153,lmic_raw_lb[[setting]:[setting]],0), MATCH(AC$139, lmic_raw_lb[#Headers],0))=0, INDEX(regions_lb[], MATCH($D153, regions_lb[[setting]:[setting]],0), MATCH(AC$139, regions_lb[#Headers],0)),INDEX(lmic_raw_lb[],MATCH($A153,lmic_raw_lb[[setting]:[setting]],0), MATCH(AC$139, lmic_raw_lb[#Headers],0)))</f>
        <v>5.7060039999999789E-3</v>
      </c>
      <c r="AD153" s="94">
        <f>IF(INDEX(lmic_raw_lb[],MATCH($A153,lmic_raw_lb[[setting]:[setting]],0), MATCH(AD$139, lmic_raw_lb[#Headers],0))=0, INDEX(regions_lb[], MATCH($D153, regions_lb[[setting]:[setting]],0), MATCH(AD$139, regions_lb[#Headers],0)),INDEX(lmic_raw_lb[],MATCH($A153,lmic_raw_lb[[setting]:[setting]],0), MATCH(AD$139, lmic_raw_lb[#Headers],0)))</f>
        <v>1.8413535084046563E-4</v>
      </c>
      <c r="AE153" s="94">
        <f>IF(INDEX(lmic_raw_lb[],MATCH($A153,lmic_raw_lb[[setting]:[setting]],0), MATCH(AE$139, lmic_raw_lb[#Headers],0))=0, INDEX(regions_lb[], MATCH($D153, regions_lb[[setting]:[setting]],0), MATCH(AE$139, regions_lb[#Headers],0)),INDEX(lmic_raw_lb[],MATCH($A153,lmic_raw_lb[[setting]:[setting]],0), MATCH(AE$139, lmic_raw_lb[#Headers],0)))</f>
        <v>7.4875327850589806E-5</v>
      </c>
      <c r="AF153" s="94">
        <f>IF(INDEX(lmic_raw_lb[],MATCH($A153,lmic_raw_lb[[setting]:[setting]],0), MATCH(AF$139, lmic_raw_lb[#Headers],0))=0, INDEX(regions_lb[], MATCH($D153, regions_lb[[setting]:[setting]],0), MATCH(AF$139, regions_lb[#Headers],0)),INDEX(lmic_raw_lb[],MATCH($A153,lmic_raw_lb[[setting]:[setting]],0), MATCH(AF$139, lmic_raw_lb[#Headers],0)))</f>
        <v>1.352443831311537E-4</v>
      </c>
      <c r="AG153" s="94">
        <f>IF(INDEX(lmic_raw_lb[],MATCH($A153,lmic_raw_lb[[setting]:[setting]],0), MATCH(AG$139, lmic_raw_lb[#Headers],0))=0, INDEX(regions_lb[], MATCH($D153, regions_lb[[setting]:[setting]],0), MATCH(AG$139, regions_lb[#Headers],0)),INDEX(lmic_raw_lb[],MATCH($A153,lmic_raw_lb[[setting]:[setting]],0), MATCH(AG$139, lmic_raw_lb[#Headers],0)))</f>
        <v>2.2055992929357726E-4</v>
      </c>
      <c r="AH153" s="94">
        <f>IF(INDEX(lmic_raw_lb[],MATCH($A153,lmic_raw_lb[[setting]:[setting]],0), MATCH(AH$139, lmic_raw_lb[#Headers],0))=0, INDEX(regions_lb[], MATCH($D153, regions_lb[[setting]:[setting]],0), MATCH(AH$139, regions_lb[#Headers],0)),INDEX(lmic_raw_lb[],MATCH($A153,lmic_raw_lb[[setting]:[setting]],0), MATCH(AH$139, lmic_raw_lb[#Headers],0)))</f>
        <v>3.3624582040920432E-4</v>
      </c>
      <c r="AI153" s="94">
        <f>IF(INDEX(lmic_raw_lb[],MATCH($A153,lmic_raw_lb[[setting]:[setting]],0), MATCH(AI$139, lmic_raw_lb[#Headers],0))=0, INDEX(regions_lb[], MATCH($D153, regions_lb[[setting]:[setting]],0), MATCH(AI$139, regions_lb[#Headers],0)),INDEX(lmic_raw_lb[],MATCH($A153,lmic_raw_lb[[setting]:[setting]],0), MATCH(AI$139, lmic_raw_lb[#Headers],0)))</f>
        <v>3.9805484216764504E-4</v>
      </c>
      <c r="AJ153" s="94">
        <f>IF(INDEX(lmic_raw_lb[],MATCH($A153,lmic_raw_lb[[setting]:[setting]],0), MATCH(AJ$139, lmic_raw_lb[#Headers],0))=0, INDEX(regions_lb[], MATCH($D153, regions_lb[[setting]:[setting]],0), MATCH(AJ$139, regions_lb[#Headers],0)),INDEX(lmic_raw_lb[],MATCH($A153,lmic_raw_lb[[setting]:[setting]],0), MATCH(AJ$139, lmic_raw_lb[#Headers],0)))</f>
        <v>6.0112666296527686E-4</v>
      </c>
      <c r="AK153" s="94">
        <f>IF(INDEX(lmic_raw_lb[],MATCH($A153,lmic_raw_lb[[setting]:[setting]],0), MATCH(AK$139, lmic_raw_lb[#Headers],0))=0, INDEX(regions_lb[], MATCH($D153, regions_lb[[setting]:[setting]],0), MATCH(AK$139, regions_lb[#Headers],0)),INDEX(lmic_raw_lb[],MATCH($A153,lmic_raw_lb[[setting]:[setting]],0), MATCH(AK$139, lmic_raw_lb[#Headers],0)))</f>
        <v>8.2752260877574371E-4</v>
      </c>
      <c r="AL153" s="94">
        <f>IF(INDEX(lmic_raw_lb[],MATCH($A153,lmic_raw_lb[[setting]:[setting]],0), MATCH(AL$139, lmic_raw_lb[#Headers],0))=0, INDEX(regions_lb[], MATCH($D153, regions_lb[[setting]:[setting]],0), MATCH(AL$139, regions_lb[#Headers],0)),INDEX(lmic_raw_lb[],MATCH($A153,lmic_raw_lb[[setting]:[setting]],0), MATCH(AL$139, lmic_raw_lb[#Headers],0)))</f>
        <v>1.3558534068192347E-3</v>
      </c>
      <c r="AM153" s="94">
        <f>IF(INDEX(lmic_raw_lb[],MATCH($A153,lmic_raw_lb[[setting]:[setting]],0), MATCH(AM$139, lmic_raw_lb[#Headers],0))=0, INDEX(regions_lb[], MATCH($D153, regions_lb[[setting]:[setting]],0), MATCH(AM$139, regions_lb[#Headers],0)),INDEX(lmic_raw_lb[],MATCH($A153,lmic_raw_lb[[setting]:[setting]],0), MATCH(AM$139, lmic_raw_lb[#Headers],0)))</f>
        <v>2.4539980140151343E-3</v>
      </c>
      <c r="AN153" s="94">
        <f>IF(INDEX(lmic_raw_lb[],MATCH($A153,lmic_raw_lb[[setting]:[setting]],0), MATCH(AN$139, lmic_raw_lb[#Headers],0))=0, INDEX(regions_lb[], MATCH($D153, regions_lb[[setting]:[setting]],0), MATCH(AN$139, regions_lb[#Headers],0)),INDEX(lmic_raw_lb[],MATCH($A153,lmic_raw_lb[[setting]:[setting]],0), MATCH(AN$139, lmic_raw_lb[#Headers],0)))</f>
        <v>4.331739182041815E-3</v>
      </c>
      <c r="AO153" s="94">
        <f>IF(INDEX(lmic_raw_lb[],MATCH($A153,lmic_raw_lb[[setting]:[setting]],0), MATCH(AO$139, lmic_raw_lb[#Headers],0))=0, INDEX(regions_lb[], MATCH($D153, regions_lb[[setting]:[setting]],0), MATCH(AO$139, regions_lb[#Headers],0)),INDEX(lmic_raw_lb[],MATCH($A153,lmic_raw_lb[[setting]:[setting]],0), MATCH(AO$139, lmic_raw_lb[#Headers],0)))</f>
        <v>6.9165351262308536E-3</v>
      </c>
      <c r="AP153" s="94">
        <f>IF(INDEX(lmic_raw_lb[],MATCH($A153,lmic_raw_lb[[setting]:[setting]],0), MATCH(AP$139, lmic_raw_lb[#Headers],0))=0, INDEX(regions_lb[], MATCH($D153, regions_lb[[setting]:[setting]],0), MATCH(AP$139, regions_lb[#Headers],0)),INDEX(lmic_raw_lb[],MATCH($A153,lmic_raw_lb[[setting]:[setting]],0), MATCH(AP$139, lmic_raw_lb[#Headers],0)))</f>
        <v>1.12133678106143E-2</v>
      </c>
      <c r="AQ153" s="94">
        <f>IF(INDEX(lmic_raw_lb[],MATCH($A153,lmic_raw_lb[[setting]:[setting]],0), MATCH(AQ$139, lmic_raw_lb[#Headers],0))=0, INDEX(regions_lb[], MATCH($D153, regions_lb[[setting]:[setting]],0), MATCH(AQ$139, regions_lb[#Headers],0)),INDEX(lmic_raw_lb[],MATCH($A153,lmic_raw_lb[[setting]:[setting]],0), MATCH(AQ$139, lmic_raw_lb[#Headers],0)))</f>
        <v>1.7753488355746798E-2</v>
      </c>
      <c r="AR153" s="94">
        <f>IF(INDEX(lmic_raw_lb[],MATCH($A153,lmic_raw_lb[[setting]:[setting]],0), MATCH(AR$139, lmic_raw_lb[#Headers],0))=0, INDEX(regions_lb[], MATCH($D153, regions_lb[[setting]:[setting]],0), MATCH(AR$139, regions_lb[#Headers],0)),INDEX(lmic_raw_lb[],MATCH($A153,lmic_raw_lb[[setting]:[setting]],0), MATCH(AR$139, lmic_raw_lb[#Headers],0)))</f>
        <v>2.9194178255818048E-2</v>
      </c>
      <c r="AS153" s="94">
        <f>IF(INDEX(lmic_raw_lb[],MATCH($A153,lmic_raw_lb[[setting]:[setting]],0), MATCH(AS$139, lmic_raw_lb[#Headers],0))=0, INDEX(regions_lb[], MATCH($D153, regions_lb[[setting]:[setting]],0), MATCH(AS$139, regions_lb[#Headers],0)),INDEX(lmic_raw_lb[],MATCH($A153,lmic_raw_lb[[setting]:[setting]],0), MATCH(AS$139, lmic_raw_lb[#Headers],0)))</f>
        <v>4.7883465355911287E-2</v>
      </c>
      <c r="AT153" s="94">
        <f>IF(INDEX(lmic_raw_lb[],MATCH($A153,lmic_raw_lb[[setting]:[setting]],0), MATCH(AT$139, lmic_raw_lb[#Headers],0))=0, INDEX(regions_lb[], MATCH($D153, regions_lb[[setting]:[setting]],0), MATCH(AT$139, regions_lb[#Headers],0)),INDEX(lmic_raw_lb[],MATCH($A153,lmic_raw_lb[[setting]:[setting]],0), MATCH(AT$139, lmic_raw_lb[#Headers],0)))</f>
        <v>7.2061294417439248E-2</v>
      </c>
      <c r="AU153" s="94">
        <f>IF(INDEX(lmic_raw_lb[],MATCH($A153,lmic_raw_lb[[setting]:[setting]],0), MATCH(AU$139, lmic_raw_lb[#Headers],0))=0, INDEX(regions_lb[], MATCH($D153, regions_lb[[setting]:[setting]],0), MATCH(AU$139, regions_lb[#Headers],0)),INDEX(lmic_raw_lb[],MATCH($A153,lmic_raw_lb[[setting]:[setting]],0), MATCH(AU$139, lmic_raw_lb[#Headers],0)))</f>
        <v>0.1026378957436368</v>
      </c>
      <c r="AV153" s="94">
        <f>IF(INDEX(lmic_raw_lb[],MATCH($A153,lmic_raw_lb[[setting]:[setting]],0), MATCH(AV$139, lmic_raw_lb[#Headers],0))=0, INDEX(regions_lb[], MATCH($D153, regions_lb[[setting]:[setting]],0), MATCH(AV$139, regions_lb[#Headers],0)),INDEX(lmic_raw_lb[],MATCH($A153,lmic_raw_lb[[setting]:[setting]],0), MATCH(AV$139, lmic_raw_lb[#Headers],0)))</f>
        <v>0.13414148713923216</v>
      </c>
      <c r="AW153" s="94">
        <f>IF(INDEX(lmic_raw_lb[],MATCH($A153,lmic_raw_lb[[setting]:[setting]],0), MATCH(AW$139, lmic_raw_lb[#Headers],0))=0, INDEX(regions_lb[], MATCH($D153, regions_lb[[setting]:[setting]],0), MATCH(AW$139, regions_lb[#Headers],0)),INDEX(lmic_raw_lb[],MATCH($A153,lmic_raw_lb[[setting]:[setting]],0), MATCH(AW$139, lmic_raw_lb[#Headers],0)))</f>
        <v>0.1597935112258701</v>
      </c>
      <c r="AX153" s="94">
        <f>IF(INDEX(lmic_raw_lb[],MATCH($A153,lmic_raw_lb[[setting]:[setting]],0), MATCH(AX$139, lmic_raw_lb[#Headers],0))=0, INDEX(regions_lb[], MATCH($D153, regions_lb[[setting]:[setting]],0), MATCH(AX$139, regions_lb[#Headers],0)),INDEX(lmic_raw_lb[],MATCH($A153,lmic_raw_lb[[setting]:[setting]],0), MATCH(AX$139, lmic_raw_lb[#Headers],0)))</f>
        <v>73.3172</v>
      </c>
      <c r="AY153" s="94" t="str">
        <f>IF(VLOOKUP(lmics_lb[[#This Row],[setting]],lmic_raw_lb[],11,FALSE)=0, "Yes", "No")</f>
        <v>Yes</v>
      </c>
    </row>
    <row r="154" spans="1:51" x14ac:dyDescent="0.25">
      <c r="A154" s="109" t="s">
        <v>132</v>
      </c>
      <c r="B154" s="101" t="s">
        <v>387</v>
      </c>
      <c r="C154" s="102">
        <v>72</v>
      </c>
      <c r="D154" s="82" t="s">
        <v>677</v>
      </c>
      <c r="E154" s="121" t="s">
        <v>594</v>
      </c>
      <c r="F154" s="98" t="s">
        <v>667</v>
      </c>
      <c r="G154" s="98" t="s">
        <v>676</v>
      </c>
      <c r="H154" s="98"/>
      <c r="I154" s="98"/>
      <c r="J154" s="98">
        <f>IF(INDEX(lmic_raw_lb[],MATCH($A154,lmic_raw_lb[[setting]:[setting]],0), MATCH(J$139, lmic_raw_lb[#Headers],0))=0, INDEX(regions_lb[], MATCH($D154, regions_lb[[setting]:[setting]],0), MATCH(J$139, regions_lb[#Headers],0)),INDEX(lmic_raw_lb[],MATCH($A154,lmic_raw_lb[[setting]:[setting]],0), MATCH(J$139, lmic_raw_lb[#Headers],0)))</f>
        <v>0.94714999999999994</v>
      </c>
      <c r="K154" s="98">
        <f>IF(INDEX(lmic_raw_lb[],MATCH($A154,lmic_raw_lb[[setting]:[setting]],0), MATCH(K$139, lmic_raw_lb[#Headers],0))=0, INDEX(regions_lb[], MATCH($D154, regions_lb[[setting]:[setting]],0), MATCH(K$139, regions_lb[#Headers],0)),INDEX(lmic_raw_lb[],MATCH($A154,lmic_raw_lb[[setting]:[setting]],0), MATCH(K$139, lmic_raw_lb[#Headers],0)))</f>
        <v>0.65789974195504752</v>
      </c>
      <c r="L154" s="98">
        <f>IF(INDEX(lmic_raw_lb[],MATCH($A154,lmic_raw_lb[[setting]:[setting]],0), MATCH(L$139, lmic_raw_lb[#Headers],0))=0, INDEX(regions_lb[], MATCH($D154, regions_lb[[setting]:[setting]],0), MATCH(L$139, regions_lb[#Headers],0)),INDEX(lmic_raw_lb[],MATCH($A154,lmic_raw_lb[[setting]:[setting]],0), MATCH(L$139, lmic_raw_lb[#Headers],0)))</f>
        <v>0.90249999999999997</v>
      </c>
      <c r="M154" s="98">
        <f>IF(INDEX(lmic_raw_lb[],MATCH($A154,lmic_raw_lb[[setting]:[setting]],0), MATCH(M$139, lmic_raw_lb[#Headers],0))=0, INDEX(regions_lb[], MATCH($D154, regions_lb[[setting]:[setting]],0), MATCH(M$139, regions_lb[#Headers],0)),INDEX(lmic_raw_lb[],MATCH($A154,lmic_raw_lb[[setting]:[setting]],0), MATCH(M$139, lmic_raw_lb[#Headers],0)))</f>
        <v>1.5E-3</v>
      </c>
      <c r="N154" s="98">
        <f>IF(INDEX(lmic_raw_lb[],MATCH($A154,lmic_raw_lb[[setting]:[setting]],0), MATCH(N$139, lmic_raw_lb[#Headers],0))=0, INDEX(regions_lb[], MATCH($D154, regions_lb[[setting]:[setting]],0), MATCH(N$139, regions_lb[#Headers],0)),INDEX(lmic_raw_lb[],MATCH($A154,lmic_raw_lb[[setting]:[setting]],0), MATCH(N$139, lmic_raw_lb[#Headers],0)))</f>
        <v>0.15109999999999998</v>
      </c>
      <c r="O154" s="98">
        <f>IF(INDEX(lmic_raw_lb[],MATCH($A154,lmic_raw_lb[[setting]:[setting]],0), MATCH(O$139, lmic_raw_lb[#Headers],0))=0, INDEX(regions_lb[], MATCH($D154, regions_lb[[setting]:[setting]],0), MATCH(O$139, regions_lb[#Headers],0)),INDEX(lmic_raw_lb[],MATCH($A154,lmic_raw_lb[[setting]:[setting]],0), MATCH(O$139, lmic_raw_lb[#Headers],0)))</f>
        <v>7.0000000000000007E-2</v>
      </c>
      <c r="P154" s="98">
        <f>IF(INDEX(lmic_raw_lb[],MATCH($A154,lmic_raw_lb[[setting]:[setting]],0), MATCH(P$139, lmic_raw_lb[#Headers],0))=0, INDEX(regions_lb[], MATCH($D154, regions_lb[[setting]:[setting]],0), MATCH(P$139, regions_lb[#Headers],0)),INDEX(lmic_raw_lb[],MATCH($A154,lmic_raw_lb[[setting]:[setting]],0), MATCH(P$139, lmic_raw_lb[#Headers],0)))</f>
        <v>1E-3</v>
      </c>
      <c r="Q154" s="98">
        <f>IF(INDEX(lmic_raw_lb[],MATCH($A154,lmic_raw_lb[[setting]:[setting]],0), MATCH(Q$139, lmic_raw_lb[#Headers],0))=0, INDEX(regions_lb[], MATCH($D154, regions_lb[[setting]:[setting]],0), MATCH(Q$139, regions_lb[#Headers],0)),INDEX(lmic_raw_lb[],MATCH($A154,lmic_raw_lb[[setting]:[setting]],0), MATCH(Q$139, lmic_raw_lb[#Headers],0)))</f>
        <v>13.316097968983183</v>
      </c>
      <c r="R154" s="98">
        <f>IF(INDEX(lmic_raw_lb[],MATCH($A154,lmic_raw_lb[[setting]:[setting]],0), MATCH(R$139, lmic_raw_lb[#Headers],0))=0, INDEX(regions_lb[], MATCH($D154, regions_lb[[setting]:[setting]],0), MATCH(R$139, regions_lb[#Headers],0)),INDEX(lmic_raw_lb[],MATCH($A154,lmic_raw_lb[[setting]:[setting]],0), MATCH(R$139, lmic_raw_lb[#Headers],0)))</f>
        <v>28.424474999999997</v>
      </c>
      <c r="S154" s="98">
        <f>IF(INDEX(lmic_raw_lb[],MATCH($A154,lmic_raw_lb[[setting]:[setting]],0), MATCH(S$139, lmic_raw_lb[#Headers],0))=0, INDEX(regions_lb[], MATCH($D154, regions_lb[[setting]:[setting]],0), MATCH(S$139, regions_lb[#Headers],0)),INDEX(lmic_raw_lb[],MATCH($A154,lmic_raw_lb[[setting]:[setting]],0), MATCH(S$139, lmic_raw_lb[#Headers],0)))</f>
        <v>73.779375000000002</v>
      </c>
      <c r="T154" s="98">
        <f>IF(INDEX(lmic_raw_lb[],MATCH($A154,lmic_raw_lb[[setting]:[setting]],0), MATCH(T$139, lmic_raw_lb[#Headers],0))=0, INDEX(regions_lb[], MATCH($D154, regions_lb[[setting]:[setting]],0), MATCH(T$139, regions_lb[#Headers],0)),INDEX(lmic_raw_lb[],MATCH($A154,lmic_raw_lb[[setting]:[setting]],0), MATCH(T$139, lmic_raw_lb[#Headers],0)))</f>
        <v>73.779375000000002</v>
      </c>
      <c r="U154" s="98">
        <f>IF(INDEX(lmic_raw_lb[],MATCH($A154,lmic_raw_lb[[setting]:[setting]],0), MATCH(U$139, lmic_raw_lb[#Headers],0))=0, INDEX(regions_lb[], MATCH($D154, regions_lb[[setting]:[setting]],0), MATCH(U$139, regions_lb[#Headers],0)),INDEX(lmic_raw_lb[],MATCH($A154,lmic_raw_lb[[setting]:[setting]],0), MATCH(U$139, lmic_raw_lb[#Headers],0)))</f>
        <v>73.779375000000002</v>
      </c>
      <c r="V154" s="98">
        <f>IF(INDEX(lmic_raw_lb[],MATCH($A154,lmic_raw_lb[[setting]:[setting]],0), MATCH(V$139, lmic_raw_lb[#Headers],0))=0, INDEX(regions_lb[], MATCH($D154, regions_lb[[setting]:[setting]],0), MATCH(V$139, regions_lb[#Headers],0)),INDEX(lmic_raw_lb[],MATCH($A154,lmic_raw_lb[[setting]:[setting]],0), MATCH(V$139, lmic_raw_lb[#Headers],0)))</f>
        <v>3.4548608447694416</v>
      </c>
      <c r="W154" s="98">
        <f>IF(INDEX(lmic_raw_lb[],MATCH($A154,lmic_raw_lb[[setting]:[setting]],0), MATCH(W$139, lmic_raw_lb[#Headers],0))=0, INDEX(regions_lb[], MATCH($D154, regions_lb[[setting]:[setting]],0), MATCH(W$139, regions_lb[#Headers],0)),INDEX(lmic_raw_lb[],MATCH($A154,lmic_raw_lb[[setting]:[setting]],0), MATCH(W$139, lmic_raw_lb[#Headers],0)))</f>
        <v>8.0421258447694424</v>
      </c>
      <c r="X154" s="98">
        <f>IF(INDEX(lmic_raw_lb[],MATCH($A154,lmic_raw_lb[[setting]:[setting]],0), MATCH(X$139, lmic_raw_lb[#Headers],0))=0, INDEX(regions_lb[], MATCH($D154, regions_lb[[setting]:[setting]],0), MATCH(X$139, regions_lb[#Headers],0)),INDEX(lmic_raw_lb[],MATCH($A154,lmic_raw_lb[[setting]:[setting]],0), MATCH(X$139, lmic_raw_lb[#Headers],0)))</f>
        <v>3.0831875597895846</v>
      </c>
      <c r="Y154" s="98">
        <f>IF(INDEX(lmic_raw_lb[],MATCH($A154,lmic_raw_lb[[setting]:[setting]],0), MATCH(Y$139, lmic_raw_lb[#Headers],0))=0, INDEX(regions_lb[], MATCH($D154, regions_lb[[setting]:[setting]],0), MATCH(Y$139, regions_lb[#Headers],0)),INDEX(lmic_raw_lb[],MATCH($A154,lmic_raw_lb[[setting]:[setting]],0), MATCH(Y$139, lmic_raw_lb[#Headers],0)))</f>
        <v>7.6704525597895845</v>
      </c>
      <c r="Z154" s="98">
        <f>IF(INDEX(lmic_raw_lb[],MATCH($A154,lmic_raw_lb[[setting]:[setting]],0), MATCH(Z$139, lmic_raw_lb[#Headers],0))=0, INDEX(regions_lb[], MATCH($D154, regions_lb[[setting]:[setting]],0), MATCH(Z$139, regions_lb[#Headers],0)),INDEX(lmic_raw_lb[],MATCH($A154,lmic_raw_lb[[setting]:[setting]],0), MATCH(Z$139, lmic_raw_lb[#Headers],0)))</f>
        <v>7.6646508971725389</v>
      </c>
      <c r="AA154" s="98">
        <f>IF(INDEX(lmic_raw_lb[],MATCH($A154,lmic_raw_lb[[setting]:[setting]],0), MATCH(AA$139, lmic_raw_lb[#Headers],0))=0, INDEX(regions_lb[], MATCH($D154, regions_lb[[setting]:[setting]],0), MATCH(AA$139, regions_lb[#Headers],0)),INDEX(lmic_raw_lb[],MATCH($A154,lmic_raw_lb[[setting]:[setting]],0), MATCH(AA$139, lmic_raw_lb[#Headers],0)))</f>
        <v>3.6687909271393067</v>
      </c>
      <c r="AB154" s="98">
        <f>IF(INDEX(lmic_raw_lb[],MATCH($A154,lmic_raw_lb[[setting]:[setting]],0), MATCH(AB$139, lmic_raw_lb[#Headers],0))=0, INDEX(regions_lb[], MATCH($D154, regions_lb[[setting]:[setting]],0), MATCH(AB$139, regions_lb[#Headers],0)),INDEX(lmic_raw_lb[],MATCH($A154,lmic_raw_lb[[setting]:[setting]],0), MATCH(AB$139, lmic_raw_lb[#Headers],0)))</f>
        <v>8.2560559271393075</v>
      </c>
      <c r="AC154" s="98">
        <f>IF(INDEX(lmic_raw_lb[],MATCH($A154,lmic_raw_lb[[setting]:[setting]],0), MATCH(AC$139, lmic_raw_lb[#Headers],0))=0, INDEX(regions_lb[], MATCH($D154, regions_lb[[setting]:[setting]],0), MATCH(AC$139, regions_lb[#Headers],0)),INDEX(lmic_raw_lb[],MATCH($A154,lmic_raw_lb[[setting]:[setting]],0), MATCH(AC$139, lmic_raw_lb[#Headers],0)))</f>
        <v>2.8652702999999936E-2</v>
      </c>
      <c r="AD154" s="98">
        <f>IF(INDEX(lmic_raw_lb[],MATCH($A154,lmic_raw_lb[[setting]:[setting]],0), MATCH(AD$139, lmic_raw_lb[#Headers],0))=0, INDEX(regions_lb[], MATCH($D154, regions_lb[[setting]:[setting]],0), MATCH(AD$139, regions_lb[#Headers],0)),INDEX(lmic_raw_lb[],MATCH($A154,lmic_raw_lb[[setting]:[setting]],0), MATCH(AD$139, lmic_raw_lb[#Headers],0)))</f>
        <v>1.9148268446051728E-3</v>
      </c>
      <c r="AE154" s="98">
        <f>IF(INDEX(lmic_raw_lb[],MATCH($A154,lmic_raw_lb[[setting]:[setting]],0), MATCH(AE$139, lmic_raw_lb[#Headers],0))=0, INDEX(regions_lb[], MATCH($D154, regions_lb[[setting]:[setting]],0), MATCH(AE$139, regions_lb[#Headers],0)),INDEX(lmic_raw_lb[],MATCH($A154,lmic_raw_lb[[setting]:[setting]],0), MATCH(AE$139, lmic_raw_lb[#Headers],0)))</f>
        <v>4.9588771543212259E-4</v>
      </c>
      <c r="AF154" s="98">
        <f>IF(INDEX(lmic_raw_lb[],MATCH($A154,lmic_raw_lb[[setting]:[setting]],0), MATCH(AF$139, lmic_raw_lb[#Headers],0))=0, INDEX(regions_lb[], MATCH($D154, regions_lb[[setting]:[setting]],0), MATCH(AF$139, regions_lb[#Headers],0)),INDEX(lmic_raw_lb[],MATCH($A154,lmic_raw_lb[[setting]:[setting]],0), MATCH(AF$139, lmic_raw_lb[#Headers],0)))</f>
        <v>4.1648511985589362E-4</v>
      </c>
      <c r="AG154" s="98">
        <f>IF(INDEX(lmic_raw_lb[],MATCH($A154,lmic_raw_lb[[setting]:[setting]],0), MATCH(AG$139, lmic_raw_lb[#Headers],0))=0, INDEX(regions_lb[], MATCH($D154, regions_lb[[setting]:[setting]],0), MATCH(AG$139, regions_lb[#Headers],0)),INDEX(lmic_raw_lb[],MATCH($A154,lmic_raw_lb[[setting]:[setting]],0), MATCH(AG$139, lmic_raw_lb[#Headers],0)))</f>
        <v>7.458079014176169E-4</v>
      </c>
      <c r="AH154" s="98">
        <f>IF(INDEX(lmic_raw_lb[],MATCH($A154,lmic_raw_lb[[setting]:[setting]],0), MATCH(AH$139, lmic_raw_lb[#Headers],0))=0, INDEX(regions_lb[], MATCH($D154, regions_lb[[setting]:[setting]],0), MATCH(AH$139, regions_lb[#Headers],0)),INDEX(lmic_raw_lb[],MATCH($A154,lmic_raw_lb[[setting]:[setting]],0), MATCH(AH$139, lmic_raw_lb[#Headers],0)))</f>
        <v>1.3138152123476424E-3</v>
      </c>
      <c r="AI154" s="98">
        <f>IF(INDEX(lmic_raw_lb[],MATCH($A154,lmic_raw_lb[[setting]:[setting]],0), MATCH(AI$139, lmic_raw_lb[#Headers],0))=0, INDEX(regions_lb[], MATCH($D154, regions_lb[[setting]:[setting]],0), MATCH(AI$139, regions_lb[#Headers],0)),INDEX(lmic_raw_lb[],MATCH($A154,lmic_raw_lb[[setting]:[setting]],0), MATCH(AI$139, lmic_raw_lb[#Headers],0)))</f>
        <v>2.0921529555389009E-3</v>
      </c>
      <c r="AJ154" s="98">
        <f>IF(INDEX(lmic_raw_lb[],MATCH($A154,lmic_raw_lb[[setting]:[setting]],0), MATCH(AJ$139, lmic_raw_lb[#Headers],0))=0, INDEX(regions_lb[], MATCH($D154, regions_lb[[setting]:[setting]],0), MATCH(AJ$139, regions_lb[#Headers],0)),INDEX(lmic_raw_lb[],MATCH($A154,lmic_raw_lb[[setting]:[setting]],0), MATCH(AJ$139, lmic_raw_lb[#Headers],0)))</f>
        <v>2.9812563550634524E-3</v>
      </c>
      <c r="AK154" s="98">
        <f>IF(INDEX(lmic_raw_lb[],MATCH($A154,lmic_raw_lb[[setting]:[setting]],0), MATCH(AK$139, lmic_raw_lb[#Headers],0))=0, INDEX(regions_lb[], MATCH($D154, regions_lb[[setting]:[setting]],0), MATCH(AK$139, regions_lb[#Headers],0)),INDEX(lmic_raw_lb[],MATCH($A154,lmic_raw_lb[[setting]:[setting]],0), MATCH(AK$139, lmic_raw_lb[#Headers],0)))</f>
        <v>4.2911497381733577E-3</v>
      </c>
      <c r="AL154" s="98">
        <f>IF(INDEX(lmic_raw_lb[],MATCH($A154,lmic_raw_lb[[setting]:[setting]],0), MATCH(AL$139, lmic_raw_lb[#Headers],0))=0, INDEX(regions_lb[], MATCH($D154, regions_lb[[setting]:[setting]],0), MATCH(AL$139, regions_lb[#Headers],0)),INDEX(lmic_raw_lb[],MATCH($A154,lmic_raw_lb[[setting]:[setting]],0), MATCH(AL$139, lmic_raw_lb[#Headers],0)))</f>
        <v>5.3454674600744694E-3</v>
      </c>
      <c r="AM154" s="98">
        <f>IF(INDEX(lmic_raw_lb[],MATCH($A154,lmic_raw_lb[[setting]:[setting]],0), MATCH(AM$139, lmic_raw_lb[#Headers],0))=0, INDEX(regions_lb[], MATCH($D154, regions_lb[[setting]:[setting]],0), MATCH(AM$139, regions_lb[#Headers],0)),INDEX(lmic_raw_lb[],MATCH($A154,lmic_raw_lb[[setting]:[setting]],0), MATCH(AM$139, lmic_raw_lb[#Headers],0)))</f>
        <v>6.6589530958325056E-3</v>
      </c>
      <c r="AN154" s="98">
        <f>IF(INDEX(lmic_raw_lb[],MATCH($A154,lmic_raw_lb[[setting]:[setting]],0), MATCH(AN$139, lmic_raw_lb[#Headers],0))=0, INDEX(regions_lb[], MATCH($D154, regions_lb[[setting]:[setting]],0), MATCH(AN$139, regions_lb[#Headers],0)),INDEX(lmic_raw_lb[],MATCH($A154,lmic_raw_lb[[setting]:[setting]],0), MATCH(AN$139, lmic_raw_lb[#Headers],0)))</f>
        <v>8.5145043645468259E-3</v>
      </c>
      <c r="AO154" s="98">
        <f>IF(INDEX(lmic_raw_lb[],MATCH($A154,lmic_raw_lb[[setting]:[setting]],0), MATCH(AO$139, lmic_raw_lb[#Headers],0))=0, INDEX(regions_lb[], MATCH($D154, regions_lb[[setting]:[setting]],0), MATCH(AO$139, regions_lb[#Headers],0)),INDEX(lmic_raw_lb[],MATCH($A154,lmic_raw_lb[[setting]:[setting]],0), MATCH(AO$139, lmic_raw_lb[#Headers],0)))</f>
        <v>1.0637421361858645E-2</v>
      </c>
      <c r="AP154" s="98">
        <f>IF(INDEX(lmic_raw_lb[],MATCH($A154,lmic_raw_lb[[setting]:[setting]],0), MATCH(AP$139, lmic_raw_lb[#Headers],0))=0, INDEX(regions_lb[], MATCH($D154, regions_lb[[setting]:[setting]],0), MATCH(AP$139, regions_lb[#Headers],0)),INDEX(lmic_raw_lb[],MATCH($A154,lmic_raw_lb[[setting]:[setting]],0), MATCH(AP$139, lmic_raw_lb[#Headers],0)))</f>
        <v>1.4866609975559603E-2</v>
      </c>
      <c r="AQ154" s="98">
        <f>IF(INDEX(lmic_raw_lb[],MATCH($A154,lmic_raw_lb[[setting]:[setting]],0), MATCH(AQ$139, lmic_raw_lb[#Headers],0))=0, INDEX(regions_lb[], MATCH($D154, regions_lb[[setting]:[setting]],0), MATCH(AQ$139, regions_lb[#Headers],0)),INDEX(lmic_raw_lb[],MATCH($A154,lmic_raw_lb[[setting]:[setting]],0), MATCH(AQ$139, lmic_raw_lb[#Headers],0)))</f>
        <v>2.2320859044271869E-2</v>
      </c>
      <c r="AR154" s="98">
        <f>IF(INDEX(lmic_raw_lb[],MATCH($A154,lmic_raw_lb[[setting]:[setting]],0), MATCH(AR$139, lmic_raw_lb[#Headers],0))=0, INDEX(regions_lb[], MATCH($D154, regions_lb[[setting]:[setting]],0), MATCH(AR$139, regions_lb[#Headers],0)),INDEX(lmic_raw_lb[],MATCH($A154,lmic_raw_lb[[setting]:[setting]],0), MATCH(AR$139, lmic_raw_lb[#Headers],0)))</f>
        <v>3.4186560919546673E-2</v>
      </c>
      <c r="AS154" s="98">
        <f>IF(INDEX(lmic_raw_lb[],MATCH($A154,lmic_raw_lb[[setting]:[setting]],0), MATCH(AS$139, lmic_raw_lb[#Headers],0))=0, INDEX(regions_lb[], MATCH($D154, regions_lb[[setting]:[setting]],0), MATCH(AS$139, regions_lb[#Headers],0)),INDEX(lmic_raw_lb[],MATCH($A154,lmic_raw_lb[[setting]:[setting]],0), MATCH(AS$139, lmic_raw_lb[#Headers],0)))</f>
        <v>5.2226818976815685E-2</v>
      </c>
      <c r="AT154" s="98">
        <f>IF(INDEX(lmic_raw_lb[],MATCH($A154,lmic_raw_lb[[setting]:[setting]],0), MATCH(AT$139, lmic_raw_lb[#Headers],0))=0, INDEX(regions_lb[], MATCH($D154, regions_lb[[setting]:[setting]],0), MATCH(AT$139, regions_lb[#Headers],0)),INDEX(lmic_raw_lb[],MATCH($A154,lmic_raw_lb[[setting]:[setting]],0), MATCH(AT$139, lmic_raw_lb[#Headers],0)))</f>
        <v>8.1290084987695549E-2</v>
      </c>
      <c r="AU154" s="98">
        <f>IF(INDEX(lmic_raw_lb[],MATCH($A154,lmic_raw_lb[[setting]:[setting]],0), MATCH(AU$139, lmic_raw_lb[#Headers],0))=0, INDEX(regions_lb[], MATCH($D154, regions_lb[[setting]:[setting]],0), MATCH(AU$139, regions_lb[#Headers],0)),INDEX(lmic_raw_lb[],MATCH($A154,lmic_raw_lb[[setting]:[setting]],0), MATCH(AU$139, lmic_raw_lb[#Headers],0)))</f>
        <v>0.11951399751786188</v>
      </c>
      <c r="AV154" s="98">
        <f>IF(INDEX(lmic_raw_lb[],MATCH($A154,lmic_raw_lb[[setting]:[setting]],0), MATCH(AV$139, lmic_raw_lb[#Headers],0))=0, INDEX(regions_lb[], MATCH($D154, regions_lb[[setting]:[setting]],0), MATCH(AV$139, regions_lb[#Headers],0)),INDEX(lmic_raw_lb[],MATCH($A154,lmic_raw_lb[[setting]:[setting]],0), MATCH(AV$139, lmic_raw_lb[#Headers],0)))</f>
        <v>0.15580207754378333</v>
      </c>
      <c r="AW154" s="98">
        <f>IF(INDEX(lmic_raw_lb[],MATCH($A154,lmic_raw_lb[[setting]:[setting]],0), MATCH(AW$139, lmic_raw_lb[#Headers],0))=0, INDEX(regions_lb[], MATCH($D154, regions_lb[[setting]:[setting]],0), MATCH(AW$139, regions_lb[#Headers],0)),INDEX(lmic_raw_lb[],MATCH($A154,lmic_raw_lb[[setting]:[setting]],0), MATCH(AW$139, lmic_raw_lb[#Headers],0)))</f>
        <v>0.17329928677890458</v>
      </c>
      <c r="AX154" s="98">
        <f>IF(INDEX(lmic_raw_lb[],MATCH($A154,lmic_raw_lb[[setting]:[setting]],0), MATCH(AX$139, lmic_raw_lb[#Headers],0))=0, INDEX(regions_lb[], MATCH($D154, regions_lb[[setting]:[setting]],0), MATCH(AX$139, regions_lb[#Headers],0)),INDEX(lmic_raw_lb[],MATCH($A154,lmic_raw_lb[[setting]:[setting]],0), MATCH(AX$139, lmic_raw_lb[#Headers],0)))</f>
        <v>65.640249999999995</v>
      </c>
      <c r="AY154" s="98" t="str">
        <f>IF(VLOOKUP(lmics_lb[[#This Row],[setting]],lmic_raw_lb[],11,FALSE)=0, "Yes", "No")</f>
        <v>Yes</v>
      </c>
    </row>
    <row r="155" spans="1:51" x14ac:dyDescent="0.25">
      <c r="A155" s="110" t="s">
        <v>264</v>
      </c>
      <c r="B155" s="104" t="s">
        <v>388</v>
      </c>
      <c r="C155" s="105">
        <v>76</v>
      </c>
      <c r="D155" s="84" t="s">
        <v>679</v>
      </c>
      <c r="E155" s="122" t="s">
        <v>595</v>
      </c>
      <c r="F155" s="94" t="s">
        <v>665</v>
      </c>
      <c r="G155" s="94" t="s">
        <v>676</v>
      </c>
      <c r="H155" s="94"/>
      <c r="I155" s="94"/>
      <c r="J155" s="94">
        <f>IF(INDEX(lmic_raw_lb[],MATCH($A155,lmic_raw_lb[[setting]:[setting]],0), MATCH(J$139, lmic_raw_lb[#Headers],0))=0, INDEX(regions_lb[], MATCH($D155, regions_lb[[setting]:[setting]],0), MATCH(J$139, regions_lb[#Headers],0)),INDEX(lmic_raw_lb[],MATCH($A155,lmic_raw_lb[[setting]:[setting]],0), MATCH(J$139, lmic_raw_lb[#Headers],0)))</f>
        <v>0.9414499999999999</v>
      </c>
      <c r="K155" s="94">
        <f>IF(INDEX(lmic_raw_lb[],MATCH($A155,lmic_raw_lb[[setting]:[setting]],0), MATCH(K$139, lmic_raw_lb[#Headers],0))=0, INDEX(regions_lb[], MATCH($D155, regions_lb[[setting]:[setting]],0), MATCH(K$139, regions_lb[#Headers],0)),INDEX(lmic_raw_lb[],MATCH($A155,lmic_raw_lb[[setting]:[setting]],0), MATCH(K$139, lmic_raw_lb[#Headers],0)))</f>
        <v>0.74099999999999999</v>
      </c>
      <c r="L155" s="94">
        <f>IF(INDEX(lmic_raw_lb[],MATCH($A155,lmic_raw_lb[[setting]:[setting]],0), MATCH(L$139, lmic_raw_lb[#Headers],0))=0, INDEX(regions_lb[], MATCH($D155, regions_lb[[setting]:[setting]],0), MATCH(L$139, regions_lb[#Headers],0)),INDEX(lmic_raw_lb[],MATCH($A155,lmic_raw_lb[[setting]:[setting]],0), MATCH(L$139, lmic_raw_lb[#Headers],0)))</f>
        <v>0.76</v>
      </c>
      <c r="M155" s="94">
        <f>IF(INDEX(lmic_raw_lb[],MATCH($A155,lmic_raw_lb[[setting]:[setting]],0), MATCH(M$139, lmic_raw_lb[#Headers],0))=0, INDEX(regions_lb[], MATCH($D155, regions_lb[[setting]:[setting]],0), MATCH(M$139, regions_lb[#Headers],0)),INDEX(lmic_raw_lb[],MATCH($A155,lmic_raw_lb[[setting]:[setting]],0), MATCH(M$139, lmic_raw_lb[#Headers],0)))</f>
        <v>4.3E-3</v>
      </c>
      <c r="N155" s="94">
        <f>IF(INDEX(lmic_raw_lb[],MATCH($A155,lmic_raw_lb[[setting]:[setting]],0), MATCH(N$139, lmic_raw_lb[#Headers],0))=0, INDEX(regions_lb[], MATCH($D155, regions_lb[[setting]:[setting]],0), MATCH(N$139, regions_lb[#Headers],0)),INDEX(lmic_raw_lb[],MATCH($A155,lmic_raw_lb[[setting]:[setting]],0), MATCH(N$139, lmic_raw_lb[#Headers],0)))</f>
        <v>0.17010000000000003</v>
      </c>
      <c r="O155" s="94">
        <f>IF(INDEX(lmic_raw_lb[],MATCH($A155,lmic_raw_lb[[setting]:[setting]],0), MATCH(O$139, lmic_raw_lb[#Headers],0))=0, INDEX(regions_lb[], MATCH($D155, regions_lb[[setting]:[setting]],0), MATCH(O$139, regions_lb[#Headers],0)),INDEX(lmic_raw_lb[],MATCH($A155,lmic_raw_lb[[setting]:[setting]],0), MATCH(O$139, lmic_raw_lb[#Headers],0)))</f>
        <v>0.7</v>
      </c>
      <c r="P155" s="94">
        <f>IF(INDEX(lmic_raw_lb[],MATCH($A155,lmic_raw_lb[[setting]:[setting]],0), MATCH(P$139, lmic_raw_lb[#Headers],0))=0, INDEX(regions_lb[], MATCH($D155, regions_lb[[setting]:[setting]],0), MATCH(P$139, regions_lb[#Headers],0)),INDEX(lmic_raw_lb[],MATCH($A155,lmic_raw_lb[[setting]:[setting]],0), MATCH(P$139, lmic_raw_lb[#Headers],0)))</f>
        <v>0.05</v>
      </c>
      <c r="Q155" s="94">
        <f>IF(INDEX(lmic_raw_lb[],MATCH($A155,lmic_raw_lb[[setting]:[setting]],0), MATCH(Q$139, lmic_raw_lb[#Headers],0))=0, INDEX(regions_lb[], MATCH($D155, regions_lb[[setting]:[setting]],0), MATCH(Q$139, regions_lb[#Headers],0)),INDEX(lmic_raw_lb[],MATCH($A155,lmic_raw_lb[[setting]:[setting]],0), MATCH(Q$139, lmic_raw_lb[#Headers],0)))</f>
        <v>4.6113365833114939</v>
      </c>
      <c r="R155" s="94">
        <f>IF(INDEX(lmic_raw_lb[],MATCH($A155,lmic_raw_lb[[setting]:[setting]],0), MATCH(R$139, lmic_raw_lb[#Headers],0))=0, INDEX(regions_lb[], MATCH($D155, regions_lb[[setting]:[setting]],0), MATCH(R$139, regions_lb[#Headers],0)),INDEX(lmic_raw_lb[],MATCH($A155,lmic_raw_lb[[setting]:[setting]],0), MATCH(R$139, lmic_raw_lb[#Headers],0)))</f>
        <v>82.539704999999998</v>
      </c>
      <c r="S155" s="94">
        <f>IF(INDEX(lmic_raw_lb[],MATCH($A155,lmic_raw_lb[[setting]:[setting]],0), MATCH(S$139, lmic_raw_lb[#Headers],0))=0, INDEX(regions_lb[], MATCH($D155, regions_lb[[setting]:[setting]],0), MATCH(S$139, regions_lb[#Headers],0)),INDEX(lmic_raw_lb[],MATCH($A155,lmic_raw_lb[[setting]:[setting]],0), MATCH(S$139, lmic_raw_lb[#Headers],0)))</f>
        <v>127.894605</v>
      </c>
      <c r="T155" s="94">
        <f>IF(INDEX(lmic_raw_lb[],MATCH($A155,lmic_raw_lb[[setting]:[setting]],0), MATCH(T$139, lmic_raw_lb[#Headers],0))=0, INDEX(regions_lb[], MATCH($D155, regions_lb[[setting]:[setting]],0), MATCH(T$139, regions_lb[#Headers],0)),INDEX(lmic_raw_lb[],MATCH($A155,lmic_raw_lb[[setting]:[setting]],0), MATCH(T$139, lmic_raw_lb[#Headers],0)))</f>
        <v>127.894605</v>
      </c>
      <c r="U155" s="94">
        <f>IF(INDEX(lmic_raw_lb[],MATCH($A155,lmic_raw_lb[[setting]:[setting]],0), MATCH(U$139, lmic_raw_lb[#Headers],0))=0, INDEX(regions_lb[], MATCH($D155, regions_lb[[setting]:[setting]],0), MATCH(U$139, regions_lb[#Headers],0)),INDEX(lmic_raw_lb[],MATCH($A155,lmic_raw_lb[[setting]:[setting]],0), MATCH(U$139, lmic_raw_lb[#Headers],0)))</f>
        <v>127.894605</v>
      </c>
      <c r="V155" s="94">
        <f>IF(INDEX(lmic_raw_lb[],MATCH($A155,lmic_raw_lb[[setting]:[setting]],0), MATCH(V$139, lmic_raw_lb[#Headers],0))=0, INDEX(regions_lb[], MATCH($D155, regions_lb[[setting]:[setting]],0), MATCH(V$139, regions_lb[#Headers],0)),INDEX(lmic_raw_lb[],MATCH($A155,lmic_raw_lb[[setting]:[setting]],0), MATCH(V$139, lmic_raw_lb[#Headers],0)))</f>
        <v>0.88258525221822948</v>
      </c>
      <c r="W155" s="94">
        <f>IF(INDEX(lmic_raw_lb[],MATCH($A155,lmic_raw_lb[[setting]:[setting]],0), MATCH(W$139, lmic_raw_lb[#Headers],0))=0, INDEX(regions_lb[], MATCH($D155, regions_lb[[setting]:[setting]],0), MATCH(W$139, regions_lb[#Headers],0)),INDEX(lmic_raw_lb[],MATCH($A155,lmic_raw_lb[[setting]:[setting]],0), MATCH(W$139, lmic_raw_lb[#Headers],0)))</f>
        <v>0.90329525221822948</v>
      </c>
      <c r="X155" s="94">
        <f>IF(INDEX(lmic_raw_lb[],MATCH($A155,lmic_raw_lb[[setting]:[setting]],0), MATCH(X$139, lmic_raw_lb[#Headers],0))=0, INDEX(regions_lb[], MATCH($D155, regions_lb[[setting]:[setting]],0), MATCH(X$139, regions_lb[#Headers],0)),INDEX(lmic_raw_lb[],MATCH($A155,lmic_raw_lb[[setting]:[setting]],0), MATCH(X$139, lmic_raw_lb[#Headers],0)))</f>
        <v>0.5097901524065187</v>
      </c>
      <c r="Y155" s="94">
        <f>IF(INDEX(lmic_raw_lb[],MATCH($A155,lmic_raw_lb[[setting]:[setting]],0), MATCH(Y$139, lmic_raw_lb[#Headers],0))=0, INDEX(regions_lb[], MATCH($D155, regions_lb[[setting]:[setting]],0), MATCH(Y$139, regions_lb[#Headers],0)),INDEX(lmic_raw_lb[],MATCH($A155,lmic_raw_lb[[setting]:[setting]],0), MATCH(Y$139, lmic_raw_lb[#Headers],0)))</f>
        <v>0.53050015240651871</v>
      </c>
      <c r="Z155" s="94">
        <f>IF(INDEX(lmic_raw_lb[],MATCH($A155,lmic_raw_lb[[setting]:[setting]],0), MATCH(Z$139, lmic_raw_lb[#Headers],0))=0, INDEX(regions_lb[], MATCH($D155, regions_lb[[setting]:[setting]],0), MATCH(Z$139, regions_lb[#Headers],0)),INDEX(lmic_raw_lb[],MATCH($A155,lmic_raw_lb[[setting]:[setting]],0), MATCH(Z$139, lmic_raw_lb[#Headers],0)))</f>
        <v>0.52385409117402826</v>
      </c>
      <c r="AA155" s="94">
        <f>IF(INDEX(lmic_raw_lb[],MATCH($A155,lmic_raw_lb[[setting]:[setting]],0), MATCH(AA$139, lmic_raw_lb[#Headers],0))=0, INDEX(regions_lb[], MATCH($D155, regions_lb[[setting]:[setting]],0), MATCH(AA$139, regions_lb[#Headers],0)),INDEX(lmic_raw_lb[],MATCH($A155,lmic_raw_lb[[setting]:[setting]],0), MATCH(AA$139, lmic_raw_lb[#Headers],0)))</f>
        <v>1.0969961123731748</v>
      </c>
      <c r="AB155" s="94">
        <f>IF(INDEX(lmic_raw_lb[],MATCH($A155,lmic_raw_lb[[setting]:[setting]],0), MATCH(AB$139, lmic_raw_lb[#Headers],0))=0, INDEX(regions_lb[], MATCH($D155, regions_lb[[setting]:[setting]],0), MATCH(AB$139, regions_lb[#Headers],0)),INDEX(lmic_raw_lb[],MATCH($A155,lmic_raw_lb[[setting]:[setting]],0), MATCH(AB$139, lmic_raw_lb[#Headers],0)))</f>
        <v>1.1177061123731749</v>
      </c>
      <c r="AC155" s="94">
        <f>IF(INDEX(lmic_raw_lb[],MATCH($A155,lmic_raw_lb[[setting]:[setting]],0), MATCH(AC$139, lmic_raw_lb[#Headers],0))=0, INDEX(regions_lb[], MATCH($D155, regions_lb[[setting]:[setting]],0), MATCH(AC$139, regions_lb[#Headers],0)),INDEX(lmic_raw_lb[],MATCH($A155,lmic_raw_lb[[setting]:[setting]],0), MATCH(AC$139, lmic_raw_lb[#Headers],0)))</f>
        <v>1.2366235500000024E-2</v>
      </c>
      <c r="AD155" s="94">
        <f>IF(INDEX(lmic_raw_lb[],MATCH($A155,lmic_raw_lb[[setting]:[setting]],0), MATCH(AD$139, lmic_raw_lb[#Headers],0))=0, INDEX(regions_lb[], MATCH($D155, regions_lb[[setting]:[setting]],0), MATCH(AD$139, regions_lb[#Headers],0)),INDEX(lmic_raw_lb[],MATCH($A155,lmic_raw_lb[[setting]:[setting]],0), MATCH(AD$139, lmic_raw_lb[#Headers],0)))</f>
        <v>5.3719965120772851E-4</v>
      </c>
      <c r="AE155" s="94">
        <f>IF(INDEX(lmic_raw_lb[],MATCH($A155,lmic_raw_lb[[setting]:[setting]],0), MATCH(AE$139, lmic_raw_lb[#Headers],0))=0, INDEX(regions_lb[], MATCH($D155, regions_lb[[setting]:[setting]],0), MATCH(AE$139, regions_lb[#Headers],0)),INDEX(lmic_raw_lb[],MATCH($A155,lmic_raw_lb[[setting]:[setting]],0), MATCH(AE$139, lmic_raw_lb[#Headers],0)))</f>
        <v>2.147524764801908E-4</v>
      </c>
      <c r="AF155" s="94">
        <f>IF(INDEX(lmic_raw_lb[],MATCH($A155,lmic_raw_lb[[setting]:[setting]],0), MATCH(AF$139, lmic_raw_lb[#Headers],0))=0, INDEX(regions_lb[], MATCH($D155, regions_lb[[setting]:[setting]],0), MATCH(AF$139, regions_lb[#Headers],0)),INDEX(lmic_raw_lb[],MATCH($A155,lmic_raw_lb[[setting]:[setting]],0), MATCH(AF$139, lmic_raw_lb[#Headers],0)))</f>
        <v>2.9505089385476277E-4</v>
      </c>
      <c r="AG155" s="94">
        <f>IF(INDEX(lmic_raw_lb[],MATCH($A155,lmic_raw_lb[[setting]:[setting]],0), MATCH(AG$139, lmic_raw_lb[#Headers],0))=0, INDEX(regions_lb[], MATCH($D155, regions_lb[[setting]:[setting]],0), MATCH(AG$139, regions_lb[#Headers],0)),INDEX(lmic_raw_lb[],MATCH($A155,lmic_raw_lb[[setting]:[setting]],0), MATCH(AG$139, lmic_raw_lb[#Headers],0)))</f>
        <v>1.0292513792218836E-3</v>
      </c>
      <c r="AH155" s="94">
        <f>IF(INDEX(lmic_raw_lb[],MATCH($A155,lmic_raw_lb[[setting]:[setting]],0), MATCH(AH$139, lmic_raw_lb[#Headers],0))=0, INDEX(regions_lb[], MATCH($D155, regions_lb[[setting]:[setting]],0), MATCH(AH$139, regions_lb[#Headers],0)),INDEX(lmic_raw_lb[],MATCH($A155,lmic_raw_lb[[setting]:[setting]],0), MATCH(AH$139, lmic_raw_lb[#Headers],0)))</f>
        <v>1.5641572111942692E-3</v>
      </c>
      <c r="AI155" s="94">
        <f>IF(INDEX(lmic_raw_lb[],MATCH($A155,lmic_raw_lb[[setting]:[setting]],0), MATCH(AI$139, lmic_raw_lb[#Headers],0))=0, INDEX(regions_lb[], MATCH($D155, regions_lb[[setting]:[setting]],0), MATCH(AI$139, regions_lb[#Headers],0)),INDEX(lmic_raw_lb[],MATCH($A155,lmic_raw_lb[[setting]:[setting]],0), MATCH(AI$139, lmic_raw_lb[#Headers],0)))</f>
        <v>1.4952274501821158E-3</v>
      </c>
      <c r="AJ155" s="94">
        <f>IF(INDEX(lmic_raw_lb[],MATCH($A155,lmic_raw_lb[[setting]:[setting]],0), MATCH(AJ$139, lmic_raw_lb[#Headers],0))=0, INDEX(regions_lb[], MATCH($D155, regions_lb[[setting]:[setting]],0), MATCH(AJ$139, regions_lb[#Headers],0)),INDEX(lmic_raw_lb[],MATCH($A155,lmic_raw_lb[[setting]:[setting]],0), MATCH(AJ$139, lmic_raw_lb[#Headers],0)))</f>
        <v>1.7245175007047989E-3</v>
      </c>
      <c r="AK155" s="94">
        <f>IF(INDEX(lmic_raw_lb[],MATCH($A155,lmic_raw_lb[[setting]:[setting]],0), MATCH(AK$139, lmic_raw_lb[#Headers],0))=0, INDEX(regions_lb[], MATCH($D155, regions_lb[[setting]:[setting]],0), MATCH(AK$139, regions_lb[#Headers],0)),INDEX(lmic_raw_lb[],MATCH($A155,lmic_raw_lb[[setting]:[setting]],0), MATCH(AK$139, lmic_raw_lb[#Headers],0)))</f>
        <v>2.178240417094815E-3</v>
      </c>
      <c r="AL155" s="94">
        <f>IF(INDEX(lmic_raw_lb[],MATCH($A155,lmic_raw_lb[[setting]:[setting]],0), MATCH(AL$139, lmic_raw_lb[#Headers],0))=0, INDEX(regions_lb[], MATCH($D155, regions_lb[[setting]:[setting]],0), MATCH(AL$139, regions_lb[#Headers],0)),INDEX(lmic_raw_lb[],MATCH($A155,lmic_raw_lb[[setting]:[setting]],0), MATCH(AL$139, lmic_raw_lb[#Headers],0)))</f>
        <v>2.8017400176018107E-3</v>
      </c>
      <c r="AM155" s="94">
        <f>IF(INDEX(lmic_raw_lb[],MATCH($A155,lmic_raw_lb[[setting]:[setting]],0), MATCH(AM$139, lmic_raw_lb[#Headers],0))=0, INDEX(regions_lb[], MATCH($D155, regions_lb[[setting]:[setting]],0), MATCH(AM$139, regions_lb[#Headers],0)),INDEX(lmic_raw_lb[],MATCH($A155,lmic_raw_lb[[setting]:[setting]],0), MATCH(AM$139, lmic_raw_lb[#Headers],0)))</f>
        <v>4.0414131174501986E-3</v>
      </c>
      <c r="AN155" s="94">
        <f>IF(INDEX(lmic_raw_lb[],MATCH($A155,lmic_raw_lb[[setting]:[setting]],0), MATCH(AN$139, lmic_raw_lb[#Headers],0))=0, INDEX(regions_lb[], MATCH($D155, regions_lb[[setting]:[setting]],0), MATCH(AN$139, regions_lb[#Headers],0)),INDEX(lmic_raw_lb[],MATCH($A155,lmic_raw_lb[[setting]:[setting]],0), MATCH(AN$139, lmic_raw_lb[#Headers],0)))</f>
        <v>5.7617333536563722E-3</v>
      </c>
      <c r="AO155" s="94">
        <f>IF(INDEX(lmic_raw_lb[],MATCH($A155,lmic_raw_lb[[setting]:[setting]],0), MATCH(AO$139, lmic_raw_lb[#Headers],0))=0, INDEX(regions_lb[], MATCH($D155, regions_lb[[setting]:[setting]],0), MATCH(AO$139, regions_lb[#Headers],0)),INDEX(lmic_raw_lb[],MATCH($A155,lmic_raw_lb[[setting]:[setting]],0), MATCH(AO$139, lmic_raw_lb[#Headers],0)))</f>
        <v>8.1437531301908287E-3</v>
      </c>
      <c r="AP155" s="94">
        <f>IF(INDEX(lmic_raw_lb[],MATCH($A155,lmic_raw_lb[[setting]:[setting]],0), MATCH(AP$139, lmic_raw_lb[#Headers],0))=0, INDEX(regions_lb[], MATCH($D155, regions_lb[[setting]:[setting]],0), MATCH(AP$139, regions_lb[#Headers],0)),INDEX(lmic_raw_lb[],MATCH($A155,lmic_raw_lb[[setting]:[setting]],0), MATCH(AP$139, lmic_raw_lb[#Headers],0)))</f>
        <v>1.2121484616767986E-2</v>
      </c>
      <c r="AQ155" s="94">
        <f>IF(INDEX(lmic_raw_lb[],MATCH($A155,lmic_raw_lb[[setting]:[setting]],0), MATCH(AQ$139, lmic_raw_lb[#Headers],0))=0, INDEX(regions_lb[], MATCH($D155, regions_lb[[setting]:[setting]],0), MATCH(AQ$139, regions_lb[#Headers],0)),INDEX(lmic_raw_lb[],MATCH($A155,lmic_raw_lb[[setting]:[setting]],0), MATCH(AQ$139, lmic_raw_lb[#Headers],0)))</f>
        <v>1.7951825475725752E-2</v>
      </c>
      <c r="AR155" s="94">
        <f>IF(INDEX(lmic_raw_lb[],MATCH($A155,lmic_raw_lb[[setting]:[setting]],0), MATCH(AR$139, lmic_raw_lb[#Headers],0))=0, INDEX(regions_lb[], MATCH($D155, regions_lb[[setting]:[setting]],0), MATCH(AR$139, regions_lb[#Headers],0)),INDEX(lmic_raw_lb[],MATCH($A155,lmic_raw_lb[[setting]:[setting]],0), MATCH(AR$139, lmic_raw_lb[#Headers],0)))</f>
        <v>2.5518553732218046E-2</v>
      </c>
      <c r="AS155" s="94">
        <f>IF(INDEX(lmic_raw_lb[],MATCH($A155,lmic_raw_lb[[setting]:[setting]],0), MATCH(AS$139, lmic_raw_lb[#Headers],0))=0, INDEX(regions_lb[], MATCH($D155, regions_lb[[setting]:[setting]],0), MATCH(AS$139, regions_lb[#Headers],0)),INDEX(lmic_raw_lb[],MATCH($A155,lmic_raw_lb[[setting]:[setting]],0), MATCH(AS$139, lmic_raw_lb[#Headers],0)))</f>
        <v>3.8179729857199328E-2</v>
      </c>
      <c r="AT155" s="94">
        <f>IF(INDEX(lmic_raw_lb[],MATCH($A155,lmic_raw_lb[[setting]:[setting]],0), MATCH(AT$139, lmic_raw_lb[#Headers],0))=0, INDEX(regions_lb[], MATCH($D155, regions_lb[[setting]:[setting]],0), MATCH(AT$139, regions_lb[#Headers],0)),INDEX(lmic_raw_lb[],MATCH($A155,lmic_raw_lb[[setting]:[setting]],0), MATCH(AT$139, lmic_raw_lb[#Headers],0)))</f>
        <v>5.536122338322489E-2</v>
      </c>
      <c r="AU155" s="94">
        <f>IF(INDEX(lmic_raw_lb[],MATCH($A155,lmic_raw_lb[[setting]:[setting]],0), MATCH(AU$139, lmic_raw_lb[#Headers],0))=0, INDEX(regions_lb[], MATCH($D155, regions_lb[[setting]:[setting]],0), MATCH(AU$139, regions_lb[#Headers],0)),INDEX(lmic_raw_lb[],MATCH($A155,lmic_raw_lb[[setting]:[setting]],0), MATCH(AU$139, lmic_raw_lb[#Headers],0)))</f>
        <v>7.688682189626718E-2</v>
      </c>
      <c r="AV155" s="94">
        <f>IF(INDEX(lmic_raw_lb[],MATCH($A155,lmic_raw_lb[[setting]:[setting]],0), MATCH(AV$139, lmic_raw_lb[#Headers],0))=0, INDEX(regions_lb[], MATCH($D155, regions_lb[[setting]:[setting]],0), MATCH(AV$139, regions_lb[#Headers],0)),INDEX(lmic_raw_lb[],MATCH($A155,lmic_raw_lb[[setting]:[setting]],0), MATCH(AV$139, lmic_raw_lb[#Headers],0)))</f>
        <v>0.1009762982765379</v>
      </c>
      <c r="AW155" s="94">
        <f>IF(INDEX(lmic_raw_lb[],MATCH($A155,lmic_raw_lb[[setting]:[setting]],0), MATCH(AW$139, lmic_raw_lb[#Headers],0))=0, INDEX(regions_lb[], MATCH($D155, regions_lb[[setting]:[setting]],0), MATCH(AW$139, regions_lb[#Headers],0)),INDEX(lmic_raw_lb[],MATCH($A155,lmic_raw_lb[[setting]:[setting]],0), MATCH(AW$139, lmic_raw_lb[#Headers],0)))</f>
        <v>0.13073481204058479</v>
      </c>
      <c r="AX155" s="94">
        <f>IF(INDEX(lmic_raw_lb[],MATCH($A155,lmic_raw_lb[[setting]:[setting]],0), MATCH(AX$139, lmic_raw_lb[#Headers],0))=0, INDEX(regions_lb[], MATCH($D155, regions_lb[[setting]:[setting]],0), MATCH(AX$139, regions_lb[#Headers],0)),INDEX(lmic_raw_lb[],MATCH($A155,lmic_raw_lb[[setting]:[setting]],0), MATCH(AX$139, lmic_raw_lb[#Headers],0)))</f>
        <v>71.78295</v>
      </c>
      <c r="AY155" s="94" t="str">
        <f>IF(VLOOKUP(lmics_lb[[#This Row],[setting]],lmic_raw_lb[],11,FALSE)=0, "Yes", "No")</f>
        <v>No</v>
      </c>
    </row>
    <row r="156" spans="1:51" x14ac:dyDescent="0.25">
      <c r="A156" s="109" t="s">
        <v>308</v>
      </c>
      <c r="B156" s="101" t="s">
        <v>390</v>
      </c>
      <c r="C156" s="102">
        <v>100</v>
      </c>
      <c r="D156" s="82" t="s">
        <v>675</v>
      </c>
      <c r="E156" s="121" t="s">
        <v>580</v>
      </c>
      <c r="F156" s="98" t="s">
        <v>663</v>
      </c>
      <c r="G156" s="98" t="s">
        <v>676</v>
      </c>
      <c r="H156" s="98"/>
      <c r="I156" s="98"/>
      <c r="J156" s="98">
        <f>IF(INDEX(lmic_raw_lb[],MATCH($A156,lmic_raw_lb[[setting]:[setting]],0), MATCH(J$139, lmic_raw_lb[#Headers],0))=0, INDEX(regions_lb[], MATCH($D156, regions_lb[[setting]:[setting]],0), MATCH(J$139, regions_lb[#Headers],0)),INDEX(lmic_raw_lb[],MATCH($A156,lmic_raw_lb[[setting]:[setting]],0), MATCH(J$139, lmic_raw_lb[#Headers],0)))</f>
        <v>0.94714999999999994</v>
      </c>
      <c r="K156" s="98">
        <f>IF(INDEX(lmic_raw_lb[],MATCH($A156,lmic_raw_lb[[setting]:[setting]],0), MATCH(K$139, lmic_raw_lb[#Headers],0))=0, INDEX(regions_lb[], MATCH($D156, regions_lb[[setting]:[setting]],0), MATCH(K$139, regions_lb[#Headers],0)),INDEX(lmic_raw_lb[],MATCH($A156,lmic_raw_lb[[setting]:[setting]],0), MATCH(K$139, lmic_raw_lb[#Headers],0)))</f>
        <v>0.91199999999999992</v>
      </c>
      <c r="L156" s="98">
        <f>IF(INDEX(lmic_raw_lb[],MATCH($A156,lmic_raw_lb[[setting]:[setting]],0), MATCH(L$139, lmic_raw_lb[#Headers],0))=0, INDEX(regions_lb[], MATCH($D156, regions_lb[[setting]:[setting]],0), MATCH(L$139, regions_lb[#Headers],0)),INDEX(lmic_raw_lb[],MATCH($A156,lmic_raw_lb[[setting]:[setting]],0), MATCH(L$139, lmic_raw_lb[#Headers],0)))</f>
        <v>0.8075</v>
      </c>
      <c r="M156" s="98">
        <f>IF(INDEX(lmic_raw_lb[],MATCH($A156,lmic_raw_lb[[setting]:[setting]],0), MATCH(M$139, lmic_raw_lb[#Headers],0))=0, INDEX(regions_lb[], MATCH($D156, regions_lb[[setting]:[setting]],0), MATCH(M$139, regions_lb[#Headers],0)),INDEX(lmic_raw_lb[],MATCH($A156,lmic_raw_lb[[setting]:[setting]],0), MATCH(M$139, lmic_raw_lb[#Headers],0)))</f>
        <v>1.8000000000000002E-2</v>
      </c>
      <c r="N156" s="98">
        <f>IF(INDEX(lmic_raw_lb[],MATCH($A156,lmic_raw_lb[[setting]:[setting]],0), MATCH(N$139, lmic_raw_lb[#Headers],0))=0, INDEX(regions_lb[], MATCH($D156, regions_lb[[setting]:[setting]],0), MATCH(N$139, regions_lb[#Headers],0)),INDEX(lmic_raw_lb[],MATCH($A156,lmic_raw_lb[[setting]:[setting]],0), MATCH(N$139, lmic_raw_lb[#Headers],0)))</f>
        <v>0.16329999999999997</v>
      </c>
      <c r="O156" s="98">
        <f>IF(INDEX(lmic_raw_lb[],MATCH($A156,lmic_raw_lb[[setting]:[setting]],0), MATCH(O$139, lmic_raw_lb[#Headers],0))=0, INDEX(regions_lb[], MATCH($D156, regions_lb[[setting]:[setting]],0), MATCH(O$139, regions_lb[#Headers],0)),INDEX(lmic_raw_lb[],MATCH($A156,lmic_raw_lb[[setting]:[setting]],0), MATCH(O$139, lmic_raw_lb[#Headers],0)))</f>
        <v>0.7</v>
      </c>
      <c r="P156" s="98">
        <f>IF(INDEX(lmic_raw_lb[],MATCH($A156,lmic_raw_lb[[setting]:[setting]],0), MATCH(P$139, lmic_raw_lb[#Headers],0))=0, INDEX(regions_lb[], MATCH($D156, regions_lb[[setting]:[setting]],0), MATCH(P$139, regions_lb[#Headers],0)),INDEX(lmic_raw_lb[],MATCH($A156,lmic_raw_lb[[setting]:[setting]],0), MATCH(P$139, lmic_raw_lb[#Headers],0)))</f>
        <v>0.05</v>
      </c>
      <c r="Q156" s="98">
        <f>IF(INDEX(lmic_raw_lb[],MATCH($A156,lmic_raw_lb[[setting]:[setting]],0), MATCH(Q$139, lmic_raw_lb[#Headers],0))=0, INDEX(regions_lb[], MATCH($D156, regions_lb[[setting]:[setting]],0), MATCH(Q$139, regions_lb[#Headers],0)),INDEX(lmic_raw_lb[],MATCH($A156,lmic_raw_lb[[setting]:[setting]],0), MATCH(Q$139, lmic_raw_lb[#Headers],0)))</f>
        <v>11.083529634316093</v>
      </c>
      <c r="R156" s="98">
        <f>IF(INDEX(lmic_raw_lb[],MATCH($A156,lmic_raw_lb[[setting]:[setting]],0), MATCH(R$139, lmic_raw_lb[#Headers],0))=0, INDEX(regions_lb[], MATCH($D156, regions_lb[[setting]:[setting]],0), MATCH(R$139, regions_lb[#Headers],0)),INDEX(lmic_raw_lb[],MATCH($A156,lmic_raw_lb[[setting]:[setting]],0), MATCH(R$139, lmic_raw_lb[#Headers],0)))</f>
        <v>42.31053</v>
      </c>
      <c r="S156" s="98">
        <f>IF(INDEX(lmic_raw_lb[],MATCH($A156,lmic_raw_lb[[setting]:[setting]],0), MATCH(S$139, lmic_raw_lb[#Headers],0))=0, INDEX(regions_lb[], MATCH($D156, regions_lb[[setting]:[setting]],0), MATCH(S$139, regions_lb[#Headers],0)),INDEX(lmic_raw_lb[],MATCH($A156,lmic_raw_lb[[setting]:[setting]],0), MATCH(S$139, lmic_raw_lb[#Headers],0)))</f>
        <v>87.665430000000001</v>
      </c>
      <c r="T156" s="98">
        <f>IF(INDEX(lmic_raw_lb[],MATCH($A156,lmic_raw_lb[[setting]:[setting]],0), MATCH(T$139, lmic_raw_lb[#Headers],0))=0, INDEX(regions_lb[], MATCH($D156, regions_lb[[setting]:[setting]],0), MATCH(T$139, regions_lb[#Headers],0)),INDEX(lmic_raw_lb[],MATCH($A156,lmic_raw_lb[[setting]:[setting]],0), MATCH(T$139, lmic_raw_lb[#Headers],0)))</f>
        <v>87.665430000000001</v>
      </c>
      <c r="U156" s="98">
        <f>IF(INDEX(lmic_raw_lb[],MATCH($A156,lmic_raw_lb[[setting]:[setting]],0), MATCH(U$139, lmic_raw_lb[#Headers],0))=0, INDEX(regions_lb[], MATCH($D156, regions_lb[[setting]:[setting]],0), MATCH(U$139, regions_lb[#Headers],0)),INDEX(lmic_raw_lb[],MATCH($A156,lmic_raw_lb[[setting]:[setting]],0), MATCH(U$139, lmic_raw_lb[#Headers],0)))</f>
        <v>87.665430000000001</v>
      </c>
      <c r="V156" s="98">
        <f>IF(INDEX(lmic_raw_lb[],MATCH($A156,lmic_raw_lb[[setting]:[setting]],0), MATCH(V$139, lmic_raw_lb[#Headers],0))=0, INDEX(regions_lb[], MATCH($D156, regions_lb[[setting]:[setting]],0), MATCH(V$139, regions_lb[#Headers],0)),INDEX(lmic_raw_lb[],MATCH($A156,lmic_raw_lb[[setting]:[setting]],0), MATCH(V$139, lmic_raw_lb[#Headers],0)))</f>
        <v>2.5254218710281342</v>
      </c>
      <c r="W156" s="98">
        <f>IF(INDEX(lmic_raw_lb[],MATCH($A156,lmic_raw_lb[[setting]:[setting]],0), MATCH(W$139, lmic_raw_lb[#Headers],0))=0, INDEX(regions_lb[], MATCH($D156, regions_lb[[setting]:[setting]],0), MATCH(W$139, regions_lb[#Headers],0)),INDEX(lmic_raw_lb[],MATCH($A156,lmic_raw_lb[[setting]:[setting]],0), MATCH(W$139, lmic_raw_lb[#Headers],0)))</f>
        <v>6.387836871028135</v>
      </c>
      <c r="X156" s="98">
        <f>IF(INDEX(lmic_raw_lb[],MATCH($A156,lmic_raw_lb[[setting]:[setting]],0), MATCH(X$139, lmic_raw_lb[#Headers],0))=0, INDEX(regions_lb[], MATCH($D156, regions_lb[[setting]:[setting]],0), MATCH(X$139, regions_lb[#Headers],0)),INDEX(lmic_raw_lb[],MATCH($A156,lmic_raw_lb[[setting]:[setting]],0), MATCH(X$139, lmic_raw_lb[#Headers],0)))</f>
        <v>2.1505116928829335</v>
      </c>
      <c r="Y156" s="98">
        <f>IF(INDEX(lmic_raw_lb[],MATCH($A156,lmic_raw_lb[[setting]:[setting]],0), MATCH(Y$139, lmic_raw_lb[#Headers],0))=0, INDEX(regions_lb[], MATCH($D156, regions_lb[[setting]:[setting]],0), MATCH(Y$139, regions_lb[#Headers],0)),INDEX(lmic_raw_lb[],MATCH($A156,lmic_raw_lb[[setting]:[setting]],0), MATCH(Y$139, lmic_raw_lb[#Headers],0)))</f>
        <v>6.0129266928829335</v>
      </c>
      <c r="Z156" s="98">
        <f>IF(INDEX(lmic_raw_lb[],MATCH($A156,lmic_raw_lb[[setting]:[setting]],0), MATCH(Z$139, lmic_raw_lb[#Headers],0))=0, INDEX(regions_lb[], MATCH($D156, regions_lb[[setting]:[setting]],0), MATCH(Z$139, regions_lb[#Headers],0)),INDEX(lmic_raw_lb[],MATCH($A156,lmic_raw_lb[[setting]:[setting]],0), MATCH(Z$139, lmic_raw_lb[#Headers],0)))</f>
        <v>6.0043734823064945</v>
      </c>
      <c r="AA156" s="98">
        <f>IF(INDEX(lmic_raw_lb[],MATCH($A156,lmic_raw_lb[[setting]:[setting]],0), MATCH(AA$139, lmic_raw_lb[#Headers],0))=0, INDEX(regions_lb[], MATCH($D156, regions_lb[[setting]:[setting]],0), MATCH(AA$139, regions_lb[#Headers],0)),INDEX(lmic_raw_lb[],MATCH($A156,lmic_raw_lb[[setting]:[setting]],0), MATCH(AA$139, lmic_raw_lb[#Headers],0)))</f>
        <v>2.7407391933260041</v>
      </c>
      <c r="AB156" s="98">
        <f>IF(INDEX(lmic_raw_lb[],MATCH($A156,lmic_raw_lb[[setting]:[setting]],0), MATCH(AB$139, lmic_raw_lb[#Headers],0))=0, INDEX(regions_lb[], MATCH($D156, regions_lb[[setting]:[setting]],0), MATCH(AB$139, regions_lb[#Headers],0)),INDEX(lmic_raw_lb[],MATCH($A156,lmic_raw_lb[[setting]:[setting]],0), MATCH(AB$139, lmic_raw_lb[#Headers],0)))</f>
        <v>6.6031541933260041</v>
      </c>
      <c r="AC156" s="98">
        <f>IF(INDEX(lmic_raw_lb[],MATCH($A156,lmic_raw_lb[[setting]:[setting]],0), MATCH(AC$139, lmic_raw_lb[#Headers],0))=0, INDEX(regions_lb[], MATCH($D156, regions_lb[[setting]:[setting]],0), MATCH(AC$139, regions_lb[#Headers],0)),INDEX(lmic_raw_lb[],MATCH($A156,lmic_raw_lb[[setting]:[setting]],0), MATCH(AC$139, lmic_raw_lb[#Headers],0)))</f>
        <v>5.9728589999999459E-3</v>
      </c>
      <c r="AD156" s="98">
        <f>IF(INDEX(lmic_raw_lb[],MATCH($A156,lmic_raw_lb[[setting]:[setting]],0), MATCH(AD$139, lmic_raw_lb[#Headers],0))=0, INDEX(regions_lb[], MATCH($D156, regions_lb[[setting]:[setting]],0), MATCH(AD$139, regions_lb[#Headers],0)),INDEX(lmic_raw_lb[],MATCH($A156,lmic_raw_lb[[setting]:[setting]],0), MATCH(AD$139, lmic_raw_lb[#Headers],0)))</f>
        <v>2.7948493326212614E-4</v>
      </c>
      <c r="AE156" s="98">
        <f>IF(INDEX(lmic_raw_lb[],MATCH($A156,lmic_raw_lb[[setting]:[setting]],0), MATCH(AE$139, lmic_raw_lb[#Headers],0))=0, INDEX(regions_lb[], MATCH($D156, regions_lb[[setting]:[setting]],0), MATCH(AE$139, regions_lb[#Headers],0)),INDEX(lmic_raw_lb[],MATCH($A156,lmic_raw_lb[[setting]:[setting]],0), MATCH(AE$139, lmic_raw_lb[#Headers],0)))</f>
        <v>1.3489505849314764E-4</v>
      </c>
      <c r="AF156" s="98">
        <f>IF(INDEX(lmic_raw_lb[],MATCH($A156,lmic_raw_lb[[setting]:[setting]],0), MATCH(AF$139, lmic_raw_lb[#Headers],0))=0, INDEX(regions_lb[], MATCH($D156, regions_lb[[setting]:[setting]],0), MATCH(AF$139, regions_lb[#Headers],0)),INDEX(lmic_raw_lb[],MATCH($A156,lmic_raw_lb[[setting]:[setting]],0), MATCH(AF$139, lmic_raw_lb[#Headers],0)))</f>
        <v>1.5994969424061782E-4</v>
      </c>
      <c r="AG156" s="98">
        <f>IF(INDEX(lmic_raw_lb[],MATCH($A156,lmic_raw_lb[[setting]:[setting]],0), MATCH(AG$139, lmic_raw_lb[#Headers],0))=0, INDEX(regions_lb[], MATCH($D156, regions_lb[[setting]:[setting]],0), MATCH(AG$139, regions_lb[#Headers],0)),INDEX(lmic_raw_lb[],MATCH($A156,lmic_raw_lb[[setting]:[setting]],0), MATCH(AG$139, lmic_raw_lb[#Headers],0)))</f>
        <v>4.1915835333620078E-4</v>
      </c>
      <c r="AH156" s="98">
        <f>IF(INDEX(lmic_raw_lb[],MATCH($A156,lmic_raw_lb[[setting]:[setting]],0), MATCH(AH$139, lmic_raw_lb[#Headers],0))=0, INDEX(regions_lb[], MATCH($D156, regions_lb[[setting]:[setting]],0), MATCH(AH$139, regions_lb[#Headers],0)),INDEX(lmic_raw_lb[],MATCH($A156,lmic_raw_lb[[setting]:[setting]],0), MATCH(AH$139, lmic_raw_lb[#Headers],0)))</f>
        <v>5.5324799571204232E-4</v>
      </c>
      <c r="AI156" s="98">
        <f>IF(INDEX(lmic_raw_lb[],MATCH($A156,lmic_raw_lb[[setting]:[setting]],0), MATCH(AI$139, lmic_raw_lb[#Headers],0))=0, INDEX(regions_lb[], MATCH($D156, regions_lb[[setting]:[setting]],0), MATCH(AI$139, regions_lb[#Headers],0)),INDEX(lmic_raw_lb[],MATCH($A156,lmic_raw_lb[[setting]:[setting]],0), MATCH(AI$139, lmic_raw_lb[#Headers],0)))</f>
        <v>6.4614646294828908E-4</v>
      </c>
      <c r="AJ156" s="98">
        <f>IF(INDEX(lmic_raw_lb[],MATCH($A156,lmic_raw_lb[[setting]:[setting]],0), MATCH(AJ$139, lmic_raw_lb[#Headers],0))=0, INDEX(regions_lb[], MATCH($D156, regions_lb[[setting]:[setting]],0), MATCH(AJ$139, regions_lb[#Headers],0)),INDEX(lmic_raw_lb[],MATCH($A156,lmic_raw_lb[[setting]:[setting]],0), MATCH(AJ$139, lmic_raw_lb[#Headers],0)))</f>
        <v>9.2824299179407885E-4</v>
      </c>
      <c r="AK156" s="98">
        <f>IF(INDEX(lmic_raw_lb[],MATCH($A156,lmic_raw_lb[[setting]:[setting]],0), MATCH(AK$139, lmic_raw_lb[#Headers],0))=0, INDEX(regions_lb[], MATCH($D156, regions_lb[[setting]:[setting]],0), MATCH(AK$139, regions_lb[#Headers],0)),INDEX(lmic_raw_lb[],MATCH($A156,lmic_raw_lb[[setting]:[setting]],0), MATCH(AK$139, lmic_raw_lb[#Headers],0)))</f>
        <v>1.3792449048633517E-3</v>
      </c>
      <c r="AL156" s="98">
        <f>IF(INDEX(lmic_raw_lb[],MATCH($A156,lmic_raw_lb[[setting]:[setting]],0), MATCH(AL$139, lmic_raw_lb[#Headers],0))=0, INDEX(regions_lb[], MATCH($D156, regions_lb[[setting]:[setting]],0), MATCH(AL$139, regions_lb[#Headers],0)),INDEX(lmic_raw_lb[],MATCH($A156,lmic_raw_lb[[setting]:[setting]],0), MATCH(AL$139, lmic_raw_lb[#Headers],0)))</f>
        <v>2.3110863909317114E-3</v>
      </c>
      <c r="AM156" s="98">
        <f>IF(INDEX(lmic_raw_lb[],MATCH($A156,lmic_raw_lb[[setting]:[setting]],0), MATCH(AM$139, lmic_raw_lb[#Headers],0))=0, INDEX(regions_lb[], MATCH($D156, regions_lb[[setting]:[setting]],0), MATCH(AM$139, regions_lb[#Headers],0)),INDEX(lmic_raw_lb[],MATCH($A156,lmic_raw_lb[[setting]:[setting]],0), MATCH(AM$139, lmic_raw_lb[#Headers],0)))</f>
        <v>4.093713030106411E-3</v>
      </c>
      <c r="AN156" s="98">
        <f>IF(INDEX(lmic_raw_lb[],MATCH($A156,lmic_raw_lb[[setting]:[setting]],0), MATCH(AN$139, lmic_raw_lb[#Headers],0))=0, INDEX(regions_lb[], MATCH($D156, regions_lb[[setting]:[setting]],0), MATCH(AN$139, regions_lb[#Headers],0)),INDEX(lmic_raw_lb[],MATCH($A156,lmic_raw_lb[[setting]:[setting]],0), MATCH(AN$139, lmic_raw_lb[#Headers],0)))</f>
        <v>6.7257189145403067E-3</v>
      </c>
      <c r="AO156" s="98">
        <f>IF(INDEX(lmic_raw_lb[],MATCH($A156,lmic_raw_lb[[setting]:[setting]],0), MATCH(AO$139, lmic_raw_lb[#Headers],0))=0, INDEX(regions_lb[], MATCH($D156, regions_lb[[setting]:[setting]],0), MATCH(AO$139, regions_lb[#Headers],0)),INDEX(lmic_raw_lb[],MATCH($A156,lmic_raw_lb[[setting]:[setting]],0), MATCH(AO$139, lmic_raw_lb[#Headers],0)))</f>
        <v>1.0347251473024994E-2</v>
      </c>
      <c r="AP156" s="98">
        <f>IF(INDEX(lmic_raw_lb[],MATCH($A156,lmic_raw_lb[[setting]:[setting]],0), MATCH(AP$139, lmic_raw_lb[#Headers],0))=0, INDEX(regions_lb[], MATCH($D156, regions_lb[[setting]:[setting]],0), MATCH(AP$139, regions_lb[#Headers],0)),INDEX(lmic_raw_lb[],MATCH($A156,lmic_raw_lb[[setting]:[setting]],0), MATCH(AP$139, lmic_raw_lb[#Headers],0)))</f>
        <v>1.4912665422376792E-2</v>
      </c>
      <c r="AQ156" s="98">
        <f>IF(INDEX(lmic_raw_lb[],MATCH($A156,lmic_raw_lb[[setting]:[setting]],0), MATCH(AQ$139, lmic_raw_lb[#Headers],0))=0, INDEX(regions_lb[], MATCH($D156, regions_lb[[setting]:[setting]],0), MATCH(AQ$139, regions_lb[#Headers],0)),INDEX(lmic_raw_lb[],MATCH($A156,lmic_raw_lb[[setting]:[setting]],0), MATCH(AQ$139, lmic_raw_lb[#Headers],0)))</f>
        <v>2.0888633954004133E-2</v>
      </c>
      <c r="AR156" s="98">
        <f>IF(INDEX(lmic_raw_lb[],MATCH($A156,lmic_raw_lb[[setting]:[setting]],0), MATCH(AR$139, lmic_raw_lb[#Headers],0))=0, INDEX(regions_lb[], MATCH($D156, regions_lb[[setting]:[setting]],0), MATCH(AR$139, regions_lb[#Headers],0)),INDEX(lmic_raw_lb[],MATCH($A156,lmic_raw_lb[[setting]:[setting]],0), MATCH(AR$139, lmic_raw_lb[#Headers],0)))</f>
        <v>2.9750041738832788E-2</v>
      </c>
      <c r="AS156" s="98">
        <f>IF(INDEX(lmic_raw_lb[],MATCH($A156,lmic_raw_lb[[setting]:[setting]],0), MATCH(AS$139, lmic_raw_lb[#Headers],0))=0, INDEX(regions_lb[], MATCH($D156, regions_lb[[setting]:[setting]],0), MATCH(AS$139, regions_lb[#Headers],0)),INDEX(lmic_raw_lb[],MATCH($A156,lmic_raw_lb[[setting]:[setting]],0), MATCH(AS$139, lmic_raw_lb[#Headers],0)))</f>
        <v>4.5542502670418934E-2</v>
      </c>
      <c r="AT156" s="98">
        <f>IF(INDEX(lmic_raw_lb[],MATCH($A156,lmic_raw_lb[[setting]:[setting]],0), MATCH(AT$139, lmic_raw_lb[#Headers],0))=0, INDEX(regions_lb[], MATCH($D156, regions_lb[[setting]:[setting]],0), MATCH(AT$139, regions_lb[#Headers],0)),INDEX(lmic_raw_lb[],MATCH($A156,lmic_raw_lb[[setting]:[setting]],0), MATCH(AT$139, lmic_raw_lb[#Headers],0)))</f>
        <v>7.3353657172311348E-2</v>
      </c>
      <c r="AU156" s="98">
        <f>IF(INDEX(lmic_raw_lb[],MATCH($A156,lmic_raw_lb[[setting]:[setting]],0), MATCH(AU$139, lmic_raw_lb[#Headers],0))=0, INDEX(regions_lb[], MATCH($D156, regions_lb[[setting]:[setting]],0), MATCH(AU$139, regions_lb[#Headers],0)),INDEX(lmic_raw_lb[],MATCH($A156,lmic_raw_lb[[setting]:[setting]],0), MATCH(AU$139, lmic_raw_lb[#Headers],0)))</f>
        <v>0.12259507227922638</v>
      </c>
      <c r="AV156" s="98">
        <f>IF(INDEX(lmic_raw_lb[],MATCH($A156,lmic_raw_lb[[setting]:[setting]],0), MATCH(AV$139, lmic_raw_lb[#Headers],0))=0, INDEX(regions_lb[], MATCH($D156, regions_lb[[setting]:[setting]],0), MATCH(AV$139, regions_lb[#Headers],0)),INDEX(lmic_raw_lb[],MATCH($A156,lmic_raw_lb[[setting]:[setting]],0), MATCH(AV$139, lmic_raw_lb[#Headers],0)))</f>
        <v>0.14318944659129254</v>
      </c>
      <c r="AW156" s="98">
        <f>IF(INDEX(lmic_raw_lb[],MATCH($A156,lmic_raw_lb[[setting]:[setting]],0), MATCH(AW$139, lmic_raw_lb[#Headers],0))=0, INDEX(regions_lb[], MATCH($D156, regions_lb[[setting]:[setting]],0), MATCH(AW$139, regions_lb[#Headers],0)),INDEX(lmic_raw_lb[],MATCH($A156,lmic_raw_lb[[setting]:[setting]],0), MATCH(AW$139, lmic_raw_lb[#Headers],0)))</f>
        <v>0.16853348461672046</v>
      </c>
      <c r="AX156" s="98">
        <f>IF(INDEX(lmic_raw_lb[],MATCH($A156,lmic_raw_lb[[setting]:[setting]],0), MATCH(AX$139, lmic_raw_lb[#Headers],0))=0, INDEX(regions_lb[], MATCH($D156, regions_lb[[setting]:[setting]],0), MATCH(AX$139, regions_lb[#Headers],0)),INDEX(lmic_raw_lb[],MATCH($A156,lmic_raw_lb[[setting]:[setting]],0), MATCH(AX$139, lmic_raw_lb[#Headers],0)))</f>
        <v>71.104649999999992</v>
      </c>
      <c r="AY156" s="98" t="str">
        <f>IF(VLOOKUP(lmics_lb[[#This Row],[setting]],lmic_raw_lb[],11,FALSE)=0, "Yes", "No")</f>
        <v>No</v>
      </c>
    </row>
    <row r="157" spans="1:51" x14ac:dyDescent="0.25">
      <c r="A157" s="110" t="s">
        <v>139</v>
      </c>
      <c r="B157" s="104" t="s">
        <v>391</v>
      </c>
      <c r="C157" s="105">
        <v>854</v>
      </c>
      <c r="D157" s="84" t="s">
        <v>677</v>
      </c>
      <c r="E157" s="122" t="s">
        <v>591</v>
      </c>
      <c r="F157" s="94" t="s">
        <v>667</v>
      </c>
      <c r="G157" s="94" t="s">
        <v>674</v>
      </c>
      <c r="H157" s="94"/>
      <c r="I157" s="94"/>
      <c r="J157" s="94">
        <f>IF(INDEX(lmic_raw_lb[],MATCH($A157,lmic_raw_lb[[setting]:[setting]],0), MATCH(J$139, lmic_raw_lb[#Headers],0))=0, INDEX(regions_lb[], MATCH($D157, regions_lb[[setting]:[setting]],0), MATCH(J$139, regions_lb[#Headers],0)),INDEX(lmic_raw_lb[],MATCH($A157,lmic_raw_lb[[setting]:[setting]],0), MATCH(J$139, lmic_raw_lb[#Headers],0)))</f>
        <v>0.78090000000000004</v>
      </c>
      <c r="K157" s="94">
        <f>IF(INDEX(lmic_raw_lb[],MATCH($A157,lmic_raw_lb[[setting]:[setting]],0), MATCH(K$139, lmic_raw_lb[#Headers],0))=0, INDEX(regions_lb[], MATCH($D157, regions_lb[[setting]:[setting]],0), MATCH(K$139, regions_lb[#Headers],0)),INDEX(lmic_raw_lb[],MATCH($A157,lmic_raw_lb[[setting]:[setting]],0), MATCH(K$139, lmic_raw_lb[#Headers],0)))</f>
        <v>0.65789974195504752</v>
      </c>
      <c r="L157" s="94">
        <f>IF(INDEX(lmic_raw_lb[],MATCH($A157,lmic_raw_lb[[setting]:[setting]],0), MATCH(L$139, lmic_raw_lb[#Headers],0))=0, INDEX(regions_lb[], MATCH($D157, regions_lb[[setting]:[setting]],0), MATCH(L$139, regions_lb[#Headers],0)),INDEX(lmic_raw_lb[],MATCH($A157,lmic_raw_lb[[setting]:[setting]],0), MATCH(L$139, lmic_raw_lb[#Headers],0)))</f>
        <v>0.86449999999999994</v>
      </c>
      <c r="M157" s="94">
        <f>IF(INDEX(lmic_raw_lb[],MATCH($A157,lmic_raw_lb[[setting]:[setting]],0), MATCH(M$139, lmic_raw_lb[#Headers],0))=0, INDEX(regions_lb[], MATCH($D157, regions_lb[[setting]:[setting]],0), MATCH(M$139, regions_lb[#Headers],0)),INDEX(lmic_raw_lb[],MATCH($A157,lmic_raw_lb[[setting]:[setting]],0), MATCH(M$139, lmic_raw_lb[#Headers],0)))</f>
        <v>8.199999999999999E-2</v>
      </c>
      <c r="N157" s="94">
        <f>IF(INDEX(lmic_raw_lb[],MATCH($A157,lmic_raw_lb[[setting]:[setting]],0), MATCH(N$139, lmic_raw_lb[#Headers],0))=0, INDEX(regions_lb[], MATCH($D157, regions_lb[[setting]:[setting]],0), MATCH(N$139, regions_lb[#Headers],0)),INDEX(lmic_raw_lb[],MATCH($A157,lmic_raw_lb[[setting]:[setting]],0), MATCH(N$139, lmic_raw_lb[#Headers],0)))</f>
        <v>0.155</v>
      </c>
      <c r="O157" s="94">
        <f>IF(INDEX(lmic_raw_lb[],MATCH($A157,lmic_raw_lb[[setting]:[setting]],0), MATCH(O$139, lmic_raw_lb[#Headers],0))=0, INDEX(regions_lb[], MATCH($D157, regions_lb[[setting]:[setting]],0), MATCH(O$139, regions_lb[#Headers],0)),INDEX(lmic_raw_lb[],MATCH($A157,lmic_raw_lb[[setting]:[setting]],0), MATCH(O$139, lmic_raw_lb[#Headers],0)))</f>
        <v>7.0000000000000007E-2</v>
      </c>
      <c r="P157" s="94">
        <f>IF(INDEX(lmic_raw_lb[],MATCH($A157,lmic_raw_lb[[setting]:[setting]],0), MATCH(P$139, lmic_raw_lb[#Headers],0))=0, INDEX(regions_lb[], MATCH($D157, regions_lb[[setting]:[setting]],0), MATCH(P$139, regions_lb[#Headers],0)),INDEX(lmic_raw_lb[],MATCH($A157,lmic_raw_lb[[setting]:[setting]],0), MATCH(P$139, lmic_raw_lb[#Headers],0)))</f>
        <v>1E-3</v>
      </c>
      <c r="Q157" s="94">
        <f>IF(INDEX(lmic_raw_lb[],MATCH($A157,lmic_raw_lb[[setting]:[setting]],0), MATCH(Q$139, lmic_raw_lb[#Headers],0))=0, INDEX(regions_lb[], MATCH($D157, regions_lb[[setting]:[setting]],0), MATCH(Q$139, regions_lb[#Headers],0)),INDEX(lmic_raw_lb[],MATCH($A157,lmic_raw_lb[[setting]:[setting]],0), MATCH(Q$139, lmic_raw_lb[#Headers],0)))</f>
        <v>4.4249775953899046</v>
      </c>
      <c r="R157" s="94">
        <f>IF(INDEX(lmic_raw_lb[],MATCH($A157,lmic_raw_lb[[setting]:[setting]],0), MATCH(R$139, lmic_raw_lb[#Headers],0))=0, INDEX(regions_lb[], MATCH($D157, regions_lb[[setting]:[setting]],0), MATCH(R$139, regions_lb[#Headers],0)),INDEX(lmic_raw_lb[],MATCH($A157,lmic_raw_lb[[setting]:[setting]],0), MATCH(R$139, lmic_raw_lb[#Headers],0)))</f>
        <v>28.424474999999997</v>
      </c>
      <c r="S157" s="94">
        <f>IF(INDEX(lmic_raw_lb[],MATCH($A157,lmic_raw_lb[[setting]:[setting]],0), MATCH(S$139, lmic_raw_lb[#Headers],0))=0, INDEX(regions_lb[], MATCH($D157, regions_lb[[setting]:[setting]],0), MATCH(S$139, regions_lb[#Headers],0)),INDEX(lmic_raw_lb[],MATCH($A157,lmic_raw_lb[[setting]:[setting]],0), MATCH(S$139, lmic_raw_lb[#Headers],0)))</f>
        <v>73.779375000000002</v>
      </c>
      <c r="T157" s="94">
        <f>IF(INDEX(lmic_raw_lb[],MATCH($A157,lmic_raw_lb[[setting]:[setting]],0), MATCH(T$139, lmic_raw_lb[#Headers],0))=0, INDEX(regions_lb[], MATCH($D157, regions_lb[[setting]:[setting]],0), MATCH(T$139, regions_lb[#Headers],0)),INDEX(lmic_raw_lb[],MATCH($A157,lmic_raw_lb[[setting]:[setting]],0), MATCH(T$139, lmic_raw_lb[#Headers],0)))</f>
        <v>73.779375000000002</v>
      </c>
      <c r="U157" s="94">
        <f>IF(INDEX(lmic_raw_lb[],MATCH($A157,lmic_raw_lb[[setting]:[setting]],0), MATCH(U$139, lmic_raw_lb[#Headers],0))=0, INDEX(regions_lb[], MATCH($D157, regions_lb[[setting]:[setting]],0), MATCH(U$139, regions_lb[#Headers],0)),INDEX(lmic_raw_lb[],MATCH($A157,lmic_raw_lb[[setting]:[setting]],0), MATCH(U$139, lmic_raw_lb[#Headers],0)))</f>
        <v>73.779375000000002</v>
      </c>
      <c r="V157" s="94">
        <f>IF(INDEX(lmic_raw_lb[],MATCH($A157,lmic_raw_lb[[setting]:[setting]],0), MATCH(V$139, lmic_raw_lb[#Headers],0))=0, INDEX(regions_lb[], MATCH($D157, regions_lb[[setting]:[setting]],0), MATCH(V$139, regions_lb[#Headers],0)),INDEX(lmic_raw_lb[],MATCH($A157,lmic_raw_lb[[setting]:[setting]],0), MATCH(V$139, lmic_raw_lb[#Headers],0)))</f>
        <v>1.1309549220626973</v>
      </c>
      <c r="W157" s="94">
        <f>IF(INDEX(lmic_raw_lb[],MATCH($A157,lmic_raw_lb[[setting]:[setting]],0), MATCH(W$139, lmic_raw_lb[#Headers],0))=0, INDEX(regions_lb[], MATCH($D157, regions_lb[[setting]:[setting]],0), MATCH(W$139, regions_lb[#Headers],0)),INDEX(lmic_raw_lb[],MATCH($A157,lmic_raw_lb[[setting]:[setting]],0), MATCH(W$139, lmic_raw_lb[#Headers],0)))</f>
        <v>5.7182199220626977</v>
      </c>
      <c r="X157" s="94">
        <f>IF(INDEX(lmic_raw_lb[],MATCH($A157,lmic_raw_lb[[setting]:[setting]],0), MATCH(X$139, lmic_raw_lb[#Headers],0))=0, INDEX(regions_lb[], MATCH($D157, regions_lb[[setting]:[setting]],0), MATCH(X$139, regions_lb[#Headers],0)),INDEX(lmic_raw_lb[],MATCH($A157,lmic_raw_lb[[setting]:[setting]],0), MATCH(X$139, lmic_raw_lb[#Headers],0)))</f>
        <v>0.76616054643267617</v>
      </c>
      <c r="Y157" s="94">
        <f>IF(INDEX(lmic_raw_lb[],MATCH($A157,lmic_raw_lb[[setting]:[setting]],0), MATCH(Y$139, lmic_raw_lb[#Headers],0))=0, INDEX(regions_lb[], MATCH($D157, regions_lb[[setting]:[setting]],0), MATCH(Y$139, regions_lb[#Headers],0)),INDEX(lmic_raw_lb[],MATCH($A157,lmic_raw_lb[[setting]:[setting]],0), MATCH(Y$139, lmic_raw_lb[#Headers],0)))</f>
        <v>5.3534255464326765</v>
      </c>
      <c r="Z157" s="94">
        <f>IF(INDEX(lmic_raw_lb[],MATCH($A157,lmic_raw_lb[[setting]:[setting]],0), MATCH(Z$139, lmic_raw_lb[#Headers],0))=0, INDEX(regions_lb[], MATCH($D157, regions_lb[[setting]:[setting]],0), MATCH(Z$139, regions_lb[#Headers],0)),INDEX(lmic_raw_lb[],MATCH($A157,lmic_raw_lb[[setting]:[setting]],0), MATCH(Z$139, lmic_raw_lb[#Headers],0)))</f>
        <v>5.3517115384535296</v>
      </c>
      <c r="AA157" s="94">
        <f>IF(INDEX(lmic_raw_lb[],MATCH($A157,lmic_raw_lb[[setting]:[setting]],0), MATCH(AA$139, lmic_raw_lb[#Headers],0))=0, INDEX(regions_lb[], MATCH($D157, regions_lb[[setting]:[setting]],0), MATCH(AA$139, regions_lb[#Headers],0)),INDEX(lmic_raw_lb[],MATCH($A157,lmic_raw_lb[[setting]:[setting]],0), MATCH(AA$139, lmic_raw_lb[#Headers],0)))</f>
        <v>1.3419369004254897</v>
      </c>
      <c r="AB157" s="94">
        <f>IF(INDEX(lmic_raw_lb[],MATCH($A157,lmic_raw_lb[[setting]:[setting]],0), MATCH(AB$139, lmic_raw_lb[#Headers],0))=0, INDEX(regions_lb[], MATCH($D157, regions_lb[[setting]:[setting]],0), MATCH(AB$139, regions_lb[#Headers],0)),INDEX(lmic_raw_lb[],MATCH($A157,lmic_raw_lb[[setting]:[setting]],0), MATCH(AB$139, lmic_raw_lb[#Headers],0)))</f>
        <v>5.9292019004254897</v>
      </c>
      <c r="AC157" s="94">
        <f>IF(INDEX(lmic_raw_lb[],MATCH($A157,lmic_raw_lb[[setting]:[setting]],0), MATCH(AC$139, lmic_raw_lb[#Headers],0))=0, INDEX(regions_lb[], MATCH($D157, regions_lb[[setting]:[setting]],0), MATCH(AC$139, regions_lb[#Headers],0)),INDEX(lmic_raw_lb[],MATCH($A157,lmic_raw_lb[[setting]:[setting]],0), MATCH(AC$139, lmic_raw_lb[#Headers],0)))</f>
        <v>5.1516466999999927E-2</v>
      </c>
      <c r="AD157" s="94">
        <f>IF(INDEX(lmic_raw_lb[],MATCH($A157,lmic_raw_lb[[setting]:[setting]],0), MATCH(AD$139, lmic_raw_lb[#Headers],0))=0, INDEX(regions_lb[], MATCH($D157, regions_lb[[setting]:[setting]],0), MATCH(AD$139, regions_lb[#Headers],0)),INDEX(lmic_raw_lb[],MATCH($A157,lmic_raw_lb[[setting]:[setting]],0), MATCH(AD$139, lmic_raw_lb[#Headers],0)))</f>
        <v>7.4086161493401598E-3</v>
      </c>
      <c r="AE157" s="94">
        <f>IF(INDEX(lmic_raw_lb[],MATCH($A157,lmic_raw_lb[[setting]:[setting]],0), MATCH(AE$139, lmic_raw_lb[#Headers],0))=0, INDEX(regions_lb[], MATCH($D157, regions_lb[[setting]:[setting]],0), MATCH(AE$139, regions_lb[#Headers],0)),INDEX(lmic_raw_lb[],MATCH($A157,lmic_raw_lb[[setting]:[setting]],0), MATCH(AE$139, lmic_raw_lb[#Headers],0)))</f>
        <v>2.5743584671742209E-3</v>
      </c>
      <c r="AF157" s="94">
        <f>IF(INDEX(lmic_raw_lb[],MATCH($A157,lmic_raw_lb[[setting]:[setting]],0), MATCH(AF$139, lmic_raw_lb[#Headers],0))=0, INDEX(regions_lb[], MATCH($D157, regions_lb[[setting]:[setting]],0), MATCH(AF$139, regions_lb[#Headers],0)),INDEX(lmic_raw_lb[],MATCH($A157,lmic_raw_lb[[setting]:[setting]],0), MATCH(AF$139, lmic_raw_lb[#Headers],0)))</f>
        <v>1.5304289088295081E-3</v>
      </c>
      <c r="AG157" s="94">
        <f>IF(INDEX(lmic_raw_lb[],MATCH($A157,lmic_raw_lb[[setting]:[setting]],0), MATCH(AG$139, lmic_raw_lb[#Headers],0))=0, INDEX(regions_lb[], MATCH($D157, regions_lb[[setting]:[setting]],0), MATCH(AG$139, regions_lb[#Headers],0)),INDEX(lmic_raw_lb[],MATCH($A157,lmic_raw_lb[[setting]:[setting]],0), MATCH(AG$139, lmic_raw_lb[#Headers],0)))</f>
        <v>2.3337249424291904E-3</v>
      </c>
      <c r="AH157" s="94">
        <f>IF(INDEX(lmic_raw_lb[],MATCH($A157,lmic_raw_lb[[setting]:[setting]],0), MATCH(AH$139, lmic_raw_lb[#Headers],0))=0, INDEX(regions_lb[], MATCH($D157, regions_lb[[setting]:[setting]],0), MATCH(AH$139, regions_lb[#Headers],0)),INDEX(lmic_raw_lb[],MATCH($A157,lmic_raw_lb[[setting]:[setting]],0), MATCH(AH$139, lmic_raw_lb[#Headers],0)))</f>
        <v>3.268610361332947E-3</v>
      </c>
      <c r="AI157" s="94">
        <f>IF(INDEX(lmic_raw_lb[],MATCH($A157,lmic_raw_lb[[setting]:[setting]],0), MATCH(AI$139, lmic_raw_lb[#Headers],0))=0, INDEX(regions_lb[], MATCH($D157, regions_lb[[setting]:[setting]],0), MATCH(AI$139, regions_lb[#Headers],0)),INDEX(lmic_raw_lb[],MATCH($A157,lmic_raw_lb[[setting]:[setting]],0), MATCH(AI$139, lmic_raw_lb[#Headers],0)))</f>
        <v>3.499786666493864E-3</v>
      </c>
      <c r="AJ157" s="94">
        <f>IF(INDEX(lmic_raw_lb[],MATCH($A157,lmic_raw_lb[[setting]:[setting]],0), MATCH(AJ$139, lmic_raw_lb[#Headers],0))=0, INDEX(regions_lb[], MATCH($D157, regions_lb[[setting]:[setting]],0), MATCH(AJ$139, regions_lb[#Headers],0)),INDEX(lmic_raw_lb[],MATCH($A157,lmic_raw_lb[[setting]:[setting]],0), MATCH(AJ$139, lmic_raw_lb[#Headers],0)))</f>
        <v>3.8652801918023687E-3</v>
      </c>
      <c r="AK157" s="94">
        <f>IF(INDEX(lmic_raw_lb[],MATCH($A157,lmic_raw_lb[[setting]:[setting]],0), MATCH(AK$139, lmic_raw_lb[#Headers],0))=0, INDEX(regions_lb[], MATCH($D157, regions_lb[[setting]:[setting]],0), MATCH(AK$139, regions_lb[#Headers],0)),INDEX(lmic_raw_lb[],MATCH($A157,lmic_raw_lb[[setting]:[setting]],0), MATCH(AK$139, lmic_raw_lb[#Headers],0)))</f>
        <v>4.4333936686953681E-3</v>
      </c>
      <c r="AL157" s="94">
        <f>IF(INDEX(lmic_raw_lb[],MATCH($A157,lmic_raw_lb[[setting]:[setting]],0), MATCH(AL$139, lmic_raw_lb[#Headers],0))=0, INDEX(regions_lb[], MATCH($D157, regions_lb[[setting]:[setting]],0), MATCH(AL$139, regions_lb[#Headers],0)),INDEX(lmic_raw_lb[],MATCH($A157,lmic_raw_lb[[setting]:[setting]],0), MATCH(AL$139, lmic_raw_lb[#Headers],0)))</f>
        <v>5.4491381323801494E-3</v>
      </c>
      <c r="AM157" s="94">
        <f>IF(INDEX(lmic_raw_lb[],MATCH($A157,lmic_raw_lb[[setting]:[setting]],0), MATCH(AM$139, lmic_raw_lb[#Headers],0))=0, INDEX(regions_lb[], MATCH($D157, regions_lb[[setting]:[setting]],0), MATCH(AM$139, regions_lb[#Headers],0)),INDEX(lmic_raw_lb[],MATCH($A157,lmic_raw_lb[[setting]:[setting]],0), MATCH(AM$139, lmic_raw_lb[#Headers],0)))</f>
        <v>6.8256458947968945E-3</v>
      </c>
      <c r="AN157" s="94">
        <f>IF(INDEX(lmic_raw_lb[],MATCH($A157,lmic_raw_lb[[setting]:[setting]],0), MATCH(AN$139, lmic_raw_lb[#Headers],0))=0, INDEX(regions_lb[], MATCH($D157, regions_lb[[setting]:[setting]],0), MATCH(AN$139, regions_lb[#Headers],0)),INDEX(lmic_raw_lb[],MATCH($A157,lmic_raw_lb[[setting]:[setting]],0), MATCH(AN$139, lmic_raw_lb[#Headers],0)))</f>
        <v>9.57524811189891E-3</v>
      </c>
      <c r="AO157" s="94">
        <f>IF(INDEX(lmic_raw_lb[],MATCH($A157,lmic_raw_lb[[setting]:[setting]],0), MATCH(AO$139, lmic_raw_lb[#Headers],0))=0, INDEX(regions_lb[], MATCH($D157, regions_lb[[setting]:[setting]],0), MATCH(AO$139, regions_lb[#Headers],0)),INDEX(lmic_raw_lb[],MATCH($A157,lmic_raw_lb[[setting]:[setting]],0), MATCH(AO$139, lmic_raw_lb[#Headers],0)))</f>
        <v>1.3608328470107142E-2</v>
      </c>
      <c r="AP157" s="94">
        <f>IF(INDEX(lmic_raw_lb[],MATCH($A157,lmic_raw_lb[[setting]:[setting]],0), MATCH(AP$139, lmic_raw_lb[#Headers],0))=0, INDEX(regions_lb[], MATCH($D157, regions_lb[[setting]:[setting]],0), MATCH(AP$139, regions_lb[#Headers],0)),INDEX(lmic_raw_lb[],MATCH($A157,lmic_raw_lb[[setting]:[setting]],0), MATCH(AP$139, lmic_raw_lb[#Headers],0)))</f>
        <v>2.1153653353260096E-2</v>
      </c>
      <c r="AQ157" s="94">
        <f>IF(INDEX(lmic_raw_lb[],MATCH($A157,lmic_raw_lb[[setting]:[setting]],0), MATCH(AQ$139, lmic_raw_lb[#Headers],0))=0, INDEX(regions_lb[], MATCH($D157, regions_lb[[setting]:[setting]],0), MATCH(AQ$139, regions_lb[#Headers],0)),INDEX(lmic_raw_lb[],MATCH($A157,lmic_raw_lb[[setting]:[setting]],0), MATCH(AQ$139, lmic_raw_lb[#Headers],0)))</f>
        <v>3.2615037551028472E-2</v>
      </c>
      <c r="AR157" s="94">
        <f>IF(INDEX(lmic_raw_lb[],MATCH($A157,lmic_raw_lb[[setting]:[setting]],0), MATCH(AR$139, lmic_raw_lb[#Headers],0))=0, INDEX(regions_lb[], MATCH($D157, regions_lb[[setting]:[setting]],0), MATCH(AR$139, regions_lb[#Headers],0)),INDEX(lmic_raw_lb[],MATCH($A157,lmic_raw_lb[[setting]:[setting]],0), MATCH(AR$139, lmic_raw_lb[#Headers],0)))</f>
        <v>5.2280094334555487E-2</v>
      </c>
      <c r="AS157" s="94">
        <f>IF(INDEX(lmic_raw_lb[],MATCH($A157,lmic_raw_lb[[setting]:[setting]],0), MATCH(AS$139, lmic_raw_lb[#Headers],0))=0, INDEX(regions_lb[], MATCH($D157, regions_lb[[setting]:[setting]],0), MATCH(AS$139, regions_lb[#Headers],0)),INDEX(lmic_raw_lb[],MATCH($A157,lmic_raw_lb[[setting]:[setting]],0), MATCH(AS$139, lmic_raw_lb[#Headers],0)))</f>
        <v>8.0367467100935341E-2</v>
      </c>
      <c r="AT157" s="94">
        <f>IF(INDEX(lmic_raw_lb[],MATCH($A157,lmic_raw_lb[[setting]:[setting]],0), MATCH(AT$139, lmic_raw_lb[#Headers],0))=0, INDEX(regions_lb[], MATCH($D157, regions_lb[[setting]:[setting]],0), MATCH(AT$139, regions_lb[#Headers],0)),INDEX(lmic_raw_lb[],MATCH($A157,lmic_raw_lb[[setting]:[setting]],0), MATCH(AT$139, lmic_raw_lb[#Headers],0)))</f>
        <v>0.11488917142100885</v>
      </c>
      <c r="AU157" s="94">
        <f>IF(INDEX(lmic_raw_lb[],MATCH($A157,lmic_raw_lb[[setting]:[setting]],0), MATCH(AU$139, lmic_raw_lb[#Headers],0))=0, INDEX(regions_lb[], MATCH($D157, regions_lb[[setting]:[setting]],0), MATCH(AU$139, regions_lb[#Headers],0)),INDEX(lmic_raw_lb[],MATCH($A157,lmic_raw_lb[[setting]:[setting]],0), MATCH(AU$139, lmic_raw_lb[#Headers],0)))</f>
        <v>0.1462702796675269</v>
      </c>
      <c r="AV157" s="94">
        <f>IF(INDEX(lmic_raw_lb[],MATCH($A157,lmic_raw_lb[[setting]:[setting]],0), MATCH(AV$139, lmic_raw_lb[#Headers],0))=0, INDEX(regions_lb[], MATCH($D157, regions_lb[[setting]:[setting]],0), MATCH(AV$139, regions_lb[#Headers],0)),INDEX(lmic_raw_lb[],MATCH($A157,lmic_raw_lb[[setting]:[setting]],0), MATCH(AV$139, lmic_raw_lb[#Headers],0)))</f>
        <v>0.16803256157898419</v>
      </c>
      <c r="AW157" s="94">
        <f>IF(INDEX(lmic_raw_lb[],MATCH($A157,lmic_raw_lb[[setting]:[setting]],0), MATCH(AW$139, lmic_raw_lb[#Headers],0))=0, INDEX(regions_lb[], MATCH($D157, regions_lb[[setting]:[setting]],0), MATCH(AW$139, regions_lb[#Headers],0)),INDEX(lmic_raw_lb[],MATCH($A157,lmic_raw_lb[[setting]:[setting]],0), MATCH(AW$139, lmic_raw_lb[#Headers],0)))</f>
        <v>0.18431710550500716</v>
      </c>
      <c r="AX157" s="94">
        <f>IF(INDEX(lmic_raw_lb[],MATCH($A157,lmic_raw_lb[[setting]:[setting]],0), MATCH(AX$139, lmic_raw_lb[#Headers],0))=0, INDEX(regions_lb[], MATCH($D157, regions_lb[[setting]:[setting]],0), MATCH(AX$139, regions_lb[#Headers],0)),INDEX(lmic_raw_lb[],MATCH($A157,lmic_raw_lb[[setting]:[setting]],0), MATCH(AX$139, lmic_raw_lb[#Headers],0)))</f>
        <v>57.87115</v>
      </c>
      <c r="AY157" s="94" t="str">
        <f>IF(VLOOKUP(lmics_lb[[#This Row],[setting]],lmic_raw_lb[],11,FALSE)=0, "Yes", "No")</f>
        <v>Yes</v>
      </c>
    </row>
    <row r="158" spans="1:51" x14ac:dyDescent="0.25">
      <c r="A158" s="109" t="s">
        <v>101</v>
      </c>
      <c r="B158" s="101" t="s">
        <v>392</v>
      </c>
      <c r="C158" s="102">
        <v>108</v>
      </c>
      <c r="D158" s="82" t="s">
        <v>677</v>
      </c>
      <c r="E158" s="121" t="s">
        <v>597</v>
      </c>
      <c r="F158" s="98" t="s">
        <v>667</v>
      </c>
      <c r="G158" s="98" t="s">
        <v>674</v>
      </c>
      <c r="H158" s="98"/>
      <c r="I158" s="98"/>
      <c r="J158" s="98">
        <f>IF(INDEX(lmic_raw_lb[],MATCH($A158,lmic_raw_lb[[setting]:[setting]],0), MATCH(J$139, lmic_raw_lb[#Headers],0))=0, INDEX(regions_lb[], MATCH($D158, regions_lb[[setting]:[setting]],0), MATCH(J$139, regions_lb[#Headers],0)),INDEX(lmic_raw_lb[],MATCH($A158,lmic_raw_lb[[setting]:[setting]],0), MATCH(J$139, lmic_raw_lb[#Headers],0)))</f>
        <v>0.79705000000000004</v>
      </c>
      <c r="K158" s="98">
        <f>IF(INDEX(lmic_raw_lb[],MATCH($A158,lmic_raw_lb[[setting]:[setting]],0), MATCH(K$139, lmic_raw_lb[#Headers],0))=0, INDEX(regions_lb[], MATCH($D158, regions_lb[[setting]:[setting]],0), MATCH(K$139, regions_lb[#Headers],0)),INDEX(lmic_raw_lb[],MATCH($A158,lmic_raw_lb[[setting]:[setting]],0), MATCH(K$139, lmic_raw_lb[#Headers],0)))</f>
        <v>0.65789974195504752</v>
      </c>
      <c r="L158" s="98">
        <f>IF(INDEX(lmic_raw_lb[],MATCH($A158,lmic_raw_lb[[setting]:[setting]],0), MATCH(L$139, lmic_raw_lb[#Headers],0))=0, INDEX(regions_lb[], MATCH($D158, regions_lb[[setting]:[setting]],0), MATCH(L$139, regions_lb[#Headers],0)),INDEX(lmic_raw_lb[],MATCH($A158,lmic_raw_lb[[setting]:[setting]],0), MATCH(L$139, lmic_raw_lb[#Headers],0)))</f>
        <v>0.88349999999999995</v>
      </c>
      <c r="M158" s="98">
        <f>IF(INDEX(lmic_raw_lb[],MATCH($A158,lmic_raw_lb[[setting]:[setting]],0), MATCH(M$139, lmic_raw_lb[#Headers],0))=0, INDEX(regions_lb[], MATCH($D158, regions_lb[[setting]:[setting]],0), MATCH(M$139, regions_lb[#Headers],0)),INDEX(lmic_raw_lb[],MATCH($A158,lmic_raw_lb[[setting]:[setting]],0), MATCH(M$139, lmic_raw_lb[#Headers],0)))</f>
        <v>3.8699999999999998E-2</v>
      </c>
      <c r="N158" s="98">
        <f>IF(INDEX(lmic_raw_lb[],MATCH($A158,lmic_raw_lb[[setting]:[setting]],0), MATCH(N$139, lmic_raw_lb[#Headers],0))=0, INDEX(regions_lb[], MATCH($D158, regions_lb[[setting]:[setting]],0), MATCH(N$139, regions_lb[#Headers],0)),INDEX(lmic_raw_lb[],MATCH($A158,lmic_raw_lb[[setting]:[setting]],0), MATCH(N$139, lmic_raw_lb[#Headers],0)))</f>
        <v>0.15560000000000002</v>
      </c>
      <c r="O158" s="98">
        <f>IF(INDEX(lmic_raw_lb[],MATCH($A158,lmic_raw_lb[[setting]:[setting]],0), MATCH(O$139, lmic_raw_lb[#Headers],0))=0, INDEX(regions_lb[], MATCH($D158, regions_lb[[setting]:[setting]],0), MATCH(O$139, regions_lb[#Headers],0)),INDEX(lmic_raw_lb[],MATCH($A158,lmic_raw_lb[[setting]:[setting]],0), MATCH(O$139, lmic_raw_lb[#Headers],0)))</f>
        <v>7.0000000000000007E-2</v>
      </c>
      <c r="P158" s="98">
        <f>IF(INDEX(lmic_raw_lb[],MATCH($A158,lmic_raw_lb[[setting]:[setting]],0), MATCH(P$139, lmic_raw_lb[#Headers],0))=0, INDEX(regions_lb[], MATCH($D158, regions_lb[[setting]:[setting]],0), MATCH(P$139, regions_lb[#Headers],0)),INDEX(lmic_raw_lb[],MATCH($A158,lmic_raw_lb[[setting]:[setting]],0), MATCH(P$139, lmic_raw_lb[#Headers],0)))</f>
        <v>1E-3</v>
      </c>
      <c r="Q158" s="98">
        <f>IF(INDEX(lmic_raw_lb[],MATCH($A158,lmic_raw_lb[[setting]:[setting]],0), MATCH(Q$139, lmic_raw_lb[#Headers],0))=0, INDEX(regions_lb[], MATCH($D158, regions_lb[[setting]:[setting]],0), MATCH(Q$139, regions_lb[#Headers],0)),INDEX(lmic_raw_lb[],MATCH($A158,lmic_raw_lb[[setting]:[setting]],0), MATCH(Q$139, lmic_raw_lb[#Headers],0)))</f>
        <v>2.0968783073985575</v>
      </c>
      <c r="R158" s="98">
        <f>IF(INDEX(lmic_raw_lb[],MATCH($A158,lmic_raw_lb[[setting]:[setting]],0), MATCH(R$139, lmic_raw_lb[#Headers],0))=0, INDEX(regions_lb[], MATCH($D158, regions_lb[[setting]:[setting]],0), MATCH(R$139, regions_lb[#Headers],0)),INDEX(lmic_raw_lb[],MATCH($A158,lmic_raw_lb[[setting]:[setting]],0), MATCH(R$139, lmic_raw_lb[#Headers],0)))</f>
        <v>28.424474999999997</v>
      </c>
      <c r="S158" s="98">
        <f>IF(INDEX(lmic_raw_lb[],MATCH($A158,lmic_raw_lb[[setting]:[setting]],0), MATCH(S$139, lmic_raw_lb[#Headers],0))=0, INDEX(regions_lb[], MATCH($D158, regions_lb[[setting]:[setting]],0), MATCH(S$139, regions_lb[#Headers],0)),INDEX(lmic_raw_lb[],MATCH($A158,lmic_raw_lb[[setting]:[setting]],0), MATCH(S$139, lmic_raw_lb[#Headers],0)))</f>
        <v>73.779375000000002</v>
      </c>
      <c r="T158" s="98">
        <f>IF(INDEX(lmic_raw_lb[],MATCH($A158,lmic_raw_lb[[setting]:[setting]],0), MATCH(T$139, lmic_raw_lb[#Headers],0))=0, INDEX(regions_lb[], MATCH($D158, regions_lb[[setting]:[setting]],0), MATCH(T$139, regions_lb[#Headers],0)),INDEX(lmic_raw_lb[],MATCH($A158,lmic_raw_lb[[setting]:[setting]],0), MATCH(T$139, lmic_raw_lb[#Headers],0)))</f>
        <v>73.779375000000002</v>
      </c>
      <c r="U158" s="98">
        <f>IF(INDEX(lmic_raw_lb[],MATCH($A158,lmic_raw_lb[[setting]:[setting]],0), MATCH(U$139, lmic_raw_lb[#Headers],0))=0, INDEX(regions_lb[], MATCH($D158, regions_lb[[setting]:[setting]],0), MATCH(U$139, regions_lb[#Headers],0)),INDEX(lmic_raw_lb[],MATCH($A158,lmic_raw_lb[[setting]:[setting]],0), MATCH(U$139, lmic_raw_lb[#Headers],0)))</f>
        <v>73.779375000000002</v>
      </c>
      <c r="V158" s="98">
        <f>IF(INDEX(lmic_raw_lb[],MATCH($A158,lmic_raw_lb[[setting]:[setting]],0), MATCH(V$139, lmic_raw_lb[#Headers],0))=0, INDEX(regions_lb[], MATCH($D158, regions_lb[[setting]:[setting]],0), MATCH(V$139, regions_lb[#Headers],0)),INDEX(lmic_raw_lb[],MATCH($A158,lmic_raw_lb[[setting]:[setting]],0), MATCH(V$139, lmic_raw_lb[#Headers],0)))</f>
        <v>0.93076552386494504</v>
      </c>
      <c r="W158" s="98">
        <f>IF(INDEX(lmic_raw_lb[],MATCH($A158,lmic_raw_lb[[setting]:[setting]],0), MATCH(W$139, lmic_raw_lb[#Headers],0))=0, INDEX(regions_lb[], MATCH($D158, regions_lb[[setting]:[setting]],0), MATCH(W$139, regions_lb[#Headers],0)),INDEX(lmic_raw_lb[],MATCH($A158,lmic_raw_lb[[setting]:[setting]],0), MATCH(W$139, lmic_raw_lb[#Headers],0)))</f>
        <v>5.5180305238649456</v>
      </c>
      <c r="X158" s="98">
        <f>IF(INDEX(lmic_raw_lb[],MATCH($A158,lmic_raw_lb[[setting]:[setting]],0), MATCH(X$139, lmic_raw_lb[#Headers],0))=0, INDEX(regions_lb[], MATCH($D158, regions_lb[[setting]:[setting]],0), MATCH(X$139, regions_lb[#Headers],0)),INDEX(lmic_raw_lb[],MATCH($A158,lmic_raw_lb[[setting]:[setting]],0), MATCH(X$139, lmic_raw_lb[#Headers],0)))</f>
        <v>0.56781972396341018</v>
      </c>
      <c r="Y158" s="98">
        <f>IF(INDEX(lmic_raw_lb[],MATCH($A158,lmic_raw_lb[[setting]:[setting]],0), MATCH(Y$139, lmic_raw_lb[#Headers],0))=0, INDEX(regions_lb[], MATCH($D158, regions_lb[[setting]:[setting]],0), MATCH(Y$139, regions_lb[#Headers],0)),INDEX(lmic_raw_lb[],MATCH($A158,lmic_raw_lb[[setting]:[setting]],0), MATCH(Y$139, lmic_raw_lb[#Headers],0)))</f>
        <v>5.1550847239634106</v>
      </c>
      <c r="Z158" s="98">
        <f>IF(INDEX(lmic_raw_lb[],MATCH($A158,lmic_raw_lb[[setting]:[setting]],0), MATCH(Z$139, lmic_raw_lb[#Headers],0))=0, INDEX(regions_lb[], MATCH($D158, regions_lb[[setting]:[setting]],0), MATCH(Z$139, regions_lb[#Headers],0)),INDEX(lmic_raw_lb[],MATCH($A158,lmic_raw_lb[[setting]:[setting]],0), MATCH(Z$139, lmic_raw_lb[#Headers],0)))</f>
        <v>5.1545108454076454</v>
      </c>
      <c r="AA158" s="98">
        <f>IF(INDEX(lmic_raw_lb[],MATCH($A158,lmic_raw_lb[[setting]:[setting]],0), MATCH(AA$139, lmic_raw_lb[#Headers],0))=0, INDEX(regions_lb[], MATCH($D158, regions_lb[[setting]:[setting]],0), MATCH(AA$139, regions_lb[#Headers],0)),INDEX(lmic_raw_lb[],MATCH($A158,lmic_raw_lb[[setting]:[setting]],0), MATCH(AA$139, lmic_raw_lb[#Headers],0)))</f>
        <v>1.1409552554869578</v>
      </c>
      <c r="AB158" s="98">
        <f>IF(INDEX(lmic_raw_lb[],MATCH($A158,lmic_raw_lb[[setting]:[setting]],0), MATCH(AB$139, lmic_raw_lb[#Headers],0))=0, INDEX(regions_lb[], MATCH($D158, regions_lb[[setting]:[setting]],0), MATCH(AB$139, regions_lb[#Headers],0)),INDEX(lmic_raw_lb[],MATCH($A158,lmic_raw_lb[[setting]:[setting]],0), MATCH(AB$139, lmic_raw_lb[#Headers],0)))</f>
        <v>5.7282202554869581</v>
      </c>
      <c r="AC158" s="98">
        <f>IF(INDEX(lmic_raw_lb[],MATCH($A158,lmic_raw_lb[[setting]:[setting]],0), MATCH(AC$139, lmic_raw_lb[#Headers],0))=0, INDEX(regions_lb[], MATCH($D158, regions_lb[[setting]:[setting]],0), MATCH(AC$139, regions_lb[#Headers],0)),INDEX(lmic_raw_lb[],MATCH($A158,lmic_raw_lb[[setting]:[setting]],0), MATCH(AC$139, lmic_raw_lb[#Headers],0)))</f>
        <v>4.0330558999999995E-2</v>
      </c>
      <c r="AD158" s="98">
        <f>IF(INDEX(lmic_raw_lb[],MATCH($A158,lmic_raw_lb[[setting]:[setting]],0), MATCH(AD$139, lmic_raw_lb[#Headers],0))=0, INDEX(regions_lb[], MATCH($D158, regions_lb[[setting]:[setting]],0), MATCH(AD$139, regions_lb[#Headers],0)),INDEX(lmic_raw_lb[],MATCH($A158,lmic_raw_lb[[setting]:[setting]],0), MATCH(AD$139, lmic_raw_lb[#Headers],0)))</f>
        <v>4.9769035827158256E-3</v>
      </c>
      <c r="AE158" s="98">
        <f>IF(INDEX(lmic_raw_lb[],MATCH($A158,lmic_raw_lb[[setting]:[setting]],0), MATCH(AE$139, lmic_raw_lb[#Headers],0))=0, INDEX(regions_lb[], MATCH($D158, regions_lb[[setting]:[setting]],0), MATCH(AE$139, regions_lb[#Headers],0)),INDEX(lmic_raw_lb[],MATCH($A158,lmic_raw_lb[[setting]:[setting]],0), MATCH(AE$139, lmic_raw_lb[#Headers],0)))</f>
        <v>3.8061509767952483E-3</v>
      </c>
      <c r="AF158" s="98">
        <f>IF(INDEX(lmic_raw_lb[],MATCH($A158,lmic_raw_lb[[setting]:[setting]],0), MATCH(AF$139, lmic_raw_lb[#Headers],0))=0, INDEX(regions_lb[], MATCH($D158, regions_lb[[setting]:[setting]],0), MATCH(AF$139, regions_lb[#Headers],0)),INDEX(lmic_raw_lb[],MATCH($A158,lmic_raw_lb[[setting]:[setting]],0), MATCH(AF$139, lmic_raw_lb[#Headers],0)))</f>
        <v>2.3742320747320157E-3</v>
      </c>
      <c r="AG158" s="98">
        <f>IF(INDEX(lmic_raw_lb[],MATCH($A158,lmic_raw_lb[[setting]:[setting]],0), MATCH(AG$139, lmic_raw_lb[#Headers],0))=0, INDEX(regions_lb[], MATCH($D158, regions_lb[[setting]:[setting]],0), MATCH(AG$139, regions_lb[#Headers],0)),INDEX(lmic_raw_lb[],MATCH($A158,lmic_raw_lb[[setting]:[setting]],0), MATCH(AG$139, lmic_raw_lb[#Headers],0)))</f>
        <v>2.7966066702600567E-3</v>
      </c>
      <c r="AH158" s="98">
        <f>IF(INDEX(lmic_raw_lb[],MATCH($A158,lmic_raw_lb[[setting]:[setting]],0), MATCH(AH$139, lmic_raw_lb[#Headers],0))=0, INDEX(regions_lb[], MATCH($D158, regions_lb[[setting]:[setting]],0), MATCH(AH$139, regions_lb[#Headers],0)),INDEX(lmic_raw_lb[],MATCH($A158,lmic_raw_lb[[setting]:[setting]],0), MATCH(AH$139, lmic_raw_lb[#Headers],0)))</f>
        <v>3.6529316986229866E-3</v>
      </c>
      <c r="AI158" s="98">
        <f>IF(INDEX(lmic_raw_lb[],MATCH($A158,lmic_raw_lb[[setting]:[setting]],0), MATCH(AI$139, lmic_raw_lb[#Headers],0))=0, INDEX(regions_lb[], MATCH($D158, regions_lb[[setting]:[setting]],0), MATCH(AI$139, regions_lb[#Headers],0)),INDEX(lmic_raw_lb[],MATCH($A158,lmic_raw_lb[[setting]:[setting]],0), MATCH(AI$139, lmic_raw_lb[#Headers],0)))</f>
        <v>4.3734828096253153E-3</v>
      </c>
      <c r="AJ158" s="98">
        <f>IF(INDEX(lmic_raw_lb[],MATCH($A158,lmic_raw_lb[[setting]:[setting]],0), MATCH(AJ$139, lmic_raw_lb[#Headers],0))=0, INDEX(regions_lb[], MATCH($D158, regions_lb[[setting]:[setting]],0), MATCH(AJ$139, regions_lb[#Headers],0)),INDEX(lmic_raw_lb[],MATCH($A158,lmic_raw_lb[[setting]:[setting]],0), MATCH(AJ$139, lmic_raw_lb[#Headers],0)))</f>
        <v>5.3849930206267393E-3</v>
      </c>
      <c r="AK158" s="98">
        <f>IF(INDEX(lmic_raw_lb[],MATCH($A158,lmic_raw_lb[[setting]:[setting]],0), MATCH(AK$139, lmic_raw_lb[#Headers],0))=0, INDEX(regions_lb[], MATCH($D158, regions_lb[[setting]:[setting]],0), MATCH(AK$139, regions_lb[#Headers],0)),INDEX(lmic_raw_lb[],MATCH($A158,lmic_raw_lb[[setting]:[setting]],0), MATCH(AK$139, lmic_raw_lb[#Headers],0)))</f>
        <v>6.7501342421619065E-3</v>
      </c>
      <c r="AL158" s="98">
        <f>IF(INDEX(lmic_raw_lb[],MATCH($A158,lmic_raw_lb[[setting]:[setting]],0), MATCH(AL$139, lmic_raw_lb[#Headers],0))=0, INDEX(regions_lb[], MATCH($D158, regions_lb[[setting]:[setting]],0), MATCH(AL$139, regions_lb[#Headers],0)),INDEX(lmic_raw_lb[],MATCH($A158,lmic_raw_lb[[setting]:[setting]],0), MATCH(AL$139, lmic_raw_lb[#Headers],0)))</f>
        <v>7.499486582626177E-3</v>
      </c>
      <c r="AM158" s="98">
        <f>IF(INDEX(lmic_raw_lb[],MATCH($A158,lmic_raw_lb[[setting]:[setting]],0), MATCH(AM$139, lmic_raw_lb[#Headers],0))=0, INDEX(regions_lb[], MATCH($D158, regions_lb[[setting]:[setting]],0), MATCH(AM$139, regions_lb[#Headers],0)),INDEX(lmic_raw_lb[],MATCH($A158,lmic_raw_lb[[setting]:[setting]],0), MATCH(AM$139, lmic_raw_lb[#Headers],0)))</f>
        <v>8.1638004169218743E-3</v>
      </c>
      <c r="AN158" s="98">
        <f>IF(INDEX(lmic_raw_lb[],MATCH($A158,lmic_raw_lb[[setting]:[setting]],0), MATCH(AN$139, lmic_raw_lb[#Headers],0))=0, INDEX(regions_lb[], MATCH($D158, regions_lb[[setting]:[setting]],0), MATCH(AN$139, regions_lb[#Headers],0)),INDEX(lmic_raw_lb[],MATCH($A158,lmic_raw_lb[[setting]:[setting]],0), MATCH(AN$139, lmic_raw_lb[#Headers],0)))</f>
        <v>1.029509249178069E-2</v>
      </c>
      <c r="AO158" s="98">
        <f>IF(INDEX(lmic_raw_lb[],MATCH($A158,lmic_raw_lb[[setting]:[setting]],0), MATCH(AO$139, lmic_raw_lb[#Headers],0))=0, INDEX(regions_lb[], MATCH($D158, regions_lb[[setting]:[setting]],0), MATCH(AO$139, regions_lb[#Headers],0)),INDEX(lmic_raw_lb[],MATCH($A158,lmic_raw_lb[[setting]:[setting]],0), MATCH(AO$139, lmic_raw_lb[#Headers],0)))</f>
        <v>1.3489753618917051E-2</v>
      </c>
      <c r="AP158" s="98">
        <f>IF(INDEX(lmic_raw_lb[],MATCH($A158,lmic_raw_lb[[setting]:[setting]],0), MATCH(AP$139, lmic_raw_lb[#Headers],0))=0, INDEX(regions_lb[], MATCH($D158, regions_lb[[setting]:[setting]],0), MATCH(AP$139, regions_lb[#Headers],0)),INDEX(lmic_raw_lb[],MATCH($A158,lmic_raw_lb[[setting]:[setting]],0), MATCH(AP$139, lmic_raw_lb[#Headers],0)))</f>
        <v>1.9944978108700231E-2</v>
      </c>
      <c r="AQ158" s="98">
        <f>IF(INDEX(lmic_raw_lb[],MATCH($A158,lmic_raw_lb[[setting]:[setting]],0), MATCH(AQ$139, lmic_raw_lb[#Headers],0))=0, INDEX(regions_lb[], MATCH($D158, regions_lb[[setting]:[setting]],0), MATCH(AQ$139, regions_lb[#Headers],0)),INDEX(lmic_raw_lb[],MATCH($A158,lmic_raw_lb[[setting]:[setting]],0), MATCH(AQ$139, lmic_raw_lb[#Headers],0)))</f>
        <v>3.0109631617629203E-2</v>
      </c>
      <c r="AR158" s="98">
        <f>IF(INDEX(lmic_raw_lb[],MATCH($A158,lmic_raw_lb[[setting]:[setting]],0), MATCH(AR$139, lmic_raw_lb[#Headers],0))=0, INDEX(regions_lb[], MATCH($D158, regions_lb[[setting]:[setting]],0), MATCH(AR$139, regions_lb[#Headers],0)),INDEX(lmic_raw_lb[],MATCH($A158,lmic_raw_lb[[setting]:[setting]],0), MATCH(AR$139, lmic_raw_lb[#Headers],0)))</f>
        <v>4.5767817231231724E-2</v>
      </c>
      <c r="AS158" s="98">
        <f>IF(INDEX(lmic_raw_lb[],MATCH($A158,lmic_raw_lb[[setting]:[setting]],0), MATCH(AS$139, lmic_raw_lb[#Headers],0))=0, INDEX(regions_lb[], MATCH($D158, regions_lb[[setting]:[setting]],0), MATCH(AS$139, regions_lb[#Headers],0)),INDEX(lmic_raw_lb[],MATCH($A158,lmic_raw_lb[[setting]:[setting]],0), MATCH(AS$139, lmic_raw_lb[#Headers],0)))</f>
        <v>6.7515287236016477E-2</v>
      </c>
      <c r="AT158" s="98">
        <f>IF(INDEX(lmic_raw_lb[],MATCH($A158,lmic_raw_lb[[setting]:[setting]],0), MATCH(AT$139, lmic_raw_lb[#Headers],0))=0, INDEX(regions_lb[], MATCH($D158, regions_lb[[setting]:[setting]],0), MATCH(AT$139, regions_lb[#Headers],0)),INDEX(lmic_raw_lb[],MATCH($A158,lmic_raw_lb[[setting]:[setting]],0), MATCH(AT$139, lmic_raw_lb[#Headers],0)))</f>
        <v>9.5990687151886037E-2</v>
      </c>
      <c r="AU158" s="98">
        <f>IF(INDEX(lmic_raw_lb[],MATCH($A158,lmic_raw_lb[[setting]:[setting]],0), MATCH(AU$139, lmic_raw_lb[#Headers],0))=0, INDEX(regions_lb[], MATCH($D158, regions_lb[[setting]:[setting]],0), MATCH(AU$139, regions_lb[#Headers],0)),INDEX(lmic_raw_lb[],MATCH($A158,lmic_raw_lb[[setting]:[setting]],0), MATCH(AU$139, lmic_raw_lb[#Headers],0)))</f>
        <v>0.12608348175792108</v>
      </c>
      <c r="AV158" s="98">
        <f>IF(INDEX(lmic_raw_lb[],MATCH($A158,lmic_raw_lb[[setting]:[setting]],0), MATCH(AV$139, lmic_raw_lb[#Headers],0))=0, INDEX(regions_lb[], MATCH($D158, regions_lb[[setting]:[setting]],0), MATCH(AV$139, regions_lb[#Headers],0)),INDEX(lmic_raw_lb[],MATCH($A158,lmic_raw_lb[[setting]:[setting]],0), MATCH(AV$139, lmic_raw_lb[#Headers],0)))</f>
        <v>0.15113367349845433</v>
      </c>
      <c r="AW158" s="98">
        <f>IF(INDEX(lmic_raw_lb[],MATCH($A158,lmic_raw_lb[[setting]:[setting]],0), MATCH(AW$139, lmic_raw_lb[#Headers],0))=0, INDEX(regions_lb[], MATCH($D158, regions_lb[[setting]:[setting]],0), MATCH(AW$139, regions_lb[#Headers],0)),INDEX(lmic_raw_lb[],MATCH($A158,lmic_raw_lb[[setting]:[setting]],0), MATCH(AW$139, lmic_raw_lb[#Headers],0)))</f>
        <v>0.16822572624016791</v>
      </c>
      <c r="AX158" s="98">
        <f>IF(INDEX(lmic_raw_lb[],MATCH($A158,lmic_raw_lb[[setting]:[setting]],0), MATCH(AX$139, lmic_raw_lb[#Headers],0))=0, INDEX(regions_lb[], MATCH($D158, regions_lb[[setting]:[setting]],0), MATCH(AX$139, regions_lb[#Headers],0)),INDEX(lmic_raw_lb[],MATCH($A158,lmic_raw_lb[[setting]:[setting]],0), MATCH(AX$139, lmic_raw_lb[#Headers],0)))</f>
        <v>57.973749999999995</v>
      </c>
      <c r="AY158" s="98" t="str">
        <f>IF(VLOOKUP(lmics_lb[[#This Row],[setting]],lmic_raw_lb[],11,FALSE)=0, "Yes", "No")</f>
        <v>Yes</v>
      </c>
    </row>
    <row r="159" spans="1:51" x14ac:dyDescent="0.25">
      <c r="A159" s="110" t="s">
        <v>140</v>
      </c>
      <c r="B159" s="104" t="s">
        <v>393</v>
      </c>
      <c r="C159" s="105">
        <v>132</v>
      </c>
      <c r="D159" s="84" t="s">
        <v>677</v>
      </c>
      <c r="E159" s="122" t="s">
        <v>591</v>
      </c>
      <c r="F159" s="94" t="s">
        <v>667</v>
      </c>
      <c r="G159" s="94" t="s">
        <v>678</v>
      </c>
      <c r="H159" s="94"/>
      <c r="I159" s="94"/>
      <c r="J159" s="94">
        <f>IF(INDEX(lmic_raw_lb[],MATCH($A159,lmic_raw_lb[[setting]:[setting]],0), MATCH(J$139, lmic_raw_lb[#Headers],0))=0, INDEX(regions_lb[], MATCH($D159, regions_lb[[setting]:[setting]],0), MATCH(J$139, regions_lb[#Headers],0)),INDEX(lmic_raw_lb[],MATCH($A159,lmic_raw_lb[[setting]:[setting]],0), MATCH(J$139, lmic_raw_lb[#Headers],0)))</f>
        <v>0.71819999999999984</v>
      </c>
      <c r="K159" s="94">
        <f>IF(INDEX(lmic_raw_lb[],MATCH($A159,lmic_raw_lb[[setting]:[setting]],0), MATCH(K$139, lmic_raw_lb[#Headers],0))=0, INDEX(regions_lb[], MATCH($D159, regions_lb[[setting]:[setting]],0), MATCH(K$139, regions_lb[#Headers],0)),INDEX(lmic_raw_lb[],MATCH($A159,lmic_raw_lb[[setting]:[setting]],0), MATCH(K$139, lmic_raw_lb[#Headers],0)))</f>
        <v>0.91199999999999992</v>
      </c>
      <c r="L159" s="94">
        <f>IF(INDEX(lmic_raw_lb[],MATCH($A159,lmic_raw_lb[[setting]:[setting]],0), MATCH(L$139, lmic_raw_lb[#Headers],0))=0, INDEX(regions_lb[], MATCH($D159, regions_lb[[setting]:[setting]],0), MATCH(L$139, regions_lb[#Headers],0)),INDEX(lmic_raw_lb[],MATCH($A159,lmic_raw_lb[[setting]:[setting]],0), MATCH(L$139, lmic_raw_lb[#Headers],0)))</f>
        <v>0.92149999999999999</v>
      </c>
      <c r="M159" s="94">
        <f>IF(INDEX(lmic_raw_lb[],MATCH($A159,lmic_raw_lb[[setting]:[setting]],0), MATCH(M$139, lmic_raw_lb[#Headers],0))=0, INDEX(regions_lb[], MATCH($D159, regions_lb[[setting]:[setting]],0), MATCH(M$139, regions_lb[#Headers],0)),INDEX(lmic_raw_lb[],MATCH($A159,lmic_raw_lb[[setting]:[setting]],0), MATCH(M$139, lmic_raw_lb[#Headers],0)))</f>
        <v>2.76E-2</v>
      </c>
      <c r="N159" s="94">
        <f>IF(INDEX(lmic_raw_lb[],MATCH($A159,lmic_raw_lb[[setting]:[setting]],0), MATCH(N$139, lmic_raw_lb[#Headers],0))=0, INDEX(regions_lb[], MATCH($D159, regions_lb[[setting]:[setting]],0), MATCH(N$139, regions_lb[#Headers],0)),INDEX(lmic_raw_lb[],MATCH($A159,lmic_raw_lb[[setting]:[setting]],0), MATCH(N$139, lmic_raw_lb[#Headers],0)))</f>
        <v>0.155</v>
      </c>
      <c r="O159" s="94">
        <f>IF(INDEX(lmic_raw_lb[],MATCH($A159,lmic_raw_lb[[setting]:[setting]],0), MATCH(O$139, lmic_raw_lb[#Headers],0))=0, INDEX(regions_lb[], MATCH($D159, regions_lb[[setting]:[setting]],0), MATCH(O$139, regions_lb[#Headers],0)),INDEX(lmic_raw_lb[],MATCH($A159,lmic_raw_lb[[setting]:[setting]],0), MATCH(O$139, lmic_raw_lb[#Headers],0)))</f>
        <v>7.0000000000000007E-2</v>
      </c>
      <c r="P159" s="94">
        <f>IF(INDEX(lmic_raw_lb[],MATCH($A159,lmic_raw_lb[[setting]:[setting]],0), MATCH(P$139, lmic_raw_lb[#Headers],0))=0, INDEX(regions_lb[], MATCH($D159, regions_lb[[setting]:[setting]],0), MATCH(P$139, regions_lb[#Headers],0)),INDEX(lmic_raw_lb[],MATCH($A159,lmic_raw_lb[[setting]:[setting]],0), MATCH(P$139, lmic_raw_lb[#Headers],0)))</f>
        <v>1E-3</v>
      </c>
      <c r="Q159" s="94">
        <f>IF(INDEX(lmic_raw_lb[],MATCH($A159,lmic_raw_lb[[setting]:[setting]],0), MATCH(Q$139, lmic_raw_lb[#Headers],0))=0, INDEX(regions_lb[], MATCH($D159, regions_lb[[setting]:[setting]],0), MATCH(Q$139, regions_lb[#Headers],0)),INDEX(lmic_raw_lb[],MATCH($A159,lmic_raw_lb[[setting]:[setting]],0), MATCH(Q$139, lmic_raw_lb[#Headers],0)))</f>
        <v>5.7839987388942076</v>
      </c>
      <c r="R159" s="94">
        <f>IF(INDEX(lmic_raw_lb[],MATCH($A159,lmic_raw_lb[[setting]:[setting]],0), MATCH(R$139, lmic_raw_lb[#Headers],0))=0, INDEX(regions_lb[], MATCH($D159, regions_lb[[setting]:[setting]],0), MATCH(R$139, regions_lb[#Headers],0)),INDEX(lmic_raw_lb[],MATCH($A159,lmic_raw_lb[[setting]:[setting]],0), MATCH(R$139, lmic_raw_lb[#Headers],0)))</f>
        <v>28.424474999999997</v>
      </c>
      <c r="S159" s="94">
        <f>IF(INDEX(lmic_raw_lb[],MATCH($A159,lmic_raw_lb[[setting]:[setting]],0), MATCH(S$139, lmic_raw_lb[#Headers],0))=0, INDEX(regions_lb[], MATCH($D159, regions_lb[[setting]:[setting]],0), MATCH(S$139, regions_lb[#Headers],0)),INDEX(lmic_raw_lb[],MATCH($A159,lmic_raw_lb[[setting]:[setting]],0), MATCH(S$139, lmic_raw_lb[#Headers],0)))</f>
        <v>73.779375000000002</v>
      </c>
      <c r="T159" s="94">
        <f>IF(INDEX(lmic_raw_lb[],MATCH($A159,lmic_raw_lb[[setting]:[setting]],0), MATCH(T$139, lmic_raw_lb[#Headers],0))=0, INDEX(regions_lb[], MATCH($D159, regions_lb[[setting]:[setting]],0), MATCH(T$139, regions_lb[#Headers],0)),INDEX(lmic_raw_lb[],MATCH($A159,lmic_raw_lb[[setting]:[setting]],0), MATCH(T$139, lmic_raw_lb[#Headers],0)))</f>
        <v>73.779375000000002</v>
      </c>
      <c r="U159" s="94">
        <f>IF(INDEX(lmic_raw_lb[],MATCH($A159,lmic_raw_lb[[setting]:[setting]],0), MATCH(U$139, lmic_raw_lb[#Headers],0))=0, INDEX(regions_lb[], MATCH($D159, regions_lb[[setting]:[setting]],0), MATCH(U$139, regions_lb[#Headers],0)),INDEX(lmic_raw_lb[],MATCH($A159,lmic_raw_lb[[setting]:[setting]],0), MATCH(U$139, lmic_raw_lb[#Headers],0)))</f>
        <v>73.779375000000002</v>
      </c>
      <c r="V159" s="94">
        <f>IF(INDEX(lmic_raw_lb[],MATCH($A159,lmic_raw_lb[[setting]:[setting]],0), MATCH(V$139, lmic_raw_lb[#Headers],0))=0, INDEX(regions_lb[], MATCH($D159, regions_lb[[setting]:[setting]],0), MATCH(V$139, regions_lb[#Headers],0)),INDEX(lmic_raw_lb[],MATCH($A159,lmic_raw_lb[[setting]:[setting]],0), MATCH(V$139, lmic_raw_lb[#Headers],0)))</f>
        <v>4.1017743993694777</v>
      </c>
      <c r="W159" s="94">
        <f>IF(INDEX(lmic_raw_lb[],MATCH($A159,lmic_raw_lb[[setting]:[setting]],0), MATCH(W$139, lmic_raw_lb[#Headers],0))=0, INDEX(regions_lb[], MATCH($D159, regions_lb[[setting]:[setting]],0), MATCH(W$139, regions_lb[#Headers],0)),INDEX(lmic_raw_lb[],MATCH($A159,lmic_raw_lb[[setting]:[setting]],0), MATCH(W$139, lmic_raw_lb[#Headers],0)))</f>
        <v>8.6890393993694772</v>
      </c>
      <c r="X159" s="94">
        <f>IF(INDEX(lmic_raw_lb[],MATCH($A159,lmic_raw_lb[[setting]:[setting]],0), MATCH(X$139, lmic_raw_lb[#Headers],0))=0, INDEX(regions_lb[], MATCH($D159, regions_lb[[setting]:[setting]],0), MATCH(X$139, regions_lb[#Headers],0)),INDEX(lmic_raw_lb[],MATCH($A159,lmic_raw_lb[[setting]:[setting]],0), MATCH(X$139, lmic_raw_lb[#Headers],0)))</f>
        <v>3.730919062495488</v>
      </c>
      <c r="Y159" s="94">
        <f>IF(INDEX(lmic_raw_lb[],MATCH($A159,lmic_raw_lb[[setting]:[setting]],0), MATCH(Y$139, lmic_raw_lb[#Headers],0))=0, INDEX(regions_lb[], MATCH($D159, regions_lb[[setting]:[setting]],0), MATCH(Y$139, regions_lb[#Headers],0)),INDEX(lmic_raw_lb[],MATCH($A159,lmic_raw_lb[[setting]:[setting]],0), MATCH(Y$139, lmic_raw_lb[#Headers],0)))</f>
        <v>8.3181840624954884</v>
      </c>
      <c r="Z159" s="94">
        <f>IF(INDEX(lmic_raw_lb[],MATCH($A159,lmic_raw_lb[[setting]:[setting]],0), MATCH(Z$139, lmic_raw_lb[#Headers],0))=0, INDEX(regions_lb[], MATCH($D159, regions_lb[[setting]:[setting]],0), MATCH(Z$139, regions_lb[#Headers],0)),INDEX(lmic_raw_lb[],MATCH($A159,lmic_raw_lb[[setting]:[setting]],0), MATCH(Z$139, lmic_raw_lb[#Headers],0)))</f>
        <v>8.3122386699871207</v>
      </c>
      <c r="AA159" s="94">
        <f>IF(INDEX(lmic_raw_lb[],MATCH($A159,lmic_raw_lb[[setting]:[setting]],0), MATCH(AA$139, lmic_raw_lb[#Headers],0))=0, INDEX(regions_lb[], MATCH($D159, regions_lb[[setting]:[setting]],0), MATCH(AA$139, regions_lb[#Headers],0)),INDEX(lmic_raw_lb[],MATCH($A159,lmic_raw_lb[[setting]:[setting]],0), MATCH(AA$139, lmic_raw_lb[#Headers],0)))</f>
        <v>4.3153539325511137</v>
      </c>
      <c r="AB159" s="94">
        <f>IF(INDEX(lmic_raw_lb[],MATCH($A159,lmic_raw_lb[[setting]:[setting]],0), MATCH(AB$139, lmic_raw_lb[#Headers],0))=0, INDEX(regions_lb[], MATCH($D159, regions_lb[[setting]:[setting]],0), MATCH(AB$139, regions_lb[#Headers],0)),INDEX(lmic_raw_lb[],MATCH($A159,lmic_raw_lb[[setting]:[setting]],0), MATCH(AB$139, lmic_raw_lb[#Headers],0)))</f>
        <v>8.902618932551114</v>
      </c>
      <c r="AC159" s="94">
        <f>IF(INDEX(lmic_raw_lb[],MATCH($A159,lmic_raw_lb[[setting]:[setting]],0), MATCH(AC$139, lmic_raw_lb[#Headers],0))=0, INDEX(regions_lb[], MATCH($D159, regions_lb[[setting]:[setting]],0), MATCH(AC$139, regions_lb[#Headers],0)),INDEX(lmic_raw_lb[],MATCH($A159,lmic_raw_lb[[setting]:[setting]],0), MATCH(AC$139, lmic_raw_lb[#Headers],0)))</f>
        <v>1.6046763500000016E-2</v>
      </c>
      <c r="AD159" s="94">
        <f>IF(INDEX(lmic_raw_lb[],MATCH($A159,lmic_raw_lb[[setting]:[setting]],0), MATCH(AD$139, lmic_raw_lb[#Headers],0))=0, INDEX(regions_lb[], MATCH($D159, regions_lb[[setting]:[setting]],0), MATCH(AD$139, regions_lb[#Headers],0)),INDEX(lmic_raw_lb[],MATCH($A159,lmic_raw_lb[[setting]:[setting]],0), MATCH(AD$139, lmic_raw_lb[#Headers],0)))</f>
        <v>8.3933078832476452E-4</v>
      </c>
      <c r="AE159" s="94">
        <f>IF(INDEX(lmic_raw_lb[],MATCH($A159,lmic_raw_lb[[setting]:[setting]],0), MATCH(AE$139, lmic_raw_lb[#Headers],0))=0, INDEX(regions_lb[], MATCH($D159, regions_lb[[setting]:[setting]],0), MATCH(AE$139, regions_lb[#Headers],0)),INDEX(lmic_raw_lb[],MATCH($A159,lmic_raw_lb[[setting]:[setting]],0), MATCH(AE$139, lmic_raw_lb[#Headers],0)))</f>
        <v>3.4218002198656337E-4</v>
      </c>
      <c r="AF159" s="94">
        <f>IF(INDEX(lmic_raw_lb[],MATCH($A159,lmic_raw_lb[[setting]:[setting]],0), MATCH(AF$139, lmic_raw_lb[#Headers],0))=0, INDEX(regions_lb[], MATCH($D159, regions_lb[[setting]:[setting]],0), MATCH(AF$139, regions_lb[#Headers],0)),INDEX(lmic_raw_lb[],MATCH($A159,lmic_raw_lb[[setting]:[setting]],0), MATCH(AF$139, lmic_raw_lb[#Headers],0)))</f>
        <v>3.0157861360866317E-4</v>
      </c>
      <c r="AG159" s="94">
        <f>IF(INDEX(lmic_raw_lb[],MATCH($A159,lmic_raw_lb[[setting]:[setting]],0), MATCH(AG$139, lmic_raw_lb[#Headers],0))=0, INDEX(regions_lb[], MATCH($D159, regions_lb[[setting]:[setting]],0), MATCH(AG$139, regions_lb[#Headers],0)),INDEX(lmic_raw_lb[],MATCH($A159,lmic_raw_lb[[setting]:[setting]],0), MATCH(AG$139, lmic_raw_lb[#Headers],0)))</f>
        <v>6.8281004853807704E-4</v>
      </c>
      <c r="AH159" s="94">
        <f>IF(INDEX(lmic_raw_lb[],MATCH($A159,lmic_raw_lb[[setting]:[setting]],0), MATCH(AH$139, lmic_raw_lb[#Headers],0))=0, INDEX(regions_lb[], MATCH($D159, regions_lb[[setting]:[setting]],0), MATCH(AH$139, regions_lb[#Headers],0)),INDEX(lmic_raw_lb[],MATCH($A159,lmic_raw_lb[[setting]:[setting]],0), MATCH(AH$139, lmic_raw_lb[#Headers],0)))</f>
        <v>9.3792852373092905E-4</v>
      </c>
      <c r="AI159" s="94">
        <f>IF(INDEX(lmic_raw_lb[],MATCH($A159,lmic_raw_lb[[setting]:[setting]],0), MATCH(AI$139, lmic_raw_lb[#Headers],0))=0, INDEX(regions_lb[], MATCH($D159, regions_lb[[setting]:[setting]],0), MATCH(AI$139, regions_lb[#Headers],0)),INDEX(lmic_raw_lb[],MATCH($A159,lmic_raw_lb[[setting]:[setting]],0), MATCH(AI$139, lmic_raw_lb[#Headers],0)))</f>
        <v>1.0021680936689752E-3</v>
      </c>
      <c r="AJ159" s="94">
        <f>IF(INDEX(lmic_raw_lb[],MATCH($A159,lmic_raw_lb[[setting]:[setting]],0), MATCH(AJ$139, lmic_raw_lb[#Headers],0))=0, INDEX(regions_lb[], MATCH($D159, regions_lb[[setting]:[setting]],0), MATCH(AJ$139, regions_lb[#Headers],0)),INDEX(lmic_raw_lb[],MATCH($A159,lmic_raw_lb[[setting]:[setting]],0), MATCH(AJ$139, lmic_raw_lb[#Headers],0)))</f>
        <v>1.2175671181234968E-3</v>
      </c>
      <c r="AK159" s="94">
        <f>IF(INDEX(lmic_raw_lb[],MATCH($A159,lmic_raw_lb[[setting]:[setting]],0), MATCH(AK$139, lmic_raw_lb[#Headers],0))=0, INDEX(regions_lb[], MATCH($D159, regions_lb[[setting]:[setting]],0), MATCH(AK$139, regions_lb[#Headers],0)),INDEX(lmic_raw_lb[],MATCH($A159,lmic_raw_lb[[setting]:[setting]],0), MATCH(AK$139, lmic_raw_lb[#Headers],0)))</f>
        <v>1.6784164372098992E-3</v>
      </c>
      <c r="AL159" s="94">
        <f>IF(INDEX(lmic_raw_lb[],MATCH($A159,lmic_raw_lb[[setting]:[setting]],0), MATCH(AL$139, lmic_raw_lb[#Headers],0))=0, INDEX(regions_lb[], MATCH($D159, regions_lb[[setting]:[setting]],0), MATCH(AL$139, regions_lb[#Headers],0)),INDEX(lmic_raw_lb[],MATCH($A159,lmic_raw_lb[[setting]:[setting]],0), MATCH(AL$139, lmic_raw_lb[#Headers],0)))</f>
        <v>2.5003971404202355E-3</v>
      </c>
      <c r="AM159" s="94">
        <f>IF(INDEX(lmic_raw_lb[],MATCH($A159,lmic_raw_lb[[setting]:[setting]],0), MATCH(AM$139, lmic_raw_lb[#Headers],0))=0, INDEX(regions_lb[], MATCH($D159, regions_lb[[setting]:[setting]],0), MATCH(AM$139, regions_lb[#Headers],0)),INDEX(lmic_raw_lb[],MATCH($A159,lmic_raw_lb[[setting]:[setting]],0), MATCH(AM$139, lmic_raw_lb[#Headers],0)))</f>
        <v>3.9216813945665736E-3</v>
      </c>
      <c r="AN159" s="94">
        <f>IF(INDEX(lmic_raw_lb[],MATCH($A159,lmic_raw_lb[[setting]:[setting]],0), MATCH(AN$139, lmic_raw_lb[#Headers],0))=0, INDEX(regions_lb[], MATCH($D159, regions_lb[[setting]:[setting]],0), MATCH(AN$139, regions_lb[#Headers],0)),INDEX(lmic_raw_lb[],MATCH($A159,lmic_raw_lb[[setting]:[setting]],0), MATCH(AN$139, lmic_raw_lb[#Headers],0)))</f>
        <v>6.0591907414042122E-3</v>
      </c>
      <c r="AO159" s="94">
        <f>IF(INDEX(lmic_raw_lb[],MATCH($A159,lmic_raw_lb[[setting]:[setting]],0), MATCH(AO$139, lmic_raw_lb[#Headers],0))=0, INDEX(regions_lb[], MATCH($D159, regions_lb[[setting]:[setting]],0), MATCH(AO$139, regions_lb[#Headers],0)),INDEX(lmic_raw_lb[],MATCH($A159,lmic_raw_lb[[setting]:[setting]],0), MATCH(AO$139, lmic_raw_lb[#Headers],0)))</f>
        <v>9.3399514201864785E-3</v>
      </c>
      <c r="AP159" s="94">
        <f>IF(INDEX(lmic_raw_lb[],MATCH($A159,lmic_raw_lb[[setting]:[setting]],0), MATCH(AP$139, lmic_raw_lb[#Headers],0))=0, INDEX(regions_lb[], MATCH($D159, regions_lb[[setting]:[setting]],0), MATCH(AP$139, regions_lb[#Headers],0)),INDEX(lmic_raw_lb[],MATCH($A159,lmic_raw_lb[[setting]:[setting]],0), MATCH(AP$139, lmic_raw_lb[#Headers],0)))</f>
        <v>1.4609960595368227E-2</v>
      </c>
      <c r="AQ159" s="94">
        <f>IF(INDEX(lmic_raw_lb[],MATCH($A159,lmic_raw_lb[[setting]:[setting]],0), MATCH(AQ$139, lmic_raw_lb[#Headers],0))=0, INDEX(regions_lb[], MATCH($D159, regions_lb[[setting]:[setting]],0), MATCH(AQ$139, regions_lb[#Headers],0)),INDEX(lmic_raw_lb[],MATCH($A159,lmic_raw_lb[[setting]:[setting]],0), MATCH(AQ$139, lmic_raw_lb[#Headers],0)))</f>
        <v>2.2651124723536985E-2</v>
      </c>
      <c r="AR159" s="94">
        <f>IF(INDEX(lmic_raw_lb[],MATCH($A159,lmic_raw_lb[[setting]:[setting]],0), MATCH(AR$139, lmic_raw_lb[#Headers],0))=0, INDEX(regions_lb[], MATCH($D159, regions_lb[[setting]:[setting]],0), MATCH(AR$139, regions_lb[#Headers],0)),INDEX(lmic_raw_lb[],MATCH($A159,lmic_raw_lb[[setting]:[setting]],0), MATCH(AR$139, lmic_raw_lb[#Headers],0)))</f>
        <v>3.5369441269833109E-2</v>
      </c>
      <c r="AS159" s="94">
        <f>IF(INDEX(lmic_raw_lb[],MATCH($A159,lmic_raw_lb[[setting]:[setting]],0), MATCH(AS$139, lmic_raw_lb[#Headers],0))=0, INDEX(regions_lb[], MATCH($D159, regions_lb[[setting]:[setting]],0), MATCH(AS$139, regions_lb[#Headers],0)),INDEX(lmic_raw_lb[],MATCH($A159,lmic_raw_lb[[setting]:[setting]],0), MATCH(AS$139, lmic_raw_lb[#Headers],0)))</f>
        <v>5.6473990276213075E-2</v>
      </c>
      <c r="AT159" s="94">
        <f>IF(INDEX(lmic_raw_lb[],MATCH($A159,lmic_raw_lb[[setting]:[setting]],0), MATCH(AT$139, lmic_raw_lb[#Headers],0))=0, INDEX(regions_lb[], MATCH($D159, regions_lb[[setting]:[setting]],0), MATCH(AT$139, regions_lb[#Headers],0)),INDEX(lmic_raw_lb[],MATCH($A159,lmic_raw_lb[[setting]:[setting]],0), MATCH(AT$139, lmic_raw_lb[#Headers],0)))</f>
        <v>8.4386901753798718E-2</v>
      </c>
      <c r="AU159" s="94">
        <f>IF(INDEX(lmic_raw_lb[],MATCH($A159,lmic_raw_lb[[setting]:[setting]],0), MATCH(AU$139, lmic_raw_lb[#Headers],0))=0, INDEX(regions_lb[], MATCH($D159, regions_lb[[setting]:[setting]],0), MATCH(AU$139, regions_lb[#Headers],0)),INDEX(lmic_raw_lb[],MATCH($A159,lmic_raw_lb[[setting]:[setting]],0), MATCH(AU$139, lmic_raw_lb[#Headers],0)))</f>
        <v>0.11385368890157387</v>
      </c>
      <c r="AV159" s="94">
        <f>IF(INDEX(lmic_raw_lb[],MATCH($A159,lmic_raw_lb[[setting]:[setting]],0), MATCH(AV$139, lmic_raw_lb[#Headers],0))=0, INDEX(regions_lb[], MATCH($D159, regions_lb[[setting]:[setting]],0), MATCH(AV$139, regions_lb[#Headers],0)),INDEX(lmic_raw_lb[],MATCH($A159,lmic_raw_lb[[setting]:[setting]],0), MATCH(AV$139, lmic_raw_lb[#Headers],0)))</f>
        <v>0.14248344437278479</v>
      </c>
      <c r="AW159" s="94">
        <f>IF(INDEX(lmic_raw_lb[],MATCH($A159,lmic_raw_lb[[setting]:[setting]],0), MATCH(AW$139, lmic_raw_lb[#Headers],0))=0, INDEX(regions_lb[], MATCH($D159, regions_lb[[setting]:[setting]],0), MATCH(AW$139, regions_lb[#Headers],0)),INDEX(lmic_raw_lb[],MATCH($A159,lmic_raw_lb[[setting]:[setting]],0), MATCH(AW$139, lmic_raw_lb[#Headers],0)))</f>
        <v>0.16415774141720935</v>
      </c>
      <c r="AX159" s="94">
        <f>IF(INDEX(lmic_raw_lb[],MATCH($A159,lmic_raw_lb[[setting]:[setting]],0), MATCH(AX$139, lmic_raw_lb[#Headers],0))=0, INDEX(regions_lb[], MATCH($D159, regions_lb[[setting]:[setting]],0), MATCH(AX$139, regions_lb[#Headers],0)),INDEX(lmic_raw_lb[],MATCH($A159,lmic_raw_lb[[setting]:[setting]],0), MATCH(AX$139, lmic_raw_lb[#Headers],0)))</f>
        <v>69.067849999999993</v>
      </c>
      <c r="AY159" s="94" t="str">
        <f>IF(VLOOKUP(lmics_lb[[#This Row],[setting]],lmic_raw_lb[],11,FALSE)=0, "Yes", "No")</f>
        <v>No</v>
      </c>
    </row>
    <row r="160" spans="1:51" x14ac:dyDescent="0.25">
      <c r="A160" s="109" t="s">
        <v>212</v>
      </c>
      <c r="B160" s="101" t="s">
        <v>394</v>
      </c>
      <c r="C160" s="102">
        <v>116</v>
      </c>
      <c r="D160" s="82" t="s">
        <v>681</v>
      </c>
      <c r="E160" s="121" t="s">
        <v>598</v>
      </c>
      <c r="F160" s="98" t="s">
        <v>666</v>
      </c>
      <c r="G160" s="98" t="s">
        <v>678</v>
      </c>
      <c r="H160" s="98"/>
      <c r="I160" s="98"/>
      <c r="J160" s="98">
        <f>IF(INDEX(lmic_raw_lb[],MATCH($A160,lmic_raw_lb[[setting]:[setting]],0), MATCH(J$139, lmic_raw_lb[#Headers],0))=0, INDEX(regions_lb[], MATCH($D160, regions_lb[[setting]:[setting]],0), MATCH(J$139, regions_lb[#Headers],0)),INDEX(lmic_raw_lb[],MATCH($A160,lmic_raw_lb[[setting]:[setting]],0), MATCH(J$139, lmic_raw_lb[#Headers],0)))</f>
        <v>0.79039999999999999</v>
      </c>
      <c r="K160" s="98">
        <f>IF(INDEX(lmic_raw_lb[],MATCH($A160,lmic_raw_lb[[setting]:[setting]],0), MATCH(K$139, lmic_raw_lb[#Headers],0))=0, INDEX(regions_lb[], MATCH($D160, regions_lb[[setting]:[setting]],0), MATCH(K$139, regions_lb[#Headers],0)),INDEX(lmic_raw_lb[],MATCH($A160,lmic_raw_lb[[setting]:[setting]],0), MATCH(K$139, lmic_raw_lb[#Headers],0)))</f>
        <v>0.83599999999999997</v>
      </c>
      <c r="L160" s="98">
        <f>IF(INDEX(lmic_raw_lb[],MATCH($A160,lmic_raw_lb[[setting]:[setting]],0), MATCH(L$139, lmic_raw_lb[#Headers],0))=0, INDEX(regions_lb[], MATCH($D160, regions_lb[[setting]:[setting]],0), MATCH(L$139, regions_lb[#Headers],0)),INDEX(lmic_raw_lb[],MATCH($A160,lmic_raw_lb[[setting]:[setting]],0), MATCH(L$139, lmic_raw_lb[#Headers],0)))</f>
        <v>0.874</v>
      </c>
      <c r="M160" s="98">
        <f>IF(INDEX(lmic_raw_lb[],MATCH($A160,lmic_raw_lb[[setting]:[setting]],0), MATCH(M$139, lmic_raw_lb[#Headers],0))=0, INDEX(regions_lb[], MATCH($D160, regions_lb[[setting]:[setting]],0), MATCH(M$139, regions_lb[#Headers],0)),INDEX(lmic_raw_lb[],MATCH($A160,lmic_raw_lb[[setting]:[setting]],0), MATCH(M$139, lmic_raw_lb[#Headers],0)))</f>
        <v>2.23E-2</v>
      </c>
      <c r="N160" s="98">
        <f>IF(INDEX(lmic_raw_lb[],MATCH($A160,lmic_raw_lb[[setting]:[setting]],0), MATCH(N$139, lmic_raw_lb[#Headers],0))=0, INDEX(regions_lb[], MATCH($D160, regions_lb[[setting]:[setting]],0), MATCH(N$139, regions_lb[#Headers],0)),INDEX(lmic_raw_lb[],MATCH($A160,lmic_raw_lb[[setting]:[setting]],0), MATCH(N$139, lmic_raw_lb[#Headers],0)))</f>
        <v>0.18100000000000002</v>
      </c>
      <c r="O160" s="98">
        <f>IF(INDEX(lmic_raw_lb[],MATCH($A160,lmic_raw_lb[[setting]:[setting]],0), MATCH(O$139, lmic_raw_lb[#Headers],0))=0, INDEX(regions_lb[], MATCH($D160, regions_lb[[setting]:[setting]],0), MATCH(O$139, regions_lb[#Headers],0)),INDEX(lmic_raw_lb[],MATCH($A160,lmic_raw_lb[[setting]:[setting]],0), MATCH(O$139, lmic_raw_lb[#Headers],0)))</f>
        <v>0.7</v>
      </c>
      <c r="P160" s="98">
        <f>IF(INDEX(lmic_raw_lb[],MATCH($A160,lmic_raw_lb[[setting]:[setting]],0), MATCH(P$139, lmic_raw_lb[#Headers],0))=0, INDEX(regions_lb[], MATCH($D160, regions_lb[[setting]:[setting]],0), MATCH(P$139, regions_lb[#Headers],0)),INDEX(lmic_raw_lb[],MATCH($A160,lmic_raw_lb[[setting]:[setting]],0), MATCH(P$139, lmic_raw_lb[#Headers],0)))</f>
        <v>0.05</v>
      </c>
      <c r="Q160" s="98">
        <f>IF(INDEX(lmic_raw_lb[],MATCH($A160,lmic_raw_lb[[setting]:[setting]],0), MATCH(Q$139, lmic_raw_lb[#Headers],0))=0, INDEX(regions_lb[], MATCH($D160, regions_lb[[setting]:[setting]],0), MATCH(Q$139, regions_lb[#Headers],0)),INDEX(lmic_raw_lb[],MATCH($A160,lmic_raw_lb[[setting]:[setting]],0), MATCH(Q$139, lmic_raw_lb[#Headers],0)))</f>
        <v>3.0327529123347623</v>
      </c>
      <c r="R160" s="98">
        <f>IF(INDEX(lmic_raw_lb[],MATCH($A160,lmic_raw_lb[[setting]:[setting]],0), MATCH(R$139, lmic_raw_lb[#Headers],0))=0, INDEX(regions_lb[], MATCH($D160, regions_lb[[setting]:[setting]],0), MATCH(R$139, regions_lb[#Headers],0)),INDEX(lmic_raw_lb[],MATCH($A160,lmic_raw_lb[[setting]:[setting]],0), MATCH(R$139, lmic_raw_lb[#Headers],0)))</f>
        <v>69.430275000000009</v>
      </c>
      <c r="S160" s="98">
        <f>IF(INDEX(lmic_raw_lb[],MATCH($A160,lmic_raw_lb[[setting]:[setting]],0), MATCH(S$139, lmic_raw_lb[#Headers],0))=0, INDEX(regions_lb[], MATCH($D160, regions_lb[[setting]:[setting]],0), MATCH(S$139, regions_lb[#Headers],0)),INDEX(lmic_raw_lb[],MATCH($A160,lmic_raw_lb[[setting]:[setting]],0), MATCH(S$139, lmic_raw_lb[#Headers],0)))</f>
        <v>114.785175</v>
      </c>
      <c r="T160" s="98">
        <f>IF(INDEX(lmic_raw_lb[],MATCH($A160,lmic_raw_lb[[setting]:[setting]],0), MATCH(T$139, lmic_raw_lb[#Headers],0))=0, INDEX(regions_lb[], MATCH($D160, regions_lb[[setting]:[setting]],0), MATCH(T$139, regions_lb[#Headers],0)),INDEX(lmic_raw_lb[],MATCH($A160,lmic_raw_lb[[setting]:[setting]],0), MATCH(T$139, lmic_raw_lb[#Headers],0)))</f>
        <v>114.785175</v>
      </c>
      <c r="U160" s="98">
        <f>IF(INDEX(lmic_raw_lb[],MATCH($A160,lmic_raw_lb[[setting]:[setting]],0), MATCH(U$139, lmic_raw_lb[#Headers],0))=0, INDEX(regions_lb[], MATCH($D160, regions_lb[[setting]:[setting]],0), MATCH(U$139, regions_lb[#Headers],0)),INDEX(lmic_raw_lb[],MATCH($A160,lmic_raw_lb[[setting]:[setting]],0), MATCH(U$139, lmic_raw_lb[#Headers],0)))</f>
        <v>114.785175</v>
      </c>
      <c r="V160" s="98">
        <f>IF(INDEX(lmic_raw_lb[],MATCH($A160,lmic_raw_lb[[setting]:[setting]],0), MATCH(V$139, lmic_raw_lb[#Headers],0))=0, INDEX(regions_lb[], MATCH($D160, regions_lb[[setting]:[setting]],0), MATCH(V$139, regions_lb[#Headers],0)),INDEX(lmic_raw_lb[],MATCH($A160,lmic_raw_lb[[setting]:[setting]],0), MATCH(V$139, lmic_raw_lb[#Headers],0)))</f>
        <v>1.463300291398598</v>
      </c>
      <c r="W160" s="98">
        <f>IF(INDEX(lmic_raw_lb[],MATCH($A160,lmic_raw_lb[[setting]:[setting]],0), MATCH(W$139, lmic_raw_lb[#Headers],0))=0, INDEX(regions_lb[], MATCH($D160, regions_lb[[setting]:[setting]],0), MATCH(W$139, regions_lb[#Headers],0)),INDEX(lmic_raw_lb[],MATCH($A160,lmic_raw_lb[[setting]:[setting]],0), MATCH(W$139, lmic_raw_lb[#Headers],0)))</f>
        <v>2.0638902913985979</v>
      </c>
      <c r="X160" s="98">
        <f>IF(INDEX(lmic_raw_lb[],MATCH($A160,lmic_raw_lb[[setting]:[setting]],0), MATCH(X$139, lmic_raw_lb[#Headers],0))=0, INDEX(regions_lb[], MATCH($D160, regions_lb[[setting]:[setting]],0), MATCH(X$139, regions_lb[#Headers],0)),INDEX(lmic_raw_lb[],MATCH($A160,lmic_raw_lb[[setting]:[setting]],0), MATCH(X$139, lmic_raw_lb[#Headers],0)))</f>
        <v>1.0973754695714413</v>
      </c>
      <c r="Y160" s="98">
        <f>IF(INDEX(lmic_raw_lb[],MATCH($A160,lmic_raw_lb[[setting]:[setting]],0), MATCH(Y$139, lmic_raw_lb[#Headers],0))=0, INDEX(regions_lb[], MATCH($D160, regions_lb[[setting]:[setting]],0), MATCH(Y$139, regions_lb[#Headers],0)),INDEX(lmic_raw_lb[],MATCH($A160,lmic_raw_lb[[setting]:[setting]],0), MATCH(Y$139, lmic_raw_lb[#Headers],0)))</f>
        <v>1.6979654695714412</v>
      </c>
      <c r="Z160" s="98">
        <f>IF(INDEX(lmic_raw_lb[],MATCH($A160,lmic_raw_lb[[setting]:[setting]],0), MATCH(Z$139, lmic_raw_lb[#Headers],0))=0, INDEX(regions_lb[], MATCH($D160, regions_lb[[setting]:[setting]],0), MATCH(Z$139, regions_lb[#Headers],0)),INDEX(lmic_raw_lb[],MATCH($A160,lmic_raw_lb[[setting]:[setting]],0), MATCH(Z$139, lmic_raw_lb[#Headers],0)))</f>
        <v>1.6954328173866027</v>
      </c>
      <c r="AA160" s="98">
        <f>IF(INDEX(lmic_raw_lb[],MATCH($A160,lmic_raw_lb[[setting]:[setting]],0), MATCH(AA$139, lmic_raw_lb[#Headers],0))=0, INDEX(regions_lb[], MATCH($D160, regions_lb[[setting]:[setting]],0), MATCH(AA$139, regions_lb[#Headers],0)),INDEX(lmic_raw_lb[],MATCH($A160,lmic_raw_lb[[setting]:[setting]],0), MATCH(AA$139, lmic_raw_lb[#Headers],0)))</f>
        <v>1.6747667467030198</v>
      </c>
      <c r="AB160" s="98">
        <f>IF(INDEX(lmic_raw_lb[],MATCH($A160,lmic_raw_lb[[setting]:[setting]],0), MATCH(AB$139, lmic_raw_lb[#Headers],0))=0, INDEX(regions_lb[], MATCH($D160, regions_lb[[setting]:[setting]],0), MATCH(AB$139, regions_lb[#Headers],0)),INDEX(lmic_raw_lb[],MATCH($A160,lmic_raw_lb[[setting]:[setting]],0), MATCH(AB$139, lmic_raw_lb[#Headers],0)))</f>
        <v>2.2753567467030198</v>
      </c>
      <c r="AC160" s="98">
        <f>IF(INDEX(lmic_raw_lb[],MATCH($A160,lmic_raw_lb[[setting]:[setting]],0), MATCH(AC$139, lmic_raw_lb[#Headers],0))=0, INDEX(regions_lb[], MATCH($D160, regions_lb[[setting]:[setting]],0), MATCH(AC$139, regions_lb[#Headers],0)),INDEX(lmic_raw_lb[],MATCH($A160,lmic_raw_lb[[setting]:[setting]],0), MATCH(AC$139, lmic_raw_lb[#Headers],0)))</f>
        <v>2.2584264499999975E-2</v>
      </c>
      <c r="AD160" s="98">
        <f>IF(INDEX(lmic_raw_lb[],MATCH($A160,lmic_raw_lb[[setting]:[setting]],0), MATCH(AD$139, lmic_raw_lb[#Headers],0))=0, INDEX(regions_lb[], MATCH($D160, regions_lb[[setting]:[setting]],0), MATCH(AD$139, regions_lb[#Headers],0)),INDEX(lmic_raw_lb[],MATCH($A160,lmic_raw_lb[[setting]:[setting]],0), MATCH(AD$139, lmic_raw_lb[#Headers],0)))</f>
        <v>9.2552850587254406E-4</v>
      </c>
      <c r="AE160" s="98">
        <f>IF(INDEX(lmic_raw_lb[],MATCH($A160,lmic_raw_lb[[setting]:[setting]],0), MATCH(AE$139, lmic_raw_lb[#Headers],0))=0, INDEX(regions_lb[], MATCH($D160, regions_lb[[setting]:[setting]],0), MATCH(AE$139, regions_lb[#Headers],0)),INDEX(lmic_raw_lb[],MATCH($A160,lmic_raw_lb[[setting]:[setting]],0), MATCH(AE$139, lmic_raw_lb[#Headers],0)))</f>
        <v>1.5881588210856067E-3</v>
      </c>
      <c r="AF160" s="98">
        <f>IF(INDEX(lmic_raw_lb[],MATCH($A160,lmic_raw_lb[[setting]:[setting]],0), MATCH(AF$139, lmic_raw_lb[#Headers],0))=0, INDEX(regions_lb[], MATCH($D160, regions_lb[[setting]:[setting]],0), MATCH(AF$139, regions_lb[#Headers],0)),INDEX(lmic_raw_lb[],MATCH($A160,lmic_raw_lb[[setting]:[setting]],0), MATCH(AF$139, lmic_raw_lb[#Headers],0)))</f>
        <v>1.1347042249694262E-3</v>
      </c>
      <c r="AG160" s="98">
        <f>IF(INDEX(lmic_raw_lb[],MATCH($A160,lmic_raw_lb[[setting]:[setting]],0), MATCH(AG$139, lmic_raw_lb[#Headers],0))=0, INDEX(regions_lb[], MATCH($D160, regions_lb[[setting]:[setting]],0), MATCH(AG$139, regions_lb[#Headers],0)),INDEX(lmic_raw_lb[],MATCH($A160,lmic_raw_lb[[setting]:[setting]],0), MATCH(AG$139, lmic_raw_lb[#Headers],0)))</f>
        <v>1.0538591751505708E-3</v>
      </c>
      <c r="AH160" s="98">
        <f>IF(INDEX(lmic_raw_lb[],MATCH($A160,lmic_raw_lb[[setting]:[setting]],0), MATCH(AH$139, lmic_raw_lb[#Headers],0))=0, INDEX(regions_lb[], MATCH($D160, regions_lb[[setting]:[setting]],0), MATCH(AH$139, regions_lb[#Headers],0)),INDEX(lmic_raw_lb[],MATCH($A160,lmic_raw_lb[[setting]:[setting]],0), MATCH(AH$139, lmic_raw_lb[#Headers],0)))</f>
        <v>1.2701880413590555E-3</v>
      </c>
      <c r="AI160" s="98">
        <f>IF(INDEX(lmic_raw_lb[],MATCH($A160,lmic_raw_lb[[setting]:[setting]],0), MATCH(AI$139, lmic_raw_lb[#Headers],0))=0, INDEX(regions_lb[], MATCH($D160, regions_lb[[setting]:[setting]],0), MATCH(AI$139, regions_lb[#Headers],0)),INDEX(lmic_raw_lb[],MATCH($A160,lmic_raw_lb[[setting]:[setting]],0), MATCH(AI$139, lmic_raw_lb[#Headers],0)))</f>
        <v>1.7362232376912179E-3</v>
      </c>
      <c r="AJ160" s="98">
        <f>IF(INDEX(lmic_raw_lb[],MATCH($A160,lmic_raw_lb[[setting]:[setting]],0), MATCH(AJ$139, lmic_raw_lb[#Headers],0))=0, INDEX(regions_lb[], MATCH($D160, regions_lb[[setting]:[setting]],0), MATCH(AJ$139, regions_lb[#Headers],0)),INDEX(lmic_raw_lb[],MATCH($A160,lmic_raw_lb[[setting]:[setting]],0), MATCH(AJ$139, lmic_raw_lb[#Headers],0)))</f>
        <v>2.2818183730947145E-3</v>
      </c>
      <c r="AK160" s="98">
        <f>IF(INDEX(lmic_raw_lb[],MATCH($A160,lmic_raw_lb[[setting]:[setting]],0), MATCH(AK$139, lmic_raw_lb[#Headers],0))=0, INDEX(regions_lb[], MATCH($D160, regions_lb[[setting]:[setting]],0), MATCH(AK$139, regions_lb[#Headers],0)),INDEX(lmic_raw_lb[],MATCH($A160,lmic_raw_lb[[setting]:[setting]],0), MATCH(AK$139, lmic_raw_lb[#Headers],0)))</f>
        <v>3.0072237084055164E-3</v>
      </c>
      <c r="AL160" s="98">
        <f>IF(INDEX(lmic_raw_lb[],MATCH($A160,lmic_raw_lb[[setting]:[setting]],0), MATCH(AL$139, lmic_raw_lb[#Headers],0))=0, INDEX(regions_lb[], MATCH($D160, regions_lb[[setting]:[setting]],0), MATCH(AL$139, regions_lb[#Headers],0)),INDEX(lmic_raw_lb[],MATCH($A160,lmic_raw_lb[[setting]:[setting]],0), MATCH(AL$139, lmic_raw_lb[#Headers],0)))</f>
        <v>3.863665377620641E-3</v>
      </c>
      <c r="AM160" s="98">
        <f>IF(INDEX(lmic_raw_lb[],MATCH($A160,lmic_raw_lb[[setting]:[setting]],0), MATCH(AM$139, lmic_raw_lb[#Headers],0))=0, INDEX(regions_lb[], MATCH($D160, regions_lb[[setting]:[setting]],0), MATCH(AM$139, regions_lb[#Headers],0)),INDEX(lmic_raw_lb[],MATCH($A160,lmic_raw_lb[[setting]:[setting]],0), MATCH(AM$139, lmic_raw_lb[#Headers],0)))</f>
        <v>4.8589691576379065E-3</v>
      </c>
      <c r="AN160" s="98">
        <f>IF(INDEX(lmic_raw_lb[],MATCH($A160,lmic_raw_lb[[setting]:[setting]],0), MATCH(AN$139, lmic_raw_lb[#Headers],0))=0, INDEX(regions_lb[], MATCH($D160, regions_lb[[setting]:[setting]],0), MATCH(AN$139, regions_lb[#Headers],0)),INDEX(lmic_raw_lb[],MATCH($A160,lmic_raw_lb[[setting]:[setting]],0), MATCH(AN$139, lmic_raw_lb[#Headers],0)))</f>
        <v>6.3261434348231005E-3</v>
      </c>
      <c r="AO160" s="98">
        <f>IF(INDEX(lmic_raw_lb[],MATCH($A160,lmic_raw_lb[[setting]:[setting]],0), MATCH(AO$139, lmic_raw_lb[#Headers],0))=0, INDEX(regions_lb[], MATCH($D160, regions_lb[[setting]:[setting]],0), MATCH(AO$139, regions_lb[#Headers],0)),INDEX(lmic_raw_lb[],MATCH($A160,lmic_raw_lb[[setting]:[setting]],0), MATCH(AO$139, lmic_raw_lb[#Headers],0)))</f>
        <v>9.7492990030998671E-3</v>
      </c>
      <c r="AP160" s="98">
        <f>IF(INDEX(lmic_raw_lb[],MATCH($A160,lmic_raw_lb[[setting]:[setting]],0), MATCH(AP$139, lmic_raw_lb[#Headers],0))=0, INDEX(regions_lb[], MATCH($D160, regions_lb[[setting]:[setting]],0), MATCH(AP$139, regions_lb[#Headers],0)),INDEX(lmic_raw_lb[],MATCH($A160,lmic_raw_lb[[setting]:[setting]],0), MATCH(AP$139, lmic_raw_lb[#Headers],0)))</f>
        <v>1.7010495440021773E-2</v>
      </c>
      <c r="AQ160" s="98">
        <f>IF(INDEX(lmic_raw_lb[],MATCH($A160,lmic_raw_lb[[setting]:[setting]],0), MATCH(AQ$139, lmic_raw_lb[#Headers],0))=0, INDEX(regions_lb[], MATCH($D160, regions_lb[[setting]:[setting]],0), MATCH(AQ$139, regions_lb[#Headers],0)),INDEX(lmic_raw_lb[],MATCH($A160,lmic_raw_lb[[setting]:[setting]],0), MATCH(AQ$139, lmic_raw_lb[#Headers],0)))</f>
        <v>2.6535459546630794E-2</v>
      </c>
      <c r="AR160" s="98">
        <f>IF(INDEX(lmic_raw_lb[],MATCH($A160,lmic_raw_lb[[setting]:[setting]],0), MATCH(AR$139, lmic_raw_lb[#Headers],0))=0, INDEX(regions_lb[], MATCH($D160, regions_lb[[setting]:[setting]],0), MATCH(AR$139, regions_lb[#Headers],0)),INDEX(lmic_raw_lb[],MATCH($A160,lmic_raw_lb[[setting]:[setting]],0), MATCH(AR$139, lmic_raw_lb[#Headers],0)))</f>
        <v>4.2173260355046815E-2</v>
      </c>
      <c r="AS160" s="98">
        <f>IF(INDEX(lmic_raw_lb[],MATCH($A160,lmic_raw_lb[[setting]:[setting]],0), MATCH(AS$139, lmic_raw_lb[#Headers],0))=0, INDEX(regions_lb[], MATCH($D160, regions_lb[[setting]:[setting]],0), MATCH(AS$139, regions_lb[#Headers],0)),INDEX(lmic_raw_lb[],MATCH($A160,lmic_raw_lb[[setting]:[setting]],0), MATCH(AS$139, lmic_raw_lb[#Headers],0)))</f>
        <v>6.4350845901298775E-2</v>
      </c>
      <c r="AT160" s="98">
        <f>IF(INDEX(lmic_raw_lb[],MATCH($A160,lmic_raw_lb[[setting]:[setting]],0), MATCH(AT$139, lmic_raw_lb[#Headers],0))=0, INDEX(regions_lb[], MATCH($D160, regions_lb[[setting]:[setting]],0), MATCH(AT$139, regions_lb[#Headers],0)),INDEX(lmic_raw_lb[],MATCH($A160,lmic_raw_lb[[setting]:[setting]],0), MATCH(AT$139, lmic_raw_lb[#Headers],0)))</f>
        <v>9.1079441814630568E-2</v>
      </c>
      <c r="AU160" s="98">
        <f>IF(INDEX(lmic_raw_lb[],MATCH($A160,lmic_raw_lb[[setting]:[setting]],0), MATCH(AU$139, lmic_raw_lb[#Headers],0))=0, INDEX(regions_lb[], MATCH($D160, regions_lb[[setting]:[setting]],0), MATCH(AU$139, regions_lb[#Headers],0)),INDEX(lmic_raw_lb[],MATCH($A160,lmic_raw_lb[[setting]:[setting]],0), MATCH(AU$139, lmic_raw_lb[#Headers],0)))</f>
        <v>0.11933552847926461</v>
      </c>
      <c r="AV160" s="98">
        <f>IF(INDEX(lmic_raw_lb[],MATCH($A160,lmic_raw_lb[[setting]:[setting]],0), MATCH(AV$139, lmic_raw_lb[#Headers],0))=0, INDEX(regions_lb[], MATCH($D160, regions_lb[[setting]:[setting]],0), MATCH(AV$139, regions_lb[#Headers],0)),INDEX(lmic_raw_lb[],MATCH($A160,lmic_raw_lb[[setting]:[setting]],0), MATCH(AV$139, lmic_raw_lb[#Headers],0)))</f>
        <v>0.14527734807002129</v>
      </c>
      <c r="AW160" s="98">
        <f>IF(INDEX(lmic_raw_lb[],MATCH($A160,lmic_raw_lb[[setting]:[setting]],0), MATCH(AW$139, lmic_raw_lb[#Headers],0))=0, INDEX(regions_lb[], MATCH($D160, regions_lb[[setting]:[setting]],0), MATCH(AW$139, regions_lb[#Headers],0)),INDEX(lmic_raw_lb[],MATCH($A160,lmic_raw_lb[[setting]:[setting]],0), MATCH(AW$139, lmic_raw_lb[#Headers],0)))</f>
        <v>0.16885194869267275</v>
      </c>
      <c r="AX160" s="98">
        <f>IF(INDEX(lmic_raw_lb[],MATCH($A160,lmic_raw_lb[[setting]:[setting]],0), MATCH(AX$139, lmic_raw_lb[#Headers],0))=0, INDEX(regions_lb[], MATCH($D160, regions_lb[[setting]:[setting]],0), MATCH(AX$139, regions_lb[#Headers],0)),INDEX(lmic_raw_lb[],MATCH($A160,lmic_raw_lb[[setting]:[setting]],0), MATCH(AX$139, lmic_raw_lb[#Headers],0)))</f>
        <v>65.963250000000002</v>
      </c>
      <c r="AY160" s="98" t="str">
        <f>IF(VLOOKUP(lmics_lb[[#This Row],[setting]],lmic_raw_lb[],11,FALSE)=0, "Yes", "No")</f>
        <v>No</v>
      </c>
    </row>
    <row r="161" spans="1:51" x14ac:dyDescent="0.25">
      <c r="A161" s="110" t="s">
        <v>123</v>
      </c>
      <c r="B161" s="104" t="s">
        <v>395</v>
      </c>
      <c r="C161" s="105">
        <v>120</v>
      </c>
      <c r="D161" s="84" t="s">
        <v>677</v>
      </c>
      <c r="E161" s="122" t="s">
        <v>591</v>
      </c>
      <c r="F161" s="94" t="s">
        <v>667</v>
      </c>
      <c r="G161" s="94" t="s">
        <v>678</v>
      </c>
      <c r="H161" s="94"/>
      <c r="I161" s="94"/>
      <c r="J161" s="94">
        <f>IF(INDEX(lmic_raw_lb[],MATCH($A161,lmic_raw_lb[[setting]:[setting]],0), MATCH(J$139, lmic_raw_lb[#Headers],0))=0, INDEX(regions_lb[], MATCH($D161, regions_lb[[setting]:[setting]],0), MATCH(J$139, regions_lb[#Headers],0)),INDEX(lmic_raw_lb[],MATCH($A161,lmic_raw_lb[[setting]:[setting]],0), MATCH(J$139, lmic_raw_lb[#Headers],0)))</f>
        <v>0.63649999999999995</v>
      </c>
      <c r="K161" s="94">
        <f>IF(INDEX(lmic_raw_lb[],MATCH($A161,lmic_raw_lb[[setting]:[setting]],0), MATCH(K$139, lmic_raw_lb[#Headers],0))=0, INDEX(regions_lb[], MATCH($D161, regions_lb[[setting]:[setting]],0), MATCH(K$139, regions_lb[#Headers],0)),INDEX(lmic_raw_lb[],MATCH($A161,lmic_raw_lb[[setting]:[setting]],0), MATCH(K$139, lmic_raw_lb[#Headers],0)))</f>
        <v>0.65789974195504752</v>
      </c>
      <c r="L161" s="94">
        <f>IF(INDEX(lmic_raw_lb[],MATCH($A161,lmic_raw_lb[[setting]:[setting]],0), MATCH(L$139, lmic_raw_lb[#Headers],0))=0, INDEX(regions_lb[], MATCH($D161, regions_lb[[setting]:[setting]],0), MATCH(L$139, regions_lb[#Headers],0)),INDEX(lmic_raw_lb[],MATCH($A161,lmic_raw_lb[[setting]:[setting]],0), MATCH(L$139, lmic_raw_lb[#Headers],0)))</f>
        <v>0.63649999999999995</v>
      </c>
      <c r="M161" s="94">
        <f>IF(INDEX(lmic_raw_lb[],MATCH($A161,lmic_raw_lb[[setting]:[setting]],0), MATCH(M$139, lmic_raw_lb[#Headers],0))=0, INDEX(regions_lb[], MATCH($D161, regions_lb[[setting]:[setting]],0), MATCH(M$139, regions_lb[#Headers],0)),INDEX(lmic_raw_lb[],MATCH($A161,lmic_raw_lb[[setting]:[setting]],0), MATCH(M$139, lmic_raw_lb[#Headers],0)))</f>
        <v>3.49E-2</v>
      </c>
      <c r="N161" s="94">
        <f>IF(INDEX(lmic_raw_lb[],MATCH($A161,lmic_raw_lb[[setting]:[setting]],0), MATCH(N$139, lmic_raw_lb[#Headers],0))=0, INDEX(regions_lb[], MATCH($D161, regions_lb[[setting]:[setting]],0), MATCH(N$139, regions_lb[#Headers],0)),INDEX(lmic_raw_lb[],MATCH($A161,lmic_raw_lb[[setting]:[setting]],0), MATCH(N$139, lmic_raw_lb[#Headers],0)))</f>
        <v>0.155</v>
      </c>
      <c r="O161" s="94">
        <f>IF(INDEX(lmic_raw_lb[],MATCH($A161,lmic_raw_lb[[setting]:[setting]],0), MATCH(O$139, lmic_raw_lb[#Headers],0))=0, INDEX(regions_lb[], MATCH($D161, regions_lb[[setting]:[setting]],0), MATCH(O$139, regions_lb[#Headers],0)),INDEX(lmic_raw_lb[],MATCH($A161,lmic_raw_lb[[setting]:[setting]],0), MATCH(O$139, lmic_raw_lb[#Headers],0)))</f>
        <v>7.0000000000000007E-2</v>
      </c>
      <c r="P161" s="94">
        <f>IF(INDEX(lmic_raw_lb[],MATCH($A161,lmic_raw_lb[[setting]:[setting]],0), MATCH(P$139, lmic_raw_lb[#Headers],0))=0, INDEX(regions_lb[], MATCH($D161, regions_lb[[setting]:[setting]],0), MATCH(P$139, regions_lb[#Headers],0)),INDEX(lmic_raw_lb[],MATCH($A161,lmic_raw_lb[[setting]:[setting]],0), MATCH(P$139, lmic_raw_lb[#Headers],0)))</f>
        <v>1E-3</v>
      </c>
      <c r="Q161" s="94">
        <f>IF(INDEX(lmic_raw_lb[],MATCH($A161,lmic_raw_lb[[setting]:[setting]],0), MATCH(Q$139, lmic_raw_lb[#Headers],0))=0, INDEX(regions_lb[], MATCH($D161, regions_lb[[setting]:[setting]],0), MATCH(Q$139, regions_lb[#Headers],0)),INDEX(lmic_raw_lb[],MATCH($A161,lmic_raw_lb[[setting]:[setting]],0), MATCH(Q$139, lmic_raw_lb[#Headers],0)))</f>
        <v>3.5965327948264521</v>
      </c>
      <c r="R161" s="94">
        <f>IF(INDEX(lmic_raw_lb[],MATCH($A161,lmic_raw_lb[[setting]:[setting]],0), MATCH(R$139, lmic_raw_lb[#Headers],0))=0, INDEX(regions_lb[], MATCH($D161, regions_lb[[setting]:[setting]],0), MATCH(R$139, regions_lb[#Headers],0)),INDEX(lmic_raw_lb[],MATCH($A161,lmic_raw_lb[[setting]:[setting]],0), MATCH(R$139, lmic_raw_lb[#Headers],0)))</f>
        <v>28.424474999999997</v>
      </c>
      <c r="S161" s="94">
        <f>IF(INDEX(lmic_raw_lb[],MATCH($A161,lmic_raw_lb[[setting]:[setting]],0), MATCH(S$139, lmic_raw_lb[#Headers],0))=0, INDEX(regions_lb[], MATCH($D161, regions_lb[[setting]:[setting]],0), MATCH(S$139, regions_lb[#Headers],0)),INDEX(lmic_raw_lb[],MATCH($A161,lmic_raw_lb[[setting]:[setting]],0), MATCH(S$139, lmic_raw_lb[#Headers],0)))</f>
        <v>73.779375000000002</v>
      </c>
      <c r="T161" s="94">
        <f>IF(INDEX(lmic_raw_lb[],MATCH($A161,lmic_raw_lb[[setting]:[setting]],0), MATCH(T$139, lmic_raw_lb[#Headers],0))=0, INDEX(regions_lb[], MATCH($D161, regions_lb[[setting]:[setting]],0), MATCH(T$139, regions_lb[#Headers],0)),INDEX(lmic_raw_lb[],MATCH($A161,lmic_raw_lb[[setting]:[setting]],0), MATCH(T$139, lmic_raw_lb[#Headers],0)))</f>
        <v>73.779375000000002</v>
      </c>
      <c r="U161" s="94">
        <f>IF(INDEX(lmic_raw_lb[],MATCH($A161,lmic_raw_lb[[setting]:[setting]],0), MATCH(U$139, lmic_raw_lb[#Headers],0))=0, INDEX(regions_lb[], MATCH($D161, regions_lb[[setting]:[setting]],0), MATCH(U$139, regions_lb[#Headers],0)),INDEX(lmic_raw_lb[],MATCH($A161,lmic_raw_lb[[setting]:[setting]],0), MATCH(U$139, lmic_raw_lb[#Headers],0)))</f>
        <v>73.779375000000002</v>
      </c>
      <c r="V161" s="94">
        <f>IF(INDEX(lmic_raw_lb[],MATCH($A161,lmic_raw_lb[[setting]:[setting]],0), MATCH(V$139, lmic_raw_lb[#Headers],0))=0, INDEX(regions_lb[], MATCH($D161, regions_lb[[setting]:[setting]],0), MATCH(V$139, regions_lb[#Headers],0)),INDEX(lmic_raw_lb[],MATCH($A161,lmic_raw_lb[[setting]:[setting]],0), MATCH(V$139, lmic_raw_lb[#Headers],0)))</f>
        <v>0.91789651483927626</v>
      </c>
      <c r="W161" s="94">
        <f>IF(INDEX(lmic_raw_lb[],MATCH($A161,lmic_raw_lb[[setting]:[setting]],0), MATCH(W$139, lmic_raw_lb[#Headers],0))=0, INDEX(regions_lb[], MATCH($D161, regions_lb[[setting]:[setting]],0), MATCH(W$139, regions_lb[#Headers],0)),INDEX(lmic_raw_lb[],MATCH($A161,lmic_raw_lb[[setting]:[setting]],0), MATCH(W$139, lmic_raw_lb[#Headers],0)))</f>
        <v>5.5051615148392763</v>
      </c>
      <c r="X161" s="94">
        <f>IF(INDEX(lmic_raw_lb[],MATCH($A161,lmic_raw_lb[[setting]:[setting]],0), MATCH(X$139, lmic_raw_lb[#Headers],0))=0, INDEX(regions_lb[], MATCH($D161, regions_lb[[setting]:[setting]],0), MATCH(X$139, regions_lb[#Headers],0)),INDEX(lmic_raw_lb[],MATCH($A161,lmic_raw_lb[[setting]:[setting]],0), MATCH(X$139, lmic_raw_lb[#Headers],0)))</f>
        <v>0.55176736571301677</v>
      </c>
      <c r="Y161" s="94">
        <f>IF(INDEX(lmic_raw_lb[],MATCH($A161,lmic_raw_lb[[setting]:[setting]],0), MATCH(Y$139, lmic_raw_lb[#Headers],0))=0, INDEX(regions_lb[], MATCH($D161, regions_lb[[setting]:[setting]],0), MATCH(Y$139, regions_lb[#Headers],0)),INDEX(lmic_raw_lb[],MATCH($A161,lmic_raw_lb[[setting]:[setting]],0), MATCH(Y$139, lmic_raw_lb[#Headers],0)))</f>
        <v>5.1390323657130175</v>
      </c>
      <c r="Z161" s="94">
        <f>IF(INDEX(lmic_raw_lb[],MATCH($A161,lmic_raw_lb[[setting]:[setting]],0), MATCH(Z$139, lmic_raw_lb[#Headers],0))=0, INDEX(regions_lb[], MATCH($D161, regions_lb[[setting]:[setting]],0), MATCH(Z$139, regions_lb[#Headers],0)),INDEX(lmic_raw_lb[],MATCH($A161,lmic_raw_lb[[setting]:[setting]],0), MATCH(Z$139, lmic_raw_lb[#Headers],0)))</f>
        <v>5.1359565744553946</v>
      </c>
      <c r="AA161" s="94">
        <f>IF(INDEX(lmic_raw_lb[],MATCH($A161,lmic_raw_lb[[setting]:[setting]],0), MATCH(AA$139, lmic_raw_lb[#Headers],0))=0, INDEX(regions_lb[], MATCH($D161, regions_lb[[setting]:[setting]],0), MATCH(AA$139, regions_lb[#Headers],0)),INDEX(lmic_raw_lb[],MATCH($A161,lmic_raw_lb[[setting]:[setting]],0), MATCH(AA$139, lmic_raw_lb[#Headers],0)))</f>
        <v>1.1294505389861709</v>
      </c>
      <c r="AB161" s="94">
        <f>IF(INDEX(lmic_raw_lb[],MATCH($A161,lmic_raw_lb[[setting]:[setting]],0), MATCH(AB$139, lmic_raw_lb[#Headers],0))=0, INDEX(regions_lb[], MATCH($D161, regions_lb[[setting]:[setting]],0), MATCH(AB$139, regions_lb[#Headers],0)),INDEX(lmic_raw_lb[],MATCH($A161,lmic_raw_lb[[setting]:[setting]],0), MATCH(AB$139, lmic_raw_lb[#Headers],0)))</f>
        <v>5.716715538986171</v>
      </c>
      <c r="AC161" s="94">
        <f>IF(INDEX(lmic_raw_lb[],MATCH($A161,lmic_raw_lb[[setting]:[setting]],0), MATCH(AC$139, lmic_raw_lb[#Headers],0))=0, INDEX(regions_lb[], MATCH($D161, regions_lb[[setting]:[setting]],0), MATCH(AC$139, regions_lb[#Headers],0)),INDEX(lmic_raw_lb[],MATCH($A161,lmic_raw_lb[[setting]:[setting]],0), MATCH(AC$139, lmic_raw_lb[#Headers],0)))</f>
        <v>5.8134689500000052E-2</v>
      </c>
      <c r="AD161" s="94">
        <f>IF(INDEX(lmic_raw_lb[],MATCH($A161,lmic_raw_lb[[setting]:[setting]],0), MATCH(AD$139, lmic_raw_lb[#Headers],0))=0, INDEX(regions_lb[], MATCH($D161, regions_lb[[setting]:[setting]],0), MATCH(AD$139, regions_lb[#Headers],0)),INDEX(lmic_raw_lb[],MATCH($A161,lmic_raw_lb[[setting]:[setting]],0), MATCH(AD$139, lmic_raw_lb[#Headers],0)))</f>
        <v>6.8567445630569818E-3</v>
      </c>
      <c r="AE161" s="94">
        <f>IF(INDEX(lmic_raw_lb[],MATCH($A161,lmic_raw_lb[[setting]:[setting]],0), MATCH(AE$139, lmic_raw_lb[#Headers],0))=0, INDEX(regions_lb[], MATCH($D161, regions_lb[[setting]:[setting]],0), MATCH(AE$139, regions_lb[#Headers],0)),INDEX(lmic_raw_lb[],MATCH($A161,lmic_raw_lb[[setting]:[setting]],0), MATCH(AE$139, lmic_raw_lb[#Headers],0)))</f>
        <v>2.4961807687557368E-3</v>
      </c>
      <c r="AF161" s="94">
        <f>IF(INDEX(lmic_raw_lb[],MATCH($A161,lmic_raw_lb[[setting]:[setting]],0), MATCH(AF$139, lmic_raw_lb[#Headers],0))=0, INDEX(regions_lb[], MATCH($D161, regions_lb[[setting]:[setting]],0), MATCH(AF$139, regions_lb[#Headers],0)),INDEX(lmic_raw_lb[],MATCH($A161,lmic_raw_lb[[setting]:[setting]],0), MATCH(AF$139, lmic_raw_lb[#Headers],0)))</f>
        <v>1.7028439997797051E-3</v>
      </c>
      <c r="AG161" s="94">
        <f>IF(INDEX(lmic_raw_lb[],MATCH($A161,lmic_raw_lb[[setting]:[setting]],0), MATCH(AG$139, lmic_raw_lb[#Headers],0))=0, INDEX(regions_lb[], MATCH($D161, regions_lb[[setting]:[setting]],0), MATCH(AG$139, regions_lb[#Headers],0)),INDEX(lmic_raw_lb[],MATCH($A161,lmic_raw_lb[[setting]:[setting]],0), MATCH(AG$139, lmic_raw_lb[#Headers],0)))</f>
        <v>2.5411864754521811E-3</v>
      </c>
      <c r="AH161" s="94">
        <f>IF(INDEX(lmic_raw_lb[],MATCH($A161,lmic_raw_lb[[setting]:[setting]],0), MATCH(AH$139, lmic_raw_lb[#Headers],0))=0, INDEX(regions_lb[], MATCH($D161, regions_lb[[setting]:[setting]],0), MATCH(AH$139, regions_lb[#Headers],0)),INDEX(lmic_raw_lb[],MATCH($A161,lmic_raw_lb[[setting]:[setting]],0), MATCH(AH$139, lmic_raw_lb[#Headers],0)))</f>
        <v>3.6491301082612697E-3</v>
      </c>
      <c r="AI161" s="94">
        <f>IF(INDEX(lmic_raw_lb[],MATCH($A161,lmic_raw_lb[[setting]:[setting]],0), MATCH(AI$139, lmic_raw_lb[#Headers],0))=0, INDEX(regions_lb[], MATCH($D161, regions_lb[[setting]:[setting]],0), MATCH(AI$139, regions_lb[#Headers],0)),INDEX(lmic_raw_lb[],MATCH($A161,lmic_raw_lb[[setting]:[setting]],0), MATCH(AI$139, lmic_raw_lb[#Headers],0)))</f>
        <v>4.3298506967617851E-3</v>
      </c>
      <c r="AJ161" s="94">
        <f>IF(INDEX(lmic_raw_lb[],MATCH($A161,lmic_raw_lb[[setting]:[setting]],0), MATCH(AJ$139, lmic_raw_lb[#Headers],0))=0, INDEX(regions_lb[], MATCH($D161, regions_lb[[setting]:[setting]],0), MATCH(AJ$139, regions_lb[#Headers],0)),INDEX(lmic_raw_lb[],MATCH($A161,lmic_raw_lb[[setting]:[setting]],0), MATCH(AJ$139, lmic_raw_lb[#Headers],0)))</f>
        <v>5.0887038176600265E-3</v>
      </c>
      <c r="AK161" s="94">
        <f>IF(INDEX(lmic_raw_lb[],MATCH($A161,lmic_raw_lb[[setting]:[setting]],0), MATCH(AK$139, lmic_raw_lb[#Headers],0))=0, INDEX(regions_lb[], MATCH($D161, regions_lb[[setting]:[setting]],0), MATCH(AK$139, regions_lb[#Headers],0)),INDEX(lmic_raw_lb[],MATCH($A161,lmic_raw_lb[[setting]:[setting]],0), MATCH(AK$139, lmic_raw_lb[#Headers],0)))</f>
        <v>6.1610732616617665E-3</v>
      </c>
      <c r="AL161" s="94">
        <f>IF(INDEX(lmic_raw_lb[],MATCH($A161,lmic_raw_lb[[setting]:[setting]],0), MATCH(AL$139, lmic_raw_lb[#Headers],0))=0, INDEX(regions_lb[], MATCH($D161, regions_lb[[setting]:[setting]],0), MATCH(AL$139, regions_lb[#Headers],0)),INDEX(lmic_raw_lb[],MATCH($A161,lmic_raw_lb[[setting]:[setting]],0), MATCH(AL$139, lmic_raw_lb[#Headers],0)))</f>
        <v>7.5313444898546748E-3</v>
      </c>
      <c r="AM161" s="94">
        <f>IF(INDEX(lmic_raw_lb[],MATCH($A161,lmic_raw_lb[[setting]:[setting]],0), MATCH(AM$139, lmic_raw_lb[#Headers],0))=0, INDEX(regions_lb[], MATCH($D161, regions_lb[[setting]:[setting]],0), MATCH(AM$139, regions_lb[#Headers],0)),INDEX(lmic_raw_lb[],MATCH($A161,lmic_raw_lb[[setting]:[setting]],0), MATCH(AM$139, lmic_raw_lb[#Headers],0)))</f>
        <v>9.1412855770493882E-3</v>
      </c>
      <c r="AN161" s="94">
        <f>IF(INDEX(lmic_raw_lb[],MATCH($A161,lmic_raw_lb[[setting]:[setting]],0), MATCH(AN$139, lmic_raw_lb[#Headers],0))=0, INDEX(regions_lb[], MATCH($D161, regions_lb[[setting]:[setting]],0), MATCH(AN$139, regions_lb[#Headers],0)),INDEX(lmic_raw_lb[],MATCH($A161,lmic_raw_lb[[setting]:[setting]],0), MATCH(AN$139, lmic_raw_lb[#Headers],0)))</f>
        <v>1.2334585714053275E-2</v>
      </c>
      <c r="AO161" s="94">
        <f>IF(INDEX(lmic_raw_lb[],MATCH($A161,lmic_raw_lb[[setting]:[setting]],0), MATCH(AO$139, lmic_raw_lb[#Headers],0))=0, INDEX(regions_lb[], MATCH($D161, regions_lb[[setting]:[setting]],0), MATCH(AO$139, regions_lb[#Headers],0)),INDEX(lmic_raw_lb[],MATCH($A161,lmic_raw_lb[[setting]:[setting]],0), MATCH(AO$139, lmic_raw_lb[#Headers],0)))</f>
        <v>1.6082741767519521E-2</v>
      </c>
      <c r="AP161" s="94">
        <f>IF(INDEX(lmic_raw_lb[],MATCH($A161,lmic_raw_lb[[setting]:[setting]],0), MATCH(AP$139, lmic_raw_lb[#Headers],0))=0, INDEX(regions_lb[], MATCH($D161, regions_lb[[setting]:[setting]],0), MATCH(AP$139, regions_lb[#Headers],0)),INDEX(lmic_raw_lb[],MATCH($A161,lmic_raw_lb[[setting]:[setting]],0), MATCH(AP$139, lmic_raw_lb[#Headers],0)))</f>
        <v>2.3405232132211351E-2</v>
      </c>
      <c r="AQ161" s="94">
        <f>IF(INDEX(lmic_raw_lb[],MATCH($A161,lmic_raw_lb[[setting]:[setting]],0), MATCH(AQ$139, lmic_raw_lb[#Headers],0))=0, INDEX(regions_lb[], MATCH($D161, regions_lb[[setting]:[setting]],0), MATCH(AQ$139, regions_lb[#Headers],0)),INDEX(lmic_raw_lb[],MATCH($A161,lmic_raw_lb[[setting]:[setting]],0), MATCH(AQ$139, lmic_raw_lb[#Headers],0)))</f>
        <v>3.5029520600241171E-2</v>
      </c>
      <c r="AR161" s="94">
        <f>IF(INDEX(lmic_raw_lb[],MATCH($A161,lmic_raw_lb[[setting]:[setting]],0), MATCH(AR$139, lmic_raw_lb[#Headers],0))=0, INDEX(regions_lb[], MATCH($D161, regions_lb[[setting]:[setting]],0), MATCH(AR$139, regions_lb[#Headers],0)),INDEX(lmic_raw_lb[],MATCH($A161,lmic_raw_lb[[setting]:[setting]],0), MATCH(AR$139, lmic_raw_lb[#Headers],0)))</f>
        <v>5.2971208565649547E-2</v>
      </c>
      <c r="AS161" s="94">
        <f>IF(INDEX(lmic_raw_lb[],MATCH($A161,lmic_raw_lb[[setting]:[setting]],0), MATCH(AS$139, lmic_raw_lb[#Headers],0))=0, INDEX(regions_lb[], MATCH($D161, regions_lb[[setting]:[setting]],0), MATCH(AS$139, regions_lb[#Headers],0)),INDEX(lmic_raw_lb[],MATCH($A161,lmic_raw_lb[[setting]:[setting]],0), MATCH(AS$139, lmic_raw_lb[#Headers],0)))</f>
        <v>7.8478972028606001E-2</v>
      </c>
      <c r="AT161" s="94">
        <f>IF(INDEX(lmic_raw_lb[],MATCH($A161,lmic_raw_lb[[setting]:[setting]],0), MATCH(AT$139, lmic_raw_lb[#Headers],0))=0, INDEX(regions_lb[], MATCH($D161, regions_lb[[setting]:[setting]],0), MATCH(AT$139, regions_lb[#Headers],0)),INDEX(lmic_raw_lb[],MATCH($A161,lmic_raw_lb[[setting]:[setting]],0), MATCH(AT$139, lmic_raw_lb[#Headers],0)))</f>
        <v>0.1128472748735915</v>
      </c>
      <c r="AU161" s="94">
        <f>IF(INDEX(lmic_raw_lb[],MATCH($A161,lmic_raw_lb[[setting]:[setting]],0), MATCH(AU$139, lmic_raw_lb[#Headers],0))=0, INDEX(regions_lb[], MATCH($D161, regions_lb[[setting]:[setting]],0), MATCH(AU$139, regions_lb[#Headers],0)),INDEX(lmic_raw_lb[],MATCH($A161,lmic_raw_lb[[setting]:[setting]],0), MATCH(AU$139, lmic_raw_lb[#Headers],0)))</f>
        <v>0.14891680406145888</v>
      </c>
      <c r="AV161" s="94">
        <f>IF(INDEX(lmic_raw_lb[],MATCH($A161,lmic_raw_lb[[setting]:[setting]],0), MATCH(AV$139, lmic_raw_lb[#Headers],0))=0, INDEX(regions_lb[], MATCH($D161, regions_lb[[setting]:[setting]],0), MATCH(AV$139, regions_lb[#Headers],0)),INDEX(lmic_raw_lb[],MATCH($A161,lmic_raw_lb[[setting]:[setting]],0), MATCH(AV$139, lmic_raw_lb[#Headers],0)))</f>
        <v>0.17467684381389592</v>
      </c>
      <c r="AW161" s="94">
        <f>IF(INDEX(lmic_raw_lb[],MATCH($A161,lmic_raw_lb[[setting]:[setting]],0), MATCH(AW$139, lmic_raw_lb[#Headers],0))=0, INDEX(regions_lb[], MATCH($D161, regions_lb[[setting]:[setting]],0), MATCH(AW$139, regions_lb[#Headers],0)),INDEX(lmic_raw_lb[],MATCH($A161,lmic_raw_lb[[setting]:[setting]],0), MATCH(AW$139, lmic_raw_lb[#Headers],0)))</f>
        <v>0.18045379942982312</v>
      </c>
      <c r="AX161" s="94">
        <f>IF(INDEX(lmic_raw_lb[],MATCH($A161,lmic_raw_lb[[setting]:[setting]],0), MATCH(AX$139, lmic_raw_lb[#Headers],0))=0, INDEX(regions_lb[], MATCH($D161, regions_lb[[setting]:[setting]],0), MATCH(AX$139, regions_lb[#Headers],0)),INDEX(lmic_raw_lb[],MATCH($A161,lmic_raw_lb[[setting]:[setting]],0), MATCH(AX$139, lmic_raw_lb[#Headers],0)))</f>
        <v>55.833399999999997</v>
      </c>
      <c r="AY161" s="94" t="str">
        <f>IF(VLOOKUP(lmics_lb[[#This Row],[setting]],lmic_raw_lb[],11,FALSE)=0, "Yes", "No")</f>
        <v>Yes</v>
      </c>
    </row>
    <row r="162" spans="1:51" x14ac:dyDescent="0.25">
      <c r="A162" s="109" t="s">
        <v>601</v>
      </c>
      <c r="B162" s="101" t="s">
        <v>397</v>
      </c>
      <c r="C162" s="102">
        <v>140</v>
      </c>
      <c r="D162" s="82" t="s">
        <v>677</v>
      </c>
      <c r="E162" s="121" t="s">
        <v>582</v>
      </c>
      <c r="F162" s="98" t="s">
        <v>667</v>
      </c>
      <c r="G162" s="98" t="s">
        <v>674</v>
      </c>
      <c r="H162" s="98"/>
      <c r="I162" s="98"/>
      <c r="J162" s="98">
        <f>IF(INDEX(lmic_raw_lb[],MATCH($A162,lmic_raw_lb[[setting]:[setting]],0), MATCH(J$139, lmic_raw_lb[#Headers],0))=0, INDEX(regions_lb[], MATCH($D162, regions_lb[[setting]:[setting]],0), MATCH(J$139, regions_lb[#Headers],0)),INDEX(lmic_raw_lb[],MATCH($A162,lmic_raw_lb[[setting]:[setting]],0), MATCH(J$139, lmic_raw_lb[#Headers],0)))</f>
        <v>0.49874999999999997</v>
      </c>
      <c r="K162" s="98">
        <f>IF(INDEX(lmic_raw_lb[],MATCH($A162,lmic_raw_lb[[setting]:[setting]],0), MATCH(K$139, lmic_raw_lb[#Headers],0))=0, INDEX(regions_lb[], MATCH($D162, regions_lb[[setting]:[setting]],0), MATCH(K$139, regions_lb[#Headers],0)),INDEX(lmic_raw_lb[],MATCH($A162,lmic_raw_lb[[setting]:[setting]],0), MATCH(K$139, lmic_raw_lb[#Headers],0)))</f>
        <v>0.65789974195504752</v>
      </c>
      <c r="L162" s="98">
        <f>IF(INDEX(lmic_raw_lb[],MATCH($A162,lmic_raw_lb[[setting]:[setting]],0), MATCH(L$139, lmic_raw_lb[#Headers],0))=0, INDEX(regions_lb[], MATCH($D162, regions_lb[[setting]:[setting]],0), MATCH(L$139, regions_lb[#Headers],0)),INDEX(lmic_raw_lb[],MATCH($A162,lmic_raw_lb[[setting]:[setting]],0), MATCH(L$139, lmic_raw_lb[#Headers],0)))</f>
        <v>0.44649999999999995</v>
      </c>
      <c r="M162" s="98">
        <f>IF(INDEX(lmic_raw_lb[],MATCH($A162,lmic_raw_lb[[setting]:[setting]],0), MATCH(M$139, lmic_raw_lb[#Headers],0))=0, INDEX(regions_lb[], MATCH($D162, regions_lb[[setting]:[setting]],0), MATCH(M$139, regions_lb[#Headers],0)),INDEX(lmic_raw_lb[],MATCH($A162,lmic_raw_lb[[setting]:[setting]],0), MATCH(M$139, lmic_raw_lb[#Headers],0)))</f>
        <v>8.1699999999999995E-2</v>
      </c>
      <c r="N162" s="98">
        <f>IF(INDEX(lmic_raw_lb[],MATCH($A162,lmic_raw_lb[[setting]:[setting]],0), MATCH(N$139, lmic_raw_lb[#Headers],0))=0, INDEX(regions_lb[], MATCH($D162, regions_lb[[setting]:[setting]],0), MATCH(N$139, regions_lb[#Headers],0)),INDEX(lmic_raw_lb[],MATCH($A162,lmic_raw_lb[[setting]:[setting]],0), MATCH(N$139, lmic_raw_lb[#Headers],0)))</f>
        <v>0.15279999999999999</v>
      </c>
      <c r="O162" s="98">
        <f>IF(INDEX(lmic_raw_lb[],MATCH($A162,lmic_raw_lb[[setting]:[setting]],0), MATCH(O$139, lmic_raw_lb[#Headers],0))=0, INDEX(regions_lb[], MATCH($D162, regions_lb[[setting]:[setting]],0), MATCH(O$139, regions_lb[#Headers],0)),INDEX(lmic_raw_lb[],MATCH($A162,lmic_raw_lb[[setting]:[setting]],0), MATCH(O$139, lmic_raw_lb[#Headers],0)))</f>
        <v>7.0000000000000007E-2</v>
      </c>
      <c r="P162" s="98">
        <f>IF(INDEX(lmic_raw_lb[],MATCH($A162,lmic_raw_lb[[setting]:[setting]],0), MATCH(P$139, lmic_raw_lb[#Headers],0))=0, INDEX(regions_lb[], MATCH($D162, regions_lb[[setting]:[setting]],0), MATCH(P$139, regions_lb[#Headers],0)),INDEX(lmic_raw_lb[],MATCH($A162,lmic_raw_lb[[setting]:[setting]],0), MATCH(P$139, lmic_raw_lb[#Headers],0)))</f>
        <v>1E-3</v>
      </c>
      <c r="Q162" s="98">
        <f>IF(INDEX(lmic_raw_lb[],MATCH($A162,lmic_raw_lb[[setting]:[setting]],0), MATCH(Q$139, lmic_raw_lb[#Headers],0))=0, INDEX(regions_lb[], MATCH($D162, regions_lb[[setting]:[setting]],0), MATCH(Q$139, regions_lb[#Headers],0)),INDEX(lmic_raw_lb[],MATCH($A162,lmic_raw_lb[[setting]:[setting]],0), MATCH(Q$139, lmic_raw_lb[#Headers],0)))</f>
        <v>2.6268313969407457</v>
      </c>
      <c r="R162" s="98">
        <f>IF(INDEX(lmic_raw_lb[],MATCH($A162,lmic_raw_lb[[setting]:[setting]],0), MATCH(R$139, lmic_raw_lb[#Headers],0))=0, INDEX(regions_lb[], MATCH($D162, regions_lb[[setting]:[setting]],0), MATCH(R$139, regions_lb[#Headers],0)),INDEX(lmic_raw_lb[],MATCH($A162,lmic_raw_lb[[setting]:[setting]],0), MATCH(R$139, lmic_raw_lb[#Headers],0)))</f>
        <v>28.424474999999997</v>
      </c>
      <c r="S162" s="98">
        <f>IF(INDEX(lmic_raw_lb[],MATCH($A162,lmic_raw_lb[[setting]:[setting]],0), MATCH(S$139, lmic_raw_lb[#Headers],0))=0, INDEX(regions_lb[], MATCH($D162, regions_lb[[setting]:[setting]],0), MATCH(S$139, regions_lb[#Headers],0)),INDEX(lmic_raw_lb[],MATCH($A162,lmic_raw_lb[[setting]:[setting]],0), MATCH(S$139, lmic_raw_lb[#Headers],0)))</f>
        <v>73.779375000000002</v>
      </c>
      <c r="T162" s="98">
        <f>IF(INDEX(lmic_raw_lb[],MATCH($A162,lmic_raw_lb[[setting]:[setting]],0), MATCH(T$139, lmic_raw_lb[#Headers],0))=0, INDEX(regions_lb[], MATCH($D162, regions_lb[[setting]:[setting]],0), MATCH(T$139, regions_lb[#Headers],0)),INDEX(lmic_raw_lb[],MATCH($A162,lmic_raw_lb[[setting]:[setting]],0), MATCH(T$139, lmic_raw_lb[#Headers],0)))</f>
        <v>73.779375000000002</v>
      </c>
      <c r="U162" s="98">
        <f>IF(INDEX(lmic_raw_lb[],MATCH($A162,lmic_raw_lb[[setting]:[setting]],0), MATCH(U$139, lmic_raw_lb[#Headers],0))=0, INDEX(regions_lb[], MATCH($D162, regions_lb[[setting]:[setting]],0), MATCH(U$139, regions_lb[#Headers],0)),INDEX(lmic_raw_lb[],MATCH($A162,lmic_raw_lb[[setting]:[setting]],0), MATCH(U$139, lmic_raw_lb[#Headers],0)))</f>
        <v>73.779375000000002</v>
      </c>
      <c r="V162" s="98">
        <f>IF(INDEX(lmic_raw_lb[],MATCH($A162,lmic_raw_lb[[setting]:[setting]],0), MATCH(V$139, lmic_raw_lb[#Headers],0))=0, INDEX(regions_lb[], MATCH($D162, regions_lb[[setting]:[setting]],0), MATCH(V$139, regions_lb[#Headers],0)),INDEX(lmic_raw_lb[],MATCH($A162,lmic_raw_lb[[setting]:[setting]],0), MATCH(V$139, lmic_raw_lb[#Headers],0)))</f>
        <v>0.48977265087948402</v>
      </c>
      <c r="W162" s="98">
        <f>IF(INDEX(lmic_raw_lb[],MATCH($A162,lmic_raw_lb[[setting]:[setting]],0), MATCH(W$139, lmic_raw_lb[#Headers],0))=0, INDEX(regions_lb[], MATCH($D162, regions_lb[[setting]:[setting]],0), MATCH(W$139, regions_lb[#Headers],0)),INDEX(lmic_raw_lb[],MATCH($A162,lmic_raw_lb[[setting]:[setting]],0), MATCH(W$139, lmic_raw_lb[#Headers],0)))</f>
        <v>5.0770376508794843</v>
      </c>
      <c r="X162" s="98">
        <f>IF(INDEX(lmic_raw_lb[],MATCH($A162,lmic_raw_lb[[setting]:[setting]],0), MATCH(X$139, lmic_raw_lb[#Headers],0))=0, INDEX(regions_lb[], MATCH($D162, regions_lb[[setting]:[setting]],0), MATCH(X$139, regions_lb[#Headers],0)),INDEX(lmic_raw_lb[],MATCH($A162,lmic_raw_lb[[setting]:[setting]],0), MATCH(X$139, lmic_raw_lb[#Headers],0)))</f>
        <v>0.12604156338372721</v>
      </c>
      <c r="Y162" s="98">
        <f>IF(INDEX(lmic_raw_lb[],MATCH($A162,lmic_raw_lb[[setting]:[setting]],0), MATCH(Y$139, lmic_raw_lb[#Headers],0))=0, INDEX(regions_lb[], MATCH($D162, regions_lb[[setting]:[setting]],0), MATCH(Y$139, regions_lb[#Headers],0)),INDEX(lmic_raw_lb[],MATCH($A162,lmic_raw_lb[[setting]:[setting]],0), MATCH(Y$139, lmic_raw_lb[#Headers],0)))</f>
        <v>4.7133065633837274</v>
      </c>
      <c r="Z162" s="98">
        <f>IF(INDEX(lmic_raw_lb[],MATCH($A162,lmic_raw_lb[[setting]:[setting]],0), MATCH(Z$139, lmic_raw_lb[#Headers],0))=0, INDEX(regions_lb[], MATCH($D162, regions_lb[[setting]:[setting]],0), MATCH(Z$139, regions_lb[#Headers],0)),INDEX(lmic_raw_lb[],MATCH($A162,lmic_raw_lb[[setting]:[setting]],0), MATCH(Z$139, lmic_raw_lb[#Headers],0)))</f>
        <v>4.712200846859842</v>
      </c>
      <c r="AA162" s="98">
        <f>IF(INDEX(lmic_raw_lb[],MATCH($A162,lmic_raw_lb[[setting]:[setting]],0), MATCH(AA$139, lmic_raw_lb[#Headers],0))=0, INDEX(regions_lb[], MATCH($D162, regions_lb[[setting]:[setting]],0), MATCH(AA$139, regions_lb[#Headers],0)),INDEX(lmic_raw_lb[],MATCH($A162,lmic_raw_lb[[setting]:[setting]],0), MATCH(AA$139, lmic_raw_lb[#Headers],0)))</f>
        <v>0.70029893432759194</v>
      </c>
      <c r="AB162" s="98">
        <f>IF(INDEX(lmic_raw_lb[],MATCH($A162,lmic_raw_lb[[setting]:[setting]],0), MATCH(AB$139, lmic_raw_lb[#Headers],0))=0, INDEX(regions_lb[], MATCH($D162, regions_lb[[setting]:[setting]],0), MATCH(AB$139, regions_lb[#Headers],0)),INDEX(lmic_raw_lb[],MATCH($A162,lmic_raw_lb[[setting]:[setting]],0), MATCH(AB$139, lmic_raw_lb[#Headers],0)))</f>
        <v>5.2875639343275926</v>
      </c>
      <c r="AC162" s="98">
        <f>IF(INDEX(lmic_raw_lb[],MATCH($A162,lmic_raw_lb[[setting]:[setting]],0), MATCH(AC$139, lmic_raw_lb[#Headers],0))=0, INDEX(regions_lb[], MATCH($D162, regions_lb[[setting]:[setting]],0), MATCH(AC$139, regions_lb[#Headers],0)),INDEX(lmic_raw_lb[],MATCH($A162,lmic_raw_lb[[setting]:[setting]],0), MATCH(AC$139, lmic_raw_lb[#Headers],0)))</f>
        <v>7.782679299999995E-2</v>
      </c>
      <c r="AD162" s="98">
        <f>IF(INDEX(lmic_raw_lb[],MATCH($A162,lmic_raw_lb[[setting]:[setting]],0), MATCH(AD$139, lmic_raw_lb[#Headers],0))=0, INDEX(regions_lb[], MATCH($D162, regions_lb[[setting]:[setting]],0), MATCH(AD$139, regions_lb[#Headers],0)),INDEX(lmic_raw_lb[],MATCH($A162,lmic_raw_lb[[setting]:[setting]],0), MATCH(AD$139, lmic_raw_lb[#Headers],0)))</f>
        <v>1.0334291682443304E-2</v>
      </c>
      <c r="AE162" s="98">
        <f>IF(INDEX(lmic_raw_lb[],MATCH($A162,lmic_raw_lb[[setting]:[setting]],0), MATCH(AE$139, lmic_raw_lb[#Headers],0))=0, INDEX(regions_lb[], MATCH($D162, regions_lb[[setting]:[setting]],0), MATCH(AE$139, regions_lb[#Headers],0)),INDEX(lmic_raw_lb[],MATCH($A162,lmic_raw_lb[[setting]:[setting]],0), MATCH(AE$139, lmic_raw_lb[#Headers],0)))</f>
        <v>3.0365936574577126E-3</v>
      </c>
      <c r="AF162" s="98">
        <f>IF(INDEX(lmic_raw_lb[],MATCH($A162,lmic_raw_lb[[setting]:[setting]],0), MATCH(AF$139, lmic_raw_lb[#Headers],0))=0, INDEX(regions_lb[], MATCH($D162, regions_lb[[setting]:[setting]],0), MATCH(AF$139, regions_lb[#Headers],0)),INDEX(lmic_raw_lb[],MATCH($A162,lmic_raw_lb[[setting]:[setting]],0), MATCH(AF$139, lmic_raw_lb[#Headers],0)))</f>
        <v>2.1735466635176286E-3</v>
      </c>
      <c r="AG162" s="98">
        <f>IF(INDEX(lmic_raw_lb[],MATCH($A162,lmic_raw_lb[[setting]:[setting]],0), MATCH(AG$139, lmic_raw_lb[#Headers],0))=0, INDEX(regions_lb[], MATCH($D162, regions_lb[[setting]:[setting]],0), MATCH(AG$139, regions_lb[#Headers],0)),INDEX(lmic_raw_lb[],MATCH($A162,lmic_raw_lb[[setting]:[setting]],0), MATCH(AG$139, lmic_raw_lb[#Headers],0)))</f>
        <v>3.1299333396651238E-3</v>
      </c>
      <c r="AH162" s="98">
        <f>IF(INDEX(lmic_raw_lb[],MATCH($A162,lmic_raw_lb[[setting]:[setting]],0), MATCH(AH$139, lmic_raw_lb[#Headers],0))=0, INDEX(regions_lb[], MATCH($D162, regions_lb[[setting]:[setting]],0), MATCH(AH$139, regions_lb[#Headers],0)),INDEX(lmic_raw_lb[],MATCH($A162,lmic_raw_lb[[setting]:[setting]],0), MATCH(AH$139, lmic_raw_lb[#Headers],0)))</f>
        <v>4.7682644260981233E-3</v>
      </c>
      <c r="AI162" s="98">
        <f>IF(INDEX(lmic_raw_lb[],MATCH($A162,lmic_raw_lb[[setting]:[setting]],0), MATCH(AI$139, lmic_raw_lb[#Headers],0))=0, INDEX(regions_lb[], MATCH($D162, regions_lb[[setting]:[setting]],0), MATCH(AI$139, regions_lb[#Headers],0)),INDEX(lmic_raw_lb[],MATCH($A162,lmic_raw_lb[[setting]:[setting]],0), MATCH(AI$139, lmic_raw_lb[#Headers],0)))</f>
        <v>6.5010903924326109E-3</v>
      </c>
      <c r="AJ162" s="98">
        <f>IF(INDEX(lmic_raw_lb[],MATCH($A162,lmic_raw_lb[[setting]:[setting]],0), MATCH(AJ$139, lmic_raw_lb[#Headers],0))=0, INDEX(regions_lb[], MATCH($D162, regions_lb[[setting]:[setting]],0), MATCH(AJ$139, regions_lb[#Headers],0)),INDEX(lmic_raw_lb[],MATCH($A162,lmic_raw_lb[[setting]:[setting]],0), MATCH(AJ$139, lmic_raw_lb[#Headers],0)))</f>
        <v>8.2401130841282446E-3</v>
      </c>
      <c r="AK162" s="98">
        <f>IF(INDEX(lmic_raw_lb[],MATCH($A162,lmic_raw_lb[[setting]:[setting]],0), MATCH(AK$139, lmic_raw_lb[#Headers],0))=0, INDEX(regions_lb[], MATCH($D162, regions_lb[[setting]:[setting]],0), MATCH(AK$139, regions_lb[#Headers],0)),INDEX(lmic_raw_lb[],MATCH($A162,lmic_raw_lb[[setting]:[setting]],0), MATCH(AK$139, lmic_raw_lb[#Headers],0)))</f>
        <v>1.0509819159104317E-2</v>
      </c>
      <c r="AL162" s="98">
        <f>IF(INDEX(lmic_raw_lb[],MATCH($A162,lmic_raw_lb[[setting]:[setting]],0), MATCH(AL$139, lmic_raw_lb[#Headers],0))=0, INDEX(regions_lb[], MATCH($D162, regions_lb[[setting]:[setting]],0), MATCH(AL$139, regions_lb[#Headers],0)),INDEX(lmic_raw_lb[],MATCH($A162,lmic_raw_lb[[setting]:[setting]],0), MATCH(AL$139, lmic_raw_lb[#Headers],0)))</f>
        <v>1.2290208503106139E-2</v>
      </c>
      <c r="AM162" s="98">
        <f>IF(INDEX(lmic_raw_lb[],MATCH($A162,lmic_raw_lb[[setting]:[setting]],0), MATCH(AM$139, lmic_raw_lb[#Headers],0))=0, INDEX(regions_lb[], MATCH($D162, regions_lb[[setting]:[setting]],0), MATCH(AM$139, regions_lb[#Headers],0)),INDEX(lmic_raw_lb[],MATCH($A162,lmic_raw_lb[[setting]:[setting]],0), MATCH(AM$139, lmic_raw_lb[#Headers],0)))</f>
        <v>1.4234394814264731E-2</v>
      </c>
      <c r="AN162" s="98">
        <f>IF(INDEX(lmic_raw_lb[],MATCH($A162,lmic_raw_lb[[setting]:[setting]],0), MATCH(AN$139, lmic_raw_lb[#Headers],0))=0, INDEX(regions_lb[], MATCH($D162, regions_lb[[setting]:[setting]],0), MATCH(AN$139, regions_lb[#Headers],0)),INDEX(lmic_raw_lb[],MATCH($A162,lmic_raw_lb[[setting]:[setting]],0), MATCH(AN$139, lmic_raw_lb[#Headers],0)))</f>
        <v>1.7379047281289126E-2</v>
      </c>
      <c r="AO162" s="98">
        <f>IF(INDEX(lmic_raw_lb[],MATCH($A162,lmic_raw_lb[[setting]:[setting]],0), MATCH(AO$139, lmic_raw_lb[#Headers],0))=0, INDEX(regions_lb[], MATCH($D162, regions_lb[[setting]:[setting]],0), MATCH(AO$139, regions_lb[#Headers],0)),INDEX(lmic_raw_lb[],MATCH($A162,lmic_raw_lb[[setting]:[setting]],0), MATCH(AO$139, lmic_raw_lb[#Headers],0)))</f>
        <v>2.1183760146336206E-2</v>
      </c>
      <c r="AP162" s="98">
        <f>IF(INDEX(lmic_raw_lb[],MATCH($A162,lmic_raw_lb[[setting]:[setting]],0), MATCH(AP$139, lmic_raw_lb[#Headers],0))=0, INDEX(regions_lb[], MATCH($D162, regions_lb[[setting]:[setting]],0), MATCH(AP$139, regions_lb[#Headers],0)),INDEX(lmic_raw_lb[],MATCH($A162,lmic_raw_lb[[setting]:[setting]],0), MATCH(AP$139, lmic_raw_lb[#Headers],0)))</f>
        <v>2.8297186330264606E-2</v>
      </c>
      <c r="AQ162" s="98">
        <f>IF(INDEX(lmic_raw_lb[],MATCH($A162,lmic_raw_lb[[setting]:[setting]],0), MATCH(AQ$139, lmic_raw_lb[#Headers],0))=0, INDEX(regions_lb[], MATCH($D162, regions_lb[[setting]:[setting]],0), MATCH(AQ$139, regions_lb[#Headers],0)),INDEX(lmic_raw_lb[],MATCH($A162,lmic_raw_lb[[setting]:[setting]],0), MATCH(AQ$139, lmic_raw_lb[#Headers],0)))</f>
        <v>3.9442769157412044E-2</v>
      </c>
      <c r="AR162" s="98">
        <f>IF(INDEX(lmic_raw_lb[],MATCH($A162,lmic_raw_lb[[setting]:[setting]],0), MATCH(AR$139, lmic_raw_lb[#Headers],0))=0, INDEX(regions_lb[], MATCH($D162, regions_lb[[setting]:[setting]],0), MATCH(AR$139, regions_lb[#Headers],0)),INDEX(lmic_raw_lb[],MATCH($A162,lmic_raw_lb[[setting]:[setting]],0), MATCH(AR$139, lmic_raw_lb[#Headers],0)))</f>
        <v>5.6465411683298744E-2</v>
      </c>
      <c r="AS162" s="98">
        <f>IF(INDEX(lmic_raw_lb[],MATCH($A162,lmic_raw_lb[[setting]:[setting]],0), MATCH(AS$139, lmic_raw_lb[#Headers],0))=0, INDEX(regions_lb[], MATCH($D162, regions_lb[[setting]:[setting]],0), MATCH(AS$139, regions_lb[#Headers],0)),INDEX(lmic_raw_lb[],MATCH($A162,lmic_raw_lb[[setting]:[setting]],0), MATCH(AS$139, lmic_raw_lb[#Headers],0)))</f>
        <v>7.9879078516143301E-2</v>
      </c>
      <c r="AT162" s="98">
        <f>IF(INDEX(lmic_raw_lb[],MATCH($A162,lmic_raw_lb[[setting]:[setting]],0), MATCH(AT$139, lmic_raw_lb[#Headers],0))=0, INDEX(regions_lb[], MATCH($D162, regions_lb[[setting]:[setting]],0), MATCH(AT$139, regions_lb[#Headers],0)),INDEX(lmic_raw_lb[],MATCH($A162,lmic_raw_lb[[setting]:[setting]],0), MATCH(AT$139, lmic_raw_lb[#Headers],0)))</f>
        <v>0.11211322135547955</v>
      </c>
      <c r="AU162" s="98">
        <f>IF(INDEX(lmic_raw_lb[],MATCH($A162,lmic_raw_lb[[setting]:[setting]],0), MATCH(AU$139, lmic_raw_lb[#Headers],0))=0, INDEX(regions_lb[], MATCH($D162, regions_lb[[setting]:[setting]],0), MATCH(AU$139, regions_lb[#Headers],0)),INDEX(lmic_raw_lb[],MATCH($A162,lmic_raw_lb[[setting]:[setting]],0), MATCH(AU$139, lmic_raw_lb[#Headers],0)))</f>
        <v>0.14618258590800071</v>
      </c>
      <c r="AV162" s="98">
        <f>IF(INDEX(lmic_raw_lb[],MATCH($A162,lmic_raw_lb[[setting]:[setting]],0), MATCH(AV$139, lmic_raw_lb[#Headers],0))=0, INDEX(regions_lb[], MATCH($D162, regions_lb[[setting]:[setting]],0), MATCH(AV$139, regions_lb[#Headers],0)),INDEX(lmic_raw_lb[],MATCH($A162,lmic_raw_lb[[setting]:[setting]],0), MATCH(AV$139, lmic_raw_lb[#Headers],0)))</f>
        <v>0.17050667664699753</v>
      </c>
      <c r="AW162" s="98">
        <f>IF(INDEX(lmic_raw_lb[],MATCH($A162,lmic_raw_lb[[setting]:[setting]],0), MATCH(AW$139, lmic_raw_lb[#Headers],0))=0, INDEX(regions_lb[], MATCH($D162, regions_lb[[setting]:[setting]],0), MATCH(AW$139, regions_lb[#Headers],0)),INDEX(lmic_raw_lb[],MATCH($A162,lmic_raw_lb[[setting]:[setting]],0), MATCH(AW$139, lmic_raw_lb[#Headers],0)))</f>
        <v>0.17834655196363908</v>
      </c>
      <c r="AX162" s="98">
        <f>IF(INDEX(lmic_raw_lb[],MATCH($A162,lmic_raw_lb[[setting]:[setting]],0), MATCH(AX$139, lmic_raw_lb[#Headers],0))=0, INDEX(regions_lb[], MATCH($D162, regions_lb[[setting]:[setting]],0), MATCH(AX$139, regions_lb[#Headers],0)),INDEX(lmic_raw_lb[],MATCH($A162,lmic_raw_lb[[setting]:[setting]],0), MATCH(AX$139, lmic_raw_lb[#Headers],0)))</f>
        <v>50.034599999999998</v>
      </c>
      <c r="AY162" s="98" t="str">
        <f>IF(VLOOKUP(lmics_lb[[#This Row],[setting]],lmic_raw_lb[],11,FALSE)=0, "Yes", "No")</f>
        <v>Yes</v>
      </c>
    </row>
    <row r="163" spans="1:51" x14ac:dyDescent="0.25">
      <c r="A163" s="110" t="s">
        <v>125</v>
      </c>
      <c r="B163" s="104" t="s">
        <v>398</v>
      </c>
      <c r="C163" s="105">
        <v>148</v>
      </c>
      <c r="D163" s="84" t="s">
        <v>677</v>
      </c>
      <c r="E163" s="122" t="s">
        <v>591</v>
      </c>
      <c r="F163" s="94" t="s">
        <v>667</v>
      </c>
      <c r="G163" s="94" t="s">
        <v>674</v>
      </c>
      <c r="H163" s="94"/>
      <c r="I163" s="94"/>
      <c r="J163" s="94">
        <f>IF(INDEX(lmic_raw_lb[],MATCH($A163,lmic_raw_lb[[setting]:[setting]],0), MATCH(J$139, lmic_raw_lb[#Headers],0))=0, INDEX(regions_lb[], MATCH($D163, regions_lb[[setting]:[setting]],0), MATCH(J$139, regions_lb[#Headers],0)),INDEX(lmic_raw_lb[],MATCH($A163,lmic_raw_lb[[setting]:[setting]],0), MATCH(J$139, lmic_raw_lb[#Headers],0)))</f>
        <v>0.20615</v>
      </c>
      <c r="K163" s="94">
        <f>IF(INDEX(lmic_raw_lb[],MATCH($A163,lmic_raw_lb[[setting]:[setting]],0), MATCH(K$139, lmic_raw_lb[#Headers],0))=0, INDEX(regions_lb[], MATCH($D163, regions_lb[[setting]:[setting]],0), MATCH(K$139, regions_lb[#Headers],0)),INDEX(lmic_raw_lb[],MATCH($A163,lmic_raw_lb[[setting]:[setting]],0), MATCH(K$139, lmic_raw_lb[#Headers],0)))</f>
        <v>0.65789974195504752</v>
      </c>
      <c r="L163" s="94">
        <f>IF(INDEX(lmic_raw_lb[],MATCH($A163,lmic_raw_lb[[setting]:[setting]],0), MATCH(L$139, lmic_raw_lb[#Headers],0))=0, INDEX(regions_lb[], MATCH($D163, regions_lb[[setting]:[setting]],0), MATCH(L$139, regions_lb[#Headers],0)),INDEX(lmic_raw_lb[],MATCH($A163,lmic_raw_lb[[setting]:[setting]],0), MATCH(L$139, lmic_raw_lb[#Headers],0)))</f>
        <v>0.47499999999999998</v>
      </c>
      <c r="M163" s="94">
        <f>IF(INDEX(lmic_raw_lb[],MATCH($A163,lmic_raw_lb[[setting]:[setting]],0), MATCH(M$139, lmic_raw_lb[#Headers],0))=0, INDEX(regions_lb[], MATCH($D163, regions_lb[[setting]:[setting]],0), MATCH(M$139, regions_lb[#Headers],0)),INDEX(lmic_raw_lb[],MATCH($A163,lmic_raw_lb[[setting]:[setting]],0), MATCH(M$139, lmic_raw_lb[#Headers],0)))</f>
        <v>4.7999999999999996E-3</v>
      </c>
      <c r="N163" s="94">
        <f>IF(INDEX(lmic_raw_lb[],MATCH($A163,lmic_raw_lb[[setting]:[setting]],0), MATCH(N$139, lmic_raw_lb[#Headers],0))=0, INDEX(regions_lb[], MATCH($D163, regions_lb[[setting]:[setting]],0), MATCH(N$139, regions_lb[#Headers],0)),INDEX(lmic_raw_lb[],MATCH($A163,lmic_raw_lb[[setting]:[setting]],0), MATCH(N$139, lmic_raw_lb[#Headers],0)))</f>
        <v>0.155</v>
      </c>
      <c r="O163" s="94">
        <f>IF(INDEX(lmic_raw_lb[],MATCH($A163,lmic_raw_lb[[setting]:[setting]],0), MATCH(O$139, lmic_raw_lb[#Headers],0))=0, INDEX(regions_lb[], MATCH($D163, regions_lb[[setting]:[setting]],0), MATCH(O$139, regions_lb[#Headers],0)),INDEX(lmic_raw_lb[],MATCH($A163,lmic_raw_lb[[setting]:[setting]],0), MATCH(O$139, lmic_raw_lb[#Headers],0)))</f>
        <v>7.0000000000000007E-2</v>
      </c>
      <c r="P163" s="94">
        <f>IF(INDEX(lmic_raw_lb[],MATCH($A163,lmic_raw_lb[[setting]:[setting]],0), MATCH(P$139, lmic_raw_lb[#Headers],0))=0, INDEX(regions_lb[], MATCH($D163, regions_lb[[setting]:[setting]],0), MATCH(P$139, regions_lb[#Headers],0)),INDEX(lmic_raw_lb[],MATCH($A163,lmic_raw_lb[[setting]:[setting]],0), MATCH(P$139, lmic_raw_lb[#Headers],0)))</f>
        <v>1E-3</v>
      </c>
      <c r="Q163" s="94">
        <f>IF(INDEX(lmic_raw_lb[],MATCH($A163,lmic_raw_lb[[setting]:[setting]],0), MATCH(Q$139, lmic_raw_lb[#Headers],0))=0, INDEX(regions_lb[], MATCH($D163, regions_lb[[setting]:[setting]],0), MATCH(Q$139, regions_lb[#Headers],0)),INDEX(lmic_raw_lb[],MATCH($A163,lmic_raw_lb[[setting]:[setting]],0), MATCH(Q$139, lmic_raw_lb[#Headers],0)))</f>
        <v>3.1004064982337654</v>
      </c>
      <c r="R163" s="94">
        <f>IF(INDEX(lmic_raw_lb[],MATCH($A163,lmic_raw_lb[[setting]:[setting]],0), MATCH(R$139, lmic_raw_lb[#Headers],0))=0, INDEX(regions_lb[], MATCH($D163, regions_lb[[setting]:[setting]],0), MATCH(R$139, regions_lb[#Headers],0)),INDEX(lmic_raw_lb[],MATCH($A163,lmic_raw_lb[[setting]:[setting]],0), MATCH(R$139, lmic_raw_lb[#Headers],0)))</f>
        <v>28.424474999999997</v>
      </c>
      <c r="S163" s="94">
        <f>IF(INDEX(lmic_raw_lb[],MATCH($A163,lmic_raw_lb[[setting]:[setting]],0), MATCH(S$139, lmic_raw_lb[#Headers],0))=0, INDEX(regions_lb[], MATCH($D163, regions_lb[[setting]:[setting]],0), MATCH(S$139, regions_lb[#Headers],0)),INDEX(lmic_raw_lb[],MATCH($A163,lmic_raw_lb[[setting]:[setting]],0), MATCH(S$139, lmic_raw_lb[#Headers],0)))</f>
        <v>73.779375000000002</v>
      </c>
      <c r="T163" s="94">
        <f>IF(INDEX(lmic_raw_lb[],MATCH($A163,lmic_raw_lb[[setting]:[setting]],0), MATCH(T$139, lmic_raw_lb[#Headers],0))=0, INDEX(regions_lb[], MATCH($D163, regions_lb[[setting]:[setting]],0), MATCH(T$139, regions_lb[#Headers],0)),INDEX(lmic_raw_lb[],MATCH($A163,lmic_raw_lb[[setting]:[setting]],0), MATCH(T$139, lmic_raw_lb[#Headers],0)))</f>
        <v>73.779375000000002</v>
      </c>
      <c r="U163" s="94">
        <f>IF(INDEX(lmic_raw_lb[],MATCH($A163,lmic_raw_lb[[setting]:[setting]],0), MATCH(U$139, lmic_raw_lb[#Headers],0))=0, INDEX(regions_lb[], MATCH($D163, regions_lb[[setting]:[setting]],0), MATCH(U$139, regions_lb[#Headers],0)),INDEX(lmic_raw_lb[],MATCH($A163,lmic_raw_lb[[setting]:[setting]],0), MATCH(U$139, lmic_raw_lb[#Headers],0)))</f>
        <v>73.779375000000002</v>
      </c>
      <c r="V163" s="94">
        <f>IF(INDEX(lmic_raw_lb[],MATCH($A163,lmic_raw_lb[[setting]:[setting]],0), MATCH(V$139, lmic_raw_lb[#Headers],0))=0, INDEX(regions_lb[], MATCH($D163, regions_lb[[setting]:[setting]],0), MATCH(V$139, regions_lb[#Headers],0)),INDEX(lmic_raw_lb[],MATCH($A163,lmic_raw_lb[[setting]:[setting]],0), MATCH(V$139, lmic_raw_lb[#Headers],0)))</f>
        <v>0.45058237181197963</v>
      </c>
      <c r="W163" s="94">
        <f>IF(INDEX(lmic_raw_lb[],MATCH($A163,lmic_raw_lb[[setting]:[setting]],0), MATCH(W$139, lmic_raw_lb[#Headers],0))=0, INDEX(regions_lb[], MATCH($D163, regions_lb[[setting]:[setting]],0), MATCH(W$139, regions_lb[#Headers],0)),INDEX(lmic_raw_lb[],MATCH($A163,lmic_raw_lb[[setting]:[setting]],0), MATCH(W$139, lmic_raw_lb[#Headers],0)))</f>
        <v>5.0378473718119796</v>
      </c>
      <c r="X163" s="94">
        <f>IF(INDEX(lmic_raw_lb[],MATCH($A163,lmic_raw_lb[[setting]:[setting]],0), MATCH(X$139, lmic_raw_lb[#Headers],0))=0, INDEX(regions_lb[], MATCH($D163, regions_lb[[setting]:[setting]],0), MATCH(X$139, regions_lb[#Headers],0)),INDEX(lmic_raw_lb[],MATCH($A163,lmic_raw_lb[[setting]:[setting]],0), MATCH(X$139, lmic_raw_lb[#Headers],0)))</f>
        <v>8.6023752167548151E-2</v>
      </c>
      <c r="Y163" s="94">
        <f>IF(INDEX(lmic_raw_lb[],MATCH($A163,lmic_raw_lb[[setting]:[setting]],0), MATCH(Y$139, lmic_raw_lb[#Headers],0))=0, INDEX(regions_lb[], MATCH($D163, regions_lb[[setting]:[setting]],0), MATCH(Y$139, regions_lb[#Headers],0)),INDEX(lmic_raw_lb[],MATCH($A163,lmic_raw_lb[[setting]:[setting]],0), MATCH(Y$139, lmic_raw_lb[#Headers],0)))</f>
        <v>4.6732887521675481</v>
      </c>
      <c r="Z163" s="94">
        <f>IF(INDEX(lmic_raw_lb[],MATCH($A163,lmic_raw_lb[[setting]:[setting]],0), MATCH(Z$139, lmic_raw_lb[#Headers],0))=0, INDEX(regions_lb[], MATCH($D163, regions_lb[[setting]:[setting]],0), MATCH(Z$139, regions_lb[#Headers],0)),INDEX(lmic_raw_lb[],MATCH($A163,lmic_raw_lb[[setting]:[setting]],0), MATCH(Z$139, lmic_raw_lb[#Headers],0)))</f>
        <v>4.6716906937866609</v>
      </c>
      <c r="AA163" s="94">
        <f>IF(INDEX(lmic_raw_lb[],MATCH($A163,lmic_raw_lb[[setting]:[setting]],0), MATCH(AA$139, lmic_raw_lb[#Headers],0))=0, INDEX(regions_lb[], MATCH($D163, regions_lb[[setting]:[setting]],0), MATCH(AA$139, regions_lb[#Headers],0)),INDEX(lmic_raw_lb[],MATCH($A163,lmic_raw_lb[[setting]:[setting]],0), MATCH(AA$139, lmic_raw_lb[#Headers],0)))</f>
        <v>0.66146331189523377</v>
      </c>
      <c r="AB163" s="94">
        <f>IF(INDEX(lmic_raw_lb[],MATCH($A163,lmic_raw_lb[[setting]:[setting]],0), MATCH(AB$139, lmic_raw_lb[#Headers],0))=0, INDEX(regions_lb[], MATCH($D163, regions_lb[[setting]:[setting]],0), MATCH(AB$139, regions_lb[#Headers],0)),INDEX(lmic_raw_lb[],MATCH($A163,lmic_raw_lb[[setting]:[setting]],0), MATCH(AB$139, lmic_raw_lb[#Headers],0)))</f>
        <v>5.2487283118952339</v>
      </c>
      <c r="AC163" s="94">
        <f>IF(INDEX(lmic_raw_lb[],MATCH($A163,lmic_raw_lb[[setting]:[setting]],0), MATCH(AC$139, lmic_raw_lb[#Headers],0))=0, INDEX(regions_lb[], MATCH($D163, regions_lb[[setting]:[setting]],0), MATCH(AC$139, regions_lb[#Headers],0)),INDEX(lmic_raw_lb[],MATCH($A163,lmic_raw_lb[[setting]:[setting]],0), MATCH(AC$139, lmic_raw_lb[#Headers],0)))</f>
        <v>7.0798389000000003E-2</v>
      </c>
      <c r="AD163" s="94">
        <f>IF(INDEX(lmic_raw_lb[],MATCH($A163,lmic_raw_lb[[setting]:[setting]],0), MATCH(AD$139, lmic_raw_lb[#Headers],0))=0, INDEX(regions_lb[], MATCH($D163, regions_lb[[setting]:[setting]],0), MATCH(AD$139, regions_lb[#Headers],0)),INDEX(lmic_raw_lb[],MATCH($A163,lmic_raw_lb[[setting]:[setting]],0), MATCH(AD$139, lmic_raw_lb[#Headers],0)))</f>
        <v>1.2428973799389452E-2</v>
      </c>
      <c r="AE163" s="94">
        <f>IF(INDEX(lmic_raw_lb[],MATCH($A163,lmic_raw_lb[[setting]:[setting]],0), MATCH(AE$139, lmic_raw_lb[#Headers],0))=0, INDEX(regions_lb[], MATCH($D163, regions_lb[[setting]:[setting]],0), MATCH(AE$139, regions_lb[#Headers],0)),INDEX(lmic_raw_lb[],MATCH($A163,lmic_raw_lb[[setting]:[setting]],0), MATCH(AE$139, lmic_raw_lb[#Headers],0)))</f>
        <v>4.9140477640478419E-3</v>
      </c>
      <c r="AF163" s="94">
        <f>IF(INDEX(lmic_raw_lb[],MATCH($A163,lmic_raw_lb[[setting]:[setting]],0), MATCH(AF$139, lmic_raw_lb[#Headers],0))=0, INDEX(regions_lb[], MATCH($D163, regions_lb[[setting]:[setting]],0), MATCH(AF$139, regions_lb[#Headers],0)),INDEX(lmic_raw_lb[],MATCH($A163,lmic_raw_lb[[setting]:[setting]],0), MATCH(AF$139, lmic_raw_lb[#Headers],0)))</f>
        <v>3.187978925969821E-3</v>
      </c>
      <c r="AG163" s="94">
        <f>IF(INDEX(lmic_raw_lb[],MATCH($A163,lmic_raw_lb[[setting]:[setting]],0), MATCH(AG$139, lmic_raw_lb[#Headers],0))=0, INDEX(regions_lb[], MATCH($D163, regions_lb[[setting]:[setting]],0), MATCH(AG$139, regions_lb[#Headers],0)),INDEX(lmic_raw_lb[],MATCH($A163,lmic_raw_lb[[setting]:[setting]],0), MATCH(AG$139, lmic_raw_lb[#Headers],0)))</f>
        <v>3.6663730879068252E-3</v>
      </c>
      <c r="AH163" s="94">
        <f>IF(INDEX(lmic_raw_lb[],MATCH($A163,lmic_raw_lb[[setting]:[setting]],0), MATCH(AH$139, lmic_raw_lb[#Headers],0))=0, INDEX(regions_lb[], MATCH($D163, regions_lb[[setting]:[setting]],0), MATCH(AH$139, regions_lb[#Headers],0)),INDEX(lmic_raw_lb[],MATCH($A163,lmic_raw_lb[[setting]:[setting]],0), MATCH(AH$139, lmic_raw_lb[#Headers],0)))</f>
        <v>4.8437924283801911E-3</v>
      </c>
      <c r="AI163" s="94">
        <f>IF(INDEX(lmic_raw_lb[],MATCH($A163,lmic_raw_lb[[setting]:[setting]],0), MATCH(AI$139, lmic_raw_lb[#Headers],0))=0, INDEX(regions_lb[], MATCH($D163, regions_lb[[setting]:[setting]],0), MATCH(AI$139, regions_lb[#Headers],0)),INDEX(lmic_raw_lb[],MATCH($A163,lmic_raw_lb[[setting]:[setting]],0), MATCH(AI$139, lmic_raw_lb[#Headers],0)))</f>
        <v>6.360729221149595E-3</v>
      </c>
      <c r="AJ163" s="94">
        <f>IF(INDEX(lmic_raw_lb[],MATCH($A163,lmic_raw_lb[[setting]:[setting]],0), MATCH(AJ$139, lmic_raw_lb[#Headers],0))=0, INDEX(regions_lb[], MATCH($D163, regions_lb[[setting]:[setting]],0), MATCH(AJ$139, regions_lb[#Headers],0)),INDEX(lmic_raw_lb[],MATCH($A163,lmic_raw_lb[[setting]:[setting]],0), MATCH(AJ$139, lmic_raw_lb[#Headers],0)))</f>
        <v>8.0484805638482079E-3</v>
      </c>
      <c r="AK163" s="94">
        <f>IF(INDEX(lmic_raw_lb[],MATCH($A163,lmic_raw_lb[[setting]:[setting]],0), MATCH(AK$139, lmic_raw_lb[#Headers],0))=0, INDEX(regions_lb[], MATCH($D163, regions_lb[[setting]:[setting]],0), MATCH(AK$139, regions_lb[#Headers],0)),INDEX(lmic_raw_lb[],MATCH($A163,lmic_raw_lb[[setting]:[setting]],0), MATCH(AK$139, lmic_raw_lb[#Headers],0)))</f>
        <v>9.8913296600556515E-3</v>
      </c>
      <c r="AL163" s="94">
        <f>IF(INDEX(lmic_raw_lb[],MATCH($A163,lmic_raw_lb[[setting]:[setting]],0), MATCH(AL$139, lmic_raw_lb[#Headers],0))=0, INDEX(regions_lb[], MATCH($D163, regions_lb[[setting]:[setting]],0), MATCH(AL$139, regions_lb[#Headers],0)),INDEX(lmic_raw_lb[],MATCH($A163,lmic_raw_lb[[setting]:[setting]],0), MATCH(AL$139, lmic_raw_lb[#Headers],0)))</f>
        <v>1.0526143776467265E-2</v>
      </c>
      <c r="AM163" s="94">
        <f>IF(INDEX(lmic_raw_lb[],MATCH($A163,lmic_raw_lb[[setting]:[setting]],0), MATCH(AM$139, lmic_raw_lb[#Headers],0))=0, INDEX(regions_lb[], MATCH($D163, regions_lb[[setting]:[setting]],0), MATCH(AM$139, regions_lb[#Headers],0)),INDEX(lmic_raw_lb[],MATCH($A163,lmic_raw_lb[[setting]:[setting]],0), MATCH(AM$139, lmic_raw_lb[#Headers],0)))</f>
        <v>1.0981358656635241E-2</v>
      </c>
      <c r="AN163" s="94">
        <f>IF(INDEX(lmic_raw_lb[],MATCH($A163,lmic_raw_lb[[setting]:[setting]],0), MATCH(AN$139, lmic_raw_lb[#Headers],0))=0, INDEX(regions_lb[], MATCH($D163, regions_lb[[setting]:[setting]],0), MATCH(AN$139, regions_lb[#Headers],0)),INDEX(lmic_raw_lb[],MATCH($A163,lmic_raw_lb[[setting]:[setting]],0), MATCH(AN$139, lmic_raw_lb[#Headers],0)))</f>
        <v>1.2278298968967736E-2</v>
      </c>
      <c r="AO163" s="94">
        <f>IF(INDEX(lmic_raw_lb[],MATCH($A163,lmic_raw_lb[[setting]:[setting]],0), MATCH(AO$139, lmic_raw_lb[#Headers],0))=0, INDEX(regions_lb[], MATCH($D163, regions_lb[[setting]:[setting]],0), MATCH(AO$139, regions_lb[#Headers],0)),INDEX(lmic_raw_lb[],MATCH($A163,lmic_raw_lb[[setting]:[setting]],0), MATCH(AO$139, lmic_raw_lb[#Headers],0)))</f>
        <v>1.5531681254449883E-2</v>
      </c>
      <c r="AP163" s="94">
        <f>IF(INDEX(lmic_raw_lb[],MATCH($A163,lmic_raw_lb[[setting]:[setting]],0), MATCH(AP$139, lmic_raw_lb[#Headers],0))=0, INDEX(regions_lb[], MATCH($D163, regions_lb[[setting]:[setting]],0), MATCH(AP$139, regions_lb[#Headers],0)),INDEX(lmic_raw_lb[],MATCH($A163,lmic_raw_lb[[setting]:[setting]],0), MATCH(AP$139, lmic_raw_lb[#Headers],0)))</f>
        <v>2.2235440929184669E-2</v>
      </c>
      <c r="AQ163" s="94">
        <f>IF(INDEX(lmic_raw_lb[],MATCH($A163,lmic_raw_lb[[setting]:[setting]],0), MATCH(AQ$139, lmic_raw_lb[#Headers],0))=0, INDEX(regions_lb[], MATCH($D163, regions_lb[[setting]:[setting]],0), MATCH(AQ$139, regions_lb[#Headers],0)),INDEX(lmic_raw_lb[],MATCH($A163,lmic_raw_lb[[setting]:[setting]],0), MATCH(AQ$139, lmic_raw_lb[#Headers],0)))</f>
        <v>3.2947151127633738E-2</v>
      </c>
      <c r="AR163" s="94">
        <f>IF(INDEX(lmic_raw_lb[],MATCH($A163,lmic_raw_lb[[setting]:[setting]],0), MATCH(AR$139, lmic_raw_lb[#Headers],0))=0, INDEX(regions_lb[], MATCH($D163, regions_lb[[setting]:[setting]],0), MATCH(AR$139, regions_lb[#Headers],0)),INDEX(lmic_raw_lb[],MATCH($A163,lmic_raw_lb[[setting]:[setting]],0), MATCH(AR$139, lmic_raw_lb[#Headers],0)))</f>
        <v>4.9511916209015773E-2</v>
      </c>
      <c r="AS163" s="94">
        <f>IF(INDEX(lmic_raw_lb[],MATCH($A163,lmic_raw_lb[[setting]:[setting]],0), MATCH(AS$139, lmic_raw_lb[#Headers],0))=0, INDEX(regions_lb[], MATCH($D163, regions_lb[[setting]:[setting]],0), MATCH(AS$139, regions_lb[#Headers],0)),INDEX(lmic_raw_lb[],MATCH($A163,lmic_raw_lb[[setting]:[setting]],0), MATCH(AS$139, lmic_raw_lb[#Headers],0)))</f>
        <v>7.1939499347785582E-2</v>
      </c>
      <c r="AT163" s="94">
        <f>IF(INDEX(lmic_raw_lb[],MATCH($A163,lmic_raw_lb[[setting]:[setting]],0), MATCH(AT$139, lmic_raw_lb[#Headers],0))=0, INDEX(regions_lb[], MATCH($D163, regions_lb[[setting]:[setting]],0), MATCH(AT$139, regions_lb[#Headers],0)),INDEX(lmic_raw_lb[],MATCH($A163,lmic_raw_lb[[setting]:[setting]],0), MATCH(AT$139, lmic_raw_lb[#Headers],0)))</f>
        <v>0.10060626541573015</v>
      </c>
      <c r="AU163" s="94">
        <f>IF(INDEX(lmic_raw_lb[],MATCH($A163,lmic_raw_lb[[setting]:[setting]],0), MATCH(AU$139, lmic_raw_lb[#Headers],0))=0, INDEX(regions_lb[], MATCH($D163, regions_lb[[setting]:[setting]],0), MATCH(AU$139, regions_lb[#Headers],0)),INDEX(lmic_raw_lb[],MATCH($A163,lmic_raw_lb[[setting]:[setting]],0), MATCH(AU$139, lmic_raw_lb[#Headers],0)))</f>
        <v>0.13011385387199886</v>
      </c>
      <c r="AV163" s="94">
        <f>IF(INDEX(lmic_raw_lb[],MATCH($A163,lmic_raw_lb[[setting]:[setting]],0), MATCH(AV$139, lmic_raw_lb[#Headers],0))=0, INDEX(regions_lb[], MATCH($D163, regions_lb[[setting]:[setting]],0), MATCH(AV$139, regions_lb[#Headers],0)),INDEX(lmic_raw_lb[],MATCH($A163,lmic_raw_lb[[setting]:[setting]],0), MATCH(AV$139, lmic_raw_lb[#Headers],0)))</f>
        <v>0.15408274809008637</v>
      </c>
      <c r="AW163" s="94">
        <f>IF(INDEX(lmic_raw_lb[],MATCH($A163,lmic_raw_lb[[setting]:[setting]],0), MATCH(AW$139, lmic_raw_lb[#Headers],0))=0, INDEX(regions_lb[], MATCH($D163, regions_lb[[setting]:[setting]],0), MATCH(AW$139, regions_lb[#Headers],0)),INDEX(lmic_raw_lb[],MATCH($A163,lmic_raw_lb[[setting]:[setting]],0), MATCH(AW$139, lmic_raw_lb[#Headers],0)))</f>
        <v>0.16978698347619295</v>
      </c>
      <c r="AX163" s="94">
        <f>IF(INDEX(lmic_raw_lb[],MATCH($A163,lmic_raw_lb[[setting]:[setting]],0), MATCH(AX$139, lmic_raw_lb[#Headers],0))=0, INDEX(regions_lb[], MATCH($D163, regions_lb[[setting]:[setting]],0), MATCH(AX$139, regions_lb[#Headers],0)),INDEX(lmic_raw_lb[],MATCH($A163,lmic_raw_lb[[setting]:[setting]],0), MATCH(AX$139, lmic_raw_lb[#Headers],0)))</f>
        <v>51.109049999999996</v>
      </c>
      <c r="AY163" s="94" t="str">
        <f>IF(VLOOKUP(lmics_lb[[#This Row],[setting]],lmic_raw_lb[],11,FALSE)=0, "Yes", "No")</f>
        <v>Yes</v>
      </c>
    </row>
    <row r="164" spans="1:51" x14ac:dyDescent="0.25">
      <c r="A164" s="109" t="s">
        <v>202</v>
      </c>
      <c r="B164" s="101" t="s">
        <v>400</v>
      </c>
      <c r="C164" s="102">
        <v>156</v>
      </c>
      <c r="D164" s="82" t="s">
        <v>681</v>
      </c>
      <c r="E164" s="121" t="s">
        <v>603</v>
      </c>
      <c r="F164" s="98" t="s">
        <v>666</v>
      </c>
      <c r="G164" s="98" t="s">
        <v>676</v>
      </c>
      <c r="H164" s="98"/>
      <c r="I164" s="98"/>
      <c r="J164" s="98">
        <f>IF(INDEX(lmic_raw_lb[],MATCH($A164,lmic_raw_lb[[setting]:[setting]],0), MATCH(J$139, lmic_raw_lb[#Headers],0))=0, INDEX(regions_lb[], MATCH($D164, regions_lb[[setting]:[setting]],0), MATCH(J$139, regions_lb[#Headers],0)),INDEX(lmic_raw_lb[],MATCH($A164,lmic_raw_lb[[setting]:[setting]],0), MATCH(J$139, lmic_raw_lb[#Headers],0)))</f>
        <v>0.94905000000000006</v>
      </c>
      <c r="K164" s="98">
        <f>IF(INDEX(lmic_raw_lb[],MATCH($A164,lmic_raw_lb[[setting]:[setting]],0), MATCH(K$139, lmic_raw_lb[#Headers],0))=0, INDEX(regions_lb[], MATCH($D164, regions_lb[[setting]:[setting]],0), MATCH(K$139, regions_lb[#Headers],0)),INDEX(lmic_raw_lb[],MATCH($A164,lmic_raw_lb[[setting]:[setting]],0), MATCH(K$139, lmic_raw_lb[#Headers],0)))</f>
        <v>0.91199999999999992</v>
      </c>
      <c r="L164" s="98">
        <f>IF(INDEX(lmic_raw_lb[],MATCH($A164,lmic_raw_lb[[setting]:[setting]],0), MATCH(L$139, lmic_raw_lb[#Headers],0))=0, INDEX(regions_lb[], MATCH($D164, regions_lb[[setting]:[setting]],0), MATCH(L$139, regions_lb[#Headers],0)),INDEX(lmic_raw_lb[],MATCH($A164,lmic_raw_lb[[setting]:[setting]],0), MATCH(L$139, lmic_raw_lb[#Headers],0)))</f>
        <v>0.9405</v>
      </c>
      <c r="M164" s="98">
        <f>IF(INDEX(lmic_raw_lb[],MATCH($A164,lmic_raw_lb[[setting]:[setting]],0), MATCH(M$139, lmic_raw_lb[#Headers],0))=0, INDEX(regions_lb[], MATCH($D164, regions_lb[[setting]:[setting]],0), MATCH(M$139, regions_lb[#Headers],0)),INDEX(lmic_raw_lb[],MATCH($A164,lmic_raw_lb[[setting]:[setting]],0), MATCH(M$139, lmic_raw_lb[#Headers],0)))</f>
        <v>5.8499999999999996E-2</v>
      </c>
      <c r="N164" s="98">
        <f>IF(INDEX(lmic_raw_lb[],MATCH($A164,lmic_raw_lb[[setting]:[setting]],0), MATCH(N$139, lmic_raw_lb[#Headers],0))=0, INDEX(regions_lb[], MATCH($D164, regions_lb[[setting]:[setting]],0), MATCH(N$139, regions_lb[#Headers],0)),INDEX(lmic_raw_lb[],MATCH($A164,lmic_raw_lb[[setting]:[setting]],0), MATCH(N$139, lmic_raw_lb[#Headers],0)))</f>
        <v>0.18350000000000002</v>
      </c>
      <c r="O164" s="98">
        <f>IF(INDEX(lmic_raw_lb[],MATCH($A164,lmic_raw_lb[[setting]:[setting]],0), MATCH(O$139, lmic_raw_lb[#Headers],0))=0, INDEX(regions_lb[], MATCH($D164, regions_lb[[setting]:[setting]],0), MATCH(O$139, regions_lb[#Headers],0)),INDEX(lmic_raw_lb[],MATCH($A164,lmic_raw_lb[[setting]:[setting]],0), MATCH(O$139, lmic_raw_lb[#Headers],0)))</f>
        <v>0.7</v>
      </c>
      <c r="P164" s="98">
        <f>IF(INDEX(lmic_raw_lb[],MATCH($A164,lmic_raw_lb[[setting]:[setting]],0), MATCH(P$139, lmic_raw_lb[#Headers],0))=0, INDEX(regions_lb[], MATCH($D164, regions_lb[[setting]:[setting]],0), MATCH(P$139, regions_lb[#Headers],0)),INDEX(lmic_raw_lb[],MATCH($A164,lmic_raw_lb[[setting]:[setting]],0), MATCH(P$139, lmic_raw_lb[#Headers],0)))</f>
        <v>0.05</v>
      </c>
      <c r="Q164" s="98">
        <f>IF(INDEX(lmic_raw_lb[],MATCH($A164,lmic_raw_lb[[setting]:[setting]],0), MATCH(Q$139, lmic_raw_lb[#Headers],0))=0, INDEX(regions_lb[], MATCH($D164, regions_lb[[setting]:[setting]],0), MATCH(Q$139, regions_lb[#Headers],0)),INDEX(lmic_raw_lb[],MATCH($A164,lmic_raw_lb[[setting]:[setting]],0), MATCH(Q$139, lmic_raw_lb[#Headers],0)))</f>
        <v>7.644472351116784</v>
      </c>
      <c r="R164" s="98">
        <f>IF(INDEX(lmic_raw_lb[],MATCH($A164,lmic_raw_lb[[setting]:[setting]],0), MATCH(R$139, lmic_raw_lb[#Headers],0))=0, INDEX(regions_lb[], MATCH($D164, regions_lb[[setting]:[setting]],0), MATCH(R$139, regions_lb[#Headers],0)),INDEX(lmic_raw_lb[],MATCH($A164,lmic_raw_lb[[setting]:[setting]],0), MATCH(R$139, lmic_raw_lb[#Headers],0)))</f>
        <v>69.430275000000009</v>
      </c>
      <c r="S164" s="98">
        <f>IF(INDEX(lmic_raw_lb[],MATCH($A164,lmic_raw_lb[[setting]:[setting]],0), MATCH(S$139, lmic_raw_lb[#Headers],0))=0, INDEX(regions_lb[], MATCH($D164, regions_lb[[setting]:[setting]],0), MATCH(S$139, regions_lb[#Headers],0)),INDEX(lmic_raw_lb[],MATCH($A164,lmic_raw_lb[[setting]:[setting]],0), MATCH(S$139, lmic_raw_lb[#Headers],0)))</f>
        <v>114.785175</v>
      </c>
      <c r="T164" s="98">
        <f>IF(INDEX(lmic_raw_lb[],MATCH($A164,lmic_raw_lb[[setting]:[setting]],0), MATCH(T$139, lmic_raw_lb[#Headers],0))=0, INDEX(regions_lb[], MATCH($D164, regions_lb[[setting]:[setting]],0), MATCH(T$139, regions_lb[#Headers],0)),INDEX(lmic_raw_lb[],MATCH($A164,lmic_raw_lb[[setting]:[setting]],0), MATCH(T$139, lmic_raw_lb[#Headers],0)))</f>
        <v>114.785175</v>
      </c>
      <c r="U164" s="98">
        <f>IF(INDEX(lmic_raw_lb[],MATCH($A164,lmic_raw_lb[[setting]:[setting]],0), MATCH(U$139, lmic_raw_lb[#Headers],0))=0, INDEX(regions_lb[], MATCH($D164, regions_lb[[setting]:[setting]],0), MATCH(U$139, regions_lb[#Headers],0)),INDEX(lmic_raw_lb[],MATCH($A164,lmic_raw_lb[[setting]:[setting]],0), MATCH(U$139, lmic_raw_lb[#Headers],0)))</f>
        <v>114.785175</v>
      </c>
      <c r="V164" s="98">
        <f>IF(INDEX(lmic_raw_lb[],MATCH($A164,lmic_raw_lb[[setting]:[setting]],0), MATCH(V$139, lmic_raw_lb[#Headers],0))=0, INDEX(regions_lb[], MATCH($D164, regions_lb[[setting]:[setting]],0), MATCH(V$139, regions_lb[#Headers],0)),INDEX(lmic_raw_lb[],MATCH($A164,lmic_raw_lb[[setting]:[setting]],0), MATCH(V$139, lmic_raw_lb[#Headers],0)))</f>
        <v>0.96100590286749099</v>
      </c>
      <c r="W164" s="98">
        <f>IF(INDEX(lmic_raw_lb[],MATCH($A164,lmic_raw_lb[[setting]:[setting]],0), MATCH(W$139, lmic_raw_lb[#Headers],0))=0, INDEX(regions_lb[], MATCH($D164, regions_lb[[setting]:[setting]],0), MATCH(W$139, regions_lb[#Headers],0)),INDEX(lmic_raw_lb[],MATCH($A164,lmic_raw_lb[[setting]:[setting]],0), MATCH(W$139, lmic_raw_lb[#Headers],0)))</f>
        <v>1.5615959028674911</v>
      </c>
      <c r="X164" s="98">
        <f>IF(INDEX(lmic_raw_lb[],MATCH($A164,lmic_raw_lb[[setting]:[setting]],0), MATCH(X$139, lmic_raw_lb[#Headers],0))=0, INDEX(regions_lb[], MATCH($D164, regions_lb[[setting]:[setting]],0), MATCH(X$139, regions_lb[#Headers],0)),INDEX(lmic_raw_lb[],MATCH($A164,lmic_raw_lb[[setting]:[setting]],0), MATCH(X$139, lmic_raw_lb[#Headers],0)))</f>
        <v>0.58560818220020194</v>
      </c>
      <c r="Y164" s="98">
        <f>IF(INDEX(lmic_raw_lb[],MATCH($A164,lmic_raw_lb[[setting]:[setting]],0), MATCH(Y$139, lmic_raw_lb[#Headers],0))=0, INDEX(regions_lb[], MATCH($D164, regions_lb[[setting]:[setting]],0), MATCH(Y$139, regions_lb[#Headers],0)),INDEX(lmic_raw_lb[],MATCH($A164,lmic_raw_lb[[setting]:[setting]],0), MATCH(Y$139, lmic_raw_lb[#Headers],0)))</f>
        <v>1.1861981822002019</v>
      </c>
      <c r="Z164" s="98">
        <f>IF(INDEX(lmic_raw_lb[],MATCH($A164,lmic_raw_lb[[setting]:[setting]],0), MATCH(Z$139, lmic_raw_lb[#Headers],0))=0, INDEX(regions_lb[], MATCH($D164, regions_lb[[setting]:[setting]],0), MATCH(Z$139, regions_lb[#Headers],0)),INDEX(lmic_raw_lb[],MATCH($A164,lmic_raw_lb[[setting]:[setting]],0), MATCH(Z$139, lmic_raw_lb[#Headers],0)))</f>
        <v>1.177383351094885</v>
      </c>
      <c r="AA164" s="98">
        <f>IF(INDEX(lmic_raw_lb[],MATCH($A164,lmic_raw_lb[[setting]:[setting]],0), MATCH(AA$139, lmic_raw_lb[#Headers],0))=0, INDEX(regions_lb[], MATCH($D164, regions_lb[[setting]:[setting]],0), MATCH(AA$139, regions_lb[#Headers],0)),INDEX(lmic_raw_lb[],MATCH($A164,lmic_raw_lb[[setting]:[setting]],0), MATCH(AA$139, lmic_raw_lb[#Headers],0)))</f>
        <v>1.1765321719605413</v>
      </c>
      <c r="AB164" s="98">
        <f>IF(INDEX(lmic_raw_lb[],MATCH($A164,lmic_raw_lb[[setting]:[setting]],0), MATCH(AB$139, lmic_raw_lb[#Headers],0))=0, INDEX(regions_lb[], MATCH($D164, regions_lb[[setting]:[setting]],0), MATCH(AB$139, regions_lb[#Headers],0)),INDEX(lmic_raw_lb[],MATCH($A164,lmic_raw_lb[[setting]:[setting]],0), MATCH(AB$139, lmic_raw_lb[#Headers],0)))</f>
        <v>1.7771221719605412</v>
      </c>
      <c r="AC164" s="98">
        <f>IF(INDEX(lmic_raw_lb[],MATCH($A164,lmic_raw_lb[[setting]:[setting]],0), MATCH(AC$139, lmic_raw_lb[#Headers],0))=0, INDEX(regions_lb[], MATCH($D164, regions_lb[[setting]:[setting]],0), MATCH(AC$139, regions_lb[#Headers],0)),INDEX(lmic_raw_lb[],MATCH($A164,lmic_raw_lb[[setting]:[setting]],0), MATCH(AC$139, lmic_raw_lb[#Headers],0)))</f>
        <v>9.3994615000000115E-3</v>
      </c>
      <c r="AD164" s="98">
        <f>IF(INDEX(lmic_raw_lb[],MATCH($A164,lmic_raw_lb[[setting]:[setting]],0), MATCH(AD$139, lmic_raw_lb[#Headers],0))=0, INDEX(regions_lb[], MATCH($D164, regions_lb[[setting]:[setting]],0), MATCH(AD$139, regions_lb[#Headers],0)),INDEX(lmic_raw_lb[],MATCH($A164,lmic_raw_lb[[setting]:[setting]],0), MATCH(AD$139, lmic_raw_lb[#Headers],0)))</f>
        <v>3.9281659416144188E-4</v>
      </c>
      <c r="AE164" s="98">
        <f>IF(INDEX(lmic_raw_lb[],MATCH($A164,lmic_raw_lb[[setting]:[setting]],0), MATCH(AE$139, lmic_raw_lb[#Headers],0))=0, INDEX(regions_lb[], MATCH($D164, regions_lb[[setting]:[setting]],0), MATCH(AE$139, regions_lb[#Headers],0)),INDEX(lmic_raw_lb[],MATCH($A164,lmic_raw_lb[[setting]:[setting]],0), MATCH(AE$139, lmic_raw_lb[#Headers],0)))</f>
        <v>2.963287955142556E-4</v>
      </c>
      <c r="AF164" s="98">
        <f>IF(INDEX(lmic_raw_lb[],MATCH($A164,lmic_raw_lb[[setting]:[setting]],0), MATCH(AF$139, lmic_raw_lb[#Headers],0))=0, INDEX(regions_lb[], MATCH($D164, regions_lb[[setting]:[setting]],0), MATCH(AF$139, regions_lb[#Headers],0)),INDEX(lmic_raw_lb[],MATCH($A164,lmic_raw_lb[[setting]:[setting]],0), MATCH(AF$139, lmic_raw_lb[#Headers],0)))</f>
        <v>2.2117876062090083E-4</v>
      </c>
      <c r="AG164" s="98">
        <f>IF(INDEX(lmic_raw_lb[],MATCH($A164,lmic_raw_lb[[setting]:[setting]],0), MATCH(AG$139, lmic_raw_lb[#Headers],0))=0, INDEX(regions_lb[], MATCH($D164, regions_lb[[setting]:[setting]],0), MATCH(AG$139, regions_lb[#Headers],0)),INDEX(lmic_raw_lb[],MATCH($A164,lmic_raw_lb[[setting]:[setting]],0), MATCH(AG$139, lmic_raw_lb[#Headers],0)))</f>
        <v>3.214653737707117E-4</v>
      </c>
      <c r="AH164" s="98">
        <f>IF(INDEX(lmic_raw_lb[],MATCH($A164,lmic_raw_lb[[setting]:[setting]],0), MATCH(AH$139, lmic_raw_lb[#Headers],0))=0, INDEX(regions_lb[], MATCH($D164, regions_lb[[setting]:[setting]],0), MATCH(AH$139, regions_lb[#Headers],0)),INDEX(lmic_raw_lb[],MATCH($A164,lmic_raw_lb[[setting]:[setting]],0), MATCH(AH$139, lmic_raw_lb[#Headers],0)))</f>
        <v>4.5137532156597671E-4</v>
      </c>
      <c r="AI164" s="98">
        <f>IF(INDEX(lmic_raw_lb[],MATCH($A164,lmic_raw_lb[[setting]:[setting]],0), MATCH(AI$139, lmic_raw_lb[#Headers],0))=0, INDEX(regions_lb[], MATCH($D164, regions_lb[[setting]:[setting]],0), MATCH(AI$139, regions_lb[#Headers],0)),INDEX(lmic_raw_lb[],MATCH($A164,lmic_raw_lb[[setting]:[setting]],0), MATCH(AI$139, lmic_raw_lb[#Headers],0)))</f>
        <v>6.0381589231406298E-4</v>
      </c>
      <c r="AJ164" s="98">
        <f>IF(INDEX(lmic_raw_lb[],MATCH($A164,lmic_raw_lb[[setting]:[setting]],0), MATCH(AJ$139, lmic_raw_lb[#Headers],0))=0, INDEX(regions_lb[], MATCH($D164, regions_lb[[setting]:[setting]],0), MATCH(AJ$139, regions_lb[#Headers],0)),INDEX(lmic_raw_lb[],MATCH($A164,lmic_raw_lb[[setting]:[setting]],0), MATCH(AJ$139, lmic_raw_lb[#Headers],0)))</f>
        <v>7.6363291956651742E-4</v>
      </c>
      <c r="AK164" s="98">
        <f>IF(INDEX(lmic_raw_lb[],MATCH($A164,lmic_raw_lb[[setting]:[setting]],0), MATCH(AK$139, lmic_raw_lb[#Headers],0))=0, INDEX(regions_lb[], MATCH($D164, regions_lb[[setting]:[setting]],0), MATCH(AK$139, regions_lb[#Headers],0)),INDEX(lmic_raw_lb[],MATCH($A164,lmic_raw_lb[[setting]:[setting]],0), MATCH(AK$139, lmic_raw_lb[#Headers],0)))</f>
        <v>9.6736558532992058E-4</v>
      </c>
      <c r="AL164" s="98">
        <f>IF(INDEX(lmic_raw_lb[],MATCH($A164,lmic_raw_lb[[setting]:[setting]],0), MATCH(AL$139, lmic_raw_lb[#Headers],0))=0, INDEX(regions_lb[], MATCH($D164, regions_lb[[setting]:[setting]],0), MATCH(AL$139, regions_lb[#Headers],0)),INDEX(lmic_raw_lb[],MATCH($A164,lmic_raw_lb[[setting]:[setting]],0), MATCH(AL$139, lmic_raw_lb[#Headers],0)))</f>
        <v>1.3695297071101148E-3</v>
      </c>
      <c r="AM164" s="98">
        <f>IF(INDEX(lmic_raw_lb[],MATCH($A164,lmic_raw_lb[[setting]:[setting]],0), MATCH(AM$139, lmic_raw_lb[#Headers],0))=0, INDEX(regions_lb[], MATCH($D164, regions_lb[[setting]:[setting]],0), MATCH(AM$139, regions_lb[#Headers],0)),INDEX(lmic_raw_lb[],MATCH($A164,lmic_raw_lb[[setting]:[setting]],0), MATCH(AM$139, lmic_raw_lb[#Headers],0)))</f>
        <v>2.0115177746647191E-3</v>
      </c>
      <c r="AN164" s="98">
        <f>IF(INDEX(lmic_raw_lb[],MATCH($A164,lmic_raw_lb[[setting]:[setting]],0), MATCH(AN$139, lmic_raw_lb[#Headers],0))=0, INDEX(regions_lb[], MATCH($D164, regions_lb[[setting]:[setting]],0), MATCH(AN$139, regions_lb[#Headers],0)),INDEX(lmic_raw_lb[],MATCH($A164,lmic_raw_lb[[setting]:[setting]],0), MATCH(AN$139, lmic_raw_lb[#Headers],0)))</f>
        <v>3.3369398107084931E-3</v>
      </c>
      <c r="AO164" s="98">
        <f>IF(INDEX(lmic_raw_lb[],MATCH($A164,lmic_raw_lb[[setting]:[setting]],0), MATCH(AO$139, lmic_raw_lb[#Headers],0))=0, INDEX(regions_lb[], MATCH($D164, regions_lb[[setting]:[setting]],0), MATCH(AO$139, regions_lb[#Headers],0)),INDEX(lmic_raw_lb[],MATCH($A164,lmic_raw_lb[[setting]:[setting]],0), MATCH(AO$139, lmic_raw_lb[#Headers],0)))</f>
        <v>5.5889783075949032E-3</v>
      </c>
      <c r="AP164" s="98">
        <f>IF(INDEX(lmic_raw_lb[],MATCH($A164,lmic_raw_lb[[setting]:[setting]],0), MATCH(AP$139, lmic_raw_lb[#Headers],0))=0, INDEX(regions_lb[], MATCH($D164, regions_lb[[setting]:[setting]],0), MATCH(AP$139, regions_lb[#Headers],0)),INDEX(lmic_raw_lb[],MATCH($A164,lmic_raw_lb[[setting]:[setting]],0), MATCH(AP$139, lmic_raw_lb[#Headers],0)))</f>
        <v>1.0407860711278792E-2</v>
      </c>
      <c r="AQ164" s="98">
        <f>IF(INDEX(lmic_raw_lb[],MATCH($A164,lmic_raw_lb[[setting]:[setting]],0), MATCH(AQ$139, lmic_raw_lb[#Headers],0))=0, INDEX(regions_lb[], MATCH($D164, regions_lb[[setting]:[setting]],0), MATCH(AQ$139, regions_lb[#Headers],0)),INDEX(lmic_raw_lb[],MATCH($A164,lmic_raw_lb[[setting]:[setting]],0), MATCH(AQ$139, lmic_raw_lb[#Headers],0)))</f>
        <v>1.8467018727160337E-2</v>
      </c>
      <c r="AR164" s="98">
        <f>IF(INDEX(lmic_raw_lb[],MATCH($A164,lmic_raw_lb[[setting]:[setting]],0), MATCH(AR$139, lmic_raw_lb[#Headers],0))=0, INDEX(regions_lb[], MATCH($D164, regions_lb[[setting]:[setting]],0), MATCH(AR$139, regions_lb[#Headers],0)),INDEX(lmic_raw_lb[],MATCH($A164,lmic_raw_lb[[setting]:[setting]],0), MATCH(AR$139, lmic_raw_lb[#Headers],0)))</f>
        <v>3.2544025929692168E-2</v>
      </c>
      <c r="AS164" s="98">
        <f>IF(INDEX(lmic_raw_lb[],MATCH($A164,lmic_raw_lb[[setting]:[setting]],0), MATCH(AS$139, lmic_raw_lb[#Headers],0))=0, INDEX(regions_lb[], MATCH($D164, regions_lb[[setting]:[setting]],0), MATCH(AS$139, regions_lb[#Headers],0)),INDEX(lmic_raw_lb[],MATCH($A164,lmic_raw_lb[[setting]:[setting]],0), MATCH(AS$139, lmic_raw_lb[#Headers],0)))</f>
        <v>5.1710371630160318E-2</v>
      </c>
      <c r="AT164" s="98">
        <f>IF(INDEX(lmic_raw_lb[],MATCH($A164,lmic_raw_lb[[setting]:[setting]],0), MATCH(AT$139, lmic_raw_lb[#Headers],0))=0, INDEX(regions_lb[], MATCH($D164, regions_lb[[setting]:[setting]],0), MATCH(AT$139, regions_lb[#Headers],0)),INDEX(lmic_raw_lb[],MATCH($A164,lmic_raw_lb[[setting]:[setting]],0), MATCH(AT$139, lmic_raw_lb[#Headers],0)))</f>
        <v>7.3546197547558312E-2</v>
      </c>
      <c r="AU164" s="98">
        <f>IF(INDEX(lmic_raw_lb[],MATCH($A164,lmic_raw_lb[[setting]:[setting]],0), MATCH(AU$139, lmic_raw_lb[#Headers],0))=0, INDEX(regions_lb[], MATCH($D164, regions_lb[[setting]:[setting]],0), MATCH(AU$139, regions_lb[#Headers],0)),INDEX(lmic_raw_lb[],MATCH($A164,lmic_raw_lb[[setting]:[setting]],0), MATCH(AU$139, lmic_raw_lb[#Headers],0)))</f>
        <v>0.1018240690255698</v>
      </c>
      <c r="AV164" s="98">
        <f>IF(INDEX(lmic_raw_lb[],MATCH($A164,lmic_raw_lb[[setting]:[setting]],0), MATCH(AV$139, lmic_raw_lb[#Headers],0))=0, INDEX(regions_lb[], MATCH($D164, regions_lb[[setting]:[setting]],0), MATCH(AV$139, regions_lb[#Headers],0)),INDEX(lmic_raw_lb[],MATCH($A164,lmic_raw_lb[[setting]:[setting]],0), MATCH(AV$139, lmic_raw_lb[#Headers],0)))</f>
        <v>0.12660324325641278</v>
      </c>
      <c r="AW164" s="98">
        <f>IF(INDEX(lmic_raw_lb[],MATCH($A164,lmic_raw_lb[[setting]:[setting]],0), MATCH(AW$139, lmic_raw_lb[#Headers],0))=0, INDEX(regions_lb[], MATCH($D164, regions_lb[[setting]:[setting]],0), MATCH(AW$139, regions_lb[#Headers],0)),INDEX(lmic_raw_lb[],MATCH($A164,lmic_raw_lb[[setting]:[setting]],0), MATCH(AW$139, lmic_raw_lb[#Headers],0)))</f>
        <v>0.14692695333826819</v>
      </c>
      <c r="AX164" s="98">
        <f>IF(INDEX(lmic_raw_lb[],MATCH($A164,lmic_raw_lb[[setting]:[setting]],0), MATCH(AX$139, lmic_raw_lb[#Headers],0))=0, INDEX(regions_lb[], MATCH($D164, regions_lb[[setting]:[setting]],0), MATCH(AX$139, regions_lb[#Headers],0)),INDEX(lmic_raw_lb[],MATCH($A164,lmic_raw_lb[[setting]:[setting]],0), MATCH(AX$139, lmic_raw_lb[#Headers],0)))</f>
        <v>72.791849999999997</v>
      </c>
      <c r="AY164" s="98" t="str">
        <f>IF(VLOOKUP(lmics_lb[[#This Row],[setting]],lmic_raw_lb[],11,FALSE)=0, "Yes", "No")</f>
        <v>No</v>
      </c>
    </row>
    <row r="165" spans="1:51" x14ac:dyDescent="0.25">
      <c r="A165" s="110" t="s">
        <v>266</v>
      </c>
      <c r="B165" s="104" t="s">
        <v>401</v>
      </c>
      <c r="C165" s="105">
        <v>170</v>
      </c>
      <c r="D165" s="84" t="s">
        <v>679</v>
      </c>
      <c r="E165" s="122" t="s">
        <v>604</v>
      </c>
      <c r="F165" s="94" t="s">
        <v>665</v>
      </c>
      <c r="G165" s="94" t="s">
        <v>676</v>
      </c>
      <c r="H165" s="94"/>
      <c r="I165" s="94"/>
      <c r="J165" s="94">
        <f>IF(INDEX(lmic_raw_lb[],MATCH($A165,lmic_raw_lb[[setting]:[setting]],0), MATCH(J$139, lmic_raw_lb[#Headers],0))=0, INDEX(regions_lb[], MATCH($D165, regions_lb[[setting]:[setting]],0), MATCH(J$139, regions_lb[#Headers],0)),INDEX(lmic_raw_lb[],MATCH($A165,lmic_raw_lb[[setting]:[setting]],0), MATCH(J$139, lmic_raw_lb[#Headers],0)))</f>
        <v>0.9423999999999999</v>
      </c>
      <c r="K165" s="94">
        <f>IF(INDEX(lmic_raw_lb[],MATCH($A165,lmic_raw_lb[[setting]:[setting]],0), MATCH(K$139, lmic_raw_lb[#Headers],0))=0, INDEX(regions_lb[], MATCH($D165, regions_lb[[setting]:[setting]],0), MATCH(K$139, regions_lb[#Headers],0)),INDEX(lmic_raw_lb[],MATCH($A165,lmic_raw_lb[[setting]:[setting]],0), MATCH(K$139, lmic_raw_lb[#Headers],0)))</f>
        <v>0.73149999999999993</v>
      </c>
      <c r="L165" s="94">
        <f>IF(INDEX(lmic_raw_lb[],MATCH($A165,lmic_raw_lb[[setting]:[setting]],0), MATCH(L$139, lmic_raw_lb[#Headers],0))=0, INDEX(regions_lb[], MATCH($D165, regions_lb[[setting]:[setting]],0), MATCH(L$139, regions_lb[#Headers],0)),INDEX(lmic_raw_lb[],MATCH($A165,lmic_raw_lb[[setting]:[setting]],0), MATCH(L$139, lmic_raw_lb[#Headers],0)))</f>
        <v>0.874</v>
      </c>
      <c r="M165" s="94">
        <f>IF(INDEX(lmic_raw_lb[],MATCH($A165,lmic_raw_lb[[setting]:[setting]],0), MATCH(M$139, lmic_raw_lb[#Headers],0))=0, INDEX(regions_lb[], MATCH($D165, regions_lb[[setting]:[setting]],0), MATCH(M$139, regions_lb[#Headers],0)),INDEX(lmic_raw_lb[],MATCH($A165,lmic_raw_lb[[setting]:[setting]],0), MATCH(M$139, lmic_raw_lb[#Headers],0)))</f>
        <v>9.1000000000000004E-3</v>
      </c>
      <c r="N165" s="94">
        <f>IF(INDEX(lmic_raw_lb[],MATCH($A165,lmic_raw_lb[[setting]:[setting]],0), MATCH(N$139, lmic_raw_lb[#Headers],0))=0, INDEX(regions_lb[], MATCH($D165, regions_lb[[setting]:[setting]],0), MATCH(N$139, regions_lb[#Headers],0)),INDEX(lmic_raw_lb[],MATCH($A165,lmic_raw_lb[[setting]:[setting]],0), MATCH(N$139, lmic_raw_lb[#Headers],0)))</f>
        <v>0.16440000000000002</v>
      </c>
      <c r="O165" s="94">
        <f>IF(INDEX(lmic_raw_lb[],MATCH($A165,lmic_raw_lb[[setting]:[setting]],0), MATCH(O$139, lmic_raw_lb[#Headers],0))=0, INDEX(regions_lb[], MATCH($D165, regions_lb[[setting]:[setting]],0), MATCH(O$139, regions_lb[#Headers],0)),INDEX(lmic_raw_lb[],MATCH($A165,lmic_raw_lb[[setting]:[setting]],0), MATCH(O$139, lmic_raw_lb[#Headers],0)))</f>
        <v>0.7</v>
      </c>
      <c r="P165" s="94">
        <f>IF(INDEX(lmic_raw_lb[],MATCH($A165,lmic_raw_lb[[setting]:[setting]],0), MATCH(P$139, lmic_raw_lb[#Headers],0))=0, INDEX(regions_lb[], MATCH($D165, regions_lb[[setting]:[setting]],0), MATCH(P$139, regions_lb[#Headers],0)),INDEX(lmic_raw_lb[],MATCH($A165,lmic_raw_lb[[setting]:[setting]],0), MATCH(P$139, lmic_raw_lb[#Headers],0)))</f>
        <v>0.05</v>
      </c>
      <c r="Q165" s="94">
        <f>IF(INDEX(lmic_raw_lb[],MATCH($A165,lmic_raw_lb[[setting]:[setting]],0), MATCH(Q$139, lmic_raw_lb[#Headers],0))=0, INDEX(regions_lb[], MATCH($D165, regions_lb[[setting]:[setting]],0), MATCH(Q$139, regions_lb[#Headers],0)),INDEX(lmic_raw_lb[],MATCH($A165,lmic_raw_lb[[setting]:[setting]],0), MATCH(Q$139, lmic_raw_lb[#Headers],0)))</f>
        <v>18.029297786613711</v>
      </c>
      <c r="R165" s="94">
        <f>IF(INDEX(lmic_raw_lb[],MATCH($A165,lmic_raw_lb[[setting]:[setting]],0), MATCH(R$139, lmic_raw_lb[#Headers],0))=0, INDEX(regions_lb[], MATCH($D165, regions_lb[[setting]:[setting]],0), MATCH(R$139, regions_lb[#Headers],0)),INDEX(lmic_raw_lb[],MATCH($A165,lmic_raw_lb[[setting]:[setting]],0), MATCH(R$139, lmic_raw_lb[#Headers],0)))</f>
        <v>82.539704999999998</v>
      </c>
      <c r="S165" s="94">
        <f>IF(INDEX(lmic_raw_lb[],MATCH($A165,lmic_raw_lb[[setting]:[setting]],0), MATCH(S$139, lmic_raw_lb[#Headers],0))=0, INDEX(regions_lb[], MATCH($D165, regions_lb[[setting]:[setting]],0), MATCH(S$139, regions_lb[#Headers],0)),INDEX(lmic_raw_lb[],MATCH($A165,lmic_raw_lb[[setting]:[setting]],0), MATCH(S$139, lmic_raw_lb[#Headers],0)))</f>
        <v>127.894605</v>
      </c>
      <c r="T165" s="94">
        <f>IF(INDEX(lmic_raw_lb[],MATCH($A165,lmic_raw_lb[[setting]:[setting]],0), MATCH(T$139, lmic_raw_lb[#Headers],0))=0, INDEX(regions_lb[], MATCH($D165, regions_lb[[setting]:[setting]],0), MATCH(T$139, regions_lb[#Headers],0)),INDEX(lmic_raw_lb[],MATCH($A165,lmic_raw_lb[[setting]:[setting]],0), MATCH(T$139, lmic_raw_lb[#Headers],0)))</f>
        <v>127.894605</v>
      </c>
      <c r="U165" s="94">
        <f>IF(INDEX(lmic_raw_lb[],MATCH($A165,lmic_raw_lb[[setting]:[setting]],0), MATCH(U$139, lmic_raw_lb[#Headers],0))=0, INDEX(regions_lb[], MATCH($D165, regions_lb[[setting]:[setting]],0), MATCH(U$139, regions_lb[#Headers],0)),INDEX(lmic_raw_lb[],MATCH($A165,lmic_raw_lb[[setting]:[setting]],0), MATCH(U$139, lmic_raw_lb[#Headers],0)))</f>
        <v>127.894605</v>
      </c>
      <c r="V165" s="94">
        <f>IF(INDEX(lmic_raw_lb[],MATCH($A165,lmic_raw_lb[[setting]:[setting]],0), MATCH(V$139, lmic_raw_lb[#Headers],0))=0, INDEX(regions_lb[], MATCH($D165, regions_lb[[setting]:[setting]],0), MATCH(V$139, regions_lb[#Headers],0)),INDEX(lmic_raw_lb[],MATCH($A165,lmic_raw_lb[[setting]:[setting]],0), MATCH(V$139, lmic_raw_lb[#Headers],0)))</f>
        <v>1.5264941045680376</v>
      </c>
      <c r="W165" s="94">
        <f>IF(INDEX(lmic_raw_lb[],MATCH($A165,lmic_raw_lb[[setting]:[setting]],0), MATCH(W$139, lmic_raw_lb[#Headers],0))=0, INDEX(regions_lb[], MATCH($D165, regions_lb[[setting]:[setting]],0), MATCH(W$139, regions_lb[#Headers],0)),INDEX(lmic_raw_lb[],MATCH($A165,lmic_raw_lb[[setting]:[setting]],0), MATCH(W$139, lmic_raw_lb[#Headers],0)))</f>
        <v>1.5472041045680376</v>
      </c>
      <c r="X165" s="94">
        <f>IF(INDEX(lmic_raw_lb[],MATCH($A165,lmic_raw_lb[[setting]:[setting]],0), MATCH(X$139, lmic_raw_lb[#Headers],0))=0, INDEX(regions_lb[], MATCH($D165, regions_lb[[setting]:[setting]],0), MATCH(X$139, regions_lb[#Headers],0)),INDEX(lmic_raw_lb[],MATCH($A165,lmic_raw_lb[[setting]:[setting]],0), MATCH(X$139, lmic_raw_lb[#Headers],0)))</f>
        <v>1.1557541832005234</v>
      </c>
      <c r="Y165" s="94">
        <f>IF(INDEX(lmic_raw_lb[],MATCH($A165,lmic_raw_lb[[setting]:[setting]],0), MATCH(Y$139, lmic_raw_lb[#Headers],0))=0, INDEX(regions_lb[], MATCH($D165, regions_lb[[setting]:[setting]],0), MATCH(Y$139, regions_lb[#Headers],0)),INDEX(lmic_raw_lb[],MATCH($A165,lmic_raw_lb[[setting]:[setting]],0), MATCH(Y$139, lmic_raw_lb[#Headers],0)))</f>
        <v>1.1764641832005234</v>
      </c>
      <c r="Z165" s="94">
        <f>IF(INDEX(lmic_raw_lb[],MATCH($A165,lmic_raw_lb[[setting]:[setting]],0), MATCH(Z$139, lmic_raw_lb[#Headers],0))=0, INDEX(regions_lb[], MATCH($D165, regions_lb[[setting]:[setting]],0), MATCH(Z$139, regions_lb[#Headers],0)),INDEX(lmic_raw_lb[],MATCH($A165,lmic_raw_lb[[setting]:[setting]],0), MATCH(Z$139, lmic_raw_lb[#Headers],0)))</f>
        <v>1.1704585177988551</v>
      </c>
      <c r="AA165" s="94">
        <f>IF(INDEX(lmic_raw_lb[],MATCH($A165,lmic_raw_lb[[setting]:[setting]],0), MATCH(AA$139, lmic_raw_lb[#Headers],0))=0, INDEX(regions_lb[], MATCH($D165, regions_lb[[setting]:[setting]],0), MATCH(AA$139, regions_lb[#Headers],0)),INDEX(lmic_raw_lb[],MATCH($A165,lmic_raw_lb[[setting]:[setting]],0), MATCH(AA$139, lmic_raw_lb[#Headers],0)))</f>
        <v>1.7400241739611844</v>
      </c>
      <c r="AB165" s="94">
        <f>IF(INDEX(lmic_raw_lb[],MATCH($A165,lmic_raw_lb[[setting]:[setting]],0), MATCH(AB$139, lmic_raw_lb[#Headers],0))=0, INDEX(regions_lb[], MATCH($D165, regions_lb[[setting]:[setting]],0), MATCH(AB$139, regions_lb[#Headers],0)),INDEX(lmic_raw_lb[],MATCH($A165,lmic_raw_lb[[setting]:[setting]],0), MATCH(AB$139, lmic_raw_lb[#Headers],0)))</f>
        <v>1.7607341739611844</v>
      </c>
      <c r="AC165" s="94">
        <f>IF(INDEX(lmic_raw_lb[],MATCH($A165,lmic_raw_lb[[setting]:[setting]],0), MATCH(AC$139, lmic_raw_lb[#Headers],0))=0, INDEX(regions_lb[], MATCH($D165, regions_lb[[setting]:[setting]],0), MATCH(AC$139, regions_lb[#Headers],0)),INDEX(lmic_raw_lb[],MATCH($A165,lmic_raw_lb[[setting]:[setting]],0), MATCH(AC$139, lmic_raw_lb[#Headers],0)))</f>
        <v>1.2005482500000005E-2</v>
      </c>
      <c r="AD165" s="94">
        <f>IF(INDEX(lmic_raw_lb[],MATCH($A165,lmic_raw_lb[[setting]:[setting]],0), MATCH(AD$139, lmic_raw_lb[#Headers],0))=0, INDEX(regions_lb[], MATCH($D165, regions_lb[[setting]:[setting]],0), MATCH(AD$139, regions_lb[#Headers],0)),INDEX(lmic_raw_lb[],MATCH($A165,lmic_raw_lb[[setting]:[setting]],0), MATCH(AD$139, lmic_raw_lb[#Headers],0)))</f>
        <v>5.1171952878711208E-4</v>
      </c>
      <c r="AE165" s="94">
        <f>IF(INDEX(lmic_raw_lb[],MATCH($A165,lmic_raw_lb[[setting]:[setting]],0), MATCH(AE$139, lmic_raw_lb[#Headers],0))=0, INDEX(regions_lb[], MATCH($D165, regions_lb[[setting]:[setting]],0), MATCH(AE$139, regions_lb[#Headers],0)),INDEX(lmic_raw_lb[],MATCH($A165,lmic_raw_lb[[setting]:[setting]],0), MATCH(AE$139, lmic_raw_lb[#Headers],0)))</f>
        <v>3.8046658642255888E-4</v>
      </c>
      <c r="AF165" s="94">
        <f>IF(INDEX(lmic_raw_lb[],MATCH($A165,lmic_raw_lb[[setting]:[setting]],0), MATCH(AF$139, lmic_raw_lb[#Headers],0))=0, INDEX(regions_lb[], MATCH($D165, regions_lb[[setting]:[setting]],0), MATCH(AF$139, regions_lb[#Headers],0)),INDEX(lmic_raw_lb[],MATCH($A165,lmic_raw_lb[[setting]:[setting]],0), MATCH(AF$139, lmic_raw_lb[#Headers],0)))</f>
        <v>3.5007868398258263E-4</v>
      </c>
      <c r="AG165" s="94">
        <f>IF(INDEX(lmic_raw_lb[],MATCH($A165,lmic_raw_lb[[setting]:[setting]],0), MATCH(AG$139, lmic_raw_lb[#Headers],0))=0, INDEX(regions_lb[], MATCH($D165, regions_lb[[setting]:[setting]],0), MATCH(AG$139, regions_lb[#Headers],0)),INDEX(lmic_raw_lb[],MATCH($A165,lmic_raw_lb[[setting]:[setting]],0), MATCH(AG$139, lmic_raw_lb[#Headers],0)))</f>
        <v>8.8872003453665117E-4</v>
      </c>
      <c r="AH165" s="94">
        <f>IF(INDEX(lmic_raw_lb[],MATCH($A165,lmic_raw_lb[[setting]:[setting]],0), MATCH(AH$139, lmic_raw_lb[#Headers],0))=0, INDEX(regions_lb[], MATCH($D165, regions_lb[[setting]:[setting]],0), MATCH(AH$139, regions_lb[#Headers],0)),INDEX(lmic_raw_lb[],MATCH($A165,lmic_raw_lb[[setting]:[setting]],0), MATCH(AH$139, lmic_raw_lb[#Headers],0)))</f>
        <v>1.7094534703995738E-3</v>
      </c>
      <c r="AI165" s="94">
        <f>IF(INDEX(lmic_raw_lb[],MATCH($A165,lmic_raw_lb[[setting]:[setting]],0), MATCH(AI$139, lmic_raw_lb[#Headers],0))=0, INDEX(regions_lb[], MATCH($D165, regions_lb[[setting]:[setting]],0), MATCH(AI$139, regions_lb[#Headers],0)),INDEX(lmic_raw_lb[],MATCH($A165,lmic_raw_lb[[setting]:[setting]],0), MATCH(AI$139, lmic_raw_lb[#Headers],0)))</f>
        <v>1.7710213339090957E-3</v>
      </c>
      <c r="AJ165" s="94">
        <f>IF(INDEX(lmic_raw_lb[],MATCH($A165,lmic_raw_lb[[setting]:[setting]],0), MATCH(AJ$139, lmic_raw_lb[#Headers],0))=0, INDEX(regions_lb[], MATCH($D165, regions_lb[[setting]:[setting]],0), MATCH(AJ$139, regions_lb[#Headers],0)),INDEX(lmic_raw_lb[],MATCH($A165,lmic_raw_lb[[setting]:[setting]],0), MATCH(AJ$139, lmic_raw_lb[#Headers],0)))</f>
        <v>1.7342951028567969E-3</v>
      </c>
      <c r="AK165" s="94">
        <f>IF(INDEX(lmic_raw_lb[],MATCH($A165,lmic_raw_lb[[setting]:[setting]],0), MATCH(AK$139, lmic_raw_lb[#Headers],0))=0, INDEX(regions_lb[], MATCH($D165, regions_lb[[setting]:[setting]],0), MATCH(AK$139, regions_lb[#Headers],0)),INDEX(lmic_raw_lb[],MATCH($A165,lmic_raw_lb[[setting]:[setting]],0), MATCH(AK$139, lmic_raw_lb[#Headers],0)))</f>
        <v>1.889108464338052E-3</v>
      </c>
      <c r="AL165" s="94">
        <f>IF(INDEX(lmic_raw_lb[],MATCH($A165,lmic_raw_lb[[setting]:[setting]],0), MATCH(AL$139, lmic_raw_lb[#Headers],0))=0, INDEX(regions_lb[], MATCH($D165, regions_lb[[setting]:[setting]],0), MATCH(AL$139, regions_lb[#Headers],0)),INDEX(lmic_raw_lb[],MATCH($A165,lmic_raw_lb[[setting]:[setting]],0), MATCH(AL$139, lmic_raw_lb[#Headers],0)))</f>
        <v>2.1401725272512549E-3</v>
      </c>
      <c r="AM165" s="94">
        <f>IF(INDEX(lmic_raw_lb[],MATCH($A165,lmic_raw_lb[[setting]:[setting]],0), MATCH(AM$139, lmic_raw_lb[#Headers],0))=0, INDEX(regions_lb[], MATCH($D165, regions_lb[[setting]:[setting]],0), MATCH(AM$139, regions_lb[#Headers],0)),INDEX(lmic_raw_lb[],MATCH($A165,lmic_raw_lb[[setting]:[setting]],0), MATCH(AM$139, lmic_raw_lb[#Headers],0)))</f>
        <v>2.7039515569651077E-3</v>
      </c>
      <c r="AN165" s="94">
        <f>IF(INDEX(lmic_raw_lb[],MATCH($A165,lmic_raw_lb[[setting]:[setting]],0), MATCH(AN$139, lmic_raw_lb[#Headers],0))=0, INDEX(regions_lb[], MATCH($D165, regions_lb[[setting]:[setting]],0), MATCH(AN$139, regions_lb[#Headers],0)),INDEX(lmic_raw_lb[],MATCH($A165,lmic_raw_lb[[setting]:[setting]],0), MATCH(AN$139, lmic_raw_lb[#Headers],0)))</f>
        <v>4.1573164090282352E-3</v>
      </c>
      <c r="AO165" s="94">
        <f>IF(INDEX(lmic_raw_lb[],MATCH($A165,lmic_raw_lb[[setting]:[setting]],0), MATCH(AO$139, lmic_raw_lb[#Headers],0))=0, INDEX(regions_lb[], MATCH($D165, regions_lb[[setting]:[setting]],0), MATCH(AO$139, regions_lb[#Headers],0)),INDEX(lmic_raw_lb[],MATCH($A165,lmic_raw_lb[[setting]:[setting]],0), MATCH(AO$139, lmic_raw_lb[#Headers],0)))</f>
        <v>6.2057267595634997E-3</v>
      </c>
      <c r="AP165" s="94">
        <f>IF(INDEX(lmic_raw_lb[],MATCH($A165,lmic_raw_lb[[setting]:[setting]],0), MATCH(AP$139, lmic_raw_lb[#Headers],0))=0, INDEX(regions_lb[], MATCH($D165, regions_lb[[setting]:[setting]],0), MATCH(AP$139, regions_lb[#Headers],0)),INDEX(lmic_raw_lb[],MATCH($A165,lmic_raw_lb[[setting]:[setting]],0), MATCH(AP$139, lmic_raw_lb[#Headers],0)))</f>
        <v>9.5876526724842249E-3</v>
      </c>
      <c r="AQ165" s="94">
        <f>IF(INDEX(lmic_raw_lb[],MATCH($A165,lmic_raw_lb[[setting]:[setting]],0), MATCH(AQ$139, lmic_raw_lb[#Headers],0))=0, INDEX(regions_lb[], MATCH($D165, regions_lb[[setting]:[setting]],0), MATCH(AQ$139, regions_lb[#Headers],0)),INDEX(lmic_raw_lb[],MATCH($A165,lmic_raw_lb[[setting]:[setting]],0), MATCH(AQ$139, lmic_raw_lb[#Headers],0)))</f>
        <v>1.4817057876972827E-2</v>
      </c>
      <c r="AR165" s="94">
        <f>IF(INDEX(lmic_raw_lb[],MATCH($A165,lmic_raw_lb[[setting]:[setting]],0), MATCH(AR$139, lmic_raw_lb[#Headers],0))=0, INDEX(regions_lb[], MATCH($D165, regions_lb[[setting]:[setting]],0), MATCH(AR$139, regions_lb[#Headers],0)),INDEX(lmic_raw_lb[],MATCH($A165,lmic_raw_lb[[setting]:[setting]],0), MATCH(AR$139, lmic_raw_lb[#Headers],0)))</f>
        <v>2.2646613246656615E-2</v>
      </c>
      <c r="AS165" s="94">
        <f>IF(INDEX(lmic_raw_lb[],MATCH($A165,lmic_raw_lb[[setting]:[setting]],0), MATCH(AS$139, lmic_raw_lb[#Headers],0))=0, INDEX(regions_lb[], MATCH($D165, regions_lb[[setting]:[setting]],0), MATCH(AS$139, regions_lb[#Headers],0)),INDEX(lmic_raw_lb[],MATCH($A165,lmic_raw_lb[[setting]:[setting]],0), MATCH(AS$139, lmic_raw_lb[#Headers],0)))</f>
        <v>3.4028266088053753E-2</v>
      </c>
      <c r="AT165" s="94">
        <f>IF(INDEX(lmic_raw_lb[],MATCH($A165,lmic_raw_lb[[setting]:[setting]],0), MATCH(AT$139, lmic_raw_lb[#Headers],0))=0, INDEX(regions_lb[], MATCH($D165, regions_lb[[setting]:[setting]],0), MATCH(AT$139, regions_lb[#Headers],0)),INDEX(lmic_raw_lb[],MATCH($A165,lmic_raw_lb[[setting]:[setting]],0), MATCH(AT$139, lmic_raw_lb[#Headers],0)))</f>
        <v>5.3238560193241996E-2</v>
      </c>
      <c r="AU165" s="94">
        <f>IF(INDEX(lmic_raw_lb[],MATCH($A165,lmic_raw_lb[[setting]:[setting]],0), MATCH(AU$139, lmic_raw_lb[#Headers],0))=0, INDEX(regions_lb[], MATCH($D165, regions_lb[[setting]:[setting]],0), MATCH(AU$139, regions_lb[#Headers],0)),INDEX(lmic_raw_lb[],MATCH($A165,lmic_raw_lb[[setting]:[setting]],0), MATCH(AU$139, lmic_raw_lb[#Headers],0)))</f>
        <v>8.3218965191032446E-2</v>
      </c>
      <c r="AV165" s="94">
        <f>IF(INDEX(lmic_raw_lb[],MATCH($A165,lmic_raw_lb[[setting]:[setting]],0), MATCH(AV$139, lmic_raw_lb[#Headers],0))=0, INDEX(regions_lb[], MATCH($D165, regions_lb[[setting]:[setting]],0), MATCH(AV$139, regions_lb[#Headers],0)),INDEX(lmic_raw_lb[],MATCH($A165,lmic_raw_lb[[setting]:[setting]],0), MATCH(AV$139, lmic_raw_lb[#Headers],0)))</f>
        <v>9.8766006968099784E-2</v>
      </c>
      <c r="AW165" s="94">
        <f>IF(INDEX(lmic_raw_lb[],MATCH($A165,lmic_raw_lb[[setting]:[setting]],0), MATCH(AW$139, lmic_raw_lb[#Headers],0))=0, INDEX(regions_lb[], MATCH($D165, regions_lb[[setting]:[setting]],0), MATCH(AW$139, regions_lb[#Headers],0)),INDEX(lmic_raw_lb[],MATCH($A165,lmic_raw_lb[[setting]:[setting]],0), MATCH(AW$139, lmic_raw_lb[#Headers],0)))</f>
        <v>0.1449092027204569</v>
      </c>
      <c r="AX165" s="94">
        <f>IF(INDEX(lmic_raw_lb[],MATCH($A165,lmic_raw_lb[[setting]:[setting]],0), MATCH(AX$139, lmic_raw_lb[#Headers],0))=0, INDEX(regions_lb[], MATCH($D165, regions_lb[[setting]:[setting]],0), MATCH(AX$139, regions_lb[#Headers],0)),INDEX(lmic_raw_lb[],MATCH($A165,lmic_raw_lb[[setting]:[setting]],0), MATCH(AX$139, lmic_raw_lb[#Headers],0)))</f>
        <v>73.16995</v>
      </c>
      <c r="AY165" s="94" t="str">
        <f>IF(VLOOKUP(lmics_lb[[#This Row],[setting]],lmic_raw_lb[],11,FALSE)=0, "Yes", "No")</f>
        <v>No</v>
      </c>
    </row>
    <row r="166" spans="1:51" x14ac:dyDescent="0.25">
      <c r="A166" s="109" t="s">
        <v>606</v>
      </c>
      <c r="B166" s="101" t="s">
        <v>402</v>
      </c>
      <c r="C166" s="102">
        <v>174</v>
      </c>
      <c r="D166" s="82" t="s">
        <v>677</v>
      </c>
      <c r="E166" s="121" t="s">
        <v>597</v>
      </c>
      <c r="F166" s="98" t="s">
        <v>667</v>
      </c>
      <c r="G166" s="98" t="s">
        <v>678</v>
      </c>
      <c r="H166" s="98"/>
      <c r="I166" s="98"/>
      <c r="J166" s="98">
        <f>IF(INDEX(lmic_raw_lb[],MATCH($A166,lmic_raw_lb[[setting]:[setting]],0), MATCH(J$139, lmic_raw_lb[#Headers],0))=0, INDEX(regions_lb[], MATCH($D166, regions_lb[[setting]:[setting]],0), MATCH(J$139, regions_lb[#Headers],0)),INDEX(lmic_raw_lb[],MATCH($A166,lmic_raw_lb[[setting]:[setting]],0), MATCH(J$139, lmic_raw_lb[#Headers],0)))</f>
        <v>0.72294999999999987</v>
      </c>
      <c r="K166" s="98">
        <f>IF(INDEX(lmic_raw_lb[],MATCH($A166,lmic_raw_lb[[setting]:[setting]],0), MATCH(K$139, lmic_raw_lb[#Headers],0))=0, INDEX(regions_lb[], MATCH($D166, regions_lb[[setting]:[setting]],0), MATCH(K$139, regions_lb[#Headers],0)),INDEX(lmic_raw_lb[],MATCH($A166,lmic_raw_lb[[setting]:[setting]],0), MATCH(K$139, lmic_raw_lb[#Headers],0)))</f>
        <v>0.65789974195504752</v>
      </c>
      <c r="L166" s="98">
        <f>IF(INDEX(lmic_raw_lb[],MATCH($A166,lmic_raw_lb[[setting]:[setting]],0), MATCH(L$139, lmic_raw_lb[#Headers],0))=0, INDEX(regions_lb[], MATCH($D166, regions_lb[[setting]:[setting]],0), MATCH(L$139, regions_lb[#Headers],0)),INDEX(lmic_raw_lb[],MATCH($A166,lmic_raw_lb[[setting]:[setting]],0), MATCH(L$139, lmic_raw_lb[#Headers],0)))</f>
        <v>0.86449999999999994</v>
      </c>
      <c r="M166" s="98">
        <f>IF(INDEX(lmic_raw_lb[],MATCH($A166,lmic_raw_lb[[setting]:[setting]],0), MATCH(M$139, lmic_raw_lb[#Headers],0))=0, INDEX(regions_lb[], MATCH($D166, regions_lb[[setting]:[setting]],0), MATCH(M$139, regions_lb[#Headers],0)),INDEX(lmic_raw_lb[],MATCH($A166,lmic_raw_lb[[setting]:[setting]],0), MATCH(M$139, lmic_raw_lb[#Headers],0)))</f>
        <v>3.5999999999999999E-3</v>
      </c>
      <c r="N166" s="98">
        <f>IF(INDEX(lmic_raw_lb[],MATCH($A166,lmic_raw_lb[[setting]:[setting]],0), MATCH(N$139, lmic_raw_lb[#Headers],0))=0, INDEX(regions_lb[], MATCH($D166, regions_lb[[setting]:[setting]],0), MATCH(N$139, regions_lb[#Headers],0)),INDEX(lmic_raw_lb[],MATCH($A166,lmic_raw_lb[[setting]:[setting]],0), MATCH(N$139, lmic_raw_lb[#Headers],0)))</f>
        <v>0.15560000000000002</v>
      </c>
      <c r="O166" s="98">
        <f>IF(INDEX(lmic_raw_lb[],MATCH($A166,lmic_raw_lb[[setting]:[setting]],0), MATCH(O$139, lmic_raw_lb[#Headers],0))=0, INDEX(regions_lb[], MATCH($D166, regions_lb[[setting]:[setting]],0), MATCH(O$139, regions_lb[#Headers],0)),INDEX(lmic_raw_lb[],MATCH($A166,lmic_raw_lb[[setting]:[setting]],0), MATCH(O$139, lmic_raw_lb[#Headers],0)))</f>
        <v>7.0000000000000007E-2</v>
      </c>
      <c r="P166" s="98">
        <f>IF(INDEX(lmic_raw_lb[],MATCH($A166,lmic_raw_lb[[setting]:[setting]],0), MATCH(P$139, lmic_raw_lb[#Headers],0))=0, INDEX(regions_lb[], MATCH($D166, regions_lb[[setting]:[setting]],0), MATCH(P$139, regions_lb[#Headers],0)),INDEX(lmic_raw_lb[],MATCH($A166,lmic_raw_lb[[setting]:[setting]],0), MATCH(P$139, lmic_raw_lb[#Headers],0)))</f>
        <v>1E-3</v>
      </c>
      <c r="Q166" s="98">
        <f>IF(INDEX(lmic_raw_lb[],MATCH($A166,lmic_raw_lb[[setting]:[setting]],0), MATCH(Q$139, lmic_raw_lb[#Headers],0))=0, INDEX(regions_lb[], MATCH($D166, regions_lb[[setting]:[setting]],0), MATCH(Q$139, regions_lb[#Headers],0)),INDEX(lmic_raw_lb[],MATCH($A166,lmic_raw_lb[[setting]:[setting]],0), MATCH(Q$139, lmic_raw_lb[#Headers],0)))</f>
        <v>3.0553041076344298</v>
      </c>
      <c r="R166" s="98">
        <f>IF(INDEX(lmic_raw_lb[],MATCH($A166,lmic_raw_lb[[setting]:[setting]],0), MATCH(R$139, lmic_raw_lb[#Headers],0))=0, INDEX(regions_lb[], MATCH($D166, regions_lb[[setting]:[setting]],0), MATCH(R$139, regions_lb[#Headers],0)),INDEX(lmic_raw_lb[],MATCH($A166,lmic_raw_lb[[setting]:[setting]],0), MATCH(R$139, lmic_raw_lb[#Headers],0)))</f>
        <v>28.424474999999997</v>
      </c>
      <c r="S166" s="98">
        <f>IF(INDEX(lmic_raw_lb[],MATCH($A166,lmic_raw_lb[[setting]:[setting]],0), MATCH(S$139, lmic_raw_lb[#Headers],0))=0, INDEX(regions_lb[], MATCH($D166, regions_lb[[setting]:[setting]],0), MATCH(S$139, regions_lb[#Headers],0)),INDEX(lmic_raw_lb[],MATCH($A166,lmic_raw_lb[[setting]:[setting]],0), MATCH(S$139, lmic_raw_lb[#Headers],0)))</f>
        <v>73.779375000000002</v>
      </c>
      <c r="T166" s="98">
        <f>IF(INDEX(lmic_raw_lb[],MATCH($A166,lmic_raw_lb[[setting]:[setting]],0), MATCH(T$139, lmic_raw_lb[#Headers],0))=0, INDEX(regions_lb[], MATCH($D166, regions_lb[[setting]:[setting]],0), MATCH(T$139, regions_lb[#Headers],0)),INDEX(lmic_raw_lb[],MATCH($A166,lmic_raw_lb[[setting]:[setting]],0), MATCH(T$139, lmic_raw_lb[#Headers],0)))</f>
        <v>73.779375000000002</v>
      </c>
      <c r="U166" s="98">
        <f>IF(INDEX(lmic_raw_lb[],MATCH($A166,lmic_raw_lb[[setting]:[setting]],0), MATCH(U$139, lmic_raw_lb[#Headers],0))=0, INDEX(regions_lb[], MATCH($D166, regions_lb[[setting]:[setting]],0), MATCH(U$139, regions_lb[#Headers],0)),INDEX(lmic_raw_lb[],MATCH($A166,lmic_raw_lb[[setting]:[setting]],0), MATCH(U$139, lmic_raw_lb[#Headers],0)))</f>
        <v>73.779375000000002</v>
      </c>
      <c r="V166" s="98">
        <f>IF(INDEX(lmic_raw_lb[],MATCH($A166,lmic_raw_lb[[setting]:[setting]],0), MATCH(V$139, lmic_raw_lb[#Headers],0))=0, INDEX(regions_lb[], MATCH($D166, regions_lb[[setting]:[setting]],0), MATCH(V$139, regions_lb[#Headers],0)),INDEX(lmic_raw_lb[],MATCH($A166,lmic_raw_lb[[setting]:[setting]],0), MATCH(V$139, lmic_raw_lb[#Headers],0)))</f>
        <v>2.4197588075999303</v>
      </c>
      <c r="W166" s="98">
        <f>IF(INDEX(lmic_raw_lb[],MATCH($A166,lmic_raw_lb[[setting]:[setting]],0), MATCH(W$139, lmic_raw_lb[#Headers],0))=0, INDEX(regions_lb[], MATCH($D166, regions_lb[[setting]:[setting]],0), MATCH(W$139, regions_lb[#Headers],0)),INDEX(lmic_raw_lb[],MATCH($A166,lmic_raw_lb[[setting]:[setting]],0), MATCH(W$139, lmic_raw_lb[#Headers],0)))</f>
        <v>7.0070238075999303</v>
      </c>
      <c r="X166" s="98">
        <f>IF(INDEX(lmic_raw_lb[],MATCH($A166,lmic_raw_lb[[setting]:[setting]],0), MATCH(X$139, lmic_raw_lb[#Headers],0))=0, INDEX(regions_lb[], MATCH($D166, regions_lb[[setting]:[setting]],0), MATCH(X$139, regions_lb[#Headers],0)),INDEX(lmic_raw_lb[],MATCH($A166,lmic_raw_lb[[setting]:[setting]],0), MATCH(X$139, lmic_raw_lb[#Headers],0)))</f>
        <v>2.0544275379251662</v>
      </c>
      <c r="Y166" s="98">
        <f>IF(INDEX(lmic_raw_lb[],MATCH($A166,lmic_raw_lb[[setting]:[setting]],0), MATCH(Y$139, lmic_raw_lb[#Headers],0))=0, INDEX(regions_lb[], MATCH($D166, regions_lb[[setting]:[setting]],0), MATCH(Y$139, regions_lb[#Headers],0)),INDEX(lmic_raw_lb[],MATCH($A166,lmic_raw_lb[[setting]:[setting]],0), MATCH(Y$139, lmic_raw_lb[#Headers],0)))</f>
        <v>6.6416925379251666</v>
      </c>
      <c r="Z166" s="98">
        <f>IF(INDEX(lmic_raw_lb[],MATCH($A166,lmic_raw_lb[[setting]:[setting]],0), MATCH(Z$139, lmic_raw_lb[#Headers],0))=0, INDEX(regions_lb[], MATCH($D166, regions_lb[[setting]:[setting]],0), MATCH(Z$139, regions_lb[#Headers],0)),INDEX(lmic_raw_lb[],MATCH($A166,lmic_raw_lb[[setting]:[setting]],0), MATCH(Z$139, lmic_raw_lb[#Headers],0)))</f>
        <v>6.639502311494013</v>
      </c>
      <c r="AA166" s="98">
        <f>IF(INDEX(lmic_raw_lb[],MATCH($A166,lmic_raw_lb[[setting]:[setting]],0), MATCH(AA$139, lmic_raw_lb[#Headers],0))=0, INDEX(regions_lb[], MATCH($D166, regions_lb[[setting]:[setting]],0), MATCH(AA$139, regions_lb[#Headers],0)),INDEX(lmic_raw_lb[],MATCH($A166,lmic_raw_lb[[setting]:[setting]],0), MATCH(AA$139, lmic_raw_lb[#Headers],0)))</f>
        <v>2.6309708834104697</v>
      </c>
      <c r="AB166" s="98">
        <f>IF(INDEX(lmic_raw_lb[],MATCH($A166,lmic_raw_lb[[setting]:[setting]],0), MATCH(AB$139, lmic_raw_lb[#Headers],0))=0, INDEX(regions_lb[], MATCH($D166, regions_lb[[setting]:[setting]],0), MATCH(AB$139, regions_lb[#Headers],0)),INDEX(lmic_raw_lb[],MATCH($A166,lmic_raw_lb[[setting]:[setting]],0), MATCH(AB$139, lmic_raw_lb[#Headers],0)))</f>
        <v>7.2182358834104701</v>
      </c>
      <c r="AC166" s="98">
        <f>IF(INDEX(lmic_raw_lb[],MATCH($A166,lmic_raw_lb[[setting]:[setting]],0), MATCH(AC$139, lmic_raw_lb[#Headers],0))=0, INDEX(regions_lb[], MATCH($D166, regions_lb[[setting]:[setting]],0), MATCH(AC$139, regions_lb[#Headers],0)),INDEX(lmic_raw_lb[],MATCH($A166,lmic_raw_lb[[setting]:[setting]],0), MATCH(AC$139, lmic_raw_lb[#Headers],0)))</f>
        <v>5.0461701000000019E-2</v>
      </c>
      <c r="AD166" s="98">
        <f>IF(INDEX(lmic_raw_lb[],MATCH($A166,lmic_raw_lb[[setting]:[setting]],0), MATCH(AD$139, lmic_raw_lb[#Headers],0))=0, INDEX(regions_lb[], MATCH($D166, regions_lb[[setting]:[setting]],0), MATCH(AD$139, regions_lb[#Headers],0)),INDEX(lmic_raw_lb[],MATCH($A166,lmic_raw_lb[[setting]:[setting]],0), MATCH(AD$139, lmic_raw_lb[#Headers],0)))</f>
        <v>4.2496584475610064E-3</v>
      </c>
      <c r="AE166" s="98">
        <f>IF(INDEX(lmic_raw_lb[],MATCH($A166,lmic_raw_lb[[setting]:[setting]],0), MATCH(AE$139, lmic_raw_lb[#Headers],0))=0, INDEX(regions_lb[], MATCH($D166, regions_lb[[setting]:[setting]],0), MATCH(AE$139, regions_lb[#Headers],0)),INDEX(lmic_raw_lb[],MATCH($A166,lmic_raw_lb[[setting]:[setting]],0), MATCH(AE$139, lmic_raw_lb[#Headers],0)))</f>
        <v>1.2995700355024114E-3</v>
      </c>
      <c r="AF166" s="98">
        <f>IF(INDEX(lmic_raw_lb[],MATCH($A166,lmic_raw_lb[[setting]:[setting]],0), MATCH(AF$139, lmic_raw_lb[#Headers],0))=0, INDEX(regions_lb[], MATCH($D166, regions_lb[[setting]:[setting]],0), MATCH(AF$139, regions_lb[#Headers],0)),INDEX(lmic_raw_lb[],MATCH($A166,lmic_raw_lb[[setting]:[setting]],0), MATCH(AF$139, lmic_raw_lb[#Headers],0)))</f>
        <v>1.0195082081398083E-3</v>
      </c>
      <c r="AG166" s="98">
        <f>IF(INDEX(lmic_raw_lb[],MATCH($A166,lmic_raw_lb[[setting]:[setting]],0), MATCH(AG$139, lmic_raw_lb[#Headers],0))=0, INDEX(regions_lb[], MATCH($D166, regions_lb[[setting]:[setting]],0), MATCH(AG$139, regions_lb[#Headers],0)),INDEX(lmic_raw_lb[],MATCH($A166,lmic_raw_lb[[setting]:[setting]],0), MATCH(AG$139, lmic_raw_lb[#Headers],0)))</f>
        <v>1.6355224486175751E-3</v>
      </c>
      <c r="AH166" s="98">
        <f>IF(INDEX(lmic_raw_lb[],MATCH($A166,lmic_raw_lb[[setting]:[setting]],0), MATCH(AH$139, lmic_raw_lb[#Headers],0))=0, INDEX(regions_lb[], MATCH($D166, regions_lb[[setting]:[setting]],0), MATCH(AH$139, regions_lb[#Headers],0)),INDEX(lmic_raw_lb[],MATCH($A166,lmic_raw_lb[[setting]:[setting]],0), MATCH(AH$139, lmic_raw_lb[#Headers],0)))</f>
        <v>2.2775282523972008E-3</v>
      </c>
      <c r="AI166" s="98">
        <f>IF(INDEX(lmic_raw_lb[],MATCH($A166,lmic_raw_lb[[setting]:[setting]],0), MATCH(AI$139, lmic_raw_lb[#Headers],0))=0, INDEX(regions_lb[], MATCH($D166, regions_lb[[setting]:[setting]],0), MATCH(AI$139, regions_lb[#Headers],0)),INDEX(lmic_raw_lb[],MATCH($A166,lmic_raw_lb[[setting]:[setting]],0), MATCH(AI$139, lmic_raw_lb[#Headers],0)))</f>
        <v>2.483280653043709E-3</v>
      </c>
      <c r="AJ166" s="98">
        <f>IF(INDEX(lmic_raw_lb[],MATCH($A166,lmic_raw_lb[[setting]:[setting]],0), MATCH(AJ$139, lmic_raw_lb[#Headers],0))=0, INDEX(regions_lb[], MATCH($D166, regions_lb[[setting]:[setting]],0), MATCH(AJ$139, regions_lb[#Headers],0)),INDEX(lmic_raw_lb[],MATCH($A166,lmic_raw_lb[[setting]:[setting]],0), MATCH(AJ$139, lmic_raw_lb[#Headers],0)))</f>
        <v>2.844189141233498E-3</v>
      </c>
      <c r="AK166" s="98">
        <f>IF(INDEX(lmic_raw_lb[],MATCH($A166,lmic_raw_lb[[setting]:[setting]],0), MATCH(AK$139, lmic_raw_lb[#Headers],0))=0, INDEX(regions_lb[], MATCH($D166, regions_lb[[setting]:[setting]],0), MATCH(AK$139, regions_lb[#Headers],0)),INDEX(lmic_raw_lb[],MATCH($A166,lmic_raw_lb[[setting]:[setting]],0), MATCH(AK$139, lmic_raw_lb[#Headers],0)))</f>
        <v>3.513126336674948E-3</v>
      </c>
      <c r="AL166" s="98">
        <f>IF(INDEX(lmic_raw_lb[],MATCH($A166,lmic_raw_lb[[setting]:[setting]],0), MATCH(AL$139, lmic_raw_lb[#Headers],0))=0, INDEX(regions_lb[], MATCH($D166, regions_lb[[setting]:[setting]],0), MATCH(AL$139, regions_lb[#Headers],0)),INDEX(lmic_raw_lb[],MATCH($A166,lmic_raw_lb[[setting]:[setting]],0), MATCH(AL$139, lmic_raw_lb[#Headers],0)))</f>
        <v>4.6166201925469143E-3</v>
      </c>
      <c r="AM166" s="98">
        <f>IF(INDEX(lmic_raw_lb[],MATCH($A166,lmic_raw_lb[[setting]:[setting]],0), MATCH(AM$139, lmic_raw_lb[#Headers],0))=0, INDEX(regions_lb[], MATCH($D166, regions_lb[[setting]:[setting]],0), MATCH(AM$139, regions_lb[#Headers],0)),INDEX(lmic_raw_lb[],MATCH($A166,lmic_raw_lb[[setting]:[setting]],0), MATCH(AM$139, lmic_raw_lb[#Headers],0)))</f>
        <v>6.4263002013538306E-3</v>
      </c>
      <c r="AN166" s="98">
        <f>IF(INDEX(lmic_raw_lb[],MATCH($A166,lmic_raw_lb[[setting]:[setting]],0), MATCH(AN$139, lmic_raw_lb[#Headers],0))=0, INDEX(regions_lb[], MATCH($D166, regions_lb[[setting]:[setting]],0), MATCH(AN$139, regions_lb[#Headers],0)),INDEX(lmic_raw_lb[],MATCH($A166,lmic_raw_lb[[setting]:[setting]],0), MATCH(AN$139, lmic_raw_lb[#Headers],0)))</f>
        <v>9.3201854999544528E-3</v>
      </c>
      <c r="AO166" s="98">
        <f>IF(INDEX(lmic_raw_lb[],MATCH($A166,lmic_raw_lb[[setting]:[setting]],0), MATCH(AO$139, lmic_raw_lb[#Headers],0))=0, INDEX(regions_lb[], MATCH($D166, regions_lb[[setting]:[setting]],0), MATCH(AO$139, regions_lb[#Headers],0)),INDEX(lmic_raw_lb[],MATCH($A166,lmic_raw_lb[[setting]:[setting]],0), MATCH(AO$139, lmic_raw_lb[#Headers],0)))</f>
        <v>1.3684400155686843E-2</v>
      </c>
      <c r="AP166" s="98">
        <f>IF(INDEX(lmic_raw_lb[],MATCH($A166,lmic_raw_lb[[setting]:[setting]],0), MATCH(AP$139, lmic_raw_lb[#Headers],0))=0, INDEX(regions_lb[], MATCH($D166, regions_lb[[setting]:[setting]],0), MATCH(AP$139, regions_lb[#Headers],0)),INDEX(lmic_raw_lb[],MATCH($A166,lmic_raw_lb[[setting]:[setting]],0), MATCH(AP$139, lmic_raw_lb[#Headers],0)))</f>
        <v>2.0598433991632272E-2</v>
      </c>
      <c r="AQ166" s="98">
        <f>IF(INDEX(lmic_raw_lb[],MATCH($A166,lmic_raw_lb[[setting]:[setting]],0), MATCH(AQ$139, lmic_raw_lb[#Headers],0))=0, INDEX(regions_lb[], MATCH($D166, regions_lb[[setting]:[setting]],0), MATCH(AQ$139, regions_lb[#Headers],0)),INDEX(lmic_raw_lb[],MATCH($A166,lmic_raw_lb[[setting]:[setting]],0), MATCH(AQ$139, lmic_raw_lb[#Headers],0)))</f>
        <v>3.1082688893418427E-2</v>
      </c>
      <c r="AR166" s="98">
        <f>IF(INDEX(lmic_raw_lb[],MATCH($A166,lmic_raw_lb[[setting]:[setting]],0), MATCH(AR$139, lmic_raw_lb[#Headers],0))=0, INDEX(regions_lb[], MATCH($D166, regions_lb[[setting]:[setting]],0), MATCH(AR$139, regions_lb[#Headers],0)),INDEX(lmic_raw_lb[],MATCH($A166,lmic_raw_lb[[setting]:[setting]],0), MATCH(AR$139, lmic_raw_lb[#Headers],0)))</f>
        <v>4.7292943063005764E-2</v>
      </c>
      <c r="AS166" s="98">
        <f>IF(INDEX(lmic_raw_lb[],MATCH($A166,lmic_raw_lb[[setting]:[setting]],0), MATCH(AS$139, lmic_raw_lb[#Headers],0))=0, INDEX(regions_lb[], MATCH($D166, regions_lb[[setting]:[setting]],0), MATCH(AS$139, regions_lb[#Headers],0)),INDEX(lmic_raw_lb[],MATCH($A166,lmic_raw_lb[[setting]:[setting]],0), MATCH(AS$139, lmic_raw_lb[#Headers],0)))</f>
        <v>7.0166438000714246E-2</v>
      </c>
      <c r="AT166" s="98">
        <f>IF(INDEX(lmic_raw_lb[],MATCH($A166,lmic_raw_lb[[setting]:[setting]],0), MATCH(AT$139, lmic_raw_lb[#Headers],0))=0, INDEX(regions_lb[], MATCH($D166, regions_lb[[setting]:[setting]],0), MATCH(AT$139, regions_lb[#Headers],0)),INDEX(lmic_raw_lb[],MATCH($A166,lmic_raw_lb[[setting]:[setting]],0), MATCH(AT$139, lmic_raw_lb[#Headers],0)))</f>
        <v>9.9604681307013498E-2</v>
      </c>
      <c r="AU166" s="98">
        <f>IF(INDEX(lmic_raw_lb[],MATCH($A166,lmic_raw_lb[[setting]:[setting]],0), MATCH(AU$139, lmic_raw_lb[#Headers],0))=0, INDEX(regions_lb[], MATCH($D166, regions_lb[[setting]:[setting]],0), MATCH(AU$139, regions_lb[#Headers],0)),INDEX(lmic_raw_lb[],MATCH($A166,lmic_raw_lb[[setting]:[setting]],0), MATCH(AU$139, lmic_raw_lb[#Headers],0)))</f>
        <v>0.1302687430753518</v>
      </c>
      <c r="AV166" s="98">
        <f>IF(INDEX(lmic_raw_lb[],MATCH($A166,lmic_raw_lb[[setting]:[setting]],0), MATCH(AV$139, lmic_raw_lb[#Headers],0))=0, INDEX(regions_lb[], MATCH($D166, regions_lb[[setting]:[setting]],0), MATCH(AV$139, regions_lb[#Headers],0)),INDEX(lmic_raw_lb[],MATCH($A166,lmic_raw_lb[[setting]:[setting]],0), MATCH(AV$139, lmic_raw_lb[#Headers],0)))</f>
        <v>0.15495278763566037</v>
      </c>
      <c r="AW166" s="98">
        <f>IF(INDEX(lmic_raw_lb[],MATCH($A166,lmic_raw_lb[[setting]:[setting]],0), MATCH(AW$139, lmic_raw_lb[#Headers],0))=0, INDEX(regions_lb[], MATCH($D166, regions_lb[[setting]:[setting]],0), MATCH(AW$139, regions_lb[#Headers],0)),INDEX(lmic_raw_lb[],MATCH($A166,lmic_raw_lb[[setting]:[setting]],0), MATCH(AW$139, lmic_raw_lb[#Headers],0)))</f>
        <v>0.17070931668297665</v>
      </c>
      <c r="AX166" s="98">
        <f>IF(INDEX(lmic_raw_lb[],MATCH($A166,lmic_raw_lb[[setting]:[setting]],0), MATCH(AX$139, lmic_raw_lb[#Headers],0))=0, INDEX(regions_lb[], MATCH($D166, regions_lb[[setting]:[setting]],0), MATCH(AX$139, regions_lb[#Headers],0)),INDEX(lmic_raw_lb[],MATCH($A166,lmic_raw_lb[[setting]:[setting]],0), MATCH(AX$139, lmic_raw_lb[#Headers],0)))</f>
        <v>60.783849999999994</v>
      </c>
      <c r="AY166" s="98" t="str">
        <f>IF(VLOOKUP(lmics_lb[[#This Row],[setting]],lmic_raw_lb[],11,FALSE)=0, "Yes", "No")</f>
        <v>Yes</v>
      </c>
    </row>
    <row r="167" spans="1:51" x14ac:dyDescent="0.25">
      <c r="A167" s="84" t="s">
        <v>611</v>
      </c>
      <c r="B167" s="104" t="s">
        <v>412</v>
      </c>
      <c r="C167" s="105">
        <v>180</v>
      </c>
      <c r="D167" s="84" t="s">
        <v>677</v>
      </c>
      <c r="E167" s="122" t="s">
        <v>582</v>
      </c>
      <c r="F167" s="94" t="s">
        <v>667</v>
      </c>
      <c r="G167" s="94" t="s">
        <v>674</v>
      </c>
      <c r="H167" s="94"/>
      <c r="I167" s="94"/>
      <c r="J167" s="94">
        <f>IF(INDEX(lmic_raw_lb[],MATCH($A167,lmic_raw_lb[[setting]:[setting]],0), MATCH(J$139, lmic_raw_lb[#Headers],0))=0, INDEX(regions_lb[], MATCH($D167, regions_lb[[setting]:[setting]],0), MATCH(J$139, regions_lb[#Headers],0)),INDEX(lmic_raw_lb[],MATCH($A167,lmic_raw_lb[[setting]:[setting]],0), MATCH(J$139, lmic_raw_lb[#Headers],0)))</f>
        <v>0.77424999999999988</v>
      </c>
      <c r="K167" s="94">
        <f>IF(INDEX(lmic_raw_lb[],MATCH($A167,lmic_raw_lb[[setting]:[setting]],0), MATCH(K$139, lmic_raw_lb[#Headers],0))=0, INDEX(regions_lb[], MATCH($D167, regions_lb[[setting]:[setting]],0), MATCH(K$139, regions_lb[#Headers],0)),INDEX(lmic_raw_lb[],MATCH($A167,lmic_raw_lb[[setting]:[setting]],0), MATCH(K$139, lmic_raw_lb[#Headers],0)))</f>
        <v>0.65789974195504752</v>
      </c>
      <c r="L167" s="94">
        <f>IF(INDEX(lmic_raw_lb[],MATCH($A167,lmic_raw_lb[[setting]:[setting]],0), MATCH(L$139, lmic_raw_lb[#Headers],0))=0, INDEX(regions_lb[], MATCH($D167, regions_lb[[setting]:[setting]],0), MATCH(L$139, regions_lb[#Headers],0)),INDEX(lmic_raw_lb[],MATCH($A167,lmic_raw_lb[[setting]:[setting]],0), MATCH(L$139, lmic_raw_lb[#Headers],0)))</f>
        <v>0.54149999999999998</v>
      </c>
      <c r="M167" s="94">
        <f>IF(INDEX(lmic_raw_lb[],MATCH($A167,lmic_raw_lb[[setting]:[setting]],0), MATCH(M$139, lmic_raw_lb[#Headers],0))=0, INDEX(regions_lb[], MATCH($D167, regions_lb[[setting]:[setting]],0), MATCH(M$139, regions_lb[#Headers],0)),INDEX(lmic_raw_lb[],MATCH($A167,lmic_raw_lb[[setting]:[setting]],0), MATCH(M$139, lmic_raw_lb[#Headers],0)))</f>
        <v>2.3700000000000002E-2</v>
      </c>
      <c r="N167" s="94">
        <f>IF(INDEX(lmic_raw_lb[],MATCH($A167,lmic_raw_lb[[setting]:[setting]],0), MATCH(N$139, lmic_raw_lb[#Headers],0))=0, INDEX(regions_lb[], MATCH($D167, regions_lb[[setting]:[setting]],0), MATCH(N$139, regions_lb[#Headers],0)),INDEX(lmic_raw_lb[],MATCH($A167,lmic_raw_lb[[setting]:[setting]],0), MATCH(N$139, lmic_raw_lb[#Headers],0)))</f>
        <v>0.15279999999999999</v>
      </c>
      <c r="O167" s="94">
        <f>IF(INDEX(lmic_raw_lb[],MATCH($A167,lmic_raw_lb[[setting]:[setting]],0), MATCH(O$139, lmic_raw_lb[#Headers],0))=0, INDEX(regions_lb[], MATCH($D167, regions_lb[[setting]:[setting]],0), MATCH(O$139, regions_lb[#Headers],0)),INDEX(lmic_raw_lb[],MATCH($A167,lmic_raw_lb[[setting]:[setting]],0), MATCH(O$139, lmic_raw_lb[#Headers],0)))</f>
        <v>7.0000000000000007E-2</v>
      </c>
      <c r="P167" s="94">
        <f>IF(INDEX(lmic_raw_lb[],MATCH($A167,lmic_raw_lb[[setting]:[setting]],0), MATCH(P$139, lmic_raw_lb[#Headers],0))=0, INDEX(regions_lb[], MATCH($D167, regions_lb[[setting]:[setting]],0), MATCH(P$139, regions_lb[#Headers],0)),INDEX(lmic_raw_lb[],MATCH($A167,lmic_raw_lb[[setting]:[setting]],0), MATCH(P$139, lmic_raw_lb[#Headers],0)))</f>
        <v>1E-3</v>
      </c>
      <c r="Q167" s="94">
        <f>IF(INDEX(lmic_raw_lb[],MATCH($A167,lmic_raw_lb[[setting]:[setting]],0), MATCH(Q$139, lmic_raw_lb[#Headers],0))=0, INDEX(regions_lb[], MATCH($D167, regions_lb[[setting]:[setting]],0), MATCH(Q$139, regions_lb[#Headers],0)),INDEX(lmic_raw_lb[],MATCH($A167,lmic_raw_lb[[setting]:[setting]],0), MATCH(Q$139, lmic_raw_lb[#Headers],0)))</f>
        <v>4.4249775953899046</v>
      </c>
      <c r="R167" s="94">
        <f>IF(INDEX(lmic_raw_lb[],MATCH($A167,lmic_raw_lb[[setting]:[setting]],0), MATCH(R$139, lmic_raw_lb[#Headers],0))=0, INDEX(regions_lb[], MATCH($D167, regions_lb[[setting]:[setting]],0), MATCH(R$139, regions_lb[#Headers],0)),INDEX(lmic_raw_lb[],MATCH($A167,lmic_raw_lb[[setting]:[setting]],0), MATCH(R$139, lmic_raw_lb[#Headers],0)))</f>
        <v>28.424474999999997</v>
      </c>
      <c r="S167" s="94">
        <f>IF(INDEX(lmic_raw_lb[],MATCH($A167,lmic_raw_lb[[setting]:[setting]],0), MATCH(S$139, lmic_raw_lb[#Headers],0))=0, INDEX(regions_lb[], MATCH($D167, regions_lb[[setting]:[setting]],0), MATCH(S$139, regions_lb[#Headers],0)),INDEX(lmic_raw_lb[],MATCH($A167,lmic_raw_lb[[setting]:[setting]],0), MATCH(S$139, lmic_raw_lb[#Headers],0)))</f>
        <v>73.779375000000002</v>
      </c>
      <c r="T167" s="94">
        <f>IF(INDEX(lmic_raw_lb[],MATCH($A167,lmic_raw_lb[[setting]:[setting]],0), MATCH(T$139, lmic_raw_lb[#Headers],0))=0, INDEX(regions_lb[], MATCH($D167, regions_lb[[setting]:[setting]],0), MATCH(T$139, regions_lb[#Headers],0)),INDEX(lmic_raw_lb[],MATCH($A167,lmic_raw_lb[[setting]:[setting]],0), MATCH(T$139, lmic_raw_lb[#Headers],0)))</f>
        <v>73.779375000000002</v>
      </c>
      <c r="U167" s="94">
        <f>IF(INDEX(lmic_raw_lb[],MATCH($A167,lmic_raw_lb[[setting]:[setting]],0), MATCH(U$139, lmic_raw_lb[#Headers],0))=0, INDEX(regions_lb[], MATCH($D167, regions_lb[[setting]:[setting]],0), MATCH(U$139, regions_lb[#Headers],0)),INDEX(lmic_raw_lb[],MATCH($A167,lmic_raw_lb[[setting]:[setting]],0), MATCH(U$139, lmic_raw_lb[#Headers],0)))</f>
        <v>73.779375000000002</v>
      </c>
      <c r="V167" s="94">
        <f>IF(INDEX(lmic_raw_lb[],MATCH($A167,lmic_raw_lb[[setting]:[setting]],0), MATCH(V$139, lmic_raw_lb[#Headers],0))=0, INDEX(regions_lb[], MATCH($D167, regions_lb[[setting]:[setting]],0), MATCH(V$139, regions_lb[#Headers],0)),INDEX(lmic_raw_lb[],MATCH($A167,lmic_raw_lb[[setting]:[setting]],0), MATCH(V$139, lmic_raw_lb[#Headers],0)))</f>
        <v>0.69656365603224035</v>
      </c>
      <c r="W167" s="94">
        <f>IF(INDEX(lmic_raw_lb[],MATCH($A167,lmic_raw_lb[[setting]:[setting]],0), MATCH(W$139, lmic_raw_lb[#Headers],0))=0, INDEX(regions_lb[], MATCH($D167, regions_lb[[setting]:[setting]],0), MATCH(W$139, regions_lb[#Headers],0)),INDEX(lmic_raw_lb[],MATCH($A167,lmic_raw_lb[[setting]:[setting]],0), MATCH(W$139, lmic_raw_lb[#Headers],0)))</f>
        <v>5.2838286560322407</v>
      </c>
      <c r="X167" s="94">
        <f>IF(INDEX(lmic_raw_lb[],MATCH($A167,lmic_raw_lb[[setting]:[setting]],0), MATCH(X$139, lmic_raw_lb[#Headers],0))=0, INDEX(regions_lb[], MATCH($D167, regions_lb[[setting]:[setting]],0), MATCH(X$139, regions_lb[#Headers],0)),INDEX(lmic_raw_lb[],MATCH($A167,lmic_raw_lb[[setting]:[setting]],0), MATCH(X$139, lmic_raw_lb[#Headers],0)))</f>
        <v>0.33250686053240741</v>
      </c>
      <c r="Y167" s="94">
        <f>IF(INDEX(lmic_raw_lb[],MATCH($A167,lmic_raw_lb[[setting]:[setting]],0), MATCH(Y$139, lmic_raw_lb[#Headers],0))=0, INDEX(regions_lb[], MATCH($D167, regions_lb[[setting]:[setting]],0), MATCH(Y$139, regions_lb[#Headers],0)),INDEX(lmic_raw_lb[],MATCH($A167,lmic_raw_lb[[setting]:[setting]],0), MATCH(Y$139, lmic_raw_lb[#Headers],0)))</f>
        <v>4.9197718605324079</v>
      </c>
      <c r="Z167" s="94">
        <f>IF(INDEX(lmic_raw_lb[],MATCH($A167,lmic_raw_lb[[setting]:[setting]],0), MATCH(Z$139, lmic_raw_lb[#Headers],0))=0, INDEX(regions_lb[], MATCH($D167, regions_lb[[setting]:[setting]],0), MATCH(Z$139, regions_lb[#Headers],0)),INDEX(lmic_raw_lb[],MATCH($A167,lmic_raw_lb[[setting]:[setting]],0), MATCH(Z$139, lmic_raw_lb[#Headers],0)))</f>
        <v>4.9185228626543216</v>
      </c>
      <c r="AA167" s="94">
        <f>IF(INDEX(lmic_raw_lb[],MATCH($A167,lmic_raw_lb[[setting]:[setting]],0), MATCH(AA$139, lmic_raw_lb[#Headers],0))=0, INDEX(regions_lb[], MATCH($D167, regions_lb[[setting]:[setting]],0), MATCH(AA$139, regions_lb[#Headers],0)),INDEX(lmic_raw_lb[],MATCH($A167,lmic_raw_lb[[setting]:[setting]],0), MATCH(AA$139, lmic_raw_lb[#Headers],0)))</f>
        <v>0.90722952862495232</v>
      </c>
      <c r="AB167" s="94">
        <f>IF(INDEX(lmic_raw_lb[],MATCH($A167,lmic_raw_lb[[setting]:[setting]],0), MATCH(AB$139, lmic_raw_lb[#Headers],0))=0, INDEX(regions_lb[], MATCH($D167, regions_lb[[setting]:[setting]],0), MATCH(AB$139, regions_lb[#Headers],0)),INDEX(lmic_raw_lb[],MATCH($A167,lmic_raw_lb[[setting]:[setting]],0), MATCH(AB$139, lmic_raw_lb[#Headers],0)))</f>
        <v>5.4944945286249531</v>
      </c>
      <c r="AC167" s="94">
        <f>IF(INDEX(lmic_raw_lb[],MATCH($A167,lmic_raw_lb[[setting]:[setting]],0), MATCH(AC$139, lmic_raw_lb[#Headers],0))=0, INDEX(regions_lb[], MATCH($D167, regions_lb[[setting]:[setting]],0), MATCH(AC$139, regions_lb[#Headers],0)),INDEX(lmic_raw_lb[],MATCH($A167,lmic_raw_lb[[setting]:[setting]],0), MATCH(AC$139, lmic_raw_lb[#Headers],0)))</f>
        <v>6.1685893999999936E-2</v>
      </c>
      <c r="AD167" s="94">
        <f>IF(INDEX(lmic_raw_lb[],MATCH($A167,lmic_raw_lb[[setting]:[setting]],0), MATCH(AD$139, lmic_raw_lb[#Headers],0))=0, INDEX(regions_lb[], MATCH($D167, regions_lb[[setting]:[setting]],0), MATCH(AD$139, regions_lb[#Headers],0)),INDEX(lmic_raw_lb[],MATCH($A167,lmic_raw_lb[[setting]:[setting]],0), MATCH(AD$139, lmic_raw_lb[#Headers],0)))</f>
        <v>9.0303861011186235E-3</v>
      </c>
      <c r="AE167" s="94">
        <f>IF(INDEX(lmic_raw_lb[],MATCH($A167,lmic_raw_lb[[setting]:[setting]],0), MATCH(AE$139, lmic_raw_lb[#Headers],0))=0, INDEX(regions_lb[], MATCH($D167, regions_lb[[setting]:[setting]],0), MATCH(AE$139, regions_lb[#Headers],0)),INDEX(lmic_raw_lb[],MATCH($A167,lmic_raw_lb[[setting]:[setting]],0), MATCH(AE$139, lmic_raw_lb[#Headers],0)))</f>
        <v>3.2690211025243792E-3</v>
      </c>
      <c r="AF167" s="94">
        <f>IF(INDEX(lmic_raw_lb[],MATCH($A167,lmic_raw_lb[[setting]:[setting]],0), MATCH(AF$139, lmic_raw_lb[#Headers],0))=0, INDEX(regions_lb[], MATCH($D167, regions_lb[[setting]:[setting]],0), MATCH(AF$139, regions_lb[#Headers],0)),INDEX(lmic_raw_lb[],MATCH($A167,lmic_raw_lb[[setting]:[setting]],0), MATCH(AF$139, lmic_raw_lb[#Headers],0)))</f>
        <v>1.9314018943364898E-3</v>
      </c>
      <c r="AG167" s="94">
        <f>IF(INDEX(lmic_raw_lb[],MATCH($A167,lmic_raw_lb[[setting]:[setting]],0), MATCH(AG$139, lmic_raw_lb[#Headers],0))=0, INDEX(regions_lb[], MATCH($D167, regions_lb[[setting]:[setting]],0), MATCH(AG$139, regions_lb[#Headers],0)),INDEX(lmic_raw_lb[],MATCH($A167,lmic_raw_lb[[setting]:[setting]],0), MATCH(AG$139, lmic_raw_lb[#Headers],0)))</f>
        <v>2.5837849680857396E-3</v>
      </c>
      <c r="AH167" s="94">
        <f>IF(INDEX(lmic_raw_lb[],MATCH($A167,lmic_raw_lb[[setting]:[setting]],0), MATCH(AH$139, lmic_raw_lb[#Headers],0))=0, INDEX(regions_lb[], MATCH($D167, regions_lb[[setting]:[setting]],0), MATCH(AH$139, regions_lb[#Headers],0)),INDEX(lmic_raw_lb[],MATCH($A167,lmic_raw_lb[[setting]:[setting]],0), MATCH(AH$139, lmic_raw_lb[#Headers],0)))</f>
        <v>3.4803801318392608E-3</v>
      </c>
      <c r="AI167" s="94">
        <f>IF(INDEX(lmic_raw_lb[],MATCH($A167,lmic_raw_lb[[setting]:[setting]],0), MATCH(AI$139, lmic_raw_lb[#Headers],0))=0, INDEX(regions_lb[], MATCH($D167, regions_lb[[setting]:[setting]],0), MATCH(AI$139, regions_lb[#Headers],0)),INDEX(lmic_raw_lb[],MATCH($A167,lmic_raw_lb[[setting]:[setting]],0), MATCH(AI$139, lmic_raw_lb[#Headers],0)))</f>
        <v>3.8125365821258896E-3</v>
      </c>
      <c r="AJ167" s="94">
        <f>IF(INDEX(lmic_raw_lb[],MATCH($A167,lmic_raw_lb[[setting]:[setting]],0), MATCH(AJ$139, lmic_raw_lb[#Headers],0))=0, INDEX(regions_lb[], MATCH($D167, regions_lb[[setting]:[setting]],0), MATCH(AJ$139, regions_lb[#Headers],0)),INDEX(lmic_raw_lb[],MATCH($A167,lmic_raw_lb[[setting]:[setting]],0), MATCH(AJ$139, lmic_raw_lb[#Headers],0)))</f>
        <v>4.1861390237627619E-3</v>
      </c>
      <c r="AK167" s="94">
        <f>IF(INDEX(lmic_raw_lb[],MATCH($A167,lmic_raw_lb[[setting]:[setting]],0), MATCH(AK$139, lmic_raw_lb[#Headers],0))=0, INDEX(regions_lb[], MATCH($D167, regions_lb[[setting]:[setting]],0), MATCH(AK$139, regions_lb[#Headers],0)),INDEX(lmic_raw_lb[],MATCH($A167,lmic_raw_lb[[setting]:[setting]],0), MATCH(AK$139, lmic_raw_lb[#Headers],0)))</f>
        <v>4.7393921514607504E-3</v>
      </c>
      <c r="AL167" s="94">
        <f>IF(INDEX(lmic_raw_lb[],MATCH($A167,lmic_raw_lb[[setting]:[setting]],0), MATCH(AL$139, lmic_raw_lb[#Headers],0))=0, INDEX(regions_lb[], MATCH($D167, regions_lb[[setting]:[setting]],0), MATCH(AL$139, regions_lb[#Headers],0)),INDEX(lmic_raw_lb[],MATCH($A167,lmic_raw_lb[[setting]:[setting]],0), MATCH(AL$139, lmic_raw_lb[#Headers],0)))</f>
        <v>5.8093776796178612E-3</v>
      </c>
      <c r="AM167" s="94">
        <f>IF(INDEX(lmic_raw_lb[],MATCH($A167,lmic_raw_lb[[setting]:[setting]],0), MATCH(AM$139, lmic_raw_lb[#Headers],0))=0, INDEX(regions_lb[], MATCH($D167, regions_lb[[setting]:[setting]],0), MATCH(AM$139, regions_lb[#Headers],0)),INDEX(lmic_raw_lb[],MATCH($A167,lmic_raw_lb[[setting]:[setting]],0), MATCH(AM$139, lmic_raw_lb[#Headers],0)))</f>
        <v>6.9922878577889248E-3</v>
      </c>
      <c r="AN167" s="94">
        <f>IF(INDEX(lmic_raw_lb[],MATCH($A167,lmic_raw_lb[[setting]:[setting]],0), MATCH(AN$139, lmic_raw_lb[#Headers],0))=0, INDEX(regions_lb[], MATCH($D167, regions_lb[[setting]:[setting]],0), MATCH(AN$139, regions_lb[#Headers],0)),INDEX(lmic_raw_lb[],MATCH($A167,lmic_raw_lb[[setting]:[setting]],0), MATCH(AN$139, lmic_raw_lb[#Headers],0)))</f>
        <v>9.6319553593586654E-3</v>
      </c>
      <c r="AO167" s="94">
        <f>IF(INDEX(lmic_raw_lb[],MATCH($A167,lmic_raw_lb[[setting]:[setting]],0), MATCH(AO$139, lmic_raw_lb[#Headers],0))=0, INDEX(regions_lb[], MATCH($D167, regions_lb[[setting]:[setting]],0), MATCH(AO$139, regions_lb[#Headers],0)),INDEX(lmic_raw_lb[],MATCH($A167,lmic_raw_lb[[setting]:[setting]],0), MATCH(AO$139, lmic_raw_lb[#Headers],0)))</f>
        <v>1.2769024751046486E-2</v>
      </c>
      <c r="AP167" s="94">
        <f>IF(INDEX(lmic_raw_lb[],MATCH($A167,lmic_raw_lb[[setting]:[setting]],0), MATCH(AP$139, lmic_raw_lb[#Headers],0))=0, INDEX(regions_lb[], MATCH($D167, regions_lb[[setting]:[setting]],0), MATCH(AP$139, regions_lb[#Headers],0)),INDEX(lmic_raw_lb[],MATCH($A167,lmic_raw_lb[[setting]:[setting]],0), MATCH(AP$139, lmic_raw_lb[#Headers],0)))</f>
        <v>1.9033623997684865E-2</v>
      </c>
      <c r="AQ167" s="94">
        <f>IF(INDEX(lmic_raw_lb[],MATCH($A167,lmic_raw_lb[[setting]:[setting]],0), MATCH(AQ$139, lmic_raw_lb[#Headers],0))=0, INDEX(regions_lb[], MATCH($D167, regions_lb[[setting]:[setting]],0), MATCH(AQ$139, regions_lb[#Headers],0)),INDEX(lmic_raw_lb[],MATCH($A167,lmic_raw_lb[[setting]:[setting]],0), MATCH(AQ$139, lmic_raw_lb[#Headers],0)))</f>
        <v>2.8856519201277589E-2</v>
      </c>
      <c r="AR167" s="94">
        <f>IF(INDEX(lmic_raw_lb[],MATCH($A167,lmic_raw_lb[[setting]:[setting]],0), MATCH(AR$139, lmic_raw_lb[#Headers],0))=0, INDEX(regions_lb[], MATCH($D167, regions_lb[[setting]:[setting]],0), MATCH(AR$139, regions_lb[#Headers],0)),INDEX(lmic_raw_lb[],MATCH($A167,lmic_raw_lb[[setting]:[setting]],0), MATCH(AR$139, lmic_raw_lb[#Headers],0)))</f>
        <v>4.4035019714278451E-2</v>
      </c>
      <c r="AS167" s="94">
        <f>IF(INDEX(lmic_raw_lb[],MATCH($A167,lmic_raw_lb[[setting]:[setting]],0), MATCH(AS$139, lmic_raw_lb[#Headers],0))=0, INDEX(regions_lb[], MATCH($D167, regions_lb[[setting]:[setting]],0), MATCH(AS$139, regions_lb[#Headers],0)),INDEX(lmic_raw_lb[],MATCH($A167,lmic_raw_lb[[setting]:[setting]],0), MATCH(AS$139, lmic_raw_lb[#Headers],0)))</f>
        <v>6.5471344430903522E-2</v>
      </c>
      <c r="AT167" s="94">
        <f>IF(INDEX(lmic_raw_lb[],MATCH($A167,lmic_raw_lb[[setting]:[setting]],0), MATCH(AT$139, lmic_raw_lb[#Headers],0))=0, INDEX(regions_lb[], MATCH($D167, regions_lb[[setting]:[setting]],0), MATCH(AT$139, regions_lb[#Headers],0)),INDEX(lmic_raw_lb[],MATCH($A167,lmic_raw_lb[[setting]:[setting]],0), MATCH(AT$139, lmic_raw_lb[#Headers],0)))</f>
        <v>9.3734955127636896E-2</v>
      </c>
      <c r="AU167" s="94">
        <f>IF(INDEX(lmic_raw_lb[],MATCH($A167,lmic_raw_lb[[setting]:[setting]],0), MATCH(AU$139, lmic_raw_lb[#Headers],0))=0, INDEX(regions_lb[], MATCH($D167, regions_lb[[setting]:[setting]],0), MATCH(AU$139, regions_lb[#Headers],0)),INDEX(lmic_raw_lb[],MATCH($A167,lmic_raw_lb[[setting]:[setting]],0), MATCH(AU$139, lmic_raw_lb[#Headers],0)))</f>
        <v>0.1241443797886278</v>
      </c>
      <c r="AV167" s="94">
        <f>IF(INDEX(lmic_raw_lb[],MATCH($A167,lmic_raw_lb[[setting]:[setting]],0), MATCH(AV$139, lmic_raw_lb[#Headers],0))=0, INDEX(regions_lb[], MATCH($D167, regions_lb[[setting]:[setting]],0), MATCH(AV$139, regions_lb[#Headers],0)),INDEX(lmic_raw_lb[],MATCH($A167,lmic_raw_lb[[setting]:[setting]],0), MATCH(AV$139, lmic_raw_lb[#Headers],0)))</f>
        <v>0.1499546530036289</v>
      </c>
      <c r="AW167" s="94">
        <f>IF(INDEX(lmic_raw_lb[],MATCH($A167,lmic_raw_lb[[setting]:[setting]],0), MATCH(AW$139, lmic_raw_lb[#Headers],0))=0, INDEX(regions_lb[], MATCH($D167, regions_lb[[setting]:[setting]],0), MATCH(AW$139, regions_lb[#Headers],0)),INDEX(lmic_raw_lb[],MATCH($A167,lmic_raw_lb[[setting]:[setting]],0), MATCH(AW$139, lmic_raw_lb[#Headers],0)))</f>
        <v>0.16783387968599636</v>
      </c>
      <c r="AX167" s="94">
        <f>IF(INDEX(lmic_raw_lb[],MATCH($A167,lmic_raw_lb[[setting]:[setting]],0), MATCH(AX$139, lmic_raw_lb[#Headers],0))=0, INDEX(regions_lb[], MATCH($D167, regions_lb[[setting]:[setting]],0), MATCH(AX$139, regions_lb[#Headers],0)),INDEX(lmic_raw_lb[],MATCH($A167,lmic_raw_lb[[setting]:[setting]],0), MATCH(AX$139, lmic_raw_lb[#Headers],0)))</f>
        <v>57.200449999999996</v>
      </c>
      <c r="AY167" s="94" t="str">
        <f>IF(VLOOKUP(lmics_lb[[#This Row],[setting]],lmic_raw_lb[],11,FALSE)=0, "Yes", "No")</f>
        <v>Yes</v>
      </c>
    </row>
    <row r="168" spans="1:51" x14ac:dyDescent="0.25">
      <c r="A168" s="109" t="s">
        <v>607</v>
      </c>
      <c r="B168" s="101" t="s">
        <v>403</v>
      </c>
      <c r="C168" s="102">
        <v>178</v>
      </c>
      <c r="D168" s="82" t="s">
        <v>677</v>
      </c>
      <c r="E168" s="121" t="s">
        <v>582</v>
      </c>
      <c r="F168" s="98" t="s">
        <v>667</v>
      </c>
      <c r="G168" s="98" t="s">
        <v>678</v>
      </c>
      <c r="H168" s="98"/>
      <c r="I168" s="98"/>
      <c r="J168" s="98">
        <f>IF(INDEX(lmic_raw_lb[],MATCH($A168,lmic_raw_lb[[setting]:[setting]],0), MATCH(J$139, lmic_raw_lb[#Headers],0))=0, INDEX(regions_lb[], MATCH($D168, regions_lb[[setting]:[setting]],0), MATCH(J$139, regions_lb[#Headers],0)),INDEX(lmic_raw_lb[],MATCH($A168,lmic_raw_lb[[setting]:[setting]],0), MATCH(J$139, lmic_raw_lb[#Headers],0)))</f>
        <v>0.86924999999999997</v>
      </c>
      <c r="K168" s="98">
        <f>IF(INDEX(lmic_raw_lb[],MATCH($A168,lmic_raw_lb[[setting]:[setting]],0), MATCH(K$139, lmic_raw_lb[#Headers],0))=0, INDEX(regions_lb[], MATCH($D168, regions_lb[[setting]:[setting]],0), MATCH(K$139, regions_lb[#Headers],0)),INDEX(lmic_raw_lb[],MATCH($A168,lmic_raw_lb[[setting]:[setting]],0), MATCH(K$139, lmic_raw_lb[#Headers],0)))</f>
        <v>0.65789974195504752</v>
      </c>
      <c r="L168" s="98">
        <f>IF(INDEX(lmic_raw_lb[],MATCH($A168,lmic_raw_lb[[setting]:[setting]],0), MATCH(L$139, lmic_raw_lb[#Headers],0))=0, INDEX(regions_lb[], MATCH($D168, regions_lb[[setting]:[setting]],0), MATCH(L$139, regions_lb[#Headers],0)),INDEX(lmic_raw_lb[],MATCH($A168,lmic_raw_lb[[setting]:[setting]],0), MATCH(L$139, lmic_raw_lb[#Headers],0)))</f>
        <v>0.75049999999999994</v>
      </c>
      <c r="M168" s="98">
        <f>IF(INDEX(lmic_raw_lb[],MATCH($A168,lmic_raw_lb[[setting]:[setting]],0), MATCH(M$139, lmic_raw_lb[#Headers],0))=0, INDEX(regions_lb[], MATCH($D168, regions_lb[[setting]:[setting]],0), MATCH(M$139, regions_lb[#Headers],0)),INDEX(lmic_raw_lb[],MATCH($A168,lmic_raw_lb[[setting]:[setting]],0), MATCH(M$139, lmic_raw_lb[#Headers],0)))</f>
        <v>6.83E-2</v>
      </c>
      <c r="N168" s="98">
        <f>IF(INDEX(lmic_raw_lb[],MATCH($A168,lmic_raw_lb[[setting]:[setting]],0), MATCH(N$139, lmic_raw_lb[#Headers],0))=0, INDEX(regions_lb[], MATCH($D168, regions_lb[[setting]:[setting]],0), MATCH(N$139, regions_lb[#Headers],0)),INDEX(lmic_raw_lb[],MATCH($A168,lmic_raw_lb[[setting]:[setting]],0), MATCH(N$139, lmic_raw_lb[#Headers],0)))</f>
        <v>0.15279999999999999</v>
      </c>
      <c r="O168" s="98">
        <f>IF(INDEX(lmic_raw_lb[],MATCH($A168,lmic_raw_lb[[setting]:[setting]],0), MATCH(O$139, lmic_raw_lb[#Headers],0))=0, INDEX(regions_lb[], MATCH($D168, regions_lb[[setting]:[setting]],0), MATCH(O$139, regions_lb[#Headers],0)),INDEX(lmic_raw_lb[],MATCH($A168,lmic_raw_lb[[setting]:[setting]],0), MATCH(O$139, lmic_raw_lb[#Headers],0)))</f>
        <v>7.0000000000000007E-2</v>
      </c>
      <c r="P168" s="98">
        <f>IF(INDEX(lmic_raw_lb[],MATCH($A168,lmic_raw_lb[[setting]:[setting]],0), MATCH(P$139, lmic_raw_lb[#Headers],0))=0, INDEX(regions_lb[], MATCH($D168, regions_lb[[setting]:[setting]],0), MATCH(P$139, regions_lb[#Headers],0)),INDEX(lmic_raw_lb[],MATCH($A168,lmic_raw_lb[[setting]:[setting]],0), MATCH(P$139, lmic_raw_lb[#Headers],0)))</f>
        <v>1E-3</v>
      </c>
      <c r="Q168" s="98">
        <f>IF(INDEX(lmic_raw_lb[],MATCH($A168,lmic_raw_lb[[setting]:[setting]],0), MATCH(Q$139, lmic_raw_lb[#Headers],0))=0, INDEX(regions_lb[], MATCH($D168, regions_lb[[setting]:[setting]],0), MATCH(Q$139, regions_lb[#Headers],0)),INDEX(lmic_raw_lb[],MATCH($A168,lmic_raw_lb[[setting]:[setting]],0), MATCH(Q$139, lmic_raw_lb[#Headers],0)))</f>
        <v>5.6825183600457043</v>
      </c>
      <c r="R168" s="98">
        <f>IF(INDEX(lmic_raw_lb[],MATCH($A168,lmic_raw_lb[[setting]:[setting]],0), MATCH(R$139, lmic_raw_lb[#Headers],0))=0, INDEX(regions_lb[], MATCH($D168, regions_lb[[setting]:[setting]],0), MATCH(R$139, regions_lb[#Headers],0)),INDEX(lmic_raw_lb[],MATCH($A168,lmic_raw_lb[[setting]:[setting]],0), MATCH(R$139, lmic_raw_lb[#Headers],0)))</f>
        <v>28.424474999999997</v>
      </c>
      <c r="S168" s="98">
        <f>IF(INDEX(lmic_raw_lb[],MATCH($A168,lmic_raw_lb[[setting]:[setting]],0), MATCH(S$139, lmic_raw_lb[#Headers],0))=0, INDEX(regions_lb[], MATCH($D168, regions_lb[[setting]:[setting]],0), MATCH(S$139, regions_lb[#Headers],0)),INDEX(lmic_raw_lb[],MATCH($A168,lmic_raw_lb[[setting]:[setting]],0), MATCH(S$139, lmic_raw_lb[#Headers],0)))</f>
        <v>73.779375000000002</v>
      </c>
      <c r="T168" s="98">
        <f>IF(INDEX(lmic_raw_lb[],MATCH($A168,lmic_raw_lb[[setting]:[setting]],0), MATCH(T$139, lmic_raw_lb[#Headers],0))=0, INDEX(regions_lb[], MATCH($D168, regions_lb[[setting]:[setting]],0), MATCH(T$139, regions_lb[#Headers],0)),INDEX(lmic_raw_lb[],MATCH($A168,lmic_raw_lb[[setting]:[setting]],0), MATCH(T$139, lmic_raw_lb[#Headers],0)))</f>
        <v>73.779375000000002</v>
      </c>
      <c r="U168" s="98">
        <f>IF(INDEX(lmic_raw_lb[],MATCH($A168,lmic_raw_lb[[setting]:[setting]],0), MATCH(U$139, lmic_raw_lb[#Headers],0))=0, INDEX(regions_lb[], MATCH($D168, regions_lb[[setting]:[setting]],0), MATCH(U$139, regions_lb[#Headers],0)),INDEX(lmic_raw_lb[],MATCH($A168,lmic_raw_lb[[setting]:[setting]],0), MATCH(U$139, lmic_raw_lb[#Headers],0)))</f>
        <v>73.779375000000002</v>
      </c>
      <c r="V168" s="98">
        <f>IF(INDEX(lmic_raw_lb[],MATCH($A168,lmic_raw_lb[[setting]:[setting]],0), MATCH(V$139, lmic_raw_lb[#Headers],0))=0, INDEX(regions_lb[], MATCH($D168, regions_lb[[setting]:[setting]],0), MATCH(V$139, regions_lb[#Headers],0)),INDEX(lmic_raw_lb[],MATCH($A168,lmic_raw_lb[[setting]:[setting]],0), MATCH(V$139, lmic_raw_lb[#Headers],0)))</f>
        <v>1.1682436904669373</v>
      </c>
      <c r="W168" s="98">
        <f>IF(INDEX(lmic_raw_lb[],MATCH($A168,lmic_raw_lb[[setting]:[setting]],0), MATCH(W$139, lmic_raw_lb[#Headers],0))=0, INDEX(regions_lb[], MATCH($D168, regions_lb[[setting]:[setting]],0), MATCH(W$139, regions_lb[#Headers],0)),INDEX(lmic_raw_lb[],MATCH($A168,lmic_raw_lb[[setting]:[setting]],0), MATCH(W$139, lmic_raw_lb[#Headers],0)))</f>
        <v>5.7555086904669377</v>
      </c>
      <c r="X168" s="98">
        <f>IF(INDEX(lmic_raw_lb[],MATCH($A168,lmic_raw_lb[[setting]:[setting]],0), MATCH(X$139, lmic_raw_lb[#Headers],0))=0, INDEX(regions_lb[], MATCH($D168, regions_lb[[setting]:[setting]],0), MATCH(X$139, regions_lb[#Headers],0)),INDEX(lmic_raw_lb[],MATCH($A168,lmic_raw_lb[[setting]:[setting]],0), MATCH(X$139, lmic_raw_lb[#Headers],0)))</f>
        <v>0.80081864549399384</v>
      </c>
      <c r="Y168" s="98">
        <f>IF(INDEX(lmic_raw_lb[],MATCH($A168,lmic_raw_lb[[setting]:[setting]],0), MATCH(Y$139, lmic_raw_lb[#Headers],0))=0, INDEX(regions_lb[], MATCH($D168, regions_lb[[setting]:[setting]],0), MATCH(Y$139, regions_lb[#Headers],0)),INDEX(lmic_raw_lb[],MATCH($A168,lmic_raw_lb[[setting]:[setting]],0), MATCH(Y$139, lmic_raw_lb[#Headers],0)))</f>
        <v>5.3880836454939942</v>
      </c>
      <c r="Z168" s="98">
        <f>IF(INDEX(lmic_raw_lb[],MATCH($A168,lmic_raw_lb[[setting]:[setting]],0), MATCH(Z$139, lmic_raw_lb[#Headers],0))=0, INDEX(regions_lb[], MATCH($D168, regions_lb[[setting]:[setting]],0), MATCH(Z$139, regions_lb[#Headers],0)),INDEX(lmic_raw_lb[],MATCH($A168,lmic_raw_lb[[setting]:[setting]],0), MATCH(Z$139, lmic_raw_lb[#Headers],0)))</f>
        <v>5.3845871650565442</v>
      </c>
      <c r="AA168" s="98">
        <f>IF(INDEX(lmic_raw_lb[],MATCH($A168,lmic_raw_lb[[setting]:[setting]],0), MATCH(AA$139, lmic_raw_lb[#Headers],0))=0, INDEX(regions_lb[], MATCH($D168, regions_lb[[setting]:[setting]],0), MATCH(AA$139, regions_lb[#Headers],0)),INDEX(lmic_raw_lb[],MATCH($A168,lmic_raw_lb[[setting]:[setting]],0), MATCH(AA$139, lmic_raw_lb[#Headers],0)))</f>
        <v>1.3803530985481252</v>
      </c>
      <c r="AB168" s="98">
        <f>IF(INDEX(lmic_raw_lb[],MATCH($A168,lmic_raw_lb[[setting]:[setting]],0), MATCH(AB$139, lmic_raw_lb[#Headers],0))=0, INDEX(regions_lb[], MATCH($D168, regions_lb[[setting]:[setting]],0), MATCH(AB$139, regions_lb[#Headers],0)),INDEX(lmic_raw_lb[],MATCH($A168,lmic_raw_lb[[setting]:[setting]],0), MATCH(AB$139, lmic_raw_lb[#Headers],0)))</f>
        <v>5.967618098548126</v>
      </c>
      <c r="AC168" s="98">
        <f>IF(INDEX(lmic_raw_lb[],MATCH($A168,lmic_raw_lb[[setting]:[setting]],0), MATCH(AC$139, lmic_raw_lb[#Headers],0))=0, INDEX(regions_lb[], MATCH($D168, regions_lb[[setting]:[setting]],0), MATCH(AC$139, regions_lb[#Headers],0)),INDEX(lmic_raw_lb[],MATCH($A168,lmic_raw_lb[[setting]:[setting]],0), MATCH(AC$139, lmic_raw_lb[#Headers],0)))</f>
        <v>3.3540709499999953E-2</v>
      </c>
      <c r="AD168" s="98">
        <f>IF(INDEX(lmic_raw_lb[],MATCH($A168,lmic_raw_lb[[setting]:[setting]],0), MATCH(AD$139, lmic_raw_lb[#Headers],0))=0, INDEX(regions_lb[], MATCH($D168, regions_lb[[setting]:[setting]],0), MATCH(AD$139, regions_lb[#Headers],0)),INDEX(lmic_raw_lb[],MATCH($A168,lmic_raw_lb[[setting]:[setting]],0), MATCH(AD$139, lmic_raw_lb[#Headers],0)))</f>
        <v>3.0131446138687151E-3</v>
      </c>
      <c r="AE168" s="98">
        <f>IF(INDEX(lmic_raw_lb[],MATCH($A168,lmic_raw_lb[[setting]:[setting]],0), MATCH(AE$139, lmic_raw_lb[#Headers],0))=0, INDEX(regions_lb[], MATCH($D168, regions_lb[[setting]:[setting]],0), MATCH(AE$139, regions_lb[#Headers],0)),INDEX(lmic_raw_lb[],MATCH($A168,lmic_raw_lb[[setting]:[setting]],0), MATCH(AE$139, lmic_raw_lb[#Headers],0)))</f>
        <v>1.2780133578805567E-3</v>
      </c>
      <c r="AF168" s="98">
        <f>IF(INDEX(lmic_raw_lb[],MATCH($A168,lmic_raw_lb[[setting]:[setting]],0), MATCH(AF$139, lmic_raw_lb[#Headers],0))=0, INDEX(regions_lb[], MATCH($D168, regions_lb[[setting]:[setting]],0), MATCH(AF$139, regions_lb[#Headers],0)),INDEX(lmic_raw_lb[],MATCH($A168,lmic_raw_lb[[setting]:[setting]],0), MATCH(AF$139, lmic_raw_lb[#Headers],0)))</f>
        <v>9.4422757922080203E-4</v>
      </c>
      <c r="AG168" s="98">
        <f>IF(INDEX(lmic_raw_lb[],MATCH($A168,lmic_raw_lb[[setting]:[setting]],0), MATCH(AG$139, lmic_raw_lb[#Headers],0))=0, INDEX(regions_lb[], MATCH($D168, regions_lb[[setting]:[setting]],0), MATCH(AG$139, regions_lb[#Headers],0)),INDEX(lmic_raw_lb[],MATCH($A168,lmic_raw_lb[[setting]:[setting]],0), MATCH(AG$139, lmic_raw_lb[#Headers],0)))</f>
        <v>1.5400414922486158E-3</v>
      </c>
      <c r="AH168" s="98">
        <f>IF(INDEX(lmic_raw_lb[],MATCH($A168,lmic_raw_lb[[setting]:[setting]],0), MATCH(AH$139, lmic_raw_lb[#Headers],0))=0, INDEX(regions_lb[], MATCH($D168, regions_lb[[setting]:[setting]],0), MATCH(AH$139, regions_lb[#Headers],0)),INDEX(lmic_raw_lb[],MATCH($A168,lmic_raw_lb[[setting]:[setting]],0), MATCH(AH$139, lmic_raw_lb[#Headers],0)))</f>
        <v>2.4317892777857356E-3</v>
      </c>
      <c r="AI168" s="98">
        <f>IF(INDEX(lmic_raw_lb[],MATCH($A168,lmic_raw_lb[[setting]:[setting]],0), MATCH(AI$139, lmic_raw_lb[#Headers],0))=0, INDEX(regions_lb[], MATCH($D168, regions_lb[[setting]:[setting]],0), MATCH(AI$139, regions_lb[#Headers],0)),INDEX(lmic_raw_lb[],MATCH($A168,lmic_raw_lb[[setting]:[setting]],0), MATCH(AI$139, lmic_raw_lb[#Headers],0)))</f>
        <v>3.2680329059545741E-3</v>
      </c>
      <c r="AJ168" s="98">
        <f>IF(INDEX(lmic_raw_lb[],MATCH($A168,lmic_raw_lb[[setting]:[setting]],0), MATCH(AJ$139, lmic_raw_lb[#Headers],0))=0, INDEX(regions_lb[], MATCH($D168, regions_lb[[setting]:[setting]],0), MATCH(AJ$139, regions_lb[#Headers],0)),INDEX(lmic_raw_lb[],MATCH($A168,lmic_raw_lb[[setting]:[setting]],0), MATCH(AJ$139, lmic_raw_lb[#Headers],0)))</f>
        <v>4.1550294037467957E-3</v>
      </c>
      <c r="AK168" s="98">
        <f>IF(INDEX(lmic_raw_lb[],MATCH($A168,lmic_raw_lb[[setting]:[setting]],0), MATCH(AK$139, lmic_raw_lb[#Headers],0))=0, INDEX(regions_lb[], MATCH($D168, regions_lb[[setting]:[setting]],0), MATCH(AK$139, regions_lb[#Headers],0)),INDEX(lmic_raw_lb[],MATCH($A168,lmic_raw_lb[[setting]:[setting]],0), MATCH(AK$139, lmic_raw_lb[#Headers],0)))</f>
        <v>5.3925817646291166E-3</v>
      </c>
      <c r="AL168" s="98">
        <f>IF(INDEX(lmic_raw_lb[],MATCH($A168,lmic_raw_lb[[setting]:[setting]],0), MATCH(AL$139, lmic_raw_lb[#Headers],0))=0, INDEX(regions_lb[], MATCH($D168, regions_lb[[setting]:[setting]],0), MATCH(AL$139, regions_lb[#Headers],0)),INDEX(lmic_raw_lb[],MATCH($A168,lmic_raw_lb[[setting]:[setting]],0), MATCH(AL$139, lmic_raw_lb[#Headers],0)))</f>
        <v>6.6433749155469079E-3</v>
      </c>
      <c r="AM168" s="98">
        <f>IF(INDEX(lmic_raw_lb[],MATCH($A168,lmic_raw_lb[[setting]:[setting]],0), MATCH(AM$139, lmic_raw_lb[#Headers],0))=0, INDEX(regions_lb[], MATCH($D168, regions_lb[[setting]:[setting]],0), MATCH(AM$139, regions_lb[#Headers],0)),INDEX(lmic_raw_lb[],MATCH($A168,lmic_raw_lb[[setting]:[setting]],0), MATCH(AM$139, lmic_raw_lb[#Headers],0)))</f>
        <v>8.167543754324505E-3</v>
      </c>
      <c r="AN168" s="98">
        <f>IF(INDEX(lmic_raw_lb[],MATCH($A168,lmic_raw_lb[[setting]:[setting]],0), MATCH(AN$139, lmic_raw_lb[#Headers],0))=0, INDEX(regions_lb[], MATCH($D168, regions_lb[[setting]:[setting]],0), MATCH(AN$139, regions_lb[#Headers],0)),INDEX(lmic_raw_lb[],MATCH($A168,lmic_raw_lb[[setting]:[setting]],0), MATCH(AN$139, lmic_raw_lb[#Headers],0)))</f>
        <v>1.0879270261936105E-2</v>
      </c>
      <c r="AO168" s="98">
        <f>IF(INDEX(lmic_raw_lb[],MATCH($A168,lmic_raw_lb[[setting]:[setting]],0), MATCH(AO$139, lmic_raw_lb[#Headers],0))=0, INDEX(regions_lb[], MATCH($D168, regions_lb[[setting]:[setting]],0), MATCH(AO$139, regions_lb[#Headers],0)),INDEX(lmic_raw_lb[],MATCH($A168,lmic_raw_lb[[setting]:[setting]],0), MATCH(AO$139, lmic_raw_lb[#Headers],0)))</f>
        <v>1.4077463119211722E-2</v>
      </c>
      <c r="AP168" s="98">
        <f>IF(INDEX(lmic_raw_lb[],MATCH($A168,lmic_raw_lb[[setting]:[setting]],0), MATCH(AP$139, lmic_raw_lb[#Headers],0))=0, INDEX(regions_lb[], MATCH($D168, regions_lb[[setting]:[setting]],0), MATCH(AP$139, regions_lb[#Headers],0)),INDEX(lmic_raw_lb[],MATCH($A168,lmic_raw_lb[[setting]:[setting]],0), MATCH(AP$139, lmic_raw_lb[#Headers],0)))</f>
        <v>2.0237176645869531E-2</v>
      </c>
      <c r="AQ168" s="98">
        <f>IF(INDEX(lmic_raw_lb[],MATCH($A168,lmic_raw_lb[[setting]:[setting]],0), MATCH(AQ$139, lmic_raw_lb[#Headers],0))=0, INDEX(regions_lb[], MATCH($D168, regions_lb[[setting]:[setting]],0), MATCH(AQ$139, regions_lb[#Headers],0)),INDEX(lmic_raw_lb[],MATCH($A168,lmic_raw_lb[[setting]:[setting]],0), MATCH(AQ$139, lmic_raw_lb[#Headers],0)))</f>
        <v>3.0272068325915807E-2</v>
      </c>
      <c r="AR168" s="98">
        <f>IF(INDEX(lmic_raw_lb[],MATCH($A168,lmic_raw_lb[[setting]:[setting]],0), MATCH(AR$139, lmic_raw_lb[#Headers],0))=0, INDEX(regions_lb[], MATCH($D168, regions_lb[[setting]:[setting]],0), MATCH(AR$139, regions_lb[#Headers],0)),INDEX(lmic_raw_lb[],MATCH($A168,lmic_raw_lb[[setting]:[setting]],0), MATCH(AR$139, lmic_raw_lb[#Headers],0)))</f>
        <v>4.6121614299446091E-2</v>
      </c>
      <c r="AS168" s="98">
        <f>IF(INDEX(lmic_raw_lb[],MATCH($A168,lmic_raw_lb[[setting]:[setting]],0), MATCH(AS$139, lmic_raw_lb[#Headers],0))=0, INDEX(regions_lb[], MATCH($D168, regions_lb[[setting]:[setting]],0), MATCH(AS$139, regions_lb[#Headers],0)),INDEX(lmic_raw_lb[],MATCH($A168,lmic_raw_lb[[setting]:[setting]],0), MATCH(AS$139, lmic_raw_lb[#Headers],0)))</f>
        <v>6.9698871849460775E-2</v>
      </c>
      <c r="AT168" s="98">
        <f>IF(INDEX(lmic_raw_lb[],MATCH($A168,lmic_raw_lb[[setting]:[setting]],0), MATCH(AT$139, lmic_raw_lb[#Headers],0))=0, INDEX(regions_lb[], MATCH($D168, regions_lb[[setting]:[setting]],0), MATCH(AT$139, regions_lb[#Headers],0)),INDEX(lmic_raw_lb[],MATCH($A168,lmic_raw_lb[[setting]:[setting]],0), MATCH(AT$139, lmic_raw_lb[#Headers],0)))</f>
        <v>0.10384638221937378</v>
      </c>
      <c r="AU168" s="98">
        <f>IF(INDEX(lmic_raw_lb[],MATCH($A168,lmic_raw_lb[[setting]:[setting]],0), MATCH(AU$139, lmic_raw_lb[#Headers],0))=0, INDEX(regions_lb[], MATCH($D168, regions_lb[[setting]:[setting]],0), MATCH(AU$139, regions_lb[#Headers],0)),INDEX(lmic_raw_lb[],MATCH($A168,lmic_raw_lb[[setting]:[setting]],0), MATCH(AU$139, lmic_raw_lb[#Headers],0)))</f>
        <v>0.14252044369482056</v>
      </c>
      <c r="AV168" s="98">
        <f>IF(INDEX(lmic_raw_lb[],MATCH($A168,lmic_raw_lb[[setting]:[setting]],0), MATCH(AV$139, lmic_raw_lb[#Headers],0))=0, INDEX(regions_lb[], MATCH($D168, regions_lb[[setting]:[setting]],0), MATCH(AV$139, regions_lb[#Headers],0)),INDEX(lmic_raw_lb[],MATCH($A168,lmic_raw_lb[[setting]:[setting]],0), MATCH(AV$139, lmic_raw_lb[#Headers],0)))</f>
        <v>0.17200254887311406</v>
      </c>
      <c r="AW168" s="98">
        <f>IF(INDEX(lmic_raw_lb[],MATCH($A168,lmic_raw_lb[[setting]:[setting]],0), MATCH(AW$139, lmic_raw_lb[#Headers],0))=0, INDEX(regions_lb[], MATCH($D168, regions_lb[[setting]:[setting]],0), MATCH(AW$139, regions_lb[#Headers],0)),INDEX(lmic_raw_lb[],MATCH($A168,lmic_raw_lb[[setting]:[setting]],0), MATCH(AW$139, lmic_raw_lb[#Headers],0)))</f>
        <v>0.18019895264774627</v>
      </c>
      <c r="AX168" s="98">
        <f>IF(INDEX(lmic_raw_lb[],MATCH($A168,lmic_raw_lb[[setting]:[setting]],0), MATCH(AX$139, lmic_raw_lb[#Headers],0))=0, INDEX(regions_lb[], MATCH($D168, regions_lb[[setting]:[setting]],0), MATCH(AX$139, regions_lb[#Headers],0)),INDEX(lmic_raw_lb[],MATCH($A168,lmic_raw_lb[[setting]:[setting]],0), MATCH(AX$139, lmic_raw_lb[#Headers],0)))</f>
        <v>60.949149999999996</v>
      </c>
      <c r="AY168" s="98" t="str">
        <f>IF(VLOOKUP(lmics_lb[[#This Row],[setting]],lmic_raw_lb[],11,FALSE)=0, "Yes", "No")</f>
        <v>Yes</v>
      </c>
    </row>
    <row r="169" spans="1:51" x14ac:dyDescent="0.25">
      <c r="A169" s="110" t="s">
        <v>254</v>
      </c>
      <c r="B169" s="104" t="s">
        <v>405</v>
      </c>
      <c r="C169" s="105">
        <v>188</v>
      </c>
      <c r="D169" s="84" t="s">
        <v>679</v>
      </c>
      <c r="E169" s="122" t="s">
        <v>604</v>
      </c>
      <c r="F169" s="94" t="s">
        <v>665</v>
      </c>
      <c r="G169" s="94" t="s">
        <v>676</v>
      </c>
      <c r="H169" s="94"/>
      <c r="I169" s="94"/>
      <c r="J169" s="94">
        <f>IF(INDEX(lmic_raw_lb[],MATCH($A169,lmic_raw_lb[[setting]:[setting]],0), MATCH(J$139, lmic_raw_lb[#Headers],0))=0, INDEX(regions_lb[], MATCH($D169, regions_lb[[setting]:[setting]],0), MATCH(J$139, regions_lb[#Headers],0)),INDEX(lmic_raw_lb[],MATCH($A169,lmic_raw_lb[[setting]:[setting]],0), MATCH(J$139, lmic_raw_lb[#Headers],0)))</f>
        <v>0.92909999999999993</v>
      </c>
      <c r="K169" s="94">
        <f>IF(INDEX(lmic_raw_lb[],MATCH($A169,lmic_raw_lb[[setting]:[setting]],0), MATCH(K$139, lmic_raw_lb[#Headers],0))=0, INDEX(regions_lb[], MATCH($D169, regions_lb[[setting]:[setting]],0), MATCH(K$139, regions_lb[#Headers],0)),INDEX(lmic_raw_lb[],MATCH($A169,lmic_raw_lb[[setting]:[setting]],0), MATCH(K$139, lmic_raw_lb[#Headers],0)))</f>
        <v>0.82650000000000001</v>
      </c>
      <c r="L169" s="94">
        <f>IF(INDEX(lmic_raw_lb[],MATCH($A169,lmic_raw_lb[[setting]:[setting]],0), MATCH(L$139, lmic_raw_lb[#Headers],0))=0, INDEX(regions_lb[], MATCH($D169, regions_lb[[setting]:[setting]],0), MATCH(L$139, regions_lb[#Headers],0)),INDEX(lmic_raw_lb[],MATCH($A169,lmic_raw_lb[[setting]:[setting]],0), MATCH(L$139, lmic_raw_lb[#Headers],0)))</f>
        <v>0.93099999999999994</v>
      </c>
      <c r="M169" s="94">
        <f>IF(INDEX(lmic_raw_lb[],MATCH($A169,lmic_raw_lb[[setting]:[setting]],0), MATCH(M$139, lmic_raw_lb[#Headers],0))=0, INDEX(regions_lb[], MATCH($D169, regions_lb[[setting]:[setting]],0), MATCH(M$139, regions_lb[#Headers],0)),INDEX(lmic_raw_lb[],MATCH($A169,lmic_raw_lb[[setting]:[setting]],0), MATCH(M$139, lmic_raw_lb[#Headers],0)))</f>
        <v>1.2999999999999999E-3</v>
      </c>
      <c r="N169" s="94">
        <f>IF(INDEX(lmic_raw_lb[],MATCH($A169,lmic_raw_lb[[setting]:[setting]],0), MATCH(N$139, lmic_raw_lb[#Headers],0))=0, INDEX(regions_lb[], MATCH($D169, regions_lb[[setting]:[setting]],0), MATCH(N$139, regions_lb[#Headers],0)),INDEX(lmic_raw_lb[],MATCH($A169,lmic_raw_lb[[setting]:[setting]],0), MATCH(N$139, lmic_raw_lb[#Headers],0)))</f>
        <v>0.16440000000000002</v>
      </c>
      <c r="O169" s="94">
        <f>IF(INDEX(lmic_raw_lb[],MATCH($A169,lmic_raw_lb[[setting]:[setting]],0), MATCH(O$139, lmic_raw_lb[#Headers],0))=0, INDEX(regions_lb[], MATCH($D169, regions_lb[[setting]:[setting]],0), MATCH(O$139, regions_lb[#Headers],0)),INDEX(lmic_raw_lb[],MATCH($A169,lmic_raw_lb[[setting]:[setting]],0), MATCH(O$139, lmic_raw_lb[#Headers],0)))</f>
        <v>0.7</v>
      </c>
      <c r="P169" s="94">
        <f>IF(INDEX(lmic_raw_lb[],MATCH($A169,lmic_raw_lb[[setting]:[setting]],0), MATCH(P$139, lmic_raw_lb[#Headers],0))=0, INDEX(regions_lb[], MATCH($D169, regions_lb[[setting]:[setting]],0), MATCH(P$139, regions_lb[#Headers],0)),INDEX(lmic_raw_lb[],MATCH($A169,lmic_raw_lb[[setting]:[setting]],0), MATCH(P$139, lmic_raw_lb[#Headers],0)))</f>
        <v>0.05</v>
      </c>
      <c r="Q169" s="94">
        <f>IF(INDEX(lmic_raw_lb[],MATCH($A169,lmic_raw_lb[[setting]:[setting]],0), MATCH(Q$139, lmic_raw_lb[#Headers],0))=0, INDEX(regions_lb[], MATCH($D169, regions_lb[[setting]:[setting]],0), MATCH(Q$139, regions_lb[#Headers],0)),INDEX(lmic_raw_lb[],MATCH($A169,lmic_raw_lb[[setting]:[setting]],0), MATCH(Q$139, lmic_raw_lb[#Headers],0)))</f>
        <v>13.225893187784514</v>
      </c>
      <c r="R169" s="94">
        <f>IF(INDEX(lmic_raw_lb[],MATCH($A169,lmic_raw_lb[[setting]:[setting]],0), MATCH(R$139, lmic_raw_lb[#Headers],0))=0, INDEX(regions_lb[], MATCH($D169, regions_lb[[setting]:[setting]],0), MATCH(R$139, regions_lb[#Headers],0)),INDEX(lmic_raw_lb[],MATCH($A169,lmic_raw_lb[[setting]:[setting]],0), MATCH(R$139, lmic_raw_lb[#Headers],0)))</f>
        <v>82.539704999999998</v>
      </c>
      <c r="S169" s="94">
        <f>IF(INDEX(lmic_raw_lb[],MATCH($A169,lmic_raw_lb[[setting]:[setting]],0), MATCH(S$139, lmic_raw_lb[#Headers],0))=0, INDEX(regions_lb[], MATCH($D169, regions_lb[[setting]:[setting]],0), MATCH(S$139, regions_lb[#Headers],0)),INDEX(lmic_raw_lb[],MATCH($A169,lmic_raw_lb[[setting]:[setting]],0), MATCH(S$139, lmic_raw_lb[#Headers],0)))</f>
        <v>127.894605</v>
      </c>
      <c r="T169" s="94">
        <f>IF(INDEX(lmic_raw_lb[],MATCH($A169,lmic_raw_lb[[setting]:[setting]],0), MATCH(T$139, lmic_raw_lb[#Headers],0))=0, INDEX(regions_lb[], MATCH($D169, regions_lb[[setting]:[setting]],0), MATCH(T$139, regions_lb[#Headers],0)),INDEX(lmic_raw_lb[],MATCH($A169,lmic_raw_lb[[setting]:[setting]],0), MATCH(T$139, lmic_raw_lb[#Headers],0)))</f>
        <v>127.894605</v>
      </c>
      <c r="U169" s="94">
        <f>IF(INDEX(lmic_raw_lb[],MATCH($A169,lmic_raw_lb[[setting]:[setting]],0), MATCH(U$139, lmic_raw_lb[#Headers],0))=0, INDEX(regions_lb[], MATCH($D169, regions_lb[[setting]:[setting]],0), MATCH(U$139, regions_lb[#Headers],0)),INDEX(lmic_raw_lb[],MATCH($A169,lmic_raw_lb[[setting]:[setting]],0), MATCH(U$139, lmic_raw_lb[#Headers],0)))</f>
        <v>127.894605</v>
      </c>
      <c r="V169" s="94">
        <f>IF(INDEX(lmic_raw_lb[],MATCH($A169,lmic_raw_lb[[setting]:[setting]],0), MATCH(V$139, lmic_raw_lb[#Headers],0))=0, INDEX(regions_lb[], MATCH($D169, regions_lb[[setting]:[setting]],0), MATCH(V$139, regions_lb[#Headers],0)),INDEX(lmic_raw_lb[],MATCH($A169,lmic_raw_lb[[setting]:[setting]],0), MATCH(V$139, lmic_raw_lb[#Headers],0)))</f>
        <v>2.9554393651742932</v>
      </c>
      <c r="W169" s="94">
        <f>IF(INDEX(lmic_raw_lb[],MATCH($A169,lmic_raw_lb[[setting]:[setting]],0), MATCH(W$139, lmic_raw_lb[#Headers],0))=0, INDEX(regions_lb[], MATCH($D169, regions_lb[[setting]:[setting]],0), MATCH(W$139, regions_lb[#Headers],0)),INDEX(lmic_raw_lb[],MATCH($A169,lmic_raw_lb[[setting]:[setting]],0), MATCH(W$139, lmic_raw_lb[#Headers],0)))</f>
        <v>2.976149365174293</v>
      </c>
      <c r="X169" s="94">
        <f>IF(INDEX(lmic_raw_lb[],MATCH($A169,lmic_raw_lb[[setting]:[setting]],0), MATCH(X$139, lmic_raw_lb[#Headers],0))=0, INDEX(regions_lb[], MATCH($D169, regions_lb[[setting]:[setting]],0), MATCH(X$139, regions_lb[#Headers],0)),INDEX(lmic_raw_lb[],MATCH($A169,lmic_raw_lb[[setting]:[setting]],0), MATCH(X$139, lmic_raw_lb[#Headers],0)))</f>
        <v>2.5773513953218501</v>
      </c>
      <c r="Y169" s="94">
        <f>IF(INDEX(lmic_raw_lb[],MATCH($A169,lmic_raw_lb[[setting]:[setting]],0), MATCH(Y$139, lmic_raw_lb[#Headers],0))=0, INDEX(regions_lb[], MATCH($D169, regions_lb[[setting]:[setting]],0), MATCH(Y$139, regions_lb[#Headers],0)),INDEX(lmic_raw_lb[],MATCH($A169,lmic_raw_lb[[setting]:[setting]],0), MATCH(Y$139, lmic_raw_lb[#Headers],0)))</f>
        <v>2.5980613953218499</v>
      </c>
      <c r="Z169" s="94">
        <f>IF(INDEX(lmic_raw_lb[],MATCH($A169,lmic_raw_lb[[setting]:[setting]],0), MATCH(Z$139, lmic_raw_lb[#Headers],0))=0, INDEX(regions_lb[], MATCH($D169, regions_lb[[setting]:[setting]],0), MATCH(Z$139, regions_lb[#Headers],0)),INDEX(lmic_raw_lb[],MATCH($A169,lmic_raw_lb[[setting]:[setting]],0), MATCH(Z$139, lmic_raw_lb[#Headers],0)))</f>
        <v>2.5873916009682012</v>
      </c>
      <c r="AA169" s="94">
        <f>IF(INDEX(lmic_raw_lb[],MATCH($A169,lmic_raw_lb[[setting]:[setting]],0), MATCH(AA$139, lmic_raw_lb[#Headers],0))=0, INDEX(regions_lb[], MATCH($D169, regions_lb[[setting]:[setting]],0), MATCH(AA$139, regions_lb[#Headers],0)),INDEX(lmic_raw_lb[],MATCH($A169,lmic_raw_lb[[setting]:[setting]],0), MATCH(AA$139, lmic_raw_lb[#Headers],0)))</f>
        <v>3.1721185982038373</v>
      </c>
      <c r="AB169" s="94">
        <f>IF(INDEX(lmic_raw_lb[],MATCH($A169,lmic_raw_lb[[setting]:[setting]],0), MATCH(AB$139, lmic_raw_lb[#Headers],0))=0, INDEX(regions_lb[], MATCH($D169, regions_lb[[setting]:[setting]],0), MATCH(AB$139, regions_lb[#Headers],0)),INDEX(lmic_raw_lb[],MATCH($A169,lmic_raw_lb[[setting]:[setting]],0), MATCH(AB$139, lmic_raw_lb[#Headers],0)))</f>
        <v>3.1928285982038371</v>
      </c>
      <c r="AC169" s="94">
        <f>IF(INDEX(lmic_raw_lb[],MATCH($A169,lmic_raw_lb[[setting]:[setting]],0), MATCH(AC$139, lmic_raw_lb[#Headers],0))=0, INDEX(regions_lb[], MATCH($D169, regions_lb[[setting]:[setting]],0), MATCH(AC$139, regions_lb[#Headers],0)),INDEX(lmic_raw_lb[],MATCH($A169,lmic_raw_lb[[setting]:[setting]],0), MATCH(AC$139, lmic_raw_lb[#Headers],0)))</f>
        <v>6.9522234999999481E-3</v>
      </c>
      <c r="AD169" s="94">
        <f>IF(INDEX(lmic_raw_lb[],MATCH($A169,lmic_raw_lb[[setting]:[setting]],0), MATCH(AD$139, lmic_raw_lb[#Headers],0))=0, INDEX(regions_lb[], MATCH($D169, regions_lb[[setting]:[setting]],0), MATCH(AD$139, regions_lb[#Headers],0)),INDEX(lmic_raw_lb[],MATCH($A169,lmic_raw_lb[[setting]:[setting]],0), MATCH(AD$139, lmic_raw_lb[#Headers],0)))</f>
        <v>4.3835304960291877E-4</v>
      </c>
      <c r="AE169" s="94">
        <f>IF(INDEX(lmic_raw_lb[],MATCH($A169,lmic_raw_lb[[setting]:[setting]],0), MATCH(AE$139, lmic_raw_lb[#Headers],0))=0, INDEX(regions_lb[], MATCH($D169, regions_lb[[setting]:[setting]],0), MATCH(AE$139, regions_lb[#Headers],0)),INDEX(lmic_raw_lb[],MATCH($A169,lmic_raw_lb[[setting]:[setting]],0), MATCH(AE$139, lmic_raw_lb[#Headers],0)))</f>
        <v>1.7972968412321126E-4</v>
      </c>
      <c r="AF169" s="94">
        <f>IF(INDEX(lmic_raw_lb[],MATCH($A169,lmic_raw_lb[[setting]:[setting]],0), MATCH(AF$139, lmic_raw_lb[#Headers],0))=0, INDEX(regions_lb[], MATCH($D169, regions_lb[[setting]:[setting]],0), MATCH(AF$139, regions_lb[#Headers],0)),INDEX(lmic_raw_lb[],MATCH($A169,lmic_raw_lb[[setting]:[setting]],0), MATCH(AF$139, lmic_raw_lb[#Headers],0)))</f>
        <v>2.3971101119363319E-4</v>
      </c>
      <c r="AG169" s="94">
        <f>IF(INDEX(lmic_raw_lb[],MATCH($A169,lmic_raw_lb[[setting]:[setting]],0), MATCH(AG$139, lmic_raw_lb[#Headers],0))=0, INDEX(regions_lb[], MATCH($D169, regions_lb[[setting]:[setting]],0), MATCH(AG$139, regions_lb[#Headers],0)),INDEX(lmic_raw_lb[],MATCH($A169,lmic_raw_lb[[setting]:[setting]],0), MATCH(AG$139, lmic_raw_lb[#Headers],0)))</f>
        <v>4.9563831365551992E-4</v>
      </c>
      <c r="AH169" s="94">
        <f>IF(INDEX(lmic_raw_lb[],MATCH($A169,lmic_raw_lb[[setting]:[setting]],0), MATCH(AH$139, lmic_raw_lb[#Headers],0))=0, INDEX(regions_lb[], MATCH($D169, regions_lb[[setting]:[setting]],0), MATCH(AH$139, regions_lb[#Headers],0)),INDEX(lmic_raw_lb[],MATCH($A169,lmic_raw_lb[[setting]:[setting]],0), MATCH(AH$139, lmic_raw_lb[#Headers],0)))</f>
        <v>7.5132014811349075E-4</v>
      </c>
      <c r="AI169" s="94">
        <f>IF(INDEX(lmic_raw_lb[],MATCH($A169,lmic_raw_lb[[setting]:[setting]],0), MATCH(AI$139, lmic_raw_lb[#Headers],0))=0, INDEX(regions_lb[], MATCH($D169, regions_lb[[setting]:[setting]],0), MATCH(AI$139, regions_lb[#Headers],0)),INDEX(lmic_raw_lb[],MATCH($A169,lmic_raw_lb[[setting]:[setting]],0), MATCH(AI$139, lmic_raw_lb[#Headers],0)))</f>
        <v>8.7351993535556992E-4</v>
      </c>
      <c r="AJ169" s="94">
        <f>IF(INDEX(lmic_raw_lb[],MATCH($A169,lmic_raw_lb[[setting]:[setting]],0), MATCH(AJ$139, lmic_raw_lb[#Headers],0))=0, INDEX(regions_lb[], MATCH($D169, regions_lb[[setting]:[setting]],0), MATCH(AJ$139, regions_lb[#Headers],0)),INDEX(lmic_raw_lb[],MATCH($A169,lmic_raw_lb[[setting]:[setting]],0), MATCH(AJ$139, lmic_raw_lb[#Headers],0)))</f>
        <v>1.0313937663007967E-3</v>
      </c>
      <c r="AK169" s="94">
        <f>IF(INDEX(lmic_raw_lb[],MATCH($A169,lmic_raw_lb[[setting]:[setting]],0), MATCH(AK$139, lmic_raw_lb[#Headers],0))=0, INDEX(regions_lb[], MATCH($D169, regions_lb[[setting]:[setting]],0), MATCH(AK$139, regions_lb[#Headers],0)),INDEX(lmic_raw_lb[],MATCH($A169,lmic_raw_lb[[setting]:[setting]],0), MATCH(AK$139, lmic_raw_lb[#Headers],0)))</f>
        <v>1.2653641276133489E-3</v>
      </c>
      <c r="AL169" s="94">
        <f>IF(INDEX(lmic_raw_lb[],MATCH($A169,lmic_raw_lb[[setting]:[setting]],0), MATCH(AL$139, lmic_raw_lb[#Headers],0))=0, INDEX(regions_lb[], MATCH($D169, regions_lb[[setting]:[setting]],0), MATCH(AL$139, regions_lb[#Headers],0)),INDEX(lmic_raw_lb[],MATCH($A169,lmic_raw_lb[[setting]:[setting]],0), MATCH(AL$139, lmic_raw_lb[#Headers],0)))</f>
        <v>1.6609837189487829E-3</v>
      </c>
      <c r="AM169" s="94">
        <f>IF(INDEX(lmic_raw_lb[],MATCH($A169,lmic_raw_lb[[setting]:[setting]],0), MATCH(AM$139, lmic_raw_lb[#Headers],0))=0, INDEX(regions_lb[], MATCH($D169, regions_lb[[setting]:[setting]],0), MATCH(AM$139, regions_lb[#Headers],0)),INDEX(lmic_raw_lb[],MATCH($A169,lmic_raw_lb[[setting]:[setting]],0), MATCH(AM$139, lmic_raw_lb[#Headers],0)))</f>
        <v>2.3452975809470184E-3</v>
      </c>
      <c r="AN169" s="94">
        <f>IF(INDEX(lmic_raw_lb[],MATCH($A169,lmic_raw_lb[[setting]:[setting]],0), MATCH(AN$139, lmic_raw_lb[#Headers],0))=0, INDEX(regions_lb[], MATCH($D169, regions_lb[[setting]:[setting]],0), MATCH(AN$139, regions_lb[#Headers],0)),INDEX(lmic_raw_lb[],MATCH($A169,lmic_raw_lb[[setting]:[setting]],0), MATCH(AN$139, lmic_raw_lb[#Headers],0)))</f>
        <v>3.4384467982634275E-3</v>
      </c>
      <c r="AO169" s="94">
        <f>IF(INDEX(lmic_raw_lb[],MATCH($A169,lmic_raw_lb[[setting]:[setting]],0), MATCH(AO$139, lmic_raw_lb[#Headers],0))=0, INDEX(regions_lb[], MATCH($D169, regions_lb[[setting]:[setting]],0), MATCH(AO$139, regions_lb[#Headers],0)),INDEX(lmic_raw_lb[],MATCH($A169,lmic_raw_lb[[setting]:[setting]],0), MATCH(AO$139, lmic_raw_lb[#Headers],0)))</f>
        <v>5.2165397122086029E-3</v>
      </c>
      <c r="AP169" s="94">
        <f>IF(INDEX(lmic_raw_lb[],MATCH($A169,lmic_raw_lb[[setting]:[setting]],0), MATCH(AP$139, lmic_raw_lb[#Headers],0))=0, INDEX(regions_lb[], MATCH($D169, regions_lb[[setting]:[setting]],0), MATCH(AP$139, regions_lb[#Headers],0)),INDEX(lmic_raw_lb[],MATCH($A169,lmic_raw_lb[[setting]:[setting]],0), MATCH(AP$139, lmic_raw_lb[#Headers],0)))</f>
        <v>8.0341507205963746E-3</v>
      </c>
      <c r="AQ169" s="94">
        <f>IF(INDEX(lmic_raw_lb[],MATCH($A169,lmic_raw_lb[[setting]:[setting]],0), MATCH(AQ$139, lmic_raw_lb[#Headers],0))=0, INDEX(regions_lb[], MATCH($D169, regions_lb[[setting]:[setting]],0), MATCH(AQ$139, regions_lb[#Headers],0)),INDEX(lmic_raw_lb[],MATCH($A169,lmic_raw_lb[[setting]:[setting]],0), MATCH(AQ$139, lmic_raw_lb[#Headers],0)))</f>
        <v>1.2579823792196441E-2</v>
      </c>
      <c r="AR169" s="94">
        <f>IF(INDEX(lmic_raw_lb[],MATCH($A169,lmic_raw_lb[[setting]:[setting]],0), MATCH(AR$139, lmic_raw_lb[#Headers],0))=0, INDEX(regions_lb[], MATCH($D169, regions_lb[[setting]:[setting]],0), MATCH(AR$139, regions_lb[#Headers],0)),INDEX(lmic_raw_lb[],MATCH($A169,lmic_raw_lb[[setting]:[setting]],0), MATCH(AR$139, lmic_raw_lb[#Headers],0)))</f>
        <v>1.9461975891206643E-2</v>
      </c>
      <c r="AS169" s="94">
        <f>IF(INDEX(lmic_raw_lb[],MATCH($A169,lmic_raw_lb[[setting]:[setting]],0), MATCH(AS$139, lmic_raw_lb[#Headers],0))=0, INDEX(regions_lb[], MATCH($D169, regions_lb[[setting]:[setting]],0), MATCH(AS$139, regions_lb[#Headers],0)),INDEX(lmic_raw_lb[],MATCH($A169,lmic_raw_lb[[setting]:[setting]],0), MATCH(AS$139, lmic_raw_lb[#Headers],0)))</f>
        <v>3.0850476321261287E-2</v>
      </c>
      <c r="AT169" s="94">
        <f>IF(INDEX(lmic_raw_lb[],MATCH($A169,lmic_raw_lb[[setting]:[setting]],0), MATCH(AT$139, lmic_raw_lb[#Headers],0))=0, INDEX(regions_lb[], MATCH($D169, regions_lb[[setting]:[setting]],0), MATCH(AT$139, regions_lb[#Headers],0)),INDEX(lmic_raw_lb[],MATCH($A169,lmic_raw_lb[[setting]:[setting]],0), MATCH(AT$139, lmic_raw_lb[#Headers],0)))</f>
        <v>4.7928361100921107E-2</v>
      </c>
      <c r="AU169" s="94">
        <f>IF(INDEX(lmic_raw_lb[],MATCH($A169,lmic_raw_lb[[setting]:[setting]],0), MATCH(AU$139, lmic_raw_lb[#Headers],0))=0, INDEX(regions_lb[], MATCH($D169, regions_lb[[setting]:[setting]],0), MATCH(AU$139, regions_lb[#Headers],0)),INDEX(lmic_raw_lb[],MATCH($A169,lmic_raw_lb[[setting]:[setting]],0), MATCH(AU$139, lmic_raw_lb[#Headers],0)))</f>
        <v>7.1354030290854353E-2</v>
      </c>
      <c r="AV169" s="94">
        <f>IF(INDEX(lmic_raw_lb[],MATCH($A169,lmic_raw_lb[[setting]:[setting]],0), MATCH(AV$139, lmic_raw_lb[#Headers],0))=0, INDEX(regions_lb[], MATCH($D169, regions_lb[[setting]:[setting]],0), MATCH(AV$139, regions_lb[#Headers],0)),INDEX(lmic_raw_lb[],MATCH($A169,lmic_raw_lb[[setting]:[setting]],0), MATCH(AV$139, lmic_raw_lb[#Headers],0)))</f>
        <v>0.10130551236350765</v>
      </c>
      <c r="AW169" s="94">
        <f>IF(INDEX(lmic_raw_lb[],MATCH($A169,lmic_raw_lb[[setting]:[setting]],0), MATCH(AW$139, lmic_raw_lb[#Headers],0))=0, INDEX(regions_lb[], MATCH($D169, regions_lb[[setting]:[setting]],0), MATCH(AW$139, regions_lb[#Headers],0)),INDEX(lmic_raw_lb[],MATCH($A169,lmic_raw_lb[[setting]:[setting]],0), MATCH(AW$139, lmic_raw_lb[#Headers],0)))</f>
        <v>0.13459442558339335</v>
      </c>
      <c r="AX169" s="94">
        <f>IF(INDEX(lmic_raw_lb[],MATCH($A169,lmic_raw_lb[[setting]:[setting]],0), MATCH(AX$139, lmic_raw_lb[#Headers],0))=0, INDEX(regions_lb[], MATCH($D169, regions_lb[[setting]:[setting]],0), MATCH(AX$139, regions_lb[#Headers],0)),INDEX(lmic_raw_lb[],MATCH($A169,lmic_raw_lb[[setting]:[setting]],0), MATCH(AX$139, lmic_raw_lb[#Headers],0)))</f>
        <v>76.002849999999995</v>
      </c>
      <c r="AY169" s="94" t="str">
        <f>IF(VLOOKUP(lmics_lb[[#This Row],[setting]],lmic_raw_lb[],11,FALSE)=0, "Yes", "No")</f>
        <v>No</v>
      </c>
    </row>
    <row r="170" spans="1:51" x14ac:dyDescent="0.25">
      <c r="A170" s="109" t="s">
        <v>141</v>
      </c>
      <c r="B170" s="101" t="s">
        <v>406</v>
      </c>
      <c r="C170" s="102">
        <v>384</v>
      </c>
      <c r="D170" s="82" t="s">
        <v>677</v>
      </c>
      <c r="E170" s="121" t="s">
        <v>591</v>
      </c>
      <c r="F170" s="98" t="s">
        <v>667</v>
      </c>
      <c r="G170" s="98" t="s">
        <v>678</v>
      </c>
      <c r="H170" s="98"/>
      <c r="I170" s="98"/>
      <c r="J170" s="98">
        <f>IF(INDEX(lmic_raw_lb[],MATCH($A170,lmic_raw_lb[[setting]:[setting]],0), MATCH(J$139, lmic_raw_lb[#Headers],0))=0, INDEX(regions_lb[], MATCH($D170, regions_lb[[setting]:[setting]],0), MATCH(J$139, regions_lb[#Headers],0)),INDEX(lmic_raw_lb[],MATCH($A170,lmic_raw_lb[[setting]:[setting]],0), MATCH(J$139, lmic_raw_lb[#Headers],0)))</f>
        <v>0.66309999999999991</v>
      </c>
      <c r="K170" s="98">
        <f>IF(INDEX(lmic_raw_lb[],MATCH($A170,lmic_raw_lb[[setting]:[setting]],0), MATCH(K$139, lmic_raw_lb[#Headers],0))=0, INDEX(regions_lb[], MATCH($D170, regions_lb[[setting]:[setting]],0), MATCH(K$139, regions_lb[#Headers],0)),INDEX(lmic_raw_lb[],MATCH($A170,lmic_raw_lb[[setting]:[setting]],0), MATCH(K$139, lmic_raw_lb[#Headers],0)))</f>
        <v>8.5499999999999993E-2</v>
      </c>
      <c r="L170" s="98">
        <f>IF(INDEX(lmic_raw_lb[],MATCH($A170,lmic_raw_lb[[setting]:[setting]],0), MATCH(L$139, lmic_raw_lb[#Headers],0))=0, INDEX(regions_lb[], MATCH($D170, regions_lb[[setting]:[setting]],0), MATCH(L$139, regions_lb[#Headers],0)),INDEX(lmic_raw_lb[],MATCH($A170,lmic_raw_lb[[setting]:[setting]],0), MATCH(L$139, lmic_raw_lb[#Headers],0)))</f>
        <v>0.79799999999999993</v>
      </c>
      <c r="M170" s="98">
        <f>IF(INDEX(lmic_raw_lb[],MATCH($A170,lmic_raw_lb[[setting]:[setting]],0), MATCH(M$139, lmic_raw_lb[#Headers],0))=0, INDEX(regions_lb[], MATCH($D170, regions_lb[[setting]:[setting]],0), MATCH(M$139, regions_lb[#Headers],0)),INDEX(lmic_raw_lb[],MATCH($A170,lmic_raw_lb[[setting]:[setting]],0), MATCH(M$139, lmic_raw_lb[#Headers],0)))</f>
        <v>4.5899999999999996E-2</v>
      </c>
      <c r="N170" s="98">
        <f>IF(INDEX(lmic_raw_lb[],MATCH($A170,lmic_raw_lb[[setting]:[setting]],0), MATCH(N$139, lmic_raw_lb[#Headers],0))=0, INDEX(regions_lb[], MATCH($D170, regions_lb[[setting]:[setting]],0), MATCH(N$139, regions_lb[#Headers],0)),INDEX(lmic_raw_lb[],MATCH($A170,lmic_raw_lb[[setting]:[setting]],0), MATCH(N$139, lmic_raw_lb[#Headers],0)))</f>
        <v>0.155</v>
      </c>
      <c r="O170" s="98">
        <f>IF(INDEX(lmic_raw_lb[],MATCH($A170,lmic_raw_lb[[setting]:[setting]],0), MATCH(O$139, lmic_raw_lb[#Headers],0))=0, INDEX(regions_lb[], MATCH($D170, regions_lb[[setting]:[setting]],0), MATCH(O$139, regions_lb[#Headers],0)),INDEX(lmic_raw_lb[],MATCH($A170,lmic_raw_lb[[setting]:[setting]],0), MATCH(O$139, lmic_raw_lb[#Headers],0)))</f>
        <v>7.0000000000000007E-2</v>
      </c>
      <c r="P170" s="98">
        <f>IF(INDEX(lmic_raw_lb[],MATCH($A170,lmic_raw_lb[[setting]:[setting]],0), MATCH(P$139, lmic_raw_lb[#Headers],0))=0, INDEX(regions_lb[], MATCH($D170, regions_lb[[setting]:[setting]],0), MATCH(P$139, regions_lb[#Headers],0)),INDEX(lmic_raw_lb[],MATCH($A170,lmic_raw_lb[[setting]:[setting]],0), MATCH(P$139, lmic_raw_lb[#Headers],0)))</f>
        <v>1E-3</v>
      </c>
      <c r="Q170" s="98">
        <f>IF(INDEX(lmic_raw_lb[],MATCH($A170,lmic_raw_lb[[setting]:[setting]],0), MATCH(Q$139, lmic_raw_lb[#Headers],0))=0, INDEX(regions_lb[], MATCH($D170, regions_lb[[setting]:[setting]],0), MATCH(Q$139, regions_lb[#Headers],0)),INDEX(lmic_raw_lb[],MATCH($A170,lmic_raw_lb[[setting]:[setting]],0), MATCH(Q$139, lmic_raw_lb[#Headers],0)))</f>
        <v>3.4273988300789453</v>
      </c>
      <c r="R170" s="98">
        <f>IF(INDEX(lmic_raw_lb[],MATCH($A170,lmic_raw_lb[[setting]:[setting]],0), MATCH(R$139, lmic_raw_lb[#Headers],0))=0, INDEX(regions_lb[], MATCH($D170, regions_lb[[setting]:[setting]],0), MATCH(R$139, regions_lb[#Headers],0)),INDEX(lmic_raw_lb[],MATCH($A170,lmic_raw_lb[[setting]:[setting]],0), MATCH(R$139, lmic_raw_lb[#Headers],0)))</f>
        <v>28.424474999999997</v>
      </c>
      <c r="S170" s="98">
        <f>IF(INDEX(lmic_raw_lb[],MATCH($A170,lmic_raw_lb[[setting]:[setting]],0), MATCH(S$139, lmic_raw_lb[#Headers],0))=0, INDEX(regions_lb[], MATCH($D170, regions_lb[[setting]:[setting]],0), MATCH(S$139, regions_lb[#Headers],0)),INDEX(lmic_raw_lb[],MATCH($A170,lmic_raw_lb[[setting]:[setting]],0), MATCH(S$139, lmic_raw_lb[#Headers],0)))</f>
        <v>73.779375000000002</v>
      </c>
      <c r="T170" s="98">
        <f>IF(INDEX(lmic_raw_lb[],MATCH($A170,lmic_raw_lb[[setting]:[setting]],0), MATCH(T$139, lmic_raw_lb[#Headers],0))=0, INDEX(regions_lb[], MATCH($D170, regions_lb[[setting]:[setting]],0), MATCH(T$139, regions_lb[#Headers],0)),INDEX(lmic_raw_lb[],MATCH($A170,lmic_raw_lb[[setting]:[setting]],0), MATCH(T$139, lmic_raw_lb[#Headers],0)))</f>
        <v>73.779375000000002</v>
      </c>
      <c r="U170" s="98">
        <f>IF(INDEX(lmic_raw_lb[],MATCH($A170,lmic_raw_lb[[setting]:[setting]],0), MATCH(U$139, lmic_raw_lb[#Headers],0))=0, INDEX(regions_lb[], MATCH($D170, regions_lb[[setting]:[setting]],0), MATCH(U$139, regions_lb[#Headers],0)),INDEX(lmic_raw_lb[],MATCH($A170,lmic_raw_lb[[setting]:[setting]],0), MATCH(U$139, lmic_raw_lb[#Headers],0)))</f>
        <v>73.779375000000002</v>
      </c>
      <c r="V170" s="98">
        <f>IF(INDEX(lmic_raw_lb[],MATCH($A170,lmic_raw_lb[[setting]:[setting]],0), MATCH(V$139, lmic_raw_lb[#Headers],0))=0, INDEX(regions_lb[], MATCH($D170, regions_lb[[setting]:[setting]],0), MATCH(V$139, regions_lb[#Headers],0)),INDEX(lmic_raw_lb[],MATCH($A170,lmic_raw_lb[[setting]:[setting]],0), MATCH(V$139, lmic_raw_lb[#Headers],0)))</f>
        <v>1.0448054572151093</v>
      </c>
      <c r="W170" s="98">
        <f>IF(INDEX(lmic_raw_lb[],MATCH($A170,lmic_raw_lb[[setting]:[setting]],0), MATCH(W$139, lmic_raw_lb[#Headers],0))=0, INDEX(regions_lb[], MATCH($D170, regions_lb[[setting]:[setting]],0), MATCH(W$139, regions_lb[#Headers],0)),INDEX(lmic_raw_lb[],MATCH($A170,lmic_raw_lb[[setting]:[setting]],0), MATCH(W$139, lmic_raw_lb[#Headers],0)))</f>
        <v>5.6320704572151099</v>
      </c>
      <c r="X170" s="98">
        <f>IF(INDEX(lmic_raw_lb[],MATCH($A170,lmic_raw_lb[[setting]:[setting]],0), MATCH(X$139, lmic_raw_lb[#Headers],0))=0, INDEX(regions_lb[], MATCH($D170, regions_lb[[setting]:[setting]],0), MATCH(X$139, regions_lb[#Headers],0)),INDEX(lmic_raw_lb[],MATCH($A170,lmic_raw_lb[[setting]:[setting]],0), MATCH(X$139, lmic_raw_lb[#Headers],0)))</f>
        <v>0.67731380240468342</v>
      </c>
      <c r="Y170" s="98">
        <f>IF(INDEX(lmic_raw_lb[],MATCH($A170,lmic_raw_lb[[setting]:[setting]],0), MATCH(Y$139, lmic_raw_lb[#Headers],0))=0, INDEX(regions_lb[], MATCH($D170, regions_lb[[setting]:[setting]],0), MATCH(Y$139, regions_lb[#Headers],0)),INDEX(lmic_raw_lb[],MATCH($A170,lmic_raw_lb[[setting]:[setting]],0), MATCH(Y$139, lmic_raw_lb[#Headers],0)))</f>
        <v>5.2645788024046833</v>
      </c>
      <c r="Z170" s="98">
        <f>IF(INDEX(lmic_raw_lb[],MATCH($A170,lmic_raw_lb[[setting]:[setting]],0), MATCH(Z$139, lmic_raw_lb[#Headers],0))=0, INDEX(regions_lb[], MATCH($D170, regions_lb[[setting]:[setting]],0), MATCH(Z$139, regions_lb[#Headers],0)),INDEX(lmic_raw_lb[],MATCH($A170,lmic_raw_lb[[setting]:[setting]],0), MATCH(Z$139, lmic_raw_lb[#Headers],0)))</f>
        <v>5.2609804319982683</v>
      </c>
      <c r="AA170" s="98">
        <f>IF(INDEX(lmic_raw_lb[],MATCH($A170,lmic_raw_lb[[setting]:[setting]],0), MATCH(AA$139, lmic_raw_lb[#Headers],0))=0, INDEX(regions_lb[], MATCH($D170, regions_lb[[setting]:[setting]],0), MATCH(AA$139, regions_lb[#Headers],0)),INDEX(lmic_raw_lb[],MATCH($A170,lmic_raw_lb[[setting]:[setting]],0), MATCH(AA$139, lmic_raw_lb[#Headers],0)))</f>
        <v>1.2569434123695042</v>
      </c>
      <c r="AB170" s="98">
        <f>IF(INDEX(lmic_raw_lb[],MATCH($A170,lmic_raw_lb[[setting]:[setting]],0), MATCH(AB$139, lmic_raw_lb[#Headers],0))=0, INDEX(regions_lb[], MATCH($D170, regions_lb[[setting]:[setting]],0), MATCH(AB$139, regions_lb[#Headers],0)),INDEX(lmic_raw_lb[],MATCH($A170,lmic_raw_lb[[setting]:[setting]],0), MATCH(AB$139, lmic_raw_lb[#Headers],0)))</f>
        <v>5.8442084123695048</v>
      </c>
      <c r="AC170" s="98">
        <f>IF(INDEX(lmic_raw_lb[],MATCH($A170,lmic_raw_lb[[setting]:[setting]],0), MATCH(AC$139, lmic_raw_lb[#Headers],0))=0, INDEX(regions_lb[], MATCH($D170, regions_lb[[setting]:[setting]],0), MATCH(AC$139, regions_lb[#Headers],0)),INDEX(lmic_raw_lb[],MATCH($A170,lmic_raw_lb[[setting]:[setting]],0), MATCH(AC$139, lmic_raw_lb[#Headers],0)))</f>
        <v>5.7436809999999956E-2</v>
      </c>
      <c r="AD170" s="98">
        <f>IF(INDEX(lmic_raw_lb[],MATCH($A170,lmic_raw_lb[[setting]:[setting]],0), MATCH(AD$139, lmic_raw_lb[#Headers],0))=0, INDEX(regions_lb[], MATCH($D170, regions_lb[[setting]:[setting]],0), MATCH(AD$139, regions_lb[#Headers],0)),INDEX(lmic_raw_lb[],MATCH($A170,lmic_raw_lb[[setting]:[setting]],0), MATCH(AD$139, lmic_raw_lb[#Headers],0)))</f>
        <v>6.7311622216910099E-3</v>
      </c>
      <c r="AE170" s="98">
        <f>IF(INDEX(lmic_raw_lb[],MATCH($A170,lmic_raw_lb[[setting]:[setting]],0), MATCH(AE$139, lmic_raw_lb[#Headers],0))=0, INDEX(regions_lb[], MATCH($D170, regions_lb[[setting]:[setting]],0), MATCH(AE$139, regions_lb[#Headers],0)),INDEX(lmic_raw_lb[],MATCH($A170,lmic_raw_lb[[setting]:[setting]],0), MATCH(AE$139, lmic_raw_lb[#Headers],0)))</f>
        <v>2.4544830169830208E-3</v>
      </c>
      <c r="AF170" s="98">
        <f>IF(INDEX(lmic_raw_lb[],MATCH($A170,lmic_raw_lb[[setting]:[setting]],0), MATCH(AF$139, lmic_raw_lb[#Headers],0))=0, INDEX(regions_lb[], MATCH($D170, regions_lb[[setting]:[setting]],0), MATCH(AF$139, regions_lb[#Headers],0)),INDEX(lmic_raw_lb[],MATCH($A170,lmic_raw_lb[[setting]:[setting]],0), MATCH(AF$139, lmic_raw_lb[#Headers],0)))</f>
        <v>1.7669548972848977E-3</v>
      </c>
      <c r="AG170" s="98">
        <f>IF(INDEX(lmic_raw_lb[],MATCH($A170,lmic_raw_lb[[setting]:[setting]],0), MATCH(AG$139, lmic_raw_lb[#Headers],0))=0, INDEX(regions_lb[], MATCH($D170, regions_lb[[setting]:[setting]],0), MATCH(AG$139, regions_lb[#Headers],0)),INDEX(lmic_raw_lb[],MATCH($A170,lmic_raw_lb[[setting]:[setting]],0), MATCH(AG$139, lmic_raw_lb[#Headers],0)))</f>
        <v>2.633009300786188E-3</v>
      </c>
      <c r="AH170" s="98">
        <f>IF(INDEX(lmic_raw_lb[],MATCH($A170,lmic_raw_lb[[setting]:[setting]],0), MATCH(AH$139, lmic_raw_lb[#Headers],0))=0, INDEX(regions_lb[], MATCH($D170, regions_lb[[setting]:[setting]],0), MATCH(AH$139, regions_lb[#Headers],0)),INDEX(lmic_raw_lb[],MATCH($A170,lmic_raw_lb[[setting]:[setting]],0), MATCH(AH$139, lmic_raw_lb[#Headers],0)))</f>
        <v>3.8932230977901374E-3</v>
      </c>
      <c r="AI170" s="98">
        <f>IF(INDEX(lmic_raw_lb[],MATCH($A170,lmic_raw_lb[[setting]:[setting]],0), MATCH(AI$139, lmic_raw_lb[#Headers],0))=0, INDEX(regions_lb[], MATCH($D170, regions_lb[[setting]:[setting]],0), MATCH(AI$139, regions_lb[#Headers],0)),INDEX(lmic_raw_lb[],MATCH($A170,lmic_raw_lb[[setting]:[setting]],0), MATCH(AI$139, lmic_raw_lb[#Headers],0)))</f>
        <v>4.9669379749717078E-3</v>
      </c>
      <c r="AJ170" s="98">
        <f>IF(INDEX(lmic_raw_lb[],MATCH($A170,lmic_raw_lb[[setting]:[setting]],0), MATCH(AJ$139, lmic_raw_lb[#Headers],0))=0, INDEX(regions_lb[], MATCH($D170, regions_lb[[setting]:[setting]],0), MATCH(AJ$139, regions_lb[#Headers],0)),INDEX(lmic_raw_lb[],MATCH($A170,lmic_raw_lb[[setting]:[setting]],0), MATCH(AJ$139, lmic_raw_lb[#Headers],0)))</f>
        <v>6.091994007227465E-3</v>
      </c>
      <c r="AK170" s="98">
        <f>IF(INDEX(lmic_raw_lb[],MATCH($A170,lmic_raw_lb[[setting]:[setting]],0), MATCH(AK$139, lmic_raw_lb[#Headers],0))=0, INDEX(regions_lb[], MATCH($D170, regions_lb[[setting]:[setting]],0), MATCH(AK$139, regions_lb[#Headers],0)),INDEX(lmic_raw_lb[],MATCH($A170,lmic_raw_lb[[setting]:[setting]],0), MATCH(AK$139, lmic_raw_lb[#Headers],0)))</f>
        <v>7.6366738926449936E-3</v>
      </c>
      <c r="AL170" s="98">
        <f>IF(INDEX(lmic_raw_lb[],MATCH($A170,lmic_raw_lb[[setting]:[setting]],0), MATCH(AL$139, lmic_raw_lb[#Headers],0))=0, INDEX(regions_lb[], MATCH($D170, regions_lb[[setting]:[setting]],0), MATCH(AL$139, regions_lb[#Headers],0)),INDEX(lmic_raw_lb[],MATCH($A170,lmic_raw_lb[[setting]:[setting]],0), MATCH(AL$139, lmic_raw_lb[#Headers],0)))</f>
        <v>9.2628183987660141E-3</v>
      </c>
      <c r="AM170" s="98">
        <f>IF(INDEX(lmic_raw_lb[],MATCH($A170,lmic_raw_lb[[setting]:[setting]],0), MATCH(AM$139, lmic_raw_lb[#Headers],0))=0, INDEX(regions_lb[], MATCH($D170, regions_lb[[setting]:[setting]],0), MATCH(AM$139, regions_lb[#Headers],0)),INDEX(lmic_raw_lb[],MATCH($A170,lmic_raw_lb[[setting]:[setting]],0), MATCH(AM$139, lmic_raw_lb[#Headers],0)))</f>
        <v>1.114428337727919E-2</v>
      </c>
      <c r="AN170" s="98">
        <f>IF(INDEX(lmic_raw_lb[],MATCH($A170,lmic_raw_lb[[setting]:[setting]],0), MATCH(AN$139, lmic_raw_lb[#Headers],0))=0, INDEX(regions_lb[], MATCH($D170, regions_lb[[setting]:[setting]],0), MATCH(AN$139, regions_lb[#Headers],0)),INDEX(lmic_raw_lb[],MATCH($A170,lmic_raw_lb[[setting]:[setting]],0), MATCH(AN$139, lmic_raw_lb[#Headers],0)))</f>
        <v>1.4545397602173339E-2</v>
      </c>
      <c r="AO170" s="98">
        <f>IF(INDEX(lmic_raw_lb[],MATCH($A170,lmic_raw_lb[[setting]:[setting]],0), MATCH(AO$139, lmic_raw_lb[#Headers],0))=0, INDEX(regions_lb[], MATCH($D170, regions_lb[[setting]:[setting]],0), MATCH(AO$139, regions_lb[#Headers],0)),INDEX(lmic_raw_lb[],MATCH($A170,lmic_raw_lb[[setting]:[setting]],0), MATCH(AO$139, lmic_raw_lb[#Headers],0)))</f>
        <v>1.8562625595993646E-2</v>
      </c>
      <c r="AP170" s="98">
        <f>IF(INDEX(lmic_raw_lb[],MATCH($A170,lmic_raw_lb[[setting]:[setting]],0), MATCH(AP$139, lmic_raw_lb[#Headers],0))=0, INDEX(regions_lb[], MATCH($D170, regions_lb[[setting]:[setting]],0), MATCH(AP$139, regions_lb[#Headers],0)),INDEX(lmic_raw_lb[],MATCH($A170,lmic_raw_lb[[setting]:[setting]],0), MATCH(AP$139, lmic_raw_lb[#Headers],0)))</f>
        <v>2.6155582740175296E-2</v>
      </c>
      <c r="AQ170" s="98">
        <f>IF(INDEX(lmic_raw_lb[],MATCH($A170,lmic_raw_lb[[setting]:[setting]],0), MATCH(AQ$139, lmic_raw_lb[#Headers],0))=0, INDEX(regions_lb[], MATCH($D170, regions_lb[[setting]:[setting]],0), MATCH(AQ$139, regions_lb[#Headers],0)),INDEX(lmic_raw_lb[],MATCH($A170,lmic_raw_lb[[setting]:[setting]],0), MATCH(AQ$139, lmic_raw_lb[#Headers],0)))</f>
        <v>3.8051817182223835E-2</v>
      </c>
      <c r="AR170" s="98">
        <f>IF(INDEX(lmic_raw_lb[],MATCH($A170,lmic_raw_lb[[setting]:[setting]],0), MATCH(AR$139, lmic_raw_lb[#Headers],0))=0, INDEX(regions_lb[], MATCH($D170, regions_lb[[setting]:[setting]],0), MATCH(AR$139, regions_lb[#Headers],0)),INDEX(lmic_raw_lb[],MATCH($A170,lmic_raw_lb[[setting]:[setting]],0), MATCH(AR$139, lmic_raw_lb[#Headers],0)))</f>
        <v>5.604327306476331E-2</v>
      </c>
      <c r="AS170" s="98">
        <f>IF(INDEX(lmic_raw_lb[],MATCH($A170,lmic_raw_lb[[setting]:[setting]],0), MATCH(AS$139, lmic_raw_lb[#Headers],0))=0, INDEX(regions_lb[], MATCH($D170, regions_lb[[setting]:[setting]],0), MATCH(AS$139, regions_lb[#Headers],0)),INDEX(lmic_raw_lb[],MATCH($A170,lmic_raw_lb[[setting]:[setting]],0), MATCH(AS$139, lmic_raw_lb[#Headers],0)))</f>
        <v>8.1095758449669861E-2</v>
      </c>
      <c r="AT170" s="98">
        <f>IF(INDEX(lmic_raw_lb[],MATCH($A170,lmic_raw_lb[[setting]:[setting]],0), MATCH(AT$139, lmic_raw_lb[#Headers],0))=0, INDEX(regions_lb[], MATCH($D170, regions_lb[[setting]:[setting]],0), MATCH(AT$139, regions_lb[#Headers],0)),INDEX(lmic_raw_lb[],MATCH($A170,lmic_raw_lb[[setting]:[setting]],0), MATCH(AT$139, lmic_raw_lb[#Headers],0)))</f>
        <v>0.11465624429238873</v>
      </c>
      <c r="AU170" s="98">
        <f>IF(INDEX(lmic_raw_lb[],MATCH($A170,lmic_raw_lb[[setting]:[setting]],0), MATCH(AU$139, lmic_raw_lb[#Headers],0))=0, INDEX(regions_lb[], MATCH($D170, regions_lb[[setting]:[setting]],0), MATCH(AU$139, regions_lb[#Headers],0)),INDEX(lmic_raw_lb[],MATCH($A170,lmic_raw_lb[[setting]:[setting]],0), MATCH(AU$139, lmic_raw_lb[#Headers],0)))</f>
        <v>0.14953448764497962</v>
      </c>
      <c r="AV170" s="98">
        <f>IF(INDEX(lmic_raw_lb[],MATCH($A170,lmic_raw_lb[[setting]:[setting]],0), MATCH(AV$139, lmic_raw_lb[#Headers],0))=0, INDEX(regions_lb[], MATCH($D170, regions_lb[[setting]:[setting]],0), MATCH(AV$139, regions_lb[#Headers],0)),INDEX(lmic_raw_lb[],MATCH($A170,lmic_raw_lb[[setting]:[setting]],0), MATCH(AV$139, lmic_raw_lb[#Headers],0)))</f>
        <v>0.17406658606916689</v>
      </c>
      <c r="AW170" s="98">
        <f>IF(INDEX(lmic_raw_lb[],MATCH($A170,lmic_raw_lb[[setting]:[setting]],0), MATCH(AW$139, lmic_raw_lb[#Headers],0))=0, INDEX(regions_lb[], MATCH($D170, regions_lb[[setting]:[setting]],0), MATCH(AW$139, regions_lb[#Headers],0)),INDEX(lmic_raw_lb[],MATCH($A170,lmic_raw_lb[[setting]:[setting]],0), MATCH(AW$139, lmic_raw_lb[#Headers],0)))</f>
        <v>0.18008540237702172</v>
      </c>
      <c r="AX170" s="98">
        <f>IF(INDEX(lmic_raw_lb[],MATCH($A170,lmic_raw_lb[[setting]:[setting]],0), MATCH(AX$139, lmic_raw_lb[#Headers],0))=0, INDEX(regions_lb[], MATCH($D170, regions_lb[[setting]:[setting]],0), MATCH(AX$139, regions_lb[#Headers],0)),INDEX(lmic_raw_lb[],MATCH($A170,lmic_raw_lb[[setting]:[setting]],0), MATCH(AX$139, lmic_raw_lb[#Headers],0)))</f>
        <v>54.382749999999994</v>
      </c>
      <c r="AY170" s="98" t="str">
        <f>IF(VLOOKUP(lmics_lb[[#This Row],[setting]],lmic_raw_lb[],11,FALSE)=0, "Yes", "No")</f>
        <v>No</v>
      </c>
    </row>
    <row r="171" spans="1:51" x14ac:dyDescent="0.25">
      <c r="A171" s="110" t="s">
        <v>232</v>
      </c>
      <c r="B171" s="104" t="s">
        <v>407</v>
      </c>
      <c r="C171" s="105">
        <v>192</v>
      </c>
      <c r="D171" s="84" t="s">
        <v>679</v>
      </c>
      <c r="E171" s="122" t="s">
        <v>223</v>
      </c>
      <c r="F171" s="94" t="s">
        <v>665</v>
      </c>
      <c r="G171" s="94" t="s">
        <v>676</v>
      </c>
      <c r="H171" s="94"/>
      <c r="I171" s="94"/>
      <c r="J171" s="94">
        <f>IF(INDEX(lmic_raw_lb[],MATCH($A171,lmic_raw_lb[[setting]:[setting]],0), MATCH(J$139, lmic_raw_lb[#Headers],0))=0, INDEX(regions_lb[], MATCH($D171, regions_lb[[setting]:[setting]],0), MATCH(J$139, regions_lb[#Headers],0)),INDEX(lmic_raw_lb[],MATCH($A171,lmic_raw_lb[[setting]:[setting]],0), MATCH(J$139, lmic_raw_lb[#Headers],0)))</f>
        <v>0.94905000000000006</v>
      </c>
      <c r="K171" s="94">
        <f>IF(INDEX(lmic_raw_lb[],MATCH($A171,lmic_raw_lb[[setting]:[setting]],0), MATCH(K$139, lmic_raw_lb[#Headers],0))=0, INDEX(regions_lb[], MATCH($D171, regions_lb[[setting]:[setting]],0), MATCH(K$139, regions_lb[#Headers],0)),INDEX(lmic_raw_lb[],MATCH($A171,lmic_raw_lb[[setting]:[setting]],0), MATCH(K$139, lmic_raw_lb[#Headers],0)))</f>
        <v>0.9405</v>
      </c>
      <c r="L171" s="94">
        <f>IF(INDEX(lmic_raw_lb[],MATCH($A171,lmic_raw_lb[[setting]:[setting]],0), MATCH(L$139, lmic_raw_lb[#Headers],0))=0, INDEX(regions_lb[], MATCH($D171, regions_lb[[setting]:[setting]],0), MATCH(L$139, regions_lb[#Headers],0)),INDEX(lmic_raw_lb[],MATCH($A171,lmic_raw_lb[[setting]:[setting]],0), MATCH(L$139, lmic_raw_lb[#Headers],0)))</f>
        <v>0.9405</v>
      </c>
      <c r="M171" s="94">
        <f>IF(INDEX(lmic_raw_lb[],MATCH($A171,lmic_raw_lb[[setting]:[setting]],0), MATCH(M$139, lmic_raw_lb[#Headers],0))=0, INDEX(regions_lb[], MATCH($D171, regions_lb[[setting]:[setting]],0), MATCH(M$139, regions_lb[#Headers],0)),INDEX(lmic_raw_lb[],MATCH($A171,lmic_raw_lb[[setting]:[setting]],0), MATCH(M$139, lmic_raw_lb[#Headers],0)))</f>
        <v>4.0999999999999995E-3</v>
      </c>
      <c r="N171" s="94">
        <f>IF(INDEX(lmic_raw_lb[],MATCH($A171,lmic_raw_lb[[setting]:[setting]],0), MATCH(N$139, lmic_raw_lb[#Headers],0))=0, INDEX(regions_lb[], MATCH($D171, regions_lb[[setting]:[setting]],0), MATCH(N$139, regions_lb[#Headers],0)),INDEX(lmic_raw_lb[],MATCH($A171,lmic_raw_lb[[setting]:[setting]],0), MATCH(N$139, lmic_raw_lb[#Headers],0)))</f>
        <v>0.16309999999999999</v>
      </c>
      <c r="O171" s="94">
        <f>IF(INDEX(lmic_raw_lb[],MATCH($A171,lmic_raw_lb[[setting]:[setting]],0), MATCH(O$139, lmic_raw_lb[#Headers],0))=0, INDEX(regions_lb[], MATCH($D171, regions_lb[[setting]:[setting]],0), MATCH(O$139, regions_lb[#Headers],0)),INDEX(lmic_raw_lb[],MATCH($A171,lmic_raw_lb[[setting]:[setting]],0), MATCH(O$139, lmic_raw_lb[#Headers],0)))</f>
        <v>0.7</v>
      </c>
      <c r="P171" s="94">
        <f>IF(INDEX(lmic_raw_lb[],MATCH($A171,lmic_raw_lb[[setting]:[setting]],0), MATCH(P$139, lmic_raw_lb[#Headers],0))=0, INDEX(regions_lb[], MATCH($D171, regions_lb[[setting]:[setting]],0), MATCH(P$139, regions_lb[#Headers],0)),INDEX(lmic_raw_lb[],MATCH($A171,lmic_raw_lb[[setting]:[setting]],0), MATCH(P$139, lmic_raw_lb[#Headers],0)))</f>
        <v>0.05</v>
      </c>
      <c r="Q171" s="94">
        <f>IF(INDEX(lmic_raw_lb[],MATCH($A171,lmic_raw_lb[[setting]:[setting]],0), MATCH(Q$139, lmic_raw_lb[#Headers],0))=0, INDEX(regions_lb[], MATCH($D171, regions_lb[[setting]:[setting]],0), MATCH(Q$139, regions_lb[#Headers],0)),INDEX(lmic_raw_lb[],MATCH($A171,lmic_raw_lb[[setting]:[setting]],0), MATCH(Q$139, lmic_raw_lb[#Headers],0)))</f>
        <v>11.590931528558613</v>
      </c>
      <c r="R171" s="94">
        <f>IF(INDEX(lmic_raw_lb[],MATCH($A171,lmic_raw_lb[[setting]:[setting]],0), MATCH(R$139, lmic_raw_lb[#Headers],0))=0, INDEX(regions_lb[], MATCH($D171, regions_lb[[setting]:[setting]],0), MATCH(R$139, regions_lb[#Headers],0)),INDEX(lmic_raw_lb[],MATCH($A171,lmic_raw_lb[[setting]:[setting]],0), MATCH(R$139, lmic_raw_lb[#Headers],0)))</f>
        <v>82.539704999999998</v>
      </c>
      <c r="S171" s="94">
        <f>IF(INDEX(lmic_raw_lb[],MATCH($A171,lmic_raw_lb[[setting]:[setting]],0), MATCH(S$139, lmic_raw_lb[#Headers],0))=0, INDEX(regions_lb[], MATCH($D171, regions_lb[[setting]:[setting]],0), MATCH(S$139, regions_lb[#Headers],0)),INDEX(lmic_raw_lb[],MATCH($A171,lmic_raw_lb[[setting]:[setting]],0), MATCH(S$139, lmic_raw_lb[#Headers],0)))</f>
        <v>127.894605</v>
      </c>
      <c r="T171" s="94">
        <f>IF(INDEX(lmic_raw_lb[],MATCH($A171,lmic_raw_lb[[setting]:[setting]],0), MATCH(T$139, lmic_raw_lb[#Headers],0))=0, INDEX(regions_lb[], MATCH($D171, regions_lb[[setting]:[setting]],0), MATCH(T$139, regions_lb[#Headers],0)),INDEX(lmic_raw_lb[],MATCH($A171,lmic_raw_lb[[setting]:[setting]],0), MATCH(T$139, lmic_raw_lb[#Headers],0)))</f>
        <v>127.894605</v>
      </c>
      <c r="U171" s="94">
        <f>IF(INDEX(lmic_raw_lb[],MATCH($A171,lmic_raw_lb[[setting]:[setting]],0), MATCH(U$139, lmic_raw_lb[#Headers],0))=0, INDEX(regions_lb[], MATCH($D171, regions_lb[[setting]:[setting]],0), MATCH(U$139, regions_lb[#Headers],0)),INDEX(lmic_raw_lb[],MATCH($A171,lmic_raw_lb[[setting]:[setting]],0), MATCH(U$139, lmic_raw_lb[#Headers],0)))</f>
        <v>127.894605</v>
      </c>
      <c r="V171" s="94">
        <f>IF(INDEX(lmic_raw_lb[],MATCH($A171,lmic_raw_lb[[setting]:[setting]],0), MATCH(V$139, lmic_raw_lb[#Headers],0))=0, INDEX(regions_lb[], MATCH($D171, regions_lb[[setting]:[setting]],0), MATCH(V$139, regions_lb[#Headers],0)),INDEX(lmic_raw_lb[],MATCH($A171,lmic_raw_lb[[setting]:[setting]],0), MATCH(V$139, lmic_raw_lb[#Headers],0)))</f>
        <v>2.8007288203127496</v>
      </c>
      <c r="W171" s="94">
        <f>IF(INDEX(lmic_raw_lb[],MATCH($A171,lmic_raw_lb[[setting]:[setting]],0), MATCH(W$139, lmic_raw_lb[#Headers],0))=0, INDEX(regions_lb[], MATCH($D171, regions_lb[[setting]:[setting]],0), MATCH(W$139, regions_lb[#Headers],0)),INDEX(lmic_raw_lb[],MATCH($A171,lmic_raw_lb[[setting]:[setting]],0), MATCH(W$139, lmic_raw_lb[#Headers],0)))</f>
        <v>2.8214388203127494</v>
      </c>
      <c r="X171" s="94">
        <f>IF(INDEX(lmic_raw_lb[],MATCH($A171,lmic_raw_lb[[setting]:[setting]],0), MATCH(X$139, lmic_raw_lb[#Headers],0))=0, INDEX(regions_lb[], MATCH($D171, regions_lb[[setting]:[setting]],0), MATCH(X$139, regions_lb[#Headers],0)),INDEX(lmic_raw_lb[],MATCH($A171,lmic_raw_lb[[setting]:[setting]],0), MATCH(X$139, lmic_raw_lb[#Headers],0)))</f>
        <v>2.4269687218738838</v>
      </c>
      <c r="Y171" s="94">
        <f>IF(INDEX(lmic_raw_lb[],MATCH($A171,lmic_raw_lb[[setting]:[setting]],0), MATCH(Y$139, lmic_raw_lb[#Headers],0))=0, INDEX(regions_lb[], MATCH($D171, regions_lb[[setting]:[setting]],0), MATCH(Y$139, regions_lb[#Headers],0)),INDEX(lmic_raw_lb[],MATCH($A171,lmic_raw_lb[[setting]:[setting]],0), MATCH(Y$139, lmic_raw_lb[#Headers],0)))</f>
        <v>2.4476787218738836</v>
      </c>
      <c r="Z171" s="94">
        <f>IF(INDEX(lmic_raw_lb[],MATCH($A171,lmic_raw_lb[[setting]:[setting]],0), MATCH(Z$139, lmic_raw_lb[#Headers],0))=0, INDEX(regions_lb[], MATCH($D171, regions_lb[[setting]:[setting]],0), MATCH(Z$139, regions_lb[#Headers],0)),INDEX(lmic_raw_lb[],MATCH($A171,lmic_raw_lb[[setting]:[setting]],0), MATCH(Z$139, lmic_raw_lb[#Headers],0)))</f>
        <v>2.439759046727334</v>
      </c>
      <c r="AA171" s="94">
        <f>IF(INDEX(lmic_raw_lb[],MATCH($A171,lmic_raw_lb[[setting]:[setting]],0), MATCH(AA$139, lmic_raw_lb[#Headers],0))=0, INDEX(regions_lb[], MATCH($D171, regions_lb[[setting]:[setting]],0), MATCH(AA$139, regions_lb[#Headers],0)),INDEX(lmic_raw_lb[],MATCH($A171,lmic_raw_lb[[setting]:[setting]],0), MATCH(AA$139, lmic_raw_lb[#Headers],0)))</f>
        <v>3.0155532513079044</v>
      </c>
      <c r="AB171" s="94">
        <f>IF(INDEX(lmic_raw_lb[],MATCH($A171,lmic_raw_lb[[setting]:[setting]],0), MATCH(AB$139, lmic_raw_lb[#Headers],0))=0, INDEX(regions_lb[], MATCH($D171, regions_lb[[setting]:[setting]],0), MATCH(AB$139, regions_lb[#Headers],0)),INDEX(lmic_raw_lb[],MATCH($A171,lmic_raw_lb[[setting]:[setting]],0), MATCH(AB$139, lmic_raw_lb[#Headers],0)))</f>
        <v>3.0362632513079042</v>
      </c>
      <c r="AC171" s="94">
        <f>IF(INDEX(lmic_raw_lb[],MATCH($A171,lmic_raw_lb[[setting]:[setting]],0), MATCH(AC$139, lmic_raw_lb[#Headers],0))=0, INDEX(regions_lb[], MATCH($D171, regions_lb[[setting]:[setting]],0), MATCH(AC$139, regions_lb[#Headers],0)),INDEX(lmic_raw_lb[],MATCH($A171,lmic_raw_lb[[setting]:[setting]],0), MATCH(AC$139, lmic_raw_lb[#Headers],0)))</f>
        <v>4.2617094999999536E-3</v>
      </c>
      <c r="AD171" s="94">
        <f>IF(INDEX(lmic_raw_lb[],MATCH($A171,lmic_raw_lb[[setting]:[setting]],0), MATCH(AD$139, lmic_raw_lb[#Headers],0))=0, INDEX(regions_lb[], MATCH($D171, regions_lb[[setting]:[setting]],0), MATCH(AD$139, regions_lb[#Headers],0)),INDEX(lmic_raw_lb[],MATCH($A171,lmic_raw_lb[[setting]:[setting]],0), MATCH(AD$139, lmic_raw_lb[#Headers],0)))</f>
        <v>2.5922086740338659E-4</v>
      </c>
      <c r="AE171" s="94">
        <f>IF(INDEX(lmic_raw_lb[],MATCH($A171,lmic_raw_lb[[setting]:[setting]],0), MATCH(AE$139, lmic_raw_lb[#Headers],0))=0, INDEX(regions_lb[], MATCH($D171, regions_lb[[setting]:[setting]],0), MATCH(AE$139, regions_lb[#Headers],0)),INDEX(lmic_raw_lb[],MATCH($A171,lmic_raw_lb[[setting]:[setting]],0), MATCH(AE$139, lmic_raw_lb[#Headers],0)))</f>
        <v>1.5255562690985123E-4</v>
      </c>
      <c r="AF171" s="94">
        <f>IF(INDEX(lmic_raw_lb[],MATCH($A171,lmic_raw_lb[[setting]:[setting]],0), MATCH(AF$139, lmic_raw_lb[#Headers],0))=0, INDEX(regions_lb[], MATCH($D171, regions_lb[[setting]:[setting]],0), MATCH(AF$139, regions_lb[#Headers],0)),INDEX(lmic_raw_lb[],MATCH($A171,lmic_raw_lb[[setting]:[setting]],0), MATCH(AF$139, lmic_raw_lb[#Headers],0)))</f>
        <v>1.9398327130111775E-4</v>
      </c>
      <c r="AG171" s="94">
        <f>IF(INDEX(lmic_raw_lb[],MATCH($A171,lmic_raw_lb[[setting]:[setting]],0), MATCH(AG$139, lmic_raw_lb[#Headers],0))=0, INDEX(regions_lb[], MATCH($D171, regions_lb[[setting]:[setting]],0), MATCH(AG$139, regions_lb[#Headers],0)),INDEX(lmic_raw_lb[],MATCH($A171,lmic_raw_lb[[setting]:[setting]],0), MATCH(AG$139, lmic_raw_lb[#Headers],0)))</f>
        <v>4.0713307316923744E-4</v>
      </c>
      <c r="AH171" s="94">
        <f>IF(INDEX(lmic_raw_lb[],MATCH($A171,lmic_raw_lb[[setting]:[setting]],0), MATCH(AH$139, lmic_raw_lb[#Headers],0))=0, INDEX(regions_lb[], MATCH($D171, regions_lb[[setting]:[setting]],0), MATCH(AH$139, regions_lb[#Headers],0)),INDEX(lmic_raw_lb[],MATCH($A171,lmic_raw_lb[[setting]:[setting]],0), MATCH(AH$139, lmic_raw_lb[#Headers],0)))</f>
        <v>5.4512174883087619E-4</v>
      </c>
      <c r="AI171" s="94">
        <f>IF(INDEX(lmic_raw_lb[],MATCH($A171,lmic_raw_lb[[setting]:[setting]],0), MATCH(AI$139, lmic_raw_lb[#Headers],0))=0, INDEX(regions_lb[], MATCH($D171, regions_lb[[setting]:[setting]],0), MATCH(AI$139, regions_lb[#Headers],0)),INDEX(lmic_raw_lb[],MATCH($A171,lmic_raw_lb[[setting]:[setting]],0), MATCH(AI$139, lmic_raw_lb[#Headers],0)))</f>
        <v>6.0277188247360796E-4</v>
      </c>
      <c r="AJ171" s="94">
        <f>IF(INDEX(lmic_raw_lb[],MATCH($A171,lmic_raw_lb[[setting]:[setting]],0), MATCH(AJ$139, lmic_raw_lb[#Headers],0))=0, INDEX(regions_lb[], MATCH($D171, regions_lb[[setting]:[setting]],0), MATCH(AJ$139, regions_lb[#Headers],0)),INDEX(lmic_raw_lb[],MATCH($A171,lmic_raw_lb[[setting]:[setting]],0), MATCH(AJ$139, lmic_raw_lb[#Headers],0)))</f>
        <v>7.508947982051245E-4</v>
      </c>
      <c r="AK171" s="94">
        <f>IF(INDEX(lmic_raw_lb[],MATCH($A171,lmic_raw_lb[[setting]:[setting]],0), MATCH(AK$139, lmic_raw_lb[#Headers],0))=0, INDEX(regions_lb[], MATCH($D171, regions_lb[[setting]:[setting]],0), MATCH(AK$139, regions_lb[#Headers],0)),INDEX(lmic_raw_lb[],MATCH($A171,lmic_raw_lb[[setting]:[setting]],0), MATCH(AK$139, lmic_raw_lb[#Headers],0)))</f>
        <v>1.0150690030173543E-3</v>
      </c>
      <c r="AL171" s="94">
        <f>IF(INDEX(lmic_raw_lb[],MATCH($A171,lmic_raw_lb[[setting]:[setting]],0), MATCH(AL$139, lmic_raw_lb[#Headers],0))=0, INDEX(regions_lb[], MATCH($D171, regions_lb[[setting]:[setting]],0), MATCH(AL$139, regions_lb[#Headers],0)),INDEX(lmic_raw_lb[],MATCH($A171,lmic_raw_lb[[setting]:[setting]],0), MATCH(AL$139, lmic_raw_lb[#Headers],0)))</f>
        <v>1.6131469713317956E-3</v>
      </c>
      <c r="AM171" s="94">
        <f>IF(INDEX(lmic_raw_lb[],MATCH($A171,lmic_raw_lb[[setting]:[setting]],0), MATCH(AM$139, lmic_raw_lb[#Headers],0))=0, INDEX(regions_lb[], MATCH($D171, regions_lb[[setting]:[setting]],0), MATCH(AM$139, regions_lb[#Headers],0)),INDEX(lmic_raw_lb[],MATCH($A171,lmic_raw_lb[[setting]:[setting]],0), MATCH(AM$139, lmic_raw_lb[#Headers],0)))</f>
        <v>2.690406630874271E-3</v>
      </c>
      <c r="AN171" s="94">
        <f>IF(INDEX(lmic_raw_lb[],MATCH($A171,lmic_raw_lb[[setting]:[setting]],0), MATCH(AN$139, lmic_raw_lb[#Headers],0))=0, INDEX(regions_lb[], MATCH($D171, regions_lb[[setting]:[setting]],0), MATCH(AN$139, regions_lb[#Headers],0)),INDEX(lmic_raw_lb[],MATCH($A171,lmic_raw_lb[[setting]:[setting]],0), MATCH(AN$139, lmic_raw_lb[#Headers],0)))</f>
        <v>4.3341034414632875E-3</v>
      </c>
      <c r="AO171" s="94">
        <f>IF(INDEX(lmic_raw_lb[],MATCH($A171,lmic_raw_lb[[setting]:[setting]],0), MATCH(AO$139, lmic_raw_lb[#Headers],0))=0, INDEX(regions_lb[], MATCH($D171, regions_lb[[setting]:[setting]],0), MATCH(AO$139, regions_lb[#Headers],0)),INDEX(lmic_raw_lb[],MATCH($A171,lmic_raw_lb[[setting]:[setting]],0), MATCH(AO$139, lmic_raw_lb[#Headers],0)))</f>
        <v>6.6826513778109704E-3</v>
      </c>
      <c r="AP171" s="94">
        <f>IF(INDEX(lmic_raw_lb[],MATCH($A171,lmic_raw_lb[[setting]:[setting]],0), MATCH(AP$139, lmic_raw_lb[#Headers],0))=0, INDEX(regions_lb[], MATCH($D171, regions_lb[[setting]:[setting]],0), MATCH(AP$139, regions_lb[#Headers],0)),INDEX(lmic_raw_lb[],MATCH($A171,lmic_raw_lb[[setting]:[setting]],0), MATCH(AP$139, lmic_raw_lb[#Headers],0)))</f>
        <v>1.058758481271857E-2</v>
      </c>
      <c r="AQ171" s="94">
        <f>IF(INDEX(lmic_raw_lb[],MATCH($A171,lmic_raw_lb[[setting]:[setting]],0), MATCH(AQ$139, lmic_raw_lb[#Headers],0))=0, INDEX(regions_lb[], MATCH($D171, regions_lb[[setting]:[setting]],0), MATCH(AQ$139, regions_lb[#Headers],0)),INDEX(lmic_raw_lb[],MATCH($A171,lmic_raw_lb[[setting]:[setting]],0), MATCH(AQ$139, lmic_raw_lb[#Headers],0)))</f>
        <v>1.6154627282920477E-2</v>
      </c>
      <c r="AR171" s="94">
        <f>IF(INDEX(lmic_raw_lb[],MATCH($A171,lmic_raw_lb[[setting]:[setting]],0), MATCH(AR$139, lmic_raw_lb[#Headers],0))=0, INDEX(regions_lb[], MATCH($D171, regions_lb[[setting]:[setting]],0), MATCH(AR$139, regions_lb[#Headers],0)),INDEX(lmic_raw_lb[],MATCH($A171,lmic_raw_lb[[setting]:[setting]],0), MATCH(AR$139, lmic_raw_lb[#Headers],0)))</f>
        <v>2.3550811319083025E-2</v>
      </c>
      <c r="AS171" s="94">
        <f>IF(INDEX(lmic_raw_lb[],MATCH($A171,lmic_raw_lb[[setting]:[setting]],0), MATCH(AS$139, lmic_raw_lb[#Headers],0))=0, INDEX(regions_lb[], MATCH($D171, regions_lb[[setting]:[setting]],0), MATCH(AS$139, regions_lb[#Headers],0)),INDEX(lmic_raw_lb[],MATCH($A171,lmic_raw_lb[[setting]:[setting]],0), MATCH(AS$139, lmic_raw_lb[#Headers],0)))</f>
        <v>3.5690001815783801E-2</v>
      </c>
      <c r="AT171" s="94">
        <f>IF(INDEX(lmic_raw_lb[],MATCH($A171,lmic_raw_lb[[setting]:[setting]],0), MATCH(AT$139, lmic_raw_lb[#Headers],0))=0, INDEX(regions_lb[], MATCH($D171, regions_lb[[setting]:[setting]],0), MATCH(AT$139, regions_lb[#Headers],0)),INDEX(lmic_raw_lb[],MATCH($A171,lmic_raw_lb[[setting]:[setting]],0), MATCH(AT$139, lmic_raw_lb[#Headers],0)))</f>
        <v>5.7388382594142195E-2</v>
      </c>
      <c r="AU171" s="94">
        <f>IF(INDEX(lmic_raw_lb[],MATCH($A171,lmic_raw_lb[[setting]:[setting]],0), MATCH(AU$139, lmic_raw_lb[#Headers],0))=0, INDEX(regions_lb[], MATCH($D171, regions_lb[[setting]:[setting]],0), MATCH(AU$139, regions_lb[#Headers],0)),INDEX(lmic_raw_lb[],MATCH($A171,lmic_raw_lb[[setting]:[setting]],0), MATCH(AU$139, lmic_raw_lb[#Headers],0)))</f>
        <v>8.1381136623540642E-2</v>
      </c>
      <c r="AV171" s="94">
        <f>IF(INDEX(lmic_raw_lb[],MATCH($A171,lmic_raw_lb[[setting]:[setting]],0), MATCH(AV$139, lmic_raw_lb[#Headers],0))=0, INDEX(regions_lb[], MATCH($D171, regions_lb[[setting]:[setting]],0), MATCH(AV$139, regions_lb[#Headers],0)),INDEX(lmic_raw_lb[],MATCH($A171,lmic_raw_lb[[setting]:[setting]],0), MATCH(AV$139, lmic_raw_lb[#Headers],0)))</f>
        <v>0.10817690764570455</v>
      </c>
      <c r="AW171" s="94">
        <f>IF(INDEX(lmic_raw_lb[],MATCH($A171,lmic_raw_lb[[setting]:[setting]],0), MATCH(AW$139, lmic_raw_lb[#Headers],0))=0, INDEX(regions_lb[], MATCH($D171, regions_lb[[setting]:[setting]],0), MATCH(AW$139, regions_lb[#Headers],0)),INDEX(lmic_raw_lb[],MATCH($A171,lmic_raw_lb[[setting]:[setting]],0), MATCH(AW$139, lmic_raw_lb[#Headers],0)))</f>
        <v>0.13586817565820736</v>
      </c>
      <c r="AX171" s="94">
        <f>IF(INDEX(lmic_raw_lb[],MATCH($A171,lmic_raw_lb[[setting]:[setting]],0), MATCH(AX$139, lmic_raw_lb[#Headers],0))=0, INDEX(regions_lb[], MATCH($D171, regions_lb[[setting]:[setting]],0), MATCH(AX$139, regions_lb[#Headers],0)),INDEX(lmic_raw_lb[],MATCH($A171,lmic_raw_lb[[setting]:[setting]],0), MATCH(AX$139, lmic_raw_lb[#Headers],0)))</f>
        <v>74.750749999999996</v>
      </c>
      <c r="AY171" s="94" t="str">
        <f>IF(VLOOKUP(lmics_lb[[#This Row],[setting]],lmic_raw_lb[],11,FALSE)=0, "Yes", "No")</f>
        <v>No</v>
      </c>
    </row>
    <row r="172" spans="1:51" x14ac:dyDescent="0.25">
      <c r="A172" s="109" t="s">
        <v>103</v>
      </c>
      <c r="B172" s="101" t="s">
        <v>414</v>
      </c>
      <c r="C172" s="102">
        <v>262</v>
      </c>
      <c r="D172" s="82" t="s">
        <v>673</v>
      </c>
      <c r="E172" s="121" t="s">
        <v>597</v>
      </c>
      <c r="F172" s="98" t="s">
        <v>667</v>
      </c>
      <c r="G172" s="98" t="s">
        <v>678</v>
      </c>
      <c r="H172" s="98"/>
      <c r="I172" s="98"/>
      <c r="J172" s="98">
        <f>IF(INDEX(lmic_raw_lb[],MATCH($A172,lmic_raw_lb[[setting]:[setting]],0), MATCH(J$139, lmic_raw_lb[#Headers],0))=0, INDEX(regions_lb[], MATCH($D172, regions_lb[[setting]:[setting]],0), MATCH(J$139, regions_lb[#Headers],0)),INDEX(lmic_raw_lb[],MATCH($A172,lmic_raw_lb[[setting]:[setting]],0), MATCH(J$139, lmic_raw_lb[#Headers],0)))</f>
        <v>0.82364999999999999</v>
      </c>
      <c r="K172" s="98">
        <f>IF(INDEX(lmic_raw_lb[],MATCH($A172,lmic_raw_lb[[setting]:[setting]],0), MATCH(K$139, lmic_raw_lb[#Headers],0))=0, INDEX(regions_lb[], MATCH($D172, regions_lb[[setting]:[setting]],0), MATCH(K$139, regions_lb[#Headers],0)),INDEX(lmic_raw_lb[],MATCH($A172,lmic_raw_lb[[setting]:[setting]],0), MATCH(K$139, lmic_raw_lb[#Headers],0)))</f>
        <v>0.90249999999999997</v>
      </c>
      <c r="L172" s="98">
        <f>IF(INDEX(lmic_raw_lb[],MATCH($A172,lmic_raw_lb[[setting]:[setting]],0), MATCH(L$139, lmic_raw_lb[#Headers],0))=0, INDEX(regions_lb[], MATCH($D172, regions_lb[[setting]:[setting]],0), MATCH(L$139, regions_lb[#Headers],0)),INDEX(lmic_raw_lb[],MATCH($A172,lmic_raw_lb[[setting]:[setting]],0), MATCH(L$139, lmic_raw_lb[#Headers],0)))</f>
        <v>0.8075</v>
      </c>
      <c r="M172" s="98">
        <f>IF(INDEX(lmic_raw_lb[],MATCH($A172,lmic_raw_lb[[setting]:[setting]],0), MATCH(M$139, lmic_raw_lb[#Headers],0))=0, INDEX(regions_lb[], MATCH($D172, regions_lb[[setting]:[setting]],0), MATCH(M$139, regions_lb[#Headers],0)),INDEX(lmic_raw_lb[],MATCH($A172,lmic_raw_lb[[setting]:[setting]],0), MATCH(M$139, lmic_raw_lb[#Headers],0)))</f>
        <v>3.4999999999999996E-3</v>
      </c>
      <c r="N172" s="98">
        <f>IF(INDEX(lmic_raw_lb[],MATCH($A172,lmic_raw_lb[[setting]:[setting]],0), MATCH(N$139, lmic_raw_lb[#Headers],0))=0, INDEX(regions_lb[], MATCH($D172, regions_lb[[setting]:[setting]],0), MATCH(N$139, regions_lb[#Headers],0)),INDEX(lmic_raw_lb[],MATCH($A172,lmic_raw_lb[[setting]:[setting]],0), MATCH(N$139, lmic_raw_lb[#Headers],0)))</f>
        <v>0.15560000000000002</v>
      </c>
      <c r="O172" s="98">
        <f>IF(INDEX(lmic_raw_lb[],MATCH($A172,lmic_raw_lb[[setting]:[setting]],0), MATCH(O$139, lmic_raw_lb[#Headers],0))=0, INDEX(regions_lb[], MATCH($D172, regions_lb[[setting]:[setting]],0), MATCH(O$139, regions_lb[#Headers],0)),INDEX(lmic_raw_lb[],MATCH($A172,lmic_raw_lb[[setting]:[setting]],0), MATCH(O$139, lmic_raw_lb[#Headers],0)))</f>
        <v>7.0000000000000007E-2</v>
      </c>
      <c r="P172" s="98">
        <f>IF(INDEX(lmic_raw_lb[],MATCH($A172,lmic_raw_lb[[setting]:[setting]],0), MATCH(P$139, lmic_raw_lb[#Headers],0))=0, INDEX(regions_lb[], MATCH($D172, regions_lb[[setting]:[setting]],0), MATCH(P$139, regions_lb[#Headers],0)),INDEX(lmic_raw_lb[],MATCH($A172,lmic_raw_lb[[setting]:[setting]],0), MATCH(P$139, lmic_raw_lb[#Headers],0)))</f>
        <v>1E-3</v>
      </c>
      <c r="Q172" s="98">
        <f>IF(INDEX(lmic_raw_lb[],MATCH($A172,lmic_raw_lb[[setting]:[setting]],0), MATCH(Q$139, lmic_raw_lb[#Headers],0))=0, INDEX(regions_lb[], MATCH($D172, regions_lb[[setting]:[setting]],0), MATCH(Q$139, regions_lb[#Headers],0)),INDEX(lmic_raw_lb[],MATCH($A172,lmic_raw_lb[[setting]:[setting]],0), MATCH(Q$139, lmic_raw_lb[#Headers],0)))</f>
        <v>4.0475567008198041</v>
      </c>
      <c r="R172" s="98">
        <f>IF(INDEX(lmic_raw_lb[],MATCH($A172,lmic_raw_lb[[setting]:[setting]],0), MATCH(R$139, lmic_raw_lb[#Headers],0))=0, INDEX(regions_lb[], MATCH($D172, regions_lb[[setting]:[setting]],0), MATCH(R$139, regions_lb[#Headers],0)),INDEX(lmic_raw_lb[],MATCH($A172,lmic_raw_lb[[setting]:[setting]],0), MATCH(R$139, lmic_raw_lb[#Headers],0)))</f>
        <v>28.424474999999997</v>
      </c>
      <c r="S172" s="98">
        <f>IF(INDEX(lmic_raw_lb[],MATCH($A172,lmic_raw_lb[[setting]:[setting]],0), MATCH(S$139, lmic_raw_lb[#Headers],0))=0, INDEX(regions_lb[], MATCH($D172, regions_lb[[setting]:[setting]],0), MATCH(S$139, regions_lb[#Headers],0)),INDEX(lmic_raw_lb[],MATCH($A172,lmic_raw_lb[[setting]:[setting]],0), MATCH(S$139, lmic_raw_lb[#Headers],0)))</f>
        <v>73.779375000000002</v>
      </c>
      <c r="T172" s="98">
        <f>IF(INDEX(lmic_raw_lb[],MATCH($A172,lmic_raw_lb[[setting]:[setting]],0), MATCH(T$139, lmic_raw_lb[#Headers],0))=0, INDEX(regions_lb[], MATCH($D172, regions_lb[[setting]:[setting]],0), MATCH(T$139, regions_lb[#Headers],0)),INDEX(lmic_raw_lb[],MATCH($A172,lmic_raw_lb[[setting]:[setting]],0), MATCH(T$139, lmic_raw_lb[#Headers],0)))</f>
        <v>73.779375000000002</v>
      </c>
      <c r="U172" s="98">
        <f>IF(INDEX(lmic_raw_lb[],MATCH($A172,lmic_raw_lb[[setting]:[setting]],0), MATCH(U$139, lmic_raw_lb[#Headers],0))=0, INDEX(regions_lb[], MATCH($D172, regions_lb[[setting]:[setting]],0), MATCH(U$139, regions_lb[#Headers],0)),INDEX(lmic_raw_lb[],MATCH($A172,lmic_raw_lb[[setting]:[setting]],0), MATCH(U$139, lmic_raw_lb[#Headers],0)))</f>
        <v>73.779375000000002</v>
      </c>
      <c r="V172" s="98">
        <f>IF(INDEX(lmic_raw_lb[],MATCH($A172,lmic_raw_lb[[setting]:[setting]],0), MATCH(V$139, lmic_raw_lb[#Headers],0))=0, INDEX(regions_lb[], MATCH($D172, regions_lb[[setting]:[setting]],0), MATCH(V$139, regions_lb[#Headers],0)),INDEX(lmic_raw_lb[],MATCH($A172,lmic_raw_lb[[setting]:[setting]],0), MATCH(V$139, lmic_raw_lb[#Headers],0)))</f>
        <v>2.0915832944539683</v>
      </c>
      <c r="W172" s="98">
        <f>IF(INDEX(lmic_raw_lb[],MATCH($A172,lmic_raw_lb[[setting]:[setting]],0), MATCH(W$139, lmic_raw_lb[#Headers],0))=0, INDEX(regions_lb[], MATCH($D172, regions_lb[[setting]:[setting]],0), MATCH(W$139, regions_lb[#Headers],0)),INDEX(lmic_raw_lb[],MATCH($A172,lmic_raw_lb[[setting]:[setting]],0), MATCH(W$139, lmic_raw_lb[#Headers],0)))</f>
        <v>6.6788482944539691</v>
      </c>
      <c r="X172" s="98">
        <f>IF(INDEX(lmic_raw_lb[],MATCH($A172,lmic_raw_lb[[setting]:[setting]],0), MATCH(X$139, lmic_raw_lb[#Headers],0))=0, INDEX(regions_lb[], MATCH($D172, regions_lb[[setting]:[setting]],0), MATCH(X$139, regions_lb[#Headers],0)),INDEX(lmic_raw_lb[],MATCH($A172,lmic_raw_lb[[setting]:[setting]],0), MATCH(X$139, lmic_raw_lb[#Headers],0)))</f>
        <v>1.7214242948981298</v>
      </c>
      <c r="Y172" s="98">
        <f>IF(INDEX(lmic_raw_lb[],MATCH($A172,lmic_raw_lb[[setting]:[setting]],0), MATCH(Y$139, lmic_raw_lb[#Headers],0))=0, INDEX(regions_lb[], MATCH($D172, regions_lb[[setting]:[setting]],0), MATCH(Y$139, regions_lb[#Headers],0)),INDEX(lmic_raw_lb[],MATCH($A172,lmic_raw_lb[[setting]:[setting]],0), MATCH(Y$139, lmic_raw_lb[#Headers],0)))</f>
        <v>6.3086892948981301</v>
      </c>
      <c r="Z172" s="98">
        <f>IF(INDEX(lmic_raw_lb[],MATCH($A172,lmic_raw_lb[[setting]:[setting]],0), MATCH(Z$139, lmic_raw_lb[#Headers],0))=0, INDEX(regions_lb[], MATCH($D172, regions_lb[[setting]:[setting]],0), MATCH(Z$139, regions_lb[#Headers],0)),INDEX(lmic_raw_lb[],MATCH($A172,lmic_raw_lb[[setting]:[setting]],0), MATCH(Z$139, lmic_raw_lb[#Headers],0)))</f>
        <v>6.3033889349438663</v>
      </c>
      <c r="AA172" s="98">
        <f>IF(INDEX(lmic_raw_lb[],MATCH($A172,lmic_raw_lb[[setting]:[setting]],0), MATCH(AA$139, lmic_raw_lb[#Headers],0))=0, INDEX(regions_lb[], MATCH($D172, regions_lb[[setting]:[setting]],0), MATCH(AA$139, regions_lb[#Headers],0)),INDEX(lmic_raw_lb[],MATCH($A172,lmic_raw_lb[[setting]:[setting]],0), MATCH(AA$139, lmic_raw_lb[#Headers],0)))</f>
        <v>2.3048643973563969</v>
      </c>
      <c r="AB172" s="98">
        <f>IF(INDEX(lmic_raw_lb[],MATCH($A172,lmic_raw_lb[[setting]:[setting]],0), MATCH(AB$139, lmic_raw_lb[#Headers],0))=0, INDEX(regions_lb[], MATCH($D172, regions_lb[[setting]:[setting]],0), MATCH(AB$139, regions_lb[#Headers],0)),INDEX(lmic_raw_lb[],MATCH($A172,lmic_raw_lb[[setting]:[setting]],0), MATCH(AB$139, lmic_raw_lb[#Headers],0)))</f>
        <v>6.8921293973563973</v>
      </c>
      <c r="AC172" s="98">
        <f>IF(INDEX(lmic_raw_lb[],MATCH($A172,lmic_raw_lb[[setting]:[setting]],0), MATCH(AC$139, lmic_raw_lb[#Headers],0))=0, INDEX(regions_lb[], MATCH($D172, regions_lb[[setting]:[setting]],0), MATCH(AC$139, regions_lb[#Headers],0)),INDEX(lmic_raw_lb[],MATCH($A172,lmic_raw_lb[[setting]:[setting]],0), MATCH(AC$139, lmic_raw_lb[#Headers],0)))</f>
        <v>3.1969447500000012E-2</v>
      </c>
      <c r="AD172" s="98">
        <f>IF(INDEX(lmic_raw_lb[],MATCH($A172,lmic_raw_lb[[setting]:[setting]],0), MATCH(AD$139, lmic_raw_lb[#Headers],0))=0, INDEX(regions_lb[], MATCH($D172, regions_lb[[setting]:[setting]],0), MATCH(AD$139, regions_lb[#Headers],0)),INDEX(lmic_raw_lb[],MATCH($A172,lmic_raw_lb[[setting]:[setting]],0), MATCH(AD$139, lmic_raw_lb[#Headers],0)))</f>
        <v>4.3022601227642602E-3</v>
      </c>
      <c r="AE172" s="98">
        <f>IF(INDEX(lmic_raw_lb[],MATCH($A172,lmic_raw_lb[[setting]:[setting]],0), MATCH(AE$139, lmic_raw_lb[#Headers],0))=0, INDEX(regions_lb[], MATCH($D172, regions_lb[[setting]:[setting]],0), MATCH(AE$139, regions_lb[#Headers],0)),INDEX(lmic_raw_lb[],MATCH($A172,lmic_raw_lb[[setting]:[setting]],0), MATCH(AE$139, lmic_raw_lb[#Headers],0)))</f>
        <v>1.6881904469799472E-3</v>
      </c>
      <c r="AF172" s="98">
        <f>IF(INDEX(lmic_raw_lb[],MATCH($A172,lmic_raw_lb[[setting]:[setting]],0), MATCH(AF$139, lmic_raw_lb[#Headers],0))=0, INDEX(regions_lb[], MATCH($D172, regions_lb[[setting]:[setting]],0), MATCH(AF$139, regions_lb[#Headers],0)),INDEX(lmic_raw_lb[],MATCH($A172,lmic_raw_lb[[setting]:[setting]],0), MATCH(AF$139, lmic_raw_lb[#Headers],0)))</f>
        <v>1.1533724417199832E-3</v>
      </c>
      <c r="AG172" s="98">
        <f>IF(INDEX(lmic_raw_lb[],MATCH($A172,lmic_raw_lb[[setting]:[setting]],0), MATCH(AG$139, lmic_raw_lb[#Headers],0))=0, INDEX(regions_lb[], MATCH($D172, regions_lb[[setting]:[setting]],0), MATCH(AG$139, regions_lb[#Headers],0)),INDEX(lmic_raw_lb[],MATCH($A172,lmic_raw_lb[[setting]:[setting]],0), MATCH(AG$139, lmic_raw_lb[#Headers],0)))</f>
        <v>1.5410290990263036E-3</v>
      </c>
      <c r="AH172" s="98">
        <f>IF(INDEX(lmic_raw_lb[],MATCH($A172,lmic_raw_lb[[setting]:[setting]],0), MATCH(AH$139, lmic_raw_lb[#Headers],0))=0, INDEX(regions_lb[], MATCH($D172, regions_lb[[setting]:[setting]],0), MATCH(AH$139, regions_lb[#Headers],0)),INDEX(lmic_raw_lb[],MATCH($A172,lmic_raw_lb[[setting]:[setting]],0), MATCH(AH$139, lmic_raw_lb[#Headers],0)))</f>
        <v>2.0607955135501259E-3</v>
      </c>
      <c r="AI172" s="98">
        <f>IF(INDEX(lmic_raw_lb[],MATCH($A172,lmic_raw_lb[[setting]:[setting]],0), MATCH(AI$139, lmic_raw_lb[#Headers],0))=0, INDEX(regions_lb[], MATCH($D172, regions_lb[[setting]:[setting]],0), MATCH(AI$139, regions_lb[#Headers],0)),INDEX(lmic_raw_lb[],MATCH($A172,lmic_raw_lb[[setting]:[setting]],0), MATCH(AI$139, lmic_raw_lb[#Headers],0)))</f>
        <v>2.4831613087347337E-3</v>
      </c>
      <c r="AJ172" s="98">
        <f>IF(INDEX(lmic_raw_lb[],MATCH($A172,lmic_raw_lb[[setting]:[setting]],0), MATCH(AJ$139, lmic_raw_lb[#Headers],0))=0, INDEX(regions_lb[], MATCH($D172, regions_lb[[setting]:[setting]],0), MATCH(AJ$139, regions_lb[#Headers],0)),INDEX(lmic_raw_lb[],MATCH($A172,lmic_raw_lb[[setting]:[setting]],0), MATCH(AJ$139, lmic_raw_lb[#Headers],0)))</f>
        <v>3.1336021777406712E-3</v>
      </c>
      <c r="AK172" s="98">
        <f>IF(INDEX(lmic_raw_lb[],MATCH($A172,lmic_raw_lb[[setting]:[setting]],0), MATCH(AK$139, lmic_raw_lb[#Headers],0))=0, INDEX(regions_lb[], MATCH($D172, regions_lb[[setting]:[setting]],0), MATCH(AK$139, regions_lb[#Headers],0)),INDEX(lmic_raw_lb[],MATCH($A172,lmic_raw_lb[[setting]:[setting]],0), MATCH(AK$139, lmic_raw_lb[#Headers],0)))</f>
        <v>4.2435307959932155E-3</v>
      </c>
      <c r="AL172" s="98">
        <f>IF(INDEX(lmic_raw_lb[],MATCH($A172,lmic_raw_lb[[setting]:[setting]],0), MATCH(AL$139, lmic_raw_lb[#Headers],0))=0, INDEX(regions_lb[], MATCH($D172, regions_lb[[setting]:[setting]],0), MATCH(AL$139, regions_lb[#Headers],0)),INDEX(lmic_raw_lb[],MATCH($A172,lmic_raw_lb[[setting]:[setting]],0), MATCH(AL$139, lmic_raw_lb[#Headers],0)))</f>
        <v>5.2386483541278228E-3</v>
      </c>
      <c r="AM172" s="98">
        <f>IF(INDEX(lmic_raw_lb[],MATCH($A172,lmic_raw_lb[[setting]:[setting]],0), MATCH(AM$139, lmic_raw_lb[#Headers],0))=0, INDEX(regions_lb[], MATCH($D172, regions_lb[[setting]:[setting]],0), MATCH(AM$139, regions_lb[#Headers],0)),INDEX(lmic_raw_lb[],MATCH($A172,lmic_raw_lb[[setting]:[setting]],0), MATCH(AM$139, lmic_raw_lb[#Headers],0)))</f>
        <v>6.2883559880270931E-3</v>
      </c>
      <c r="AN172" s="98">
        <f>IF(INDEX(lmic_raw_lb[],MATCH($A172,lmic_raw_lb[[setting]:[setting]],0), MATCH(AN$139, lmic_raw_lb[#Headers],0))=0, INDEX(regions_lb[], MATCH($D172, regions_lb[[setting]:[setting]],0), MATCH(AN$139, regions_lb[#Headers],0)),INDEX(lmic_raw_lb[],MATCH($A172,lmic_raw_lb[[setting]:[setting]],0), MATCH(AN$139, lmic_raw_lb[#Headers],0)))</f>
        <v>8.226972971980091E-3</v>
      </c>
      <c r="AO172" s="98">
        <f>IF(INDEX(lmic_raw_lb[],MATCH($A172,lmic_raw_lb[[setting]:[setting]],0), MATCH(AO$139, lmic_raw_lb[#Headers],0))=0, INDEX(regions_lb[], MATCH($D172, regions_lb[[setting]:[setting]],0), MATCH(AO$139, regions_lb[#Headers],0)),INDEX(lmic_raw_lb[],MATCH($A172,lmic_raw_lb[[setting]:[setting]],0), MATCH(AO$139, lmic_raw_lb[#Headers],0)))</f>
        <v>1.0761214925120423E-2</v>
      </c>
      <c r="AP172" s="98">
        <f>IF(INDEX(lmic_raw_lb[],MATCH($A172,lmic_raw_lb[[setting]:[setting]],0), MATCH(AP$139, lmic_raw_lb[#Headers],0))=0, INDEX(regions_lb[], MATCH($D172, regions_lb[[setting]:[setting]],0), MATCH(AP$139, regions_lb[#Headers],0)),INDEX(lmic_raw_lb[],MATCH($A172,lmic_raw_lb[[setting]:[setting]],0), MATCH(AP$139, lmic_raw_lb[#Headers],0)))</f>
        <v>1.621948502401515E-2</v>
      </c>
      <c r="AQ172" s="98">
        <f>IF(INDEX(lmic_raw_lb[],MATCH($A172,lmic_raw_lb[[setting]:[setting]],0), MATCH(AQ$139, lmic_raw_lb[#Headers],0))=0, INDEX(regions_lb[], MATCH($D172, regions_lb[[setting]:[setting]],0), MATCH(AQ$139, regions_lb[#Headers],0)),INDEX(lmic_raw_lb[],MATCH($A172,lmic_raw_lb[[setting]:[setting]],0), MATCH(AQ$139, lmic_raw_lb[#Headers],0)))</f>
        <v>2.5010644568960294E-2</v>
      </c>
      <c r="AR172" s="98">
        <f>IF(INDEX(lmic_raw_lb[],MATCH($A172,lmic_raw_lb[[setting]:[setting]],0), MATCH(AR$139, lmic_raw_lb[#Headers],0))=0, INDEX(regions_lb[], MATCH($D172, regions_lb[[setting]:[setting]],0), MATCH(AR$139, regions_lb[#Headers],0)),INDEX(lmic_raw_lb[],MATCH($A172,lmic_raw_lb[[setting]:[setting]],0), MATCH(AR$139, lmic_raw_lb[#Headers],0)))</f>
        <v>3.8940205357370423E-2</v>
      </c>
      <c r="AS172" s="98">
        <f>IF(INDEX(lmic_raw_lb[],MATCH($A172,lmic_raw_lb[[setting]:[setting]],0), MATCH(AS$139, lmic_raw_lb[#Headers],0))=0, INDEX(regions_lb[], MATCH($D172, regions_lb[[setting]:[setting]],0), MATCH(AS$139, regions_lb[#Headers],0)),INDEX(lmic_raw_lb[],MATCH($A172,lmic_raw_lb[[setting]:[setting]],0), MATCH(AS$139, lmic_raw_lb[#Headers],0)))</f>
        <v>5.9350214718177308E-2</v>
      </c>
      <c r="AT172" s="98">
        <f>IF(INDEX(lmic_raw_lb[],MATCH($A172,lmic_raw_lb[[setting]:[setting]],0), MATCH(AT$139, lmic_raw_lb[#Headers],0))=0, INDEX(regions_lb[], MATCH($D172, regions_lb[[setting]:[setting]],0), MATCH(AT$139, regions_lb[#Headers],0)),INDEX(lmic_raw_lb[],MATCH($A172,lmic_raw_lb[[setting]:[setting]],0), MATCH(AT$139, lmic_raw_lb[#Headers],0)))</f>
        <v>8.7105315335773981E-2</v>
      </c>
      <c r="AU172" s="98">
        <f>IF(INDEX(lmic_raw_lb[],MATCH($A172,lmic_raw_lb[[setting]:[setting]],0), MATCH(AU$139, lmic_raw_lb[#Headers],0))=0, INDEX(regions_lb[], MATCH($D172, regions_lb[[setting]:[setting]],0), MATCH(AU$139, regions_lb[#Headers],0)),INDEX(lmic_raw_lb[],MATCH($A172,lmic_raw_lb[[setting]:[setting]],0), MATCH(AU$139, lmic_raw_lb[#Headers],0)))</f>
        <v>0.11833312994274543</v>
      </c>
      <c r="AV172" s="98">
        <f>IF(INDEX(lmic_raw_lb[],MATCH($A172,lmic_raw_lb[[setting]:[setting]],0), MATCH(AV$139, lmic_raw_lb[#Headers],0))=0, INDEX(regions_lb[], MATCH($D172, regions_lb[[setting]:[setting]],0), MATCH(AV$139, regions_lb[#Headers],0)),INDEX(lmic_raw_lb[],MATCH($A172,lmic_raw_lb[[setting]:[setting]],0), MATCH(AV$139, lmic_raw_lb[#Headers],0)))</f>
        <v>0.14584669757808072</v>
      </c>
      <c r="AW172" s="98">
        <f>IF(INDEX(lmic_raw_lb[],MATCH($A172,lmic_raw_lb[[setting]:[setting]],0), MATCH(AW$139, lmic_raw_lb[#Headers],0))=0, INDEX(regions_lb[], MATCH($D172, regions_lb[[setting]:[setting]],0), MATCH(AW$139, regions_lb[#Headers],0)),INDEX(lmic_raw_lb[],MATCH($A172,lmic_raw_lb[[setting]:[setting]],0), MATCH(AW$139, lmic_raw_lb[#Headers],0)))</f>
        <v>0.16582569402878344</v>
      </c>
      <c r="AX172" s="98">
        <f>IF(INDEX(lmic_raw_lb[],MATCH($A172,lmic_raw_lb[[setting]:[setting]],0), MATCH(AX$139, lmic_raw_lb[#Headers],0))=0, INDEX(regions_lb[], MATCH($D172, regions_lb[[setting]:[setting]],0), MATCH(AX$139, regions_lb[#Headers],0)),INDEX(lmic_raw_lb[],MATCH($A172,lmic_raw_lb[[setting]:[setting]],0), MATCH(AX$139, lmic_raw_lb[#Headers],0)))</f>
        <v>63.213000000000001</v>
      </c>
      <c r="AY172" s="98" t="str">
        <f>IF(VLOOKUP(lmics_lb[[#This Row],[setting]],lmic_raw_lb[],11,FALSE)=0, "Yes", "No")</f>
        <v>No</v>
      </c>
    </row>
    <row r="173" spans="1:51" x14ac:dyDescent="0.25">
      <c r="A173" s="110" t="s">
        <v>234</v>
      </c>
      <c r="B173" s="104" t="s">
        <v>612</v>
      </c>
      <c r="C173" s="105">
        <v>212</v>
      </c>
      <c r="D173" s="84" t="s">
        <v>679</v>
      </c>
      <c r="E173" s="122" t="s">
        <v>223</v>
      </c>
      <c r="F173" s="94" t="s">
        <v>665</v>
      </c>
      <c r="G173" s="94" t="s">
        <v>676</v>
      </c>
      <c r="H173" s="94"/>
      <c r="I173" s="94"/>
      <c r="J173" s="94">
        <f>IF(INDEX(lmic_raw_lb[],MATCH($A173,lmic_raw_lb[[setting]:[setting]],0), MATCH(J$139, lmic_raw_lb[#Headers],0))=0, INDEX(regions_lb[], MATCH($D173, regions_lb[[setting]:[setting]],0), MATCH(J$139, regions_lb[#Headers],0)),INDEX(lmic_raw_lb[],MATCH($A173,lmic_raw_lb[[setting]:[setting]],0), MATCH(J$139, lmic_raw_lb[#Headers],0)))</f>
        <v>0.90745465887683818</v>
      </c>
      <c r="K173" s="94">
        <f>IF(INDEX(lmic_raw_lb[],MATCH($A173,lmic_raw_lb[[setting]:[setting]],0), MATCH(K$139, lmic_raw_lb[#Headers],0))=0, INDEX(regions_lb[], MATCH($D173, regions_lb[[setting]:[setting]],0), MATCH(K$139, regions_lb[#Headers],0)),INDEX(lmic_raw_lb[],MATCH($A173,lmic_raw_lb[[setting]:[setting]],0), MATCH(K$139, lmic_raw_lb[#Headers],0)))</f>
        <v>0.92149999999999999</v>
      </c>
      <c r="L173" s="94">
        <f>IF(INDEX(lmic_raw_lb[],MATCH($A173,lmic_raw_lb[[setting]:[setting]],0), MATCH(L$139, lmic_raw_lb[#Headers],0))=0, INDEX(regions_lb[], MATCH($D173, regions_lb[[setting]:[setting]],0), MATCH(L$139, regions_lb[#Headers],0)),INDEX(lmic_raw_lb[],MATCH($A173,lmic_raw_lb[[setting]:[setting]],0), MATCH(L$139, lmic_raw_lb[#Headers],0)))</f>
        <v>0.9405</v>
      </c>
      <c r="M173" s="94">
        <f>IF(INDEX(lmic_raw_lb[],MATCH($A173,lmic_raw_lb[[setting]:[setting]],0), MATCH(M$139, lmic_raw_lb[#Headers],0))=0, INDEX(regions_lb[], MATCH($D173, regions_lb[[setting]:[setting]],0), MATCH(M$139, regions_lb[#Headers],0)),INDEX(lmic_raw_lb[],MATCH($A173,lmic_raw_lb[[setting]:[setting]],0), MATCH(M$139, lmic_raw_lb[#Headers],0)))</f>
        <v>1.6000000000000001E-3</v>
      </c>
      <c r="N173" s="94">
        <f>IF(INDEX(lmic_raw_lb[],MATCH($A173,lmic_raw_lb[[setting]:[setting]],0), MATCH(N$139, lmic_raw_lb[#Headers],0))=0, INDEX(regions_lb[], MATCH($D173, regions_lb[[setting]:[setting]],0), MATCH(N$139, regions_lb[#Headers],0)),INDEX(lmic_raw_lb[],MATCH($A173,lmic_raw_lb[[setting]:[setting]],0), MATCH(N$139, lmic_raw_lb[#Headers],0)))</f>
        <v>0.16805676851376106</v>
      </c>
      <c r="O173" s="94">
        <f>IF(INDEX(lmic_raw_lb[],MATCH($A173,lmic_raw_lb[[setting]:[setting]],0), MATCH(O$139, lmic_raw_lb[#Headers],0))=0, INDEX(regions_lb[], MATCH($D173, regions_lb[[setting]:[setting]],0), MATCH(O$139, regions_lb[#Headers],0)),INDEX(lmic_raw_lb[],MATCH($A173,lmic_raw_lb[[setting]:[setting]],0), MATCH(O$139, lmic_raw_lb[#Headers],0)))</f>
        <v>0.7</v>
      </c>
      <c r="P173" s="94">
        <f>IF(INDEX(lmic_raw_lb[],MATCH($A173,lmic_raw_lb[[setting]:[setting]],0), MATCH(P$139, lmic_raw_lb[#Headers],0))=0, INDEX(regions_lb[], MATCH($D173, regions_lb[[setting]:[setting]],0), MATCH(P$139, regions_lb[#Headers],0)),INDEX(lmic_raw_lb[],MATCH($A173,lmic_raw_lb[[setting]:[setting]],0), MATCH(P$139, lmic_raw_lb[#Headers],0)))</f>
        <v>0.05</v>
      </c>
      <c r="Q173" s="94">
        <f>IF(INDEX(lmic_raw_lb[],MATCH($A173,lmic_raw_lb[[setting]:[setting]],0), MATCH(Q$139, lmic_raw_lb[#Headers],0))=0, INDEX(regions_lb[], MATCH($D173, regions_lb[[setting]:[setting]],0), MATCH(Q$139, regions_lb[#Headers],0)),INDEX(lmic_raw_lb[],MATCH($A173,lmic_raw_lb[[setting]:[setting]],0), MATCH(Q$139, lmic_raw_lb[#Headers],0)))</f>
        <v>9.1998664909058991</v>
      </c>
      <c r="R173" s="94">
        <f>IF(INDEX(lmic_raw_lb[],MATCH($A173,lmic_raw_lb[[setting]:[setting]],0), MATCH(R$139, lmic_raw_lb[#Headers],0))=0, INDEX(regions_lb[], MATCH($D173, regions_lb[[setting]:[setting]],0), MATCH(R$139, regions_lb[#Headers],0)),INDEX(lmic_raw_lb[],MATCH($A173,lmic_raw_lb[[setting]:[setting]],0), MATCH(R$139, lmic_raw_lb[#Headers],0)))</f>
        <v>82.539704999999998</v>
      </c>
      <c r="S173" s="94">
        <f>IF(INDEX(lmic_raw_lb[],MATCH($A173,lmic_raw_lb[[setting]:[setting]],0), MATCH(S$139, lmic_raw_lb[#Headers],0))=0, INDEX(regions_lb[], MATCH($D173, regions_lb[[setting]:[setting]],0), MATCH(S$139, regions_lb[#Headers],0)),INDEX(lmic_raw_lb[],MATCH($A173,lmic_raw_lb[[setting]:[setting]],0), MATCH(S$139, lmic_raw_lb[#Headers],0)))</f>
        <v>127.894605</v>
      </c>
      <c r="T173" s="94">
        <f>IF(INDEX(lmic_raw_lb[],MATCH($A173,lmic_raw_lb[[setting]:[setting]],0), MATCH(T$139, lmic_raw_lb[#Headers],0))=0, INDEX(regions_lb[], MATCH($D173, regions_lb[[setting]:[setting]],0), MATCH(T$139, regions_lb[#Headers],0)),INDEX(lmic_raw_lb[],MATCH($A173,lmic_raw_lb[[setting]:[setting]],0), MATCH(T$139, lmic_raw_lb[#Headers],0)))</f>
        <v>127.894605</v>
      </c>
      <c r="U173" s="94">
        <f>IF(INDEX(lmic_raw_lb[],MATCH($A173,lmic_raw_lb[[setting]:[setting]],0), MATCH(U$139, lmic_raw_lb[#Headers],0))=0, INDEX(regions_lb[], MATCH($D173, regions_lb[[setting]:[setting]],0), MATCH(U$139, regions_lb[#Headers],0)),INDEX(lmic_raw_lb[],MATCH($A173,lmic_raw_lb[[setting]:[setting]],0), MATCH(U$139, lmic_raw_lb[#Headers],0)))</f>
        <v>127.894605</v>
      </c>
      <c r="V173" s="94">
        <f>IF(INDEX(lmic_raw_lb[],MATCH($A173,lmic_raw_lb[[setting]:[setting]],0), MATCH(V$139, lmic_raw_lb[#Headers],0))=0, INDEX(regions_lb[], MATCH($D173, regions_lb[[setting]:[setting]],0), MATCH(V$139, regions_lb[#Headers],0)),INDEX(lmic_raw_lb[],MATCH($A173,lmic_raw_lb[[setting]:[setting]],0), MATCH(V$139, lmic_raw_lb[#Headers],0)))</f>
        <v>4.9388150604151182</v>
      </c>
      <c r="W173" s="94">
        <f>IF(INDEX(lmic_raw_lb[],MATCH($A173,lmic_raw_lb[[setting]:[setting]],0), MATCH(W$139, lmic_raw_lb[#Headers],0))=0, INDEX(regions_lb[], MATCH($D173, regions_lb[[setting]:[setting]],0), MATCH(W$139, regions_lb[#Headers],0)),INDEX(lmic_raw_lb[],MATCH($A173,lmic_raw_lb[[setting]:[setting]],0), MATCH(W$139, lmic_raw_lb[#Headers],0)))</f>
        <v>4.9595250604151184</v>
      </c>
      <c r="X173" s="94">
        <f>IF(INDEX(lmic_raw_lb[],MATCH($A173,lmic_raw_lb[[setting]:[setting]],0), MATCH(X$139, lmic_raw_lb[#Headers],0))=0, INDEX(regions_lb[], MATCH($D173, regions_lb[[setting]:[setting]],0), MATCH(X$139, regions_lb[#Headers],0)),INDEX(lmic_raw_lb[],MATCH($A173,lmic_raw_lb[[setting]:[setting]],0), MATCH(X$139, lmic_raw_lb[#Headers],0)))</f>
        <v>4.5668312160517468</v>
      </c>
      <c r="Y173" s="94">
        <f>IF(INDEX(lmic_raw_lb[],MATCH($A173,lmic_raw_lb[[setting]:[setting]],0), MATCH(Y$139, lmic_raw_lb[#Headers],0))=0, INDEX(regions_lb[], MATCH($D173, regions_lb[[setting]:[setting]],0), MATCH(Y$139, regions_lb[#Headers],0)),INDEX(lmic_raw_lb[],MATCH($A173,lmic_raw_lb[[setting]:[setting]],0), MATCH(Y$139, lmic_raw_lb[#Headers],0)))</f>
        <v>4.587541216051747</v>
      </c>
      <c r="Z173" s="94">
        <f>IF(INDEX(lmic_raw_lb[],MATCH($A173,lmic_raw_lb[[setting]:[setting]],0), MATCH(Z$139, lmic_raw_lb[#Headers],0))=0, INDEX(regions_lb[], MATCH($D173, regions_lb[[setting]:[setting]],0), MATCH(Z$139, regions_lb[#Headers],0)),INDEX(lmic_raw_lb[],MATCH($A173,lmic_raw_lb[[setting]:[setting]],0), MATCH(Z$139, lmic_raw_lb[#Headers],0)))</f>
        <v>4.5814456011307811</v>
      </c>
      <c r="AA173" s="94">
        <f>IF(INDEX(lmic_raw_lb[],MATCH($A173,lmic_raw_lb[[setting]:[setting]],0), MATCH(AA$139, lmic_raw_lb[#Headers],0))=0, INDEX(regions_lb[], MATCH($D173, regions_lb[[setting]:[setting]],0), MATCH(AA$139, regions_lb[#Headers],0)),INDEX(lmic_raw_lb[],MATCH($A173,lmic_raw_lb[[setting]:[setting]],0), MATCH(AA$139, lmic_raw_lb[#Headers],0)))</f>
        <v>5.1528782396636323</v>
      </c>
      <c r="AB173" s="94">
        <f>IF(INDEX(lmic_raw_lb[],MATCH($A173,lmic_raw_lb[[setting]:[setting]],0), MATCH(AB$139, lmic_raw_lb[#Headers],0))=0, INDEX(regions_lb[], MATCH($D173, regions_lb[[setting]:[setting]],0), MATCH(AB$139, regions_lb[#Headers],0)),INDEX(lmic_raw_lb[],MATCH($A173,lmic_raw_lb[[setting]:[setting]],0), MATCH(AB$139, lmic_raw_lb[#Headers],0)))</f>
        <v>5.1735882396636326</v>
      </c>
      <c r="AC173" s="94">
        <f>IF(INDEX(lmic_raw_lb[],MATCH($A173,lmic_raw_lb[[setting]:[setting]],0), MATCH(AC$139, lmic_raw_lb[#Headers],0))=0, INDEX(regions_lb[], MATCH($D173, regions_lb[[setting]:[setting]],0), MATCH(AC$139, regions_lb[#Headers],0)),INDEX(lmic_raw_lb[],MATCH($A173,lmic_raw_lb[[setting]:[setting]],0), MATCH(AC$139, lmic_raw_lb[#Headers],0)))</f>
        <v>1.3633717916953185E-2</v>
      </c>
      <c r="AD173" s="94">
        <f>IF(INDEX(lmic_raw_lb[],MATCH($A173,lmic_raw_lb[[setting]:[setting]],0), MATCH(AD$139, lmic_raw_lb[#Headers],0))=0, INDEX(regions_lb[], MATCH($D173, regions_lb[[setting]:[setting]],0), MATCH(AD$139, regions_lb[#Headers],0)),INDEX(lmic_raw_lb[],MATCH($A173,lmic_raw_lb[[setting]:[setting]],0), MATCH(AD$139, lmic_raw_lb[#Headers],0)))</f>
        <v>6.7698862294878219E-4</v>
      </c>
      <c r="AE173" s="94">
        <f>IF(INDEX(lmic_raw_lb[],MATCH($A173,lmic_raw_lb[[setting]:[setting]],0), MATCH(AE$139, lmic_raw_lb[#Headers],0))=0, INDEX(regions_lb[], MATCH($D173, regions_lb[[setting]:[setting]],0), MATCH(AE$139, regions_lb[#Headers],0)),INDEX(lmic_raw_lb[],MATCH($A173,lmic_raw_lb[[setting]:[setting]],0), MATCH(AE$139, lmic_raw_lb[#Headers],0)))</f>
        <v>2.8766089361998098E-4</v>
      </c>
      <c r="AF173" s="94">
        <f>IF(INDEX(lmic_raw_lb[],MATCH($A173,lmic_raw_lb[[setting]:[setting]],0), MATCH(AF$139, lmic_raw_lb[#Headers],0))=0, INDEX(regions_lb[], MATCH($D173, regions_lb[[setting]:[setting]],0), MATCH(AF$139, regions_lb[#Headers],0)),INDEX(lmic_raw_lb[],MATCH($A173,lmic_raw_lb[[setting]:[setting]],0), MATCH(AF$139, lmic_raw_lb[#Headers],0)))</f>
        <v>3.3328431942374992E-4</v>
      </c>
      <c r="AG173" s="94">
        <f>IF(INDEX(lmic_raw_lb[],MATCH($A173,lmic_raw_lb[[setting]:[setting]],0), MATCH(AG$139, lmic_raw_lb[#Headers],0))=0, INDEX(regions_lb[], MATCH($D173, regions_lb[[setting]:[setting]],0), MATCH(AG$139, regions_lb[#Headers],0)),INDEX(lmic_raw_lb[],MATCH($A173,lmic_raw_lb[[setting]:[setting]],0), MATCH(AG$139, lmic_raw_lb[#Headers],0)))</f>
        <v>9.6330646819904608E-4</v>
      </c>
      <c r="AH173" s="94">
        <f>IF(INDEX(lmic_raw_lb[],MATCH($A173,lmic_raw_lb[[setting]:[setting]],0), MATCH(AH$139, lmic_raw_lb[#Headers],0))=0, INDEX(regions_lb[], MATCH($D173, regions_lb[[setting]:[setting]],0), MATCH(AH$139, regions_lb[#Headers],0)),INDEX(lmic_raw_lb[],MATCH($A173,lmic_raw_lb[[setting]:[setting]],0), MATCH(AH$139, lmic_raw_lb[#Headers],0)))</f>
        <v>1.514856006471768E-3</v>
      </c>
      <c r="AI173" s="94">
        <f>IF(INDEX(lmic_raw_lb[],MATCH($A173,lmic_raw_lb[[setting]:[setting]],0), MATCH(AI$139, lmic_raw_lb[#Headers],0))=0, INDEX(regions_lb[], MATCH($D173, regions_lb[[setting]:[setting]],0), MATCH(AI$139, regions_lb[#Headers],0)),INDEX(lmic_raw_lb[],MATCH($A173,lmic_raw_lb[[setting]:[setting]],0), MATCH(AI$139, lmic_raw_lb[#Headers],0)))</f>
        <v>1.6090551577526016E-3</v>
      </c>
      <c r="AJ173" s="94">
        <f>IF(INDEX(lmic_raw_lb[],MATCH($A173,lmic_raw_lb[[setting]:[setting]],0), MATCH(AJ$139, lmic_raw_lb[#Headers],0))=0, INDEX(regions_lb[], MATCH($D173, regions_lb[[setting]:[setting]],0), MATCH(AJ$139, regions_lb[#Headers],0)),INDEX(lmic_raw_lb[],MATCH($A173,lmic_raw_lb[[setting]:[setting]],0), MATCH(AJ$139, lmic_raw_lb[#Headers],0)))</f>
        <v>1.7834996688068936E-3</v>
      </c>
      <c r="AK173" s="94">
        <f>IF(INDEX(lmic_raw_lb[],MATCH($A173,lmic_raw_lb[[setting]:[setting]],0), MATCH(AK$139, lmic_raw_lb[#Headers],0))=0, INDEX(regions_lb[], MATCH($D173, regions_lb[[setting]:[setting]],0), MATCH(AK$139, regions_lb[#Headers],0)),INDEX(lmic_raw_lb[],MATCH($A173,lmic_raw_lb[[setting]:[setting]],0), MATCH(AK$139, lmic_raw_lb[#Headers],0)))</f>
        <v>2.0931489904602424E-3</v>
      </c>
      <c r="AL173" s="94">
        <f>IF(INDEX(lmic_raw_lb[],MATCH($A173,lmic_raw_lb[[setting]:[setting]],0), MATCH(AL$139, lmic_raw_lb[#Headers],0))=0, INDEX(regions_lb[], MATCH($D173, regions_lb[[setting]:[setting]],0), MATCH(AL$139, regions_lb[#Headers],0)),INDEX(lmic_raw_lb[],MATCH($A173,lmic_raw_lb[[setting]:[setting]],0), MATCH(AL$139, lmic_raw_lb[#Headers],0)))</f>
        <v>2.6331837012480803E-3</v>
      </c>
      <c r="AM173" s="94">
        <f>IF(INDEX(lmic_raw_lb[],MATCH($A173,lmic_raw_lb[[setting]:[setting]],0), MATCH(AM$139, lmic_raw_lb[#Headers],0))=0, INDEX(regions_lb[], MATCH($D173, regions_lb[[setting]:[setting]],0), MATCH(AM$139, regions_lb[#Headers],0)),INDEX(lmic_raw_lb[],MATCH($A173,lmic_raw_lb[[setting]:[setting]],0), MATCH(AM$139, lmic_raw_lb[#Headers],0)))</f>
        <v>3.6676874517720666E-3</v>
      </c>
      <c r="AN173" s="94">
        <f>IF(INDEX(lmic_raw_lb[],MATCH($A173,lmic_raw_lb[[setting]:[setting]],0), MATCH(AN$139, lmic_raw_lb[#Headers],0))=0, INDEX(regions_lb[], MATCH($D173, regions_lb[[setting]:[setting]],0), MATCH(AN$139, regions_lb[#Headers],0)),INDEX(lmic_raw_lb[],MATCH($A173,lmic_raw_lb[[setting]:[setting]],0), MATCH(AN$139, lmic_raw_lb[#Headers],0)))</f>
        <v>5.308768791524557E-3</v>
      </c>
      <c r="AO173" s="94">
        <f>IF(INDEX(lmic_raw_lb[],MATCH($A173,lmic_raw_lb[[setting]:[setting]],0), MATCH(AO$139, lmic_raw_lb[#Headers],0))=0, INDEX(regions_lb[], MATCH($D173, regions_lb[[setting]:[setting]],0), MATCH(AO$139, regions_lb[#Headers],0)),INDEX(lmic_raw_lb[],MATCH($A173,lmic_raw_lb[[setting]:[setting]],0), MATCH(AO$139, lmic_raw_lb[#Headers],0)))</f>
        <v>7.6948637115231856E-3</v>
      </c>
      <c r="AP173" s="94">
        <f>IF(INDEX(lmic_raw_lb[],MATCH($A173,lmic_raw_lb[[setting]:[setting]],0), MATCH(AP$139, lmic_raw_lb[#Headers],0))=0, INDEX(regions_lb[], MATCH($D173, regions_lb[[setting]:[setting]],0), MATCH(AP$139, regions_lb[#Headers],0)),INDEX(lmic_raw_lb[],MATCH($A173,lmic_raw_lb[[setting]:[setting]],0), MATCH(AP$139, lmic_raw_lb[#Headers],0)))</f>
        <v>1.1510148050940998E-2</v>
      </c>
      <c r="AQ173" s="94">
        <f>IF(INDEX(lmic_raw_lb[],MATCH($A173,lmic_raw_lb[[setting]:[setting]],0), MATCH(AQ$139, lmic_raw_lb[#Headers],0))=0, INDEX(regions_lb[], MATCH($D173, regions_lb[[setting]:[setting]],0), MATCH(AQ$139, regions_lb[#Headers],0)),INDEX(lmic_raw_lb[],MATCH($A173,lmic_raw_lb[[setting]:[setting]],0), MATCH(AQ$139, lmic_raw_lb[#Headers],0)))</f>
        <v>1.720138805720502E-2</v>
      </c>
      <c r="AR173" s="94">
        <f>IF(INDEX(lmic_raw_lb[],MATCH($A173,lmic_raw_lb[[setting]:[setting]],0), MATCH(AR$139, lmic_raw_lb[#Headers],0))=0, INDEX(regions_lb[], MATCH($D173, regions_lb[[setting]:[setting]],0), MATCH(AR$139, regions_lb[#Headers],0)),INDEX(lmic_raw_lb[],MATCH($A173,lmic_raw_lb[[setting]:[setting]],0), MATCH(AR$139, lmic_raw_lb[#Headers],0)))</f>
        <v>2.5361911458332567E-2</v>
      </c>
      <c r="AS173" s="94">
        <f>IF(INDEX(lmic_raw_lb[],MATCH($A173,lmic_raw_lb[[setting]:[setting]],0), MATCH(AS$139, lmic_raw_lb[#Headers],0))=0, INDEX(regions_lb[], MATCH($D173, regions_lb[[setting]:[setting]],0), MATCH(AS$139, regions_lb[#Headers],0)),INDEX(lmic_raw_lb[],MATCH($A173,lmic_raw_lb[[setting]:[setting]],0), MATCH(AS$139, lmic_raw_lb[#Headers],0)))</f>
        <v>3.8321126473869843E-2</v>
      </c>
      <c r="AT173" s="94">
        <f>IF(INDEX(lmic_raw_lb[],MATCH($A173,lmic_raw_lb[[setting]:[setting]],0), MATCH(AT$139, lmic_raw_lb[#Headers],0))=0, INDEX(regions_lb[], MATCH($D173, regions_lb[[setting]:[setting]],0), MATCH(AT$139, regions_lb[#Headers],0)),INDEX(lmic_raw_lb[],MATCH($A173,lmic_raw_lb[[setting]:[setting]],0), MATCH(AT$139, lmic_raw_lb[#Headers],0)))</f>
        <v>5.6861234765792579E-2</v>
      </c>
      <c r="AU173" s="94">
        <f>IF(INDEX(lmic_raw_lb[],MATCH($A173,lmic_raw_lb[[setting]:[setting]],0), MATCH(AU$139, lmic_raw_lb[#Headers],0))=0, INDEX(regions_lb[], MATCH($D173, regions_lb[[setting]:[setting]],0), MATCH(AU$139, regions_lb[#Headers],0)),INDEX(lmic_raw_lb[],MATCH($A173,lmic_raw_lb[[setting]:[setting]],0), MATCH(AU$139, lmic_raw_lb[#Headers],0)))</f>
        <v>8.1942868757671011E-2</v>
      </c>
      <c r="AV173" s="94">
        <f>IF(INDEX(lmic_raw_lb[],MATCH($A173,lmic_raw_lb[[setting]:[setting]],0), MATCH(AV$139, lmic_raw_lb[#Headers],0))=0, INDEX(regions_lb[], MATCH($D173, regions_lb[[setting]:[setting]],0), MATCH(AV$139, regions_lb[#Headers],0)),INDEX(lmic_raw_lb[],MATCH($A173,lmic_raw_lb[[setting]:[setting]],0), MATCH(AV$139, lmic_raw_lb[#Headers],0)))</f>
        <v>0.10679457292469145</v>
      </c>
      <c r="AW173" s="94">
        <f>IF(INDEX(lmic_raw_lb[],MATCH($A173,lmic_raw_lb[[setting]:[setting]],0), MATCH(AW$139, lmic_raw_lb[#Headers],0))=0, INDEX(regions_lb[], MATCH($D173, regions_lb[[setting]:[setting]],0), MATCH(AW$139, regions_lb[#Headers],0)),INDEX(lmic_raw_lb[],MATCH($A173,lmic_raw_lb[[setting]:[setting]],0), MATCH(AW$139, lmic_raw_lb[#Headers],0)))</f>
        <v>0.13750052227368864</v>
      </c>
      <c r="AX173" s="94">
        <f>IF(INDEX(lmic_raw_lb[],MATCH($A173,lmic_raw_lb[[setting]:[setting]],0), MATCH(AX$139, lmic_raw_lb[#Headers],0))=0, INDEX(regions_lb[], MATCH($D173, regions_lb[[setting]:[setting]],0), MATCH(AX$139, regions_lb[#Headers],0)),INDEX(lmic_raw_lb[],MATCH($A173,lmic_raw_lb[[setting]:[setting]],0), MATCH(AX$139, lmic_raw_lb[#Headers],0)))</f>
        <v>71.785784318523724</v>
      </c>
      <c r="AY173" s="94" t="str">
        <f>IF(VLOOKUP(lmics_lb[[#This Row],[setting]],lmic_raw_lb[],11,FALSE)=0, "Yes", "No")</f>
        <v>No</v>
      </c>
    </row>
    <row r="174" spans="1:51" x14ac:dyDescent="0.25">
      <c r="A174" s="109" t="s">
        <v>614</v>
      </c>
      <c r="B174" s="101" t="s">
        <v>415</v>
      </c>
      <c r="C174" s="102">
        <v>214</v>
      </c>
      <c r="D174" s="82" t="s">
        <v>679</v>
      </c>
      <c r="E174" s="121" t="s">
        <v>223</v>
      </c>
      <c r="F174" s="98" t="s">
        <v>665</v>
      </c>
      <c r="G174" s="98" t="s">
        <v>676</v>
      </c>
      <c r="H174" s="98"/>
      <c r="I174" s="98"/>
      <c r="J174" s="98">
        <f>IF(INDEX(lmic_raw_lb[],MATCH($A174,lmic_raw_lb[[setting]:[setting]],0), MATCH(J$139, lmic_raw_lb[#Headers],0))=0, INDEX(regions_lb[], MATCH($D174, regions_lb[[setting]:[setting]],0), MATCH(J$139, regions_lb[#Headers],0)),INDEX(lmic_raw_lb[],MATCH($A174,lmic_raw_lb[[setting]:[setting]],0), MATCH(J$139, lmic_raw_lb[#Headers],0)))</f>
        <v>0.93005000000000004</v>
      </c>
      <c r="K174" s="98">
        <f>IF(INDEX(lmic_raw_lb[],MATCH($A174,lmic_raw_lb[[setting]:[setting]],0), MATCH(K$139, lmic_raw_lb[#Headers],0))=0, INDEX(regions_lb[], MATCH($D174, regions_lb[[setting]:[setting]],0), MATCH(K$139, regions_lb[#Headers],0)),INDEX(lmic_raw_lb[],MATCH($A174,lmic_raw_lb[[setting]:[setting]],0), MATCH(K$139, lmic_raw_lb[#Headers],0)))</f>
        <v>0.627</v>
      </c>
      <c r="L174" s="98">
        <f>IF(INDEX(lmic_raw_lb[],MATCH($A174,lmic_raw_lb[[setting]:[setting]],0), MATCH(L$139, lmic_raw_lb[#Headers],0))=0, INDEX(regions_lb[], MATCH($D174, regions_lb[[setting]:[setting]],0), MATCH(L$139, regions_lb[#Headers],0)),INDEX(lmic_raw_lb[],MATCH($A174,lmic_raw_lb[[setting]:[setting]],0), MATCH(L$139, lmic_raw_lb[#Headers],0)))</f>
        <v>0.82650000000000001</v>
      </c>
      <c r="M174" s="98">
        <f>IF(INDEX(lmic_raw_lb[],MATCH($A174,lmic_raw_lb[[setting]:[setting]],0), MATCH(M$139, lmic_raw_lb[#Headers],0))=0, INDEX(regions_lb[], MATCH($D174, regions_lb[[setting]:[setting]],0), MATCH(M$139, regions_lb[#Headers],0)),INDEX(lmic_raw_lb[],MATCH($A174,lmic_raw_lb[[setting]:[setting]],0), MATCH(M$139, lmic_raw_lb[#Headers],0)))</f>
        <v>1.1000000000000001E-3</v>
      </c>
      <c r="N174" s="98">
        <f>IF(INDEX(lmic_raw_lb[],MATCH($A174,lmic_raw_lb[[setting]:[setting]],0), MATCH(N$139, lmic_raw_lb[#Headers],0))=0, INDEX(regions_lb[], MATCH($D174, regions_lb[[setting]:[setting]],0), MATCH(N$139, regions_lb[#Headers],0)),INDEX(lmic_raw_lb[],MATCH($A174,lmic_raw_lb[[setting]:[setting]],0), MATCH(N$139, lmic_raw_lb[#Headers],0)))</f>
        <v>0.16309999999999999</v>
      </c>
      <c r="O174" s="98">
        <f>IF(INDEX(lmic_raw_lb[],MATCH($A174,lmic_raw_lb[[setting]:[setting]],0), MATCH(O$139, lmic_raw_lb[#Headers],0))=0, INDEX(regions_lb[], MATCH($D174, regions_lb[[setting]:[setting]],0), MATCH(O$139, regions_lb[#Headers],0)),INDEX(lmic_raw_lb[],MATCH($A174,lmic_raw_lb[[setting]:[setting]],0), MATCH(O$139, lmic_raw_lb[#Headers],0)))</f>
        <v>0.7</v>
      </c>
      <c r="P174" s="98">
        <f>IF(INDEX(lmic_raw_lb[],MATCH($A174,lmic_raw_lb[[setting]:[setting]],0), MATCH(P$139, lmic_raw_lb[#Headers],0))=0, INDEX(regions_lb[], MATCH($D174, regions_lb[[setting]:[setting]],0), MATCH(P$139, regions_lb[#Headers],0)),INDEX(lmic_raw_lb[],MATCH($A174,lmic_raw_lb[[setting]:[setting]],0), MATCH(P$139, lmic_raw_lb[#Headers],0)))</f>
        <v>0.05</v>
      </c>
      <c r="Q174" s="98">
        <f>IF(INDEX(lmic_raw_lb[],MATCH($A174,lmic_raw_lb[[setting]:[setting]],0), MATCH(Q$139, lmic_raw_lb[#Headers],0))=0, INDEX(regions_lb[], MATCH($D174, regions_lb[[setting]:[setting]],0), MATCH(Q$139, regions_lb[#Headers],0)),INDEX(lmic_raw_lb[],MATCH($A174,lmic_raw_lb[[setting]:[setting]],0), MATCH(Q$139, lmic_raw_lb[#Headers],0)))</f>
        <v>9.0313708620463409</v>
      </c>
      <c r="R174" s="98">
        <f>IF(INDEX(lmic_raw_lb[],MATCH($A174,lmic_raw_lb[[setting]:[setting]],0), MATCH(R$139, lmic_raw_lb[#Headers],0))=0, INDEX(regions_lb[], MATCH($D174, regions_lb[[setting]:[setting]],0), MATCH(R$139, regions_lb[#Headers],0)),INDEX(lmic_raw_lb[],MATCH($A174,lmic_raw_lb[[setting]:[setting]],0), MATCH(R$139, lmic_raw_lb[#Headers],0)))</f>
        <v>82.539704999999998</v>
      </c>
      <c r="S174" s="98">
        <f>IF(INDEX(lmic_raw_lb[],MATCH($A174,lmic_raw_lb[[setting]:[setting]],0), MATCH(S$139, lmic_raw_lb[#Headers],0))=0, INDEX(regions_lb[], MATCH($D174, regions_lb[[setting]:[setting]],0), MATCH(S$139, regions_lb[#Headers],0)),INDEX(lmic_raw_lb[],MATCH($A174,lmic_raw_lb[[setting]:[setting]],0), MATCH(S$139, lmic_raw_lb[#Headers],0)))</f>
        <v>127.894605</v>
      </c>
      <c r="T174" s="98">
        <f>IF(INDEX(lmic_raw_lb[],MATCH($A174,lmic_raw_lb[[setting]:[setting]],0), MATCH(T$139, lmic_raw_lb[#Headers],0))=0, INDEX(regions_lb[], MATCH($D174, regions_lb[[setting]:[setting]],0), MATCH(T$139, regions_lb[#Headers],0)),INDEX(lmic_raw_lb[],MATCH($A174,lmic_raw_lb[[setting]:[setting]],0), MATCH(T$139, lmic_raw_lb[#Headers],0)))</f>
        <v>127.894605</v>
      </c>
      <c r="U174" s="98">
        <f>IF(INDEX(lmic_raw_lb[],MATCH($A174,lmic_raw_lb[[setting]:[setting]],0), MATCH(U$139, lmic_raw_lb[#Headers],0))=0, INDEX(regions_lb[], MATCH($D174, regions_lb[[setting]:[setting]],0), MATCH(U$139, regions_lb[#Headers],0)),INDEX(lmic_raw_lb[],MATCH($A174,lmic_raw_lb[[setting]:[setting]],0), MATCH(U$139, lmic_raw_lb[#Headers],0)))</f>
        <v>127.894605</v>
      </c>
      <c r="V174" s="98">
        <f>IF(INDEX(lmic_raw_lb[],MATCH($A174,lmic_raw_lb[[setting]:[setting]],0), MATCH(V$139, lmic_raw_lb[#Headers],0))=0, INDEX(regions_lb[], MATCH($D174, regions_lb[[setting]:[setting]],0), MATCH(V$139, regions_lb[#Headers],0)),INDEX(lmic_raw_lb[],MATCH($A174,lmic_raw_lb[[setting]:[setting]],0), MATCH(V$139, lmic_raw_lb[#Headers],0)))</f>
        <v>2.3560758569298397</v>
      </c>
      <c r="W174" s="98">
        <f>IF(INDEX(lmic_raw_lb[],MATCH($A174,lmic_raw_lb[[setting]:[setting]],0), MATCH(W$139, lmic_raw_lb[#Headers],0))=0, INDEX(regions_lb[], MATCH($D174, regions_lb[[setting]:[setting]],0), MATCH(W$139, regions_lb[#Headers],0)),INDEX(lmic_raw_lb[],MATCH($A174,lmic_raw_lb[[setting]:[setting]],0), MATCH(W$139, lmic_raw_lb[#Headers],0)))</f>
        <v>2.3767858569298395</v>
      </c>
      <c r="X174" s="98">
        <f>IF(INDEX(lmic_raw_lb[],MATCH($A174,lmic_raw_lb[[setting]:[setting]],0), MATCH(X$139, lmic_raw_lb[#Headers],0))=0, INDEX(regions_lb[], MATCH($D174, regions_lb[[setting]:[setting]],0), MATCH(X$139, regions_lb[#Headers],0)),INDEX(lmic_raw_lb[],MATCH($A174,lmic_raw_lb[[setting]:[setting]],0), MATCH(X$139, lmic_raw_lb[#Headers],0)))</f>
        <v>1.98303756694276</v>
      </c>
      <c r="Y174" s="98">
        <f>IF(INDEX(lmic_raw_lb[],MATCH($A174,lmic_raw_lb[[setting]:[setting]],0), MATCH(Y$139, lmic_raw_lb[#Headers],0))=0, INDEX(regions_lb[], MATCH($D174, regions_lb[[setting]:[setting]],0), MATCH(Y$139, regions_lb[#Headers],0)),INDEX(lmic_raw_lb[],MATCH($A174,lmic_raw_lb[[setting]:[setting]],0), MATCH(Y$139, lmic_raw_lb[#Headers],0)))</f>
        <v>2.00374756694276</v>
      </c>
      <c r="Z174" s="98">
        <f>IF(INDEX(lmic_raw_lb[],MATCH($A174,lmic_raw_lb[[setting]:[setting]],0), MATCH(Z$139, lmic_raw_lb[#Headers],0))=0, INDEX(regions_lb[], MATCH($D174, regions_lb[[setting]:[setting]],0), MATCH(Z$139, regions_lb[#Headers],0)),INDEX(lmic_raw_lb[],MATCH($A174,lmic_raw_lb[[setting]:[setting]],0), MATCH(Z$139, lmic_raw_lb[#Headers],0)))</f>
        <v>1.9963176784468821</v>
      </c>
      <c r="AA174" s="98">
        <f>IF(INDEX(lmic_raw_lb[],MATCH($A174,lmic_raw_lb[[setting]:[setting]],0), MATCH(AA$139, lmic_raw_lb[#Headers],0))=0, INDEX(regions_lb[], MATCH($D174, regions_lb[[setting]:[setting]],0), MATCH(AA$139, regions_lb[#Headers],0)),INDEX(lmic_raw_lb[],MATCH($A174,lmic_raw_lb[[setting]:[setting]],0), MATCH(AA$139, lmic_raw_lb[#Headers],0)))</f>
        <v>2.5705909414456576</v>
      </c>
      <c r="AB174" s="98">
        <f>IF(INDEX(lmic_raw_lb[],MATCH($A174,lmic_raw_lb[[setting]:[setting]],0), MATCH(AB$139, lmic_raw_lb[#Headers],0))=0, INDEX(regions_lb[], MATCH($D174, regions_lb[[setting]:[setting]],0), MATCH(AB$139, regions_lb[#Headers],0)),INDEX(lmic_raw_lb[],MATCH($A174,lmic_raw_lb[[setting]:[setting]],0), MATCH(AB$139, lmic_raw_lb[#Headers],0)))</f>
        <v>2.5913009414456574</v>
      </c>
      <c r="AC174" s="98">
        <f>IF(INDEX(lmic_raw_lb[],MATCH($A174,lmic_raw_lb[[setting]:[setting]],0), MATCH(AC$139, lmic_raw_lb[#Headers],0))=0, INDEX(regions_lb[], MATCH($D174, regions_lb[[setting]:[setting]],0), MATCH(AC$139, regions_lb[#Headers],0)),INDEX(lmic_raw_lb[],MATCH($A174,lmic_raw_lb[[setting]:[setting]],0), MATCH(AC$139, lmic_raw_lb[#Headers],0)))</f>
        <v>2.4569973499999946E-2</v>
      </c>
      <c r="AD174" s="98">
        <f>IF(INDEX(lmic_raw_lb[],MATCH($A174,lmic_raw_lb[[setting]:[setting]],0), MATCH(AD$139, lmic_raw_lb[#Headers],0))=0, INDEX(regions_lb[], MATCH($D174, regions_lb[[setting]:[setting]],0), MATCH(AD$139, regions_lb[#Headers],0)),INDEX(lmic_raw_lb[],MATCH($A174,lmic_raw_lb[[setting]:[setting]],0), MATCH(AD$139, lmic_raw_lb[#Headers],0)))</f>
        <v>7.3489583142461812E-4</v>
      </c>
      <c r="AE174" s="98">
        <f>IF(INDEX(lmic_raw_lb[],MATCH($A174,lmic_raw_lb[[setting]:[setting]],0), MATCH(AE$139, lmic_raw_lb[#Headers],0))=0, INDEX(regions_lb[], MATCH($D174, regions_lb[[setting]:[setting]],0), MATCH(AE$139, regions_lb[#Headers],0)),INDEX(lmic_raw_lb[],MATCH($A174,lmic_raw_lb[[setting]:[setting]],0), MATCH(AE$139, lmic_raw_lb[#Headers],0)))</f>
        <v>3.53282994340754E-4</v>
      </c>
      <c r="AF174" s="98">
        <f>IF(INDEX(lmic_raw_lb[],MATCH($A174,lmic_raw_lb[[setting]:[setting]],0), MATCH(AF$139, lmic_raw_lb[#Headers],0))=0, INDEX(regions_lb[], MATCH($D174, regions_lb[[setting]:[setting]],0), MATCH(AF$139, regions_lb[#Headers],0)),INDEX(lmic_raw_lb[],MATCH($A174,lmic_raw_lb[[setting]:[setting]],0), MATCH(AF$139, lmic_raw_lb[#Headers],0)))</f>
        <v>3.5403911399834289E-4</v>
      </c>
      <c r="AG174" s="98">
        <f>IF(INDEX(lmic_raw_lb[],MATCH($A174,lmic_raw_lb[[setting]:[setting]],0), MATCH(AG$139, lmic_raw_lb[#Headers],0))=0, INDEX(regions_lb[], MATCH($D174, regions_lb[[setting]:[setting]],0), MATCH(AG$139, regions_lb[#Headers],0)),INDEX(lmic_raw_lb[],MATCH($A174,lmic_raw_lb[[setting]:[setting]],0), MATCH(AG$139, lmic_raw_lb[#Headers],0)))</f>
        <v>8.9216923611967964E-4</v>
      </c>
      <c r="AH174" s="98">
        <f>IF(INDEX(lmic_raw_lb[],MATCH($A174,lmic_raw_lb[[setting]:[setting]],0), MATCH(AH$139, lmic_raw_lb[#Headers],0))=0, INDEX(regions_lb[], MATCH($D174, regions_lb[[setting]:[setting]],0), MATCH(AH$139, regions_lb[#Headers],0)),INDEX(lmic_raw_lb[],MATCH($A174,lmic_raw_lb[[setting]:[setting]],0), MATCH(AH$139, lmic_raw_lb[#Headers],0)))</f>
        <v>1.5766090376971693E-3</v>
      </c>
      <c r="AI174" s="98">
        <f>IF(INDEX(lmic_raw_lb[],MATCH($A174,lmic_raw_lb[[setting]:[setting]],0), MATCH(AI$139, lmic_raw_lb[#Headers],0))=0, INDEX(regions_lb[], MATCH($D174, regions_lb[[setting]:[setting]],0), MATCH(AI$139, regions_lb[#Headers],0)),INDEX(lmic_raw_lb[],MATCH($A174,lmic_raw_lb[[setting]:[setting]],0), MATCH(AI$139, lmic_raw_lb[#Headers],0)))</f>
        <v>1.9941348325666431E-3</v>
      </c>
      <c r="AJ174" s="98">
        <f>IF(INDEX(lmic_raw_lb[],MATCH($A174,lmic_raw_lb[[setting]:[setting]],0), MATCH(AJ$139, lmic_raw_lb[#Headers],0))=0, INDEX(regions_lb[], MATCH($D174, regions_lb[[setting]:[setting]],0), MATCH(AJ$139, regions_lb[#Headers],0)),INDEX(lmic_raw_lb[],MATCH($A174,lmic_raw_lb[[setting]:[setting]],0), MATCH(AJ$139, lmic_raw_lb[#Headers],0)))</f>
        <v>2.4312495435624918E-3</v>
      </c>
      <c r="AK174" s="98">
        <f>IF(INDEX(lmic_raw_lb[],MATCH($A174,lmic_raw_lb[[setting]:[setting]],0), MATCH(AK$139, lmic_raw_lb[#Headers],0))=0, INDEX(regions_lb[], MATCH($D174, regions_lb[[setting]:[setting]],0), MATCH(AK$139, regions_lb[#Headers],0)),INDEX(lmic_raw_lb[],MATCH($A174,lmic_raw_lb[[setting]:[setting]],0), MATCH(AK$139, lmic_raw_lb[#Headers],0)))</f>
        <v>2.7005141090420634E-3</v>
      </c>
      <c r="AL174" s="98">
        <f>IF(INDEX(lmic_raw_lb[],MATCH($A174,lmic_raw_lb[[setting]:[setting]],0), MATCH(AL$139, lmic_raw_lb[#Headers],0))=0, INDEX(regions_lb[], MATCH($D174, regions_lb[[setting]:[setting]],0), MATCH(AL$139, regions_lb[#Headers],0)),INDEX(lmic_raw_lb[],MATCH($A174,lmic_raw_lb[[setting]:[setting]],0), MATCH(AL$139, lmic_raw_lb[#Headers],0)))</f>
        <v>3.3928944065910521E-3</v>
      </c>
      <c r="AM174" s="98">
        <f>IF(INDEX(lmic_raw_lb[],MATCH($A174,lmic_raw_lb[[setting]:[setting]],0), MATCH(AM$139, lmic_raw_lb[#Headers],0))=0, INDEX(regions_lb[], MATCH($D174, regions_lb[[setting]:[setting]],0), MATCH(AM$139, regions_lb[#Headers],0)),INDEX(lmic_raw_lb[],MATCH($A174,lmic_raw_lb[[setting]:[setting]],0), MATCH(AM$139, lmic_raw_lb[#Headers],0)))</f>
        <v>4.5272895516323252E-3</v>
      </c>
      <c r="AN174" s="98">
        <f>IF(INDEX(lmic_raw_lb[],MATCH($A174,lmic_raw_lb[[setting]:[setting]],0), MATCH(AN$139, lmic_raw_lb[#Headers],0))=0, INDEX(regions_lb[], MATCH($D174, regions_lb[[setting]:[setting]],0), MATCH(AN$139, regions_lb[#Headers],0)),INDEX(lmic_raw_lb[],MATCH($A174,lmic_raw_lb[[setting]:[setting]],0), MATCH(AN$139, lmic_raw_lb[#Headers],0)))</f>
        <v>5.9932348365053911E-3</v>
      </c>
      <c r="AO174" s="98">
        <f>IF(INDEX(lmic_raw_lb[],MATCH($A174,lmic_raw_lb[[setting]:[setting]],0), MATCH(AO$139, lmic_raw_lb[#Headers],0))=0, INDEX(regions_lb[], MATCH($D174, regions_lb[[setting]:[setting]],0), MATCH(AO$139, regions_lb[#Headers],0)),INDEX(lmic_raw_lb[],MATCH($A174,lmic_raw_lb[[setting]:[setting]],0), MATCH(AO$139, lmic_raw_lb[#Headers],0)))</f>
        <v>8.6917426455350357E-3</v>
      </c>
      <c r="AP174" s="98">
        <f>IF(INDEX(lmic_raw_lb[],MATCH($A174,lmic_raw_lb[[setting]:[setting]],0), MATCH(AP$139, lmic_raw_lb[#Headers],0))=0, INDEX(regions_lb[], MATCH($D174, regions_lb[[setting]:[setting]],0), MATCH(AP$139, regions_lb[#Headers],0)),INDEX(lmic_raw_lb[],MATCH($A174,lmic_raw_lb[[setting]:[setting]],0), MATCH(AP$139, lmic_raw_lb[#Headers],0)))</f>
        <v>1.2821746606886841E-2</v>
      </c>
      <c r="AQ174" s="98">
        <f>IF(INDEX(lmic_raw_lb[],MATCH($A174,lmic_raw_lb[[setting]:[setting]],0), MATCH(AQ$139, lmic_raw_lb[#Headers],0))=0, INDEX(regions_lb[], MATCH($D174, regions_lb[[setting]:[setting]],0), MATCH(AQ$139, regions_lb[#Headers],0)),INDEX(lmic_raw_lb[],MATCH($A174,lmic_raw_lb[[setting]:[setting]],0), MATCH(AQ$139, lmic_raw_lb[#Headers],0)))</f>
        <v>1.8872461897233399E-2</v>
      </c>
      <c r="AR174" s="98">
        <f>IF(INDEX(lmic_raw_lb[],MATCH($A174,lmic_raw_lb[[setting]:[setting]],0), MATCH(AR$139, lmic_raw_lb[#Headers],0))=0, INDEX(regions_lb[], MATCH($D174, regions_lb[[setting]:[setting]],0), MATCH(AR$139, regions_lb[#Headers],0)),INDEX(lmic_raw_lb[],MATCH($A174,lmic_raw_lb[[setting]:[setting]],0), MATCH(AR$139, lmic_raw_lb[#Headers],0)))</f>
        <v>2.7365621001182817E-2</v>
      </c>
      <c r="AS174" s="98">
        <f>IF(INDEX(lmic_raw_lb[],MATCH($A174,lmic_raw_lb[[setting]:[setting]],0), MATCH(AS$139, lmic_raw_lb[#Headers],0))=0, INDEX(regions_lb[], MATCH($D174, regions_lb[[setting]:[setting]],0), MATCH(AS$139, regions_lb[#Headers],0)),INDEX(lmic_raw_lb[],MATCH($A174,lmic_raw_lb[[setting]:[setting]],0), MATCH(AS$139, lmic_raw_lb[#Headers],0)))</f>
        <v>3.9682877766530657E-2</v>
      </c>
      <c r="AT174" s="98">
        <f>IF(INDEX(lmic_raw_lb[],MATCH($A174,lmic_raw_lb[[setting]:[setting]],0), MATCH(AT$139, lmic_raw_lb[#Headers],0))=0, INDEX(regions_lb[], MATCH($D174, regions_lb[[setting]:[setting]],0), MATCH(AT$139, regions_lb[#Headers],0)),INDEX(lmic_raw_lb[],MATCH($A174,lmic_raw_lb[[setting]:[setting]],0), MATCH(AT$139, lmic_raw_lb[#Headers],0)))</f>
        <v>5.4862468989533467E-2</v>
      </c>
      <c r="AU174" s="98">
        <f>IF(INDEX(lmic_raw_lb[],MATCH($A174,lmic_raw_lb[[setting]:[setting]],0), MATCH(AU$139, lmic_raw_lb[#Headers],0))=0, INDEX(regions_lb[], MATCH($D174, regions_lb[[setting]:[setting]],0), MATCH(AU$139, regions_lb[#Headers],0)),INDEX(lmic_raw_lb[],MATCH($A174,lmic_raw_lb[[setting]:[setting]],0), MATCH(AU$139, lmic_raw_lb[#Headers],0)))</f>
        <v>7.2394293508525234E-2</v>
      </c>
      <c r="AV174" s="98">
        <f>IF(INDEX(lmic_raw_lb[],MATCH($A174,lmic_raw_lb[[setting]:[setting]],0), MATCH(AV$139, lmic_raw_lb[#Headers],0))=0, INDEX(regions_lb[], MATCH($D174, regions_lb[[setting]:[setting]],0), MATCH(AV$139, regions_lb[#Headers],0)),INDEX(lmic_raw_lb[],MATCH($A174,lmic_raw_lb[[setting]:[setting]],0), MATCH(AV$139, lmic_raw_lb[#Headers],0)))</f>
        <v>9.1059541550266548E-2</v>
      </c>
      <c r="AW174" s="98">
        <f>IF(INDEX(lmic_raw_lb[],MATCH($A174,lmic_raw_lb[[setting]:[setting]],0), MATCH(AW$139, lmic_raw_lb[#Headers],0))=0, INDEX(regions_lb[], MATCH($D174, regions_lb[[setting]:[setting]],0), MATCH(AW$139, regions_lb[#Headers],0)),INDEX(lmic_raw_lb[],MATCH($A174,lmic_raw_lb[[setting]:[setting]],0), MATCH(AW$139, lmic_raw_lb[#Headers],0)))</f>
        <v>0.10944282173746935</v>
      </c>
      <c r="AX174" s="98">
        <f>IF(INDEX(lmic_raw_lb[],MATCH($A174,lmic_raw_lb[[setting]:[setting]],0), MATCH(AX$139, lmic_raw_lb[#Headers],0))=0, INDEX(regions_lb[], MATCH($D174, regions_lb[[setting]:[setting]],0), MATCH(AX$139, regions_lb[#Headers],0)),INDEX(lmic_raw_lb[],MATCH($A174,lmic_raw_lb[[setting]:[setting]],0), MATCH(AX$139, lmic_raw_lb[#Headers],0)))</f>
        <v>70.120450000000005</v>
      </c>
      <c r="AY174" s="98" t="str">
        <f>IF(VLOOKUP(lmics_lb[[#This Row],[setting]],lmic_raw_lb[],11,FALSE)=0, "Yes", "No")</f>
        <v>No</v>
      </c>
    </row>
    <row r="175" spans="1:51" x14ac:dyDescent="0.25">
      <c r="A175" s="110" t="s">
        <v>267</v>
      </c>
      <c r="B175" s="104" t="s">
        <v>416</v>
      </c>
      <c r="C175" s="105">
        <v>218</v>
      </c>
      <c r="D175" s="84" t="s">
        <v>679</v>
      </c>
      <c r="E175" s="122" t="s">
        <v>593</v>
      </c>
      <c r="F175" s="94" t="s">
        <v>665</v>
      </c>
      <c r="G175" s="94" t="s">
        <v>676</v>
      </c>
      <c r="H175" s="94"/>
      <c r="I175" s="94"/>
      <c r="J175" s="94">
        <f>IF(INDEX(lmic_raw_lb[],MATCH($A175,lmic_raw_lb[[setting]:[setting]],0), MATCH(J$139, lmic_raw_lb[#Headers],0))=0, INDEX(regions_lb[], MATCH($D175, regions_lb[[setting]:[setting]],0), MATCH(J$139, regions_lb[#Headers],0)),INDEX(lmic_raw_lb[],MATCH($A175,lmic_raw_lb[[setting]:[setting]],0), MATCH(J$139, lmic_raw_lb[#Headers],0)))</f>
        <v>0.88634999999999986</v>
      </c>
      <c r="K175" s="94">
        <f>IF(INDEX(lmic_raw_lb[],MATCH($A175,lmic_raw_lb[[setting]:[setting]],0), MATCH(K$139, lmic_raw_lb[#Headers],0))=0, INDEX(regions_lb[], MATCH($D175, regions_lb[[setting]:[setting]],0), MATCH(K$139, regions_lb[#Headers],0)),INDEX(lmic_raw_lb[],MATCH($A175,lmic_raw_lb[[setting]:[setting]],0), MATCH(K$139, lmic_raw_lb[#Headers],0)))</f>
        <v>0.67449999999999999</v>
      </c>
      <c r="L175" s="94">
        <f>IF(INDEX(lmic_raw_lb[],MATCH($A175,lmic_raw_lb[[setting]:[setting]],0), MATCH(L$139, lmic_raw_lb[#Headers],0))=0, INDEX(regions_lb[], MATCH($D175, regions_lb[[setting]:[setting]],0), MATCH(L$139, regions_lb[#Headers],0)),INDEX(lmic_raw_lb[],MATCH($A175,lmic_raw_lb[[setting]:[setting]],0), MATCH(L$139, lmic_raw_lb[#Headers],0)))</f>
        <v>0.8075</v>
      </c>
      <c r="M175" s="94">
        <f>IF(INDEX(lmic_raw_lb[],MATCH($A175,lmic_raw_lb[[setting]:[setting]],0), MATCH(M$139, lmic_raw_lb[#Headers],0))=0, INDEX(regions_lb[], MATCH($D175, regions_lb[[setting]:[setting]],0), MATCH(M$139, regions_lb[#Headers],0)),INDEX(lmic_raw_lb[],MATCH($A175,lmic_raw_lb[[setting]:[setting]],0), MATCH(M$139, lmic_raw_lb[#Headers],0)))</f>
        <v>1.8E-3</v>
      </c>
      <c r="N175" s="94">
        <f>IF(INDEX(lmic_raw_lb[],MATCH($A175,lmic_raw_lb[[setting]:[setting]],0), MATCH(N$139, lmic_raw_lb[#Headers],0))=0, INDEX(regions_lb[], MATCH($D175, regions_lb[[setting]:[setting]],0), MATCH(N$139, regions_lb[#Headers],0)),INDEX(lmic_raw_lb[],MATCH($A175,lmic_raw_lb[[setting]:[setting]],0), MATCH(N$139, lmic_raw_lb[#Headers],0)))</f>
        <v>0.16269999999999998</v>
      </c>
      <c r="O175" s="94">
        <f>IF(INDEX(lmic_raw_lb[],MATCH($A175,lmic_raw_lb[[setting]:[setting]],0), MATCH(O$139, lmic_raw_lb[#Headers],0))=0, INDEX(regions_lb[], MATCH($D175, regions_lb[[setting]:[setting]],0), MATCH(O$139, regions_lb[#Headers],0)),INDEX(lmic_raw_lb[],MATCH($A175,lmic_raw_lb[[setting]:[setting]],0), MATCH(O$139, lmic_raw_lb[#Headers],0)))</f>
        <v>0.7</v>
      </c>
      <c r="P175" s="94">
        <f>IF(INDEX(lmic_raw_lb[],MATCH($A175,lmic_raw_lb[[setting]:[setting]],0), MATCH(P$139, lmic_raw_lb[#Headers],0))=0, INDEX(regions_lb[], MATCH($D175, regions_lb[[setting]:[setting]],0), MATCH(P$139, regions_lb[#Headers],0)),INDEX(lmic_raw_lb[],MATCH($A175,lmic_raw_lb[[setting]:[setting]],0), MATCH(P$139, lmic_raw_lb[#Headers],0)))</f>
        <v>0.05</v>
      </c>
      <c r="Q175" s="94">
        <f>IF(INDEX(lmic_raw_lb[],MATCH($A175,lmic_raw_lb[[setting]:[setting]],0), MATCH(Q$139, lmic_raw_lb[#Headers],0))=0, INDEX(regions_lb[], MATCH($D175, regions_lb[[setting]:[setting]],0), MATCH(Q$139, regions_lb[#Headers],0)),INDEX(lmic_raw_lb[],MATCH($A175,lmic_raw_lb[[setting]:[setting]],0), MATCH(Q$139, lmic_raw_lb[#Headers],0)))</f>
        <v>9.1998664909058991</v>
      </c>
      <c r="R175" s="94">
        <f>IF(INDEX(lmic_raw_lb[],MATCH($A175,lmic_raw_lb[[setting]:[setting]],0), MATCH(R$139, lmic_raw_lb[#Headers],0))=0, INDEX(regions_lb[], MATCH($D175, regions_lb[[setting]:[setting]],0), MATCH(R$139, regions_lb[#Headers],0)),INDEX(lmic_raw_lb[],MATCH($A175,lmic_raw_lb[[setting]:[setting]],0), MATCH(R$139, lmic_raw_lb[#Headers],0)))</f>
        <v>82.539704999999998</v>
      </c>
      <c r="S175" s="94">
        <f>IF(INDEX(lmic_raw_lb[],MATCH($A175,lmic_raw_lb[[setting]:[setting]],0), MATCH(S$139, lmic_raw_lb[#Headers],0))=0, INDEX(regions_lb[], MATCH($D175, regions_lb[[setting]:[setting]],0), MATCH(S$139, regions_lb[#Headers],0)),INDEX(lmic_raw_lb[],MATCH($A175,lmic_raw_lb[[setting]:[setting]],0), MATCH(S$139, lmic_raw_lb[#Headers],0)))</f>
        <v>127.894605</v>
      </c>
      <c r="T175" s="94">
        <f>IF(INDEX(lmic_raw_lb[],MATCH($A175,lmic_raw_lb[[setting]:[setting]],0), MATCH(T$139, lmic_raw_lb[#Headers],0))=0, INDEX(regions_lb[], MATCH($D175, regions_lb[[setting]:[setting]],0), MATCH(T$139, regions_lb[#Headers],0)),INDEX(lmic_raw_lb[],MATCH($A175,lmic_raw_lb[[setting]:[setting]],0), MATCH(T$139, lmic_raw_lb[#Headers],0)))</f>
        <v>127.894605</v>
      </c>
      <c r="U175" s="94">
        <f>IF(INDEX(lmic_raw_lb[],MATCH($A175,lmic_raw_lb[[setting]:[setting]],0), MATCH(U$139, lmic_raw_lb[#Headers],0))=0, INDEX(regions_lb[], MATCH($D175, regions_lb[[setting]:[setting]],0), MATCH(U$139, regions_lb[#Headers],0)),INDEX(lmic_raw_lb[],MATCH($A175,lmic_raw_lb[[setting]:[setting]],0), MATCH(U$139, lmic_raw_lb[#Headers],0)))</f>
        <v>127.894605</v>
      </c>
      <c r="V175" s="94">
        <f>IF(INDEX(lmic_raw_lb[],MATCH($A175,lmic_raw_lb[[setting]:[setting]],0), MATCH(V$139, lmic_raw_lb[#Headers],0))=0, INDEX(regions_lb[], MATCH($D175, regions_lb[[setting]:[setting]],0), MATCH(V$139, regions_lb[#Headers],0)),INDEX(lmic_raw_lb[],MATCH($A175,lmic_raw_lb[[setting]:[setting]],0), MATCH(V$139, lmic_raw_lb[#Headers],0)))</f>
        <v>1.5043858123933818</v>
      </c>
      <c r="W175" s="94">
        <f>IF(INDEX(lmic_raw_lb[],MATCH($A175,lmic_raw_lb[[setting]:[setting]],0), MATCH(W$139, lmic_raw_lb[#Headers],0))=0, INDEX(regions_lb[], MATCH($D175, regions_lb[[setting]:[setting]],0), MATCH(W$139, regions_lb[#Headers],0)),INDEX(lmic_raw_lb[],MATCH($A175,lmic_raw_lb[[setting]:[setting]],0), MATCH(W$139, lmic_raw_lb[#Headers],0)))</f>
        <v>1.5250958123933818</v>
      </c>
      <c r="X175" s="94">
        <f>IF(INDEX(lmic_raw_lb[],MATCH($A175,lmic_raw_lb[[setting]:[setting]],0), MATCH(X$139, lmic_raw_lb[#Headers],0))=0, INDEX(regions_lb[], MATCH($D175, regions_lb[[setting]:[setting]],0), MATCH(X$139, regions_lb[#Headers],0)),INDEX(lmic_raw_lb[],MATCH($A175,lmic_raw_lb[[setting]:[setting]],0), MATCH(X$139, lmic_raw_lb[#Headers],0)))</f>
        <v>1.1342669525095495</v>
      </c>
      <c r="Y175" s="94">
        <f>IF(INDEX(lmic_raw_lb[],MATCH($A175,lmic_raw_lb[[setting]:[setting]],0), MATCH(Y$139, lmic_raw_lb[#Headers],0))=0, INDEX(regions_lb[], MATCH($D175, regions_lb[[setting]:[setting]],0), MATCH(Y$139, regions_lb[#Headers],0)),INDEX(lmic_raw_lb[],MATCH($A175,lmic_raw_lb[[setting]:[setting]],0), MATCH(Y$139, lmic_raw_lb[#Headers],0)))</f>
        <v>1.1549769525095495</v>
      </c>
      <c r="Z175" s="94">
        <f>IF(INDEX(lmic_raw_lb[],MATCH($A175,lmic_raw_lb[[setting]:[setting]],0), MATCH(Z$139, lmic_raw_lb[#Headers],0))=0, INDEX(regions_lb[], MATCH($D175, regions_lb[[setting]:[setting]],0), MATCH(Z$139, regions_lb[#Headers],0)),INDEX(lmic_raw_lb[],MATCH($A175,lmic_raw_lb[[setting]:[setting]],0), MATCH(Z$139, lmic_raw_lb[#Headers],0)))</f>
        <v>1.1496129097008243</v>
      </c>
      <c r="AA175" s="94">
        <f>IF(INDEX(lmic_raw_lb[],MATCH($A175,lmic_raw_lb[[setting]:[setting]],0), MATCH(AA$139, lmic_raw_lb[#Headers],0))=0, INDEX(regions_lb[], MATCH($D175, regions_lb[[setting]:[setting]],0), MATCH(AA$139, regions_lb[#Headers],0)),INDEX(lmic_raw_lb[],MATCH($A175,lmic_raw_lb[[setting]:[setting]],0), MATCH(AA$139, lmic_raw_lb[#Headers],0)))</f>
        <v>1.7176497125792363</v>
      </c>
      <c r="AB175" s="94">
        <f>IF(INDEX(lmic_raw_lb[],MATCH($A175,lmic_raw_lb[[setting]:[setting]],0), MATCH(AB$139, lmic_raw_lb[#Headers],0))=0, INDEX(regions_lb[], MATCH($D175, regions_lb[[setting]:[setting]],0), MATCH(AB$139, regions_lb[#Headers],0)),INDEX(lmic_raw_lb[],MATCH($A175,lmic_raw_lb[[setting]:[setting]],0), MATCH(AB$139, lmic_raw_lb[#Headers],0)))</f>
        <v>1.7383597125792363</v>
      </c>
      <c r="AC175" s="94">
        <f>IF(INDEX(lmic_raw_lb[],MATCH($A175,lmic_raw_lb[[setting]:[setting]],0), MATCH(AC$139, lmic_raw_lb[#Headers],0))=0, INDEX(regions_lb[], MATCH($D175, regions_lb[[setting]:[setting]],0), MATCH(AC$139, regions_lb[#Headers],0)),INDEX(lmic_raw_lb[],MATCH($A175,lmic_raw_lb[[setting]:[setting]],0), MATCH(AC$139, lmic_raw_lb[#Headers],0)))</f>
        <v>1.2923799999999945E-2</v>
      </c>
      <c r="AD175" s="94">
        <f>IF(INDEX(lmic_raw_lb[],MATCH($A175,lmic_raw_lb[[setting]:[setting]],0), MATCH(AD$139, lmic_raw_lb[#Headers],0))=0, INDEX(regions_lb[], MATCH($D175, regions_lb[[setting]:[setting]],0), MATCH(AD$139, regions_lb[#Headers],0)),INDEX(lmic_raw_lb[],MATCH($A175,lmic_raw_lb[[setting]:[setting]],0), MATCH(AD$139, lmic_raw_lb[#Headers],0)))</f>
        <v>6.5328656036723806E-4</v>
      </c>
      <c r="AE175" s="94">
        <f>IF(INDEX(lmic_raw_lb[],MATCH($A175,lmic_raw_lb[[setting]:[setting]],0), MATCH(AE$139, lmic_raw_lb[#Headers],0))=0, INDEX(regions_lb[], MATCH($D175, regions_lb[[setting]:[setting]],0), MATCH(AE$139, regions_lb[#Headers],0)),INDEX(lmic_raw_lb[],MATCH($A175,lmic_raw_lb[[setting]:[setting]],0), MATCH(AE$139, lmic_raw_lb[#Headers],0)))</f>
        <v>3.7401896469180587E-4</v>
      </c>
      <c r="AF175" s="94">
        <f>IF(INDEX(lmic_raw_lb[],MATCH($A175,lmic_raw_lb[[setting]:[setting]],0), MATCH(AF$139, lmic_raw_lb[#Headers],0))=0, INDEX(regions_lb[], MATCH($D175, regions_lb[[setting]:[setting]],0), MATCH(AF$139, regions_lb[#Headers],0)),INDEX(lmic_raw_lb[],MATCH($A175,lmic_raw_lb[[setting]:[setting]],0), MATCH(AF$139, lmic_raw_lb[#Headers],0)))</f>
        <v>4.7050310368360824E-4</v>
      </c>
      <c r="AG175" s="94">
        <f>IF(INDEX(lmic_raw_lb[],MATCH($A175,lmic_raw_lb[[setting]:[setting]],0), MATCH(AG$139, lmic_raw_lb[#Headers],0))=0, INDEX(regions_lb[], MATCH($D175, regions_lb[[setting]:[setting]],0), MATCH(AG$139, regions_lb[#Headers],0)),INDEX(lmic_raw_lb[],MATCH($A175,lmic_raw_lb[[setting]:[setting]],0), MATCH(AG$139, lmic_raw_lb[#Headers],0)))</f>
        <v>9.7780478667330709E-4</v>
      </c>
      <c r="AH175" s="94">
        <f>IF(INDEX(lmic_raw_lb[],MATCH($A175,lmic_raw_lb[[setting]:[setting]],0), MATCH(AH$139, lmic_raw_lb[#Headers],0))=0, INDEX(regions_lb[], MATCH($D175, regions_lb[[setting]:[setting]],0), MATCH(AH$139, regions_lb[#Headers],0)),INDEX(lmic_raw_lb[],MATCH($A175,lmic_raw_lb[[setting]:[setting]],0), MATCH(AH$139, lmic_raw_lb[#Headers],0)))</f>
        <v>1.5409950033425897E-3</v>
      </c>
      <c r="AI175" s="94">
        <f>IF(INDEX(lmic_raw_lb[],MATCH($A175,lmic_raw_lb[[setting]:[setting]],0), MATCH(AI$139, lmic_raw_lb[#Headers],0))=0, INDEX(regions_lb[], MATCH($D175, regions_lb[[setting]:[setting]],0), MATCH(AI$139, regions_lb[#Headers],0)),INDEX(lmic_raw_lb[],MATCH($A175,lmic_raw_lb[[setting]:[setting]],0), MATCH(AI$139, lmic_raw_lb[#Headers],0)))</f>
        <v>1.8534081016670435E-3</v>
      </c>
      <c r="AJ175" s="94">
        <f>IF(INDEX(lmic_raw_lb[],MATCH($A175,lmic_raw_lb[[setting]:[setting]],0), MATCH(AJ$139, lmic_raw_lb[#Headers],0))=0, INDEX(regions_lb[], MATCH($D175, regions_lb[[setting]:[setting]],0), MATCH(AJ$139, regions_lb[#Headers],0)),INDEX(lmic_raw_lb[],MATCH($A175,lmic_raw_lb[[setting]:[setting]],0), MATCH(AJ$139, lmic_raw_lb[#Headers],0)))</f>
        <v>1.9231592522342242E-3</v>
      </c>
      <c r="AK175" s="94">
        <f>IF(INDEX(lmic_raw_lb[],MATCH($A175,lmic_raw_lb[[setting]:[setting]],0), MATCH(AK$139, lmic_raw_lb[#Headers],0))=0, INDEX(regions_lb[], MATCH($D175, regions_lb[[setting]:[setting]],0), MATCH(AK$139, regions_lb[#Headers],0)),INDEX(lmic_raw_lb[],MATCH($A175,lmic_raw_lb[[setting]:[setting]],0), MATCH(AK$139, lmic_raw_lb[#Headers],0)))</f>
        <v>2.0600022006615703E-3</v>
      </c>
      <c r="AL175" s="94">
        <f>IF(INDEX(lmic_raw_lb[],MATCH($A175,lmic_raw_lb[[setting]:[setting]],0), MATCH(AL$139, lmic_raw_lb[#Headers],0))=0, INDEX(regions_lb[], MATCH($D175, regions_lb[[setting]:[setting]],0), MATCH(AL$139, regions_lb[#Headers],0)),INDEX(lmic_raw_lb[],MATCH($A175,lmic_raw_lb[[setting]:[setting]],0), MATCH(AL$139, lmic_raw_lb[#Headers],0)))</f>
        <v>2.5751877596852119E-3</v>
      </c>
      <c r="AM175" s="94">
        <f>IF(INDEX(lmic_raw_lb[],MATCH($A175,lmic_raw_lb[[setting]:[setting]],0), MATCH(AM$139, lmic_raw_lb[#Headers],0))=0, INDEX(regions_lb[], MATCH($D175, regions_lb[[setting]:[setting]],0), MATCH(AM$139, regions_lb[#Headers],0)),INDEX(lmic_raw_lb[],MATCH($A175,lmic_raw_lb[[setting]:[setting]],0), MATCH(AM$139, lmic_raw_lb[#Headers],0)))</f>
        <v>3.2782186365680611E-3</v>
      </c>
      <c r="AN175" s="94">
        <f>IF(INDEX(lmic_raw_lb[],MATCH($A175,lmic_raw_lb[[setting]:[setting]],0), MATCH(AN$139, lmic_raw_lb[#Headers],0))=0, INDEX(regions_lb[], MATCH($D175, regions_lb[[setting]:[setting]],0), MATCH(AN$139, regions_lb[#Headers],0)),INDEX(lmic_raw_lb[],MATCH($A175,lmic_raw_lb[[setting]:[setting]],0), MATCH(AN$139, lmic_raw_lb[#Headers],0)))</f>
        <v>4.7784204154738318E-3</v>
      </c>
      <c r="AO175" s="94">
        <f>IF(INDEX(lmic_raw_lb[],MATCH($A175,lmic_raw_lb[[setting]:[setting]],0), MATCH(AO$139, lmic_raw_lb[#Headers],0))=0, INDEX(regions_lb[], MATCH($D175, regions_lb[[setting]:[setting]],0), MATCH(AO$139, regions_lb[#Headers],0)),INDEX(lmic_raw_lb[],MATCH($A175,lmic_raw_lb[[setting]:[setting]],0), MATCH(AO$139, lmic_raw_lb[#Headers],0)))</f>
        <v>6.515383065888369E-3</v>
      </c>
      <c r="AP175" s="94">
        <f>IF(INDEX(lmic_raw_lb[],MATCH($A175,lmic_raw_lb[[setting]:[setting]],0), MATCH(AP$139, lmic_raw_lb[#Headers],0))=0, INDEX(regions_lb[], MATCH($D175, regions_lb[[setting]:[setting]],0), MATCH(AP$139, regions_lb[#Headers],0)),INDEX(lmic_raw_lb[],MATCH($A175,lmic_raw_lb[[setting]:[setting]],0), MATCH(AP$139, lmic_raw_lb[#Headers],0)))</f>
        <v>9.4734881439116434E-3</v>
      </c>
      <c r="AQ175" s="94">
        <f>IF(INDEX(lmic_raw_lb[],MATCH($A175,lmic_raw_lb[[setting]:[setting]],0), MATCH(AQ$139, lmic_raw_lb[#Headers],0))=0, INDEX(regions_lb[], MATCH($D175, regions_lb[[setting]:[setting]],0), MATCH(AQ$139, regions_lb[#Headers],0)),INDEX(lmic_raw_lb[],MATCH($A175,lmic_raw_lb[[setting]:[setting]],0), MATCH(AQ$139, lmic_raw_lb[#Headers],0)))</f>
        <v>1.3282573798368644E-2</v>
      </c>
      <c r="AR175" s="94">
        <f>IF(INDEX(lmic_raw_lb[],MATCH($A175,lmic_raw_lb[[setting]:[setting]],0), MATCH(AR$139, lmic_raw_lb[#Headers],0))=0, INDEX(regions_lb[], MATCH($D175, regions_lb[[setting]:[setting]],0), MATCH(AR$139, regions_lb[#Headers],0)),INDEX(lmic_raw_lb[],MATCH($A175,lmic_raw_lb[[setting]:[setting]],0), MATCH(AR$139, lmic_raw_lb[#Headers],0)))</f>
        <v>2.1675092761499894E-2</v>
      </c>
      <c r="AS175" s="94">
        <f>IF(INDEX(lmic_raw_lb[],MATCH($A175,lmic_raw_lb[[setting]:[setting]],0), MATCH(AS$139, lmic_raw_lb[#Headers],0))=0, INDEX(regions_lb[], MATCH($D175, regions_lb[[setting]:[setting]],0), MATCH(AS$139, regions_lb[#Headers],0)),INDEX(lmic_raw_lb[],MATCH($A175,lmic_raw_lb[[setting]:[setting]],0), MATCH(AS$139, lmic_raw_lb[#Headers],0)))</f>
        <v>3.4696168861791263E-2</v>
      </c>
      <c r="AT175" s="94">
        <f>IF(INDEX(lmic_raw_lb[],MATCH($A175,lmic_raw_lb[[setting]:[setting]],0), MATCH(AT$139, lmic_raw_lb[#Headers],0))=0, INDEX(regions_lb[], MATCH($D175, regions_lb[[setting]:[setting]],0), MATCH(AT$139, regions_lb[#Headers],0)),INDEX(lmic_raw_lb[],MATCH($A175,lmic_raw_lb[[setting]:[setting]],0), MATCH(AT$139, lmic_raw_lb[#Headers],0)))</f>
        <v>5.3129074960459544E-2</v>
      </c>
      <c r="AU175" s="94">
        <f>IF(INDEX(lmic_raw_lb[],MATCH($A175,lmic_raw_lb[[setting]:[setting]],0), MATCH(AU$139, lmic_raw_lb[#Headers],0))=0, INDEX(regions_lb[], MATCH($D175, regions_lb[[setting]:[setting]],0), MATCH(AU$139, regions_lb[#Headers],0)),INDEX(lmic_raw_lb[],MATCH($A175,lmic_raw_lb[[setting]:[setting]],0), MATCH(AU$139, lmic_raw_lb[#Headers],0)))</f>
        <v>8.0870584271451162E-2</v>
      </c>
      <c r="AV175" s="94">
        <f>IF(INDEX(lmic_raw_lb[],MATCH($A175,lmic_raw_lb[[setting]:[setting]],0), MATCH(AV$139, lmic_raw_lb[#Headers],0))=0, INDEX(regions_lb[], MATCH($D175, regions_lb[[setting]:[setting]],0), MATCH(AV$139, regions_lb[#Headers],0)),INDEX(lmic_raw_lb[],MATCH($A175,lmic_raw_lb[[setting]:[setting]],0), MATCH(AV$139, lmic_raw_lb[#Headers],0)))</f>
        <v>0.10356603485342179</v>
      </c>
      <c r="AW175" s="94">
        <f>IF(INDEX(lmic_raw_lb[],MATCH($A175,lmic_raw_lb[[setting]:[setting]],0), MATCH(AW$139, lmic_raw_lb[#Headers],0))=0, INDEX(regions_lb[], MATCH($D175, regions_lb[[setting]:[setting]],0), MATCH(AW$139, regions_lb[#Headers],0)),INDEX(lmic_raw_lb[],MATCH($A175,lmic_raw_lb[[setting]:[setting]],0), MATCH(AW$139, lmic_raw_lb[#Headers],0)))</f>
        <v>0.13273362241408837</v>
      </c>
      <c r="AX175" s="94">
        <f>IF(INDEX(lmic_raw_lb[],MATCH($A175,lmic_raw_lb[[setting]:[setting]],0), MATCH(AX$139, lmic_raw_lb[#Headers],0))=0, INDEX(regions_lb[], MATCH($D175, regions_lb[[setting]:[setting]],0), MATCH(AX$139, regions_lb[#Headers],0)),INDEX(lmic_raw_lb[],MATCH($A175,lmic_raw_lb[[setting]:[setting]],0), MATCH(AX$139, lmic_raw_lb[#Headers],0)))</f>
        <v>72.866900000000001</v>
      </c>
      <c r="AY175" s="94" t="str">
        <f>IF(VLOOKUP(lmics_lb[[#This Row],[setting]],lmic_raw_lb[],11,FALSE)=0, "Yes", "No")</f>
        <v>No</v>
      </c>
    </row>
    <row r="176" spans="1:51" x14ac:dyDescent="0.25">
      <c r="A176" s="109" t="s">
        <v>158</v>
      </c>
      <c r="B176" s="101" t="s">
        <v>417</v>
      </c>
      <c r="C176" s="102">
        <v>818</v>
      </c>
      <c r="D176" s="82" t="s">
        <v>673</v>
      </c>
      <c r="E176" s="121" t="s">
        <v>579</v>
      </c>
      <c r="F176" s="98" t="s">
        <v>579</v>
      </c>
      <c r="G176" s="98" t="s">
        <v>678</v>
      </c>
      <c r="H176" s="98"/>
      <c r="I176" s="98"/>
      <c r="J176" s="98">
        <f>IF(INDEX(lmic_raw_lb[],MATCH($A176,lmic_raw_lb[[setting]:[setting]],0), MATCH(J$139, lmic_raw_lb[#Headers],0))=0, INDEX(regions_lb[], MATCH($D176, regions_lb[[setting]:[setting]],0), MATCH(J$139, regions_lb[#Headers],0)),INDEX(lmic_raw_lb[],MATCH($A176,lmic_raw_lb[[setting]:[setting]],0), MATCH(J$139, lmic_raw_lb[#Headers],0)))</f>
        <v>0.82364999999999999</v>
      </c>
      <c r="K176" s="98">
        <f>IF(INDEX(lmic_raw_lb[],MATCH($A176,lmic_raw_lb[[setting]:[setting]],0), MATCH(K$139, lmic_raw_lb[#Headers],0))=0, INDEX(regions_lb[], MATCH($D176, regions_lb[[setting]:[setting]],0), MATCH(K$139, regions_lb[#Headers],0)),INDEX(lmic_raw_lb[],MATCH($A176,lmic_raw_lb[[setting]:[setting]],0), MATCH(K$139, lmic_raw_lb[#Headers],0)))</f>
        <v>0.86449999999999994</v>
      </c>
      <c r="L176" s="98">
        <f>IF(INDEX(lmic_raw_lb[],MATCH($A176,lmic_raw_lb[[setting]:[setting]],0), MATCH(L$139, lmic_raw_lb[#Headers],0))=0, INDEX(regions_lb[], MATCH($D176, regions_lb[[setting]:[setting]],0), MATCH(L$139, regions_lb[#Headers],0)),INDEX(lmic_raw_lb[],MATCH($A176,lmic_raw_lb[[setting]:[setting]],0), MATCH(L$139, lmic_raw_lb[#Headers],0)))</f>
        <v>0.90249999999999997</v>
      </c>
      <c r="M176" s="98">
        <f>IF(INDEX(lmic_raw_lb[],MATCH($A176,lmic_raw_lb[[setting]:[setting]],0), MATCH(M$139, lmic_raw_lb[#Headers],0))=0, INDEX(regions_lb[], MATCH($D176, regions_lb[[setting]:[setting]],0), MATCH(M$139, regions_lb[#Headers],0)),INDEX(lmic_raw_lb[],MATCH($A176,lmic_raw_lb[[setting]:[setting]],0), MATCH(M$139, lmic_raw_lb[#Headers],0)))</f>
        <v>1.5600000000000001E-2</v>
      </c>
      <c r="N176" s="98">
        <f>IF(INDEX(lmic_raw_lb[],MATCH($A176,lmic_raw_lb[[setting]:[setting]],0), MATCH(N$139, lmic_raw_lb[#Headers],0))=0, INDEX(regions_lb[], MATCH($D176, regions_lb[[setting]:[setting]],0), MATCH(N$139, regions_lb[#Headers],0)),INDEX(lmic_raw_lb[],MATCH($A176,lmic_raw_lb[[setting]:[setting]],0), MATCH(N$139, lmic_raw_lb[#Headers],0)))</f>
        <v>0.14980000000000002</v>
      </c>
      <c r="O176" s="98">
        <f>IF(INDEX(lmic_raw_lb[],MATCH($A176,lmic_raw_lb[[setting]:[setting]],0), MATCH(O$139, lmic_raw_lb[#Headers],0))=0, INDEX(regions_lb[], MATCH($D176, regions_lb[[setting]:[setting]],0), MATCH(O$139, regions_lb[#Headers],0)),INDEX(lmic_raw_lb[],MATCH($A176,lmic_raw_lb[[setting]:[setting]],0), MATCH(O$139, lmic_raw_lb[#Headers],0)))</f>
        <v>0.7</v>
      </c>
      <c r="P176" s="98">
        <f>IF(INDEX(lmic_raw_lb[],MATCH($A176,lmic_raw_lb[[setting]:[setting]],0), MATCH(P$139, lmic_raw_lb[#Headers],0))=0, INDEX(regions_lb[], MATCH($D176, regions_lb[[setting]:[setting]],0), MATCH(P$139, regions_lb[#Headers],0)),INDEX(lmic_raw_lb[],MATCH($A176,lmic_raw_lb[[setting]:[setting]],0), MATCH(P$139, lmic_raw_lb[#Headers],0)))</f>
        <v>0.05</v>
      </c>
      <c r="Q176" s="98">
        <f>IF(INDEX(lmic_raw_lb[],MATCH($A176,lmic_raw_lb[[setting]:[setting]],0), MATCH(Q$139, lmic_raw_lb[#Headers],0))=0, INDEX(regions_lb[], MATCH($D176, regions_lb[[setting]:[setting]],0), MATCH(Q$139, regions_lb[#Headers],0)),INDEX(lmic_raw_lb[],MATCH($A176,lmic_raw_lb[[setting]:[setting]],0), MATCH(Q$139, lmic_raw_lb[#Headers],0)))</f>
        <v>6.2315096077367231</v>
      </c>
      <c r="R176" s="98">
        <f>IF(INDEX(lmic_raw_lb[],MATCH($A176,lmic_raw_lb[[setting]:[setting]],0), MATCH(R$139, lmic_raw_lb[#Headers],0))=0, INDEX(regions_lb[], MATCH($D176, regions_lb[[setting]:[setting]],0), MATCH(R$139, regions_lb[#Headers],0)),INDEX(lmic_raw_lb[],MATCH($A176,lmic_raw_lb[[setting]:[setting]],0), MATCH(R$139, lmic_raw_lb[#Headers],0)))</f>
        <v>44.019105000000003</v>
      </c>
      <c r="S176" s="98">
        <f>IF(INDEX(lmic_raw_lb[],MATCH($A176,lmic_raw_lb[[setting]:[setting]],0), MATCH(S$139, lmic_raw_lb[#Headers],0))=0, INDEX(regions_lb[], MATCH($D176, regions_lb[[setting]:[setting]],0), MATCH(S$139, regions_lb[#Headers],0)),INDEX(lmic_raw_lb[],MATCH($A176,lmic_raw_lb[[setting]:[setting]],0), MATCH(S$139, lmic_raw_lb[#Headers],0)))</f>
        <v>89.374005000000011</v>
      </c>
      <c r="T176" s="98">
        <f>IF(INDEX(lmic_raw_lb[],MATCH($A176,lmic_raw_lb[[setting]:[setting]],0), MATCH(T$139, lmic_raw_lb[#Headers],0))=0, INDEX(regions_lb[], MATCH($D176, regions_lb[[setting]:[setting]],0), MATCH(T$139, regions_lb[#Headers],0)),INDEX(lmic_raw_lb[],MATCH($A176,lmic_raw_lb[[setting]:[setting]],0), MATCH(T$139, lmic_raw_lb[#Headers],0)))</f>
        <v>89.374005000000011</v>
      </c>
      <c r="U176" s="98">
        <f>IF(INDEX(lmic_raw_lb[],MATCH($A176,lmic_raw_lb[[setting]:[setting]],0), MATCH(U$139, lmic_raw_lb[#Headers],0))=0, INDEX(regions_lb[], MATCH($D176, regions_lb[[setting]:[setting]],0), MATCH(U$139, regions_lb[#Headers],0)),INDEX(lmic_raw_lb[],MATCH($A176,lmic_raw_lb[[setting]:[setting]],0), MATCH(U$139, lmic_raw_lb[#Headers],0)))</f>
        <v>89.374005000000011</v>
      </c>
      <c r="V176" s="98">
        <f>IF(INDEX(lmic_raw_lb[],MATCH($A176,lmic_raw_lb[[setting]:[setting]],0), MATCH(V$139, lmic_raw_lb[#Headers],0))=0, INDEX(regions_lb[], MATCH($D176, regions_lb[[setting]:[setting]],0), MATCH(V$139, regions_lb[#Headers],0)),INDEX(lmic_raw_lb[],MATCH($A176,lmic_raw_lb[[setting]:[setting]],0), MATCH(V$139, lmic_raw_lb[#Headers],0)))</f>
        <v>1.1930330752334639</v>
      </c>
      <c r="W176" s="98">
        <f>IF(INDEX(lmic_raw_lb[],MATCH($A176,lmic_raw_lb[[setting]:[setting]],0), MATCH(W$139, lmic_raw_lb[#Headers],0))=0, INDEX(regions_lb[], MATCH($D176, regions_lb[[setting]:[setting]],0), MATCH(W$139, regions_lb[#Headers],0)),INDEX(lmic_raw_lb[],MATCH($A176,lmic_raw_lb[[setting]:[setting]],0), MATCH(W$139, lmic_raw_lb[#Headers],0)))</f>
        <v>1.6486530752334638</v>
      </c>
      <c r="X176" s="98">
        <f>IF(INDEX(lmic_raw_lb[],MATCH($A176,lmic_raw_lb[[setting]:[setting]],0), MATCH(X$139, lmic_raw_lb[#Headers],0))=0, INDEX(regions_lb[], MATCH($D176, regions_lb[[setting]:[setting]],0), MATCH(X$139, regions_lb[#Headers],0)),INDEX(lmic_raw_lb[],MATCH($A176,lmic_raw_lb[[setting]:[setting]],0), MATCH(X$139, lmic_raw_lb[#Headers],0)))</f>
        <v>0.82388298947430361</v>
      </c>
      <c r="Y176" s="98">
        <f>IF(INDEX(lmic_raw_lb[],MATCH($A176,lmic_raw_lb[[setting]:[setting]],0), MATCH(Y$139, lmic_raw_lb[#Headers],0))=0, INDEX(regions_lb[], MATCH($D176, regions_lb[[setting]:[setting]],0), MATCH(Y$139, regions_lb[#Headers],0)),INDEX(lmic_raw_lb[],MATCH($A176,lmic_raw_lb[[setting]:[setting]],0), MATCH(Y$139, lmic_raw_lb[#Headers],0)))</f>
        <v>1.2795029894743037</v>
      </c>
      <c r="Z176" s="98">
        <f>IF(INDEX(lmic_raw_lb[],MATCH($A176,lmic_raw_lb[[setting]:[setting]],0), MATCH(Z$139, lmic_raw_lb[#Headers],0))=0, INDEX(regions_lb[], MATCH($D176, regions_lb[[setting]:[setting]],0), MATCH(Z$139, regions_lb[#Headers],0)),INDEX(lmic_raw_lb[],MATCH($A176,lmic_raw_lb[[setting]:[setting]],0), MATCH(Z$139, lmic_raw_lb[#Headers],0)))</f>
        <v>1.2749111219048475</v>
      </c>
      <c r="AA176" s="98">
        <f>IF(INDEX(lmic_raw_lb[],MATCH($A176,lmic_raw_lb[[setting]:[setting]],0), MATCH(AA$139, lmic_raw_lb[#Headers],0))=0, INDEX(regions_lb[], MATCH($D176, regions_lb[[setting]:[setting]],0), MATCH(AA$139, regions_lb[#Headers],0)),INDEX(lmic_raw_lb[],MATCH($A176,lmic_raw_lb[[setting]:[setting]],0), MATCH(AA$139, lmic_raw_lb[#Headers],0)))</f>
        <v>1.4058817865087447</v>
      </c>
      <c r="AB176" s="98">
        <f>IF(INDEX(lmic_raw_lb[],MATCH($A176,lmic_raw_lb[[setting]:[setting]],0), MATCH(AB$139, lmic_raw_lb[#Headers],0))=0, INDEX(regions_lb[], MATCH($D176, regions_lb[[setting]:[setting]],0), MATCH(AB$139, regions_lb[#Headers],0)),INDEX(lmic_raw_lb[],MATCH($A176,lmic_raw_lb[[setting]:[setting]],0), MATCH(AB$139, lmic_raw_lb[#Headers],0)))</f>
        <v>1.8615017865087449</v>
      </c>
      <c r="AC176" s="98">
        <f>IF(INDEX(lmic_raw_lb[],MATCH($A176,lmic_raw_lb[[setting]:[setting]],0), MATCH(AC$139, lmic_raw_lb[#Headers],0))=0, INDEX(regions_lb[], MATCH($D176, regions_lb[[setting]:[setting]],0), MATCH(AC$139, regions_lb[#Headers],0)),INDEX(lmic_raw_lb[],MATCH($A176,lmic_raw_lb[[setting]:[setting]],0), MATCH(AC$139, lmic_raw_lb[#Headers],0)))</f>
        <v>1.4822850000000026E-2</v>
      </c>
      <c r="AD176" s="98">
        <f>IF(INDEX(lmic_raw_lb[],MATCH($A176,lmic_raw_lb[[setting]:[setting]],0), MATCH(AD$139, lmic_raw_lb[#Headers],0))=0, INDEX(regions_lb[], MATCH($D176, regions_lb[[setting]:[setting]],0), MATCH(AD$139, regions_lb[#Headers],0)),INDEX(lmic_raw_lb[],MATCH($A176,lmic_raw_lb[[setting]:[setting]],0), MATCH(AD$139, lmic_raw_lb[#Headers],0)))</f>
        <v>1.043044117363202E-3</v>
      </c>
      <c r="AE176" s="98">
        <f>IF(INDEX(lmic_raw_lb[],MATCH($A176,lmic_raw_lb[[setting]:[setting]],0), MATCH(AE$139, lmic_raw_lb[#Headers],0))=0, INDEX(regions_lb[], MATCH($D176, regions_lb[[setting]:[setting]],0), MATCH(AE$139, regions_lb[#Headers],0)),INDEX(lmic_raw_lb[],MATCH($A176,lmic_raw_lb[[setting]:[setting]],0), MATCH(AE$139, lmic_raw_lb[#Headers],0)))</f>
        <v>3.819294172308191E-4</v>
      </c>
      <c r="AF176" s="98">
        <f>IF(INDEX(lmic_raw_lb[],MATCH($A176,lmic_raw_lb[[setting]:[setting]],0), MATCH(AF$139, lmic_raw_lb[#Headers],0))=0, INDEX(regions_lb[], MATCH($D176, regions_lb[[setting]:[setting]],0), MATCH(AF$139, regions_lb[#Headers],0)),INDEX(lmic_raw_lb[],MATCH($A176,lmic_raw_lb[[setting]:[setting]],0), MATCH(AF$139, lmic_raw_lb[#Headers],0)))</f>
        <v>3.2037054232063528E-4</v>
      </c>
      <c r="AG176" s="98">
        <f>IF(INDEX(lmic_raw_lb[],MATCH($A176,lmic_raw_lb[[setting]:[setting]],0), MATCH(AG$139, lmic_raw_lb[#Headers],0))=0, INDEX(regions_lb[], MATCH($D176, regions_lb[[setting]:[setting]],0), MATCH(AG$139, regions_lb[#Headers],0)),INDEX(lmic_raw_lb[],MATCH($A176,lmic_raw_lb[[setting]:[setting]],0), MATCH(AG$139, lmic_raw_lb[#Headers],0)))</f>
        <v>4.6500511513891045E-4</v>
      </c>
      <c r="AH176" s="98">
        <f>IF(INDEX(lmic_raw_lb[],MATCH($A176,lmic_raw_lb[[setting]:[setting]],0), MATCH(AH$139, lmic_raw_lb[#Headers],0))=0, INDEX(regions_lb[], MATCH($D176, regions_lb[[setting]:[setting]],0), MATCH(AH$139, regions_lb[#Headers],0)),INDEX(lmic_raw_lb[],MATCH($A176,lmic_raw_lb[[setting]:[setting]],0), MATCH(AH$139, lmic_raw_lb[#Headers],0)))</f>
        <v>6.9787400661752415E-4</v>
      </c>
      <c r="AI176" s="98">
        <f>IF(INDEX(lmic_raw_lb[],MATCH($A176,lmic_raw_lb[[setting]:[setting]],0), MATCH(AI$139, lmic_raw_lb[#Headers],0))=0, INDEX(regions_lb[], MATCH($D176, regions_lb[[setting]:[setting]],0), MATCH(AI$139, regions_lb[#Headers],0)),INDEX(lmic_raw_lb[],MATCH($A176,lmic_raw_lb[[setting]:[setting]],0), MATCH(AI$139, lmic_raw_lb[#Headers],0)))</f>
        <v>8.6135671549360205E-4</v>
      </c>
      <c r="AJ176" s="98">
        <f>IF(INDEX(lmic_raw_lb[],MATCH($A176,lmic_raw_lb[[setting]:[setting]],0), MATCH(AJ$139, lmic_raw_lb[#Headers],0))=0, INDEX(regions_lb[], MATCH($D176, regions_lb[[setting]:[setting]],0), MATCH(AJ$139, regions_lb[#Headers],0)),INDEX(lmic_raw_lb[],MATCH($A176,lmic_raw_lb[[setting]:[setting]],0), MATCH(AJ$139, lmic_raw_lb[#Headers],0)))</f>
        <v>1.1354090665291153E-3</v>
      </c>
      <c r="AK176" s="98">
        <f>IF(INDEX(lmic_raw_lb[],MATCH($A176,lmic_raw_lb[[setting]:[setting]],0), MATCH(AK$139, lmic_raw_lb[#Headers],0))=0, INDEX(regions_lb[], MATCH($D176, regions_lb[[setting]:[setting]],0), MATCH(AK$139, regions_lb[#Headers],0)),INDEX(lmic_raw_lb[],MATCH($A176,lmic_raw_lb[[setting]:[setting]],0), MATCH(AK$139, lmic_raw_lb[#Headers],0)))</f>
        <v>1.3682965484051821E-3</v>
      </c>
      <c r="AL176" s="98">
        <f>IF(INDEX(lmic_raw_lb[],MATCH($A176,lmic_raw_lb[[setting]:[setting]],0), MATCH(AL$139, lmic_raw_lb[#Headers],0))=0, INDEX(regions_lb[], MATCH($D176, regions_lb[[setting]:[setting]],0), MATCH(AL$139, regions_lb[#Headers],0)),INDEX(lmic_raw_lb[],MATCH($A176,lmic_raw_lb[[setting]:[setting]],0), MATCH(AL$139, lmic_raw_lb[#Headers],0)))</f>
        <v>2.0493292472760815E-3</v>
      </c>
      <c r="AM176" s="98">
        <f>IF(INDEX(lmic_raw_lb[],MATCH($A176,lmic_raw_lb[[setting]:[setting]],0), MATCH(AM$139, lmic_raw_lb[#Headers],0))=0, INDEX(regions_lb[], MATCH($D176, regions_lb[[setting]:[setting]],0), MATCH(AM$139, regions_lb[#Headers],0)),INDEX(lmic_raw_lb[],MATCH($A176,lmic_raw_lb[[setting]:[setting]],0), MATCH(AM$139, lmic_raw_lb[#Headers],0)))</f>
        <v>4.2721438453650288E-3</v>
      </c>
      <c r="AN176" s="98">
        <f>IF(INDEX(lmic_raw_lb[],MATCH($A176,lmic_raw_lb[[setting]:[setting]],0), MATCH(AN$139, lmic_raw_lb[#Headers],0))=0, INDEX(regions_lb[], MATCH($D176, regions_lb[[setting]:[setting]],0), MATCH(AN$139, regions_lb[#Headers],0)),INDEX(lmic_raw_lb[],MATCH($A176,lmic_raw_lb[[setting]:[setting]],0), MATCH(AN$139, lmic_raw_lb[#Headers],0)))</f>
        <v>7.8463580161288685E-3</v>
      </c>
      <c r="AO176" s="98">
        <f>IF(INDEX(lmic_raw_lb[],MATCH($A176,lmic_raw_lb[[setting]:[setting]],0), MATCH(AO$139, lmic_raw_lb[#Headers],0))=0, INDEX(regions_lb[], MATCH($D176, regions_lb[[setting]:[setting]],0), MATCH(AO$139, regions_lb[#Headers],0)),INDEX(lmic_raw_lb[],MATCH($A176,lmic_raw_lb[[setting]:[setting]],0), MATCH(AO$139, lmic_raw_lb[#Headers],0)))</f>
        <v>1.0827562446868763E-2</v>
      </c>
      <c r="AP176" s="98">
        <f>IF(INDEX(lmic_raw_lb[],MATCH($A176,lmic_raw_lb[[setting]:[setting]],0), MATCH(AP$139, lmic_raw_lb[#Headers],0))=0, INDEX(regions_lb[], MATCH($D176, regions_lb[[setting]:[setting]],0), MATCH(AP$139, regions_lb[#Headers],0)),INDEX(lmic_raw_lb[],MATCH($A176,lmic_raw_lb[[setting]:[setting]],0), MATCH(AP$139, lmic_raw_lb[#Headers],0)))</f>
        <v>1.7413991981186684E-2</v>
      </c>
      <c r="AQ176" s="98">
        <f>IF(INDEX(lmic_raw_lb[],MATCH($A176,lmic_raw_lb[[setting]:[setting]],0), MATCH(AQ$139, lmic_raw_lb[#Headers],0))=0, INDEX(regions_lb[], MATCH($D176, regions_lb[[setting]:[setting]],0), MATCH(AQ$139, regions_lb[#Headers],0)),INDEX(lmic_raw_lb[],MATCH($A176,lmic_raw_lb[[setting]:[setting]],0), MATCH(AQ$139, lmic_raw_lb[#Headers],0)))</f>
        <v>2.6701482569325426E-2</v>
      </c>
      <c r="AR176" s="98">
        <f>IF(INDEX(lmic_raw_lb[],MATCH($A176,lmic_raw_lb[[setting]:[setting]],0), MATCH(AR$139, lmic_raw_lb[#Headers],0))=0, INDEX(regions_lb[], MATCH($D176, regions_lb[[setting]:[setting]],0), MATCH(AR$139, regions_lb[#Headers],0)),INDEX(lmic_raw_lb[],MATCH($A176,lmic_raw_lb[[setting]:[setting]],0), MATCH(AR$139, lmic_raw_lb[#Headers],0)))</f>
        <v>4.1779184070834176E-2</v>
      </c>
      <c r="AS176" s="98">
        <f>IF(INDEX(lmic_raw_lb[],MATCH($A176,lmic_raw_lb[[setting]:[setting]],0), MATCH(AS$139, lmic_raw_lb[#Headers],0))=0, INDEX(regions_lb[], MATCH($D176, regions_lb[[setting]:[setting]],0), MATCH(AS$139, regions_lb[#Headers],0)),INDEX(lmic_raw_lb[],MATCH($A176,lmic_raw_lb[[setting]:[setting]],0), MATCH(AS$139, lmic_raw_lb[#Headers],0)))</f>
        <v>6.4005042657846026E-2</v>
      </c>
      <c r="AT176" s="98">
        <f>IF(INDEX(lmic_raw_lb[],MATCH($A176,lmic_raw_lb[[setting]:[setting]],0), MATCH(AT$139, lmic_raw_lb[#Headers],0))=0, INDEX(regions_lb[], MATCH($D176, regions_lb[[setting]:[setting]],0), MATCH(AT$139, regions_lb[#Headers],0)),INDEX(lmic_raw_lb[],MATCH($A176,lmic_raw_lb[[setting]:[setting]],0), MATCH(AT$139, lmic_raw_lb[#Headers],0)))</f>
        <v>9.0078666046402009E-2</v>
      </c>
      <c r="AU176" s="98">
        <f>IF(INDEX(lmic_raw_lb[],MATCH($A176,lmic_raw_lb[[setting]:[setting]],0), MATCH(AU$139, lmic_raw_lb[#Headers],0))=0, INDEX(regions_lb[], MATCH($D176, regions_lb[[setting]:[setting]],0), MATCH(AU$139, regions_lb[#Headers],0)),INDEX(lmic_raw_lb[],MATCH($A176,lmic_raw_lb[[setting]:[setting]],0), MATCH(AU$139, lmic_raw_lb[#Headers],0)))</f>
        <v>0.11838969599872376</v>
      </c>
      <c r="AV176" s="98">
        <f>IF(INDEX(lmic_raw_lb[],MATCH($A176,lmic_raw_lb[[setting]:[setting]],0), MATCH(AV$139, lmic_raw_lb[#Headers],0))=0, INDEX(regions_lb[], MATCH($D176, regions_lb[[setting]:[setting]],0), MATCH(AV$139, regions_lb[#Headers],0)),INDEX(lmic_raw_lb[],MATCH($A176,lmic_raw_lb[[setting]:[setting]],0), MATCH(AV$139, lmic_raw_lb[#Headers],0)))</f>
        <v>0.14217502798510454</v>
      </c>
      <c r="AW176" s="98">
        <f>IF(INDEX(lmic_raw_lb[],MATCH($A176,lmic_raw_lb[[setting]:[setting]],0), MATCH(AW$139, lmic_raw_lb[#Headers],0))=0, INDEX(regions_lb[], MATCH($D176, regions_lb[[setting]:[setting]],0), MATCH(AW$139, regions_lb[#Headers],0)),INDEX(lmic_raw_lb[],MATCH($A176,lmic_raw_lb[[setting]:[setting]],0), MATCH(AW$139, lmic_raw_lb[#Headers],0)))</f>
        <v>0.16307010765946897</v>
      </c>
      <c r="AX176" s="98">
        <f>IF(INDEX(lmic_raw_lb[],MATCH($A176,lmic_raw_lb[[setting]:[setting]],0), MATCH(AX$139, lmic_raw_lb[#Headers],0))=0, INDEX(regions_lb[], MATCH($D176, regions_lb[[setting]:[setting]],0), MATCH(AX$139, regions_lb[#Headers],0)),INDEX(lmic_raw_lb[],MATCH($A176,lmic_raw_lb[[setting]:[setting]],0), MATCH(AX$139, lmic_raw_lb[#Headers],0)))</f>
        <v>68.15679999999999</v>
      </c>
      <c r="AY176" s="98" t="str">
        <f>IF(VLOOKUP(lmics_lb[[#This Row],[setting]],lmic_raw_lb[],11,FALSE)=0, "Yes", "No")</f>
        <v>No</v>
      </c>
    </row>
    <row r="177" spans="1:51" x14ac:dyDescent="0.25">
      <c r="A177" s="110" t="s">
        <v>255</v>
      </c>
      <c r="B177" s="104" t="s">
        <v>418</v>
      </c>
      <c r="C177" s="105">
        <v>222</v>
      </c>
      <c r="D177" s="84" t="s">
        <v>679</v>
      </c>
      <c r="E177" s="122" t="s">
        <v>604</v>
      </c>
      <c r="F177" s="94" t="s">
        <v>665</v>
      </c>
      <c r="G177" s="94" t="s">
        <v>678</v>
      </c>
      <c r="H177" s="94"/>
      <c r="I177" s="94"/>
      <c r="J177" s="94">
        <f>IF(INDEX(lmic_raw_lb[],MATCH($A177,lmic_raw_lb[[setting]:[setting]],0), MATCH(J$139, lmic_raw_lb[#Headers],0))=0, INDEX(regions_lb[], MATCH($D177, regions_lb[[setting]:[setting]],0), MATCH(J$139, regions_lb[#Headers],0)),INDEX(lmic_raw_lb[],MATCH($A177,lmic_raw_lb[[setting]:[setting]],0), MATCH(J$139, lmic_raw_lb[#Headers],0)))</f>
        <v>0.92624999999999991</v>
      </c>
      <c r="K177" s="94">
        <f>IF(INDEX(lmic_raw_lb[],MATCH($A177,lmic_raw_lb[[setting]:[setting]],0), MATCH(K$139, lmic_raw_lb[#Headers],0))=0, INDEX(regions_lb[], MATCH($D177, regions_lb[[setting]:[setting]],0), MATCH(K$139, regions_lb[#Headers],0)),INDEX(lmic_raw_lb[],MATCH($A177,lmic_raw_lb[[setting]:[setting]],0), MATCH(K$139, lmic_raw_lb[#Headers],0)))</f>
        <v>0.72199999999999998</v>
      </c>
      <c r="L177" s="94">
        <f>IF(INDEX(lmic_raw_lb[],MATCH($A177,lmic_raw_lb[[setting]:[setting]],0), MATCH(L$139, lmic_raw_lb[#Headers],0))=0, INDEX(regions_lb[], MATCH($D177, regions_lb[[setting]:[setting]],0), MATCH(L$139, regions_lb[#Headers],0)),INDEX(lmic_raw_lb[],MATCH($A177,lmic_raw_lb[[setting]:[setting]],0), MATCH(L$139, lmic_raw_lb[#Headers],0)))</f>
        <v>0.76949999999999996</v>
      </c>
      <c r="M177" s="94">
        <f>IF(INDEX(lmic_raw_lb[],MATCH($A177,lmic_raw_lb[[setting]:[setting]],0), MATCH(M$139, lmic_raw_lb[#Headers],0))=0, INDEX(regions_lb[], MATCH($D177, regions_lb[[setting]:[setting]],0), MATCH(M$139, regions_lb[#Headers],0)),INDEX(lmic_raw_lb[],MATCH($A177,lmic_raw_lb[[setting]:[setting]],0), MATCH(M$139, lmic_raw_lb[#Headers],0)))</f>
        <v>1.7000000000000001E-3</v>
      </c>
      <c r="N177" s="94">
        <f>IF(INDEX(lmic_raw_lb[],MATCH($A177,lmic_raw_lb[[setting]:[setting]],0), MATCH(N$139, lmic_raw_lb[#Headers],0))=0, INDEX(regions_lb[], MATCH($D177, regions_lb[[setting]:[setting]],0), MATCH(N$139, regions_lb[#Headers],0)),INDEX(lmic_raw_lb[],MATCH($A177,lmic_raw_lb[[setting]:[setting]],0), MATCH(N$139, lmic_raw_lb[#Headers],0)))</f>
        <v>0.16440000000000002</v>
      </c>
      <c r="O177" s="94">
        <f>IF(INDEX(lmic_raw_lb[],MATCH($A177,lmic_raw_lb[[setting]:[setting]],0), MATCH(O$139, lmic_raw_lb[#Headers],0))=0, INDEX(regions_lb[], MATCH($D177, regions_lb[[setting]:[setting]],0), MATCH(O$139, regions_lb[#Headers],0)),INDEX(lmic_raw_lb[],MATCH($A177,lmic_raw_lb[[setting]:[setting]],0), MATCH(O$139, lmic_raw_lb[#Headers],0)))</f>
        <v>0.7</v>
      </c>
      <c r="P177" s="94">
        <f>IF(INDEX(lmic_raw_lb[],MATCH($A177,lmic_raw_lb[[setting]:[setting]],0), MATCH(P$139, lmic_raw_lb[#Headers],0))=0, INDEX(regions_lb[], MATCH($D177, regions_lb[[setting]:[setting]],0), MATCH(P$139, regions_lb[#Headers],0)),INDEX(lmic_raw_lb[],MATCH($A177,lmic_raw_lb[[setting]:[setting]],0), MATCH(P$139, lmic_raw_lb[#Headers],0)))</f>
        <v>0.05</v>
      </c>
      <c r="Q177" s="94">
        <f>IF(INDEX(lmic_raw_lb[],MATCH($A177,lmic_raw_lb[[setting]:[setting]],0), MATCH(Q$139, lmic_raw_lb[#Headers],0))=0, INDEX(regions_lb[], MATCH($D177, regions_lb[[setting]:[setting]],0), MATCH(Q$139, regions_lb[#Headers],0)),INDEX(lmic_raw_lb[],MATCH($A177,lmic_raw_lb[[setting]:[setting]],0), MATCH(Q$139, lmic_raw_lb[#Headers],0)))</f>
        <v>9.1998664909058991</v>
      </c>
      <c r="R177" s="94">
        <f>IF(INDEX(lmic_raw_lb[],MATCH($A177,lmic_raw_lb[[setting]:[setting]],0), MATCH(R$139, lmic_raw_lb[#Headers],0))=0, INDEX(regions_lb[], MATCH($D177, regions_lb[[setting]:[setting]],0), MATCH(R$139, regions_lb[#Headers],0)),INDEX(lmic_raw_lb[],MATCH($A177,lmic_raw_lb[[setting]:[setting]],0), MATCH(R$139, lmic_raw_lb[#Headers],0)))</f>
        <v>82.539704999999998</v>
      </c>
      <c r="S177" s="94">
        <f>IF(INDEX(lmic_raw_lb[],MATCH($A177,lmic_raw_lb[[setting]:[setting]],0), MATCH(S$139, lmic_raw_lb[#Headers],0))=0, INDEX(regions_lb[], MATCH($D177, regions_lb[[setting]:[setting]],0), MATCH(S$139, regions_lb[#Headers],0)),INDEX(lmic_raw_lb[],MATCH($A177,lmic_raw_lb[[setting]:[setting]],0), MATCH(S$139, lmic_raw_lb[#Headers],0)))</f>
        <v>127.894605</v>
      </c>
      <c r="T177" s="94">
        <f>IF(INDEX(lmic_raw_lb[],MATCH($A177,lmic_raw_lb[[setting]:[setting]],0), MATCH(T$139, lmic_raw_lb[#Headers],0))=0, INDEX(regions_lb[], MATCH($D177, regions_lb[[setting]:[setting]],0), MATCH(T$139, regions_lb[#Headers],0)),INDEX(lmic_raw_lb[],MATCH($A177,lmic_raw_lb[[setting]:[setting]],0), MATCH(T$139, lmic_raw_lb[#Headers],0)))</f>
        <v>127.894605</v>
      </c>
      <c r="U177" s="94">
        <f>IF(INDEX(lmic_raw_lb[],MATCH($A177,lmic_raw_lb[[setting]:[setting]],0), MATCH(U$139, lmic_raw_lb[#Headers],0))=0, INDEX(regions_lb[], MATCH($D177, regions_lb[[setting]:[setting]],0), MATCH(U$139, regions_lb[#Headers],0)),INDEX(lmic_raw_lb[],MATCH($A177,lmic_raw_lb[[setting]:[setting]],0), MATCH(U$139, lmic_raw_lb[#Headers],0)))</f>
        <v>127.894605</v>
      </c>
      <c r="V177" s="94">
        <f>IF(INDEX(lmic_raw_lb[],MATCH($A177,lmic_raw_lb[[setting]:[setting]],0), MATCH(V$139, lmic_raw_lb[#Headers],0))=0, INDEX(regions_lb[], MATCH($D177, regions_lb[[setting]:[setting]],0), MATCH(V$139, regions_lb[#Headers],0)),INDEX(lmic_raw_lb[],MATCH($A177,lmic_raw_lb[[setting]:[setting]],0), MATCH(V$139, lmic_raw_lb[#Headers],0)))</f>
        <v>1.4997674563362715</v>
      </c>
      <c r="W177" s="94">
        <f>IF(INDEX(lmic_raw_lb[],MATCH($A177,lmic_raw_lb[[setting]:[setting]],0), MATCH(W$139, lmic_raw_lb[#Headers],0))=0, INDEX(regions_lb[], MATCH($D177, regions_lb[[setting]:[setting]],0), MATCH(W$139, regions_lb[#Headers],0)),INDEX(lmic_raw_lb[],MATCH($A177,lmic_raw_lb[[setting]:[setting]],0), MATCH(W$139, lmic_raw_lb[#Headers],0)))</f>
        <v>1.5204774563362715</v>
      </c>
      <c r="X177" s="94">
        <f>IF(INDEX(lmic_raw_lb[],MATCH($A177,lmic_raw_lb[[setting]:[setting]],0), MATCH(X$139, lmic_raw_lb[#Headers],0))=0, INDEX(regions_lb[], MATCH($D177, regions_lb[[setting]:[setting]],0), MATCH(X$139, regions_lb[#Headers],0)),INDEX(lmic_raw_lb[],MATCH($A177,lmic_raw_lb[[setting]:[setting]],0), MATCH(X$139, lmic_raw_lb[#Headers],0)))</f>
        <v>1.1273090960053669</v>
      </c>
      <c r="Y177" s="94">
        <f>IF(INDEX(lmic_raw_lb[],MATCH($A177,lmic_raw_lb[[setting]:[setting]],0), MATCH(Y$139, lmic_raw_lb[#Headers],0))=0, INDEX(regions_lb[], MATCH($D177, regions_lb[[setting]:[setting]],0), MATCH(Y$139, regions_lb[#Headers],0)),INDEX(lmic_raw_lb[],MATCH($A177,lmic_raw_lb[[setting]:[setting]],0), MATCH(Y$139, lmic_raw_lb[#Headers],0)))</f>
        <v>1.1480190960053669</v>
      </c>
      <c r="Z177" s="94">
        <f>IF(INDEX(lmic_raw_lb[],MATCH($A177,lmic_raw_lb[[setting]:[setting]],0), MATCH(Z$139, lmic_raw_lb[#Headers],0))=0, INDEX(regions_lb[], MATCH($D177, regions_lb[[setting]:[setting]],0), MATCH(Z$139, regions_lb[#Headers],0)),INDEX(lmic_raw_lb[],MATCH($A177,lmic_raw_lb[[setting]:[setting]],0), MATCH(Z$139, lmic_raw_lb[#Headers],0)))</f>
        <v>1.140864166724272</v>
      </c>
      <c r="AA177" s="94">
        <f>IF(INDEX(lmic_raw_lb[],MATCH($A177,lmic_raw_lb[[setting]:[setting]],0), MATCH(AA$139, lmic_raw_lb[#Headers],0))=0, INDEX(regions_lb[], MATCH($D177, regions_lb[[setting]:[setting]],0), MATCH(AA$139, regions_lb[#Headers],0)),INDEX(lmic_raw_lb[],MATCH($A177,lmic_raw_lb[[setting]:[setting]],0), MATCH(AA$139, lmic_raw_lb[#Headers],0)))</f>
        <v>1.7140339995708711</v>
      </c>
      <c r="AB177" s="94">
        <f>IF(INDEX(lmic_raw_lb[],MATCH($A177,lmic_raw_lb[[setting]:[setting]],0), MATCH(AB$139, lmic_raw_lb[#Headers],0))=0, INDEX(regions_lb[], MATCH($D177, regions_lb[[setting]:[setting]],0), MATCH(AB$139, regions_lb[#Headers],0)),INDEX(lmic_raw_lb[],MATCH($A177,lmic_raw_lb[[setting]:[setting]],0), MATCH(AB$139, lmic_raw_lb[#Headers],0)))</f>
        <v>1.7347439995708711</v>
      </c>
      <c r="AC177" s="94">
        <f>IF(INDEX(lmic_raw_lb[],MATCH($A177,lmic_raw_lb[[setting]:[setting]],0), MATCH(AC$139, lmic_raw_lb[#Headers],0))=0, INDEX(regions_lb[], MATCH($D177, regions_lb[[setting]:[setting]],0), MATCH(AC$139, regions_lb[#Headers],0)),INDEX(lmic_raw_lb[],MATCH($A177,lmic_raw_lb[[setting]:[setting]],0), MATCH(AC$139, lmic_raw_lb[#Headers],0)))</f>
        <v>1.3845395000000031E-2</v>
      </c>
      <c r="AD177" s="94">
        <f>IF(INDEX(lmic_raw_lb[],MATCH($A177,lmic_raw_lb[[setting]:[setting]],0), MATCH(AD$139, lmic_raw_lb[#Headers],0))=0, INDEX(regions_lb[], MATCH($D177, regions_lb[[setting]:[setting]],0), MATCH(AD$139, regions_lb[#Headers],0)),INDEX(lmic_raw_lb[],MATCH($A177,lmic_raw_lb[[setting]:[setting]],0), MATCH(AD$139, lmic_raw_lb[#Headers],0)))</f>
        <v>5.584790799592202E-4</v>
      </c>
      <c r="AE177" s="94">
        <f>IF(INDEX(lmic_raw_lb[],MATCH($A177,lmic_raw_lb[[setting]:[setting]],0), MATCH(AE$139, lmic_raw_lb[#Headers],0))=0, INDEX(regions_lb[], MATCH($D177, regions_lb[[setting]:[setting]],0), MATCH(AE$139, regions_lb[#Headers],0)),INDEX(lmic_raw_lb[],MATCH($A177,lmic_raw_lb[[setting]:[setting]],0), MATCH(AE$139, lmic_raw_lb[#Headers],0)))</f>
        <v>2.5991368522960083E-4</v>
      </c>
      <c r="AF177" s="94">
        <f>IF(INDEX(lmic_raw_lb[],MATCH($A177,lmic_raw_lb[[setting]:[setting]],0), MATCH(AF$139, lmic_raw_lb[#Headers],0))=0, INDEX(regions_lb[], MATCH($D177, regions_lb[[setting]:[setting]],0), MATCH(AF$139, regions_lb[#Headers],0)),INDEX(lmic_raw_lb[],MATCH($A177,lmic_raw_lb[[setting]:[setting]],0), MATCH(AF$139, lmic_raw_lb[#Headers],0)))</f>
        <v>5.3784870581194888E-4</v>
      </c>
      <c r="AG177" s="94">
        <f>IF(INDEX(lmic_raw_lb[],MATCH($A177,lmic_raw_lb[[setting]:[setting]],0), MATCH(AG$139, lmic_raw_lb[#Headers],0))=0, INDEX(regions_lb[], MATCH($D177, regions_lb[[setting]:[setting]],0), MATCH(AG$139, regions_lb[#Headers],0)),INDEX(lmic_raw_lb[],MATCH($A177,lmic_raw_lb[[setting]:[setting]],0), MATCH(AG$139, lmic_raw_lb[#Headers],0)))</f>
        <v>1.4693692953268653E-3</v>
      </c>
      <c r="AH177" s="94">
        <f>IF(INDEX(lmic_raw_lb[],MATCH($A177,lmic_raw_lb[[setting]:[setting]],0), MATCH(AH$139, lmic_raw_lb[#Headers],0))=0, INDEX(regions_lb[], MATCH($D177, regions_lb[[setting]:[setting]],0), MATCH(AH$139, regions_lb[#Headers],0)),INDEX(lmic_raw_lb[],MATCH($A177,lmic_raw_lb[[setting]:[setting]],0), MATCH(AH$139, lmic_raw_lb[#Headers],0)))</f>
        <v>2.4394862843497467E-3</v>
      </c>
      <c r="AI177" s="94">
        <f>IF(INDEX(lmic_raw_lb[],MATCH($A177,lmic_raw_lb[[setting]:[setting]],0), MATCH(AI$139, lmic_raw_lb[#Headers],0))=0, INDEX(regions_lb[], MATCH($D177, regions_lb[[setting]:[setting]],0), MATCH(AI$139, regions_lb[#Headers],0)),INDEX(lmic_raw_lb[],MATCH($A177,lmic_raw_lb[[setting]:[setting]],0), MATCH(AI$139, lmic_raw_lb[#Headers],0)))</f>
        <v>3.033201855350289E-3</v>
      </c>
      <c r="AJ177" s="94">
        <f>IF(INDEX(lmic_raw_lb[],MATCH($A177,lmic_raw_lb[[setting]:[setting]],0), MATCH(AJ$139, lmic_raw_lb[#Headers],0))=0, INDEX(regions_lb[], MATCH($D177, regions_lb[[setting]:[setting]],0), MATCH(AJ$139, regions_lb[#Headers],0)),INDEX(lmic_raw_lb[],MATCH($A177,lmic_raw_lb[[setting]:[setting]],0), MATCH(AJ$139, lmic_raw_lb[#Headers],0)))</f>
        <v>3.1770343570390134E-3</v>
      </c>
      <c r="AK177" s="94">
        <f>IF(INDEX(lmic_raw_lb[],MATCH($A177,lmic_raw_lb[[setting]:[setting]],0), MATCH(AK$139, lmic_raw_lb[#Headers],0))=0, INDEX(regions_lb[], MATCH($D177, regions_lb[[setting]:[setting]],0), MATCH(AK$139, regions_lb[#Headers],0)),INDEX(lmic_raw_lb[],MATCH($A177,lmic_raw_lb[[setting]:[setting]],0), MATCH(AK$139, lmic_raw_lb[#Headers],0)))</f>
        <v>3.3283619325216104E-3</v>
      </c>
      <c r="AL177" s="94">
        <f>IF(INDEX(lmic_raw_lb[],MATCH($A177,lmic_raw_lb[[setting]:[setting]],0), MATCH(AL$139, lmic_raw_lb[#Headers],0))=0, INDEX(regions_lb[], MATCH($D177, regions_lb[[setting]:[setting]],0), MATCH(AL$139, regions_lb[#Headers],0)),INDEX(lmic_raw_lb[],MATCH($A177,lmic_raw_lb[[setting]:[setting]],0), MATCH(AL$139, lmic_raw_lb[#Headers],0)))</f>
        <v>3.967907063797892E-3</v>
      </c>
      <c r="AM177" s="94">
        <f>IF(INDEX(lmic_raw_lb[],MATCH($A177,lmic_raw_lb[[setting]:[setting]],0), MATCH(AM$139, lmic_raw_lb[#Headers],0))=0, INDEX(regions_lb[], MATCH($D177, regions_lb[[setting]:[setting]],0), MATCH(AM$139, regions_lb[#Headers],0)),INDEX(lmic_raw_lb[],MATCH($A177,lmic_raw_lb[[setting]:[setting]],0), MATCH(AM$139, lmic_raw_lb[#Headers],0)))</f>
        <v>5.0622467417907454E-3</v>
      </c>
      <c r="AN177" s="94">
        <f>IF(INDEX(lmic_raw_lb[],MATCH($A177,lmic_raw_lb[[setting]:[setting]],0), MATCH(AN$139, lmic_raw_lb[#Headers],0))=0, INDEX(regions_lb[], MATCH($D177, regions_lb[[setting]:[setting]],0), MATCH(AN$139, regions_lb[#Headers],0)),INDEX(lmic_raw_lb[],MATCH($A177,lmic_raw_lb[[setting]:[setting]],0), MATCH(AN$139, lmic_raw_lb[#Headers],0)))</f>
        <v>6.6521647077467756E-3</v>
      </c>
      <c r="AO177" s="94">
        <f>IF(INDEX(lmic_raw_lb[],MATCH($A177,lmic_raw_lb[[setting]:[setting]],0), MATCH(AO$139, lmic_raw_lb[#Headers],0))=0, INDEX(regions_lb[], MATCH($D177, regions_lb[[setting]:[setting]],0), MATCH(AO$139, regions_lb[#Headers],0)),INDEX(lmic_raw_lb[],MATCH($A177,lmic_raw_lb[[setting]:[setting]],0), MATCH(AO$139, lmic_raw_lb[#Headers],0)))</f>
        <v>8.7736311221198026E-3</v>
      </c>
      <c r="AP177" s="94">
        <f>IF(INDEX(lmic_raw_lb[],MATCH($A177,lmic_raw_lb[[setting]:[setting]],0), MATCH(AP$139, lmic_raw_lb[#Headers],0))=0, INDEX(regions_lb[], MATCH($D177, regions_lb[[setting]:[setting]],0), MATCH(AP$139, regions_lb[#Headers],0)),INDEX(lmic_raw_lb[],MATCH($A177,lmic_raw_lb[[setting]:[setting]],0), MATCH(AP$139, lmic_raw_lb[#Headers],0)))</f>
        <v>1.1966738167851883E-2</v>
      </c>
      <c r="AQ177" s="94">
        <f>IF(INDEX(lmic_raw_lb[],MATCH($A177,lmic_raw_lb[[setting]:[setting]],0), MATCH(AQ$139, lmic_raw_lb[#Headers],0))=0, INDEX(regions_lb[], MATCH($D177, regions_lb[[setting]:[setting]],0), MATCH(AQ$139, regions_lb[#Headers],0)),INDEX(lmic_raw_lb[],MATCH($A177,lmic_raw_lb[[setting]:[setting]],0), MATCH(AQ$139, lmic_raw_lb[#Headers],0)))</f>
        <v>1.7027246670130135E-2</v>
      </c>
      <c r="AR177" s="94">
        <f>IF(INDEX(lmic_raw_lb[],MATCH($A177,lmic_raw_lb[[setting]:[setting]],0), MATCH(AR$139, lmic_raw_lb[#Headers],0))=0, INDEX(regions_lb[], MATCH($D177, regions_lb[[setting]:[setting]],0), MATCH(AR$139, regions_lb[#Headers],0)),INDEX(lmic_raw_lb[],MATCH($A177,lmic_raw_lb[[setting]:[setting]],0), MATCH(AR$139, lmic_raw_lb[#Headers],0)))</f>
        <v>2.4682481279554792E-2</v>
      </c>
      <c r="AS177" s="94">
        <f>IF(INDEX(lmic_raw_lb[],MATCH($A177,lmic_raw_lb[[setting]:[setting]],0), MATCH(AS$139, lmic_raw_lb[#Headers],0))=0, INDEX(regions_lb[], MATCH($D177, regions_lb[[setting]:[setting]],0), MATCH(AS$139, regions_lb[#Headers],0)),INDEX(lmic_raw_lb[],MATCH($A177,lmic_raw_lb[[setting]:[setting]],0), MATCH(AS$139, lmic_raw_lb[#Headers],0)))</f>
        <v>3.8057973537868453E-2</v>
      </c>
      <c r="AT177" s="94">
        <f>IF(INDEX(lmic_raw_lb[],MATCH($A177,lmic_raw_lb[[setting]:[setting]],0), MATCH(AT$139, lmic_raw_lb[#Headers],0))=0, INDEX(regions_lb[], MATCH($D177, regions_lb[[setting]:[setting]],0), MATCH(AT$139, regions_lb[#Headers],0)),INDEX(lmic_raw_lb[],MATCH($A177,lmic_raw_lb[[setting]:[setting]],0), MATCH(AT$139, lmic_raw_lb[#Headers],0)))</f>
        <v>6.1627719901173356E-2</v>
      </c>
      <c r="AU177" s="94">
        <f>IF(INDEX(lmic_raw_lb[],MATCH($A177,lmic_raw_lb[[setting]:[setting]],0), MATCH(AU$139, lmic_raw_lb[#Headers],0))=0, INDEX(regions_lb[], MATCH($D177, regions_lb[[setting]:[setting]],0), MATCH(AU$139, regions_lb[#Headers],0)),INDEX(lmic_raw_lb[],MATCH($A177,lmic_raw_lb[[setting]:[setting]],0), MATCH(AU$139, lmic_raw_lb[#Headers],0)))</f>
        <v>9.2865141078845539E-2</v>
      </c>
      <c r="AV177" s="94">
        <f>IF(INDEX(lmic_raw_lb[],MATCH($A177,lmic_raw_lb[[setting]:[setting]],0), MATCH(AV$139, lmic_raw_lb[#Headers],0))=0, INDEX(regions_lb[], MATCH($D177, regions_lb[[setting]:[setting]],0), MATCH(AV$139, regions_lb[#Headers],0)),INDEX(lmic_raw_lb[],MATCH($A177,lmic_raw_lb[[setting]:[setting]],0), MATCH(AV$139, lmic_raw_lb[#Headers],0)))</f>
        <v>0.12664967345353384</v>
      </c>
      <c r="AW177" s="94">
        <f>IF(INDEX(lmic_raw_lb[],MATCH($A177,lmic_raw_lb[[setting]:[setting]],0), MATCH(AW$139, lmic_raw_lb[#Headers],0))=0, INDEX(regions_lb[], MATCH($D177, regions_lb[[setting]:[setting]],0), MATCH(AW$139, regions_lb[#Headers],0)),INDEX(lmic_raw_lb[],MATCH($A177,lmic_raw_lb[[setting]:[setting]],0), MATCH(AW$139, lmic_raw_lb[#Headers],0)))</f>
        <v>0.15622839786801912</v>
      </c>
      <c r="AX177" s="94">
        <f>IF(INDEX(lmic_raw_lb[],MATCH($A177,lmic_raw_lb[[setting]:[setting]],0), MATCH(AX$139, lmic_raw_lb[#Headers],0))=0, INDEX(regions_lb[], MATCH($D177, regions_lb[[setting]:[setting]],0), MATCH(AX$139, regions_lb[#Headers],0)),INDEX(lmic_raw_lb[],MATCH($A177,lmic_raw_lb[[setting]:[setting]],0), MATCH(AX$139, lmic_raw_lb[#Headers],0)))</f>
        <v>69.336700000000008</v>
      </c>
      <c r="AY177" s="94" t="str">
        <f>IF(VLOOKUP(lmics_lb[[#This Row],[setting]],lmic_raw_lb[],11,FALSE)=0, "Yes", "No")</f>
        <v>No</v>
      </c>
    </row>
    <row r="178" spans="1:51" x14ac:dyDescent="0.25">
      <c r="A178" s="109" t="s">
        <v>128</v>
      </c>
      <c r="B178" s="101" t="s">
        <v>419</v>
      </c>
      <c r="C178" s="102">
        <v>226</v>
      </c>
      <c r="D178" s="82" t="s">
        <v>677</v>
      </c>
      <c r="E178" s="121" t="s">
        <v>582</v>
      </c>
      <c r="F178" s="98" t="s">
        <v>667</v>
      </c>
      <c r="G178" s="98" t="s">
        <v>676</v>
      </c>
      <c r="H178" s="98"/>
      <c r="I178" s="98"/>
      <c r="J178" s="98">
        <f>IF(INDEX(lmic_raw_lb[],MATCH($A178,lmic_raw_lb[[setting]:[setting]],0), MATCH(J$139, lmic_raw_lb[#Headers],0))=0, INDEX(regions_lb[], MATCH($D178, regions_lb[[setting]:[setting]],0), MATCH(J$139, regions_lb[#Headers],0)),INDEX(lmic_raw_lb[],MATCH($A178,lmic_raw_lb[[setting]:[setting]],0), MATCH(J$139, lmic_raw_lb[#Headers],0)))</f>
        <v>0.63934999999999986</v>
      </c>
      <c r="K178" s="98">
        <f>IF(INDEX(lmic_raw_lb[],MATCH($A178,lmic_raw_lb[[setting]:[setting]],0), MATCH(K$139, lmic_raw_lb[#Headers],0))=0, INDEX(regions_lb[], MATCH($D178, regions_lb[[setting]:[setting]],0), MATCH(K$139, regions_lb[#Headers],0)),INDEX(lmic_raw_lb[],MATCH($A178,lmic_raw_lb[[setting]:[setting]],0), MATCH(K$139, lmic_raw_lb[#Headers],0)))</f>
        <v>0.65789974195504752</v>
      </c>
      <c r="L178" s="98">
        <f>IF(INDEX(lmic_raw_lb[],MATCH($A178,lmic_raw_lb[[setting]:[setting]],0), MATCH(L$139, lmic_raw_lb[#Headers],0))=0, INDEX(regions_lb[], MATCH($D178, regions_lb[[setting]:[setting]],0), MATCH(L$139, regions_lb[#Headers],0)),INDEX(lmic_raw_lb[],MATCH($A178,lmic_raw_lb[[setting]:[setting]],0), MATCH(L$139, lmic_raw_lb[#Headers],0)))</f>
        <v>0.50349999999999995</v>
      </c>
      <c r="M178" s="98">
        <f>IF(INDEX(lmic_raw_lb[],MATCH($A178,lmic_raw_lb[[setting]:[setting]],0), MATCH(M$139, lmic_raw_lb[#Headers],0))=0, INDEX(regions_lb[], MATCH($D178, regions_lb[[setting]:[setting]],0), MATCH(M$139, regions_lb[#Headers],0)),INDEX(lmic_raw_lb[],MATCH($A178,lmic_raw_lb[[setting]:[setting]],0), MATCH(M$139, lmic_raw_lb[#Headers],0)))</f>
        <v>7.4800000000000005E-2</v>
      </c>
      <c r="N178" s="98">
        <f>IF(INDEX(lmic_raw_lb[],MATCH($A178,lmic_raw_lb[[setting]:[setting]],0), MATCH(N$139, lmic_raw_lb[#Headers],0))=0, INDEX(regions_lb[], MATCH($D178, regions_lb[[setting]:[setting]],0), MATCH(N$139, regions_lb[#Headers],0)),INDEX(lmic_raw_lb[],MATCH($A178,lmic_raw_lb[[setting]:[setting]],0), MATCH(N$139, lmic_raw_lb[#Headers],0)))</f>
        <v>0.15279999999999999</v>
      </c>
      <c r="O178" s="98">
        <f>IF(INDEX(lmic_raw_lb[],MATCH($A178,lmic_raw_lb[[setting]:[setting]],0), MATCH(O$139, lmic_raw_lb[#Headers],0))=0, INDEX(regions_lb[], MATCH($D178, regions_lb[[setting]:[setting]],0), MATCH(O$139, regions_lb[#Headers],0)),INDEX(lmic_raw_lb[],MATCH($A178,lmic_raw_lb[[setting]:[setting]],0), MATCH(O$139, lmic_raw_lb[#Headers],0)))</f>
        <v>7.0000000000000007E-2</v>
      </c>
      <c r="P178" s="98">
        <f>IF(INDEX(lmic_raw_lb[],MATCH($A178,lmic_raw_lb[[setting]:[setting]],0), MATCH(P$139, lmic_raw_lb[#Headers],0))=0, INDEX(regions_lb[], MATCH($D178, regions_lb[[setting]:[setting]],0), MATCH(P$139, regions_lb[#Headers],0)),INDEX(lmic_raw_lb[],MATCH($A178,lmic_raw_lb[[setting]:[setting]],0), MATCH(P$139, lmic_raw_lb[#Headers],0)))</f>
        <v>1E-3</v>
      </c>
      <c r="Q178" s="98">
        <f>IF(INDEX(lmic_raw_lb[],MATCH($A178,lmic_raw_lb[[setting]:[setting]],0), MATCH(Q$139, lmic_raw_lb[#Headers],0))=0, INDEX(regions_lb[], MATCH($D178, regions_lb[[setting]:[setting]],0), MATCH(Q$139, regions_lb[#Headers],0)),INDEX(lmic_raw_lb[],MATCH($A178,lmic_raw_lb[[setting]:[setting]],0), MATCH(Q$139, lmic_raw_lb[#Headers],0)))</f>
        <v>4.4249775953899046</v>
      </c>
      <c r="R178" s="98">
        <f>IF(INDEX(lmic_raw_lb[],MATCH($A178,lmic_raw_lb[[setting]:[setting]],0), MATCH(R$139, lmic_raw_lb[#Headers],0))=0, INDEX(regions_lb[], MATCH($D178, regions_lb[[setting]:[setting]],0), MATCH(R$139, regions_lb[#Headers],0)),INDEX(lmic_raw_lb[],MATCH($A178,lmic_raw_lb[[setting]:[setting]],0), MATCH(R$139, lmic_raw_lb[#Headers],0)))</f>
        <v>28.424474999999997</v>
      </c>
      <c r="S178" s="98">
        <f>IF(INDEX(lmic_raw_lb[],MATCH($A178,lmic_raw_lb[[setting]:[setting]],0), MATCH(S$139, lmic_raw_lb[#Headers],0))=0, INDEX(regions_lb[], MATCH($D178, regions_lb[[setting]:[setting]],0), MATCH(S$139, regions_lb[#Headers],0)),INDEX(lmic_raw_lb[],MATCH($A178,lmic_raw_lb[[setting]:[setting]],0), MATCH(S$139, lmic_raw_lb[#Headers],0)))</f>
        <v>73.779375000000002</v>
      </c>
      <c r="T178" s="98">
        <f>IF(INDEX(lmic_raw_lb[],MATCH($A178,lmic_raw_lb[[setting]:[setting]],0), MATCH(T$139, lmic_raw_lb[#Headers],0))=0, INDEX(regions_lb[], MATCH($D178, regions_lb[[setting]:[setting]],0), MATCH(T$139, regions_lb[#Headers],0)),INDEX(lmic_raw_lb[],MATCH($A178,lmic_raw_lb[[setting]:[setting]],0), MATCH(T$139, lmic_raw_lb[#Headers],0)))</f>
        <v>73.779375000000002</v>
      </c>
      <c r="U178" s="98">
        <f>IF(INDEX(lmic_raw_lb[],MATCH($A178,lmic_raw_lb[[setting]:[setting]],0), MATCH(U$139, lmic_raw_lb[#Headers],0))=0, INDEX(regions_lb[], MATCH($D178, regions_lb[[setting]:[setting]],0), MATCH(U$139, regions_lb[#Headers],0)),INDEX(lmic_raw_lb[],MATCH($A178,lmic_raw_lb[[setting]:[setting]],0), MATCH(U$139, lmic_raw_lb[#Headers],0)))</f>
        <v>73.779375000000002</v>
      </c>
      <c r="V178" s="98">
        <f>IF(INDEX(lmic_raw_lb[],MATCH($A178,lmic_raw_lb[[setting]:[setting]],0), MATCH(V$139, lmic_raw_lb[#Headers],0))=0, INDEX(regions_lb[], MATCH($D178, regions_lb[[setting]:[setting]],0), MATCH(V$139, regions_lb[#Headers],0)),INDEX(lmic_raw_lb[],MATCH($A178,lmic_raw_lb[[setting]:[setting]],0), MATCH(V$139, lmic_raw_lb[#Headers],0)))</f>
        <v>0.48056084700472573</v>
      </c>
      <c r="W178" s="98">
        <f>IF(INDEX(lmic_raw_lb[],MATCH($A178,lmic_raw_lb[[setting]:[setting]],0), MATCH(W$139, lmic_raw_lb[#Headers],0))=0, INDEX(regions_lb[], MATCH($D178, regions_lb[[setting]:[setting]],0), MATCH(W$139, regions_lb[#Headers],0)),INDEX(lmic_raw_lb[],MATCH($A178,lmic_raw_lb[[setting]:[setting]],0), MATCH(W$139, lmic_raw_lb[#Headers],0)))</f>
        <v>5.0678258470047259</v>
      </c>
      <c r="X178" s="98">
        <f>IF(INDEX(lmic_raw_lb[],MATCH($A178,lmic_raw_lb[[setting]:[setting]],0), MATCH(X$139, lmic_raw_lb[#Headers],0))=0, INDEX(regions_lb[], MATCH($D178, regions_lb[[setting]:[setting]],0), MATCH(X$139, regions_lb[#Headers],0)),INDEX(lmic_raw_lb[],MATCH($A178,lmic_raw_lb[[setting]:[setting]],0), MATCH(X$139, lmic_raw_lb[#Headers],0)))</f>
        <v>0.10789932581033998</v>
      </c>
      <c r="Y178" s="98">
        <f>IF(INDEX(lmic_raw_lb[],MATCH($A178,lmic_raw_lb[[setting]:[setting]],0), MATCH(Y$139, lmic_raw_lb[#Headers],0))=0, INDEX(regions_lb[], MATCH($D178, regions_lb[[setting]:[setting]],0), MATCH(Y$139, regions_lb[#Headers],0)),INDEX(lmic_raw_lb[],MATCH($A178,lmic_raw_lb[[setting]:[setting]],0), MATCH(Y$139, lmic_raw_lb[#Headers],0)))</f>
        <v>4.6951643258103406</v>
      </c>
      <c r="Z178" s="98">
        <f>IF(INDEX(lmic_raw_lb[],MATCH($A178,lmic_raw_lb[[setting]:[setting]],0), MATCH(Z$139, lmic_raw_lb[#Headers],0))=0, INDEX(regions_lb[], MATCH($D178, regions_lb[[setting]:[setting]],0), MATCH(Z$139, regions_lb[#Headers],0)),INDEX(lmic_raw_lb[],MATCH($A178,lmic_raw_lb[[setting]:[setting]],0), MATCH(Z$139, lmic_raw_lb[#Headers],0)))</f>
        <v>4.6881220224186286</v>
      </c>
      <c r="AA178" s="98">
        <f>IF(INDEX(lmic_raw_lb[],MATCH($A178,lmic_raw_lb[[setting]:[setting]],0), MATCH(AA$139, lmic_raw_lb[#Headers],0))=0, INDEX(regions_lb[], MATCH($D178, regions_lb[[setting]:[setting]],0), MATCH(AA$139, regions_lb[#Headers],0)),INDEX(lmic_raw_lb[],MATCH($A178,lmic_raw_lb[[setting]:[setting]],0), MATCH(AA$139, lmic_raw_lb[#Headers],0)))</f>
        <v>0.6949144591808174</v>
      </c>
      <c r="AB178" s="98">
        <f>IF(INDEX(lmic_raw_lb[],MATCH($A178,lmic_raw_lb[[setting]:[setting]],0), MATCH(AB$139, lmic_raw_lb[#Headers],0))=0, INDEX(regions_lb[], MATCH($D178, regions_lb[[setting]:[setting]],0), MATCH(AB$139, regions_lb[#Headers],0)),INDEX(lmic_raw_lb[],MATCH($A178,lmic_raw_lb[[setting]:[setting]],0), MATCH(AB$139, lmic_raw_lb[#Headers],0)))</f>
        <v>5.282179459180818</v>
      </c>
      <c r="AC178" s="98">
        <f>IF(INDEX(lmic_raw_lb[],MATCH($A178,lmic_raw_lb[[setting]:[setting]],0), MATCH(AC$139, lmic_raw_lb[#Headers],0))=0, INDEX(regions_lb[], MATCH($D178, regions_lb[[setting]:[setting]],0), MATCH(AC$139, regions_lb[#Headers],0)),INDEX(lmic_raw_lb[],MATCH($A178,lmic_raw_lb[[setting]:[setting]],0), MATCH(AC$139, lmic_raw_lb[#Headers],0)))</f>
        <v>6.2843972499999984E-2</v>
      </c>
      <c r="AD178" s="98">
        <f>IF(INDEX(lmic_raw_lb[],MATCH($A178,lmic_raw_lb[[setting]:[setting]],0), MATCH(AD$139, lmic_raw_lb[#Headers],0))=0, INDEX(regions_lb[], MATCH($D178, regions_lb[[setting]:[setting]],0), MATCH(AD$139, regions_lb[#Headers],0)),INDEX(lmic_raw_lb[],MATCH($A178,lmic_raw_lb[[setting]:[setting]],0), MATCH(AD$139, lmic_raw_lb[#Headers],0)))</f>
        <v>7.0325014995741616E-3</v>
      </c>
      <c r="AE178" s="98">
        <f>IF(INDEX(lmic_raw_lb[],MATCH($A178,lmic_raw_lb[[setting]:[setting]],0), MATCH(AE$139, lmic_raw_lb[#Headers],0))=0, INDEX(regions_lb[], MATCH($D178, regions_lb[[setting]:[setting]],0), MATCH(AE$139, regions_lb[#Headers],0)),INDEX(lmic_raw_lb[],MATCH($A178,lmic_raw_lb[[setting]:[setting]],0), MATCH(AE$139, lmic_raw_lb[#Headers],0)))</f>
        <v>2.0720160424331745E-3</v>
      </c>
      <c r="AF178" s="98">
        <f>IF(INDEX(lmic_raw_lb[],MATCH($A178,lmic_raw_lb[[setting]:[setting]],0), MATCH(AF$139, lmic_raw_lb[#Headers],0))=0, INDEX(regions_lb[], MATCH($D178, regions_lb[[setting]:[setting]],0), MATCH(AF$139, regions_lb[#Headers],0)),INDEX(lmic_raw_lb[],MATCH($A178,lmic_raw_lb[[setting]:[setting]],0), MATCH(AF$139, lmic_raw_lb[#Headers],0)))</f>
        <v>1.4784362864852687E-3</v>
      </c>
      <c r="AG178" s="98">
        <f>IF(INDEX(lmic_raw_lb[],MATCH($A178,lmic_raw_lb[[setting]:[setting]],0), MATCH(AG$139, lmic_raw_lb[#Headers],0))=0, INDEX(regions_lb[], MATCH($D178, regions_lb[[setting]:[setting]],0), MATCH(AG$139, regions_lb[#Headers],0)),INDEX(lmic_raw_lb[],MATCH($A178,lmic_raw_lb[[setting]:[setting]],0), MATCH(AG$139, lmic_raw_lb[#Headers],0)))</f>
        <v>2.1975923557773142E-3</v>
      </c>
      <c r="AH178" s="98">
        <f>IF(INDEX(lmic_raw_lb[],MATCH($A178,lmic_raw_lb[[setting]:[setting]],0), MATCH(AH$139, lmic_raw_lb[#Headers],0))=0, INDEX(regions_lb[], MATCH($D178, regions_lb[[setting]:[setting]],0), MATCH(AH$139, regions_lb[#Headers],0)),INDEX(lmic_raw_lb[],MATCH($A178,lmic_raw_lb[[setting]:[setting]],0), MATCH(AH$139, lmic_raw_lb[#Headers],0)))</f>
        <v>3.3062223560631492E-3</v>
      </c>
      <c r="AI178" s="98">
        <f>IF(INDEX(lmic_raw_lb[],MATCH($A178,lmic_raw_lb[[setting]:[setting]],0), MATCH(AI$139, lmic_raw_lb[#Headers],0))=0, INDEX(regions_lb[], MATCH($D178, regions_lb[[setting]:[setting]],0), MATCH(AI$139, regions_lb[#Headers],0)),INDEX(lmic_raw_lb[],MATCH($A178,lmic_raw_lb[[setting]:[setting]],0), MATCH(AI$139, lmic_raw_lb[#Headers],0)))</f>
        <v>4.3245213329453237E-3</v>
      </c>
      <c r="AJ178" s="98">
        <f>IF(INDEX(lmic_raw_lb[],MATCH($A178,lmic_raw_lb[[setting]:[setting]],0), MATCH(AJ$139, lmic_raw_lb[#Headers],0))=0, INDEX(regions_lb[], MATCH($D178, regions_lb[[setting]:[setting]],0), MATCH(AJ$139, regions_lb[#Headers],0)),INDEX(lmic_raw_lb[],MATCH($A178,lmic_raw_lb[[setting]:[setting]],0), MATCH(AJ$139, lmic_raw_lb[#Headers],0)))</f>
        <v>5.460672839493726E-3</v>
      </c>
      <c r="AK178" s="98">
        <f>IF(INDEX(lmic_raw_lb[],MATCH($A178,lmic_raw_lb[[setting]:[setting]],0), MATCH(AK$139, lmic_raw_lb[#Headers],0))=0, INDEX(regions_lb[], MATCH($D178, regions_lb[[setting]:[setting]],0), MATCH(AK$139, regions_lb[#Headers],0)),INDEX(lmic_raw_lb[],MATCH($A178,lmic_raw_lb[[setting]:[setting]],0), MATCH(AK$139, lmic_raw_lb[#Headers],0)))</f>
        <v>7.0529338480466372E-3</v>
      </c>
      <c r="AL178" s="98">
        <f>IF(INDEX(lmic_raw_lb[],MATCH($A178,lmic_raw_lb[[setting]:[setting]],0), MATCH(AL$139, lmic_raw_lb[#Headers],0))=0, INDEX(regions_lb[], MATCH($D178, regions_lb[[setting]:[setting]],0), MATCH(AL$139, regions_lb[#Headers],0)),INDEX(lmic_raw_lb[],MATCH($A178,lmic_raw_lb[[setting]:[setting]],0), MATCH(AL$139, lmic_raw_lb[#Headers],0)))</f>
        <v>8.5941830062900432E-3</v>
      </c>
      <c r="AM178" s="98">
        <f>IF(INDEX(lmic_raw_lb[],MATCH($A178,lmic_raw_lb[[setting]:[setting]],0), MATCH(AM$139, lmic_raw_lb[#Headers],0))=0, INDEX(regions_lb[], MATCH($D178, regions_lb[[setting]:[setting]],0), MATCH(AM$139, regions_lb[#Headers],0)),INDEX(lmic_raw_lb[],MATCH($A178,lmic_raw_lb[[setting]:[setting]],0), MATCH(AM$139, lmic_raw_lb[#Headers],0)))</f>
        <v>1.031868511665863E-2</v>
      </c>
      <c r="AN178" s="98">
        <f>IF(INDEX(lmic_raw_lb[],MATCH($A178,lmic_raw_lb[[setting]:[setting]],0), MATCH(AN$139, lmic_raw_lb[#Headers],0))=0, INDEX(regions_lb[], MATCH($D178, regions_lb[[setting]:[setting]],0), MATCH(AN$139, regions_lb[#Headers],0)),INDEX(lmic_raw_lb[],MATCH($A178,lmic_raw_lb[[setting]:[setting]],0), MATCH(AN$139, lmic_raw_lb[#Headers],0)))</f>
        <v>1.3291550160942842E-2</v>
      </c>
      <c r="AO178" s="98">
        <f>IF(INDEX(lmic_raw_lb[],MATCH($A178,lmic_raw_lb[[setting]:[setting]],0), MATCH(AO$139, lmic_raw_lb[#Headers],0))=0, INDEX(regions_lb[], MATCH($D178, regions_lb[[setting]:[setting]],0), MATCH(AO$139, regions_lb[#Headers],0)),INDEX(lmic_raw_lb[],MATCH($A178,lmic_raw_lb[[setting]:[setting]],0), MATCH(AO$139, lmic_raw_lb[#Headers],0)))</f>
        <v>1.6868396220487771E-2</v>
      </c>
      <c r="AP178" s="98">
        <f>IF(INDEX(lmic_raw_lb[],MATCH($A178,lmic_raw_lb[[setting]:[setting]],0), MATCH(AP$139, lmic_raw_lb[#Headers],0))=0, INDEX(regions_lb[], MATCH($D178, regions_lb[[setting]:[setting]],0), MATCH(AP$139, regions_lb[#Headers],0)),INDEX(lmic_raw_lb[],MATCH($A178,lmic_raw_lb[[setting]:[setting]],0), MATCH(AP$139, lmic_raw_lb[#Headers],0)))</f>
        <v>2.3743236138277043E-2</v>
      </c>
      <c r="AQ178" s="98">
        <f>IF(INDEX(lmic_raw_lb[],MATCH($A178,lmic_raw_lb[[setting]:[setting]],0), MATCH(AQ$139, lmic_raw_lb[#Headers],0))=0, INDEX(regions_lb[], MATCH($D178, regions_lb[[setting]:[setting]],0), MATCH(AQ$139, regions_lb[#Headers],0)),INDEX(lmic_raw_lb[],MATCH($A178,lmic_raw_lb[[setting]:[setting]],0), MATCH(AQ$139, lmic_raw_lb[#Headers],0)))</f>
        <v>3.4743070910664253E-2</v>
      </c>
      <c r="AR178" s="98">
        <f>IF(INDEX(lmic_raw_lb[],MATCH($A178,lmic_raw_lb[[setting]:[setting]],0), MATCH(AR$139, lmic_raw_lb[#Headers],0))=0, INDEX(regions_lb[], MATCH($D178, regions_lb[[setting]:[setting]],0), MATCH(AR$139, regions_lb[#Headers],0)),INDEX(lmic_raw_lb[],MATCH($A178,lmic_raw_lb[[setting]:[setting]],0), MATCH(AR$139, lmic_raw_lb[#Headers],0)))</f>
        <v>5.1841381128399672E-2</v>
      </c>
      <c r="AS178" s="98">
        <f>IF(INDEX(lmic_raw_lb[],MATCH($A178,lmic_raw_lb[[setting]:[setting]],0), MATCH(AS$139, lmic_raw_lb[#Headers],0))=0, INDEX(regions_lb[], MATCH($D178, regions_lb[[setting]:[setting]],0), MATCH(AS$139, regions_lb[#Headers],0)),INDEX(lmic_raw_lb[],MATCH($A178,lmic_raw_lb[[setting]:[setting]],0), MATCH(AS$139, lmic_raw_lb[#Headers],0)))</f>
        <v>7.6238218589578785E-2</v>
      </c>
      <c r="AT178" s="98">
        <f>IF(INDEX(lmic_raw_lb[],MATCH($A178,lmic_raw_lb[[setting]:[setting]],0), MATCH(AT$139, lmic_raw_lb[#Headers],0))=0, INDEX(regions_lb[], MATCH($D178, regions_lb[[setting]:[setting]],0), MATCH(AT$139, regions_lb[#Headers],0)),INDEX(lmic_raw_lb[],MATCH($A178,lmic_raw_lb[[setting]:[setting]],0), MATCH(AT$139, lmic_raw_lb[#Headers],0)))</f>
        <v>0.11013495151816302</v>
      </c>
      <c r="AU178" s="98">
        <f>IF(INDEX(lmic_raw_lb[],MATCH($A178,lmic_raw_lb[[setting]:[setting]],0), MATCH(AU$139, lmic_raw_lb[#Headers],0))=0, INDEX(regions_lb[], MATCH($D178, regions_lb[[setting]:[setting]],0), MATCH(AU$139, regions_lb[#Headers],0)),INDEX(lmic_raw_lb[],MATCH($A178,lmic_raw_lb[[setting]:[setting]],0), MATCH(AU$139, lmic_raw_lb[#Headers],0)))</f>
        <v>0.14639352450765597</v>
      </c>
      <c r="AV178" s="98">
        <f>IF(INDEX(lmic_raw_lb[],MATCH($A178,lmic_raw_lb[[setting]:[setting]],0), MATCH(AV$139, lmic_raw_lb[#Headers],0))=0, INDEX(regions_lb[], MATCH($D178, regions_lb[[setting]:[setting]],0), MATCH(AV$139, regions_lb[#Headers],0)),INDEX(lmic_raw_lb[],MATCH($A178,lmic_raw_lb[[setting]:[setting]],0), MATCH(AV$139, lmic_raw_lb[#Headers],0)))</f>
        <v>0.17255950588916485</v>
      </c>
      <c r="AW178" s="98">
        <f>IF(INDEX(lmic_raw_lb[],MATCH($A178,lmic_raw_lb[[setting]:[setting]],0), MATCH(AW$139, lmic_raw_lb[#Headers],0))=0, INDEX(regions_lb[], MATCH($D178, regions_lb[[setting]:[setting]],0), MATCH(AW$139, regions_lb[#Headers],0)),INDEX(lmic_raw_lb[],MATCH($A178,lmic_raw_lb[[setting]:[setting]],0), MATCH(AW$139, lmic_raw_lb[#Headers],0)))</f>
        <v>0.17972686429455786</v>
      </c>
      <c r="AX178" s="98">
        <f>IF(INDEX(lmic_raw_lb[],MATCH($A178,lmic_raw_lb[[setting]:[setting]],0), MATCH(AX$139, lmic_raw_lb[#Headers],0))=0, INDEX(regions_lb[], MATCH($D178, regions_lb[[setting]:[setting]],0), MATCH(AX$139, regions_lb[#Headers],0)),INDEX(lmic_raw_lb[],MATCH($A178,lmic_raw_lb[[setting]:[setting]],0), MATCH(AX$139, lmic_raw_lb[#Headers],0)))</f>
        <v>55.3337</v>
      </c>
      <c r="AY178" s="98" t="str">
        <f>IF(VLOOKUP(lmics_lb[[#This Row],[setting]],lmic_raw_lb[],11,FALSE)=0, "Yes", "No")</f>
        <v>Yes</v>
      </c>
    </row>
    <row r="179" spans="1:51" x14ac:dyDescent="0.25">
      <c r="A179" s="110" t="s">
        <v>104</v>
      </c>
      <c r="B179" s="104" t="s">
        <v>420</v>
      </c>
      <c r="C179" s="105">
        <v>232</v>
      </c>
      <c r="D179" s="84" t="s">
        <v>677</v>
      </c>
      <c r="E179" s="122" t="s">
        <v>597</v>
      </c>
      <c r="F179" s="94" t="s">
        <v>667</v>
      </c>
      <c r="G179" s="94" t="s">
        <v>674</v>
      </c>
      <c r="H179" s="94"/>
      <c r="I179" s="94"/>
      <c r="J179" s="94">
        <f>IF(INDEX(lmic_raw_lb[],MATCH($A179,lmic_raw_lb[[setting]:[setting]],0), MATCH(J$139, lmic_raw_lb[#Headers],0))=0, INDEX(regions_lb[], MATCH($D179, regions_lb[[setting]:[setting]],0), MATCH(J$139, regions_lb[#Headers],0)),INDEX(lmic_raw_lb[],MATCH($A179,lmic_raw_lb[[setting]:[setting]],0), MATCH(J$139, lmic_raw_lb[#Headers],0)))</f>
        <v>0.32014999999999999</v>
      </c>
      <c r="K179" s="94">
        <f>IF(INDEX(lmic_raw_lb[],MATCH($A179,lmic_raw_lb[[setting]:[setting]],0), MATCH(K$139, lmic_raw_lb[#Headers],0))=0, INDEX(regions_lb[], MATCH($D179, regions_lb[[setting]:[setting]],0), MATCH(K$139, regions_lb[#Headers],0)),INDEX(lmic_raw_lb[],MATCH($A179,lmic_raw_lb[[setting]:[setting]],0), MATCH(K$139, lmic_raw_lb[#Headers],0)))</f>
        <v>0.65789974195504752</v>
      </c>
      <c r="L179" s="94">
        <f>IF(INDEX(lmic_raw_lb[],MATCH($A179,lmic_raw_lb[[setting]:[setting]],0), MATCH(L$139, lmic_raw_lb[#Headers],0))=0, INDEX(regions_lb[], MATCH($D179, regions_lb[[setting]:[setting]],0), MATCH(L$139, regions_lb[#Headers],0)),INDEX(lmic_raw_lb[],MATCH($A179,lmic_raw_lb[[setting]:[setting]],0), MATCH(L$139, lmic_raw_lb[#Headers],0)))</f>
        <v>0.90249999999999997</v>
      </c>
      <c r="M179" s="94">
        <f>IF(INDEX(lmic_raw_lb[],MATCH($A179,lmic_raw_lb[[setting]:[setting]],0), MATCH(M$139, lmic_raw_lb[#Headers],0))=0, INDEX(regions_lb[], MATCH($D179, regions_lb[[setting]:[setting]],0), MATCH(M$139, regions_lb[#Headers],0)),INDEX(lmic_raw_lb[],MATCH($A179,lmic_raw_lb[[setting]:[setting]],0), MATCH(M$139, lmic_raw_lb[#Headers],0)))</f>
        <v>1.49E-2</v>
      </c>
      <c r="N179" s="94">
        <f>IF(INDEX(lmic_raw_lb[],MATCH($A179,lmic_raw_lb[[setting]:[setting]],0), MATCH(N$139, lmic_raw_lb[#Headers],0))=0, INDEX(regions_lb[], MATCH($D179, regions_lb[[setting]:[setting]],0), MATCH(N$139, regions_lb[#Headers],0)),INDEX(lmic_raw_lb[],MATCH($A179,lmic_raw_lb[[setting]:[setting]],0), MATCH(N$139, lmic_raw_lb[#Headers],0)))</f>
        <v>0.15560000000000002</v>
      </c>
      <c r="O179" s="94">
        <f>IF(INDEX(lmic_raw_lb[],MATCH($A179,lmic_raw_lb[[setting]:[setting]],0), MATCH(O$139, lmic_raw_lb[#Headers],0))=0, INDEX(regions_lb[], MATCH($D179, regions_lb[[setting]:[setting]],0), MATCH(O$139, regions_lb[#Headers],0)),INDEX(lmic_raw_lb[],MATCH($A179,lmic_raw_lb[[setting]:[setting]],0), MATCH(O$139, lmic_raw_lb[#Headers],0)))</f>
        <v>7.0000000000000007E-2</v>
      </c>
      <c r="P179" s="94">
        <f>IF(INDEX(lmic_raw_lb[],MATCH($A179,lmic_raw_lb[[setting]:[setting]],0), MATCH(P$139, lmic_raw_lb[#Headers],0))=0, INDEX(regions_lb[], MATCH($D179, regions_lb[[setting]:[setting]],0), MATCH(P$139, regions_lb[#Headers],0)),INDEX(lmic_raw_lb[],MATCH($A179,lmic_raw_lb[[setting]:[setting]],0), MATCH(P$139, lmic_raw_lb[#Headers],0)))</f>
        <v>1E-3</v>
      </c>
      <c r="Q179" s="94">
        <f>IF(INDEX(lmic_raw_lb[],MATCH($A179,lmic_raw_lb[[setting]:[setting]],0), MATCH(Q$139, lmic_raw_lb[#Headers],0))=0, INDEX(regions_lb[], MATCH($D179, regions_lb[[setting]:[setting]],0), MATCH(Q$139, regions_lb[#Headers],0)),INDEX(lmic_raw_lb[],MATCH($A179,lmic_raw_lb[[setting]:[setting]],0), MATCH(Q$139, lmic_raw_lb[#Headers],0)))</f>
        <v>2.1194295026982246</v>
      </c>
      <c r="R179" s="94">
        <f>IF(INDEX(lmic_raw_lb[],MATCH($A179,lmic_raw_lb[[setting]:[setting]],0), MATCH(R$139, lmic_raw_lb[#Headers],0))=0, INDEX(regions_lb[], MATCH($D179, regions_lb[[setting]:[setting]],0), MATCH(R$139, regions_lb[#Headers],0)),INDEX(lmic_raw_lb[],MATCH($A179,lmic_raw_lb[[setting]:[setting]],0), MATCH(R$139, lmic_raw_lb[#Headers],0)))</f>
        <v>28.424474999999997</v>
      </c>
      <c r="S179" s="94">
        <f>IF(INDEX(lmic_raw_lb[],MATCH($A179,lmic_raw_lb[[setting]:[setting]],0), MATCH(S$139, lmic_raw_lb[#Headers],0))=0, INDEX(regions_lb[], MATCH($D179, regions_lb[[setting]:[setting]],0), MATCH(S$139, regions_lb[#Headers],0)),INDEX(lmic_raw_lb[],MATCH($A179,lmic_raw_lb[[setting]:[setting]],0), MATCH(S$139, lmic_raw_lb[#Headers],0)))</f>
        <v>73.779375000000002</v>
      </c>
      <c r="T179" s="94">
        <f>IF(INDEX(lmic_raw_lb[],MATCH($A179,lmic_raw_lb[[setting]:[setting]],0), MATCH(T$139, lmic_raw_lb[#Headers],0))=0, INDEX(regions_lb[], MATCH($D179, regions_lb[[setting]:[setting]],0), MATCH(T$139, regions_lb[#Headers],0)),INDEX(lmic_raw_lb[],MATCH($A179,lmic_raw_lb[[setting]:[setting]],0), MATCH(T$139, lmic_raw_lb[#Headers],0)))</f>
        <v>73.779375000000002</v>
      </c>
      <c r="U179" s="94">
        <f>IF(INDEX(lmic_raw_lb[],MATCH($A179,lmic_raw_lb[[setting]:[setting]],0), MATCH(U$139, lmic_raw_lb[#Headers],0))=0, INDEX(regions_lb[], MATCH($D179, regions_lb[[setting]:[setting]],0), MATCH(U$139, regions_lb[#Headers],0)),INDEX(lmic_raw_lb[],MATCH($A179,lmic_raw_lb[[setting]:[setting]],0), MATCH(U$139, lmic_raw_lb[#Headers],0)))</f>
        <v>73.779375000000002</v>
      </c>
      <c r="V179" s="94">
        <f>IF(INDEX(lmic_raw_lb[],MATCH($A179,lmic_raw_lb[[setting]:[setting]],0), MATCH(V$139, lmic_raw_lb[#Headers],0))=0, INDEX(regions_lb[], MATCH($D179, regions_lb[[setting]:[setting]],0), MATCH(V$139, regions_lb[#Headers],0)),INDEX(lmic_raw_lb[],MATCH($A179,lmic_raw_lb[[setting]:[setting]],0), MATCH(V$139, lmic_raw_lb[#Headers],0)))</f>
        <v>1.541665342048806</v>
      </c>
      <c r="W179" s="94">
        <f>IF(INDEX(lmic_raw_lb[],MATCH($A179,lmic_raw_lb[[setting]:[setting]],0), MATCH(W$139, lmic_raw_lb[#Headers],0))=0, INDEX(regions_lb[], MATCH($D179, regions_lb[[setting]:[setting]],0), MATCH(W$139, regions_lb[#Headers],0)),INDEX(lmic_raw_lb[],MATCH($A179,lmic_raw_lb[[setting]:[setting]],0), MATCH(W$139, lmic_raw_lb[#Headers],0)))</f>
        <v>6.1289303420488066</v>
      </c>
      <c r="X179" s="94">
        <f>IF(INDEX(lmic_raw_lb[],MATCH($A179,lmic_raw_lb[[setting]:[setting]],0), MATCH(X$139, lmic_raw_lb[#Headers],0))=0, INDEX(regions_lb[], MATCH($D179, regions_lb[[setting]:[setting]],0), MATCH(X$139, regions_lb[#Headers],0)),INDEX(lmic_raw_lb[],MATCH($A179,lmic_raw_lb[[setting]:[setting]],0), MATCH(X$139, lmic_raw_lb[#Headers],0)))</f>
        <v>1.1774019699539167</v>
      </c>
      <c r="Y179" s="94">
        <f>IF(INDEX(lmic_raw_lb[],MATCH($A179,lmic_raw_lb[[setting]:[setting]],0), MATCH(Y$139, lmic_raw_lb[#Headers],0))=0, INDEX(regions_lb[], MATCH($D179, regions_lb[[setting]:[setting]],0), MATCH(Y$139, regions_lb[#Headers],0)),INDEX(lmic_raw_lb[],MATCH($A179,lmic_raw_lb[[setting]:[setting]],0), MATCH(Y$139, lmic_raw_lb[#Headers],0)))</f>
        <v>5.7646669699539173</v>
      </c>
      <c r="Z179" s="94">
        <f>IF(INDEX(lmic_raw_lb[],MATCH($A179,lmic_raw_lb[[setting]:[setting]],0), MATCH(Z$139, lmic_raw_lb[#Headers],0))=0, INDEX(regions_lb[], MATCH($D179, regions_lb[[setting]:[setting]],0), MATCH(Z$139, regions_lb[#Headers],0)),INDEX(lmic_raw_lb[],MATCH($A179,lmic_raw_lb[[setting]:[setting]],0), MATCH(Z$139, lmic_raw_lb[#Headers],0)))</f>
        <v>5.763299319705661</v>
      </c>
      <c r="AA179" s="94">
        <f>IF(INDEX(lmic_raw_lb[],MATCH($A179,lmic_raw_lb[[setting]:[setting]],0), MATCH(AA$139, lmic_raw_lb[#Headers],0))=0, INDEX(regions_lb[], MATCH($D179, regions_lb[[setting]:[setting]],0), MATCH(AA$139, regions_lb[#Headers],0)),INDEX(lmic_raw_lb[],MATCH($A179,lmic_raw_lb[[setting]:[setting]],0), MATCH(AA$139, lmic_raw_lb[#Headers],0)))</f>
        <v>1.7524197474679708</v>
      </c>
      <c r="AB179" s="94">
        <f>IF(INDEX(lmic_raw_lb[],MATCH($A179,lmic_raw_lb[[setting]:[setting]],0), MATCH(AB$139, lmic_raw_lb[#Headers],0))=0, INDEX(regions_lb[], MATCH($D179, regions_lb[[setting]:[setting]],0), MATCH(AB$139, regions_lb[#Headers],0)),INDEX(lmic_raw_lb[],MATCH($A179,lmic_raw_lb[[setting]:[setting]],0), MATCH(AB$139, lmic_raw_lb[#Headers],0)))</f>
        <v>6.3396847474679712</v>
      </c>
      <c r="AC179" s="94">
        <f>IF(INDEX(lmic_raw_lb[],MATCH($A179,lmic_raw_lb[[setting]:[setting]],0), MATCH(AC$139, lmic_raw_lb[#Headers],0))=0, INDEX(regions_lb[], MATCH($D179, regions_lb[[setting]:[setting]],0), MATCH(AC$139, regions_lb[#Headers],0)),INDEX(lmic_raw_lb[],MATCH($A179,lmic_raw_lb[[setting]:[setting]],0), MATCH(AC$139, lmic_raw_lb[#Headers],0)))</f>
        <v>3.2987572000000034E-2</v>
      </c>
      <c r="AD179" s="94">
        <f>IF(INDEX(lmic_raw_lb[],MATCH($A179,lmic_raw_lb[[setting]:[setting]],0), MATCH(AD$139, lmic_raw_lb[#Headers],0))=0, INDEX(regions_lb[], MATCH($D179, regions_lb[[setting]:[setting]],0), MATCH(AD$139, regions_lb[#Headers],0)),INDEX(lmic_raw_lb[],MATCH($A179,lmic_raw_lb[[setting]:[setting]],0), MATCH(AD$139, lmic_raw_lb[#Headers],0)))</f>
        <v>2.354196426714068E-3</v>
      </c>
      <c r="AE179" s="94">
        <f>IF(INDEX(lmic_raw_lb[],MATCH($A179,lmic_raw_lb[[setting]:[setting]],0), MATCH(AE$139, lmic_raw_lb[#Headers],0))=0, INDEX(regions_lb[], MATCH($D179, regions_lb[[setting]:[setting]],0), MATCH(AE$139, regions_lb[#Headers],0)),INDEX(lmic_raw_lb[],MATCH($A179,lmic_raw_lb[[setting]:[setting]],0), MATCH(AE$139, lmic_raw_lb[#Headers],0)))</f>
        <v>7.9958970314396142E-4</v>
      </c>
      <c r="AF179" s="94">
        <f>IF(INDEX(lmic_raw_lb[],MATCH($A179,lmic_raw_lb[[setting]:[setting]],0), MATCH(AF$139, lmic_raw_lb[#Headers],0))=0, INDEX(regions_lb[], MATCH($D179, regions_lb[[setting]:[setting]],0), MATCH(AF$139, regions_lb[#Headers],0)),INDEX(lmic_raw_lb[],MATCH($A179,lmic_raw_lb[[setting]:[setting]],0), MATCH(AF$139, lmic_raw_lb[#Headers],0)))</f>
        <v>6.0446120225821716E-4</v>
      </c>
      <c r="AG179" s="94">
        <f>IF(INDEX(lmic_raw_lb[],MATCH($A179,lmic_raw_lb[[setting]:[setting]],0), MATCH(AG$139, lmic_raw_lb[#Headers],0))=0, INDEX(regions_lb[], MATCH($D179, regions_lb[[setting]:[setting]],0), MATCH(AG$139, regions_lb[#Headers],0)),INDEX(lmic_raw_lb[],MATCH($A179,lmic_raw_lb[[setting]:[setting]],0), MATCH(AG$139, lmic_raw_lb[#Headers],0)))</f>
        <v>1.1665954907118922E-3</v>
      </c>
      <c r="AH179" s="94">
        <f>IF(INDEX(lmic_raw_lb[],MATCH($A179,lmic_raw_lb[[setting]:[setting]],0), MATCH(AH$139, lmic_raw_lb[#Headers],0))=0, INDEX(regions_lb[], MATCH($D179, regions_lb[[setting]:[setting]],0), MATCH(AH$139, regions_lb[#Headers],0)),INDEX(lmic_raw_lb[],MATCH($A179,lmic_raw_lb[[setting]:[setting]],0), MATCH(AH$139, lmic_raw_lb[#Headers],0)))</f>
        <v>1.6585412495618913E-3</v>
      </c>
      <c r="AI179" s="94">
        <f>IF(INDEX(lmic_raw_lb[],MATCH($A179,lmic_raw_lb[[setting]:[setting]],0), MATCH(AI$139, lmic_raw_lb[#Headers],0))=0, INDEX(regions_lb[], MATCH($D179, regions_lb[[setting]:[setting]],0), MATCH(AI$139, regions_lb[#Headers],0)),INDEX(lmic_raw_lb[],MATCH($A179,lmic_raw_lb[[setting]:[setting]],0), MATCH(AI$139, lmic_raw_lb[#Headers],0)))</f>
        <v>2.1936643721107629E-3</v>
      </c>
      <c r="AJ179" s="94">
        <f>IF(INDEX(lmic_raw_lb[],MATCH($A179,lmic_raw_lb[[setting]:[setting]],0), MATCH(AJ$139, lmic_raw_lb[#Headers],0))=0, INDEX(regions_lb[], MATCH($D179, regions_lb[[setting]:[setting]],0), MATCH(AJ$139, regions_lb[#Headers],0)),INDEX(lmic_raw_lb[],MATCH($A179,lmic_raw_lb[[setting]:[setting]],0), MATCH(AJ$139, lmic_raw_lb[#Headers],0)))</f>
        <v>2.9384925047704984E-3</v>
      </c>
      <c r="AK179" s="94">
        <f>IF(INDEX(lmic_raw_lb[],MATCH($A179,lmic_raw_lb[[setting]:[setting]],0), MATCH(AK$139, lmic_raw_lb[#Headers],0))=0, INDEX(regions_lb[], MATCH($D179, regions_lb[[setting]:[setting]],0), MATCH(AK$139, regions_lb[#Headers],0)),INDEX(lmic_raw_lb[],MATCH($A179,lmic_raw_lb[[setting]:[setting]],0), MATCH(AK$139, lmic_raw_lb[#Headers],0)))</f>
        <v>3.8138668748455484E-3</v>
      </c>
      <c r="AL179" s="94">
        <f>IF(INDEX(lmic_raw_lb[],MATCH($A179,lmic_raw_lb[[setting]:[setting]],0), MATCH(AL$139, lmic_raw_lb[#Headers],0))=0, INDEX(regions_lb[], MATCH($D179, regions_lb[[setting]:[setting]],0), MATCH(AL$139, regions_lb[#Headers],0)),INDEX(lmic_raw_lb[],MATCH($A179,lmic_raw_lb[[setting]:[setting]],0), MATCH(AL$139, lmic_raw_lb[#Headers],0)))</f>
        <v>5.5136604780383737E-3</v>
      </c>
      <c r="AM179" s="94">
        <f>IF(INDEX(lmic_raw_lb[],MATCH($A179,lmic_raw_lb[[setting]:[setting]],0), MATCH(AM$139, lmic_raw_lb[#Headers],0))=0, INDEX(regions_lb[], MATCH($D179, regions_lb[[setting]:[setting]],0), MATCH(AM$139, regions_lb[#Headers],0)),INDEX(lmic_raw_lb[],MATCH($A179,lmic_raw_lb[[setting]:[setting]],0), MATCH(AM$139, lmic_raw_lb[#Headers],0)))</f>
        <v>7.4586259146776444E-3</v>
      </c>
      <c r="AN179" s="94">
        <f>IF(INDEX(lmic_raw_lb[],MATCH($A179,lmic_raw_lb[[setting]:[setting]],0), MATCH(AN$139, lmic_raw_lb[#Headers],0))=0, INDEX(regions_lb[], MATCH($D179, regions_lb[[setting]:[setting]],0), MATCH(AN$139, regions_lb[#Headers],0)),INDEX(lmic_raw_lb[],MATCH($A179,lmic_raw_lb[[setting]:[setting]],0), MATCH(AN$139, lmic_raw_lb[#Headers],0)))</f>
        <v>1.1021435694162324E-2</v>
      </c>
      <c r="AO179" s="94">
        <f>IF(INDEX(lmic_raw_lb[],MATCH($A179,lmic_raw_lb[[setting]:[setting]],0), MATCH(AO$139, lmic_raw_lb[#Headers],0))=0, INDEX(regions_lb[], MATCH($D179, regions_lb[[setting]:[setting]],0), MATCH(AO$139, regions_lb[#Headers],0)),INDEX(lmic_raw_lb[],MATCH($A179,lmic_raw_lb[[setting]:[setting]],0), MATCH(AO$139, lmic_raw_lb[#Headers],0)))</f>
        <v>1.597840245787617E-2</v>
      </c>
      <c r="AP179" s="94">
        <f>IF(INDEX(lmic_raw_lb[],MATCH($A179,lmic_raw_lb[[setting]:[setting]],0), MATCH(AP$139, lmic_raw_lb[#Headers],0))=0, INDEX(regions_lb[], MATCH($D179, regions_lb[[setting]:[setting]],0), MATCH(AP$139, regions_lb[#Headers],0)),INDEX(lmic_raw_lb[],MATCH($A179,lmic_raw_lb[[setting]:[setting]],0), MATCH(AP$139, lmic_raw_lb[#Headers],0)))</f>
        <v>2.2889156730975253E-2</v>
      </c>
      <c r="AQ179" s="94">
        <f>IF(INDEX(lmic_raw_lb[],MATCH($A179,lmic_raw_lb[[setting]:[setting]],0), MATCH(AQ$139, lmic_raw_lb[#Headers],0))=0, INDEX(regions_lb[], MATCH($D179, regions_lb[[setting]:[setting]],0), MATCH(AQ$139, regions_lb[#Headers],0)),INDEX(lmic_raw_lb[],MATCH($A179,lmic_raw_lb[[setting]:[setting]],0), MATCH(AQ$139, lmic_raw_lb[#Headers],0)))</f>
        <v>3.22200495428175E-2</v>
      </c>
      <c r="AR179" s="94">
        <f>IF(INDEX(lmic_raw_lb[],MATCH($A179,lmic_raw_lb[[setting]:[setting]],0), MATCH(AR$139, lmic_raw_lb[#Headers],0))=0, INDEX(regions_lb[], MATCH($D179, regions_lb[[setting]:[setting]],0), MATCH(AR$139, regions_lb[#Headers],0)),INDEX(lmic_raw_lb[],MATCH($A179,lmic_raw_lb[[setting]:[setting]],0), MATCH(AR$139, lmic_raw_lb[#Headers],0)))</f>
        <v>4.7625655228462363E-2</v>
      </c>
      <c r="AS179" s="94">
        <f>IF(INDEX(lmic_raw_lb[],MATCH($A179,lmic_raw_lb[[setting]:[setting]],0), MATCH(AS$139, lmic_raw_lb[#Headers],0))=0, INDEX(regions_lb[], MATCH($D179, regions_lb[[setting]:[setting]],0), MATCH(AS$139, regions_lb[#Headers],0)),INDEX(lmic_raw_lb[],MATCH($A179,lmic_raw_lb[[setting]:[setting]],0), MATCH(AS$139, lmic_raw_lb[#Headers],0)))</f>
        <v>6.532748028156532E-2</v>
      </c>
      <c r="AT179" s="94">
        <f>IF(INDEX(lmic_raw_lb[],MATCH($A179,lmic_raw_lb[[setting]:[setting]],0), MATCH(AT$139, lmic_raw_lb[#Headers],0))=0, INDEX(regions_lb[], MATCH($D179, regions_lb[[setting]:[setting]],0), MATCH(AT$139, regions_lb[#Headers],0)),INDEX(lmic_raw_lb[],MATCH($A179,lmic_raw_lb[[setting]:[setting]],0), MATCH(AT$139, lmic_raw_lb[#Headers],0)))</f>
        <v>9.0879935661726877E-2</v>
      </c>
      <c r="AU179" s="94">
        <f>IF(INDEX(lmic_raw_lb[],MATCH($A179,lmic_raw_lb[[setting]:[setting]],0), MATCH(AU$139, lmic_raw_lb[#Headers],0))=0, INDEX(regions_lb[], MATCH($D179, regions_lb[[setting]:[setting]],0), MATCH(AU$139, regions_lb[#Headers],0)),INDEX(lmic_raw_lb[],MATCH($A179,lmic_raw_lb[[setting]:[setting]],0), MATCH(AU$139, lmic_raw_lb[#Headers],0)))</f>
        <v>0.11577903657424811</v>
      </c>
      <c r="AV179" s="94">
        <f>IF(INDEX(lmic_raw_lb[],MATCH($A179,lmic_raw_lb[[setting]:[setting]],0), MATCH(AV$139, lmic_raw_lb[#Headers],0))=0, INDEX(regions_lb[], MATCH($D179, regions_lb[[setting]:[setting]],0), MATCH(AV$139, regions_lb[#Headers],0)),INDEX(lmic_raw_lb[],MATCH($A179,lmic_raw_lb[[setting]:[setting]],0), MATCH(AV$139, lmic_raw_lb[#Headers],0)))</f>
        <v>0.13632632460170516</v>
      </c>
      <c r="AW179" s="94">
        <f>IF(INDEX(lmic_raw_lb[],MATCH($A179,lmic_raw_lb[[setting]:[setting]],0), MATCH(AW$139, lmic_raw_lb[#Headers],0))=0, INDEX(regions_lb[], MATCH($D179, regions_lb[[setting]:[setting]],0), MATCH(AW$139, regions_lb[#Headers],0)),INDEX(lmic_raw_lb[],MATCH($A179,lmic_raw_lb[[setting]:[setting]],0), MATCH(AW$139, lmic_raw_lb[#Headers],0)))</f>
        <v>0.1532700360640826</v>
      </c>
      <c r="AX179" s="94">
        <f>IF(INDEX(lmic_raw_lb[],MATCH($A179,lmic_raw_lb[[setting]:[setting]],0), MATCH(AX$139, lmic_raw_lb[#Headers],0))=0, INDEX(regions_lb[], MATCH($D179, regions_lb[[setting]:[setting]],0), MATCH(AX$139, regions_lb[#Headers],0)),INDEX(lmic_raw_lb[],MATCH($A179,lmic_raw_lb[[setting]:[setting]],0), MATCH(AX$139, lmic_raw_lb[#Headers],0)))</f>
        <v>62.455849999999991</v>
      </c>
      <c r="AY179" s="94" t="str">
        <f>IF(VLOOKUP(lmics_lb[[#This Row],[setting]],lmic_raw_lb[],11,FALSE)=0, "Yes", "No")</f>
        <v>Yes</v>
      </c>
    </row>
    <row r="180" spans="1:51" x14ac:dyDescent="0.25">
      <c r="A180" s="109" t="s">
        <v>133</v>
      </c>
      <c r="B180" s="101" t="s">
        <v>422</v>
      </c>
      <c r="C180" s="102">
        <v>748</v>
      </c>
      <c r="D180" s="82" t="s">
        <v>677</v>
      </c>
      <c r="E180" s="121" t="s">
        <v>594</v>
      </c>
      <c r="F180" s="98" t="s">
        <v>667</v>
      </c>
      <c r="G180" s="98" t="s">
        <v>678</v>
      </c>
      <c r="H180" s="98"/>
      <c r="I180" s="98"/>
      <c r="J180" s="98">
        <f>IF(INDEX(lmic_raw_lb[],MATCH($A180,lmic_raw_lb[[setting]:[setting]],0), MATCH(J$139, lmic_raw_lb[#Headers],0))=0, INDEX(regions_lb[], MATCH($D180, regions_lb[[setting]:[setting]],0), MATCH(J$139, regions_lb[#Headers],0)),INDEX(lmic_raw_lb[],MATCH($A180,lmic_raw_lb[[setting]:[setting]],0), MATCH(J$139, lmic_raw_lb[#Headers],0)))</f>
        <v>0.83314999999999995</v>
      </c>
      <c r="K180" s="98">
        <f>IF(INDEX(lmic_raw_lb[],MATCH($A180,lmic_raw_lb[[setting]:[setting]],0), MATCH(K$139, lmic_raw_lb[#Headers],0))=0, INDEX(regions_lb[], MATCH($D180, regions_lb[[setting]:[setting]],0), MATCH(K$139, regions_lb[#Headers],0)),INDEX(lmic_raw_lb[],MATCH($A180,lmic_raw_lb[[setting]:[setting]],0), MATCH(K$139, lmic_raw_lb[#Headers],0)))</f>
        <v>0.65789974195504752</v>
      </c>
      <c r="L180" s="98">
        <f>IF(INDEX(lmic_raw_lb[],MATCH($A180,lmic_raw_lb[[setting]:[setting]],0), MATCH(L$139, lmic_raw_lb[#Headers],0))=0, INDEX(regions_lb[], MATCH($D180, regions_lb[[setting]:[setting]],0), MATCH(L$139, regions_lb[#Headers],0)),INDEX(lmic_raw_lb[],MATCH($A180,lmic_raw_lb[[setting]:[setting]],0), MATCH(L$139, lmic_raw_lb[#Headers],0)))</f>
        <v>0.85499999999999998</v>
      </c>
      <c r="M180" s="98">
        <f>IF(INDEX(lmic_raw_lb[],MATCH($A180,lmic_raw_lb[[setting]:[setting]],0), MATCH(M$139, lmic_raw_lb[#Headers],0))=0, INDEX(regions_lb[], MATCH($D180, regions_lb[[setting]:[setting]],0), MATCH(M$139, regions_lb[#Headers],0)),INDEX(lmic_raw_lb[],MATCH($A180,lmic_raw_lb[[setting]:[setting]],0), MATCH(M$139, lmic_raw_lb[#Headers],0)))</f>
        <v>1.7000000000000001E-3</v>
      </c>
      <c r="N180" s="98">
        <f>IF(INDEX(lmic_raw_lb[],MATCH($A180,lmic_raw_lb[[setting]:[setting]],0), MATCH(N$139, lmic_raw_lb[#Headers],0))=0, INDEX(regions_lb[], MATCH($D180, regions_lb[[setting]:[setting]],0), MATCH(N$139, regions_lb[#Headers],0)),INDEX(lmic_raw_lb[],MATCH($A180,lmic_raw_lb[[setting]:[setting]],0), MATCH(N$139, lmic_raw_lb[#Headers],0)))</f>
        <v>0.15109999999999998</v>
      </c>
      <c r="O180" s="98">
        <f>IF(INDEX(lmic_raw_lb[],MATCH($A180,lmic_raw_lb[[setting]:[setting]],0), MATCH(O$139, lmic_raw_lb[#Headers],0))=0, INDEX(regions_lb[], MATCH($D180, regions_lb[[setting]:[setting]],0), MATCH(O$139, regions_lb[#Headers],0)),INDEX(lmic_raw_lb[],MATCH($A180,lmic_raw_lb[[setting]:[setting]],0), MATCH(O$139, lmic_raw_lb[#Headers],0)))</f>
        <v>7.0000000000000007E-2</v>
      </c>
      <c r="P180" s="98">
        <f>IF(INDEX(lmic_raw_lb[],MATCH($A180,lmic_raw_lb[[setting]:[setting]],0), MATCH(P$139, lmic_raw_lb[#Headers],0))=0, INDEX(regions_lb[], MATCH($D180, regions_lb[[setting]:[setting]],0), MATCH(P$139, regions_lb[#Headers],0)),INDEX(lmic_raw_lb[],MATCH($A180,lmic_raw_lb[[setting]:[setting]],0), MATCH(P$139, lmic_raw_lb[#Headers],0)))</f>
        <v>1E-3</v>
      </c>
      <c r="Q180" s="98">
        <f>IF(INDEX(lmic_raw_lb[],MATCH($A180,lmic_raw_lb[[setting]:[setting]],0), MATCH(Q$139, lmic_raw_lb[#Headers],0))=0, INDEX(regions_lb[], MATCH($D180, regions_lb[[setting]:[setting]],0), MATCH(Q$139, regions_lb[#Headers],0)),INDEX(lmic_raw_lb[],MATCH($A180,lmic_raw_lb[[setting]:[setting]],0), MATCH(Q$139, lmic_raw_lb[#Headers],0)))</f>
        <v>6.3139518284363971</v>
      </c>
      <c r="R180" s="98">
        <f>IF(INDEX(lmic_raw_lb[],MATCH($A180,lmic_raw_lb[[setting]:[setting]],0), MATCH(R$139, lmic_raw_lb[#Headers],0))=0, INDEX(regions_lb[], MATCH($D180, regions_lb[[setting]:[setting]],0), MATCH(R$139, regions_lb[#Headers],0)),INDEX(lmic_raw_lb[],MATCH($A180,lmic_raw_lb[[setting]:[setting]],0), MATCH(R$139, lmic_raw_lb[#Headers],0)))</f>
        <v>28.424474999999997</v>
      </c>
      <c r="S180" s="98">
        <f>IF(INDEX(lmic_raw_lb[],MATCH($A180,lmic_raw_lb[[setting]:[setting]],0), MATCH(S$139, lmic_raw_lb[#Headers],0))=0, INDEX(regions_lb[], MATCH($D180, regions_lb[[setting]:[setting]],0), MATCH(S$139, regions_lb[#Headers],0)),INDEX(lmic_raw_lb[],MATCH($A180,lmic_raw_lb[[setting]:[setting]],0), MATCH(S$139, lmic_raw_lb[#Headers],0)))</f>
        <v>73.779375000000002</v>
      </c>
      <c r="T180" s="98">
        <f>IF(INDEX(lmic_raw_lb[],MATCH($A180,lmic_raw_lb[[setting]:[setting]],0), MATCH(T$139, lmic_raw_lb[#Headers],0))=0, INDEX(regions_lb[], MATCH($D180, regions_lb[[setting]:[setting]],0), MATCH(T$139, regions_lb[#Headers],0)),INDEX(lmic_raw_lb[],MATCH($A180,lmic_raw_lb[[setting]:[setting]],0), MATCH(T$139, lmic_raw_lb[#Headers],0)))</f>
        <v>73.779375000000002</v>
      </c>
      <c r="U180" s="98">
        <f>IF(INDEX(lmic_raw_lb[],MATCH($A180,lmic_raw_lb[[setting]:[setting]],0), MATCH(U$139, lmic_raw_lb[#Headers],0))=0, INDEX(regions_lb[], MATCH($D180, regions_lb[[setting]:[setting]],0), MATCH(U$139, regions_lb[#Headers],0)),INDEX(lmic_raw_lb[],MATCH($A180,lmic_raw_lb[[setting]:[setting]],0), MATCH(U$139, lmic_raw_lb[#Headers],0)))</f>
        <v>73.779375000000002</v>
      </c>
      <c r="V180" s="98">
        <f>IF(INDEX(lmic_raw_lb[],MATCH($A180,lmic_raw_lb[[setting]:[setting]],0), MATCH(V$139, lmic_raw_lb[#Headers],0))=0, INDEX(regions_lb[], MATCH($D180, regions_lb[[setting]:[setting]],0), MATCH(V$139, regions_lb[#Headers],0)),INDEX(lmic_raw_lb[],MATCH($A180,lmic_raw_lb[[setting]:[setting]],0), MATCH(V$139, lmic_raw_lb[#Headers],0)))</f>
        <v>2.8970171308541932</v>
      </c>
      <c r="W180" s="98">
        <f>IF(INDEX(lmic_raw_lb[],MATCH($A180,lmic_raw_lb[[setting]:[setting]],0), MATCH(W$139, lmic_raw_lb[#Headers],0))=0, INDEX(regions_lb[], MATCH($D180, regions_lb[[setting]:[setting]],0), MATCH(W$139, regions_lb[#Headers],0)),INDEX(lmic_raw_lb[],MATCH($A180,lmic_raw_lb[[setting]:[setting]],0), MATCH(W$139, lmic_raw_lb[#Headers],0)))</f>
        <v>7.4842821308541936</v>
      </c>
      <c r="X180" s="98">
        <f>IF(INDEX(lmic_raw_lb[],MATCH($A180,lmic_raw_lb[[setting]:[setting]],0), MATCH(X$139, lmic_raw_lb[#Headers],0))=0, INDEX(regions_lb[], MATCH($D180, regions_lb[[setting]:[setting]],0), MATCH(X$139, regions_lb[#Headers],0)),INDEX(lmic_raw_lb[],MATCH($A180,lmic_raw_lb[[setting]:[setting]],0), MATCH(X$139, lmic_raw_lb[#Headers],0)))</f>
        <v>2.5260206692512033</v>
      </c>
      <c r="Y180" s="98">
        <f>IF(INDEX(lmic_raw_lb[],MATCH($A180,lmic_raw_lb[[setting]:[setting]],0), MATCH(Y$139, lmic_raw_lb[#Headers],0))=0, INDEX(regions_lb[], MATCH($D180, regions_lb[[setting]:[setting]],0), MATCH(Y$139, regions_lb[#Headers],0)),INDEX(lmic_raw_lb[],MATCH($A180,lmic_raw_lb[[setting]:[setting]],0), MATCH(Y$139, lmic_raw_lb[#Headers],0)))</f>
        <v>7.1132856692512032</v>
      </c>
      <c r="Z180" s="98">
        <f>IF(INDEX(lmic_raw_lb[],MATCH($A180,lmic_raw_lb[[setting]:[setting]],0), MATCH(Z$139, lmic_raw_lb[#Headers],0))=0, INDEX(regions_lb[], MATCH($D180, regions_lb[[setting]:[setting]],0), MATCH(Z$139, regions_lb[#Headers],0)),INDEX(lmic_raw_lb[],MATCH($A180,lmic_raw_lb[[setting]:[setting]],0), MATCH(Z$139, lmic_raw_lb[#Headers],0)))</f>
        <v>7.1076773700126932</v>
      </c>
      <c r="AA180" s="98">
        <f>IF(INDEX(lmic_raw_lb[],MATCH($A180,lmic_raw_lb[[setting]:[setting]],0), MATCH(AA$139, lmic_raw_lb[#Headers],0))=0, INDEX(regions_lb[], MATCH($D180, regions_lb[[setting]:[setting]],0), MATCH(AA$139, regions_lb[#Headers],0)),INDEX(lmic_raw_lb[],MATCH($A180,lmic_raw_lb[[setting]:[setting]],0), MATCH(AA$139, lmic_raw_lb[#Headers],0)))</f>
        <v>3.1106571460625441</v>
      </c>
      <c r="AB180" s="98">
        <f>IF(INDEX(lmic_raw_lb[],MATCH($A180,lmic_raw_lb[[setting]:[setting]],0), MATCH(AB$139, lmic_raw_lb[#Headers],0))=0, INDEX(regions_lb[], MATCH($D180, regions_lb[[setting]:[setting]],0), MATCH(AB$139, regions_lb[#Headers],0)),INDEX(lmic_raw_lb[],MATCH($A180,lmic_raw_lb[[setting]:[setting]],0), MATCH(AB$139, lmic_raw_lb[#Headers],0)))</f>
        <v>7.6979221460625444</v>
      </c>
      <c r="AC180" s="98">
        <f>IF(INDEX(lmic_raw_lb[],MATCH($A180,lmic_raw_lb[[setting]:[setting]],0), MATCH(AC$139, lmic_raw_lb[#Headers],0))=0, INDEX(regions_lb[], MATCH($D180, regions_lb[[setting]:[setting]],0), MATCH(AC$139, regions_lb[#Headers],0)),INDEX(lmic_raw_lb[],MATCH($A180,lmic_raw_lb[[setting]:[setting]],0), MATCH(AC$139, lmic_raw_lb[#Headers],0)))</f>
        <v>3.9296541000000018E-2</v>
      </c>
      <c r="AD180" s="98">
        <f>IF(INDEX(lmic_raw_lb[],MATCH($A180,lmic_raw_lb[[setting]:[setting]],0), MATCH(AD$139, lmic_raw_lb[#Headers],0))=0, INDEX(regions_lb[], MATCH($D180, regions_lb[[setting]:[setting]],0), MATCH(AD$139, regions_lb[#Headers],0)),INDEX(lmic_raw_lb[],MATCH($A180,lmic_raw_lb[[setting]:[setting]],0), MATCH(AD$139, lmic_raw_lb[#Headers],0)))</f>
        <v>3.2356439501565501E-3</v>
      </c>
      <c r="AE180" s="98">
        <f>IF(INDEX(lmic_raw_lb[],MATCH($A180,lmic_raw_lb[[setting]:[setting]],0), MATCH(AE$139, lmic_raw_lb[#Headers],0))=0, INDEX(regions_lb[], MATCH($D180, regions_lb[[setting]:[setting]],0), MATCH(AE$139, regions_lb[#Headers],0)),INDEX(lmic_raw_lb[],MATCH($A180,lmic_raw_lb[[setting]:[setting]],0), MATCH(AE$139, lmic_raw_lb[#Headers],0)))</f>
        <v>9.3129185945059663E-4</v>
      </c>
      <c r="AF180" s="98">
        <f>IF(INDEX(lmic_raw_lb[],MATCH($A180,lmic_raw_lb[[setting]:[setting]],0), MATCH(AF$139, lmic_raw_lb[#Headers],0))=0, INDEX(regions_lb[], MATCH($D180, regions_lb[[setting]:[setting]],0), MATCH(AF$139, regions_lb[#Headers],0)),INDEX(lmic_raw_lb[],MATCH($A180,lmic_raw_lb[[setting]:[setting]],0), MATCH(AF$139, lmic_raw_lb[#Headers],0)))</f>
        <v>8.246725724544592E-4</v>
      </c>
      <c r="AG180" s="98">
        <f>IF(INDEX(lmic_raw_lb[],MATCH($A180,lmic_raw_lb[[setting]:[setting]],0), MATCH(AG$139, lmic_raw_lb[#Headers],0))=0, INDEX(regions_lb[], MATCH($D180, regions_lb[[setting]:[setting]],0), MATCH(AG$139, regions_lb[#Headers],0)),INDEX(lmic_raw_lb[],MATCH($A180,lmic_raw_lb[[setting]:[setting]],0), MATCH(AG$139, lmic_raw_lb[#Headers],0)))</f>
        <v>1.3738338004683525E-3</v>
      </c>
      <c r="AH180" s="98">
        <f>IF(INDEX(lmic_raw_lb[],MATCH($A180,lmic_raw_lb[[setting]:[setting]],0), MATCH(AH$139, lmic_raw_lb[#Headers],0))=0, INDEX(regions_lb[], MATCH($D180, regions_lb[[setting]:[setting]],0), MATCH(AH$139, regions_lb[#Headers],0)),INDEX(lmic_raw_lb[],MATCH($A180,lmic_raw_lb[[setting]:[setting]],0), MATCH(AH$139, lmic_raw_lb[#Headers],0)))</f>
        <v>2.5788590094942888E-3</v>
      </c>
      <c r="AI180" s="98">
        <f>IF(INDEX(lmic_raw_lb[],MATCH($A180,lmic_raw_lb[[setting]:[setting]],0), MATCH(AI$139, lmic_raw_lb[#Headers],0))=0, INDEX(regions_lb[], MATCH($D180, regions_lb[[setting]:[setting]],0), MATCH(AI$139, regions_lb[#Headers],0)),INDEX(lmic_raw_lb[],MATCH($A180,lmic_raw_lb[[setting]:[setting]],0), MATCH(AI$139, lmic_raw_lb[#Headers],0)))</f>
        <v>4.8579968408584773E-3</v>
      </c>
      <c r="AJ180" s="98">
        <f>IF(INDEX(lmic_raw_lb[],MATCH($A180,lmic_raw_lb[[setting]:[setting]],0), MATCH(AJ$139, lmic_raw_lb[#Headers],0))=0, INDEX(regions_lb[], MATCH($D180, regions_lb[[setting]:[setting]],0), MATCH(AJ$139, regions_lb[#Headers],0)),INDEX(lmic_raw_lb[],MATCH($A180,lmic_raw_lb[[setting]:[setting]],0), MATCH(AJ$139, lmic_raw_lb[#Headers],0)))</f>
        <v>7.4965187087157065E-3</v>
      </c>
      <c r="AK180" s="98">
        <f>IF(INDEX(lmic_raw_lb[],MATCH($A180,lmic_raw_lb[[setting]:[setting]],0), MATCH(AK$139, lmic_raw_lb[#Headers],0))=0, INDEX(regions_lb[], MATCH($D180, regions_lb[[setting]:[setting]],0), MATCH(AK$139, regions_lb[#Headers],0)),INDEX(lmic_raw_lb[],MATCH($A180,lmic_raw_lb[[setting]:[setting]],0), MATCH(AK$139, lmic_raw_lb[#Headers],0)))</f>
        <v>1.1251743117868637E-2</v>
      </c>
      <c r="AL180" s="98">
        <f>IF(INDEX(lmic_raw_lb[],MATCH($A180,lmic_raw_lb[[setting]:[setting]],0), MATCH(AL$139, lmic_raw_lb[#Headers],0))=0, INDEX(regions_lb[], MATCH($D180, regions_lb[[setting]:[setting]],0), MATCH(AL$139, regions_lb[#Headers],0)),INDEX(lmic_raw_lb[],MATCH($A180,lmic_raw_lb[[setting]:[setting]],0), MATCH(AL$139, lmic_raw_lb[#Headers],0)))</f>
        <v>1.3085864766131525E-2</v>
      </c>
      <c r="AM180" s="98">
        <f>IF(INDEX(lmic_raw_lb[],MATCH($A180,lmic_raw_lb[[setting]:[setting]],0), MATCH(AM$139, lmic_raw_lb[#Headers],0))=0, INDEX(regions_lb[], MATCH($D180, regions_lb[[setting]:[setting]],0), MATCH(AM$139, regions_lb[#Headers],0)),INDEX(lmic_raw_lb[],MATCH($A180,lmic_raw_lb[[setting]:[setting]],0), MATCH(AM$139, lmic_raw_lb[#Headers],0)))</f>
        <v>1.565022910591805E-2</v>
      </c>
      <c r="AN180" s="98">
        <f>IF(INDEX(lmic_raw_lb[],MATCH($A180,lmic_raw_lb[[setting]:[setting]],0), MATCH(AN$139, lmic_raw_lb[#Headers],0))=0, INDEX(regions_lb[], MATCH($D180, regions_lb[[setting]:[setting]],0), MATCH(AN$139, regions_lb[#Headers],0)),INDEX(lmic_raw_lb[],MATCH($A180,lmic_raw_lb[[setting]:[setting]],0), MATCH(AN$139, lmic_raw_lb[#Headers],0)))</f>
        <v>1.8232453880625457E-2</v>
      </c>
      <c r="AO180" s="98">
        <f>IF(INDEX(lmic_raw_lb[],MATCH($A180,lmic_raw_lb[[setting]:[setting]],0), MATCH(AO$139, lmic_raw_lb[#Headers],0))=0, INDEX(regions_lb[], MATCH($D180, regions_lb[[setting]:[setting]],0), MATCH(AO$139, regions_lb[#Headers],0)),INDEX(lmic_raw_lb[],MATCH($A180,lmic_raw_lb[[setting]:[setting]],0), MATCH(AO$139, lmic_raw_lb[#Headers],0)))</f>
        <v>2.1267433992478435E-2</v>
      </c>
      <c r="AP180" s="98">
        <f>IF(INDEX(lmic_raw_lb[],MATCH($A180,lmic_raw_lb[[setting]:[setting]],0), MATCH(AP$139, lmic_raw_lb[#Headers],0))=0, INDEX(regions_lb[], MATCH($D180, regions_lb[[setting]:[setting]],0), MATCH(AP$139, regions_lb[#Headers],0)),INDEX(lmic_raw_lb[],MATCH($A180,lmic_raw_lb[[setting]:[setting]],0), MATCH(AP$139, lmic_raw_lb[#Headers],0)))</f>
        <v>2.5764581718567808E-2</v>
      </c>
      <c r="AQ180" s="98">
        <f>IF(INDEX(lmic_raw_lb[],MATCH($A180,lmic_raw_lb[[setting]:[setting]],0), MATCH(AQ$139, lmic_raw_lb[#Headers],0))=0, INDEX(regions_lb[], MATCH($D180, regions_lb[[setting]:[setting]],0), MATCH(AQ$139, regions_lb[#Headers],0)),INDEX(lmic_raw_lb[],MATCH($A180,lmic_raw_lb[[setting]:[setting]],0), MATCH(AQ$139, lmic_raw_lb[#Headers],0)))</f>
        <v>3.3179558993921422E-2</v>
      </c>
      <c r="AR180" s="98">
        <f>IF(INDEX(lmic_raw_lb[],MATCH($A180,lmic_raw_lb[[setting]:[setting]],0), MATCH(AR$139, lmic_raw_lb[#Headers],0))=0, INDEX(regions_lb[], MATCH($D180, regions_lb[[setting]:[setting]],0), MATCH(AR$139, regions_lb[#Headers],0)),INDEX(lmic_raw_lb[],MATCH($A180,lmic_raw_lb[[setting]:[setting]],0), MATCH(AR$139, lmic_raw_lb[#Headers],0)))</f>
        <v>4.5345093314553109E-2</v>
      </c>
      <c r="AS180" s="98">
        <f>IF(INDEX(lmic_raw_lb[],MATCH($A180,lmic_raw_lb[[setting]:[setting]],0), MATCH(AS$139, lmic_raw_lb[#Headers],0))=0, INDEX(regions_lb[], MATCH($D180, regions_lb[[setting]:[setting]],0), MATCH(AS$139, regions_lb[#Headers],0)),INDEX(lmic_raw_lb[],MATCH($A180,lmic_raw_lb[[setting]:[setting]],0), MATCH(AS$139, lmic_raw_lb[#Headers],0)))</f>
        <v>6.3244428377568371E-2</v>
      </c>
      <c r="AT180" s="98">
        <f>IF(INDEX(lmic_raw_lb[],MATCH($A180,lmic_raw_lb[[setting]:[setting]],0), MATCH(AT$139, lmic_raw_lb[#Headers],0))=0, INDEX(regions_lb[], MATCH($D180, regions_lb[[setting]:[setting]],0), MATCH(AT$139, regions_lb[#Headers],0)),INDEX(lmic_raw_lb[],MATCH($A180,lmic_raw_lb[[setting]:[setting]],0), MATCH(AT$139, lmic_raw_lb[#Headers],0)))</f>
        <v>9.2618213730883553E-2</v>
      </c>
      <c r="AU180" s="98">
        <f>IF(INDEX(lmic_raw_lb[],MATCH($A180,lmic_raw_lb[[setting]:[setting]],0), MATCH(AU$139, lmic_raw_lb[#Headers],0))=0, INDEX(regions_lb[], MATCH($D180, regions_lb[[setting]:[setting]],0), MATCH(AU$139, regions_lb[#Headers],0)),INDEX(lmic_raw_lb[],MATCH($A180,lmic_raw_lb[[setting]:[setting]],0), MATCH(AU$139, lmic_raw_lb[#Headers],0)))</f>
        <v>0.13046748184065479</v>
      </c>
      <c r="AV180" s="98">
        <f>IF(INDEX(lmic_raw_lb[],MATCH($A180,lmic_raw_lb[[setting]:[setting]],0), MATCH(AV$139, lmic_raw_lb[#Headers],0))=0, INDEX(regions_lb[], MATCH($D180, regions_lb[[setting]:[setting]],0), MATCH(AV$139, regions_lb[#Headers],0)),INDEX(lmic_raw_lb[],MATCH($A180,lmic_raw_lb[[setting]:[setting]],0), MATCH(AV$139, lmic_raw_lb[#Headers],0)))</f>
        <v>0.1610155702387864</v>
      </c>
      <c r="AW180" s="98">
        <f>IF(INDEX(lmic_raw_lb[],MATCH($A180,lmic_raw_lb[[setting]:[setting]],0), MATCH(AW$139, lmic_raw_lb[#Headers],0))=0, INDEX(regions_lb[], MATCH($D180, regions_lb[[setting]:[setting]],0), MATCH(AW$139, regions_lb[#Headers],0)),INDEX(lmic_raw_lb[],MATCH($A180,lmic_raw_lb[[setting]:[setting]],0), MATCH(AW$139, lmic_raw_lb[#Headers],0)))</f>
        <v>0.17383584076451813</v>
      </c>
      <c r="AX180" s="98">
        <f>IF(INDEX(lmic_raw_lb[],MATCH($A180,lmic_raw_lb[[setting]:[setting]],0), MATCH(AX$139, lmic_raw_lb[#Headers],0))=0, INDEX(regions_lb[], MATCH($D180, regions_lb[[setting]:[setting]],0), MATCH(AX$139, regions_lb[#Headers],0)),INDEX(lmic_raw_lb[],MATCH($A180,lmic_raw_lb[[setting]:[setting]],0), MATCH(AX$139, lmic_raw_lb[#Headers],0)))</f>
        <v>56.348299999999995</v>
      </c>
      <c r="AY180" s="98" t="str">
        <f>IF(VLOOKUP(lmics_lb[[#This Row],[setting]],lmic_raw_lb[],11,FALSE)=0, "Yes", "No")</f>
        <v>Yes</v>
      </c>
    </row>
    <row r="181" spans="1:51" x14ac:dyDescent="0.25">
      <c r="A181" s="110" t="s">
        <v>105</v>
      </c>
      <c r="B181" s="104" t="s">
        <v>423</v>
      </c>
      <c r="C181" s="105">
        <v>231</v>
      </c>
      <c r="D181" s="84" t="s">
        <v>677</v>
      </c>
      <c r="E181" s="122" t="s">
        <v>597</v>
      </c>
      <c r="F181" s="94" t="s">
        <v>667</v>
      </c>
      <c r="G181" s="94" t="s">
        <v>674</v>
      </c>
      <c r="H181" s="94"/>
      <c r="I181" s="94"/>
      <c r="J181" s="94">
        <f>IF(INDEX(lmic_raw_lb[],MATCH($A181,lmic_raw_lb[[setting]:[setting]],0), MATCH(J$139, lmic_raw_lb[#Headers],0))=0, INDEX(regions_lb[], MATCH($D181, regions_lb[[setting]:[setting]],0), MATCH(J$139, regions_lb[#Headers],0)),INDEX(lmic_raw_lb[],MATCH($A181,lmic_raw_lb[[setting]:[setting]],0), MATCH(J$139, lmic_raw_lb[#Headers],0)))</f>
        <v>0.45124999999999998</v>
      </c>
      <c r="K181" s="94">
        <f>IF(INDEX(lmic_raw_lb[],MATCH($A181,lmic_raw_lb[[setting]:[setting]],0), MATCH(K$139, lmic_raw_lb[#Headers],0))=0, INDEX(regions_lb[], MATCH($D181, regions_lb[[setting]:[setting]],0), MATCH(K$139, regions_lb[#Headers],0)),INDEX(lmic_raw_lb[],MATCH($A181,lmic_raw_lb[[setting]:[setting]],0), MATCH(K$139, lmic_raw_lb[#Headers],0)))</f>
        <v>0.65789974195504752</v>
      </c>
      <c r="L181" s="94">
        <f>IF(INDEX(lmic_raw_lb[],MATCH($A181,lmic_raw_lb[[setting]:[setting]],0), MATCH(L$139, lmic_raw_lb[#Headers],0))=0, INDEX(regions_lb[], MATCH($D181, regions_lb[[setting]:[setting]],0), MATCH(L$139, regions_lb[#Headers],0)),INDEX(lmic_raw_lb[],MATCH($A181,lmic_raw_lb[[setting]:[setting]],0), MATCH(L$139, lmic_raw_lb[#Headers],0)))</f>
        <v>0.64600000000000002</v>
      </c>
      <c r="M181" s="94">
        <f>IF(INDEX(lmic_raw_lb[],MATCH($A181,lmic_raw_lb[[setting]:[setting]],0), MATCH(M$139, lmic_raw_lb[#Headers],0))=0, INDEX(regions_lb[], MATCH($D181, regions_lb[[setting]:[setting]],0), MATCH(M$139, regions_lb[#Headers],0)),INDEX(lmic_raw_lb[],MATCH($A181,lmic_raw_lb[[setting]:[setting]],0), MATCH(M$139, lmic_raw_lb[#Headers],0)))</f>
        <v>4.7199999999999999E-2</v>
      </c>
      <c r="N181" s="94">
        <f>IF(INDEX(lmic_raw_lb[],MATCH($A181,lmic_raw_lb[[setting]:[setting]],0), MATCH(N$139, lmic_raw_lb[#Headers],0))=0, INDEX(regions_lb[], MATCH($D181, regions_lb[[setting]:[setting]],0), MATCH(N$139, regions_lb[#Headers],0)),INDEX(lmic_raw_lb[],MATCH($A181,lmic_raw_lb[[setting]:[setting]],0), MATCH(N$139, lmic_raw_lb[#Headers],0)))</f>
        <v>0.15560000000000002</v>
      </c>
      <c r="O181" s="94">
        <f>IF(INDEX(lmic_raw_lb[],MATCH($A181,lmic_raw_lb[[setting]:[setting]],0), MATCH(O$139, lmic_raw_lb[#Headers],0))=0, INDEX(regions_lb[], MATCH($D181, regions_lb[[setting]:[setting]],0), MATCH(O$139, regions_lb[#Headers],0)),INDEX(lmic_raw_lb[],MATCH($A181,lmic_raw_lb[[setting]:[setting]],0), MATCH(O$139, lmic_raw_lb[#Headers],0)))</f>
        <v>7.0000000000000007E-2</v>
      </c>
      <c r="P181" s="94">
        <f>IF(INDEX(lmic_raw_lb[],MATCH($A181,lmic_raw_lb[[setting]:[setting]],0), MATCH(P$139, lmic_raw_lb[#Headers],0))=0, INDEX(regions_lb[], MATCH($D181, regions_lb[[setting]:[setting]],0), MATCH(P$139, regions_lb[#Headers],0)),INDEX(lmic_raw_lb[],MATCH($A181,lmic_raw_lb[[setting]:[setting]],0), MATCH(P$139, lmic_raw_lb[#Headers],0)))</f>
        <v>1E-3</v>
      </c>
      <c r="Q181" s="94">
        <f>IF(INDEX(lmic_raw_lb[],MATCH($A181,lmic_raw_lb[[setting]:[setting]],0), MATCH(Q$139, lmic_raw_lb[#Headers],0))=0, INDEX(regions_lb[], MATCH($D181, regions_lb[[setting]:[setting]],0), MATCH(Q$139, regions_lb[#Headers],0)),INDEX(lmic_raw_lb[],MATCH($A181,lmic_raw_lb[[setting]:[setting]],0), MATCH(Q$139, lmic_raw_lb[#Headers],0)))</f>
        <v>2.3336658580450673</v>
      </c>
      <c r="R181" s="94">
        <f>IF(INDEX(lmic_raw_lb[],MATCH($A181,lmic_raw_lb[[setting]:[setting]],0), MATCH(R$139, lmic_raw_lb[#Headers],0))=0, INDEX(regions_lb[], MATCH($D181, regions_lb[[setting]:[setting]],0), MATCH(R$139, regions_lb[#Headers],0)),INDEX(lmic_raw_lb[],MATCH($A181,lmic_raw_lb[[setting]:[setting]],0), MATCH(R$139, lmic_raw_lb[#Headers],0)))</f>
        <v>28.424474999999997</v>
      </c>
      <c r="S181" s="94">
        <f>IF(INDEX(lmic_raw_lb[],MATCH($A181,lmic_raw_lb[[setting]:[setting]],0), MATCH(S$139, lmic_raw_lb[#Headers],0))=0, INDEX(regions_lb[], MATCH($D181, regions_lb[[setting]:[setting]],0), MATCH(S$139, regions_lb[#Headers],0)),INDEX(lmic_raw_lb[],MATCH($A181,lmic_raw_lb[[setting]:[setting]],0), MATCH(S$139, lmic_raw_lb[#Headers],0)))</f>
        <v>73.779375000000002</v>
      </c>
      <c r="T181" s="94">
        <f>IF(INDEX(lmic_raw_lb[],MATCH($A181,lmic_raw_lb[[setting]:[setting]],0), MATCH(T$139, lmic_raw_lb[#Headers],0))=0, INDEX(regions_lb[], MATCH($D181, regions_lb[[setting]:[setting]],0), MATCH(T$139, regions_lb[#Headers],0)),INDEX(lmic_raw_lb[],MATCH($A181,lmic_raw_lb[[setting]:[setting]],0), MATCH(T$139, lmic_raw_lb[#Headers],0)))</f>
        <v>73.779375000000002</v>
      </c>
      <c r="U181" s="94">
        <f>IF(INDEX(lmic_raw_lb[],MATCH($A181,lmic_raw_lb[[setting]:[setting]],0), MATCH(U$139, lmic_raw_lb[#Headers],0))=0, INDEX(regions_lb[], MATCH($D181, regions_lb[[setting]:[setting]],0), MATCH(U$139, regions_lb[#Headers],0)),INDEX(lmic_raw_lb[],MATCH($A181,lmic_raw_lb[[setting]:[setting]],0), MATCH(U$139, lmic_raw_lb[#Headers],0)))</f>
        <v>73.779375000000002</v>
      </c>
      <c r="V181" s="94">
        <f>IF(INDEX(lmic_raw_lb[],MATCH($A181,lmic_raw_lb[[setting]:[setting]],0), MATCH(V$139, lmic_raw_lb[#Headers],0))=0, INDEX(regions_lb[], MATCH($D181, regions_lb[[setting]:[setting]],0), MATCH(V$139, regions_lb[#Headers],0)),INDEX(lmic_raw_lb[],MATCH($A181,lmic_raw_lb[[setting]:[setting]],0), MATCH(V$139, lmic_raw_lb[#Headers],0)))</f>
        <v>0.59595913978601012</v>
      </c>
      <c r="W181" s="94">
        <f>IF(INDEX(lmic_raw_lb[],MATCH($A181,lmic_raw_lb[[setting]:[setting]],0), MATCH(W$139, lmic_raw_lb[#Headers],0))=0, INDEX(regions_lb[], MATCH($D181, regions_lb[[setting]:[setting]],0), MATCH(W$139, regions_lb[#Headers],0)),INDEX(lmic_raw_lb[],MATCH($A181,lmic_raw_lb[[setting]:[setting]],0), MATCH(W$139, lmic_raw_lb[#Headers],0)))</f>
        <v>5.1832241397860104</v>
      </c>
      <c r="X181" s="94">
        <f>IF(INDEX(lmic_raw_lb[],MATCH($A181,lmic_raw_lb[[setting]:[setting]],0), MATCH(X$139, lmic_raw_lb[#Headers],0))=0, INDEX(regions_lb[], MATCH($D181, regions_lb[[setting]:[setting]],0), MATCH(X$139, regions_lb[#Headers],0)),INDEX(lmic_raw_lb[],MATCH($A181,lmic_raw_lb[[setting]:[setting]],0), MATCH(X$139, lmic_raw_lb[#Headers],0)))</f>
        <v>0.23091596862286018</v>
      </c>
      <c r="Y181" s="94">
        <f>IF(INDEX(lmic_raw_lb[],MATCH($A181,lmic_raw_lb[[setting]:[setting]],0), MATCH(Y$139, lmic_raw_lb[#Headers],0))=0, INDEX(regions_lb[], MATCH($D181, regions_lb[[setting]:[setting]],0), MATCH(Y$139, regions_lb[#Headers],0)),INDEX(lmic_raw_lb[],MATCH($A181,lmic_raw_lb[[setting]:[setting]],0), MATCH(Y$139, lmic_raw_lb[#Headers],0)))</f>
        <v>4.8181809686228609</v>
      </c>
      <c r="Z181" s="94">
        <f>IF(INDEX(lmic_raw_lb[],MATCH($A181,lmic_raw_lb[[setting]:[setting]],0), MATCH(Z$139, lmic_raw_lb[#Headers],0))=0, INDEX(regions_lb[], MATCH($D181, regions_lb[[setting]:[setting]],0), MATCH(Z$139, regions_lb[#Headers],0)),INDEX(lmic_raw_lb[],MATCH($A181,lmic_raw_lb[[setting]:[setting]],0), MATCH(Z$139, lmic_raw_lb[#Headers],0)))</f>
        <v>4.8163081444370679</v>
      </c>
      <c r="AA181" s="94">
        <f>IF(INDEX(lmic_raw_lb[],MATCH($A181,lmic_raw_lb[[setting]:[setting]],0), MATCH(AA$139, lmic_raw_lb[#Headers],0))=0, INDEX(regions_lb[], MATCH($D181, regions_lb[[setting]:[setting]],0), MATCH(AA$139, regions_lb[#Headers],0)),INDEX(lmic_raw_lb[],MATCH($A181,lmic_raw_lb[[setting]:[setting]],0), MATCH(AA$139, lmic_raw_lb[#Headers],0)))</f>
        <v>0.80704774480585784</v>
      </c>
      <c r="AB181" s="94">
        <f>IF(INDEX(lmic_raw_lb[],MATCH($A181,lmic_raw_lb[[setting]:[setting]],0), MATCH(AB$139, lmic_raw_lb[#Headers],0))=0, INDEX(regions_lb[], MATCH($D181, regions_lb[[setting]:[setting]],0), MATCH(AB$139, regions_lb[#Headers],0)),INDEX(lmic_raw_lb[],MATCH($A181,lmic_raw_lb[[setting]:[setting]],0), MATCH(AB$139, lmic_raw_lb[#Headers],0)))</f>
        <v>5.3943127448058581</v>
      </c>
      <c r="AC181" s="94">
        <f>IF(INDEX(lmic_raw_lb[],MATCH($A181,lmic_raw_lb[[setting]:[setting]],0), MATCH(AC$139, lmic_raw_lb[#Headers],0))=0, INDEX(regions_lb[], MATCH($D181, regions_lb[[setting]:[setting]],0), MATCH(AC$139, regions_lb[#Headers],0)),INDEX(lmic_raw_lb[],MATCH($A181,lmic_raw_lb[[setting]:[setting]],0), MATCH(AC$139, lmic_raw_lb[#Headers],0)))</f>
        <v>3.5162103000000049E-2</v>
      </c>
      <c r="AD181" s="94">
        <f>IF(INDEX(lmic_raw_lb[],MATCH($A181,lmic_raw_lb[[setting]:[setting]],0), MATCH(AD$139, lmic_raw_lb[#Headers],0))=0, INDEX(regions_lb[], MATCH($D181, regions_lb[[setting]:[setting]],0), MATCH(AD$139, regions_lb[#Headers],0)),INDEX(lmic_raw_lb[],MATCH($A181,lmic_raw_lb[[setting]:[setting]],0), MATCH(AD$139, lmic_raw_lb[#Headers],0)))</f>
        <v>4.4093999748241446E-3</v>
      </c>
      <c r="AE181" s="94">
        <f>IF(INDEX(lmic_raw_lb[],MATCH($A181,lmic_raw_lb[[setting]:[setting]],0), MATCH(AE$139, lmic_raw_lb[#Headers],0))=0, INDEX(regions_lb[], MATCH($D181, regions_lb[[setting]:[setting]],0), MATCH(AE$139, regions_lb[#Headers],0)),INDEX(lmic_raw_lb[],MATCH($A181,lmic_raw_lb[[setting]:[setting]],0), MATCH(AE$139, lmic_raw_lb[#Headers],0)))</f>
        <v>1.8938733745861643E-3</v>
      </c>
      <c r="AF181" s="94">
        <f>IF(INDEX(lmic_raw_lb[],MATCH($A181,lmic_raw_lb[[setting]:[setting]],0), MATCH(AF$139, lmic_raw_lb[#Headers],0))=0, INDEX(regions_lb[], MATCH($D181, regions_lb[[setting]:[setting]],0), MATCH(AF$139, regions_lb[#Headers],0)),INDEX(lmic_raw_lb[],MATCH($A181,lmic_raw_lb[[setting]:[setting]],0), MATCH(AF$139, lmic_raw_lb[#Headers],0)))</f>
        <v>1.4681948499645611E-3</v>
      </c>
      <c r="AG181" s="94">
        <f>IF(INDEX(lmic_raw_lb[],MATCH($A181,lmic_raw_lb[[setting]:[setting]],0), MATCH(AG$139, lmic_raw_lb[#Headers],0))=0, INDEX(regions_lb[], MATCH($D181, regions_lb[[setting]:[setting]],0), MATCH(AG$139, regions_lb[#Headers],0)),INDEX(lmic_raw_lb[],MATCH($A181,lmic_raw_lb[[setting]:[setting]],0), MATCH(AG$139, lmic_raw_lb[#Headers],0)))</f>
        <v>1.8098240463444058E-3</v>
      </c>
      <c r="AH181" s="94">
        <f>IF(INDEX(lmic_raw_lb[],MATCH($A181,lmic_raw_lb[[setting]:[setting]],0), MATCH(AH$139, lmic_raw_lb[#Headers],0))=0, INDEX(regions_lb[], MATCH($D181, regions_lb[[setting]:[setting]],0), MATCH(AH$139, regions_lb[#Headers],0)),INDEX(lmic_raw_lb[],MATCH($A181,lmic_raw_lb[[setting]:[setting]],0), MATCH(AH$139, lmic_raw_lb[#Headers],0)))</f>
        <v>2.23033264524364E-3</v>
      </c>
      <c r="AI181" s="94">
        <f>IF(INDEX(lmic_raw_lb[],MATCH($A181,lmic_raw_lb[[setting]:[setting]],0), MATCH(AI$139, lmic_raw_lb[#Headers],0))=0, INDEX(regions_lb[], MATCH($D181, regions_lb[[setting]:[setting]],0), MATCH(AI$139, regions_lb[#Headers],0)),INDEX(lmic_raw_lb[],MATCH($A181,lmic_raw_lb[[setting]:[setting]],0), MATCH(AI$139, lmic_raw_lb[#Headers],0)))</f>
        <v>2.5742652555131289E-3</v>
      </c>
      <c r="AJ181" s="94">
        <f>IF(INDEX(lmic_raw_lb[],MATCH($A181,lmic_raw_lb[[setting]:[setting]],0), MATCH(AJ$139, lmic_raw_lb[#Headers],0))=0, INDEX(regions_lb[], MATCH($D181, regions_lb[[setting]:[setting]],0), MATCH(AJ$139, regions_lb[#Headers],0)),INDEX(lmic_raw_lb[],MATCH($A181,lmic_raw_lb[[setting]:[setting]],0), MATCH(AJ$139, lmic_raw_lb[#Headers],0)))</f>
        <v>3.257865104175783E-3</v>
      </c>
      <c r="AK181" s="94">
        <f>IF(INDEX(lmic_raw_lb[],MATCH($A181,lmic_raw_lb[[setting]:[setting]],0), MATCH(AK$139, lmic_raw_lb[#Headers],0))=0, INDEX(regions_lb[], MATCH($D181, regions_lb[[setting]:[setting]],0), MATCH(AK$139, regions_lb[#Headers],0)),INDEX(lmic_raw_lb[],MATCH($A181,lmic_raw_lb[[setting]:[setting]],0), MATCH(AK$139, lmic_raw_lb[#Headers],0)))</f>
        <v>4.5089541624591242E-3</v>
      </c>
      <c r="AL181" s="94">
        <f>IF(INDEX(lmic_raw_lb[],MATCH($A181,lmic_raw_lb[[setting]:[setting]],0), MATCH(AL$139, lmic_raw_lb[#Headers],0))=0, INDEX(regions_lb[], MATCH($D181, regions_lb[[setting]:[setting]],0), MATCH(AL$139, regions_lb[#Headers],0)),INDEX(lmic_raw_lb[],MATCH($A181,lmic_raw_lb[[setting]:[setting]],0), MATCH(AL$139, lmic_raw_lb[#Headers],0)))</f>
        <v>5.4890127004894951E-3</v>
      </c>
      <c r="AM181" s="94">
        <f>IF(INDEX(lmic_raw_lb[],MATCH($A181,lmic_raw_lb[[setting]:[setting]],0), MATCH(AM$139, lmic_raw_lb[#Headers],0))=0, INDEX(regions_lb[], MATCH($D181, regions_lb[[setting]:[setting]],0), MATCH(AM$139, regions_lb[#Headers],0)),INDEX(lmic_raw_lb[],MATCH($A181,lmic_raw_lb[[setting]:[setting]],0), MATCH(AM$139, lmic_raw_lb[#Headers],0)))</f>
        <v>6.3964443547863507E-3</v>
      </c>
      <c r="AN181" s="94">
        <f>IF(INDEX(lmic_raw_lb[],MATCH($A181,lmic_raw_lb[[setting]:[setting]],0), MATCH(AN$139, lmic_raw_lb[#Headers],0))=0, INDEX(regions_lb[], MATCH($D181, regions_lb[[setting]:[setting]],0), MATCH(AN$139, regions_lb[#Headers],0)),INDEX(lmic_raw_lb[],MATCH($A181,lmic_raw_lb[[setting]:[setting]],0), MATCH(AN$139, lmic_raw_lb[#Headers],0)))</f>
        <v>8.2000472172050476E-3</v>
      </c>
      <c r="AO181" s="94">
        <f>IF(INDEX(lmic_raw_lb[],MATCH($A181,lmic_raw_lb[[setting]:[setting]],0), MATCH(AO$139, lmic_raw_lb[#Headers],0))=0, INDEX(regions_lb[], MATCH($D181, regions_lb[[setting]:[setting]],0), MATCH(AO$139, regions_lb[#Headers],0)),INDEX(lmic_raw_lb[],MATCH($A181,lmic_raw_lb[[setting]:[setting]],0), MATCH(AO$139, lmic_raw_lb[#Headers],0)))</f>
        <v>1.0542759618258613E-2</v>
      </c>
      <c r="AP181" s="94">
        <f>IF(INDEX(lmic_raw_lb[],MATCH($A181,lmic_raw_lb[[setting]:[setting]],0), MATCH(AP$139, lmic_raw_lb[#Headers],0))=0, INDEX(regions_lb[], MATCH($D181, regions_lb[[setting]:[setting]],0), MATCH(AP$139, regions_lb[#Headers],0)),INDEX(lmic_raw_lb[],MATCH($A181,lmic_raw_lb[[setting]:[setting]],0), MATCH(AP$139, lmic_raw_lb[#Headers],0)))</f>
        <v>1.5923741319656827E-2</v>
      </c>
      <c r="AQ181" s="94">
        <f>IF(INDEX(lmic_raw_lb[],MATCH($A181,lmic_raw_lb[[setting]:[setting]],0), MATCH(AQ$139, lmic_raw_lb[#Headers],0))=0, INDEX(regions_lb[], MATCH($D181, regions_lb[[setting]:[setting]],0), MATCH(AQ$139, regions_lb[#Headers],0)),INDEX(lmic_raw_lb[],MATCH($A181,lmic_raw_lb[[setting]:[setting]],0), MATCH(AQ$139, lmic_raw_lb[#Headers],0)))</f>
        <v>2.4647634230856311E-2</v>
      </c>
      <c r="AR181" s="94">
        <f>IF(INDEX(lmic_raw_lb[],MATCH($A181,lmic_raw_lb[[setting]:[setting]],0), MATCH(AR$139, lmic_raw_lb[#Headers],0))=0, INDEX(regions_lb[], MATCH($D181, regions_lb[[setting]:[setting]],0), MATCH(AR$139, regions_lb[#Headers],0)),INDEX(lmic_raw_lb[],MATCH($A181,lmic_raw_lb[[setting]:[setting]],0), MATCH(AR$139, lmic_raw_lb[#Headers],0)))</f>
        <v>3.8472241853457559E-2</v>
      </c>
      <c r="AS181" s="94">
        <f>IF(INDEX(lmic_raw_lb[],MATCH($A181,lmic_raw_lb[[setting]:[setting]],0), MATCH(AS$139, lmic_raw_lb[#Headers],0))=0, INDEX(regions_lb[], MATCH($D181, regions_lb[[setting]:[setting]],0), MATCH(AS$139, regions_lb[#Headers],0)),INDEX(lmic_raw_lb[],MATCH($A181,lmic_raw_lb[[setting]:[setting]],0), MATCH(AS$139, lmic_raw_lb[#Headers],0)))</f>
        <v>5.8978491540945345E-2</v>
      </c>
      <c r="AT181" s="94">
        <f>IF(INDEX(lmic_raw_lb[],MATCH($A181,lmic_raw_lb[[setting]:[setting]],0), MATCH(AT$139, lmic_raw_lb[#Headers],0))=0, INDEX(regions_lb[], MATCH($D181, regions_lb[[setting]:[setting]],0), MATCH(AT$139, regions_lb[#Headers],0)),INDEX(lmic_raw_lb[],MATCH($A181,lmic_raw_lb[[setting]:[setting]],0), MATCH(AT$139, lmic_raw_lb[#Headers],0)))</f>
        <v>8.6810322709149887E-2</v>
      </c>
      <c r="AU181" s="94">
        <f>IF(INDEX(lmic_raw_lb[],MATCH($A181,lmic_raw_lb[[setting]:[setting]],0), MATCH(AU$139, lmic_raw_lb[#Headers],0))=0, INDEX(regions_lb[], MATCH($D181, regions_lb[[setting]:[setting]],0), MATCH(AU$139, regions_lb[#Headers],0)),INDEX(lmic_raw_lb[],MATCH($A181,lmic_raw_lb[[setting]:[setting]],0), MATCH(AU$139, lmic_raw_lb[#Headers],0)))</f>
        <v>0.11800026936319949</v>
      </c>
      <c r="AV181" s="94">
        <f>IF(INDEX(lmic_raw_lb[],MATCH($A181,lmic_raw_lb[[setting]:[setting]],0), MATCH(AV$139, lmic_raw_lb[#Headers],0))=0, INDEX(regions_lb[], MATCH($D181, regions_lb[[setting]:[setting]],0), MATCH(AV$139, regions_lb[#Headers],0)),INDEX(lmic_raw_lb[],MATCH($A181,lmic_raw_lb[[setting]:[setting]],0), MATCH(AV$139, lmic_raw_lb[#Headers],0)))</f>
        <v>0.14546619533078509</v>
      </c>
      <c r="AW181" s="94">
        <f>IF(INDEX(lmic_raw_lb[],MATCH($A181,lmic_raw_lb[[setting]:[setting]],0), MATCH(AW$139, lmic_raw_lb[#Headers],0))=0, INDEX(regions_lb[], MATCH($D181, regions_lb[[setting]:[setting]],0), MATCH(AW$139, regions_lb[#Headers],0)),INDEX(lmic_raw_lb[],MATCH($A181,lmic_raw_lb[[setting]:[setting]],0), MATCH(AW$139, lmic_raw_lb[#Headers],0)))</f>
        <v>0.16454652426176095</v>
      </c>
      <c r="AX181" s="94">
        <f>IF(INDEX(lmic_raw_lb[],MATCH($A181,lmic_raw_lb[[setting]:[setting]],0), MATCH(AX$139, lmic_raw_lb[#Headers],0))=0, INDEX(regions_lb[], MATCH($D181, regions_lb[[setting]:[setting]],0), MATCH(AX$139, regions_lb[#Headers],0)),INDEX(lmic_raw_lb[],MATCH($A181,lmic_raw_lb[[setting]:[setting]],0), MATCH(AX$139, lmic_raw_lb[#Headers],0)))</f>
        <v>62.668649999999992</v>
      </c>
      <c r="AY181" s="94" t="str">
        <f>IF(VLOOKUP(lmics_lb[[#This Row],[setting]],lmic_raw_lb[],11,FALSE)=0, "Yes", "No")</f>
        <v>Yes</v>
      </c>
    </row>
    <row r="182" spans="1:51" x14ac:dyDescent="0.25">
      <c r="A182" s="109" t="s">
        <v>281</v>
      </c>
      <c r="B182" s="101" t="s">
        <v>424</v>
      </c>
      <c r="C182" s="102">
        <v>242</v>
      </c>
      <c r="D182" s="82" t="s">
        <v>681</v>
      </c>
      <c r="E182" s="121" t="s">
        <v>98</v>
      </c>
      <c r="F182" s="98" t="s">
        <v>666</v>
      </c>
      <c r="G182" s="98" t="s">
        <v>676</v>
      </c>
      <c r="H182" s="98"/>
      <c r="I182" s="98"/>
      <c r="J182" s="98">
        <f>IF(INDEX(lmic_raw_lb[],MATCH($A182,lmic_raw_lb[[setting]:[setting]],0), MATCH(J$139, lmic_raw_lb[#Headers],0))=0, INDEX(regions_lb[], MATCH($D182, regions_lb[[setting]:[setting]],0), MATCH(J$139, regions_lb[#Headers],0)),INDEX(lmic_raw_lb[],MATCH($A182,lmic_raw_lb[[setting]:[setting]],0), MATCH(J$139, lmic_raw_lb[#Headers],0)))</f>
        <v>0.93764999999999998</v>
      </c>
      <c r="K182" s="98">
        <f>IF(INDEX(lmic_raw_lb[],MATCH($A182,lmic_raw_lb[[setting]:[setting]],0), MATCH(K$139, lmic_raw_lb[#Headers],0))=0, INDEX(regions_lb[], MATCH($D182, regions_lb[[setting]:[setting]],0), MATCH(K$139, regions_lb[#Headers],0)),INDEX(lmic_raw_lb[],MATCH($A182,lmic_raw_lb[[setting]:[setting]],0), MATCH(K$139, lmic_raw_lb[#Headers],0)))</f>
        <v>0.9405</v>
      </c>
      <c r="L182" s="98">
        <f>IF(INDEX(lmic_raw_lb[],MATCH($A182,lmic_raw_lb[[setting]:[setting]],0), MATCH(L$139, lmic_raw_lb[#Headers],0))=0, INDEX(regions_lb[], MATCH($D182, regions_lb[[setting]:[setting]],0), MATCH(L$139, regions_lb[#Headers],0)),INDEX(lmic_raw_lb[],MATCH($A182,lmic_raw_lb[[setting]:[setting]],0), MATCH(L$139, lmic_raw_lb[#Headers],0)))</f>
        <v>0.9405</v>
      </c>
      <c r="M182" s="98">
        <f>IF(INDEX(lmic_raw_lb[],MATCH($A182,lmic_raw_lb[[setting]:[setting]],0), MATCH(M$139, lmic_raw_lb[#Headers],0))=0, INDEX(regions_lb[], MATCH($D182, regions_lb[[setting]:[setting]],0), MATCH(M$139, regions_lb[#Headers],0)),INDEX(lmic_raw_lb[],MATCH($A182,lmic_raw_lb[[setting]:[setting]],0), MATCH(M$139, lmic_raw_lb[#Headers],0)))</f>
        <v>1.5600000000000001E-2</v>
      </c>
      <c r="N182" s="98">
        <f>IF(INDEX(lmic_raw_lb[],MATCH($A182,lmic_raw_lb[[setting]:[setting]],0), MATCH(N$139, lmic_raw_lb[#Headers],0))=0, INDEX(regions_lb[], MATCH($D182, regions_lb[[setting]:[setting]],0), MATCH(N$139, regions_lb[#Headers],0)),INDEX(lmic_raw_lb[],MATCH($A182,lmic_raw_lb[[setting]:[setting]],0), MATCH(N$139, lmic_raw_lb[#Headers],0)))</f>
        <v>0.1832</v>
      </c>
      <c r="O182" s="98">
        <f>IF(INDEX(lmic_raw_lb[],MATCH($A182,lmic_raw_lb[[setting]:[setting]],0), MATCH(O$139, lmic_raw_lb[#Headers],0))=0, INDEX(regions_lb[], MATCH($D182, regions_lb[[setting]:[setting]],0), MATCH(O$139, regions_lb[#Headers],0)),INDEX(lmic_raw_lb[],MATCH($A182,lmic_raw_lb[[setting]:[setting]],0), MATCH(O$139, lmic_raw_lb[#Headers],0)))</f>
        <v>0.7</v>
      </c>
      <c r="P182" s="98">
        <f>IF(INDEX(lmic_raw_lb[],MATCH($A182,lmic_raw_lb[[setting]:[setting]],0), MATCH(P$139, lmic_raw_lb[#Headers],0))=0, INDEX(regions_lb[], MATCH($D182, regions_lb[[setting]:[setting]],0), MATCH(P$139, regions_lb[#Headers],0)),INDEX(lmic_raw_lb[],MATCH($A182,lmic_raw_lb[[setting]:[setting]],0), MATCH(P$139, lmic_raw_lb[#Headers],0)))</f>
        <v>0.05</v>
      </c>
      <c r="Q182" s="98">
        <f>IF(INDEX(lmic_raw_lb[],MATCH($A182,lmic_raw_lb[[setting]:[setting]],0), MATCH(Q$139, lmic_raw_lb[#Headers],0))=0, INDEX(regions_lb[], MATCH($D182, regions_lb[[setting]:[setting]],0), MATCH(Q$139, regions_lb[#Headers],0)),INDEX(lmic_raw_lb[],MATCH($A182,lmic_raw_lb[[setting]:[setting]],0), MATCH(Q$139, lmic_raw_lb[#Headers],0)))</f>
        <v>5.8967547153925466</v>
      </c>
      <c r="R182" s="98">
        <f>IF(INDEX(lmic_raw_lb[],MATCH($A182,lmic_raw_lb[[setting]:[setting]],0), MATCH(R$139, lmic_raw_lb[#Headers],0))=0, INDEX(regions_lb[], MATCH($D182, regions_lb[[setting]:[setting]],0), MATCH(R$139, regions_lb[#Headers],0)),INDEX(lmic_raw_lb[],MATCH($A182,lmic_raw_lb[[setting]:[setting]],0), MATCH(R$139, lmic_raw_lb[#Headers],0)))</f>
        <v>69.430275000000009</v>
      </c>
      <c r="S182" s="98">
        <f>IF(INDEX(lmic_raw_lb[],MATCH($A182,lmic_raw_lb[[setting]:[setting]],0), MATCH(S$139, lmic_raw_lb[#Headers],0))=0, INDEX(regions_lb[], MATCH($D182, regions_lb[[setting]:[setting]],0), MATCH(S$139, regions_lb[#Headers],0)),INDEX(lmic_raw_lb[],MATCH($A182,lmic_raw_lb[[setting]:[setting]],0), MATCH(S$139, lmic_raw_lb[#Headers],0)))</f>
        <v>114.785175</v>
      </c>
      <c r="T182" s="98">
        <f>IF(INDEX(lmic_raw_lb[],MATCH($A182,lmic_raw_lb[[setting]:[setting]],0), MATCH(T$139, lmic_raw_lb[#Headers],0))=0, INDEX(regions_lb[], MATCH($D182, regions_lb[[setting]:[setting]],0), MATCH(T$139, regions_lb[#Headers],0)),INDEX(lmic_raw_lb[],MATCH($A182,lmic_raw_lb[[setting]:[setting]],0), MATCH(T$139, lmic_raw_lb[#Headers],0)))</f>
        <v>114.785175</v>
      </c>
      <c r="U182" s="98">
        <f>IF(INDEX(lmic_raw_lb[],MATCH($A182,lmic_raw_lb[[setting]:[setting]],0), MATCH(U$139, lmic_raw_lb[#Headers],0))=0, INDEX(regions_lb[], MATCH($D182, regions_lb[[setting]:[setting]],0), MATCH(U$139, regions_lb[#Headers],0)),INDEX(lmic_raw_lb[],MATCH($A182,lmic_raw_lb[[setting]:[setting]],0), MATCH(U$139, lmic_raw_lb[#Headers],0)))</f>
        <v>114.785175</v>
      </c>
      <c r="V182" s="98">
        <f>IF(INDEX(lmic_raw_lb[],MATCH($A182,lmic_raw_lb[[setting]:[setting]],0), MATCH(V$139, lmic_raw_lb[#Headers],0))=0, INDEX(regions_lb[], MATCH($D182, regions_lb[[setting]:[setting]],0), MATCH(V$139, regions_lb[#Headers],0)),INDEX(lmic_raw_lb[],MATCH($A182,lmic_raw_lb[[setting]:[setting]],0), MATCH(V$139, lmic_raw_lb[#Headers],0)))</f>
        <v>4.3976669306894323</v>
      </c>
      <c r="W182" s="98">
        <f>IF(INDEX(lmic_raw_lb[],MATCH($A182,lmic_raw_lb[[setting]:[setting]],0), MATCH(W$139, lmic_raw_lb[#Headers],0))=0, INDEX(regions_lb[], MATCH($D182, regions_lb[[setting]:[setting]],0), MATCH(W$139, regions_lb[#Headers],0)),INDEX(lmic_raw_lb[],MATCH($A182,lmic_raw_lb[[setting]:[setting]],0), MATCH(W$139, lmic_raw_lb[#Headers],0)))</f>
        <v>4.9982569306894327</v>
      </c>
      <c r="X182" s="98">
        <f>IF(INDEX(lmic_raw_lb[],MATCH($A182,lmic_raw_lb[[setting]:[setting]],0), MATCH(X$139, lmic_raw_lb[#Headers],0))=0, INDEX(regions_lb[], MATCH($D182, regions_lb[[setting]:[setting]],0), MATCH(X$139, regions_lb[#Headers],0)),INDEX(lmic_raw_lb[],MATCH($A182,lmic_raw_lb[[setting]:[setting]],0), MATCH(X$139, lmic_raw_lb[#Headers],0)))</f>
        <v>4.0279676103307551</v>
      </c>
      <c r="Y182" s="98">
        <f>IF(INDEX(lmic_raw_lb[],MATCH($A182,lmic_raw_lb[[setting]:[setting]],0), MATCH(Y$139, lmic_raw_lb[#Headers],0))=0, INDEX(regions_lb[], MATCH($D182, regions_lb[[setting]:[setting]],0), MATCH(Y$139, regions_lb[#Headers],0)),INDEX(lmic_raw_lb[],MATCH($A182,lmic_raw_lb[[setting]:[setting]],0), MATCH(Y$139, lmic_raw_lb[#Headers],0)))</f>
        <v>4.6285576103307555</v>
      </c>
      <c r="Z182" s="98">
        <f>IF(INDEX(lmic_raw_lb[],MATCH($A182,lmic_raw_lb[[setting]:[setting]],0), MATCH(Z$139, lmic_raw_lb[#Headers],0))=0, INDEX(regions_lb[], MATCH($D182, regions_lb[[setting]:[setting]],0), MATCH(Z$139, regions_lb[#Headers],0)),INDEX(lmic_raw_lb[],MATCH($A182,lmic_raw_lb[[setting]:[setting]],0), MATCH(Z$139, lmic_raw_lb[#Headers],0)))</f>
        <v>4.6237849501052608</v>
      </c>
      <c r="AA182" s="98">
        <f>IF(INDEX(lmic_raw_lb[],MATCH($A182,lmic_raw_lb[[setting]:[setting]],0), MATCH(AA$139, lmic_raw_lb[#Headers],0))=0, INDEX(regions_lb[], MATCH($D182, regions_lb[[setting]:[setting]],0), MATCH(AA$139, regions_lb[#Headers],0)),INDEX(lmic_raw_lb[],MATCH($A182,lmic_raw_lb[[setting]:[setting]],0), MATCH(AA$139, lmic_raw_lb[#Headers],0)))</f>
        <v>4.6107510282216486</v>
      </c>
      <c r="AB182" s="98">
        <f>IF(INDEX(lmic_raw_lb[],MATCH($A182,lmic_raw_lb[[setting]:[setting]],0), MATCH(AB$139, lmic_raw_lb[#Headers],0))=0, INDEX(regions_lb[], MATCH($D182, regions_lb[[setting]:[setting]],0), MATCH(AB$139, regions_lb[#Headers],0)),INDEX(lmic_raw_lb[],MATCH($A182,lmic_raw_lb[[setting]:[setting]],0), MATCH(AB$139, lmic_raw_lb[#Headers],0)))</f>
        <v>5.2113410282216481</v>
      </c>
      <c r="AC182" s="98">
        <f>IF(INDEX(lmic_raw_lb[],MATCH($A182,lmic_raw_lb[[setting]:[setting]],0), MATCH(AC$139, lmic_raw_lb[#Headers],0))=0, INDEX(regions_lb[], MATCH($D182, regions_lb[[setting]:[setting]],0), MATCH(AC$139, regions_lb[#Headers],0)),INDEX(lmic_raw_lb[],MATCH($A182,lmic_raw_lb[[setting]:[setting]],0), MATCH(AC$139, lmic_raw_lb[#Headers],0)))</f>
        <v>1.9311115499999962E-2</v>
      </c>
      <c r="AD182" s="98">
        <f>IF(INDEX(lmic_raw_lb[],MATCH($A182,lmic_raw_lb[[setting]:[setting]],0), MATCH(AD$139, lmic_raw_lb[#Headers],0))=0, INDEX(regions_lb[], MATCH($D182, regions_lb[[setting]:[setting]],0), MATCH(AD$139, regions_lb[#Headers],0)),INDEX(lmic_raw_lb[],MATCH($A182,lmic_raw_lb[[setting]:[setting]],0), MATCH(AD$139, lmic_raw_lb[#Headers],0)))</f>
        <v>1.0417516972074687E-3</v>
      </c>
      <c r="AE182" s="98">
        <f>IF(INDEX(lmic_raw_lb[],MATCH($A182,lmic_raw_lb[[setting]:[setting]],0), MATCH(AE$139, lmic_raw_lb[#Headers],0))=0, INDEX(regions_lb[], MATCH($D182, regions_lb[[setting]:[setting]],0), MATCH(AE$139, regions_lb[#Headers],0)),INDEX(lmic_raw_lb[],MATCH($A182,lmic_raw_lb[[setting]:[setting]],0), MATCH(AE$139, lmic_raw_lb[#Headers],0)))</f>
        <v>6.918383779126664E-4</v>
      </c>
      <c r="AF182" s="98">
        <f>IF(INDEX(lmic_raw_lb[],MATCH($A182,lmic_raw_lb[[setting]:[setting]],0), MATCH(AF$139, lmic_raw_lb[#Headers],0))=0, INDEX(regions_lb[], MATCH($D182, regions_lb[[setting]:[setting]],0), MATCH(AF$139, regions_lb[#Headers],0)),INDEX(lmic_raw_lb[],MATCH($A182,lmic_raw_lb[[setting]:[setting]],0), MATCH(AF$139, lmic_raw_lb[#Headers],0)))</f>
        <v>6.44820929259868E-4</v>
      </c>
      <c r="AG182" s="98">
        <f>IF(INDEX(lmic_raw_lb[],MATCH($A182,lmic_raw_lb[[setting]:[setting]],0), MATCH(AG$139, lmic_raw_lb[#Headers],0))=0, INDEX(regions_lb[], MATCH($D182, regions_lb[[setting]:[setting]],0), MATCH(AG$139, regions_lb[#Headers],0)),INDEX(lmic_raw_lb[],MATCH($A182,lmic_raw_lb[[setting]:[setting]],0), MATCH(AG$139, lmic_raw_lb[#Headers],0)))</f>
        <v>1.4426180520434157E-3</v>
      </c>
      <c r="AH182" s="98">
        <f>IF(INDEX(lmic_raw_lb[],MATCH($A182,lmic_raw_lb[[setting]:[setting]],0), MATCH(AH$139, lmic_raw_lb[#Headers],0))=0, INDEX(regions_lb[], MATCH($D182, regions_lb[[setting]:[setting]],0), MATCH(AH$139, regions_lb[#Headers],0)),INDEX(lmic_raw_lb[],MATCH($A182,lmic_raw_lb[[setting]:[setting]],0), MATCH(AH$139, lmic_raw_lb[#Headers],0)))</f>
        <v>2.0485197527218306E-3</v>
      </c>
      <c r="AI182" s="98">
        <f>IF(INDEX(lmic_raw_lb[],MATCH($A182,lmic_raw_lb[[setting]:[setting]],0), MATCH(AI$139, lmic_raw_lb[#Headers],0))=0, INDEX(regions_lb[], MATCH($D182, regions_lb[[setting]:[setting]],0), MATCH(AI$139, regions_lb[#Headers],0)),INDEX(lmic_raw_lb[],MATCH($A182,lmic_raw_lb[[setting]:[setting]],0), MATCH(AI$139, lmic_raw_lb[#Headers],0)))</f>
        <v>2.2719517559361209E-3</v>
      </c>
      <c r="AJ182" s="98">
        <f>IF(INDEX(lmic_raw_lb[],MATCH($A182,lmic_raw_lb[[setting]:[setting]],0), MATCH(AJ$139, lmic_raw_lb[#Headers],0))=0, INDEX(regions_lb[], MATCH($D182, regions_lb[[setting]:[setting]],0), MATCH(AJ$139, regions_lb[#Headers],0)),INDEX(lmic_raw_lb[],MATCH($A182,lmic_raw_lb[[setting]:[setting]],0), MATCH(AJ$139, lmic_raw_lb[#Headers],0)))</f>
        <v>2.6637939674999359E-3</v>
      </c>
      <c r="AK182" s="98">
        <f>IF(INDEX(lmic_raw_lb[],MATCH($A182,lmic_raw_lb[[setting]:[setting]],0), MATCH(AK$139, lmic_raw_lb[#Headers],0))=0, INDEX(regions_lb[], MATCH($D182, regions_lb[[setting]:[setting]],0), MATCH(AK$139, regions_lb[#Headers],0)),INDEX(lmic_raw_lb[],MATCH($A182,lmic_raw_lb[[setting]:[setting]],0), MATCH(AK$139, lmic_raw_lb[#Headers],0)))</f>
        <v>3.4118787053580577E-3</v>
      </c>
      <c r="AL182" s="98">
        <f>IF(INDEX(lmic_raw_lb[],MATCH($A182,lmic_raw_lb[[setting]:[setting]],0), MATCH(AL$139, lmic_raw_lb[#Headers],0))=0, INDEX(regions_lb[], MATCH($D182, regions_lb[[setting]:[setting]],0), MATCH(AL$139, regions_lb[#Headers],0)),INDEX(lmic_raw_lb[],MATCH($A182,lmic_raw_lb[[setting]:[setting]],0), MATCH(AL$139, lmic_raw_lb[#Headers],0)))</f>
        <v>4.5968987941880438E-3</v>
      </c>
      <c r="AM182" s="98">
        <f>IF(INDEX(lmic_raw_lb[],MATCH($A182,lmic_raw_lb[[setting]:[setting]],0), MATCH(AM$139, lmic_raw_lb[#Headers],0))=0, INDEX(regions_lb[], MATCH($D182, regions_lb[[setting]:[setting]],0), MATCH(AM$139, regions_lb[#Headers],0)),INDEX(lmic_raw_lb[],MATCH($A182,lmic_raw_lb[[setting]:[setting]],0), MATCH(AM$139, lmic_raw_lb[#Headers],0)))</f>
        <v>6.5232681946210168E-3</v>
      </c>
      <c r="AN182" s="98">
        <f>IF(INDEX(lmic_raw_lb[],MATCH($A182,lmic_raw_lb[[setting]:[setting]],0), MATCH(AN$139, lmic_raw_lb[#Headers],0))=0, INDEX(regions_lb[], MATCH($D182, regions_lb[[setting]:[setting]],0), MATCH(AN$139, regions_lb[#Headers],0)),INDEX(lmic_raw_lb[],MATCH($A182,lmic_raw_lb[[setting]:[setting]],0), MATCH(AN$139, lmic_raw_lb[#Headers],0)))</f>
        <v>9.4186823787848675E-3</v>
      </c>
      <c r="AO182" s="98">
        <f>IF(INDEX(lmic_raw_lb[],MATCH($A182,lmic_raw_lb[[setting]:[setting]],0), MATCH(AO$139, lmic_raw_lb[#Headers],0))=0, INDEX(regions_lb[], MATCH($D182, regions_lb[[setting]:[setting]],0), MATCH(AO$139, regions_lb[#Headers],0)),INDEX(lmic_raw_lb[],MATCH($A182,lmic_raw_lb[[setting]:[setting]],0), MATCH(AO$139, lmic_raw_lb[#Headers],0)))</f>
        <v>1.3680161373499804E-2</v>
      </c>
      <c r="AP182" s="98">
        <f>IF(INDEX(lmic_raw_lb[],MATCH($A182,lmic_raw_lb[[setting]:[setting]],0), MATCH(AP$139, lmic_raw_lb[#Headers],0))=0, INDEX(regions_lb[], MATCH($D182, regions_lb[[setting]:[setting]],0), MATCH(AP$139, regions_lb[#Headers],0)),INDEX(lmic_raw_lb[],MATCH($A182,lmic_raw_lb[[setting]:[setting]],0), MATCH(AP$139, lmic_raw_lb[#Headers],0)))</f>
        <v>2.1261964019802976E-2</v>
      </c>
      <c r="AQ182" s="98">
        <f>IF(INDEX(lmic_raw_lb[],MATCH($A182,lmic_raw_lb[[setting]:[setting]],0), MATCH(AQ$139, lmic_raw_lb[#Headers],0))=0, INDEX(regions_lb[], MATCH($D182, regions_lb[[setting]:[setting]],0), MATCH(AQ$139, regions_lb[#Headers],0)),INDEX(lmic_raw_lb[],MATCH($A182,lmic_raw_lb[[setting]:[setting]],0), MATCH(AQ$139, lmic_raw_lb[#Headers],0)))</f>
        <v>3.3003889101246388E-2</v>
      </c>
      <c r="AR182" s="98">
        <f>IF(INDEX(lmic_raw_lb[],MATCH($A182,lmic_raw_lb[[setting]:[setting]],0), MATCH(AR$139, lmic_raw_lb[#Headers],0))=0, INDEX(regions_lb[], MATCH($D182, regions_lb[[setting]:[setting]],0), MATCH(AR$139, regions_lb[#Headers],0)),INDEX(lmic_raw_lb[],MATCH($A182,lmic_raw_lb[[setting]:[setting]],0), MATCH(AR$139, lmic_raw_lb[#Headers],0)))</f>
        <v>4.9636283591296411E-2</v>
      </c>
      <c r="AS182" s="98">
        <f>IF(INDEX(lmic_raw_lb[],MATCH($A182,lmic_raw_lb[[setting]:[setting]],0), MATCH(AS$139, lmic_raw_lb[#Headers],0))=0, INDEX(regions_lb[], MATCH($D182, regions_lb[[setting]:[setting]],0), MATCH(AS$139, regions_lb[#Headers],0)),INDEX(lmic_raw_lb[],MATCH($A182,lmic_raw_lb[[setting]:[setting]],0), MATCH(AS$139, lmic_raw_lb[#Headers],0)))</f>
        <v>7.2421474666782212E-2</v>
      </c>
      <c r="AT182" s="98">
        <f>IF(INDEX(lmic_raw_lb[],MATCH($A182,lmic_raw_lb[[setting]:[setting]],0), MATCH(AT$139, lmic_raw_lb[#Headers],0))=0, INDEX(regions_lb[], MATCH($D182, regions_lb[[setting]:[setting]],0), MATCH(AT$139, regions_lb[#Headers],0)),INDEX(lmic_raw_lb[],MATCH($A182,lmic_raw_lb[[setting]:[setting]],0), MATCH(AT$139, lmic_raw_lb[#Headers],0)))</f>
        <v>0.10209991821448858</v>
      </c>
      <c r="AU182" s="98">
        <f>IF(INDEX(lmic_raw_lb[],MATCH($A182,lmic_raw_lb[[setting]:[setting]],0), MATCH(AU$139, lmic_raw_lb[#Headers],0))=0, INDEX(regions_lb[], MATCH($D182, regions_lb[[setting]:[setting]],0), MATCH(AU$139, regions_lb[#Headers],0)),INDEX(lmic_raw_lb[],MATCH($A182,lmic_raw_lb[[setting]:[setting]],0), MATCH(AU$139, lmic_raw_lb[#Headers],0)))</f>
        <v>0.13400873228131649</v>
      </c>
      <c r="AV182" s="98">
        <f>IF(INDEX(lmic_raw_lb[],MATCH($A182,lmic_raw_lb[[setting]:[setting]],0), MATCH(AV$139, lmic_raw_lb[#Headers],0))=0, INDEX(regions_lb[], MATCH($D182, regions_lb[[setting]:[setting]],0), MATCH(AV$139, regions_lb[#Headers],0)),INDEX(lmic_raw_lb[],MATCH($A182,lmic_raw_lb[[setting]:[setting]],0), MATCH(AV$139, lmic_raw_lb[#Headers],0)))</f>
        <v>0.15902320655465324</v>
      </c>
      <c r="AW182" s="98">
        <f>IF(INDEX(lmic_raw_lb[],MATCH($A182,lmic_raw_lb[[setting]:[setting]],0), MATCH(AW$139, lmic_raw_lb[#Headers],0))=0, INDEX(regions_lb[], MATCH($D182, regions_lb[[setting]:[setting]],0), MATCH(AW$139, regions_lb[#Headers],0)),INDEX(lmic_raw_lb[],MATCH($A182,lmic_raw_lb[[setting]:[setting]],0), MATCH(AW$139, lmic_raw_lb[#Headers],0)))</f>
        <v>0.17439283883471171</v>
      </c>
      <c r="AX182" s="98">
        <f>IF(INDEX(lmic_raw_lb[],MATCH($A182,lmic_raw_lb[[setting]:[setting]],0), MATCH(AX$139, lmic_raw_lb[#Headers],0))=0, INDEX(regions_lb[], MATCH($D182, regions_lb[[setting]:[setting]],0), MATCH(AX$139, regions_lb[#Headers],0)),INDEX(lmic_raw_lb[],MATCH($A182,lmic_raw_lb[[setting]:[setting]],0), MATCH(AX$139, lmic_raw_lb[#Headers],0)))</f>
        <v>63.909349999999996</v>
      </c>
      <c r="AY182" s="98" t="str">
        <f>IF(VLOOKUP(lmics_lb[[#This Row],[setting]],lmic_raw_lb[],11,FALSE)=0, "Yes", "No")</f>
        <v>No</v>
      </c>
    </row>
    <row r="183" spans="1:51" x14ac:dyDescent="0.25">
      <c r="A183" s="110" t="s">
        <v>129</v>
      </c>
      <c r="B183" s="104" t="s">
        <v>427</v>
      </c>
      <c r="C183" s="105">
        <v>266</v>
      </c>
      <c r="D183" s="84" t="s">
        <v>677</v>
      </c>
      <c r="E183" s="122" t="s">
        <v>582</v>
      </c>
      <c r="F183" s="94" t="s">
        <v>667</v>
      </c>
      <c r="G183" s="94" t="s">
        <v>676</v>
      </c>
      <c r="H183" s="94"/>
      <c r="I183" s="94"/>
      <c r="J183" s="94">
        <f>IF(INDEX(lmic_raw_lb[],MATCH($A183,lmic_raw_lb[[setting]:[setting]],0), MATCH(J$139, lmic_raw_lb[#Headers],0))=0, INDEX(regions_lb[], MATCH($D183, regions_lb[[setting]:[setting]],0), MATCH(J$139, regions_lb[#Headers],0)),INDEX(lmic_raw_lb[],MATCH($A183,lmic_raw_lb[[setting]:[setting]],0), MATCH(J$139, lmic_raw_lb[#Headers],0)))</f>
        <v>0.8569</v>
      </c>
      <c r="K183" s="94">
        <f>IF(INDEX(lmic_raw_lb[],MATCH($A183,lmic_raw_lb[[setting]:[setting]],0), MATCH(K$139, lmic_raw_lb[#Headers],0))=0, INDEX(regions_lb[], MATCH($D183, regions_lb[[setting]:[setting]],0), MATCH(K$139, regions_lb[#Headers],0)),INDEX(lmic_raw_lb[],MATCH($A183,lmic_raw_lb[[setting]:[setting]],0), MATCH(K$139, lmic_raw_lb[#Headers],0)))</f>
        <v>0.65789974195504752</v>
      </c>
      <c r="L183" s="94">
        <f>IF(INDEX(lmic_raw_lb[],MATCH($A183,lmic_raw_lb[[setting]:[setting]],0), MATCH(L$139, lmic_raw_lb[#Headers],0))=0, INDEX(regions_lb[], MATCH($D183, regions_lb[[setting]:[setting]],0), MATCH(L$139, regions_lb[#Headers],0)),INDEX(lmic_raw_lb[],MATCH($A183,lmic_raw_lb[[setting]:[setting]],0), MATCH(L$139, lmic_raw_lb[#Headers],0)))</f>
        <v>0.66499999999999992</v>
      </c>
      <c r="M183" s="94">
        <f>IF(INDEX(lmic_raw_lb[],MATCH($A183,lmic_raw_lb[[setting]:[setting]],0), MATCH(M$139, lmic_raw_lb[#Headers],0))=0, INDEX(regions_lb[], MATCH($D183, regions_lb[[setting]:[setting]],0), MATCH(M$139, regions_lb[#Headers],0)),INDEX(lmic_raw_lb[],MATCH($A183,lmic_raw_lb[[setting]:[setting]],0), MATCH(M$139, lmic_raw_lb[#Headers],0)))</f>
        <v>7.4299999999999991E-2</v>
      </c>
      <c r="N183" s="94">
        <f>IF(INDEX(lmic_raw_lb[],MATCH($A183,lmic_raw_lb[[setting]:[setting]],0), MATCH(N$139, lmic_raw_lb[#Headers],0))=0, INDEX(regions_lb[], MATCH($D183, regions_lb[[setting]:[setting]],0), MATCH(N$139, regions_lb[#Headers],0)),INDEX(lmic_raw_lb[],MATCH($A183,lmic_raw_lb[[setting]:[setting]],0), MATCH(N$139, lmic_raw_lb[#Headers],0)))</f>
        <v>0.15279999999999999</v>
      </c>
      <c r="O183" s="94">
        <f>IF(INDEX(lmic_raw_lb[],MATCH($A183,lmic_raw_lb[[setting]:[setting]],0), MATCH(O$139, lmic_raw_lb[#Headers],0))=0, INDEX(regions_lb[], MATCH($D183, regions_lb[[setting]:[setting]],0), MATCH(O$139, regions_lb[#Headers],0)),INDEX(lmic_raw_lb[],MATCH($A183,lmic_raw_lb[[setting]:[setting]],0), MATCH(O$139, lmic_raw_lb[#Headers],0)))</f>
        <v>7.0000000000000007E-2</v>
      </c>
      <c r="P183" s="94">
        <f>IF(INDEX(lmic_raw_lb[],MATCH($A183,lmic_raw_lb[[setting]:[setting]],0), MATCH(P$139, lmic_raw_lb[#Headers],0))=0, INDEX(regions_lb[], MATCH($D183, regions_lb[[setting]:[setting]],0), MATCH(P$139, regions_lb[#Headers],0)),INDEX(lmic_raw_lb[],MATCH($A183,lmic_raw_lb[[setting]:[setting]],0), MATCH(P$139, lmic_raw_lb[#Headers],0)))</f>
        <v>1E-3</v>
      </c>
      <c r="Q183" s="94">
        <f>IF(INDEX(lmic_raw_lb[],MATCH($A183,lmic_raw_lb[[setting]:[setting]],0), MATCH(Q$139, lmic_raw_lb[#Headers],0))=0, INDEX(regions_lb[], MATCH($D183, regions_lb[[setting]:[setting]],0), MATCH(Q$139, regions_lb[#Headers],0)),INDEX(lmic_raw_lb[],MATCH($A183,lmic_raw_lb[[setting]:[setting]],0), MATCH(Q$139, lmic_raw_lb[#Headers],0)))</f>
        <v>13.902429046774541</v>
      </c>
      <c r="R183" s="94">
        <f>IF(INDEX(lmic_raw_lb[],MATCH($A183,lmic_raw_lb[[setting]:[setting]],0), MATCH(R$139, lmic_raw_lb[#Headers],0))=0, INDEX(regions_lb[], MATCH($D183, regions_lb[[setting]:[setting]],0), MATCH(R$139, regions_lb[#Headers],0)),INDEX(lmic_raw_lb[],MATCH($A183,lmic_raw_lb[[setting]:[setting]],0), MATCH(R$139, lmic_raw_lb[#Headers],0)))</f>
        <v>28.424474999999997</v>
      </c>
      <c r="S183" s="94">
        <f>IF(INDEX(lmic_raw_lb[],MATCH($A183,lmic_raw_lb[[setting]:[setting]],0), MATCH(S$139, lmic_raw_lb[#Headers],0))=0, INDEX(regions_lb[], MATCH($D183, regions_lb[[setting]:[setting]],0), MATCH(S$139, regions_lb[#Headers],0)),INDEX(lmic_raw_lb[],MATCH($A183,lmic_raw_lb[[setting]:[setting]],0), MATCH(S$139, lmic_raw_lb[#Headers],0)))</f>
        <v>73.779375000000002</v>
      </c>
      <c r="T183" s="94">
        <f>IF(INDEX(lmic_raw_lb[],MATCH($A183,lmic_raw_lb[[setting]:[setting]],0), MATCH(T$139, lmic_raw_lb[#Headers],0))=0, INDEX(regions_lb[], MATCH($D183, regions_lb[[setting]:[setting]],0), MATCH(T$139, regions_lb[#Headers],0)),INDEX(lmic_raw_lb[],MATCH($A183,lmic_raw_lb[[setting]:[setting]],0), MATCH(T$139, lmic_raw_lb[#Headers],0)))</f>
        <v>73.779375000000002</v>
      </c>
      <c r="U183" s="94">
        <f>IF(INDEX(lmic_raw_lb[],MATCH($A183,lmic_raw_lb[[setting]:[setting]],0), MATCH(U$139, lmic_raw_lb[#Headers],0))=0, INDEX(regions_lb[], MATCH($D183, regions_lb[[setting]:[setting]],0), MATCH(U$139, regions_lb[#Headers],0)),INDEX(lmic_raw_lb[],MATCH($A183,lmic_raw_lb[[setting]:[setting]],0), MATCH(U$139, lmic_raw_lb[#Headers],0)))</f>
        <v>73.779375000000002</v>
      </c>
      <c r="V183" s="94">
        <f>IF(INDEX(lmic_raw_lb[],MATCH($A183,lmic_raw_lb[[setting]:[setting]],0), MATCH(V$139, lmic_raw_lb[#Headers],0))=0, INDEX(regions_lb[], MATCH($D183, regions_lb[[setting]:[setting]],0), MATCH(V$139, regions_lb[#Headers],0)),INDEX(lmic_raw_lb[],MATCH($A183,lmic_raw_lb[[setting]:[setting]],0), MATCH(V$139, lmic_raw_lb[#Headers],0)))</f>
        <v>1.3020936616550227</v>
      </c>
      <c r="W183" s="94">
        <f>IF(INDEX(lmic_raw_lb[],MATCH($A183,lmic_raw_lb[[setting]:[setting]],0), MATCH(W$139, lmic_raw_lb[#Headers],0))=0, INDEX(regions_lb[], MATCH($D183, regions_lb[[setting]:[setting]],0), MATCH(W$139, regions_lb[#Headers],0)),INDEX(lmic_raw_lb[],MATCH($A183,lmic_raw_lb[[setting]:[setting]],0), MATCH(W$139, lmic_raw_lb[#Headers],0)))</f>
        <v>5.8893586616550229</v>
      </c>
      <c r="X183" s="94">
        <f>IF(INDEX(lmic_raw_lb[],MATCH($A183,lmic_raw_lb[[setting]:[setting]],0), MATCH(X$139, lmic_raw_lb[#Headers],0))=0, INDEX(regions_lb[], MATCH($D183, regions_lb[[setting]:[setting]],0), MATCH(X$139, regions_lb[#Headers],0)),INDEX(lmic_raw_lb[],MATCH($A183,lmic_raw_lb[[setting]:[setting]],0), MATCH(X$139, lmic_raw_lb[#Headers],0)))</f>
        <v>0.93044804031051465</v>
      </c>
      <c r="Y183" s="94">
        <f>IF(INDEX(lmic_raw_lb[],MATCH($A183,lmic_raw_lb[[setting]:[setting]],0), MATCH(Y$139, lmic_raw_lb[#Headers],0))=0, INDEX(regions_lb[], MATCH($D183, regions_lb[[setting]:[setting]],0), MATCH(Y$139, regions_lb[#Headers],0)),INDEX(lmic_raw_lb[],MATCH($A183,lmic_raw_lb[[setting]:[setting]],0), MATCH(Y$139, lmic_raw_lb[#Headers],0)))</f>
        <v>5.5177130403105146</v>
      </c>
      <c r="Z183" s="94">
        <f>IF(INDEX(lmic_raw_lb[],MATCH($A183,lmic_raw_lb[[setting]:[setting]],0), MATCH(Z$139, lmic_raw_lb[#Headers],0))=0, INDEX(regions_lb[], MATCH($D183, regions_lb[[setting]:[setting]],0), MATCH(Z$139, regions_lb[#Headers],0)),INDEX(lmic_raw_lb[],MATCH($A183,lmic_raw_lb[[setting]:[setting]],0), MATCH(Z$139, lmic_raw_lb[#Headers],0)))</f>
        <v>5.5117559856680023</v>
      </c>
      <c r="AA183" s="94">
        <f>IF(INDEX(lmic_raw_lb[],MATCH($A183,lmic_raw_lb[[setting]:[setting]],0), MATCH(AA$139, lmic_raw_lb[#Headers],0))=0, INDEX(regions_lb[], MATCH($D183, regions_lb[[setting]:[setting]],0), MATCH(AA$139, regions_lb[#Headers],0)),INDEX(lmic_raw_lb[],MATCH($A183,lmic_raw_lb[[setting]:[setting]],0), MATCH(AA$139, lmic_raw_lb[#Headers],0)))</f>
        <v>1.5160118881811666</v>
      </c>
      <c r="AB183" s="94">
        <f>IF(INDEX(lmic_raw_lb[],MATCH($A183,lmic_raw_lb[[setting]:[setting]],0), MATCH(AB$139, lmic_raw_lb[#Headers],0))=0, INDEX(regions_lb[], MATCH($D183, regions_lb[[setting]:[setting]],0), MATCH(AB$139, regions_lb[#Headers],0)),INDEX(lmic_raw_lb[],MATCH($A183,lmic_raw_lb[[setting]:[setting]],0), MATCH(AB$139, lmic_raw_lb[#Headers],0)))</f>
        <v>6.103276888181167</v>
      </c>
      <c r="AC183" s="94">
        <f>IF(INDEX(lmic_raw_lb[],MATCH($A183,lmic_raw_lb[[setting]:[setting]],0), MATCH(AC$139, lmic_raw_lb[#Headers],0))=0, INDEX(regions_lb[], MATCH($D183, regions_lb[[setting]:[setting]],0), MATCH(AC$139, regions_lb[#Headers],0)),INDEX(lmic_raw_lb[],MATCH($A183,lmic_raw_lb[[setting]:[setting]],0), MATCH(AC$139, lmic_raw_lb[#Headers],0)))</f>
        <v>3.3524597499999989E-2</v>
      </c>
      <c r="AD183" s="94">
        <f>IF(INDEX(lmic_raw_lb[],MATCH($A183,lmic_raw_lb[[setting]:[setting]],0), MATCH(AD$139, lmic_raw_lb[#Headers],0))=0, INDEX(regions_lb[], MATCH($D183, regions_lb[[setting]:[setting]],0), MATCH(AD$139, regions_lb[#Headers],0)),INDEX(lmic_raw_lb[],MATCH($A183,lmic_raw_lb[[setting]:[setting]],0), MATCH(AD$139, lmic_raw_lb[#Headers],0)))</f>
        <v>3.1181153277051476E-3</v>
      </c>
      <c r="AE183" s="94">
        <f>IF(INDEX(lmic_raw_lb[],MATCH($A183,lmic_raw_lb[[setting]:[setting]],0), MATCH(AE$139, lmic_raw_lb[#Headers],0))=0, INDEX(regions_lb[], MATCH($D183, regions_lb[[setting]:[setting]],0), MATCH(AE$139, regions_lb[#Headers],0)),INDEX(lmic_raw_lb[],MATCH($A183,lmic_raw_lb[[setting]:[setting]],0), MATCH(AE$139, lmic_raw_lb[#Headers],0)))</f>
        <v>1.3534280693666577E-3</v>
      </c>
      <c r="AF183" s="94">
        <f>IF(INDEX(lmic_raw_lb[],MATCH($A183,lmic_raw_lb[[setting]:[setting]],0), MATCH(AF$139, lmic_raw_lb[#Headers],0))=0, INDEX(regions_lb[], MATCH($D183, regions_lb[[setting]:[setting]],0), MATCH(AF$139, regions_lb[#Headers],0)),INDEX(lmic_raw_lb[],MATCH($A183,lmic_raw_lb[[setting]:[setting]],0), MATCH(AF$139, lmic_raw_lb[#Headers],0)))</f>
        <v>9.6602626120263367E-4</v>
      </c>
      <c r="AG183" s="94">
        <f>IF(INDEX(lmic_raw_lb[],MATCH($A183,lmic_raw_lb[[setting]:[setting]],0), MATCH(AG$139, lmic_raw_lb[#Headers],0))=0, INDEX(regions_lb[], MATCH($D183, regions_lb[[setting]:[setting]],0), MATCH(AG$139, regions_lb[#Headers],0)),INDEX(lmic_raw_lb[],MATCH($A183,lmic_raw_lb[[setting]:[setting]],0), MATCH(AG$139, lmic_raw_lb[#Headers],0)))</f>
        <v>1.5989832141181605E-3</v>
      </c>
      <c r="AH183" s="94">
        <f>IF(INDEX(lmic_raw_lb[],MATCH($A183,lmic_raw_lb[[setting]:[setting]],0), MATCH(AH$139, lmic_raw_lb[#Headers],0))=0, INDEX(regions_lb[], MATCH($D183, regions_lb[[setting]:[setting]],0), MATCH(AH$139, regions_lb[#Headers],0)),INDEX(lmic_raw_lb[],MATCH($A183,lmic_raw_lb[[setting]:[setting]],0), MATCH(AH$139, lmic_raw_lb[#Headers],0)))</f>
        <v>2.3295615822446995E-3</v>
      </c>
      <c r="AI183" s="94">
        <f>IF(INDEX(lmic_raw_lb[],MATCH($A183,lmic_raw_lb[[setting]:[setting]],0), MATCH(AI$139, lmic_raw_lb[#Headers],0))=0, INDEX(regions_lb[], MATCH($D183, regions_lb[[setting]:[setting]],0), MATCH(AI$139, regions_lb[#Headers],0)),INDEX(lmic_raw_lb[],MATCH($A183,lmic_raw_lb[[setting]:[setting]],0), MATCH(AI$139, lmic_raw_lb[#Headers],0)))</f>
        <v>2.6629354840562182E-3</v>
      </c>
      <c r="AJ183" s="94">
        <f>IF(INDEX(lmic_raw_lb[],MATCH($A183,lmic_raw_lb[[setting]:[setting]],0), MATCH(AJ$139, lmic_raw_lb[#Headers],0))=0, INDEX(regions_lb[], MATCH($D183, regions_lb[[setting]:[setting]],0), MATCH(AJ$139, regions_lb[#Headers],0)),INDEX(lmic_raw_lb[],MATCH($A183,lmic_raw_lb[[setting]:[setting]],0), MATCH(AJ$139, lmic_raw_lb[#Headers],0)))</f>
        <v>3.0984537592486133E-3</v>
      </c>
      <c r="AK183" s="94">
        <f>IF(INDEX(lmic_raw_lb[],MATCH($A183,lmic_raw_lb[[setting]:[setting]],0), MATCH(AK$139, lmic_raw_lb[#Headers],0))=0, INDEX(regions_lb[], MATCH($D183, regions_lb[[setting]:[setting]],0), MATCH(AK$139, regions_lb[#Headers],0)),INDEX(lmic_raw_lb[],MATCH($A183,lmic_raw_lb[[setting]:[setting]],0), MATCH(AK$139, lmic_raw_lb[#Headers],0)))</f>
        <v>3.7690609189939992E-3</v>
      </c>
      <c r="AL183" s="94">
        <f>IF(INDEX(lmic_raw_lb[],MATCH($A183,lmic_raw_lb[[setting]:[setting]],0), MATCH(AL$139, lmic_raw_lb[#Headers],0))=0, INDEX(regions_lb[], MATCH($D183, regions_lb[[setting]:[setting]],0), MATCH(AL$139, regions_lb[#Headers],0)),INDEX(lmic_raw_lb[],MATCH($A183,lmic_raw_lb[[setting]:[setting]],0), MATCH(AL$139, lmic_raw_lb[#Headers],0)))</f>
        <v>4.7902333371076062E-3</v>
      </c>
      <c r="AM183" s="94">
        <f>IF(INDEX(lmic_raw_lb[],MATCH($A183,lmic_raw_lb[[setting]:[setting]],0), MATCH(AM$139, lmic_raw_lb[#Headers],0))=0, INDEX(regions_lb[], MATCH($D183, regions_lb[[setting]:[setting]],0), MATCH(AM$139, regions_lb[#Headers],0)),INDEX(lmic_raw_lb[],MATCH($A183,lmic_raw_lb[[setting]:[setting]],0), MATCH(AM$139, lmic_raw_lb[#Headers],0)))</f>
        <v>6.0982895688519731E-3</v>
      </c>
      <c r="AN183" s="94">
        <f>IF(INDEX(lmic_raw_lb[],MATCH($A183,lmic_raw_lb[[setting]:[setting]],0), MATCH(AN$139, lmic_raw_lb[#Headers],0))=0, INDEX(regions_lb[], MATCH($D183, regions_lb[[setting]:[setting]],0), MATCH(AN$139, regions_lb[#Headers],0)),INDEX(lmic_raw_lb[],MATCH($A183,lmic_raw_lb[[setting]:[setting]],0), MATCH(AN$139, lmic_raw_lb[#Headers],0)))</f>
        <v>8.7335098192560297E-3</v>
      </c>
      <c r="AO183" s="94">
        <f>IF(INDEX(lmic_raw_lb[],MATCH($A183,lmic_raw_lb[[setting]:[setting]],0), MATCH(AO$139, lmic_raw_lb[#Headers],0))=0, INDEX(regions_lb[], MATCH($D183, regions_lb[[setting]:[setting]],0), MATCH(AO$139, regions_lb[#Headers],0)),INDEX(lmic_raw_lb[],MATCH($A183,lmic_raw_lb[[setting]:[setting]],0), MATCH(AO$139, lmic_raw_lb[#Headers],0)))</f>
        <v>1.1757454620929968E-2</v>
      </c>
      <c r="AP183" s="94">
        <f>IF(INDEX(lmic_raw_lb[],MATCH($A183,lmic_raw_lb[[setting]:[setting]],0), MATCH(AP$139, lmic_raw_lb[#Headers],0))=0, INDEX(regions_lb[], MATCH($D183, regions_lb[[setting]:[setting]],0), MATCH(AP$139, regions_lb[#Headers],0)),INDEX(lmic_raw_lb[],MATCH($A183,lmic_raw_lb[[setting]:[setting]],0), MATCH(AP$139, lmic_raw_lb[#Headers],0)))</f>
        <v>1.7849342870911937E-2</v>
      </c>
      <c r="AQ183" s="94">
        <f>IF(INDEX(lmic_raw_lb[],MATCH($A183,lmic_raw_lb[[setting]:[setting]],0), MATCH(AQ$139, lmic_raw_lb[#Headers],0))=0, INDEX(regions_lb[], MATCH($D183, regions_lb[[setting]:[setting]],0), MATCH(AQ$139, regions_lb[#Headers],0)),INDEX(lmic_raw_lb[],MATCH($A183,lmic_raw_lb[[setting]:[setting]],0), MATCH(AQ$139, lmic_raw_lb[#Headers],0)))</f>
        <v>2.7769974590210647E-2</v>
      </c>
      <c r="AR183" s="94">
        <f>IF(INDEX(lmic_raw_lb[],MATCH($A183,lmic_raw_lb[[setting]:[setting]],0), MATCH(AR$139, lmic_raw_lb[#Headers],0))=0, INDEX(regions_lb[], MATCH($D183, regions_lb[[setting]:[setting]],0), MATCH(AR$139, regions_lb[#Headers],0)),INDEX(lmic_raw_lb[],MATCH($A183,lmic_raw_lb[[setting]:[setting]],0), MATCH(AR$139, lmic_raw_lb[#Headers],0)))</f>
        <v>4.3199194108453326E-2</v>
      </c>
      <c r="AS183" s="94">
        <f>IF(INDEX(lmic_raw_lb[],MATCH($A183,lmic_raw_lb[[setting]:[setting]],0), MATCH(AS$139, lmic_raw_lb[#Headers],0))=0, INDEX(regions_lb[], MATCH($D183, regions_lb[[setting]:[setting]],0), MATCH(AS$139, regions_lb[#Headers],0)),INDEX(lmic_raw_lb[],MATCH($A183,lmic_raw_lb[[setting]:[setting]],0), MATCH(AS$139, lmic_raw_lb[#Headers],0)))</f>
        <v>6.6241749238480446E-2</v>
      </c>
      <c r="AT183" s="94">
        <f>IF(INDEX(lmic_raw_lb[],MATCH($A183,lmic_raw_lb[[setting]:[setting]],0), MATCH(AT$139, lmic_raw_lb[#Headers],0))=0, INDEX(regions_lb[], MATCH($D183, regions_lb[[setting]:[setting]],0), MATCH(AT$139, regions_lb[#Headers],0)),INDEX(lmic_raw_lb[],MATCH($A183,lmic_raw_lb[[setting]:[setting]],0), MATCH(AT$139, lmic_raw_lb[#Headers],0)))</f>
        <v>9.8942669141429129E-2</v>
      </c>
      <c r="AU183" s="94">
        <f>IF(INDEX(lmic_raw_lb[],MATCH($A183,lmic_raw_lb[[setting]:[setting]],0), MATCH(AU$139, lmic_raw_lb[#Headers],0))=0, INDEX(regions_lb[], MATCH($D183, regions_lb[[setting]:[setting]],0), MATCH(AU$139, regions_lb[#Headers],0)),INDEX(lmic_raw_lb[],MATCH($A183,lmic_raw_lb[[setting]:[setting]],0), MATCH(AU$139, lmic_raw_lb[#Headers],0)))</f>
        <v>0.1369401450028716</v>
      </c>
      <c r="AV183" s="94">
        <f>IF(INDEX(lmic_raw_lb[],MATCH($A183,lmic_raw_lb[[setting]:[setting]],0), MATCH(AV$139, lmic_raw_lb[#Headers],0))=0, INDEX(regions_lb[], MATCH($D183, regions_lb[[setting]:[setting]],0), MATCH(AV$139, regions_lb[#Headers],0)),INDEX(lmic_raw_lb[],MATCH($A183,lmic_raw_lb[[setting]:[setting]],0), MATCH(AV$139, lmic_raw_lb[#Headers],0)))</f>
        <v>0.16944594203960009</v>
      </c>
      <c r="AW183" s="94">
        <f>IF(INDEX(lmic_raw_lb[],MATCH($A183,lmic_raw_lb[[setting]:[setting]],0), MATCH(AW$139, lmic_raw_lb[#Headers],0))=0, INDEX(regions_lb[], MATCH($D183, regions_lb[[setting]:[setting]],0), MATCH(AW$139, regions_lb[#Headers],0)),INDEX(lmic_raw_lb[],MATCH($A183,lmic_raw_lb[[setting]:[setting]],0), MATCH(AW$139, lmic_raw_lb[#Headers],0)))</f>
        <v>0.18006395109623041</v>
      </c>
      <c r="AX183" s="94">
        <f>IF(INDEX(lmic_raw_lb[],MATCH($A183,lmic_raw_lb[[setting]:[setting]],0), MATCH(AX$139, lmic_raw_lb[#Headers],0))=0, INDEX(regions_lb[], MATCH($D183, regions_lb[[setting]:[setting]],0), MATCH(AX$139, regions_lb[#Headers],0)),INDEX(lmic_raw_lb[],MATCH($A183,lmic_raw_lb[[setting]:[setting]],0), MATCH(AX$139, lmic_raw_lb[#Headers],0)))</f>
        <v>62.756999999999998</v>
      </c>
      <c r="AY183" s="94" t="str">
        <f>IF(VLOOKUP(lmics_lb[[#This Row],[setting]],lmic_raw_lb[],11,FALSE)=0, "Yes", "No")</f>
        <v>Yes</v>
      </c>
    </row>
    <row r="184" spans="1:51" x14ac:dyDescent="0.25">
      <c r="A184" s="109" t="s">
        <v>617</v>
      </c>
      <c r="B184" s="101" t="s">
        <v>428</v>
      </c>
      <c r="C184" s="102">
        <v>270</v>
      </c>
      <c r="D184" s="82" t="s">
        <v>677</v>
      </c>
      <c r="E184" s="121" t="s">
        <v>591</v>
      </c>
      <c r="F184" s="98" t="s">
        <v>667</v>
      </c>
      <c r="G184" s="98" t="s">
        <v>674</v>
      </c>
      <c r="H184" s="98"/>
      <c r="I184" s="98"/>
      <c r="J184" s="98">
        <f>IF(INDEX(lmic_raw_lb[],MATCH($A184,lmic_raw_lb[[setting]:[setting]],0), MATCH(J$139, lmic_raw_lb[#Headers],0))=0, INDEX(regions_lb[], MATCH($D184, regions_lb[[setting]:[setting]],0), MATCH(J$139, regions_lb[#Headers],0)),INDEX(lmic_raw_lb[],MATCH($A184,lmic_raw_lb[[setting]:[setting]],0), MATCH(J$139, lmic_raw_lb[#Headers],0)))</f>
        <v>0.79515000000000002</v>
      </c>
      <c r="K184" s="98">
        <f>IF(INDEX(lmic_raw_lb[],MATCH($A184,lmic_raw_lb[[setting]:[setting]],0), MATCH(K$139, lmic_raw_lb[#Headers],0))=0, INDEX(regions_lb[], MATCH($D184, regions_lb[[setting]:[setting]],0), MATCH(K$139, regions_lb[#Headers],0)),INDEX(lmic_raw_lb[],MATCH($A184,lmic_raw_lb[[setting]:[setting]],0), MATCH(K$139, lmic_raw_lb[#Headers],0)))</f>
        <v>0.65789974195504752</v>
      </c>
      <c r="L184" s="98">
        <f>IF(INDEX(lmic_raw_lb[],MATCH($A184,lmic_raw_lb[[setting]:[setting]],0), MATCH(L$139, lmic_raw_lb[#Headers],0))=0, INDEX(regions_lb[], MATCH($D184, regions_lb[[setting]:[setting]],0), MATCH(L$139, regions_lb[#Headers],0)),INDEX(lmic_raw_lb[],MATCH($A184,lmic_raw_lb[[setting]:[setting]],0), MATCH(L$139, lmic_raw_lb[#Headers],0)))</f>
        <v>0.83599999999999997</v>
      </c>
      <c r="M184" s="98">
        <f>IF(INDEX(lmic_raw_lb[],MATCH($A184,lmic_raw_lb[[setting]:[setting]],0), MATCH(M$139, lmic_raw_lb[#Headers],0))=0, INDEX(regions_lb[], MATCH($D184, regions_lb[[setting]:[setting]],0), MATCH(M$139, regions_lb[#Headers],0)),INDEX(lmic_raw_lb[],MATCH($A184,lmic_raw_lb[[setting]:[setting]],0), MATCH(M$139, lmic_raw_lb[#Headers],0)))</f>
        <v>4.7300000000000002E-2</v>
      </c>
      <c r="N184" s="98">
        <f>IF(INDEX(lmic_raw_lb[],MATCH($A184,lmic_raw_lb[[setting]:[setting]],0), MATCH(N$139, lmic_raw_lb[#Headers],0))=0, INDEX(regions_lb[], MATCH($D184, regions_lb[[setting]:[setting]],0), MATCH(N$139, regions_lb[#Headers],0)),INDEX(lmic_raw_lb[],MATCH($A184,lmic_raw_lb[[setting]:[setting]],0), MATCH(N$139, lmic_raw_lb[#Headers],0)))</f>
        <v>0.155</v>
      </c>
      <c r="O184" s="98">
        <f>IF(INDEX(lmic_raw_lb[],MATCH($A184,lmic_raw_lb[[setting]:[setting]],0), MATCH(O$139, lmic_raw_lb[#Headers],0))=0, INDEX(regions_lb[], MATCH($D184, regions_lb[[setting]:[setting]],0), MATCH(O$139, regions_lb[#Headers],0)),INDEX(lmic_raw_lb[],MATCH($A184,lmic_raw_lb[[setting]:[setting]],0), MATCH(O$139, lmic_raw_lb[#Headers],0)))</f>
        <v>7.0000000000000007E-2</v>
      </c>
      <c r="P184" s="98">
        <f>IF(INDEX(lmic_raw_lb[],MATCH($A184,lmic_raw_lb[[setting]:[setting]],0), MATCH(P$139, lmic_raw_lb[#Headers],0))=0, INDEX(regions_lb[], MATCH($D184, regions_lb[[setting]:[setting]],0), MATCH(P$139, regions_lb[#Headers],0)),INDEX(lmic_raw_lb[],MATCH($A184,lmic_raw_lb[[setting]:[setting]],0), MATCH(P$139, lmic_raw_lb[#Headers],0)))</f>
        <v>1E-3</v>
      </c>
      <c r="Q184" s="98">
        <f>IF(INDEX(lmic_raw_lb[],MATCH($A184,lmic_raw_lb[[setting]:[setting]],0), MATCH(Q$139, lmic_raw_lb[#Headers],0))=0, INDEX(regions_lb[], MATCH($D184, regions_lb[[setting]:[setting]],0), MATCH(Q$139, regions_lb[#Headers],0)),INDEX(lmic_raw_lb[],MATCH($A184,lmic_raw_lb[[setting]:[setting]],0), MATCH(Q$139, lmic_raw_lb[#Headers],0)))</f>
        <v>3.0553041076344298</v>
      </c>
      <c r="R184" s="98">
        <f>IF(INDEX(lmic_raw_lb[],MATCH($A184,lmic_raw_lb[[setting]:[setting]],0), MATCH(R$139, lmic_raw_lb[#Headers],0))=0, INDEX(regions_lb[], MATCH($D184, regions_lb[[setting]:[setting]],0), MATCH(R$139, regions_lb[#Headers],0)),INDEX(lmic_raw_lb[],MATCH($A184,lmic_raw_lb[[setting]:[setting]],0), MATCH(R$139, lmic_raw_lb[#Headers],0)))</f>
        <v>28.424474999999997</v>
      </c>
      <c r="S184" s="98">
        <f>IF(INDEX(lmic_raw_lb[],MATCH($A184,lmic_raw_lb[[setting]:[setting]],0), MATCH(S$139, lmic_raw_lb[#Headers],0))=0, INDEX(regions_lb[], MATCH($D184, regions_lb[[setting]:[setting]],0), MATCH(S$139, regions_lb[#Headers],0)),INDEX(lmic_raw_lb[],MATCH($A184,lmic_raw_lb[[setting]:[setting]],0), MATCH(S$139, lmic_raw_lb[#Headers],0)))</f>
        <v>73.779375000000002</v>
      </c>
      <c r="T184" s="98">
        <f>IF(INDEX(lmic_raw_lb[],MATCH($A184,lmic_raw_lb[[setting]:[setting]],0), MATCH(T$139, lmic_raw_lb[#Headers],0))=0, INDEX(regions_lb[], MATCH($D184, regions_lb[[setting]:[setting]],0), MATCH(T$139, regions_lb[#Headers],0)),INDEX(lmic_raw_lb[],MATCH($A184,lmic_raw_lb[[setting]:[setting]],0), MATCH(T$139, lmic_raw_lb[#Headers],0)))</f>
        <v>73.779375000000002</v>
      </c>
      <c r="U184" s="98">
        <f>IF(INDEX(lmic_raw_lb[],MATCH($A184,lmic_raw_lb[[setting]:[setting]],0), MATCH(U$139, lmic_raw_lb[#Headers],0))=0, INDEX(regions_lb[], MATCH($D184, regions_lb[[setting]:[setting]],0), MATCH(U$139, regions_lb[#Headers],0)),INDEX(lmic_raw_lb[],MATCH($A184,lmic_raw_lb[[setting]:[setting]],0), MATCH(U$139, lmic_raw_lb[#Headers],0)))</f>
        <v>73.779375000000002</v>
      </c>
      <c r="V184" s="98">
        <f>IF(INDEX(lmic_raw_lb[],MATCH($A184,lmic_raw_lb[[setting]:[setting]],0), MATCH(V$139, lmic_raw_lb[#Headers],0))=0, INDEX(regions_lb[], MATCH($D184, regions_lb[[setting]:[setting]],0), MATCH(V$139, regions_lb[#Headers],0)),INDEX(lmic_raw_lb[],MATCH($A184,lmic_raw_lb[[setting]:[setting]],0), MATCH(V$139, lmic_raw_lb[#Headers],0)))</f>
        <v>1.5222402335717748</v>
      </c>
      <c r="W184" s="98">
        <f>IF(INDEX(lmic_raw_lb[],MATCH($A184,lmic_raw_lb[[setting]:[setting]],0), MATCH(W$139, lmic_raw_lb[#Headers],0))=0, INDEX(regions_lb[], MATCH($D184, regions_lb[[setting]:[setting]],0), MATCH(W$139, regions_lb[#Headers],0)),INDEX(lmic_raw_lb[],MATCH($A184,lmic_raw_lb[[setting]:[setting]],0), MATCH(W$139, lmic_raw_lb[#Headers],0)))</f>
        <v>6.1095052335717757</v>
      </c>
      <c r="X184" s="98">
        <f>IF(INDEX(lmic_raw_lb[],MATCH($A184,lmic_raw_lb[[setting]:[setting]],0), MATCH(X$139, lmic_raw_lb[#Headers],0))=0, INDEX(regions_lb[], MATCH($D184, regions_lb[[setting]:[setting]],0), MATCH(X$139, regions_lb[#Headers],0)),INDEX(lmic_raw_lb[],MATCH($A184,lmic_raw_lb[[setting]:[setting]],0), MATCH(X$139, lmic_raw_lb[#Headers],0)))</f>
        <v>1.1574930826144867</v>
      </c>
      <c r="Y184" s="98">
        <f>IF(INDEX(lmic_raw_lb[],MATCH($A184,lmic_raw_lb[[setting]:[setting]],0), MATCH(Y$139, lmic_raw_lb[#Headers],0))=0, INDEX(regions_lb[], MATCH($D184, regions_lb[[setting]:[setting]],0), MATCH(Y$139, regions_lb[#Headers],0)),INDEX(lmic_raw_lb[],MATCH($A184,lmic_raw_lb[[setting]:[setting]],0), MATCH(Y$139, lmic_raw_lb[#Headers],0)))</f>
        <v>5.7447580826144868</v>
      </c>
      <c r="Z184" s="98">
        <f>IF(INDEX(lmic_raw_lb[],MATCH($A184,lmic_raw_lb[[setting]:[setting]],0), MATCH(Z$139, lmic_raw_lb[#Headers],0))=0, INDEX(regions_lb[], MATCH($D184, regions_lb[[setting]:[setting]],0), MATCH(Z$139, regions_lb[#Headers],0)),INDEX(lmic_raw_lb[],MATCH($A184,lmic_raw_lb[[setting]:[setting]],0), MATCH(Z$139, lmic_raw_lb[#Headers],0)))</f>
        <v>5.7430856050530181</v>
      </c>
      <c r="AA184" s="98">
        <f>IF(INDEX(lmic_raw_lb[],MATCH($A184,lmic_raw_lb[[setting]:[setting]],0), MATCH(AA$139, lmic_raw_lb[#Headers],0))=0, INDEX(regions_lb[], MATCH($D184, regions_lb[[setting]:[setting]],0), MATCH(AA$139, regions_lb[#Headers],0)),INDEX(lmic_raw_lb[],MATCH($A184,lmic_raw_lb[[setting]:[setting]],0), MATCH(AA$139, lmic_raw_lb[#Headers],0)))</f>
        <v>1.7332019727891108</v>
      </c>
      <c r="AB184" s="98">
        <f>IF(INDEX(lmic_raw_lb[],MATCH($A184,lmic_raw_lb[[setting]:[setting]],0), MATCH(AB$139, lmic_raw_lb[#Headers],0))=0, INDEX(regions_lb[], MATCH($D184, regions_lb[[setting]:[setting]],0), MATCH(AB$139, regions_lb[#Headers],0)),INDEX(lmic_raw_lb[],MATCH($A184,lmic_raw_lb[[setting]:[setting]],0), MATCH(AB$139, lmic_raw_lb[#Headers],0)))</f>
        <v>6.3204669727891112</v>
      </c>
      <c r="AC184" s="98">
        <f>IF(INDEX(lmic_raw_lb[],MATCH($A184,lmic_raw_lb[[setting]:[setting]],0), MATCH(AC$139, lmic_raw_lb[#Headers],0))=0, INDEX(regions_lb[], MATCH($D184, regions_lb[[setting]:[setting]],0), MATCH(AC$139, regions_lb[#Headers],0)),INDEX(lmic_raw_lb[],MATCH($A184,lmic_raw_lb[[setting]:[setting]],0), MATCH(AC$139, lmic_raw_lb[#Headers],0)))</f>
        <v>4.2604364999999984E-2</v>
      </c>
      <c r="AD184" s="98">
        <f>IF(INDEX(lmic_raw_lb[],MATCH($A184,lmic_raw_lb[[setting]:[setting]],0), MATCH(AD$139, lmic_raw_lb[#Headers],0))=0, INDEX(regions_lb[], MATCH($D184, regions_lb[[setting]:[setting]],0), MATCH(AD$139, regions_lb[#Headers],0)),INDEX(lmic_raw_lb[],MATCH($A184,lmic_raw_lb[[setting]:[setting]],0), MATCH(AD$139, lmic_raw_lb[#Headers],0)))</f>
        <v>5.7040059695129723E-3</v>
      </c>
      <c r="AE184" s="98">
        <f>IF(INDEX(lmic_raw_lb[],MATCH($A184,lmic_raw_lb[[setting]:[setting]],0), MATCH(AE$139, lmic_raw_lb[#Headers],0))=0, INDEX(regions_lb[], MATCH($D184, regions_lb[[setting]:[setting]],0), MATCH(AE$139, regions_lb[#Headers],0)),INDEX(lmic_raw_lb[],MATCH($A184,lmic_raw_lb[[setting]:[setting]],0), MATCH(AE$139, lmic_raw_lb[#Headers],0)))</f>
        <v>2.6773245326599093E-3</v>
      </c>
      <c r="AF184" s="98">
        <f>IF(INDEX(lmic_raw_lb[],MATCH($A184,lmic_raw_lb[[setting]:[setting]],0), MATCH(AF$139, lmic_raw_lb[#Headers],0))=0, INDEX(regions_lb[], MATCH($D184, regions_lb[[setting]:[setting]],0), MATCH(AF$139, regions_lb[#Headers],0)),INDEX(lmic_raw_lb[],MATCH($A184,lmic_raw_lb[[setting]:[setting]],0), MATCH(AF$139, lmic_raw_lb[#Headers],0)))</f>
        <v>1.6082463860066854E-3</v>
      </c>
      <c r="AG184" s="98">
        <f>IF(INDEX(lmic_raw_lb[],MATCH($A184,lmic_raw_lb[[setting]:[setting]],0), MATCH(AG$139, lmic_raw_lb[#Headers],0))=0, INDEX(regions_lb[], MATCH($D184, regions_lb[[setting]:[setting]],0), MATCH(AG$139, regions_lb[#Headers],0)),INDEX(lmic_raw_lb[],MATCH($A184,lmic_raw_lb[[setting]:[setting]],0), MATCH(AG$139, lmic_raw_lb[#Headers],0)))</f>
        <v>2.455014634454987E-3</v>
      </c>
      <c r="AH184" s="98">
        <f>IF(INDEX(lmic_raw_lb[],MATCH($A184,lmic_raw_lb[[setting]:[setting]],0), MATCH(AH$139, lmic_raw_lb[#Headers],0))=0, INDEX(regions_lb[], MATCH($D184, regions_lb[[setting]:[setting]],0), MATCH(AH$139, regions_lb[#Headers],0)),INDEX(lmic_raw_lb[],MATCH($A184,lmic_raw_lb[[setting]:[setting]],0), MATCH(AH$139, lmic_raw_lb[#Headers],0)))</f>
        <v>3.4584479732553313E-3</v>
      </c>
      <c r="AI184" s="98">
        <f>IF(INDEX(lmic_raw_lb[],MATCH($A184,lmic_raw_lb[[setting]:[setting]],0), MATCH(AI$139, lmic_raw_lb[#Headers],0))=0, INDEX(regions_lb[], MATCH($D184, regions_lb[[setting]:[setting]],0), MATCH(AI$139, regions_lb[#Headers],0)),INDEX(lmic_raw_lb[],MATCH($A184,lmic_raw_lb[[setting]:[setting]],0), MATCH(AI$139, lmic_raw_lb[#Headers],0)))</f>
        <v>3.6735064328116754E-3</v>
      </c>
      <c r="AJ184" s="98">
        <f>IF(INDEX(lmic_raw_lb[],MATCH($A184,lmic_raw_lb[[setting]:[setting]],0), MATCH(AJ$139, lmic_raw_lb[#Headers],0))=0, INDEX(regions_lb[], MATCH($D184, regions_lb[[setting]:[setting]],0), MATCH(AJ$139, regions_lb[#Headers],0)),INDEX(lmic_raw_lb[],MATCH($A184,lmic_raw_lb[[setting]:[setting]],0), MATCH(AJ$139, lmic_raw_lb[#Headers],0)))</f>
        <v>4.0322536433814813E-3</v>
      </c>
      <c r="AK184" s="98">
        <f>IF(INDEX(lmic_raw_lb[],MATCH($A184,lmic_raw_lb[[setting]:[setting]],0), MATCH(AK$139, lmic_raw_lb[#Headers],0))=0, INDEX(regions_lb[], MATCH($D184, regions_lb[[setting]:[setting]],0), MATCH(AK$139, regions_lb[#Headers],0)),INDEX(lmic_raw_lb[],MATCH($A184,lmic_raw_lb[[setting]:[setting]],0), MATCH(AK$139, lmic_raw_lb[#Headers],0)))</f>
        <v>4.6114203964473469E-3</v>
      </c>
      <c r="AL184" s="98">
        <f>IF(INDEX(lmic_raw_lb[],MATCH($A184,lmic_raw_lb[[setting]:[setting]],0), MATCH(AL$139, lmic_raw_lb[#Headers],0))=0, INDEX(regions_lb[], MATCH($D184, regions_lb[[setting]:[setting]],0), MATCH(AL$139, regions_lb[#Headers],0)),INDEX(lmic_raw_lb[],MATCH($A184,lmic_raw_lb[[setting]:[setting]],0), MATCH(AL$139, lmic_raw_lb[#Headers],0)))</f>
        <v>5.6573517098135297E-3</v>
      </c>
      <c r="AM184" s="98">
        <f>IF(INDEX(lmic_raw_lb[],MATCH($A184,lmic_raw_lb[[setting]:[setting]],0), MATCH(AM$139, lmic_raw_lb[#Headers],0))=0, INDEX(regions_lb[], MATCH($D184, regions_lb[[setting]:[setting]],0), MATCH(AM$139, regions_lb[#Headers],0)),INDEX(lmic_raw_lb[],MATCH($A184,lmic_raw_lb[[setting]:[setting]],0), MATCH(AM$139, lmic_raw_lb[#Headers],0)))</f>
        <v>7.059889517203639E-3</v>
      </c>
      <c r="AN184" s="98">
        <f>IF(INDEX(lmic_raw_lb[],MATCH($A184,lmic_raw_lb[[setting]:[setting]],0), MATCH(AN$139, lmic_raw_lb[#Headers],0))=0, INDEX(regions_lb[], MATCH($D184, regions_lb[[setting]:[setting]],0), MATCH(AN$139, regions_lb[#Headers],0)),INDEX(lmic_raw_lb[],MATCH($A184,lmic_raw_lb[[setting]:[setting]],0), MATCH(AN$139, lmic_raw_lb[#Headers],0)))</f>
        <v>9.8679797518720445E-3</v>
      </c>
      <c r="AO184" s="98">
        <f>IF(INDEX(lmic_raw_lb[],MATCH($A184,lmic_raw_lb[[setting]:[setting]],0), MATCH(AO$139, lmic_raw_lb[#Headers],0))=0, INDEX(regions_lb[], MATCH($D184, regions_lb[[setting]:[setting]],0), MATCH(AO$139, regions_lb[#Headers],0)),INDEX(lmic_raw_lb[],MATCH($A184,lmic_raw_lb[[setting]:[setting]],0), MATCH(AO$139, lmic_raw_lb[#Headers],0)))</f>
        <v>1.4072912287804128E-2</v>
      </c>
      <c r="AP184" s="98">
        <f>IF(INDEX(lmic_raw_lb[],MATCH($A184,lmic_raw_lb[[setting]:[setting]],0), MATCH(AP$139, lmic_raw_lb[#Headers],0))=0, INDEX(regions_lb[], MATCH($D184, regions_lb[[setting]:[setting]],0), MATCH(AP$139, regions_lb[#Headers],0)),INDEX(lmic_raw_lb[],MATCH($A184,lmic_raw_lb[[setting]:[setting]],0), MATCH(AP$139, lmic_raw_lb[#Headers],0)))</f>
        <v>2.1803461821369313E-2</v>
      </c>
      <c r="AQ184" s="98">
        <f>IF(INDEX(lmic_raw_lb[],MATCH($A184,lmic_raw_lb[[setting]:[setting]],0), MATCH(AQ$139, lmic_raw_lb[#Headers],0))=0, INDEX(regions_lb[], MATCH($D184, regions_lb[[setting]:[setting]],0), MATCH(AQ$139, regions_lb[#Headers],0)),INDEX(lmic_raw_lb[],MATCH($A184,lmic_raw_lb[[setting]:[setting]],0), MATCH(AQ$139, lmic_raw_lb[#Headers],0)))</f>
        <v>3.3333580204147228E-2</v>
      </c>
      <c r="AR184" s="98">
        <f>IF(INDEX(lmic_raw_lb[],MATCH($A184,lmic_raw_lb[[setting]:[setting]],0), MATCH(AR$139, lmic_raw_lb[#Headers],0))=0, INDEX(regions_lb[], MATCH($D184, regions_lb[[setting]:[setting]],0), MATCH(AR$139, regions_lb[#Headers],0)),INDEX(lmic_raw_lb[],MATCH($A184,lmic_raw_lb[[setting]:[setting]],0), MATCH(AR$139, lmic_raw_lb[#Headers],0)))</f>
        <v>5.3073187375583544E-2</v>
      </c>
      <c r="AS184" s="98">
        <f>IF(INDEX(lmic_raw_lb[],MATCH($A184,lmic_raw_lb[[setting]:[setting]],0), MATCH(AS$139, lmic_raw_lb[#Headers],0))=0, INDEX(regions_lb[], MATCH($D184, regions_lb[[setting]:[setting]],0), MATCH(AS$139, regions_lb[#Headers],0)),INDEX(lmic_raw_lb[],MATCH($A184,lmic_raw_lb[[setting]:[setting]],0), MATCH(AS$139, lmic_raw_lb[#Headers],0)))</f>
        <v>8.1235876887834416E-2</v>
      </c>
      <c r="AT184" s="98">
        <f>IF(INDEX(lmic_raw_lb[],MATCH($A184,lmic_raw_lb[[setting]:[setting]],0), MATCH(AT$139, lmic_raw_lb[#Headers],0))=0, INDEX(regions_lb[], MATCH($D184, regions_lb[[setting]:[setting]],0), MATCH(AT$139, regions_lb[#Headers],0)),INDEX(lmic_raw_lb[],MATCH($A184,lmic_raw_lb[[setting]:[setting]],0), MATCH(AT$139, lmic_raw_lb[#Headers],0)))</f>
        <v>0.11554091466714306</v>
      </c>
      <c r="AU184" s="98">
        <f>IF(INDEX(lmic_raw_lb[],MATCH($A184,lmic_raw_lb[[setting]:[setting]],0), MATCH(AU$139, lmic_raw_lb[#Headers],0))=0, INDEX(regions_lb[], MATCH($D184, regions_lb[[setting]:[setting]],0), MATCH(AU$139, regions_lb[#Headers],0)),INDEX(lmic_raw_lb[],MATCH($A184,lmic_raw_lb[[setting]:[setting]],0), MATCH(AU$139, lmic_raw_lb[#Headers],0)))</f>
        <v>0.14686501041700345</v>
      </c>
      <c r="AV184" s="98">
        <f>IF(INDEX(lmic_raw_lb[],MATCH($A184,lmic_raw_lb[[setting]:[setting]],0), MATCH(AV$139, lmic_raw_lb[#Headers],0))=0, INDEX(regions_lb[], MATCH($D184, regions_lb[[setting]:[setting]],0), MATCH(AV$139, regions_lb[#Headers],0)),INDEX(lmic_raw_lb[],MATCH($A184,lmic_raw_lb[[setting]:[setting]],0), MATCH(AV$139, lmic_raw_lb[#Headers],0)))</f>
        <v>0.16832994675359839</v>
      </c>
      <c r="AW184" s="98">
        <f>IF(INDEX(lmic_raw_lb[],MATCH($A184,lmic_raw_lb[[setting]:[setting]],0), MATCH(AW$139, lmic_raw_lb[#Headers],0))=0, INDEX(regions_lb[], MATCH($D184, regions_lb[[setting]:[setting]],0), MATCH(AW$139, regions_lb[#Headers],0)),INDEX(lmic_raw_lb[],MATCH($A184,lmic_raw_lb[[setting]:[setting]],0), MATCH(AW$139, lmic_raw_lb[#Headers],0)))</f>
        <v>0.17842054837653804</v>
      </c>
      <c r="AX184" s="98">
        <f>IF(INDEX(lmic_raw_lb[],MATCH($A184,lmic_raw_lb[[setting]:[setting]],0), MATCH(AX$139, lmic_raw_lb[#Headers],0))=0, INDEX(regions_lb[], MATCH($D184, regions_lb[[setting]:[setting]],0), MATCH(AX$139, regions_lb[#Headers],0)),INDEX(lmic_raw_lb[],MATCH($A184,lmic_raw_lb[[setting]:[setting]],0), MATCH(AX$139, lmic_raw_lb[#Headers],0)))</f>
        <v>58.459199999999996</v>
      </c>
      <c r="AY184" s="98" t="str">
        <f>IF(VLOOKUP(lmics_lb[[#This Row],[setting]],lmic_raw_lb[],11,FALSE)=0, "Yes", "No")</f>
        <v>Yes</v>
      </c>
    </row>
    <row r="185" spans="1:51" x14ac:dyDescent="0.25">
      <c r="A185" s="110" t="s">
        <v>169</v>
      </c>
      <c r="B185" s="104" t="s">
        <v>429</v>
      </c>
      <c r="C185" s="105">
        <v>268</v>
      </c>
      <c r="D185" s="84" t="s">
        <v>675</v>
      </c>
      <c r="E185" s="122" t="s">
        <v>184</v>
      </c>
      <c r="F185" s="94" t="s">
        <v>663</v>
      </c>
      <c r="G185" s="94" t="s">
        <v>676</v>
      </c>
      <c r="H185" s="94"/>
      <c r="I185" s="94"/>
      <c r="J185" s="94">
        <f>IF(INDEX(lmic_raw_lb[],MATCH($A185,lmic_raw_lb[[setting]:[setting]],0), MATCH(J$139, lmic_raw_lb[#Headers],0))=0, INDEX(regions_lb[], MATCH($D185, regions_lb[[setting]:[setting]],0), MATCH(J$139, regions_lb[#Headers],0)),INDEX(lmic_raw_lb[],MATCH($A185,lmic_raw_lb[[setting]:[setting]],0), MATCH(J$139, lmic_raw_lb[#Headers],0)))</f>
        <v>0.94430000000000003</v>
      </c>
      <c r="K185" s="94">
        <f>IF(INDEX(lmic_raw_lb[],MATCH($A185,lmic_raw_lb[[setting]:[setting]],0), MATCH(K$139, lmic_raw_lb[#Headers],0))=0, INDEX(regions_lb[], MATCH($D185, regions_lb[[setting]:[setting]],0), MATCH(K$139, regions_lb[#Headers],0)),INDEX(lmic_raw_lb[],MATCH($A185,lmic_raw_lb[[setting]:[setting]],0), MATCH(K$139, lmic_raw_lb[#Headers],0)))</f>
        <v>0.8929999999999999</v>
      </c>
      <c r="L185" s="94">
        <f>IF(INDEX(lmic_raw_lb[],MATCH($A185,lmic_raw_lb[[setting]:[setting]],0), MATCH(L$139, lmic_raw_lb[#Headers],0))=0, INDEX(regions_lb[], MATCH($D185, regions_lb[[setting]:[setting]],0), MATCH(L$139, regions_lb[#Headers],0)),INDEX(lmic_raw_lb[],MATCH($A185,lmic_raw_lb[[setting]:[setting]],0), MATCH(L$139, lmic_raw_lb[#Headers],0)))</f>
        <v>0.8929999999999999</v>
      </c>
      <c r="M185" s="94">
        <f>IF(INDEX(lmic_raw_lb[],MATCH($A185,lmic_raw_lb[[setting]:[setting]],0), MATCH(M$139, lmic_raw_lb[#Headers],0))=0, INDEX(regions_lb[], MATCH($D185, regions_lb[[setting]:[setting]],0), MATCH(M$139, regions_lb[#Headers],0)),INDEX(lmic_raw_lb[],MATCH($A185,lmic_raw_lb[[setting]:[setting]],0), MATCH(M$139, lmic_raw_lb[#Headers],0)))</f>
        <v>1.4800000000000001E-2</v>
      </c>
      <c r="N185" s="94">
        <f>IF(INDEX(lmic_raw_lb[],MATCH($A185,lmic_raw_lb[[setting]:[setting]],0), MATCH(N$139, lmic_raw_lb[#Headers],0))=0, INDEX(regions_lb[], MATCH($D185, regions_lb[[setting]:[setting]],0), MATCH(N$139, regions_lb[#Headers],0)),INDEX(lmic_raw_lb[],MATCH($A185,lmic_raw_lb[[setting]:[setting]],0), MATCH(N$139, lmic_raw_lb[#Headers],0)))</f>
        <v>0.16309999999999999</v>
      </c>
      <c r="O185" s="94">
        <f>IF(INDEX(lmic_raw_lb[],MATCH($A185,lmic_raw_lb[[setting]:[setting]],0), MATCH(O$139, lmic_raw_lb[#Headers],0))=0, INDEX(regions_lb[], MATCH($D185, regions_lb[[setting]:[setting]],0), MATCH(O$139, regions_lb[#Headers],0)),INDEX(lmic_raw_lb[],MATCH($A185,lmic_raw_lb[[setting]:[setting]],0), MATCH(O$139, lmic_raw_lb[#Headers],0)))</f>
        <v>0.7</v>
      </c>
      <c r="P185" s="94">
        <f>IF(INDEX(lmic_raw_lb[],MATCH($A185,lmic_raw_lb[[setting]:[setting]],0), MATCH(P$139, lmic_raw_lb[#Headers],0))=0, INDEX(regions_lb[], MATCH($D185, regions_lb[[setting]:[setting]],0), MATCH(P$139, regions_lb[#Headers],0)),INDEX(lmic_raw_lb[],MATCH($A185,lmic_raw_lb[[setting]:[setting]],0), MATCH(P$139, lmic_raw_lb[#Headers],0)))</f>
        <v>0.05</v>
      </c>
      <c r="Q185" s="94">
        <f>IF(INDEX(lmic_raw_lb[],MATCH($A185,lmic_raw_lb[[setting]:[setting]],0), MATCH(Q$139, lmic_raw_lb[#Headers],0))=0, INDEX(regions_lb[], MATCH($D185, regions_lb[[setting]:[setting]],0), MATCH(Q$139, regions_lb[#Headers],0)),INDEX(lmic_raw_lb[],MATCH($A185,lmic_raw_lb[[setting]:[setting]],0), MATCH(Q$139, lmic_raw_lb[#Headers],0)))</f>
        <v>5.6599671647460363</v>
      </c>
      <c r="R185" s="94">
        <f>IF(INDEX(lmic_raw_lb[],MATCH($A185,lmic_raw_lb[[setting]:[setting]],0), MATCH(R$139, lmic_raw_lb[#Headers],0))=0, INDEX(regions_lb[], MATCH($D185, regions_lb[[setting]:[setting]],0), MATCH(R$139, regions_lb[#Headers],0)),INDEX(lmic_raw_lb[],MATCH($A185,lmic_raw_lb[[setting]:[setting]],0), MATCH(R$139, lmic_raw_lb[#Headers],0)))</f>
        <v>42.31053</v>
      </c>
      <c r="S185" s="94">
        <f>IF(INDEX(lmic_raw_lb[],MATCH($A185,lmic_raw_lb[[setting]:[setting]],0), MATCH(S$139, lmic_raw_lb[#Headers],0))=0, INDEX(regions_lb[], MATCH($D185, regions_lb[[setting]:[setting]],0), MATCH(S$139, regions_lb[#Headers],0)),INDEX(lmic_raw_lb[],MATCH($A185,lmic_raw_lb[[setting]:[setting]],0), MATCH(S$139, lmic_raw_lb[#Headers],0)))</f>
        <v>87.665430000000001</v>
      </c>
      <c r="T185" s="94">
        <f>IF(INDEX(lmic_raw_lb[],MATCH($A185,lmic_raw_lb[[setting]:[setting]],0), MATCH(T$139, lmic_raw_lb[#Headers],0))=0, INDEX(regions_lb[], MATCH($D185, regions_lb[[setting]:[setting]],0), MATCH(T$139, regions_lb[#Headers],0)),INDEX(lmic_raw_lb[],MATCH($A185,lmic_raw_lb[[setting]:[setting]],0), MATCH(T$139, lmic_raw_lb[#Headers],0)))</f>
        <v>87.665430000000001</v>
      </c>
      <c r="U185" s="94">
        <f>IF(INDEX(lmic_raw_lb[],MATCH($A185,lmic_raw_lb[[setting]:[setting]],0), MATCH(U$139, lmic_raw_lb[#Headers],0))=0, INDEX(regions_lb[], MATCH($D185, regions_lb[[setting]:[setting]],0), MATCH(U$139, regions_lb[#Headers],0)),INDEX(lmic_raw_lb[],MATCH($A185,lmic_raw_lb[[setting]:[setting]],0), MATCH(U$139, lmic_raw_lb[#Headers],0)))</f>
        <v>87.665430000000001</v>
      </c>
      <c r="V185" s="94">
        <f>IF(INDEX(lmic_raw_lb[],MATCH($A185,lmic_raw_lb[[setting]:[setting]],0), MATCH(V$139, lmic_raw_lb[#Headers],0))=0, INDEX(regions_lb[], MATCH($D185, regions_lb[[setting]:[setting]],0), MATCH(V$139, regions_lb[#Headers],0)),INDEX(lmic_raw_lb[],MATCH($A185,lmic_raw_lb[[setting]:[setting]],0), MATCH(V$139, lmic_raw_lb[#Headers],0)))</f>
        <v>2.5610300306197575</v>
      </c>
      <c r="W185" s="94">
        <f>IF(INDEX(lmic_raw_lb[],MATCH($A185,lmic_raw_lb[[setting]:[setting]],0), MATCH(W$139, lmic_raw_lb[#Headers],0))=0, INDEX(regions_lb[], MATCH($D185, regions_lb[[setting]:[setting]],0), MATCH(W$139, regions_lb[#Headers],0)),INDEX(lmic_raw_lb[],MATCH($A185,lmic_raw_lb[[setting]:[setting]],0), MATCH(W$139, lmic_raw_lb[#Headers],0)))</f>
        <v>6.4234450306197584</v>
      </c>
      <c r="X185" s="94">
        <f>IF(INDEX(lmic_raw_lb[],MATCH($A185,lmic_raw_lb[[setting]:[setting]],0), MATCH(X$139, lmic_raw_lb[#Headers],0))=0, INDEX(regions_lb[], MATCH($D185, regions_lb[[setting]:[setting]],0), MATCH(X$139, regions_lb[#Headers],0)),INDEX(lmic_raw_lb[],MATCH($A185,lmic_raw_lb[[setting]:[setting]],0), MATCH(X$139, lmic_raw_lb[#Headers],0)))</f>
        <v>2.1926635514662411</v>
      </c>
      <c r="Y185" s="94">
        <f>IF(INDEX(lmic_raw_lb[],MATCH($A185,lmic_raw_lb[[setting]:[setting]],0), MATCH(Y$139, lmic_raw_lb[#Headers],0))=0, INDEX(regions_lb[], MATCH($D185, regions_lb[[setting]:[setting]],0), MATCH(Y$139, regions_lb[#Headers],0)),INDEX(lmic_raw_lb[],MATCH($A185,lmic_raw_lb[[setting]:[setting]],0), MATCH(Y$139, lmic_raw_lb[#Headers],0)))</f>
        <v>6.0550785514662415</v>
      </c>
      <c r="Z185" s="94">
        <f>IF(INDEX(lmic_raw_lb[],MATCH($A185,lmic_raw_lb[[setting]:[setting]],0), MATCH(Z$139, lmic_raw_lb[#Headers],0))=0, INDEX(regions_lb[], MATCH($D185, regions_lb[[setting]:[setting]],0), MATCH(Z$139, regions_lb[#Headers],0)),INDEX(lmic_raw_lb[],MATCH($A185,lmic_raw_lb[[setting]:[setting]],0), MATCH(Z$139, lmic_raw_lb[#Headers],0)))</f>
        <v>6.0507272036641453</v>
      </c>
      <c r="AA185" s="94">
        <f>IF(INDEX(lmic_raw_lb[],MATCH($A185,lmic_raw_lb[[setting]:[setting]],0), MATCH(AA$139, lmic_raw_lb[#Headers],0))=0, INDEX(regions_lb[], MATCH($D185, regions_lb[[setting]:[setting]],0), MATCH(AA$139, regions_lb[#Headers],0)),INDEX(lmic_raw_lb[],MATCH($A185,lmic_raw_lb[[setting]:[setting]],0), MATCH(AA$139, lmic_raw_lb[#Headers],0)))</f>
        <v>2.773542910492619</v>
      </c>
      <c r="AB185" s="94">
        <f>IF(INDEX(lmic_raw_lb[],MATCH($A185,lmic_raw_lb[[setting]:[setting]],0), MATCH(AB$139, lmic_raw_lb[#Headers],0))=0, INDEX(regions_lb[], MATCH($D185, regions_lb[[setting]:[setting]],0), MATCH(AB$139, regions_lb[#Headers],0)),INDEX(lmic_raw_lb[],MATCH($A185,lmic_raw_lb[[setting]:[setting]],0), MATCH(AB$139, lmic_raw_lb[#Headers],0)))</f>
        <v>6.6359579104926194</v>
      </c>
      <c r="AC185" s="94">
        <f>IF(INDEX(lmic_raw_lb[],MATCH($A185,lmic_raw_lb[[setting]:[setting]],0), MATCH(AC$139, lmic_raw_lb[#Headers],0))=0, INDEX(regions_lb[], MATCH($D185, regions_lb[[setting]:[setting]],0), MATCH(AC$139, regions_lb[#Headers],0)),INDEX(lmic_raw_lb[],MATCH($A185,lmic_raw_lb[[setting]:[setting]],0), MATCH(AC$139, lmic_raw_lb[#Headers],0)))</f>
        <v>8.9039130000000064E-3</v>
      </c>
      <c r="AD185" s="94">
        <f>IF(INDEX(lmic_raw_lb[],MATCH($A185,lmic_raw_lb[[setting]:[setting]],0), MATCH(AD$139, lmic_raw_lb[#Headers],0))=0, INDEX(regions_lb[], MATCH($D185, regions_lb[[setting]:[setting]],0), MATCH(AD$139, regions_lb[#Headers],0)),INDEX(lmic_raw_lb[],MATCH($A185,lmic_raw_lb[[setting]:[setting]],0), MATCH(AD$139, lmic_raw_lb[#Headers],0)))</f>
        <v>1.8807675692738155E-4</v>
      </c>
      <c r="AE185" s="94">
        <f>IF(INDEX(lmic_raw_lb[],MATCH($A185,lmic_raw_lb[[setting]:[setting]],0), MATCH(AE$139, lmic_raw_lb[#Headers],0))=0, INDEX(regions_lb[], MATCH($D185, regions_lb[[setting]:[setting]],0), MATCH(AE$139, regions_lb[#Headers],0)),INDEX(lmic_raw_lb[],MATCH($A185,lmic_raw_lb[[setting]:[setting]],0), MATCH(AE$139, lmic_raw_lb[#Headers],0)))</f>
        <v>1.9698639475120862E-4</v>
      </c>
      <c r="AF185" s="94">
        <f>IF(INDEX(lmic_raw_lb[],MATCH($A185,lmic_raw_lb[[setting]:[setting]],0), MATCH(AF$139, lmic_raw_lb[#Headers],0))=0, INDEX(regions_lb[], MATCH($D185, regions_lb[[setting]:[setting]],0), MATCH(AF$139, regions_lb[#Headers],0)),INDEX(lmic_raw_lb[],MATCH($A185,lmic_raw_lb[[setting]:[setting]],0), MATCH(AF$139, lmic_raw_lb[#Headers],0)))</f>
        <v>2.2803456988398595E-4</v>
      </c>
      <c r="AG185" s="94">
        <f>IF(INDEX(lmic_raw_lb[],MATCH($A185,lmic_raw_lb[[setting]:[setting]],0), MATCH(AG$139, lmic_raw_lb[#Headers],0))=0, INDEX(regions_lb[], MATCH($D185, regions_lb[[setting]:[setting]],0), MATCH(AG$139, regions_lb[#Headers],0)),INDEX(lmic_raw_lb[],MATCH($A185,lmic_raw_lb[[setting]:[setting]],0), MATCH(AG$139, lmic_raw_lb[#Headers],0)))</f>
        <v>4.3465509218341345E-4</v>
      </c>
      <c r="AH185" s="94">
        <f>IF(INDEX(lmic_raw_lb[],MATCH($A185,lmic_raw_lb[[setting]:[setting]],0), MATCH(AH$139, lmic_raw_lb[#Headers],0))=0, INDEX(regions_lb[], MATCH($D185, regions_lb[[setting]:[setting]],0), MATCH(AH$139, regions_lb[#Headers],0)),INDEX(lmic_raw_lb[],MATCH($A185,lmic_raw_lb[[setting]:[setting]],0), MATCH(AH$139, lmic_raw_lb[#Headers],0)))</f>
        <v>7.2242259465784208E-4</v>
      </c>
      <c r="AI185" s="94">
        <f>IF(INDEX(lmic_raw_lb[],MATCH($A185,lmic_raw_lb[[setting]:[setting]],0), MATCH(AI$139, lmic_raw_lb[#Headers],0))=0, INDEX(regions_lb[], MATCH($D185, regions_lb[[setting]:[setting]],0), MATCH(AI$139, regions_lb[#Headers],0)),INDEX(lmic_raw_lb[],MATCH($A185,lmic_raw_lb[[setting]:[setting]],0), MATCH(AI$139, lmic_raw_lb[#Headers],0)))</f>
        <v>8.9137162719387676E-4</v>
      </c>
      <c r="AJ185" s="94">
        <f>IF(INDEX(lmic_raw_lb[],MATCH($A185,lmic_raw_lb[[setting]:[setting]],0), MATCH(AJ$139, lmic_raw_lb[#Headers],0))=0, INDEX(regions_lb[], MATCH($D185, regions_lb[[setting]:[setting]],0), MATCH(AJ$139, regions_lb[#Headers],0)),INDEX(lmic_raw_lb[],MATCH($A185,lmic_raw_lb[[setting]:[setting]],0), MATCH(AJ$139, lmic_raw_lb[#Headers],0)))</f>
        <v>1.3303069500812273E-3</v>
      </c>
      <c r="AK185" s="94">
        <f>IF(INDEX(lmic_raw_lb[],MATCH($A185,lmic_raw_lb[[setting]:[setting]],0), MATCH(AK$139, lmic_raw_lb[#Headers],0))=0, INDEX(regions_lb[], MATCH($D185, regions_lb[[setting]:[setting]],0), MATCH(AK$139, regions_lb[#Headers],0)),INDEX(lmic_raw_lb[],MATCH($A185,lmic_raw_lb[[setting]:[setting]],0), MATCH(AK$139, lmic_raw_lb[#Headers],0)))</f>
        <v>1.8894988651001015E-3</v>
      </c>
      <c r="AL185" s="94">
        <f>IF(INDEX(lmic_raw_lb[],MATCH($A185,lmic_raw_lb[[setting]:[setting]],0), MATCH(AL$139, lmic_raw_lb[#Headers],0))=0, INDEX(regions_lb[], MATCH($D185, regions_lb[[setting]:[setting]],0), MATCH(AL$139, regions_lb[#Headers],0)),INDEX(lmic_raw_lb[],MATCH($A185,lmic_raw_lb[[setting]:[setting]],0), MATCH(AL$139, lmic_raw_lb[#Headers],0)))</f>
        <v>2.9235568953067388E-3</v>
      </c>
      <c r="AM185" s="94">
        <f>IF(INDEX(lmic_raw_lb[],MATCH($A185,lmic_raw_lb[[setting]:[setting]],0), MATCH(AM$139, lmic_raw_lb[#Headers],0))=0, INDEX(regions_lb[], MATCH($D185, regions_lb[[setting]:[setting]],0), MATCH(AM$139, regions_lb[#Headers],0)),INDEX(lmic_raw_lb[],MATCH($A185,lmic_raw_lb[[setting]:[setting]],0), MATCH(AM$139, lmic_raw_lb[#Headers],0)))</f>
        <v>4.7825168660829802E-3</v>
      </c>
      <c r="AN185" s="94">
        <f>IF(INDEX(lmic_raw_lb[],MATCH($A185,lmic_raw_lb[[setting]:[setting]],0), MATCH(AN$139, lmic_raw_lb[#Headers],0))=0, INDEX(regions_lb[], MATCH($D185, regions_lb[[setting]:[setting]],0), MATCH(AN$139, regions_lb[#Headers],0)),INDEX(lmic_raw_lb[],MATCH($A185,lmic_raw_lb[[setting]:[setting]],0), MATCH(AN$139, lmic_raw_lb[#Headers],0)))</f>
        <v>7.0421947628930368E-3</v>
      </c>
      <c r="AO185" s="94">
        <f>IF(INDEX(lmic_raw_lb[],MATCH($A185,lmic_raw_lb[[setting]:[setting]],0), MATCH(AO$139, lmic_raw_lb[#Headers],0))=0, INDEX(regions_lb[], MATCH($D185, regions_lb[[setting]:[setting]],0), MATCH(AO$139, regions_lb[#Headers],0)),INDEX(lmic_raw_lb[],MATCH($A185,lmic_raw_lb[[setting]:[setting]],0), MATCH(AO$139, lmic_raw_lb[#Headers],0)))</f>
        <v>1.0367560802875628E-2</v>
      </c>
      <c r="AP185" s="94">
        <f>IF(INDEX(lmic_raw_lb[],MATCH($A185,lmic_raw_lb[[setting]:[setting]],0), MATCH(AP$139, lmic_raw_lb[#Headers],0))=0, INDEX(regions_lb[], MATCH($D185, regions_lb[[setting]:[setting]],0), MATCH(AP$139, regions_lb[#Headers],0)),INDEX(lmic_raw_lb[],MATCH($A185,lmic_raw_lb[[setting]:[setting]],0), MATCH(AP$139, lmic_raw_lb[#Headers],0)))</f>
        <v>1.4949187093698E-2</v>
      </c>
      <c r="AQ185" s="94">
        <f>IF(INDEX(lmic_raw_lb[],MATCH($A185,lmic_raw_lb[[setting]:[setting]],0), MATCH(AQ$139, lmic_raw_lb[#Headers],0))=0, INDEX(regions_lb[], MATCH($D185, regions_lb[[setting]:[setting]],0), MATCH(AQ$139, regions_lb[#Headers],0)),INDEX(lmic_raw_lb[],MATCH($A185,lmic_raw_lb[[setting]:[setting]],0), MATCH(AQ$139, lmic_raw_lb[#Headers],0)))</f>
        <v>2.1272350176816668E-2</v>
      </c>
      <c r="AR185" s="94">
        <f>IF(INDEX(lmic_raw_lb[],MATCH($A185,lmic_raw_lb[[setting]:[setting]],0), MATCH(AR$139, lmic_raw_lb[#Headers],0))=0, INDEX(regions_lb[], MATCH($D185, regions_lb[[setting]:[setting]],0), MATCH(AR$139, regions_lb[#Headers],0)),INDEX(lmic_raw_lb[],MATCH($A185,lmic_raw_lb[[setting]:[setting]],0), MATCH(AR$139, lmic_raw_lb[#Headers],0)))</f>
        <v>3.4166567753713101E-2</v>
      </c>
      <c r="AS185" s="94">
        <f>IF(INDEX(lmic_raw_lb[],MATCH($A185,lmic_raw_lb[[setting]:[setting]],0), MATCH(AS$139, lmic_raw_lb[#Headers],0))=0, INDEX(regions_lb[], MATCH($D185, regions_lb[[setting]:[setting]],0), MATCH(AS$139, regions_lb[#Headers],0)),INDEX(lmic_raw_lb[],MATCH($A185,lmic_raw_lb[[setting]:[setting]],0), MATCH(AS$139, lmic_raw_lb[#Headers],0)))</f>
        <v>5.4617558325411424E-2</v>
      </c>
      <c r="AT185" s="94">
        <f>IF(INDEX(lmic_raw_lb[],MATCH($A185,lmic_raw_lb[[setting]:[setting]],0), MATCH(AT$139, lmic_raw_lb[#Headers],0))=0, INDEX(regions_lb[], MATCH($D185, regions_lb[[setting]:[setting]],0), MATCH(AT$139, regions_lb[#Headers],0)),INDEX(lmic_raw_lb[],MATCH($A185,lmic_raw_lb[[setting]:[setting]],0), MATCH(AT$139, lmic_raw_lb[#Headers],0)))</f>
        <v>8.1541878884387256E-2</v>
      </c>
      <c r="AU185" s="94">
        <f>IF(INDEX(lmic_raw_lb[],MATCH($A185,lmic_raw_lb[[setting]:[setting]],0), MATCH(AU$139, lmic_raw_lb[#Headers],0))=0, INDEX(regions_lb[], MATCH($D185, regions_lb[[setting]:[setting]],0), MATCH(AU$139, regions_lb[#Headers],0)),INDEX(lmic_raw_lb[],MATCH($A185,lmic_raw_lb[[setting]:[setting]],0), MATCH(AU$139, lmic_raw_lb[#Headers],0)))</f>
        <v>0.1124842764423932</v>
      </c>
      <c r="AV185" s="94">
        <f>IF(INDEX(lmic_raw_lb[],MATCH($A185,lmic_raw_lb[[setting]:[setting]],0), MATCH(AV$139, lmic_raw_lb[#Headers],0))=0, INDEX(regions_lb[], MATCH($D185, regions_lb[[setting]:[setting]],0), MATCH(AV$139, regions_lb[#Headers],0)),INDEX(lmic_raw_lb[],MATCH($A185,lmic_raw_lb[[setting]:[setting]],0), MATCH(AV$139, lmic_raw_lb[#Headers],0)))</f>
        <v>0.14368059472386119</v>
      </c>
      <c r="AW185" s="94">
        <f>IF(INDEX(lmic_raw_lb[],MATCH($A185,lmic_raw_lb[[setting]:[setting]],0), MATCH(AW$139, lmic_raw_lb[#Headers],0))=0, INDEX(regions_lb[], MATCH($D185, regions_lb[[setting]:[setting]],0), MATCH(AW$139, regions_lb[#Headers],0)),INDEX(lmic_raw_lb[],MATCH($A185,lmic_raw_lb[[setting]:[setting]],0), MATCH(AW$139, lmic_raw_lb[#Headers],0)))</f>
        <v>0.16582622208249978</v>
      </c>
      <c r="AX185" s="94">
        <f>IF(INDEX(lmic_raw_lb[],MATCH($A185,lmic_raw_lb[[setting]:[setting]],0), MATCH(AX$139, lmic_raw_lb[#Headers],0))=0, INDEX(regions_lb[], MATCH($D185, regions_lb[[setting]:[setting]],0), MATCH(AX$139, regions_lb[#Headers],0)),INDEX(lmic_raw_lb[],MATCH($A185,lmic_raw_lb[[setting]:[setting]],0), MATCH(AX$139, lmic_raw_lb[#Headers],0)))</f>
        <v>69.843999999999994</v>
      </c>
      <c r="AY185" s="94" t="str">
        <f>IF(VLOOKUP(lmics_lb[[#This Row],[setting]],lmic_raw_lb[],11,FALSE)=0, "Yes", "No")</f>
        <v>No</v>
      </c>
    </row>
    <row r="186" spans="1:51" x14ac:dyDescent="0.25">
      <c r="A186" s="109" t="s">
        <v>143</v>
      </c>
      <c r="B186" s="101" t="s">
        <v>431</v>
      </c>
      <c r="C186" s="102">
        <v>288</v>
      </c>
      <c r="D186" s="82" t="s">
        <v>677</v>
      </c>
      <c r="E186" s="121" t="s">
        <v>591</v>
      </c>
      <c r="F186" s="98" t="s">
        <v>667</v>
      </c>
      <c r="G186" s="98" t="s">
        <v>678</v>
      </c>
      <c r="H186" s="98"/>
      <c r="I186" s="98"/>
      <c r="J186" s="98">
        <f>IF(INDEX(lmic_raw_lb[],MATCH($A186,lmic_raw_lb[[setting]:[setting]],0), MATCH(J$139, lmic_raw_lb[#Headers],0))=0, INDEX(regions_lb[], MATCH($D186, regions_lb[[setting]:[setting]],0), MATCH(J$139, regions_lb[#Headers],0)),INDEX(lmic_raw_lb[],MATCH($A186,lmic_raw_lb[[setting]:[setting]],0), MATCH(J$139, lmic_raw_lb[#Headers],0)))</f>
        <v>0.74004999999999999</v>
      </c>
      <c r="K186" s="98">
        <f>IF(INDEX(lmic_raw_lb[],MATCH($A186,lmic_raw_lb[[setting]:[setting]],0), MATCH(K$139, lmic_raw_lb[#Headers],0))=0, INDEX(regions_lb[], MATCH($D186, regions_lb[[setting]:[setting]],0), MATCH(K$139, regions_lb[#Headers],0)),INDEX(lmic_raw_lb[],MATCH($A186,lmic_raw_lb[[setting]:[setting]],0), MATCH(K$139, lmic_raw_lb[#Headers],0)))</f>
        <v>0.65789974195504752</v>
      </c>
      <c r="L186" s="98">
        <f>IF(INDEX(lmic_raw_lb[],MATCH($A186,lmic_raw_lb[[setting]:[setting]],0), MATCH(L$139, lmic_raw_lb[#Headers],0))=0, INDEX(regions_lb[], MATCH($D186, regions_lb[[setting]:[setting]],0), MATCH(L$139, regions_lb[#Headers],0)),INDEX(lmic_raw_lb[],MATCH($A186,lmic_raw_lb[[setting]:[setting]],0), MATCH(L$139, lmic_raw_lb[#Headers],0)))</f>
        <v>0.92149999999999999</v>
      </c>
      <c r="M186" s="98">
        <f>IF(INDEX(lmic_raw_lb[],MATCH($A186,lmic_raw_lb[[setting]:[setting]],0), MATCH(M$139, lmic_raw_lb[#Headers],0))=0, INDEX(regions_lb[], MATCH($D186, regions_lb[[setting]:[setting]],0), MATCH(M$139, regions_lb[#Headers],0)),INDEX(lmic_raw_lb[],MATCH($A186,lmic_raw_lb[[setting]:[setting]],0), MATCH(M$139, lmic_raw_lb[#Headers],0)))</f>
        <v>7.1900000000000006E-2</v>
      </c>
      <c r="N186" s="98">
        <f>IF(INDEX(lmic_raw_lb[],MATCH($A186,lmic_raw_lb[[setting]:[setting]],0), MATCH(N$139, lmic_raw_lb[#Headers],0))=0, INDEX(regions_lb[], MATCH($D186, regions_lb[[setting]:[setting]],0), MATCH(N$139, regions_lb[#Headers],0)),INDEX(lmic_raw_lb[],MATCH($A186,lmic_raw_lb[[setting]:[setting]],0), MATCH(N$139, lmic_raw_lb[#Headers],0)))</f>
        <v>0.155</v>
      </c>
      <c r="O186" s="98">
        <f>IF(INDEX(lmic_raw_lb[],MATCH($A186,lmic_raw_lb[[setting]:[setting]],0), MATCH(O$139, lmic_raw_lb[#Headers],0))=0, INDEX(regions_lb[], MATCH($D186, regions_lb[[setting]:[setting]],0), MATCH(O$139, regions_lb[#Headers],0)),INDEX(lmic_raw_lb[],MATCH($A186,lmic_raw_lb[[setting]:[setting]],0), MATCH(O$139, lmic_raw_lb[#Headers],0)))</f>
        <v>7.0000000000000007E-2</v>
      </c>
      <c r="P186" s="98">
        <f>IF(INDEX(lmic_raw_lb[],MATCH($A186,lmic_raw_lb[[setting]:[setting]],0), MATCH(P$139, lmic_raw_lb[#Headers],0))=0, INDEX(regions_lb[], MATCH($D186, regions_lb[[setting]:[setting]],0), MATCH(P$139, regions_lb[#Headers],0)),INDEX(lmic_raw_lb[],MATCH($A186,lmic_raw_lb[[setting]:[setting]],0), MATCH(P$139, lmic_raw_lb[#Headers],0)))</f>
        <v>1E-3</v>
      </c>
      <c r="Q186" s="98">
        <f>IF(INDEX(lmic_raw_lb[],MATCH($A186,lmic_raw_lb[[setting]:[setting]],0), MATCH(Q$139, lmic_raw_lb[#Headers],0))=0, INDEX(regions_lb[], MATCH($D186, regions_lb[[setting]:[setting]],0), MATCH(Q$139, regions_lb[#Headers],0)),INDEX(lmic_raw_lb[],MATCH($A186,lmic_raw_lb[[setting]:[setting]],0), MATCH(Q$139, lmic_raw_lb[#Headers],0)))</f>
        <v>3.179335681782602</v>
      </c>
      <c r="R186" s="98">
        <f>IF(INDEX(lmic_raw_lb[],MATCH($A186,lmic_raw_lb[[setting]:[setting]],0), MATCH(R$139, lmic_raw_lb[#Headers],0))=0, INDEX(regions_lb[], MATCH($D186, regions_lb[[setting]:[setting]],0), MATCH(R$139, regions_lb[#Headers],0)),INDEX(lmic_raw_lb[],MATCH($A186,lmic_raw_lb[[setting]:[setting]],0), MATCH(R$139, lmic_raw_lb[#Headers],0)))</f>
        <v>28.424474999999997</v>
      </c>
      <c r="S186" s="98">
        <f>IF(INDEX(lmic_raw_lb[],MATCH($A186,lmic_raw_lb[[setting]:[setting]],0), MATCH(S$139, lmic_raw_lb[#Headers],0))=0, INDEX(regions_lb[], MATCH($D186, regions_lb[[setting]:[setting]],0), MATCH(S$139, regions_lb[#Headers],0)),INDEX(lmic_raw_lb[],MATCH($A186,lmic_raw_lb[[setting]:[setting]],0), MATCH(S$139, lmic_raw_lb[#Headers],0)))</f>
        <v>73.779375000000002</v>
      </c>
      <c r="T186" s="98">
        <f>IF(INDEX(lmic_raw_lb[],MATCH($A186,lmic_raw_lb[[setting]:[setting]],0), MATCH(T$139, lmic_raw_lb[#Headers],0))=0, INDEX(regions_lb[], MATCH($D186, regions_lb[[setting]:[setting]],0), MATCH(T$139, regions_lb[#Headers],0)),INDEX(lmic_raw_lb[],MATCH($A186,lmic_raw_lb[[setting]:[setting]],0), MATCH(T$139, lmic_raw_lb[#Headers],0)))</f>
        <v>73.779375000000002</v>
      </c>
      <c r="U186" s="98">
        <f>IF(INDEX(lmic_raw_lb[],MATCH($A186,lmic_raw_lb[[setting]:[setting]],0), MATCH(U$139, lmic_raw_lb[#Headers],0))=0, INDEX(regions_lb[], MATCH($D186, regions_lb[[setting]:[setting]],0), MATCH(U$139, regions_lb[#Headers],0)),INDEX(lmic_raw_lb[],MATCH($A186,lmic_raw_lb[[setting]:[setting]],0), MATCH(U$139, lmic_raw_lb[#Headers],0)))</f>
        <v>73.779375000000002</v>
      </c>
      <c r="V186" s="98">
        <f>IF(INDEX(lmic_raw_lb[],MATCH($A186,lmic_raw_lb[[setting]:[setting]],0), MATCH(V$139, lmic_raw_lb[#Headers],0))=0, INDEX(regions_lb[], MATCH($D186, regions_lb[[setting]:[setting]],0), MATCH(V$139, regions_lb[#Headers],0)),INDEX(lmic_raw_lb[],MATCH($A186,lmic_raw_lb[[setting]:[setting]],0), MATCH(V$139, lmic_raw_lb[#Headers],0)))</f>
        <v>1.3012355597326024</v>
      </c>
      <c r="W186" s="98">
        <f>IF(INDEX(lmic_raw_lb[],MATCH($A186,lmic_raw_lb[[setting]:[setting]],0), MATCH(W$139, lmic_raw_lb[#Headers],0))=0, INDEX(regions_lb[], MATCH($D186, regions_lb[[setting]:[setting]],0), MATCH(W$139, regions_lb[#Headers],0)),INDEX(lmic_raw_lb[],MATCH($A186,lmic_raw_lb[[setting]:[setting]],0), MATCH(W$139, lmic_raw_lb[#Headers],0)))</f>
        <v>5.888500559732603</v>
      </c>
      <c r="X186" s="98">
        <f>IF(INDEX(lmic_raw_lb[],MATCH($A186,lmic_raw_lb[[setting]:[setting]],0), MATCH(X$139, lmic_raw_lb[#Headers],0))=0, INDEX(regions_lb[], MATCH($D186, regions_lb[[setting]:[setting]],0), MATCH(X$139, regions_lb[#Headers],0)),INDEX(lmic_raw_lb[],MATCH($A186,lmic_raw_lb[[setting]:[setting]],0), MATCH(X$139, lmic_raw_lb[#Headers],0)))</f>
        <v>0.93418445094438507</v>
      </c>
      <c r="Y186" s="98">
        <f>IF(INDEX(lmic_raw_lb[],MATCH($A186,lmic_raw_lb[[setting]:[setting]],0), MATCH(Y$139, lmic_raw_lb[#Headers],0))=0, INDEX(regions_lb[], MATCH($D186, regions_lb[[setting]:[setting]],0), MATCH(Y$139, regions_lb[#Headers],0)),INDEX(lmic_raw_lb[],MATCH($A186,lmic_raw_lb[[setting]:[setting]],0), MATCH(Y$139, lmic_raw_lb[#Headers],0)))</f>
        <v>5.5214494509443854</v>
      </c>
      <c r="Z186" s="98">
        <f>IF(INDEX(lmic_raw_lb[],MATCH($A186,lmic_raw_lb[[setting]:[setting]],0), MATCH(Z$139, lmic_raw_lb[#Headers],0))=0, INDEX(regions_lb[], MATCH($D186, regions_lb[[setting]:[setting]],0), MATCH(Z$139, regions_lb[#Headers],0)),INDEX(lmic_raw_lb[],MATCH($A186,lmic_raw_lb[[setting]:[setting]],0), MATCH(Z$139, lmic_raw_lb[#Headers],0)))</f>
        <v>5.5183429917914459</v>
      </c>
      <c r="AA186" s="98">
        <f>IF(INDEX(lmic_raw_lb[],MATCH($A186,lmic_raw_lb[[setting]:[setting]],0), MATCH(AA$139, lmic_raw_lb[#Headers],0))=0, INDEX(regions_lb[], MATCH($D186, regions_lb[[setting]:[setting]],0), MATCH(AA$139, regions_lb[#Headers],0)),INDEX(lmic_raw_lb[],MATCH($A186,lmic_raw_lb[[setting]:[setting]],0), MATCH(AA$139, lmic_raw_lb[#Headers],0)))</f>
        <v>1.5131847094489075</v>
      </c>
      <c r="AB186" s="98">
        <f>IF(INDEX(lmic_raw_lb[],MATCH($A186,lmic_raw_lb[[setting]:[setting]],0), MATCH(AB$139, lmic_raw_lb[#Headers],0))=0, INDEX(regions_lb[], MATCH($D186, regions_lb[[setting]:[setting]],0), MATCH(AB$139, regions_lb[#Headers],0)),INDEX(lmic_raw_lb[],MATCH($A186,lmic_raw_lb[[setting]:[setting]],0), MATCH(AB$139, lmic_raw_lb[#Headers],0)))</f>
        <v>6.1004497094489079</v>
      </c>
      <c r="AC186" s="98">
        <f>IF(INDEX(lmic_raw_lb[],MATCH($A186,lmic_raw_lb[[setting]:[setting]],0), MATCH(AC$139, lmic_raw_lb[#Headers],0))=0, INDEX(regions_lb[], MATCH($D186, regions_lb[[setting]:[setting]],0), MATCH(AC$139, regions_lb[#Headers],0)),INDEX(lmic_raw_lb[],MATCH($A186,lmic_raw_lb[[setting]:[setting]],0), MATCH(AC$139, lmic_raw_lb[#Headers],0)))</f>
        <v>3.3860469999999948E-2</v>
      </c>
      <c r="AD186" s="98">
        <f>IF(INDEX(lmic_raw_lb[],MATCH($A186,lmic_raw_lb[[setting]:[setting]],0), MATCH(AD$139, lmic_raw_lb[#Headers],0))=0, INDEX(regions_lb[], MATCH($D186, regions_lb[[setting]:[setting]],0), MATCH(AD$139, regions_lb[#Headers],0)),INDEX(lmic_raw_lb[],MATCH($A186,lmic_raw_lb[[setting]:[setting]],0), MATCH(AD$139, lmic_raw_lb[#Headers],0)))</f>
        <v>3.942363847677233E-3</v>
      </c>
      <c r="AE186" s="98">
        <f>IF(INDEX(lmic_raw_lb[],MATCH($A186,lmic_raw_lb[[setting]:[setting]],0), MATCH(AE$139, lmic_raw_lb[#Headers],0))=0, INDEX(regions_lb[], MATCH($D186, regions_lb[[setting]:[setting]],0), MATCH(AE$139, regions_lb[#Headers],0)),INDEX(lmic_raw_lb[],MATCH($A186,lmic_raw_lb[[setting]:[setting]],0), MATCH(AE$139, lmic_raw_lb[#Headers],0)))</f>
        <v>2.3074746421050778E-3</v>
      </c>
      <c r="AF186" s="98">
        <f>IF(INDEX(lmic_raw_lb[],MATCH($A186,lmic_raw_lb[[setting]:[setting]],0), MATCH(AF$139, lmic_raw_lb[#Headers],0))=0, INDEX(regions_lb[], MATCH($D186, regions_lb[[setting]:[setting]],0), MATCH(AF$139, regions_lb[#Headers],0)),INDEX(lmic_raw_lb[],MATCH($A186,lmic_raw_lb[[setting]:[setting]],0), MATCH(AF$139, lmic_raw_lb[#Headers],0)))</f>
        <v>1.4041120422952351E-3</v>
      </c>
      <c r="AG186" s="98">
        <f>IF(INDEX(lmic_raw_lb[],MATCH($A186,lmic_raw_lb[[setting]:[setting]],0), MATCH(AG$139, lmic_raw_lb[#Headers],0))=0, INDEX(regions_lb[], MATCH($D186, regions_lb[[setting]:[setting]],0), MATCH(AG$139, regions_lb[#Headers],0)),INDEX(lmic_raw_lb[],MATCH($A186,lmic_raw_lb[[setting]:[setting]],0), MATCH(AG$139, lmic_raw_lb[#Headers],0)))</f>
        <v>2.1566026500828279E-3</v>
      </c>
      <c r="AH186" s="98">
        <f>IF(INDEX(lmic_raw_lb[],MATCH($A186,lmic_raw_lb[[setting]:[setting]],0), MATCH(AH$139, lmic_raw_lb[#Headers],0))=0, INDEX(regions_lb[], MATCH($D186, regions_lb[[setting]:[setting]],0), MATCH(AH$139, regions_lb[#Headers],0)),INDEX(lmic_raw_lb[],MATCH($A186,lmic_raw_lb[[setting]:[setting]],0), MATCH(AH$139, lmic_raw_lb[#Headers],0)))</f>
        <v>3.0367460058125517E-3</v>
      </c>
      <c r="AI186" s="98">
        <f>IF(INDEX(lmic_raw_lb[],MATCH($A186,lmic_raw_lb[[setting]:[setting]],0), MATCH(AI$139, lmic_raw_lb[#Headers],0))=0, INDEX(regions_lb[], MATCH($D186, regions_lb[[setting]:[setting]],0), MATCH(AI$139, regions_lb[#Headers],0)),INDEX(lmic_raw_lb[],MATCH($A186,lmic_raw_lb[[setting]:[setting]],0), MATCH(AI$139, lmic_raw_lb[#Headers],0)))</f>
        <v>3.2470470817135121E-3</v>
      </c>
      <c r="AJ186" s="98">
        <f>IF(INDEX(lmic_raw_lb[],MATCH($A186,lmic_raw_lb[[setting]:[setting]],0), MATCH(AJ$139, lmic_raw_lb[#Headers],0))=0, INDEX(regions_lb[], MATCH($D186, regions_lb[[setting]:[setting]],0), MATCH(AJ$139, regions_lb[#Headers],0)),INDEX(lmic_raw_lb[],MATCH($A186,lmic_raw_lb[[setting]:[setting]],0), MATCH(AJ$139, lmic_raw_lb[#Headers],0)))</f>
        <v>3.6091441365211298E-3</v>
      </c>
      <c r="AK186" s="98">
        <f>IF(INDEX(lmic_raw_lb[],MATCH($A186,lmic_raw_lb[[setting]:[setting]],0), MATCH(AK$139, lmic_raw_lb[#Headers],0))=0, INDEX(regions_lb[], MATCH($D186, regions_lb[[setting]:[setting]],0), MATCH(AK$139, regions_lb[#Headers],0)),INDEX(lmic_raw_lb[],MATCH($A186,lmic_raw_lb[[setting]:[setting]],0), MATCH(AK$139, lmic_raw_lb[#Headers],0)))</f>
        <v>4.164875663264127E-3</v>
      </c>
      <c r="AL186" s="98">
        <f>IF(INDEX(lmic_raw_lb[],MATCH($A186,lmic_raw_lb[[setting]:[setting]],0), MATCH(AL$139, lmic_raw_lb[#Headers],0))=0, INDEX(regions_lb[], MATCH($D186, regions_lb[[setting]:[setting]],0), MATCH(AL$139, regions_lb[#Headers],0)),INDEX(lmic_raw_lb[],MATCH($A186,lmic_raw_lb[[setting]:[setting]],0), MATCH(AL$139, lmic_raw_lb[#Headers],0)))</f>
        <v>5.188930369019313E-3</v>
      </c>
      <c r="AM186" s="98">
        <f>IF(INDEX(lmic_raw_lb[],MATCH($A186,lmic_raw_lb[[setting]:[setting]],0), MATCH(AM$139, lmic_raw_lb[#Headers],0))=0, INDEX(regions_lb[], MATCH($D186, regions_lb[[setting]:[setting]],0), MATCH(AM$139, regions_lb[#Headers],0)),INDEX(lmic_raw_lb[],MATCH($A186,lmic_raw_lb[[setting]:[setting]],0), MATCH(AM$139, lmic_raw_lb[#Headers],0)))</f>
        <v>6.5679747067226985E-3</v>
      </c>
      <c r="AN186" s="98">
        <f>IF(INDEX(lmic_raw_lb[],MATCH($A186,lmic_raw_lb[[setting]:[setting]],0), MATCH(AN$139, lmic_raw_lb[#Headers],0))=0, INDEX(regions_lb[], MATCH($D186, regions_lb[[setting]:[setting]],0), MATCH(AN$139, regions_lb[#Headers],0)),INDEX(lmic_raw_lb[],MATCH($A186,lmic_raw_lb[[setting]:[setting]],0), MATCH(AN$139, lmic_raw_lb[#Headers],0)))</f>
        <v>9.2935022459771574E-3</v>
      </c>
      <c r="AO186" s="98">
        <f>IF(INDEX(lmic_raw_lb[],MATCH($A186,lmic_raw_lb[[setting]:[setting]],0), MATCH(AO$139, lmic_raw_lb[#Headers],0))=0, INDEX(regions_lb[], MATCH($D186, regions_lb[[setting]:[setting]],0), MATCH(AO$139, regions_lb[#Headers],0)),INDEX(lmic_raw_lb[],MATCH($A186,lmic_raw_lb[[setting]:[setting]],0), MATCH(AO$139, lmic_raw_lb[#Headers],0)))</f>
        <v>1.3276652446905039E-2</v>
      </c>
      <c r="AP186" s="98">
        <f>IF(INDEX(lmic_raw_lb[],MATCH($A186,lmic_raw_lb[[setting]:[setting]],0), MATCH(AP$139, lmic_raw_lb[#Headers],0))=0, INDEX(regions_lb[], MATCH($D186, regions_lb[[setting]:[setting]],0), MATCH(AP$139, regions_lb[#Headers],0)),INDEX(lmic_raw_lb[],MATCH($A186,lmic_raw_lb[[setting]:[setting]],0), MATCH(AP$139, lmic_raw_lb[#Headers],0)))</f>
        <v>2.0575342755666227E-2</v>
      </c>
      <c r="AQ186" s="98">
        <f>IF(INDEX(lmic_raw_lb[],MATCH($A186,lmic_raw_lb[[setting]:[setting]],0), MATCH(AQ$139, lmic_raw_lb[#Headers],0))=0, INDEX(regions_lb[], MATCH($D186, regions_lb[[setting]:[setting]],0), MATCH(AQ$139, regions_lb[#Headers],0)),INDEX(lmic_raw_lb[],MATCH($A186,lmic_raw_lb[[setting]:[setting]],0), MATCH(AQ$139, lmic_raw_lb[#Headers],0)))</f>
        <v>3.1726669034350487E-2</v>
      </c>
      <c r="AR186" s="98">
        <f>IF(INDEX(lmic_raw_lb[],MATCH($A186,lmic_raw_lb[[setting]:[setting]],0), MATCH(AR$139, lmic_raw_lb[#Headers],0))=0, INDEX(regions_lb[], MATCH($D186, regions_lb[[setting]:[setting]],0), MATCH(AR$139, regions_lb[#Headers],0)),INDEX(lmic_raw_lb[],MATCH($A186,lmic_raw_lb[[setting]:[setting]],0), MATCH(AR$139, lmic_raw_lb[#Headers],0)))</f>
        <v>5.096114033501202E-2</v>
      </c>
      <c r="AS186" s="98">
        <f>IF(INDEX(lmic_raw_lb[],MATCH($A186,lmic_raw_lb[[setting]:[setting]],0), MATCH(AS$139, lmic_raw_lb[#Headers],0))=0, INDEX(regions_lb[], MATCH($D186, regions_lb[[setting]:[setting]],0), MATCH(AS$139, regions_lb[#Headers],0)),INDEX(lmic_raw_lb[],MATCH($A186,lmic_raw_lb[[setting]:[setting]],0), MATCH(AS$139, lmic_raw_lb[#Headers],0)))</f>
        <v>7.8795092606656944E-2</v>
      </c>
      <c r="AT186" s="98">
        <f>IF(INDEX(lmic_raw_lb[],MATCH($A186,lmic_raw_lb[[setting]:[setting]],0), MATCH(AT$139, lmic_raw_lb[#Headers],0))=0, INDEX(regions_lb[], MATCH($D186, regions_lb[[setting]:[setting]],0), MATCH(AT$139, regions_lb[#Headers],0)),INDEX(lmic_raw_lb[],MATCH($A186,lmic_raw_lb[[setting]:[setting]],0), MATCH(AT$139, lmic_raw_lb[#Headers],0)))</f>
        <v>0.11067434401322583</v>
      </c>
      <c r="AU186" s="98">
        <f>IF(INDEX(lmic_raw_lb[],MATCH($A186,lmic_raw_lb[[setting]:[setting]],0), MATCH(AU$139, lmic_raw_lb[#Headers],0))=0, INDEX(regions_lb[], MATCH($D186, regions_lb[[setting]:[setting]],0), MATCH(AU$139, regions_lb[#Headers],0)),INDEX(lmic_raw_lb[],MATCH($A186,lmic_raw_lb[[setting]:[setting]],0), MATCH(AU$139, lmic_raw_lb[#Headers],0)))</f>
        <v>0.13975240939178965</v>
      </c>
      <c r="AV186" s="98">
        <f>IF(INDEX(lmic_raw_lb[],MATCH($A186,lmic_raw_lb[[setting]:[setting]],0), MATCH(AV$139, lmic_raw_lb[#Headers],0))=0, INDEX(regions_lb[], MATCH($D186, regions_lb[[setting]:[setting]],0), MATCH(AV$139, regions_lb[#Headers],0)),INDEX(lmic_raw_lb[],MATCH($A186,lmic_raw_lb[[setting]:[setting]],0), MATCH(AV$139, lmic_raw_lb[#Headers],0)))</f>
        <v>0.1612061128961976</v>
      </c>
      <c r="AW186" s="98">
        <f>IF(INDEX(lmic_raw_lb[],MATCH($A186,lmic_raw_lb[[setting]:[setting]],0), MATCH(AW$139, lmic_raw_lb[#Headers],0))=0, INDEX(regions_lb[], MATCH($D186, regions_lb[[setting]:[setting]],0), MATCH(AW$139, regions_lb[#Headers],0)),INDEX(lmic_raw_lb[],MATCH($A186,lmic_raw_lb[[setting]:[setting]],0), MATCH(AW$139, lmic_raw_lb[#Headers],0)))</f>
        <v>0.1758230607470728</v>
      </c>
      <c r="AX186" s="98">
        <f>IF(INDEX(lmic_raw_lb[],MATCH($A186,lmic_raw_lb[[setting]:[setting]],0), MATCH(AX$139, lmic_raw_lb[#Headers],0))=0, INDEX(regions_lb[], MATCH($D186, regions_lb[[setting]:[setting]],0), MATCH(AX$139, regions_lb[#Headers],0)),INDEX(lmic_raw_lb[],MATCH($A186,lmic_raw_lb[[setting]:[setting]],0), MATCH(AX$139, lmic_raw_lb[#Headers],0)))</f>
        <v>60.4694</v>
      </c>
      <c r="AY186" s="98" t="str">
        <f>IF(VLOOKUP(lmics_lb[[#This Row],[setting]],lmic_raw_lb[],11,FALSE)=0, "Yes", "No")</f>
        <v>Yes</v>
      </c>
    </row>
    <row r="187" spans="1:51" x14ac:dyDescent="0.25">
      <c r="A187" s="110" t="s">
        <v>236</v>
      </c>
      <c r="B187" s="104" t="s">
        <v>619</v>
      </c>
      <c r="C187" s="105">
        <v>308</v>
      </c>
      <c r="D187" s="84" t="s">
        <v>679</v>
      </c>
      <c r="E187" s="122" t="s">
        <v>223</v>
      </c>
      <c r="F187" s="94" t="s">
        <v>665</v>
      </c>
      <c r="G187" s="94" t="s">
        <v>676</v>
      </c>
      <c r="H187" s="94"/>
      <c r="I187" s="94"/>
      <c r="J187" s="94">
        <f>IF(INDEX(lmic_raw_lb[],MATCH($A187,lmic_raw_lb[[setting]:[setting]],0), MATCH(J$139, lmic_raw_lb[#Headers],0))=0, INDEX(regions_lb[], MATCH($D187, regions_lb[[setting]:[setting]],0), MATCH(J$139, regions_lb[#Headers],0)),INDEX(lmic_raw_lb[],MATCH($A187,lmic_raw_lb[[setting]:[setting]],0), MATCH(J$139, lmic_raw_lb[#Headers],0)))</f>
        <v>0.90745465887683818</v>
      </c>
      <c r="K187" s="94">
        <f>IF(INDEX(lmic_raw_lb[],MATCH($A187,lmic_raw_lb[[setting]:[setting]],0), MATCH(K$139, lmic_raw_lb[#Headers],0))=0, INDEX(regions_lb[], MATCH($D187, regions_lb[[setting]:[setting]],0), MATCH(K$139, regions_lb[#Headers],0)),INDEX(lmic_raw_lb[],MATCH($A187,lmic_raw_lb[[setting]:[setting]],0), MATCH(K$139, lmic_raw_lb[#Headers],0)))</f>
        <v>0.91199999999999992</v>
      </c>
      <c r="L187" s="94">
        <f>IF(INDEX(lmic_raw_lb[],MATCH($A187,lmic_raw_lb[[setting]:[setting]],0), MATCH(L$139, lmic_raw_lb[#Headers],0))=0, INDEX(regions_lb[], MATCH($D187, regions_lb[[setting]:[setting]],0), MATCH(L$139, regions_lb[#Headers],0)),INDEX(lmic_raw_lb[],MATCH($A187,lmic_raw_lb[[setting]:[setting]],0), MATCH(L$139, lmic_raw_lb[#Headers],0)))</f>
        <v>0.8929999999999999</v>
      </c>
      <c r="M187" s="94">
        <f>IF(INDEX(lmic_raw_lb[],MATCH($A187,lmic_raw_lb[[setting]:[setting]],0), MATCH(M$139, lmic_raw_lb[#Headers],0))=0, INDEX(regions_lb[], MATCH($D187, regions_lb[[setting]:[setting]],0), MATCH(M$139, regions_lb[#Headers],0)),INDEX(lmic_raw_lb[],MATCH($A187,lmic_raw_lb[[setting]:[setting]],0), MATCH(M$139, lmic_raw_lb[#Headers],0)))</f>
        <v>1.7000000000000001E-3</v>
      </c>
      <c r="N187" s="94">
        <f>IF(INDEX(lmic_raw_lb[],MATCH($A187,lmic_raw_lb[[setting]:[setting]],0), MATCH(N$139, lmic_raw_lb[#Headers],0))=0, INDEX(regions_lb[], MATCH($D187, regions_lb[[setting]:[setting]],0), MATCH(N$139, regions_lb[#Headers],0)),INDEX(lmic_raw_lb[],MATCH($A187,lmic_raw_lb[[setting]:[setting]],0), MATCH(N$139, lmic_raw_lb[#Headers],0)))</f>
        <v>0.16309999999999999</v>
      </c>
      <c r="O187" s="94">
        <f>IF(INDEX(lmic_raw_lb[],MATCH($A187,lmic_raw_lb[[setting]:[setting]],0), MATCH(O$139, lmic_raw_lb[#Headers],0))=0, INDEX(regions_lb[], MATCH($D187, regions_lb[[setting]:[setting]],0), MATCH(O$139, regions_lb[#Headers],0)),INDEX(lmic_raw_lb[],MATCH($A187,lmic_raw_lb[[setting]:[setting]],0), MATCH(O$139, lmic_raw_lb[#Headers],0)))</f>
        <v>0.7</v>
      </c>
      <c r="P187" s="94">
        <f>IF(INDEX(lmic_raw_lb[],MATCH($A187,lmic_raw_lb[[setting]:[setting]],0), MATCH(P$139, lmic_raw_lb[#Headers],0))=0, INDEX(regions_lb[], MATCH($D187, regions_lb[[setting]:[setting]],0), MATCH(P$139, regions_lb[#Headers],0)),INDEX(lmic_raw_lb[],MATCH($A187,lmic_raw_lb[[setting]:[setting]],0), MATCH(P$139, lmic_raw_lb[#Headers],0)))</f>
        <v>0.05</v>
      </c>
      <c r="Q187" s="94">
        <f>IF(INDEX(lmic_raw_lb[],MATCH($A187,lmic_raw_lb[[setting]:[setting]],0), MATCH(Q$139, lmic_raw_lb[#Headers],0))=0, INDEX(regions_lb[], MATCH($D187, regions_lb[[setting]:[setting]],0), MATCH(Q$139, regions_lb[#Headers],0)),INDEX(lmic_raw_lb[],MATCH($A187,lmic_raw_lb[[setting]:[setting]],0), MATCH(Q$139, lmic_raw_lb[#Headers],0)))</f>
        <v>12.673388902942659</v>
      </c>
      <c r="R187" s="94">
        <f>IF(INDEX(lmic_raw_lb[],MATCH($A187,lmic_raw_lb[[setting]:[setting]],0), MATCH(R$139, lmic_raw_lb[#Headers],0))=0, INDEX(regions_lb[], MATCH($D187, regions_lb[[setting]:[setting]],0), MATCH(R$139, regions_lb[#Headers],0)),INDEX(lmic_raw_lb[],MATCH($A187,lmic_raw_lb[[setting]:[setting]],0), MATCH(R$139, lmic_raw_lb[#Headers],0)))</f>
        <v>82.539704999999998</v>
      </c>
      <c r="S187" s="94">
        <f>IF(INDEX(lmic_raw_lb[],MATCH($A187,lmic_raw_lb[[setting]:[setting]],0), MATCH(S$139, lmic_raw_lb[#Headers],0))=0, INDEX(regions_lb[], MATCH($D187, regions_lb[[setting]:[setting]],0), MATCH(S$139, regions_lb[#Headers],0)),INDEX(lmic_raw_lb[],MATCH($A187,lmic_raw_lb[[setting]:[setting]],0), MATCH(S$139, lmic_raw_lb[#Headers],0)))</f>
        <v>127.894605</v>
      </c>
      <c r="T187" s="94">
        <f>IF(INDEX(lmic_raw_lb[],MATCH($A187,lmic_raw_lb[[setting]:[setting]],0), MATCH(T$139, lmic_raw_lb[#Headers],0))=0, INDEX(regions_lb[], MATCH($D187, regions_lb[[setting]:[setting]],0), MATCH(T$139, regions_lb[#Headers],0)),INDEX(lmic_raw_lb[],MATCH($A187,lmic_raw_lb[[setting]:[setting]],0), MATCH(T$139, lmic_raw_lb[#Headers],0)))</f>
        <v>127.894605</v>
      </c>
      <c r="U187" s="94">
        <f>IF(INDEX(lmic_raw_lb[],MATCH($A187,lmic_raw_lb[[setting]:[setting]],0), MATCH(U$139, lmic_raw_lb[#Headers],0))=0, INDEX(regions_lb[], MATCH($D187, regions_lb[[setting]:[setting]],0), MATCH(U$139, regions_lb[#Headers],0)),INDEX(lmic_raw_lb[],MATCH($A187,lmic_raw_lb[[setting]:[setting]],0), MATCH(U$139, lmic_raw_lb[#Headers],0)))</f>
        <v>127.894605</v>
      </c>
      <c r="V187" s="94">
        <f>IF(INDEX(lmic_raw_lb[],MATCH($A187,lmic_raw_lb[[setting]:[setting]],0), MATCH(V$139, lmic_raw_lb[#Headers],0))=0, INDEX(regions_lb[], MATCH($D187, regions_lb[[setting]:[setting]],0), MATCH(V$139, regions_lb[#Headers],0)),INDEX(lmic_raw_lb[],MATCH($A187,lmic_raw_lb[[setting]:[setting]],0), MATCH(V$139, lmic_raw_lb[#Headers],0)))</f>
        <v>5.626910559137472</v>
      </c>
      <c r="W187" s="94">
        <f>IF(INDEX(lmic_raw_lb[],MATCH($A187,lmic_raw_lb[[setting]:[setting]],0), MATCH(W$139, lmic_raw_lb[#Headers],0))=0, INDEX(regions_lb[], MATCH($D187, regions_lb[[setting]:[setting]],0), MATCH(W$139, regions_lb[#Headers],0)),INDEX(lmic_raw_lb[],MATCH($A187,lmic_raw_lb[[setting]:[setting]],0), MATCH(W$139, lmic_raw_lb[#Headers],0)))</f>
        <v>5.6476205591374722</v>
      </c>
      <c r="X187" s="94">
        <f>IF(INDEX(lmic_raw_lb[],MATCH($A187,lmic_raw_lb[[setting]:[setting]],0), MATCH(X$139, lmic_raw_lb[#Headers],0))=0, INDEX(regions_lb[], MATCH($D187, regions_lb[[setting]:[setting]],0), MATCH(X$139, regions_lb[#Headers],0)),INDEX(lmic_raw_lb[],MATCH($A187,lmic_raw_lb[[setting]:[setting]],0), MATCH(X$139, lmic_raw_lb[#Headers],0)))</f>
        <v>5.2515109211825433</v>
      </c>
      <c r="Y187" s="94">
        <f>IF(INDEX(lmic_raw_lb[],MATCH($A187,lmic_raw_lb[[setting]:[setting]],0), MATCH(Y$139, lmic_raw_lb[#Headers],0))=0, INDEX(regions_lb[], MATCH($D187, regions_lb[[setting]:[setting]],0), MATCH(Y$139, regions_lb[#Headers],0)),INDEX(lmic_raw_lb[],MATCH($A187,lmic_raw_lb[[setting]:[setting]],0), MATCH(Y$139, lmic_raw_lb[#Headers],0)))</f>
        <v>5.2722209211825435</v>
      </c>
      <c r="Z187" s="94">
        <f>IF(INDEX(lmic_raw_lb[],MATCH($A187,lmic_raw_lb[[setting]:[setting]],0), MATCH(Z$139, lmic_raw_lb[#Headers],0))=0, INDEX(regions_lb[], MATCH($D187, regions_lb[[setting]:[setting]],0), MATCH(Z$139, regions_lb[#Headers],0)),INDEX(lmic_raw_lb[],MATCH($A187,lmic_raw_lb[[setting]:[setting]],0), MATCH(Z$139, lmic_raw_lb[#Headers],0)))</f>
        <v>5.2639520322213516</v>
      </c>
      <c r="AA187" s="94">
        <f>IF(INDEX(lmic_raw_lb[],MATCH($A187,lmic_raw_lb[[setting]:[setting]],0), MATCH(AA$139, lmic_raw_lb[#Headers],0))=0, INDEX(regions_lb[], MATCH($D187, regions_lb[[setting]:[setting]],0), MATCH(AA$139, regions_lb[#Headers],0)),INDEX(lmic_raw_lb[],MATCH($A187,lmic_raw_lb[[setting]:[setting]],0), MATCH(AA$139, lmic_raw_lb[#Headers],0)))</f>
        <v>5.8424376499252251</v>
      </c>
      <c r="AB187" s="94">
        <f>IF(INDEX(lmic_raw_lb[],MATCH($A187,lmic_raw_lb[[setting]:[setting]],0), MATCH(AB$139, lmic_raw_lb[#Headers],0))=0, INDEX(regions_lb[], MATCH($D187, regions_lb[[setting]:[setting]],0), MATCH(AB$139, regions_lb[#Headers],0)),INDEX(lmic_raw_lb[],MATCH($A187,lmic_raw_lb[[setting]:[setting]],0), MATCH(AB$139, lmic_raw_lb[#Headers],0)))</f>
        <v>5.8631476499252253</v>
      </c>
      <c r="AC187" s="94">
        <f>IF(INDEX(lmic_raw_lb[],MATCH($A187,lmic_raw_lb[[setting]:[setting]],0), MATCH(AC$139, lmic_raw_lb[#Headers],0))=0, INDEX(regions_lb[], MATCH($D187, regions_lb[[setting]:[setting]],0), MATCH(AC$139, regions_lb[#Headers],0)),INDEX(lmic_raw_lb[],MATCH($A187,lmic_raw_lb[[setting]:[setting]],0), MATCH(AC$139, lmic_raw_lb[#Headers],0)))</f>
        <v>1.4247862499999944E-2</v>
      </c>
      <c r="AD187" s="94">
        <f>IF(INDEX(lmic_raw_lb[],MATCH($A187,lmic_raw_lb[[setting]:[setting]],0), MATCH(AD$139, lmic_raw_lb[#Headers],0))=0, INDEX(regions_lb[], MATCH($D187, regions_lb[[setting]:[setting]],0), MATCH(AD$139, regions_lb[#Headers],0)),INDEX(lmic_raw_lb[],MATCH($A187,lmic_raw_lb[[setting]:[setting]],0), MATCH(AD$139, lmic_raw_lb[#Headers],0)))</f>
        <v>3.4898676627391332E-4</v>
      </c>
      <c r="AE187" s="94">
        <f>IF(INDEX(lmic_raw_lb[],MATCH($A187,lmic_raw_lb[[setting]:[setting]],0), MATCH(AE$139, lmic_raw_lb[#Headers],0))=0, INDEX(regions_lb[], MATCH($D187, regions_lb[[setting]:[setting]],0), MATCH(AE$139, regions_lb[#Headers],0)),INDEX(lmic_raw_lb[],MATCH($A187,lmic_raw_lb[[setting]:[setting]],0), MATCH(AE$139, lmic_raw_lb[#Headers],0)))</f>
        <v>3.6883636192051118E-4</v>
      </c>
      <c r="AF187" s="94">
        <f>IF(INDEX(lmic_raw_lb[],MATCH($A187,lmic_raw_lb[[setting]:[setting]],0), MATCH(AF$139, lmic_raw_lb[#Headers],0))=0, INDEX(regions_lb[], MATCH($D187, regions_lb[[setting]:[setting]],0), MATCH(AF$139, regions_lb[#Headers],0)),INDEX(lmic_raw_lb[],MATCH($A187,lmic_raw_lb[[setting]:[setting]],0), MATCH(AF$139, lmic_raw_lb[#Headers],0)))</f>
        <v>3.499004299464131E-4</v>
      </c>
      <c r="AG187" s="94">
        <f>IF(INDEX(lmic_raw_lb[],MATCH($A187,lmic_raw_lb[[setting]:[setting]],0), MATCH(AG$139, lmic_raw_lb[#Headers],0))=0, INDEX(regions_lb[], MATCH($D187, regions_lb[[setting]:[setting]],0), MATCH(AG$139, regions_lb[#Headers],0)),INDEX(lmic_raw_lb[],MATCH($A187,lmic_raw_lb[[setting]:[setting]],0), MATCH(AG$139, lmic_raw_lb[#Headers],0)))</f>
        <v>8.2157192205398427E-4</v>
      </c>
      <c r="AH187" s="94">
        <f>IF(INDEX(lmic_raw_lb[],MATCH($A187,lmic_raw_lb[[setting]:[setting]],0), MATCH(AH$139, lmic_raw_lb[#Headers],0))=0, INDEX(regions_lb[], MATCH($D187, regions_lb[[setting]:[setting]],0), MATCH(AH$139, regions_lb[#Headers],0)),INDEX(lmic_raw_lb[],MATCH($A187,lmic_raw_lb[[setting]:[setting]],0), MATCH(AH$139, lmic_raw_lb[#Headers],0)))</f>
        <v>1.1167280710455416E-3</v>
      </c>
      <c r="AI187" s="94">
        <f>IF(INDEX(lmic_raw_lb[],MATCH($A187,lmic_raw_lb[[setting]:[setting]],0), MATCH(AI$139, lmic_raw_lb[#Headers],0))=0, INDEX(regions_lb[], MATCH($D187, regions_lb[[setting]:[setting]],0), MATCH(AI$139, regions_lb[#Headers],0)),INDEX(lmic_raw_lb[],MATCH($A187,lmic_raw_lb[[setting]:[setting]],0), MATCH(AI$139, lmic_raw_lb[#Headers],0)))</f>
        <v>1.198159607033851E-3</v>
      </c>
      <c r="AJ187" s="94">
        <f>IF(INDEX(lmic_raw_lb[],MATCH($A187,lmic_raw_lb[[setting]:[setting]],0), MATCH(AJ$139, lmic_raw_lb[#Headers],0))=0, INDEX(regions_lb[], MATCH($D187, regions_lb[[setting]:[setting]],0), MATCH(AJ$139, regions_lb[#Headers],0)),INDEX(lmic_raw_lb[],MATCH($A187,lmic_raw_lb[[setting]:[setting]],0), MATCH(AJ$139, lmic_raw_lb[#Headers],0)))</f>
        <v>1.4336507356103622E-3</v>
      </c>
      <c r="AK187" s="94">
        <f>IF(INDEX(lmic_raw_lb[],MATCH($A187,lmic_raw_lb[[setting]:[setting]],0), MATCH(AK$139, lmic_raw_lb[#Headers],0))=0, INDEX(regions_lb[], MATCH($D187, regions_lb[[setting]:[setting]],0), MATCH(AK$139, regions_lb[#Headers],0)),INDEX(lmic_raw_lb[],MATCH($A187,lmic_raw_lb[[setting]:[setting]],0), MATCH(AK$139, lmic_raw_lb[#Headers],0)))</f>
        <v>1.9322705454106915E-3</v>
      </c>
      <c r="AL187" s="94">
        <f>IF(INDEX(lmic_raw_lb[],MATCH($A187,lmic_raw_lb[[setting]:[setting]],0), MATCH(AL$139, lmic_raw_lb[#Headers],0))=0, INDEX(regions_lb[], MATCH($D187, regions_lb[[setting]:[setting]],0), MATCH(AL$139, regions_lb[#Headers],0)),INDEX(lmic_raw_lb[],MATCH($A187,lmic_raw_lb[[setting]:[setting]],0), MATCH(AL$139, lmic_raw_lb[#Headers],0)))</f>
        <v>2.8018530101010112E-3</v>
      </c>
      <c r="AM187" s="94">
        <f>IF(INDEX(lmic_raw_lb[],MATCH($A187,lmic_raw_lb[[setting]:[setting]],0), MATCH(AM$139, lmic_raw_lb[#Headers],0))=0, INDEX(regions_lb[], MATCH($D187, regions_lb[[setting]:[setting]],0), MATCH(AM$139, regions_lb[#Headers],0)),INDEX(lmic_raw_lb[],MATCH($A187,lmic_raw_lb[[setting]:[setting]],0), MATCH(AM$139, lmic_raw_lb[#Headers],0)))</f>
        <v>4.3059512992896648E-3</v>
      </c>
      <c r="AN187" s="94">
        <f>IF(INDEX(lmic_raw_lb[],MATCH($A187,lmic_raw_lb[[setting]:[setting]],0), MATCH(AN$139, lmic_raw_lb[#Headers],0))=0, INDEX(regions_lb[], MATCH($D187, regions_lb[[setting]:[setting]],0), MATCH(AN$139, regions_lb[#Headers],0)),INDEX(lmic_raw_lb[],MATCH($A187,lmic_raw_lb[[setting]:[setting]],0), MATCH(AN$139, lmic_raw_lb[#Headers],0)))</f>
        <v>6.6188395954782436E-3</v>
      </c>
      <c r="AO187" s="94">
        <f>IF(INDEX(lmic_raw_lb[],MATCH($A187,lmic_raw_lb[[setting]:[setting]],0), MATCH(AO$139, lmic_raw_lb[#Headers],0))=0, INDEX(regions_lb[], MATCH($D187, regions_lb[[setting]:[setting]],0), MATCH(AO$139, regions_lb[#Headers],0)),INDEX(lmic_raw_lb[],MATCH($A187,lmic_raw_lb[[setting]:[setting]],0), MATCH(AO$139, lmic_raw_lb[#Headers],0)))</f>
        <v>1.0137431963107391E-2</v>
      </c>
      <c r="AP187" s="94">
        <f>IF(INDEX(lmic_raw_lb[],MATCH($A187,lmic_raw_lb[[setting]:[setting]],0), MATCH(AP$139, lmic_raw_lb[#Headers],0))=0, INDEX(regions_lb[], MATCH($D187, regions_lb[[setting]:[setting]],0), MATCH(AP$139, regions_lb[#Headers],0)),INDEX(lmic_raw_lb[],MATCH($A187,lmic_raw_lb[[setting]:[setting]],0), MATCH(AP$139, lmic_raw_lb[#Headers],0)))</f>
        <v>1.5718894950576288E-2</v>
      </c>
      <c r="AQ187" s="94">
        <f>IF(INDEX(lmic_raw_lb[],MATCH($A187,lmic_raw_lb[[setting]:[setting]],0), MATCH(AQ$139, lmic_raw_lb[#Headers],0))=0, INDEX(regions_lb[], MATCH($D187, regions_lb[[setting]:[setting]],0), MATCH(AQ$139, regions_lb[#Headers],0)),INDEX(lmic_raw_lb[],MATCH($A187,lmic_raw_lb[[setting]:[setting]],0), MATCH(AQ$139, lmic_raw_lb[#Headers],0)))</f>
        <v>2.411768066522493E-2</v>
      </c>
      <c r="AR187" s="94">
        <f>IF(INDEX(lmic_raw_lb[],MATCH($A187,lmic_raw_lb[[setting]:[setting]],0), MATCH(AR$139, lmic_raw_lb[#Headers],0))=0, INDEX(regions_lb[], MATCH($D187, regions_lb[[setting]:[setting]],0), MATCH(AR$139, regions_lb[#Headers],0)),INDEX(lmic_raw_lb[],MATCH($A187,lmic_raw_lb[[setting]:[setting]],0), MATCH(AR$139, lmic_raw_lb[#Headers],0)))</f>
        <v>3.6623710657482433E-2</v>
      </c>
      <c r="AS187" s="94">
        <f>IF(INDEX(lmic_raw_lb[],MATCH($A187,lmic_raw_lb[[setting]:[setting]],0), MATCH(AS$139, lmic_raw_lb[#Headers],0))=0, INDEX(regions_lb[], MATCH($D187, regions_lb[[setting]:[setting]],0), MATCH(AS$139, regions_lb[#Headers],0)),INDEX(lmic_raw_lb[],MATCH($A187,lmic_raw_lb[[setting]:[setting]],0), MATCH(AS$139, lmic_raw_lb[#Headers],0)))</f>
        <v>5.605169337633116E-2</v>
      </c>
      <c r="AT187" s="94">
        <f>IF(INDEX(lmic_raw_lb[],MATCH($A187,lmic_raw_lb[[setting]:[setting]],0), MATCH(AT$139, lmic_raw_lb[#Headers],0))=0, INDEX(regions_lb[], MATCH($D187, regions_lb[[setting]:[setting]],0), MATCH(AT$139, regions_lb[#Headers],0)),INDEX(lmic_raw_lb[],MATCH($A187,lmic_raw_lb[[setting]:[setting]],0), MATCH(AT$139, lmic_raw_lb[#Headers],0)))</f>
        <v>8.291855776175229E-2</v>
      </c>
      <c r="AU187" s="94">
        <f>IF(INDEX(lmic_raw_lb[],MATCH($A187,lmic_raw_lb[[setting]:[setting]],0), MATCH(AU$139, lmic_raw_lb[#Headers],0))=0, INDEX(regions_lb[], MATCH($D187, regions_lb[[setting]:[setting]],0), MATCH(AU$139, regions_lb[#Headers],0)),INDEX(lmic_raw_lb[],MATCH($A187,lmic_raw_lb[[setting]:[setting]],0), MATCH(AU$139, lmic_raw_lb[#Headers],0)))</f>
        <v>0.11464038658512794</v>
      </c>
      <c r="AV187" s="94">
        <f>IF(INDEX(lmic_raw_lb[],MATCH($A187,lmic_raw_lb[[setting]:[setting]],0), MATCH(AV$139, lmic_raw_lb[#Headers],0))=0, INDEX(regions_lb[], MATCH($D187, regions_lb[[setting]:[setting]],0), MATCH(AV$139, regions_lb[#Headers],0)),INDEX(lmic_raw_lb[],MATCH($A187,lmic_raw_lb[[setting]:[setting]],0), MATCH(AV$139, lmic_raw_lb[#Headers],0)))</f>
        <v>0.14384465882695935</v>
      </c>
      <c r="AW187" s="94">
        <f>IF(INDEX(lmic_raw_lb[],MATCH($A187,lmic_raw_lb[[setting]:[setting]],0), MATCH(AW$139, lmic_raw_lb[#Headers],0))=0, INDEX(regions_lb[], MATCH($D187, regions_lb[[setting]:[setting]],0), MATCH(AW$139, regions_lb[#Headers],0)),INDEX(lmic_raw_lb[],MATCH($A187,lmic_raw_lb[[setting]:[setting]],0), MATCH(AW$139, lmic_raw_lb[#Headers],0)))</f>
        <v>0.16582874069224438</v>
      </c>
      <c r="AX187" s="94">
        <f>IF(INDEX(lmic_raw_lb[],MATCH($A187,lmic_raw_lb[[setting]:[setting]],0), MATCH(AX$139, lmic_raw_lb[#Headers],0))=0, INDEX(regions_lb[], MATCH($D187, regions_lb[[setting]:[setting]],0), MATCH(AX$139, regions_lb[#Headers],0)),INDEX(lmic_raw_lb[],MATCH($A187,lmic_raw_lb[[setting]:[setting]],0), MATCH(AX$139, lmic_raw_lb[#Headers],0)))</f>
        <v>68.773349999999994</v>
      </c>
      <c r="AY187" s="94" t="str">
        <f>IF(VLOOKUP(lmics_lb[[#This Row],[setting]],lmic_raw_lb[],11,FALSE)=0, "Yes", "No")</f>
        <v>No</v>
      </c>
    </row>
    <row r="188" spans="1:51" x14ac:dyDescent="0.25">
      <c r="A188" s="109" t="s">
        <v>256</v>
      </c>
      <c r="B188" s="101" t="s">
        <v>432</v>
      </c>
      <c r="C188" s="102">
        <v>320</v>
      </c>
      <c r="D188" s="82" t="s">
        <v>679</v>
      </c>
      <c r="E188" s="121" t="s">
        <v>604</v>
      </c>
      <c r="F188" s="98" t="s">
        <v>665</v>
      </c>
      <c r="G188" s="98" t="s">
        <v>676</v>
      </c>
      <c r="H188" s="98"/>
      <c r="I188" s="98"/>
      <c r="J188" s="98">
        <f>IF(INDEX(lmic_raw_lb[],MATCH($A188,lmic_raw_lb[[setting]:[setting]],0), MATCH(J$139, lmic_raw_lb[#Headers],0))=0, INDEX(regions_lb[], MATCH($D188, regions_lb[[setting]:[setting]],0), MATCH(J$139, regions_lb[#Headers],0)),INDEX(lmic_raw_lb[],MATCH($A188,lmic_raw_lb[[setting]:[setting]],0), MATCH(J$139, lmic_raw_lb[#Headers],0)))</f>
        <v>0.61749999999999994</v>
      </c>
      <c r="K188" s="98">
        <f>IF(INDEX(lmic_raw_lb[],MATCH($A188,lmic_raw_lb[[setting]:[setting]],0), MATCH(K$139, lmic_raw_lb[#Headers],0))=0, INDEX(regions_lb[], MATCH($D188, regions_lb[[setting]:[setting]],0), MATCH(K$139, regions_lb[#Headers],0)),INDEX(lmic_raw_lb[],MATCH($A188,lmic_raw_lb[[setting]:[setting]],0), MATCH(K$139, lmic_raw_lb[#Headers],0)))</f>
        <v>0.45599999999999996</v>
      </c>
      <c r="L188" s="98">
        <f>IF(INDEX(lmic_raw_lb[],MATCH($A188,lmic_raw_lb[[setting]:[setting]],0), MATCH(L$139, lmic_raw_lb[#Headers],0))=0, INDEX(regions_lb[], MATCH($D188, regions_lb[[setting]:[setting]],0), MATCH(L$139, regions_lb[#Headers],0)),INDEX(lmic_raw_lb[],MATCH($A188,lmic_raw_lb[[setting]:[setting]],0), MATCH(L$139, lmic_raw_lb[#Headers],0)))</f>
        <v>0.81699999999999995</v>
      </c>
      <c r="M188" s="98">
        <f>IF(INDEX(lmic_raw_lb[],MATCH($A188,lmic_raw_lb[[setting]:[setting]],0), MATCH(M$139, lmic_raw_lb[#Headers],0))=0, INDEX(regions_lb[], MATCH($D188, regions_lb[[setting]:[setting]],0), MATCH(M$139, regions_lb[#Headers],0)),INDEX(lmic_raw_lb[],MATCH($A188,lmic_raw_lb[[setting]:[setting]],0), MATCH(M$139, lmic_raw_lb[#Headers],0)))</f>
        <v>1E-3</v>
      </c>
      <c r="N188" s="98">
        <f>IF(INDEX(lmic_raw_lb[],MATCH($A188,lmic_raw_lb[[setting]:[setting]],0), MATCH(N$139, lmic_raw_lb[#Headers],0))=0, INDEX(regions_lb[], MATCH($D188, regions_lb[[setting]:[setting]],0), MATCH(N$139, regions_lb[#Headers],0)),INDEX(lmic_raw_lb[],MATCH($A188,lmic_raw_lb[[setting]:[setting]],0), MATCH(N$139, lmic_raw_lb[#Headers],0)))</f>
        <v>0.16440000000000002</v>
      </c>
      <c r="O188" s="98">
        <f>IF(INDEX(lmic_raw_lb[],MATCH($A188,lmic_raw_lb[[setting]:[setting]],0), MATCH(O$139, lmic_raw_lb[#Headers],0))=0, INDEX(regions_lb[], MATCH($D188, regions_lb[[setting]:[setting]],0), MATCH(O$139, regions_lb[#Headers],0)),INDEX(lmic_raw_lb[],MATCH($A188,lmic_raw_lb[[setting]:[setting]],0), MATCH(O$139, lmic_raw_lb[#Headers],0)))</f>
        <v>0.7</v>
      </c>
      <c r="P188" s="98">
        <f>IF(INDEX(lmic_raw_lb[],MATCH($A188,lmic_raw_lb[[setting]:[setting]],0), MATCH(P$139, lmic_raw_lb[#Headers],0))=0, INDEX(regions_lb[], MATCH($D188, regions_lb[[setting]:[setting]],0), MATCH(P$139, regions_lb[#Headers],0)),INDEX(lmic_raw_lb[],MATCH($A188,lmic_raw_lb[[setting]:[setting]],0), MATCH(P$139, lmic_raw_lb[#Headers],0)))</f>
        <v>0.05</v>
      </c>
      <c r="Q188" s="98">
        <f>IF(INDEX(lmic_raw_lb[],MATCH($A188,lmic_raw_lb[[setting]:[setting]],0), MATCH(Q$139, lmic_raw_lb[#Headers],0))=0, INDEX(regions_lb[], MATCH($D188, regions_lb[[setting]:[setting]],0), MATCH(Q$139, regions_lb[#Headers],0)),INDEX(lmic_raw_lb[],MATCH($A188,lmic_raw_lb[[setting]:[setting]],0), MATCH(Q$139, lmic_raw_lb[#Headers],0)))</f>
        <v>5.2878724423015209</v>
      </c>
      <c r="R188" s="98">
        <f>IF(INDEX(lmic_raw_lb[],MATCH($A188,lmic_raw_lb[[setting]:[setting]],0), MATCH(R$139, lmic_raw_lb[#Headers],0))=0, INDEX(regions_lb[], MATCH($D188, regions_lb[[setting]:[setting]],0), MATCH(R$139, regions_lb[#Headers],0)),INDEX(lmic_raw_lb[],MATCH($A188,lmic_raw_lb[[setting]:[setting]],0), MATCH(R$139, lmic_raw_lb[#Headers],0)))</f>
        <v>82.539704999999998</v>
      </c>
      <c r="S188" s="98">
        <f>IF(INDEX(lmic_raw_lb[],MATCH($A188,lmic_raw_lb[[setting]:[setting]],0), MATCH(S$139, lmic_raw_lb[#Headers],0))=0, INDEX(regions_lb[], MATCH($D188, regions_lb[[setting]:[setting]],0), MATCH(S$139, regions_lb[#Headers],0)),INDEX(lmic_raw_lb[],MATCH($A188,lmic_raw_lb[[setting]:[setting]],0), MATCH(S$139, lmic_raw_lb[#Headers],0)))</f>
        <v>127.894605</v>
      </c>
      <c r="T188" s="98">
        <f>IF(INDEX(lmic_raw_lb[],MATCH($A188,lmic_raw_lb[[setting]:[setting]],0), MATCH(T$139, lmic_raw_lb[#Headers],0))=0, INDEX(regions_lb[], MATCH($D188, regions_lb[[setting]:[setting]],0), MATCH(T$139, regions_lb[#Headers],0)),INDEX(lmic_raw_lb[],MATCH($A188,lmic_raw_lb[[setting]:[setting]],0), MATCH(T$139, lmic_raw_lb[#Headers],0)))</f>
        <v>127.894605</v>
      </c>
      <c r="U188" s="98">
        <f>IF(INDEX(lmic_raw_lb[],MATCH($A188,lmic_raw_lb[[setting]:[setting]],0), MATCH(U$139, lmic_raw_lb[#Headers],0))=0, INDEX(regions_lb[], MATCH($D188, regions_lb[[setting]:[setting]],0), MATCH(U$139, regions_lb[#Headers],0)),INDEX(lmic_raw_lb[],MATCH($A188,lmic_raw_lb[[setting]:[setting]],0), MATCH(U$139, lmic_raw_lb[#Headers],0)))</f>
        <v>127.894605</v>
      </c>
      <c r="V188" s="98">
        <f>IF(INDEX(lmic_raw_lb[],MATCH($A188,lmic_raw_lb[[setting]:[setting]],0), MATCH(V$139, lmic_raw_lb[#Headers],0))=0, INDEX(regions_lb[], MATCH($D188, regions_lb[[setting]:[setting]],0), MATCH(V$139, regions_lb[#Headers],0)),INDEX(lmic_raw_lb[],MATCH($A188,lmic_raw_lb[[setting]:[setting]],0), MATCH(V$139, lmic_raw_lb[#Headers],0)))</f>
        <v>1.5005617692701141</v>
      </c>
      <c r="W188" s="98">
        <f>IF(INDEX(lmic_raw_lb[],MATCH($A188,lmic_raw_lb[[setting]:[setting]],0), MATCH(W$139, lmic_raw_lb[#Headers],0))=0, INDEX(regions_lb[], MATCH($D188, regions_lb[[setting]:[setting]],0), MATCH(W$139, regions_lb[#Headers],0)),INDEX(lmic_raw_lb[],MATCH($A188,lmic_raw_lb[[setting]:[setting]],0), MATCH(W$139, lmic_raw_lb[#Headers],0)))</f>
        <v>1.5212717692701141</v>
      </c>
      <c r="X188" s="98">
        <f>IF(INDEX(lmic_raw_lb[],MATCH($A188,lmic_raw_lb[[setting]:[setting]],0), MATCH(X$139, lmic_raw_lb[#Headers],0))=0, INDEX(regions_lb[], MATCH($D188, regions_lb[[setting]:[setting]],0), MATCH(X$139, regions_lb[#Headers],0)),INDEX(lmic_raw_lb[],MATCH($A188,lmic_raw_lb[[setting]:[setting]],0), MATCH(X$139, lmic_raw_lb[#Headers],0)))</f>
        <v>1.1320175153782155</v>
      </c>
      <c r="Y188" s="98">
        <f>IF(INDEX(lmic_raw_lb[],MATCH($A188,lmic_raw_lb[[setting]:[setting]],0), MATCH(Y$139, lmic_raw_lb[#Headers],0))=0, INDEX(regions_lb[], MATCH($D188, regions_lb[[setting]:[setting]],0), MATCH(Y$139, regions_lb[#Headers],0)),INDEX(lmic_raw_lb[],MATCH($A188,lmic_raw_lb[[setting]:[setting]],0), MATCH(Y$139, lmic_raw_lb[#Headers],0)))</f>
        <v>1.1527275153782155</v>
      </c>
      <c r="Z188" s="98">
        <f>IF(INDEX(lmic_raw_lb[],MATCH($A188,lmic_raw_lb[[setting]:[setting]],0), MATCH(Z$139, lmic_raw_lb[#Headers],0))=0, INDEX(regions_lb[], MATCH($D188, regions_lb[[setting]:[setting]],0), MATCH(Z$139, regions_lb[#Headers],0)),INDEX(lmic_raw_lb[],MATCH($A188,lmic_raw_lb[[setting]:[setting]],0), MATCH(Z$139, lmic_raw_lb[#Headers],0)))</f>
        <v>1.1480442444719796</v>
      </c>
      <c r="AA188" s="98">
        <f>IF(INDEX(lmic_raw_lb[],MATCH($A188,lmic_raw_lb[[setting]:[setting]],0), MATCH(AA$139, lmic_raw_lb[#Headers],0))=0, INDEX(regions_lb[], MATCH($D188, regions_lb[[setting]:[setting]],0), MATCH(AA$139, regions_lb[#Headers],0)),INDEX(lmic_raw_lb[],MATCH($A188,lmic_raw_lb[[setting]:[setting]],0), MATCH(AA$139, lmic_raw_lb[#Headers],0)))</f>
        <v>1.7131508383165683</v>
      </c>
      <c r="AB188" s="98">
        <f>IF(INDEX(lmic_raw_lb[],MATCH($A188,lmic_raw_lb[[setting]:[setting]],0), MATCH(AB$139, lmic_raw_lb[#Headers],0))=0, INDEX(regions_lb[], MATCH($D188, regions_lb[[setting]:[setting]],0), MATCH(AB$139, regions_lb[#Headers],0)),INDEX(lmic_raw_lb[],MATCH($A188,lmic_raw_lb[[setting]:[setting]],0), MATCH(AB$139, lmic_raw_lb[#Headers],0)))</f>
        <v>1.7338608383165683</v>
      </c>
      <c r="AC188" s="98">
        <f>IF(INDEX(lmic_raw_lb[],MATCH($A188,lmic_raw_lb[[setting]:[setting]],0), MATCH(AC$139, lmic_raw_lb[#Headers],0))=0, INDEX(regions_lb[], MATCH($D188, regions_lb[[setting]:[setting]],0), MATCH(AC$139, regions_lb[#Headers],0)),INDEX(lmic_raw_lb[],MATCH($A188,lmic_raw_lb[[setting]:[setting]],0), MATCH(AC$139, lmic_raw_lb[#Headers],0)))</f>
        <v>1.9705080499999972E-2</v>
      </c>
      <c r="AD188" s="98">
        <f>IF(INDEX(lmic_raw_lb[],MATCH($A188,lmic_raw_lb[[setting]:[setting]],0), MATCH(AD$139, lmic_raw_lb[#Headers],0))=0, INDEX(regions_lb[], MATCH($D188, regions_lb[[setting]:[setting]],0), MATCH(AD$139, regions_lb[#Headers],0)),INDEX(lmic_raw_lb[],MATCH($A188,lmic_raw_lb[[setting]:[setting]],0), MATCH(AD$139, lmic_raw_lb[#Headers],0)))</f>
        <v>1.3000101832223328E-3</v>
      </c>
      <c r="AE188" s="98">
        <f>IF(INDEX(lmic_raw_lb[],MATCH($A188,lmic_raw_lb[[setting]:[setting]],0), MATCH(AE$139, lmic_raw_lb[#Headers],0))=0, INDEX(regions_lb[], MATCH($D188, regions_lb[[setting]:[setting]],0), MATCH(AE$139, regions_lb[#Headers],0)),INDEX(lmic_raw_lb[],MATCH($A188,lmic_raw_lb[[setting]:[setting]],0), MATCH(AE$139, lmic_raw_lb[#Headers],0)))</f>
        <v>3.4433023873700239E-4</v>
      </c>
      <c r="AF188" s="98">
        <f>IF(INDEX(lmic_raw_lb[],MATCH($A188,lmic_raw_lb[[setting]:[setting]],0), MATCH(AF$139, lmic_raw_lb[#Headers],0))=0, INDEX(regions_lb[], MATCH($D188, regions_lb[[setting]:[setting]],0), MATCH(AF$139, regions_lb[#Headers],0)),INDEX(lmic_raw_lb[],MATCH($A188,lmic_raw_lb[[setting]:[setting]],0), MATCH(AF$139, lmic_raw_lb[#Headers],0)))</f>
        <v>4.9530266784782639E-4</v>
      </c>
      <c r="AG188" s="98">
        <f>IF(INDEX(lmic_raw_lb[],MATCH($A188,lmic_raw_lb[[setting]:[setting]],0), MATCH(AG$139, lmic_raw_lb[#Headers],0))=0, INDEX(regions_lb[], MATCH($D188, regions_lb[[setting]:[setting]],0), MATCH(AG$139, regions_lb[#Headers],0)),INDEX(lmic_raw_lb[],MATCH($A188,lmic_raw_lb[[setting]:[setting]],0), MATCH(AG$139, lmic_raw_lb[#Headers],0)))</f>
        <v>1.0541724772765593E-3</v>
      </c>
      <c r="AH188" s="98">
        <f>IF(INDEX(lmic_raw_lb[],MATCH($A188,lmic_raw_lb[[setting]:[setting]],0), MATCH(AH$139, lmic_raw_lb[#Headers],0))=0, INDEX(regions_lb[], MATCH($D188, regions_lb[[setting]:[setting]],0), MATCH(AH$139, regions_lb[#Headers],0)),INDEX(lmic_raw_lb[],MATCH($A188,lmic_raw_lb[[setting]:[setting]],0), MATCH(AH$139, lmic_raw_lb[#Headers],0)))</f>
        <v>1.8053430504910801E-3</v>
      </c>
      <c r="AI188" s="98">
        <f>IF(INDEX(lmic_raw_lb[],MATCH($A188,lmic_raw_lb[[setting]:[setting]],0), MATCH(AI$139, lmic_raw_lb[#Headers],0))=0, INDEX(regions_lb[], MATCH($D188, regions_lb[[setting]:[setting]],0), MATCH(AI$139, regions_lb[#Headers],0)),INDEX(lmic_raw_lb[],MATCH($A188,lmic_raw_lb[[setting]:[setting]],0), MATCH(AI$139, lmic_raw_lb[#Headers],0)))</f>
        <v>2.3968133086251261E-3</v>
      </c>
      <c r="AJ188" s="98">
        <f>IF(INDEX(lmic_raw_lb[],MATCH($A188,lmic_raw_lb[[setting]:[setting]],0), MATCH(AJ$139, lmic_raw_lb[#Headers],0))=0, INDEX(regions_lb[], MATCH($D188, regions_lb[[setting]:[setting]],0), MATCH(AJ$139, regions_lb[#Headers],0)),INDEX(lmic_raw_lb[],MATCH($A188,lmic_raw_lb[[setting]:[setting]],0), MATCH(AJ$139, lmic_raw_lb[#Headers],0)))</f>
        <v>2.7651924105891895E-3</v>
      </c>
      <c r="AK188" s="98">
        <f>IF(INDEX(lmic_raw_lb[],MATCH($A188,lmic_raw_lb[[setting]:[setting]],0), MATCH(AK$139, lmic_raw_lb[#Headers],0))=0, INDEX(regions_lb[], MATCH($D188, regions_lb[[setting]:[setting]],0), MATCH(AK$139, regions_lb[#Headers],0)),INDEX(lmic_raw_lb[],MATCH($A188,lmic_raw_lb[[setting]:[setting]],0), MATCH(AK$139, lmic_raw_lb[#Headers],0)))</f>
        <v>3.0482398321419035E-3</v>
      </c>
      <c r="AL188" s="98">
        <f>IF(INDEX(lmic_raw_lb[],MATCH($A188,lmic_raw_lb[[setting]:[setting]],0), MATCH(AL$139, lmic_raw_lb[#Headers],0))=0, INDEX(regions_lb[], MATCH($D188, regions_lb[[setting]:[setting]],0), MATCH(AL$139, regions_lb[#Headers],0)),INDEX(lmic_raw_lb[],MATCH($A188,lmic_raw_lb[[setting]:[setting]],0), MATCH(AL$139, lmic_raw_lb[#Headers],0)))</f>
        <v>3.4611075624254419E-3</v>
      </c>
      <c r="AM188" s="98">
        <f>IF(INDEX(lmic_raw_lb[],MATCH($A188,lmic_raw_lb[[setting]:[setting]],0), MATCH(AM$139, lmic_raw_lb[#Headers],0))=0, INDEX(regions_lb[], MATCH($D188, regions_lb[[setting]:[setting]],0), MATCH(AM$139, regions_lb[#Headers],0)),INDEX(lmic_raw_lb[],MATCH($A188,lmic_raw_lb[[setting]:[setting]],0), MATCH(AM$139, lmic_raw_lb[#Headers],0)))</f>
        <v>4.2204185630413081E-3</v>
      </c>
      <c r="AN188" s="98">
        <f>IF(INDEX(lmic_raw_lb[],MATCH($A188,lmic_raw_lb[[setting]:[setting]],0), MATCH(AN$139, lmic_raw_lb[#Headers],0))=0, INDEX(regions_lb[], MATCH($D188, regions_lb[[setting]:[setting]],0), MATCH(AN$139, regions_lb[#Headers],0)),INDEX(lmic_raw_lb[],MATCH($A188,lmic_raw_lb[[setting]:[setting]],0), MATCH(AN$139, lmic_raw_lb[#Headers],0)))</f>
        <v>5.5499853841291186E-3</v>
      </c>
      <c r="AO188" s="98">
        <f>IF(INDEX(lmic_raw_lb[],MATCH($A188,lmic_raw_lb[[setting]:[setting]],0), MATCH(AO$139, lmic_raw_lb[#Headers],0))=0, INDEX(regions_lb[], MATCH($D188, regions_lb[[setting]:[setting]],0), MATCH(AO$139, regions_lb[#Headers],0)),INDEX(lmic_raw_lb[],MATCH($A188,lmic_raw_lb[[setting]:[setting]],0), MATCH(AO$139, lmic_raw_lb[#Headers],0)))</f>
        <v>7.7181899728539427E-3</v>
      </c>
      <c r="AP188" s="98">
        <f>IF(INDEX(lmic_raw_lb[],MATCH($A188,lmic_raw_lb[[setting]:[setting]],0), MATCH(AP$139, lmic_raw_lb[#Headers],0))=0, INDEX(regions_lb[], MATCH($D188, regions_lb[[setting]:[setting]],0), MATCH(AP$139, regions_lb[#Headers],0)),INDEX(lmic_raw_lb[],MATCH($A188,lmic_raw_lb[[setting]:[setting]],0), MATCH(AP$139, lmic_raw_lb[#Headers],0)))</f>
        <v>1.1196805319563135E-2</v>
      </c>
      <c r="AQ188" s="98">
        <f>IF(INDEX(lmic_raw_lb[],MATCH($A188,lmic_raw_lb[[setting]:[setting]],0), MATCH(AQ$139, lmic_raw_lb[#Headers],0))=0, INDEX(regions_lb[], MATCH($D188, regions_lb[[setting]:[setting]],0), MATCH(AQ$139, regions_lb[#Headers],0)),INDEX(lmic_raw_lb[],MATCH($A188,lmic_raw_lb[[setting]:[setting]],0), MATCH(AQ$139, lmic_raw_lb[#Headers],0)))</f>
        <v>1.5101961575920975E-2</v>
      </c>
      <c r="AR188" s="98">
        <f>IF(INDEX(lmic_raw_lb[],MATCH($A188,lmic_raw_lb[[setting]:[setting]],0), MATCH(AR$139, lmic_raw_lb[#Headers],0))=0, INDEX(regions_lb[], MATCH($D188, regions_lb[[setting]:[setting]],0), MATCH(AR$139, regions_lb[#Headers],0)),INDEX(lmic_raw_lb[],MATCH($A188,lmic_raw_lb[[setting]:[setting]],0), MATCH(AR$139, lmic_raw_lb[#Headers],0)))</f>
        <v>2.1760285323666903E-2</v>
      </c>
      <c r="AS188" s="98">
        <f>IF(INDEX(lmic_raw_lb[],MATCH($A188,lmic_raw_lb[[setting]:[setting]],0), MATCH(AS$139, lmic_raw_lb[#Headers],0))=0, INDEX(regions_lb[], MATCH($D188, regions_lb[[setting]:[setting]],0), MATCH(AS$139, regions_lb[#Headers],0)),INDEX(lmic_raw_lb[],MATCH($A188,lmic_raw_lb[[setting]:[setting]],0), MATCH(AS$139, lmic_raw_lb[#Headers],0)))</f>
        <v>3.6318258173399523E-2</v>
      </c>
      <c r="AT188" s="98">
        <f>IF(INDEX(lmic_raw_lb[],MATCH($A188,lmic_raw_lb[[setting]:[setting]],0), MATCH(AT$139, lmic_raw_lb[#Headers],0))=0, INDEX(regions_lb[], MATCH($D188, regions_lb[[setting]:[setting]],0), MATCH(AT$139, regions_lb[#Headers],0)),INDEX(lmic_raw_lb[],MATCH($A188,lmic_raw_lb[[setting]:[setting]],0), MATCH(AT$139, lmic_raw_lb[#Headers],0)))</f>
        <v>5.9502808751017384E-2</v>
      </c>
      <c r="AU188" s="98">
        <f>IF(INDEX(lmic_raw_lb[],MATCH($A188,lmic_raw_lb[[setting]:[setting]],0), MATCH(AU$139, lmic_raw_lb[#Headers],0))=0, INDEX(regions_lb[], MATCH($D188, regions_lb[[setting]:[setting]],0), MATCH(AU$139, regions_lb[#Headers],0)),INDEX(lmic_raw_lb[],MATCH($A188,lmic_raw_lb[[setting]:[setting]],0), MATCH(AU$139, lmic_raw_lb[#Headers],0)))</f>
        <v>8.8628290632361093E-2</v>
      </c>
      <c r="AV188" s="98">
        <f>IF(INDEX(lmic_raw_lb[],MATCH($A188,lmic_raw_lb[[setting]:[setting]],0), MATCH(AV$139, lmic_raw_lb[#Headers],0))=0, INDEX(regions_lb[], MATCH($D188, regions_lb[[setting]:[setting]],0), MATCH(AV$139, regions_lb[#Headers],0)),INDEX(lmic_raw_lb[],MATCH($A188,lmic_raw_lb[[setting]:[setting]],0), MATCH(AV$139, lmic_raw_lb[#Headers],0)))</f>
        <v>0.11983919123727396</v>
      </c>
      <c r="AW188" s="98">
        <f>IF(INDEX(lmic_raw_lb[],MATCH($A188,lmic_raw_lb[[setting]:[setting]],0), MATCH(AW$139, lmic_raw_lb[#Headers],0))=0, INDEX(regions_lb[], MATCH($D188, regions_lb[[setting]:[setting]],0), MATCH(AW$139, regions_lb[#Headers],0)),INDEX(lmic_raw_lb[],MATCH($A188,lmic_raw_lb[[setting]:[setting]],0), MATCH(AW$139, lmic_raw_lb[#Headers],0)))</f>
        <v>0.14641995234470978</v>
      </c>
      <c r="AX188" s="98">
        <f>IF(INDEX(lmic_raw_lb[],MATCH($A188,lmic_raw_lb[[setting]:[setting]],0), MATCH(AX$139, lmic_raw_lb[#Headers],0))=0, INDEX(regions_lb[], MATCH($D188, regions_lb[[setting]:[setting]],0), MATCH(AX$139, regions_lb[#Headers],0)),INDEX(lmic_raw_lb[],MATCH($A188,lmic_raw_lb[[setting]:[setting]],0), MATCH(AX$139, lmic_raw_lb[#Headers],0)))</f>
        <v>70.239199999999997</v>
      </c>
      <c r="AY188" s="98" t="str">
        <f>IF(VLOOKUP(lmics_lb[[#This Row],[setting]],lmic_raw_lb[],11,FALSE)=0, "Yes", "No")</f>
        <v>No</v>
      </c>
    </row>
    <row r="189" spans="1:51" x14ac:dyDescent="0.25">
      <c r="A189" s="110" t="s">
        <v>144</v>
      </c>
      <c r="B189" s="104" t="s">
        <v>433</v>
      </c>
      <c r="C189" s="105">
        <v>324</v>
      </c>
      <c r="D189" s="84" t="s">
        <v>677</v>
      </c>
      <c r="E189" s="122" t="s">
        <v>591</v>
      </c>
      <c r="F189" s="94" t="s">
        <v>667</v>
      </c>
      <c r="G189" s="94" t="s">
        <v>674</v>
      </c>
      <c r="H189" s="94"/>
      <c r="I189" s="94"/>
      <c r="J189" s="94">
        <f>IF(INDEX(lmic_raw_lb[],MATCH($A189,lmic_raw_lb[[setting]:[setting]],0), MATCH(J$139, lmic_raw_lb[#Headers],0))=0, INDEX(regions_lb[], MATCH($D189, regions_lb[[setting]:[setting]],0), MATCH(J$139, regions_lb[#Headers],0)),INDEX(lmic_raw_lb[],MATCH($A189,lmic_raw_lb[[setting]:[setting]],0), MATCH(J$139, lmic_raw_lb[#Headers],0)))</f>
        <v>0.49969999999999998</v>
      </c>
      <c r="K189" s="94">
        <f>IF(INDEX(lmic_raw_lb[],MATCH($A189,lmic_raw_lb[[setting]:[setting]],0), MATCH(K$139, lmic_raw_lb[#Headers],0))=0, INDEX(regions_lb[], MATCH($D189, regions_lb[[setting]:[setting]],0), MATCH(K$139, regions_lb[#Headers],0)),INDEX(lmic_raw_lb[],MATCH($A189,lmic_raw_lb[[setting]:[setting]],0), MATCH(K$139, lmic_raw_lb[#Headers],0)))</f>
        <v>0.65789974195504752</v>
      </c>
      <c r="L189" s="94">
        <f>IF(INDEX(lmic_raw_lb[],MATCH($A189,lmic_raw_lb[[setting]:[setting]],0), MATCH(L$139, lmic_raw_lb[#Headers],0))=0, INDEX(regions_lb[], MATCH($D189, regions_lb[[setting]:[setting]],0), MATCH(L$139, regions_lb[#Headers],0)),INDEX(lmic_raw_lb[],MATCH($A189,lmic_raw_lb[[setting]:[setting]],0), MATCH(L$139, lmic_raw_lb[#Headers],0)))</f>
        <v>0.44649999999999995</v>
      </c>
      <c r="M189" s="94">
        <f>IF(INDEX(lmic_raw_lb[],MATCH($A189,lmic_raw_lb[[setting]:[setting]],0), MATCH(M$139, lmic_raw_lb[#Headers],0))=0, INDEX(regions_lb[], MATCH($D189, regions_lb[[setting]:[setting]],0), MATCH(M$139, regions_lb[#Headers],0)),INDEX(lmic_raw_lb[],MATCH($A189,lmic_raw_lb[[setting]:[setting]],0), MATCH(M$139, lmic_raw_lb[#Headers],0)))</f>
        <v>6.6100000000000006E-2</v>
      </c>
      <c r="N189" s="94">
        <f>IF(INDEX(lmic_raw_lb[],MATCH($A189,lmic_raw_lb[[setting]:[setting]],0), MATCH(N$139, lmic_raw_lb[#Headers],0))=0, INDEX(regions_lb[], MATCH($D189, regions_lb[[setting]:[setting]],0), MATCH(N$139, regions_lb[#Headers],0)),INDEX(lmic_raw_lb[],MATCH($A189,lmic_raw_lb[[setting]:[setting]],0), MATCH(N$139, lmic_raw_lb[#Headers],0)))</f>
        <v>0.155</v>
      </c>
      <c r="O189" s="94">
        <f>IF(INDEX(lmic_raw_lb[],MATCH($A189,lmic_raw_lb[[setting]:[setting]],0), MATCH(O$139, lmic_raw_lb[#Headers],0))=0, INDEX(regions_lb[], MATCH($D189, regions_lb[[setting]:[setting]],0), MATCH(O$139, regions_lb[#Headers],0)),INDEX(lmic_raw_lb[],MATCH($A189,lmic_raw_lb[[setting]:[setting]],0), MATCH(O$139, lmic_raw_lb[#Headers],0)))</f>
        <v>7.0000000000000007E-2</v>
      </c>
      <c r="P189" s="94">
        <f>IF(INDEX(lmic_raw_lb[],MATCH($A189,lmic_raw_lb[[setting]:[setting]],0), MATCH(P$139, lmic_raw_lb[#Headers],0))=0, INDEX(regions_lb[], MATCH($D189, regions_lb[[setting]:[setting]],0), MATCH(P$139, regions_lb[#Headers],0)),INDEX(lmic_raw_lb[],MATCH($A189,lmic_raw_lb[[setting]:[setting]],0), MATCH(P$139, lmic_raw_lb[#Headers],0)))</f>
        <v>1E-3</v>
      </c>
      <c r="Q189" s="94">
        <f>IF(INDEX(lmic_raw_lb[],MATCH($A189,lmic_raw_lb[[setting]:[setting]],0), MATCH(Q$139, lmic_raw_lb[#Headers],0))=0, INDEX(regions_lb[], MATCH($D189, regions_lb[[setting]:[setting]],0), MATCH(Q$139, regions_lb[#Headers],0)),INDEX(lmic_raw_lb[],MATCH($A189,lmic_raw_lb[[setting]:[setting]],0), MATCH(Q$139, lmic_raw_lb[#Headers],0)))</f>
        <v>2.4689730298430725</v>
      </c>
      <c r="R189" s="94">
        <f>IF(INDEX(lmic_raw_lb[],MATCH($A189,lmic_raw_lb[[setting]:[setting]],0), MATCH(R$139, lmic_raw_lb[#Headers],0))=0, INDEX(regions_lb[], MATCH($D189, regions_lb[[setting]:[setting]],0), MATCH(R$139, regions_lb[#Headers],0)),INDEX(lmic_raw_lb[],MATCH($A189,lmic_raw_lb[[setting]:[setting]],0), MATCH(R$139, lmic_raw_lb[#Headers],0)))</f>
        <v>28.424474999999997</v>
      </c>
      <c r="S189" s="94">
        <f>IF(INDEX(lmic_raw_lb[],MATCH($A189,lmic_raw_lb[[setting]:[setting]],0), MATCH(S$139, lmic_raw_lb[#Headers],0))=0, INDEX(regions_lb[], MATCH($D189, regions_lb[[setting]:[setting]],0), MATCH(S$139, regions_lb[#Headers],0)),INDEX(lmic_raw_lb[],MATCH($A189,lmic_raw_lb[[setting]:[setting]],0), MATCH(S$139, lmic_raw_lb[#Headers],0)))</f>
        <v>73.779375000000002</v>
      </c>
      <c r="T189" s="94">
        <f>IF(INDEX(lmic_raw_lb[],MATCH($A189,lmic_raw_lb[[setting]:[setting]],0), MATCH(T$139, lmic_raw_lb[#Headers],0))=0, INDEX(regions_lb[], MATCH($D189, regions_lb[[setting]:[setting]],0), MATCH(T$139, regions_lb[#Headers],0)),INDEX(lmic_raw_lb[],MATCH($A189,lmic_raw_lb[[setting]:[setting]],0), MATCH(T$139, lmic_raw_lb[#Headers],0)))</f>
        <v>73.779375000000002</v>
      </c>
      <c r="U189" s="94">
        <f>IF(INDEX(lmic_raw_lb[],MATCH($A189,lmic_raw_lb[[setting]:[setting]],0), MATCH(U$139, lmic_raw_lb[#Headers],0))=0, INDEX(regions_lb[], MATCH($D189, regions_lb[[setting]:[setting]],0), MATCH(U$139, regions_lb[#Headers],0)),INDEX(lmic_raw_lb[],MATCH($A189,lmic_raw_lb[[setting]:[setting]],0), MATCH(U$139, lmic_raw_lb[#Headers],0)))</f>
        <v>73.779375000000002</v>
      </c>
      <c r="V189" s="94">
        <f>IF(INDEX(lmic_raw_lb[],MATCH($A189,lmic_raw_lb[[setting]:[setting]],0), MATCH(V$139, lmic_raw_lb[#Headers],0))=0, INDEX(regions_lb[], MATCH($D189, regions_lb[[setting]:[setting]],0), MATCH(V$139, regions_lb[#Headers],0)),INDEX(lmic_raw_lb[],MATCH($A189,lmic_raw_lb[[setting]:[setting]],0), MATCH(V$139, lmic_raw_lb[#Headers],0)))</f>
        <v>0.46351407326994121</v>
      </c>
      <c r="W189" s="94">
        <f>IF(INDEX(lmic_raw_lb[],MATCH($A189,lmic_raw_lb[[setting]:[setting]],0), MATCH(W$139, lmic_raw_lb[#Headers],0))=0, INDEX(regions_lb[], MATCH($D189, regions_lb[[setting]:[setting]],0), MATCH(W$139, regions_lb[#Headers],0)),INDEX(lmic_raw_lb[],MATCH($A189,lmic_raw_lb[[setting]:[setting]],0), MATCH(W$139, lmic_raw_lb[#Headers],0)))</f>
        <v>5.0507790732699416</v>
      </c>
      <c r="X189" s="94">
        <f>IF(INDEX(lmic_raw_lb[],MATCH($A189,lmic_raw_lb[[setting]:[setting]],0), MATCH(X$139, lmic_raw_lb[#Headers],0))=0, INDEX(regions_lb[], MATCH($D189, regions_lb[[setting]:[setting]],0), MATCH(X$139, regions_lb[#Headers],0)),INDEX(lmic_raw_lb[],MATCH($A189,lmic_raw_lb[[setting]:[setting]],0), MATCH(X$139, lmic_raw_lb[#Headers],0)))</f>
        <v>9.7871811848702028E-2</v>
      </c>
      <c r="Y189" s="94">
        <f>IF(INDEX(lmic_raw_lb[],MATCH($A189,lmic_raw_lb[[setting]:[setting]],0), MATCH(Y$139, lmic_raw_lb[#Headers],0))=0, INDEX(regions_lb[], MATCH($D189, regions_lb[[setting]:[setting]],0), MATCH(Y$139, regions_lb[#Headers],0)),INDEX(lmic_raw_lb[],MATCH($A189,lmic_raw_lb[[setting]:[setting]],0), MATCH(Y$139, lmic_raw_lb[#Headers],0)))</f>
        <v>4.685136811848702</v>
      </c>
      <c r="Z189" s="94">
        <f>IF(INDEX(lmic_raw_lb[],MATCH($A189,lmic_raw_lb[[setting]:[setting]],0), MATCH(Z$139, lmic_raw_lb[#Headers],0))=0, INDEX(regions_lb[], MATCH($D189, regions_lb[[setting]:[setting]],0), MATCH(Z$139, regions_lb[#Headers],0)),INDEX(lmic_raw_lb[],MATCH($A189,lmic_raw_lb[[setting]:[setting]],0), MATCH(Z$139, lmic_raw_lb[#Headers],0)))</f>
        <v>4.6827138485044566</v>
      </c>
      <c r="AA189" s="94">
        <f>IF(INDEX(lmic_raw_lb[],MATCH($A189,lmic_raw_lb[[setting]:[setting]],0), MATCH(AA$139, lmic_raw_lb[#Headers],0))=0, INDEX(regions_lb[], MATCH($D189, regions_lb[[setting]:[setting]],0), MATCH(AA$139, regions_lb[#Headers],0)),INDEX(lmic_raw_lb[],MATCH($A189,lmic_raw_lb[[setting]:[setting]],0), MATCH(AA$139, lmic_raw_lb[#Headers],0)))</f>
        <v>0.67485943125754155</v>
      </c>
      <c r="AB189" s="94">
        <f>IF(INDEX(lmic_raw_lb[],MATCH($A189,lmic_raw_lb[[setting]:[setting]],0), MATCH(AB$139, lmic_raw_lb[#Headers],0))=0, INDEX(regions_lb[], MATCH($D189, regions_lb[[setting]:[setting]],0), MATCH(AB$139, regions_lb[#Headers],0)),INDEX(lmic_raw_lb[],MATCH($A189,lmic_raw_lb[[setting]:[setting]],0), MATCH(AB$139, lmic_raw_lb[#Headers],0)))</f>
        <v>5.2621244312575417</v>
      </c>
      <c r="AC189" s="94">
        <f>IF(INDEX(lmic_raw_lb[],MATCH($A189,lmic_raw_lb[[setting]:[setting]],0), MATCH(AC$139, lmic_raw_lb[#Headers],0))=0, INDEX(regions_lb[], MATCH($D189, regions_lb[[setting]:[setting]],0), MATCH(AC$139, regions_lb[#Headers],0)),INDEX(lmic_raw_lb[],MATCH($A189,lmic_raw_lb[[setting]:[setting]],0), MATCH(AC$139, lmic_raw_lb[#Headers],0)))</f>
        <v>4.9077883499999933E-2</v>
      </c>
      <c r="AD189" s="94">
        <f>IF(INDEX(lmic_raw_lb[],MATCH($A189,lmic_raw_lb[[setting]:[setting]],0), MATCH(AD$139, lmic_raw_lb[#Headers],0))=0, INDEX(regions_lb[], MATCH($D189, regions_lb[[setting]:[setting]],0), MATCH(AD$139, regions_lb[#Headers],0)),INDEX(lmic_raw_lb[],MATCH($A189,lmic_raw_lb[[setting]:[setting]],0), MATCH(AD$139, lmic_raw_lb[#Headers],0)))</f>
        <v>7.2848840077842899E-3</v>
      </c>
      <c r="AE189" s="94">
        <f>IF(INDEX(lmic_raw_lb[],MATCH($A189,lmic_raw_lb[[setting]:[setting]],0), MATCH(AE$139, lmic_raw_lb[#Headers],0))=0, INDEX(regions_lb[], MATCH($D189, regions_lb[[setting]:[setting]],0), MATCH(AE$139, regions_lb[#Headers],0)),INDEX(lmic_raw_lb[],MATCH($A189,lmic_raw_lb[[setting]:[setting]],0), MATCH(AE$139, lmic_raw_lb[#Headers],0)))</f>
        <v>2.6154610221144551E-3</v>
      </c>
      <c r="AF189" s="94">
        <f>IF(INDEX(lmic_raw_lb[],MATCH($A189,lmic_raw_lb[[setting]:[setting]],0), MATCH(AF$139, lmic_raw_lb[#Headers],0))=0, INDEX(regions_lb[], MATCH($D189, regions_lb[[setting]:[setting]],0), MATCH(AF$139, regions_lb[#Headers],0)),INDEX(lmic_raw_lb[],MATCH($A189,lmic_raw_lb[[setting]:[setting]],0), MATCH(AF$139, lmic_raw_lb[#Headers],0)))</f>
        <v>1.5409173338267563E-3</v>
      </c>
      <c r="AG189" s="94">
        <f>IF(INDEX(lmic_raw_lb[],MATCH($A189,lmic_raw_lb[[setting]:[setting]],0), MATCH(AG$139, lmic_raw_lb[#Headers],0))=0, INDEX(regions_lb[], MATCH($D189, regions_lb[[setting]:[setting]],0), MATCH(AG$139, regions_lb[#Headers],0)),INDEX(lmic_raw_lb[],MATCH($A189,lmic_raw_lb[[setting]:[setting]],0), MATCH(AG$139, lmic_raw_lb[#Headers],0)))</f>
        <v>2.3491639442683875E-3</v>
      </c>
      <c r="AH189" s="94">
        <f>IF(INDEX(lmic_raw_lb[],MATCH($A189,lmic_raw_lb[[setting]:[setting]],0), MATCH(AH$139, lmic_raw_lb[#Headers],0))=0, INDEX(regions_lb[], MATCH($D189, regions_lb[[setting]:[setting]],0), MATCH(AH$139, regions_lb[#Headers],0)),INDEX(lmic_raw_lb[],MATCH($A189,lmic_raw_lb[[setting]:[setting]],0), MATCH(AH$139, lmic_raw_lb[#Headers],0)))</f>
        <v>3.291842805884192E-3</v>
      </c>
      <c r="AI189" s="94">
        <f>IF(INDEX(lmic_raw_lb[],MATCH($A189,lmic_raw_lb[[setting]:[setting]],0), MATCH(AI$139, lmic_raw_lb[#Headers],0))=0, INDEX(regions_lb[], MATCH($D189, regions_lb[[setting]:[setting]],0), MATCH(AI$139, regions_lb[#Headers],0)),INDEX(lmic_raw_lb[],MATCH($A189,lmic_raw_lb[[setting]:[setting]],0), MATCH(AI$139, lmic_raw_lb[#Headers],0)))</f>
        <v>3.5300912621697238E-3</v>
      </c>
      <c r="AJ189" s="94">
        <f>IF(INDEX(lmic_raw_lb[],MATCH($A189,lmic_raw_lb[[setting]:[setting]],0), MATCH(AJ$139, lmic_raw_lb[#Headers],0))=0, INDEX(regions_lb[], MATCH($D189, regions_lb[[setting]:[setting]],0), MATCH(AJ$139, regions_lb[#Headers],0)),INDEX(lmic_raw_lb[],MATCH($A189,lmic_raw_lb[[setting]:[setting]],0), MATCH(AJ$139, lmic_raw_lb[#Headers],0)))</f>
        <v>3.8955789440060025E-3</v>
      </c>
      <c r="AK189" s="94">
        <f>IF(INDEX(lmic_raw_lb[],MATCH($A189,lmic_raw_lb[[setting]:[setting]],0), MATCH(AK$139, lmic_raw_lb[#Headers],0))=0, INDEX(regions_lb[], MATCH($D189, regions_lb[[setting]:[setting]],0), MATCH(AK$139, regions_lb[#Headers],0)),INDEX(lmic_raw_lb[],MATCH($A189,lmic_raw_lb[[setting]:[setting]],0), MATCH(AK$139, lmic_raw_lb[#Headers],0)))</f>
        <v>4.4742357127749944E-3</v>
      </c>
      <c r="AL189" s="94">
        <f>IF(INDEX(lmic_raw_lb[],MATCH($A189,lmic_raw_lb[[setting]:[setting]],0), MATCH(AL$139, lmic_raw_lb[#Headers],0))=0, INDEX(regions_lb[], MATCH($D189, regions_lb[[setting]:[setting]],0), MATCH(AL$139, regions_lb[#Headers],0)),INDEX(lmic_raw_lb[],MATCH($A189,lmic_raw_lb[[setting]:[setting]],0), MATCH(AL$139, lmic_raw_lb[#Headers],0)))</f>
        <v>5.4451483363109942E-3</v>
      </c>
      <c r="AM189" s="94">
        <f>IF(INDEX(lmic_raw_lb[],MATCH($A189,lmic_raw_lb[[setting]:[setting]],0), MATCH(AM$139, lmic_raw_lb[#Headers],0))=0, INDEX(regions_lb[], MATCH($D189, regions_lb[[setting]:[setting]],0), MATCH(AM$139, regions_lb[#Headers],0)),INDEX(lmic_raw_lb[],MATCH($A189,lmic_raw_lb[[setting]:[setting]],0), MATCH(AM$139, lmic_raw_lb[#Headers],0)))</f>
        <v>6.7534989390977416E-3</v>
      </c>
      <c r="AN189" s="94">
        <f>IF(INDEX(lmic_raw_lb[],MATCH($A189,lmic_raw_lb[[setting]:[setting]],0), MATCH(AN$139, lmic_raw_lb[#Headers],0))=0, INDEX(regions_lb[], MATCH($D189, regions_lb[[setting]:[setting]],0), MATCH(AN$139, regions_lb[#Headers],0)),INDEX(lmic_raw_lb[],MATCH($A189,lmic_raw_lb[[setting]:[setting]],0), MATCH(AN$139, lmic_raw_lb[#Headers],0)))</f>
        <v>9.4871039450819157E-3</v>
      </c>
      <c r="AO189" s="94">
        <f>IF(INDEX(lmic_raw_lb[],MATCH($A189,lmic_raw_lb[[setting]:[setting]],0), MATCH(AO$139, lmic_raw_lb[#Headers],0))=0, INDEX(regions_lb[], MATCH($D189, regions_lb[[setting]:[setting]],0), MATCH(AO$139, regions_lb[#Headers],0)),INDEX(lmic_raw_lb[],MATCH($A189,lmic_raw_lb[[setting]:[setting]],0), MATCH(AO$139, lmic_raw_lb[#Headers],0)))</f>
        <v>1.3530314709319946E-2</v>
      </c>
      <c r="AP189" s="94">
        <f>IF(INDEX(lmic_raw_lb[],MATCH($A189,lmic_raw_lb[[setting]:[setting]],0), MATCH(AP$139, lmic_raw_lb[#Headers],0))=0, INDEX(regions_lb[], MATCH($D189, regions_lb[[setting]:[setting]],0), MATCH(AP$139, regions_lb[#Headers],0)),INDEX(lmic_raw_lb[],MATCH($A189,lmic_raw_lb[[setting]:[setting]],0), MATCH(AP$139, lmic_raw_lb[#Headers],0)))</f>
        <v>2.1260912018048132E-2</v>
      </c>
      <c r="AQ189" s="94">
        <f>IF(INDEX(lmic_raw_lb[],MATCH($A189,lmic_raw_lb[[setting]:[setting]],0), MATCH(AQ$139, lmic_raw_lb[#Headers],0))=0, INDEX(regions_lb[], MATCH($D189, regions_lb[[setting]:[setting]],0), MATCH(AQ$139, regions_lb[#Headers],0)),INDEX(lmic_raw_lb[],MATCH($A189,lmic_raw_lb[[setting]:[setting]],0), MATCH(AQ$139, lmic_raw_lb[#Headers],0)))</f>
        <v>3.2945890162495745E-2</v>
      </c>
      <c r="AR189" s="94">
        <f>IF(INDEX(lmic_raw_lb[],MATCH($A189,lmic_raw_lb[[setting]:[setting]],0), MATCH(AR$139, lmic_raw_lb[#Headers],0))=0, INDEX(regions_lb[], MATCH($D189, regions_lb[[setting]:[setting]],0), MATCH(AR$139, regions_lb[#Headers],0)),INDEX(lmic_raw_lb[],MATCH($A189,lmic_raw_lb[[setting]:[setting]],0), MATCH(AR$139, lmic_raw_lb[#Headers],0)))</f>
        <v>5.2868349259400926E-2</v>
      </c>
      <c r="AS189" s="94">
        <f>IF(INDEX(lmic_raw_lb[],MATCH($A189,lmic_raw_lb[[setting]:[setting]],0), MATCH(AS$139, lmic_raw_lb[#Headers],0))=0, INDEX(regions_lb[], MATCH($D189, regions_lb[[setting]:[setting]],0), MATCH(AS$139, regions_lb[#Headers],0)),INDEX(lmic_raw_lb[],MATCH($A189,lmic_raw_lb[[setting]:[setting]],0), MATCH(AS$139, lmic_raw_lb[#Headers],0)))</f>
        <v>8.1146062908274016E-2</v>
      </c>
      <c r="AT189" s="94">
        <f>IF(INDEX(lmic_raw_lb[],MATCH($A189,lmic_raw_lb[[setting]:[setting]],0), MATCH(AT$139, lmic_raw_lb[#Headers],0))=0, INDEX(regions_lb[], MATCH($D189, regions_lb[[setting]:[setting]],0), MATCH(AT$139, regions_lb[#Headers],0)),INDEX(lmic_raw_lb[],MATCH($A189,lmic_raw_lb[[setting]:[setting]],0), MATCH(AT$139, lmic_raw_lb[#Headers],0)))</f>
        <v>0.11566962410009884</v>
      </c>
      <c r="AU189" s="94">
        <f>IF(INDEX(lmic_raw_lb[],MATCH($A189,lmic_raw_lb[[setting]:[setting]],0), MATCH(AU$139, lmic_raw_lb[#Headers],0))=0, INDEX(regions_lb[], MATCH($D189, regions_lb[[setting]:[setting]],0), MATCH(AU$139, regions_lb[#Headers],0)),INDEX(lmic_raw_lb[],MATCH($A189,lmic_raw_lb[[setting]:[setting]],0), MATCH(AU$139, lmic_raw_lb[#Headers],0)))</f>
        <v>0.14699370298463021</v>
      </c>
      <c r="AV189" s="94">
        <f>IF(INDEX(lmic_raw_lb[],MATCH($A189,lmic_raw_lb[[setting]:[setting]],0), MATCH(AV$139, lmic_raw_lb[#Headers],0))=0, INDEX(regions_lb[], MATCH($D189, regions_lb[[setting]:[setting]],0), MATCH(AV$139, regions_lb[#Headers],0)),INDEX(lmic_raw_lb[],MATCH($A189,lmic_raw_lb[[setting]:[setting]],0), MATCH(AV$139, lmic_raw_lb[#Headers],0)))</f>
        <v>0.16833654448021768</v>
      </c>
      <c r="AW189" s="94">
        <f>IF(INDEX(lmic_raw_lb[],MATCH($A189,lmic_raw_lb[[setting]:[setting]],0), MATCH(AW$139, lmic_raw_lb[#Headers],0))=0, INDEX(regions_lb[], MATCH($D189, regions_lb[[setting]:[setting]],0), MATCH(AW$139, regions_lb[#Headers],0)),INDEX(lmic_raw_lb[],MATCH($A189,lmic_raw_lb[[setting]:[setting]],0), MATCH(AW$139, lmic_raw_lb[#Headers],0)))</f>
        <v>0.17861629641021978</v>
      </c>
      <c r="AX189" s="94">
        <f>IF(INDEX(lmic_raw_lb[],MATCH($A189,lmic_raw_lb[[setting]:[setting]],0), MATCH(AX$139, lmic_raw_lb[#Headers],0))=0, INDEX(regions_lb[], MATCH($D189, regions_lb[[setting]:[setting]],0), MATCH(AX$139, regions_lb[#Headers],0)),INDEX(lmic_raw_lb[],MATCH($A189,lmic_raw_lb[[setting]:[setting]],0), MATCH(AX$139, lmic_raw_lb[#Headers],0)))</f>
        <v>57.991799999999998</v>
      </c>
      <c r="AY189" s="94" t="str">
        <f>IF(VLOOKUP(lmics_lb[[#This Row],[setting]],lmic_raw_lb[],11,FALSE)=0, "Yes", "No")</f>
        <v>Yes</v>
      </c>
    </row>
    <row r="190" spans="1:51" x14ac:dyDescent="0.25">
      <c r="A190" s="109" t="s">
        <v>145</v>
      </c>
      <c r="B190" s="101" t="s">
        <v>434</v>
      </c>
      <c r="C190" s="102">
        <v>624</v>
      </c>
      <c r="D190" s="82" t="s">
        <v>677</v>
      </c>
      <c r="E190" s="121" t="s">
        <v>591</v>
      </c>
      <c r="F190" s="98" t="s">
        <v>667</v>
      </c>
      <c r="G190" s="98" t="s">
        <v>674</v>
      </c>
      <c r="H190" s="98"/>
      <c r="I190" s="98"/>
      <c r="J190" s="98">
        <f>IF(INDEX(lmic_raw_lb[],MATCH($A190,lmic_raw_lb[[setting]:[setting]],0), MATCH(J$139, lmic_raw_lb[#Headers],0))=0, INDEX(regions_lb[], MATCH($D190, regions_lb[[setting]:[setting]],0), MATCH(J$139, regions_lb[#Headers],0)),INDEX(lmic_raw_lb[],MATCH($A190,lmic_raw_lb[[setting]:[setting]],0), MATCH(J$139, lmic_raw_lb[#Headers],0)))</f>
        <v>0.41799999999999998</v>
      </c>
      <c r="K190" s="98">
        <f>IF(INDEX(lmic_raw_lb[],MATCH($A190,lmic_raw_lb[[setting]:[setting]],0), MATCH(K$139, lmic_raw_lb[#Headers],0))=0, INDEX(regions_lb[], MATCH($D190, regions_lb[[setting]:[setting]],0), MATCH(K$139, regions_lb[#Headers],0)),INDEX(lmic_raw_lb[],MATCH($A190,lmic_raw_lb[[setting]:[setting]],0), MATCH(K$139, lmic_raw_lb[#Headers],0)))</f>
        <v>0.65789974195504752</v>
      </c>
      <c r="L190" s="98">
        <f>IF(INDEX(lmic_raw_lb[],MATCH($A190,lmic_raw_lb[[setting]:[setting]],0), MATCH(L$139, lmic_raw_lb[#Headers],0))=0, INDEX(regions_lb[], MATCH($D190, regions_lb[[setting]:[setting]],0), MATCH(L$139, regions_lb[#Headers],0)),INDEX(lmic_raw_lb[],MATCH($A190,lmic_raw_lb[[setting]:[setting]],0), MATCH(L$139, lmic_raw_lb[#Headers],0)))</f>
        <v>0.79799999999999993</v>
      </c>
      <c r="M190" s="98">
        <f>IF(INDEX(lmic_raw_lb[],MATCH($A190,lmic_raw_lb[[setting]:[setting]],0), MATCH(M$139, lmic_raw_lb[#Headers],0))=0, INDEX(regions_lb[], MATCH($D190, regions_lb[[setting]:[setting]],0), MATCH(M$139, regions_lb[#Headers],0)),INDEX(lmic_raw_lb[],MATCH($A190,lmic_raw_lb[[setting]:[setting]],0), MATCH(M$139, lmic_raw_lb[#Headers],0)))</f>
        <v>4.0999999999999995E-3</v>
      </c>
      <c r="N190" s="98">
        <f>IF(INDEX(lmic_raw_lb[],MATCH($A190,lmic_raw_lb[[setting]:[setting]],0), MATCH(N$139, lmic_raw_lb[#Headers],0))=0, INDEX(regions_lb[], MATCH($D190, regions_lb[[setting]:[setting]],0), MATCH(N$139, regions_lb[#Headers],0)),INDEX(lmic_raw_lb[],MATCH($A190,lmic_raw_lb[[setting]:[setting]],0), MATCH(N$139, lmic_raw_lb[#Headers],0)))</f>
        <v>0.155</v>
      </c>
      <c r="O190" s="98">
        <f>IF(INDEX(lmic_raw_lb[],MATCH($A190,lmic_raw_lb[[setting]:[setting]],0), MATCH(O$139, lmic_raw_lb[#Headers],0))=0, INDEX(regions_lb[], MATCH($D190, regions_lb[[setting]:[setting]],0), MATCH(O$139, regions_lb[#Headers],0)),INDEX(lmic_raw_lb[],MATCH($A190,lmic_raw_lb[[setting]:[setting]],0), MATCH(O$139, lmic_raw_lb[#Headers],0)))</f>
        <v>7.0000000000000007E-2</v>
      </c>
      <c r="P190" s="98">
        <f>IF(INDEX(lmic_raw_lb[],MATCH($A190,lmic_raw_lb[[setting]:[setting]],0), MATCH(P$139, lmic_raw_lb[#Headers],0))=0, INDEX(regions_lb[], MATCH($D190, regions_lb[[setting]:[setting]],0), MATCH(P$139, regions_lb[#Headers],0)),INDEX(lmic_raw_lb[],MATCH($A190,lmic_raw_lb[[setting]:[setting]],0), MATCH(P$139, lmic_raw_lb[#Headers],0)))</f>
        <v>1E-3</v>
      </c>
      <c r="Q190" s="98">
        <f>IF(INDEX(lmic_raw_lb[],MATCH($A190,lmic_raw_lb[[setting]:[setting]],0), MATCH(Q$139, lmic_raw_lb[#Headers],0))=0, INDEX(regions_lb[], MATCH($D190, regions_lb[[setting]:[setting]],0), MATCH(Q$139, regions_lb[#Headers],0)),INDEX(lmic_raw_lb[],MATCH($A190,lmic_raw_lb[[setting]:[setting]],0), MATCH(Q$139, lmic_raw_lb[#Headers],0)))</f>
        <v>4.4249775953899046</v>
      </c>
      <c r="R190" s="98">
        <f>IF(INDEX(lmic_raw_lb[],MATCH($A190,lmic_raw_lb[[setting]:[setting]],0), MATCH(R$139, lmic_raw_lb[#Headers],0))=0, INDEX(regions_lb[], MATCH($D190, regions_lb[[setting]:[setting]],0), MATCH(R$139, regions_lb[#Headers],0)),INDEX(lmic_raw_lb[],MATCH($A190,lmic_raw_lb[[setting]:[setting]],0), MATCH(R$139, lmic_raw_lb[#Headers],0)))</f>
        <v>28.424474999999997</v>
      </c>
      <c r="S190" s="98">
        <f>IF(INDEX(lmic_raw_lb[],MATCH($A190,lmic_raw_lb[[setting]:[setting]],0), MATCH(S$139, lmic_raw_lb[#Headers],0))=0, INDEX(regions_lb[], MATCH($D190, regions_lb[[setting]:[setting]],0), MATCH(S$139, regions_lb[#Headers],0)),INDEX(lmic_raw_lb[],MATCH($A190,lmic_raw_lb[[setting]:[setting]],0), MATCH(S$139, lmic_raw_lb[#Headers],0)))</f>
        <v>73.779375000000002</v>
      </c>
      <c r="T190" s="98">
        <f>IF(INDEX(lmic_raw_lb[],MATCH($A190,lmic_raw_lb[[setting]:[setting]],0), MATCH(T$139, lmic_raw_lb[#Headers],0))=0, INDEX(regions_lb[], MATCH($D190, regions_lb[[setting]:[setting]],0), MATCH(T$139, regions_lb[#Headers],0)),INDEX(lmic_raw_lb[],MATCH($A190,lmic_raw_lb[[setting]:[setting]],0), MATCH(T$139, lmic_raw_lb[#Headers],0)))</f>
        <v>73.779375000000002</v>
      </c>
      <c r="U190" s="98">
        <f>IF(INDEX(lmic_raw_lb[],MATCH($A190,lmic_raw_lb[[setting]:[setting]],0), MATCH(U$139, lmic_raw_lb[#Headers],0))=0, INDEX(regions_lb[], MATCH($D190, regions_lb[[setting]:[setting]],0), MATCH(U$139, regions_lb[#Headers],0)),INDEX(lmic_raw_lb[],MATCH($A190,lmic_raw_lb[[setting]:[setting]],0), MATCH(U$139, lmic_raw_lb[#Headers],0)))</f>
        <v>73.779375000000002</v>
      </c>
      <c r="V190" s="98">
        <f>IF(INDEX(lmic_raw_lb[],MATCH($A190,lmic_raw_lb[[setting]:[setting]],0), MATCH(V$139, lmic_raw_lb[#Headers],0))=0, INDEX(regions_lb[], MATCH($D190, regions_lb[[setting]:[setting]],0), MATCH(V$139, regions_lb[#Headers],0)),INDEX(lmic_raw_lb[],MATCH($A190,lmic_raw_lb[[setting]:[setting]],0), MATCH(V$139, lmic_raw_lb[#Headers],0)))</f>
        <v>1.6143761064215623</v>
      </c>
      <c r="W190" s="98">
        <f>IF(INDEX(lmic_raw_lb[],MATCH($A190,lmic_raw_lb[[setting]:[setting]],0), MATCH(W$139, lmic_raw_lb[#Headers],0))=0, INDEX(regions_lb[], MATCH($D190, regions_lb[[setting]:[setting]],0), MATCH(W$139, regions_lb[#Headers],0)),INDEX(lmic_raw_lb[],MATCH($A190,lmic_raw_lb[[setting]:[setting]],0), MATCH(W$139, lmic_raw_lb[#Headers],0)))</f>
        <v>6.2016411064215626</v>
      </c>
      <c r="X190" s="98">
        <f>IF(INDEX(lmic_raw_lb[],MATCH($A190,lmic_raw_lb[[setting]:[setting]],0), MATCH(X$139, lmic_raw_lb[#Headers],0))=0, INDEX(regions_lb[], MATCH($D190, regions_lb[[setting]:[setting]],0), MATCH(X$139, regions_lb[#Headers],0)),INDEX(lmic_raw_lb[],MATCH($A190,lmic_raw_lb[[setting]:[setting]],0), MATCH(X$139, lmic_raw_lb[#Headers],0)))</f>
        <v>1.2498612431143614</v>
      </c>
      <c r="Y190" s="98">
        <f>IF(INDEX(lmic_raw_lb[],MATCH($A190,lmic_raw_lb[[setting]:[setting]],0), MATCH(Y$139, lmic_raw_lb[#Headers],0))=0, INDEX(regions_lb[], MATCH($D190, regions_lb[[setting]:[setting]],0), MATCH(Y$139, regions_lb[#Headers],0)),INDEX(lmic_raw_lb[],MATCH($A190,lmic_raw_lb[[setting]:[setting]],0), MATCH(Y$139, lmic_raw_lb[#Headers],0)))</f>
        <v>5.837126243114362</v>
      </c>
      <c r="Z190" s="98">
        <f>IF(INDEX(lmic_raw_lb[],MATCH($A190,lmic_raw_lb[[setting]:[setting]],0), MATCH(Z$139, lmic_raw_lb[#Headers],0))=0, INDEX(regions_lb[], MATCH($D190, regions_lb[[setting]:[setting]],0), MATCH(Z$139, regions_lb[#Headers],0)),INDEX(lmic_raw_lb[],MATCH($A190,lmic_raw_lb[[setting]:[setting]],0), MATCH(Z$139, lmic_raw_lb[#Headers],0)))</f>
        <v>5.8355557339732798</v>
      </c>
      <c r="AA190" s="98">
        <f>IF(INDEX(lmic_raw_lb[],MATCH($A190,lmic_raw_lb[[setting]:[setting]],0), MATCH(AA$139, lmic_raw_lb[#Headers],0))=0, INDEX(regions_lb[], MATCH($D190, regions_lb[[setting]:[setting]],0), MATCH(AA$139, regions_lb[#Headers],0)),INDEX(lmic_raw_lb[],MATCH($A190,lmic_raw_lb[[setting]:[setting]],0), MATCH(AA$139, lmic_raw_lb[#Headers],0)))</f>
        <v>1.8252382937888605</v>
      </c>
      <c r="AB190" s="98">
        <f>IF(INDEX(lmic_raw_lb[],MATCH($A190,lmic_raw_lb[[setting]:[setting]],0), MATCH(AB$139, lmic_raw_lb[#Headers],0))=0, INDEX(regions_lb[], MATCH($D190, regions_lb[[setting]:[setting]],0), MATCH(AB$139, regions_lb[#Headers],0)),INDEX(lmic_raw_lb[],MATCH($A190,lmic_raw_lb[[setting]:[setting]],0), MATCH(AB$139, lmic_raw_lb[#Headers],0)))</f>
        <v>6.4125032937888609</v>
      </c>
      <c r="AC190" s="98">
        <f>IF(INDEX(lmic_raw_lb[],MATCH($A190,lmic_raw_lb[[setting]:[setting]],0), MATCH(AC$139, lmic_raw_lb[#Headers],0))=0, INDEX(regions_lb[], MATCH($D190, regions_lb[[setting]:[setting]],0), MATCH(AC$139, regions_lb[#Headers],0)),INDEX(lmic_raw_lb[],MATCH($A190,lmic_raw_lb[[setting]:[setting]],0), MATCH(AC$139, lmic_raw_lb[#Headers],0)))</f>
        <v>5.4280187999999979E-2</v>
      </c>
      <c r="AD190" s="98">
        <f>IF(INDEX(lmic_raw_lb[],MATCH($A190,lmic_raw_lb[[setting]:[setting]],0), MATCH(AD$139, lmic_raw_lb[#Headers],0))=0, INDEX(regions_lb[], MATCH($D190, regions_lb[[setting]:[setting]],0), MATCH(AD$139, regions_lb[#Headers],0)),INDEX(lmic_raw_lb[],MATCH($A190,lmic_raw_lb[[setting]:[setting]],0), MATCH(AD$139, lmic_raw_lb[#Headers],0)))</f>
        <v>6.3784592832027255E-3</v>
      </c>
      <c r="AE190" s="98">
        <f>IF(INDEX(lmic_raw_lb[],MATCH($A190,lmic_raw_lb[[setting]:[setting]],0), MATCH(AE$139, lmic_raw_lb[#Headers],0))=0, INDEX(regions_lb[], MATCH($D190, regions_lb[[setting]:[setting]],0), MATCH(AE$139, regions_lb[#Headers],0)),INDEX(lmic_raw_lb[],MATCH($A190,lmic_raw_lb[[setting]:[setting]],0), MATCH(AE$139, lmic_raw_lb[#Headers],0)))</f>
        <v>2.5100441310075871E-3</v>
      </c>
      <c r="AF190" s="98">
        <f>IF(INDEX(lmic_raw_lb[],MATCH($A190,lmic_raw_lb[[setting]:[setting]],0), MATCH(AF$139, lmic_raw_lb[#Headers],0))=0, INDEX(regions_lb[], MATCH($D190, regions_lb[[setting]:[setting]],0), MATCH(AF$139, regions_lb[#Headers],0)),INDEX(lmic_raw_lb[],MATCH($A190,lmic_raw_lb[[setting]:[setting]],0), MATCH(AF$139, lmic_raw_lb[#Headers],0)))</f>
        <v>1.7653610223655695E-3</v>
      </c>
      <c r="AG190" s="98">
        <f>IF(INDEX(lmic_raw_lb[],MATCH($A190,lmic_raw_lb[[setting]:[setting]],0), MATCH(AG$139, lmic_raw_lb[#Headers],0))=0, INDEX(regions_lb[], MATCH($D190, regions_lb[[setting]:[setting]],0), MATCH(AG$139, regions_lb[#Headers],0)),INDEX(lmic_raw_lb[],MATCH($A190,lmic_raw_lb[[setting]:[setting]],0), MATCH(AG$139, lmic_raw_lb[#Headers],0)))</f>
        <v>2.6205185958456468E-3</v>
      </c>
      <c r="AH190" s="98">
        <f>IF(INDEX(lmic_raw_lb[],MATCH($A190,lmic_raw_lb[[setting]:[setting]],0), MATCH(AH$139, lmic_raw_lb[#Headers],0))=0, INDEX(regions_lb[], MATCH($D190, regions_lb[[setting]:[setting]],0), MATCH(AH$139, regions_lb[#Headers],0)),INDEX(lmic_raw_lb[],MATCH($A190,lmic_raw_lb[[setting]:[setting]],0), MATCH(AH$139, lmic_raw_lb[#Headers],0)))</f>
        <v>3.8639883269384065E-3</v>
      </c>
      <c r="AI190" s="98">
        <f>IF(INDEX(lmic_raw_lb[],MATCH($A190,lmic_raw_lb[[setting]:[setting]],0), MATCH(AI$139, lmic_raw_lb[#Headers],0))=0, INDEX(regions_lb[], MATCH($D190, regions_lb[[setting]:[setting]],0), MATCH(AI$139, regions_lb[#Headers],0)),INDEX(lmic_raw_lb[],MATCH($A190,lmic_raw_lb[[setting]:[setting]],0), MATCH(AI$139, lmic_raw_lb[#Headers],0)))</f>
        <v>4.8825981662353277E-3</v>
      </c>
      <c r="AJ190" s="98">
        <f>IF(INDEX(lmic_raw_lb[],MATCH($A190,lmic_raw_lb[[setting]:[setting]],0), MATCH(AJ$139, lmic_raw_lb[#Headers],0))=0, INDEX(regions_lb[], MATCH($D190, regions_lb[[setting]:[setting]],0), MATCH(AJ$139, regions_lb[#Headers],0)),INDEX(lmic_raw_lb[],MATCH($A190,lmic_raw_lb[[setting]:[setting]],0), MATCH(AJ$139, lmic_raw_lb[#Headers],0)))</f>
        <v>5.9657099155428573E-3</v>
      </c>
      <c r="AK190" s="98">
        <f>IF(INDEX(lmic_raw_lb[],MATCH($A190,lmic_raw_lb[[setting]:[setting]],0), MATCH(AK$139, lmic_raw_lb[#Headers],0))=0, INDEX(regions_lb[], MATCH($D190, regions_lb[[setting]:[setting]],0), MATCH(AK$139, regions_lb[#Headers],0)),INDEX(lmic_raw_lb[],MATCH($A190,lmic_raw_lb[[setting]:[setting]],0), MATCH(AK$139, lmic_raw_lb[#Headers],0)))</f>
        <v>7.4527575879289789E-3</v>
      </c>
      <c r="AL190" s="98">
        <f>IF(INDEX(lmic_raw_lb[],MATCH($A190,lmic_raw_lb[[setting]:[setting]],0), MATCH(AL$139, lmic_raw_lb[#Headers],0))=0, INDEX(regions_lb[], MATCH($D190, regions_lb[[setting]:[setting]],0), MATCH(AL$139, regions_lb[#Headers],0)),INDEX(lmic_raw_lb[],MATCH($A190,lmic_raw_lb[[setting]:[setting]],0), MATCH(AL$139, lmic_raw_lb[#Headers],0)))</f>
        <v>9.0333540197626433E-3</v>
      </c>
      <c r="AM190" s="98">
        <f>IF(INDEX(lmic_raw_lb[],MATCH($A190,lmic_raw_lb[[setting]:[setting]],0), MATCH(AM$139, lmic_raw_lb[#Headers],0))=0, INDEX(regions_lb[], MATCH($D190, regions_lb[[setting]:[setting]],0), MATCH(AM$139, regions_lb[#Headers],0)),INDEX(lmic_raw_lb[],MATCH($A190,lmic_raw_lb[[setting]:[setting]],0), MATCH(AM$139, lmic_raw_lb[#Headers],0)))</f>
        <v>1.083185133686196E-2</v>
      </c>
      <c r="AN190" s="98">
        <f>IF(INDEX(lmic_raw_lb[],MATCH($A190,lmic_raw_lb[[setting]:[setting]],0), MATCH(AN$139, lmic_raw_lb[#Headers],0))=0, INDEX(regions_lb[], MATCH($D190, regions_lb[[setting]:[setting]],0), MATCH(AN$139, regions_lb[#Headers],0)),INDEX(lmic_raw_lb[],MATCH($A190,lmic_raw_lb[[setting]:[setting]],0), MATCH(AN$139, lmic_raw_lb[#Headers],0)))</f>
        <v>1.41014984561626E-2</v>
      </c>
      <c r="AO190" s="98">
        <f>IF(INDEX(lmic_raw_lb[],MATCH($A190,lmic_raw_lb[[setting]:[setting]],0), MATCH(AO$139, lmic_raw_lb[#Headers],0))=0, INDEX(regions_lb[], MATCH($D190, regions_lb[[setting]:[setting]],0), MATCH(AO$139, regions_lb[#Headers],0)),INDEX(lmic_raw_lb[],MATCH($A190,lmic_raw_lb[[setting]:[setting]],0), MATCH(AO$139, lmic_raw_lb[#Headers],0)))</f>
        <v>1.7932651662926315E-2</v>
      </c>
      <c r="AP190" s="98">
        <f>IF(INDEX(lmic_raw_lb[],MATCH($A190,lmic_raw_lb[[setting]:[setting]],0), MATCH(AP$139, lmic_raw_lb[#Headers],0))=0, INDEX(regions_lb[], MATCH($D190, regions_lb[[setting]:[setting]],0), MATCH(AP$139, regions_lb[#Headers],0)),INDEX(lmic_raw_lb[],MATCH($A190,lmic_raw_lb[[setting]:[setting]],0), MATCH(AP$139, lmic_raw_lb[#Headers],0)))</f>
        <v>2.5244433152075946E-2</v>
      </c>
      <c r="AQ190" s="98">
        <f>IF(INDEX(lmic_raw_lb[],MATCH($A190,lmic_raw_lb[[setting]:[setting]],0), MATCH(AQ$139, lmic_raw_lb[#Headers],0))=0, INDEX(regions_lb[], MATCH($D190, regions_lb[[setting]:[setting]],0), MATCH(AQ$139, regions_lb[#Headers],0)),INDEX(lmic_raw_lb[],MATCH($A190,lmic_raw_lb[[setting]:[setting]],0), MATCH(AQ$139, lmic_raw_lb[#Headers],0)))</f>
        <v>3.6891059563204813E-2</v>
      </c>
      <c r="AR190" s="98">
        <f>IF(INDEX(lmic_raw_lb[],MATCH($A190,lmic_raw_lb[[setting]:[setting]],0), MATCH(AR$139, lmic_raw_lb[#Headers],0))=0, INDEX(regions_lb[], MATCH($D190, regions_lb[[setting]:[setting]],0), MATCH(AR$139, regions_lb[#Headers],0)),INDEX(lmic_raw_lb[],MATCH($A190,lmic_raw_lb[[setting]:[setting]],0), MATCH(AR$139, lmic_raw_lb[#Headers],0)))</f>
        <v>5.4910446938156561E-2</v>
      </c>
      <c r="AS190" s="98">
        <f>IF(INDEX(lmic_raw_lb[],MATCH($A190,lmic_raw_lb[[setting]:[setting]],0), MATCH(AS$139, lmic_raw_lb[#Headers],0))=0, INDEX(regions_lb[], MATCH($D190, regions_lb[[setting]:[setting]],0), MATCH(AS$139, regions_lb[#Headers],0)),INDEX(lmic_raw_lb[],MATCH($A190,lmic_raw_lb[[setting]:[setting]],0), MATCH(AS$139, lmic_raw_lb[#Headers],0)))</f>
        <v>8.0257890686713601E-2</v>
      </c>
      <c r="AT190" s="98">
        <f>IF(INDEX(lmic_raw_lb[],MATCH($A190,lmic_raw_lb[[setting]:[setting]],0), MATCH(AT$139, lmic_raw_lb[#Headers],0))=0, INDEX(regions_lb[], MATCH($D190, regions_lb[[setting]:[setting]],0), MATCH(AT$139, regions_lb[#Headers],0)),INDEX(lmic_raw_lb[],MATCH($A190,lmic_raw_lb[[setting]:[setting]],0), MATCH(AT$139, lmic_raw_lb[#Headers],0)))</f>
        <v>0.11472913908092124</v>
      </c>
      <c r="AU190" s="98">
        <f>IF(INDEX(lmic_raw_lb[],MATCH($A190,lmic_raw_lb[[setting]:[setting]],0), MATCH(AU$139, lmic_raw_lb[#Headers],0))=0, INDEX(regions_lb[], MATCH($D190, regions_lb[[setting]:[setting]],0), MATCH(AU$139, regions_lb[#Headers],0)),INDEX(lmic_raw_lb[],MATCH($A190,lmic_raw_lb[[setting]:[setting]],0), MATCH(AU$139, lmic_raw_lb[#Headers],0)))</f>
        <v>0.15050121704684408</v>
      </c>
      <c r="AV190" s="98">
        <f>IF(INDEX(lmic_raw_lb[],MATCH($A190,lmic_raw_lb[[setting]:[setting]],0), MATCH(AV$139, lmic_raw_lb[#Headers],0))=0, INDEX(regions_lb[], MATCH($D190, regions_lb[[setting]:[setting]],0), MATCH(AV$139, regions_lb[#Headers],0)),INDEX(lmic_raw_lb[],MATCH($A190,lmic_raw_lb[[setting]:[setting]],0), MATCH(AV$139, lmic_raw_lb[#Headers],0)))</f>
        <v>0.17507744438665621</v>
      </c>
      <c r="AW190" s="98">
        <f>IF(INDEX(lmic_raw_lb[],MATCH($A190,lmic_raw_lb[[setting]:[setting]],0), MATCH(AW$139, lmic_raw_lb[#Headers],0))=0, INDEX(regions_lb[], MATCH($D190, regions_lb[[setting]:[setting]],0), MATCH(AW$139, regions_lb[#Headers],0)),INDEX(lmic_raw_lb[],MATCH($A190,lmic_raw_lb[[setting]:[setting]],0), MATCH(AW$139, lmic_raw_lb[#Headers],0)))</f>
        <v>0.18034935240873903</v>
      </c>
      <c r="AX190" s="98">
        <f>IF(INDEX(lmic_raw_lb[],MATCH($A190,lmic_raw_lb[[setting]:[setting]],0), MATCH(AX$139, lmic_raw_lb[#Headers],0))=0, INDEX(regions_lb[], MATCH($D190, regions_lb[[setting]:[setting]],0), MATCH(AX$139, regions_lb[#Headers],0)),INDEX(lmic_raw_lb[],MATCH($A190,lmic_raw_lb[[setting]:[setting]],0), MATCH(AX$139, lmic_raw_lb[#Headers],0)))</f>
        <v>54.928049999999999</v>
      </c>
      <c r="AY190" s="98" t="str">
        <f>IF(VLOOKUP(lmics_lb[[#This Row],[setting]],lmic_raw_lb[],11,FALSE)=0, "Yes", "No")</f>
        <v>Yes</v>
      </c>
    </row>
    <row r="191" spans="1:51" x14ac:dyDescent="0.25">
      <c r="A191" s="110" t="s">
        <v>270</v>
      </c>
      <c r="B191" s="104" t="s">
        <v>435</v>
      </c>
      <c r="C191" s="105">
        <v>328</v>
      </c>
      <c r="D191" s="84" t="s">
        <v>679</v>
      </c>
      <c r="E191" s="122" t="s">
        <v>223</v>
      </c>
      <c r="F191" s="94" t="s">
        <v>665</v>
      </c>
      <c r="G191" s="94" t="s">
        <v>676</v>
      </c>
      <c r="H191" s="94"/>
      <c r="I191" s="94"/>
      <c r="J191" s="94">
        <f>IF(INDEX(lmic_raw_lb[],MATCH($A191,lmic_raw_lb[[setting]:[setting]],0), MATCH(J$139, lmic_raw_lb[#Headers],0))=0, INDEX(regions_lb[], MATCH($D191, regions_lb[[setting]:[setting]],0), MATCH(J$139, regions_lb[#Headers],0)),INDEX(lmic_raw_lb[],MATCH($A191,lmic_raw_lb[[setting]:[setting]],0), MATCH(J$139, lmic_raw_lb[#Headers],0)))</f>
        <v>0.88065000000000004</v>
      </c>
      <c r="K191" s="94">
        <f>IF(INDEX(lmic_raw_lb[],MATCH($A191,lmic_raw_lb[[setting]:[setting]],0), MATCH(K$139, lmic_raw_lb[#Headers],0))=0, INDEX(regions_lb[], MATCH($D191, regions_lb[[setting]:[setting]],0), MATCH(K$139, regions_lb[#Headers],0)),INDEX(lmic_raw_lb[],MATCH($A191,lmic_raw_lb[[setting]:[setting]],0), MATCH(K$139, lmic_raw_lb[#Headers],0)))</f>
        <v>0.70839362529601158</v>
      </c>
      <c r="L191" s="94">
        <f>IF(INDEX(lmic_raw_lb[],MATCH($A191,lmic_raw_lb[[setting]:[setting]],0), MATCH(L$139, lmic_raw_lb[#Headers],0))=0, INDEX(regions_lb[], MATCH($D191, regions_lb[[setting]:[setting]],0), MATCH(L$139, regions_lb[#Headers],0)),INDEX(lmic_raw_lb[],MATCH($A191,lmic_raw_lb[[setting]:[setting]],0), MATCH(L$139, lmic_raw_lb[#Headers],0)))</f>
        <v>0.9405</v>
      </c>
      <c r="M191" s="94">
        <f>IF(INDEX(lmic_raw_lb[],MATCH($A191,lmic_raw_lb[[setting]:[setting]],0), MATCH(M$139, lmic_raw_lb[#Headers],0))=0, INDEX(regions_lb[], MATCH($D191, regions_lb[[setting]:[setting]],0), MATCH(M$139, regions_lb[#Headers],0)),INDEX(lmic_raw_lb[],MATCH($A191,lmic_raw_lb[[setting]:[setting]],0), MATCH(M$139, lmic_raw_lb[#Headers],0)))</f>
        <v>1.8E-3</v>
      </c>
      <c r="N191" s="94">
        <f>IF(INDEX(lmic_raw_lb[],MATCH($A191,lmic_raw_lb[[setting]:[setting]],0), MATCH(N$139, lmic_raw_lb[#Headers],0))=0, INDEX(regions_lb[], MATCH($D191, regions_lb[[setting]:[setting]],0), MATCH(N$139, regions_lb[#Headers],0)),INDEX(lmic_raw_lb[],MATCH($A191,lmic_raw_lb[[setting]:[setting]],0), MATCH(N$139, lmic_raw_lb[#Headers],0)))</f>
        <v>0.16309999999999999</v>
      </c>
      <c r="O191" s="94">
        <f>IF(INDEX(lmic_raw_lb[],MATCH($A191,lmic_raw_lb[[setting]:[setting]],0), MATCH(O$139, lmic_raw_lb[#Headers],0))=0, INDEX(regions_lb[], MATCH($D191, regions_lb[[setting]:[setting]],0), MATCH(O$139, regions_lb[#Headers],0)),INDEX(lmic_raw_lb[],MATCH($A191,lmic_raw_lb[[setting]:[setting]],0), MATCH(O$139, lmic_raw_lb[#Headers],0)))</f>
        <v>0.7</v>
      </c>
      <c r="P191" s="94">
        <f>IF(INDEX(lmic_raw_lb[],MATCH($A191,lmic_raw_lb[[setting]:[setting]],0), MATCH(P$139, lmic_raw_lb[#Headers],0))=0, INDEX(regions_lb[], MATCH($D191, regions_lb[[setting]:[setting]],0), MATCH(P$139, regions_lb[#Headers],0)),INDEX(lmic_raw_lb[],MATCH($A191,lmic_raw_lb[[setting]:[setting]],0), MATCH(P$139, lmic_raw_lb[#Headers],0)))</f>
        <v>0.05</v>
      </c>
      <c r="Q191" s="94">
        <f>IF(INDEX(lmic_raw_lb[],MATCH($A191,lmic_raw_lb[[setting]:[setting]],0), MATCH(Q$139, lmic_raw_lb[#Headers],0))=0, INDEX(regions_lb[], MATCH($D191, regions_lb[[setting]:[setting]],0), MATCH(Q$139, regions_lb[#Headers],0)),INDEX(lmic_raw_lb[],MATCH($A191,lmic_raw_lb[[setting]:[setting]],0), MATCH(Q$139, lmic_raw_lb[#Headers],0)))</f>
        <v>7.0355900780257601</v>
      </c>
      <c r="R191" s="94">
        <f>IF(INDEX(lmic_raw_lb[],MATCH($A191,lmic_raw_lb[[setting]:[setting]],0), MATCH(R$139, lmic_raw_lb[#Headers],0))=0, INDEX(regions_lb[], MATCH($D191, regions_lb[[setting]:[setting]],0), MATCH(R$139, regions_lb[#Headers],0)),INDEX(lmic_raw_lb[],MATCH($A191,lmic_raw_lb[[setting]:[setting]],0), MATCH(R$139, lmic_raw_lb[#Headers],0)))</f>
        <v>82.539704999999998</v>
      </c>
      <c r="S191" s="94">
        <f>IF(INDEX(lmic_raw_lb[],MATCH($A191,lmic_raw_lb[[setting]:[setting]],0), MATCH(S$139, lmic_raw_lb[#Headers],0))=0, INDEX(regions_lb[], MATCH($D191, regions_lb[[setting]:[setting]],0), MATCH(S$139, regions_lb[#Headers],0)),INDEX(lmic_raw_lb[],MATCH($A191,lmic_raw_lb[[setting]:[setting]],0), MATCH(S$139, lmic_raw_lb[#Headers],0)))</f>
        <v>127.894605</v>
      </c>
      <c r="T191" s="94">
        <f>IF(INDEX(lmic_raw_lb[],MATCH($A191,lmic_raw_lb[[setting]:[setting]],0), MATCH(T$139, lmic_raw_lb[#Headers],0))=0, INDEX(regions_lb[], MATCH($D191, regions_lb[[setting]:[setting]],0), MATCH(T$139, regions_lb[#Headers],0)),INDEX(lmic_raw_lb[],MATCH($A191,lmic_raw_lb[[setting]:[setting]],0), MATCH(T$139, lmic_raw_lb[#Headers],0)))</f>
        <v>127.894605</v>
      </c>
      <c r="U191" s="94">
        <f>IF(INDEX(lmic_raw_lb[],MATCH($A191,lmic_raw_lb[[setting]:[setting]],0), MATCH(U$139, lmic_raw_lb[#Headers],0))=0, INDEX(regions_lb[], MATCH($D191, regions_lb[[setting]:[setting]],0), MATCH(U$139, regions_lb[#Headers],0)),INDEX(lmic_raw_lb[],MATCH($A191,lmic_raw_lb[[setting]:[setting]],0), MATCH(U$139, lmic_raw_lb[#Headers],0)))</f>
        <v>127.894605</v>
      </c>
      <c r="V191" s="94">
        <f>IF(INDEX(lmic_raw_lb[],MATCH($A191,lmic_raw_lb[[setting]:[setting]],0), MATCH(V$139, lmic_raw_lb[#Headers],0))=0, INDEX(regions_lb[], MATCH($D191, regions_lb[[setting]:[setting]],0), MATCH(V$139, regions_lb[#Headers],0)),INDEX(lmic_raw_lb[],MATCH($A191,lmic_raw_lb[[setting]:[setting]],0), MATCH(V$139, lmic_raw_lb[#Headers],0)))</f>
        <v>3.7407833930727397</v>
      </c>
      <c r="W191" s="94">
        <f>IF(INDEX(lmic_raw_lb[],MATCH($A191,lmic_raw_lb[[setting]:[setting]],0), MATCH(W$139, lmic_raw_lb[#Headers],0))=0, INDEX(regions_lb[], MATCH($D191, regions_lb[[setting]:[setting]],0), MATCH(W$139, regions_lb[#Headers],0)),INDEX(lmic_raw_lb[],MATCH($A191,lmic_raw_lb[[setting]:[setting]],0), MATCH(W$139, lmic_raw_lb[#Headers],0)))</f>
        <v>3.7614933930727394</v>
      </c>
      <c r="X191" s="94">
        <f>IF(INDEX(lmic_raw_lb[],MATCH($A191,lmic_raw_lb[[setting]:[setting]],0), MATCH(X$139, lmic_raw_lb[#Headers],0))=0, INDEX(regions_lb[], MATCH($D191, regions_lb[[setting]:[setting]],0), MATCH(X$139, regions_lb[#Headers],0)),INDEX(lmic_raw_lb[],MATCH($A191,lmic_raw_lb[[setting]:[setting]],0), MATCH(X$139, lmic_raw_lb[#Headers],0)))</f>
        <v>3.370130235262113</v>
      </c>
      <c r="Y191" s="94">
        <f>IF(INDEX(lmic_raw_lb[],MATCH($A191,lmic_raw_lb[[setting]:[setting]],0), MATCH(Y$139, lmic_raw_lb[#Headers],0))=0, INDEX(regions_lb[], MATCH($D191, regions_lb[[setting]:[setting]],0), MATCH(Y$139, regions_lb[#Headers],0)),INDEX(lmic_raw_lb[],MATCH($A191,lmic_raw_lb[[setting]:[setting]],0), MATCH(Y$139, lmic_raw_lb[#Headers],0)))</f>
        <v>3.3908402352621128</v>
      </c>
      <c r="Z191" s="94">
        <f>IF(INDEX(lmic_raw_lb[],MATCH($A191,lmic_raw_lb[[setting]:[setting]],0), MATCH(Z$139, lmic_raw_lb[#Headers],0))=0, INDEX(regions_lb[], MATCH($D191, regions_lb[[setting]:[setting]],0), MATCH(Z$139, regions_lb[#Headers],0)),INDEX(lmic_raw_lb[],MATCH($A191,lmic_raw_lb[[setting]:[setting]],0), MATCH(Z$139, lmic_raw_lb[#Headers],0)))</f>
        <v>3.3851399863831353</v>
      </c>
      <c r="AA191" s="94">
        <f>IF(INDEX(lmic_raw_lb[],MATCH($A191,lmic_raw_lb[[setting]:[setting]],0), MATCH(AA$139, lmic_raw_lb[#Headers],0))=0, INDEX(regions_lb[], MATCH($D191, regions_lb[[setting]:[setting]],0), MATCH(AA$139, regions_lb[#Headers],0)),INDEX(lmic_raw_lb[],MATCH($A191,lmic_raw_lb[[setting]:[setting]],0), MATCH(AA$139, lmic_raw_lb[#Headers],0)))</f>
        <v>3.9542762780843637</v>
      </c>
      <c r="AB191" s="94">
        <f>IF(INDEX(lmic_raw_lb[],MATCH($A191,lmic_raw_lb[[setting]:[setting]],0), MATCH(AB$139, lmic_raw_lb[#Headers],0))=0, INDEX(regions_lb[], MATCH($D191, regions_lb[[setting]:[setting]],0), MATCH(AB$139, regions_lb[#Headers],0)),INDEX(lmic_raw_lb[],MATCH($A191,lmic_raw_lb[[setting]:[setting]],0), MATCH(AB$139, lmic_raw_lb[#Headers],0)))</f>
        <v>3.9749862780843634</v>
      </c>
      <c r="AC191" s="94">
        <f>IF(INDEX(lmic_raw_lb[],MATCH($A191,lmic_raw_lb[[setting]:[setting]],0), MATCH(AC$139, lmic_raw_lb[#Headers],0))=0, INDEX(regions_lb[], MATCH($D191, regions_lb[[setting]:[setting]],0), MATCH(AC$139, regions_lb[#Headers],0)),INDEX(lmic_raw_lb[],MATCH($A191,lmic_raw_lb[[setting]:[setting]],0), MATCH(AC$139, lmic_raw_lb[#Headers],0)))</f>
        <v>2.5432554500000041E-2</v>
      </c>
      <c r="AD191" s="94">
        <f>IF(INDEX(lmic_raw_lb[],MATCH($A191,lmic_raw_lb[[setting]:[setting]],0), MATCH(AD$139, lmic_raw_lb[#Headers],0))=0, INDEX(regions_lb[], MATCH($D191, regions_lb[[setting]:[setting]],0), MATCH(AD$139, regions_lb[#Headers],0)),INDEX(lmic_raw_lb[],MATCH($A191,lmic_raw_lb[[setting]:[setting]],0), MATCH(AD$139, lmic_raw_lb[#Headers],0)))</f>
        <v>1.3488779602504196E-3</v>
      </c>
      <c r="AE191" s="94">
        <f>IF(INDEX(lmic_raw_lb[],MATCH($A191,lmic_raw_lb[[setting]:[setting]],0), MATCH(AE$139, lmic_raw_lb[#Headers],0))=0, INDEX(regions_lb[], MATCH($D191, regions_lb[[setting]:[setting]],0), MATCH(AE$139, regions_lb[#Headers],0)),INDEX(lmic_raw_lb[],MATCH($A191,lmic_raw_lb[[setting]:[setting]],0), MATCH(AE$139, lmic_raw_lb[#Headers],0)))</f>
        <v>8.9838431057430999E-4</v>
      </c>
      <c r="AF191" s="94">
        <f>IF(INDEX(lmic_raw_lb[],MATCH($A191,lmic_raw_lb[[setting]:[setting]],0), MATCH(AF$139, lmic_raw_lb[#Headers],0))=0, INDEX(regions_lb[], MATCH($D191, regions_lb[[setting]:[setting]],0), MATCH(AF$139, regions_lb[#Headers],0)),INDEX(lmic_raw_lb[],MATCH($A191,lmic_raw_lb[[setting]:[setting]],0), MATCH(AF$139, lmic_raw_lb[#Headers],0)))</f>
        <v>7.3346792080115344E-4</v>
      </c>
      <c r="AG191" s="94">
        <f>IF(INDEX(lmic_raw_lb[],MATCH($A191,lmic_raw_lb[[setting]:[setting]],0), MATCH(AG$139, lmic_raw_lb[#Headers],0))=0, INDEX(regions_lb[], MATCH($D191, regions_lb[[setting]:[setting]],0), MATCH(AG$139, regions_lb[#Headers],0)),INDEX(lmic_raw_lb[],MATCH($A191,lmic_raw_lb[[setting]:[setting]],0), MATCH(AG$139, lmic_raw_lb[#Headers],0)))</f>
        <v>1.6392921416879963E-3</v>
      </c>
      <c r="AH191" s="94">
        <f>IF(INDEX(lmic_raw_lb[],MATCH($A191,lmic_raw_lb[[setting]:[setting]],0), MATCH(AH$139, lmic_raw_lb[#Headers],0))=0, INDEX(regions_lb[], MATCH($D191, regions_lb[[setting]:[setting]],0), MATCH(AH$139, regions_lb[#Headers],0)),INDEX(lmic_raw_lb[],MATCH($A191,lmic_raw_lb[[setting]:[setting]],0), MATCH(AH$139, lmic_raw_lb[#Headers],0)))</f>
        <v>2.6731378382595546E-3</v>
      </c>
      <c r="AI191" s="94">
        <f>IF(INDEX(lmic_raw_lb[],MATCH($A191,lmic_raw_lb[[setting]:[setting]],0), MATCH(AI$139, lmic_raw_lb[#Headers],0))=0, INDEX(regions_lb[], MATCH($D191, regions_lb[[setting]:[setting]],0), MATCH(AI$139, regions_lb[#Headers],0)),INDEX(lmic_raw_lb[],MATCH($A191,lmic_raw_lb[[setting]:[setting]],0), MATCH(AI$139, lmic_raw_lb[#Headers],0)))</f>
        <v>3.3401634510571271E-3</v>
      </c>
      <c r="AJ191" s="94">
        <f>IF(INDEX(lmic_raw_lb[],MATCH($A191,lmic_raw_lb[[setting]:[setting]],0), MATCH(AJ$139, lmic_raw_lb[#Headers],0))=0, INDEX(regions_lb[], MATCH($D191, regions_lb[[setting]:[setting]],0), MATCH(AJ$139, regions_lb[#Headers],0)),INDEX(lmic_raw_lb[],MATCH($A191,lmic_raw_lb[[setting]:[setting]],0), MATCH(AJ$139, lmic_raw_lb[#Headers],0)))</f>
        <v>3.587777785448405E-3</v>
      </c>
      <c r="AK191" s="94">
        <f>IF(INDEX(lmic_raw_lb[],MATCH($A191,lmic_raw_lb[[setting]:[setting]],0), MATCH(AK$139, lmic_raw_lb[#Headers],0))=0, INDEX(regions_lb[], MATCH($D191, regions_lb[[setting]:[setting]],0), MATCH(AK$139, regions_lb[#Headers],0)),INDEX(lmic_raw_lb[],MATCH($A191,lmic_raw_lb[[setting]:[setting]],0), MATCH(AK$139, lmic_raw_lb[#Headers],0)))</f>
        <v>4.1709101841110744E-3</v>
      </c>
      <c r="AL191" s="94">
        <f>IF(INDEX(lmic_raw_lb[],MATCH($A191,lmic_raw_lb[[setting]:[setting]],0), MATCH(AL$139, lmic_raw_lb[#Headers],0))=0, INDEX(regions_lb[], MATCH($D191, regions_lb[[setting]:[setting]],0), MATCH(AL$139, regions_lb[#Headers],0)),INDEX(lmic_raw_lb[],MATCH($A191,lmic_raw_lb[[setting]:[setting]],0), MATCH(AL$139, lmic_raw_lb[#Headers],0)))</f>
        <v>4.7600355410731179E-3</v>
      </c>
      <c r="AM191" s="94">
        <f>IF(INDEX(lmic_raw_lb[],MATCH($A191,lmic_raw_lb[[setting]:[setting]],0), MATCH(AM$139, lmic_raw_lb[#Headers],0))=0, INDEX(regions_lb[], MATCH($D191, regions_lb[[setting]:[setting]],0), MATCH(AM$139, regions_lb[#Headers],0)),INDEX(lmic_raw_lb[],MATCH($A191,lmic_raw_lb[[setting]:[setting]],0), MATCH(AM$139, lmic_raw_lb[#Headers],0)))</f>
        <v>5.6855445486840286E-3</v>
      </c>
      <c r="AN191" s="94">
        <f>IF(INDEX(lmic_raw_lb[],MATCH($A191,lmic_raw_lb[[setting]:[setting]],0), MATCH(AN$139, lmic_raw_lb[#Headers],0))=0, INDEX(regions_lb[], MATCH($D191, regions_lb[[setting]:[setting]],0), MATCH(AN$139, regions_lb[#Headers],0)),INDEX(lmic_raw_lb[],MATCH($A191,lmic_raw_lb[[setting]:[setting]],0), MATCH(AN$139, lmic_raw_lb[#Headers],0)))</f>
        <v>1.0408046411438027E-2</v>
      </c>
      <c r="AO191" s="94">
        <f>IF(INDEX(lmic_raw_lb[],MATCH($A191,lmic_raw_lb[[setting]:[setting]],0), MATCH(AO$139, lmic_raw_lb[#Headers],0))=0, INDEX(regions_lb[], MATCH($D191, regions_lb[[setting]:[setting]],0), MATCH(AO$139, regions_lb[#Headers],0)),INDEX(lmic_raw_lb[],MATCH($A191,lmic_raw_lb[[setting]:[setting]],0), MATCH(AO$139, lmic_raw_lb[#Headers],0)))</f>
        <v>1.1912816261913439E-2</v>
      </c>
      <c r="AP191" s="94">
        <f>IF(INDEX(lmic_raw_lb[],MATCH($A191,lmic_raw_lb[[setting]:[setting]],0), MATCH(AP$139, lmic_raw_lb[#Headers],0))=0, INDEX(regions_lb[], MATCH($D191, regions_lb[[setting]:[setting]],0), MATCH(AP$139, regions_lb[#Headers],0)),INDEX(lmic_raw_lb[],MATCH($A191,lmic_raw_lb[[setting]:[setting]],0), MATCH(AP$139, lmic_raw_lb[#Headers],0)))</f>
        <v>1.6518627991128972E-2</v>
      </c>
      <c r="AQ191" s="94">
        <f>IF(INDEX(lmic_raw_lb[],MATCH($A191,lmic_raw_lb[[setting]:[setting]],0), MATCH(AQ$139, lmic_raw_lb[#Headers],0))=0, INDEX(regions_lb[], MATCH($D191, regions_lb[[setting]:[setting]],0), MATCH(AQ$139, regions_lb[#Headers],0)),INDEX(lmic_raw_lb[],MATCH($A191,lmic_raw_lb[[setting]:[setting]],0), MATCH(AQ$139, lmic_raw_lb[#Headers],0)))</f>
        <v>2.1811842252690485E-2</v>
      </c>
      <c r="AR191" s="94">
        <f>IF(INDEX(lmic_raw_lb[],MATCH($A191,lmic_raw_lb[[setting]:[setting]],0), MATCH(AR$139, lmic_raw_lb[#Headers],0))=0, INDEX(regions_lb[], MATCH($D191, regions_lb[[setting]:[setting]],0), MATCH(AR$139, regions_lb[#Headers],0)),INDEX(lmic_raw_lb[],MATCH($A191,lmic_raw_lb[[setting]:[setting]],0), MATCH(AR$139, lmic_raw_lb[#Headers],0)))</f>
        <v>2.9339403379639962E-2</v>
      </c>
      <c r="AS191" s="94">
        <f>IF(INDEX(lmic_raw_lb[],MATCH($A191,lmic_raw_lb[[setting]:[setting]],0), MATCH(AS$139, lmic_raw_lb[#Headers],0))=0, INDEX(regions_lb[], MATCH($D191, regions_lb[[setting]:[setting]],0), MATCH(AS$139, regions_lb[#Headers],0)),INDEX(lmic_raw_lb[],MATCH($A191,lmic_raw_lb[[setting]:[setting]],0), MATCH(AS$139, lmic_raw_lb[#Headers],0)))</f>
        <v>4.437799726488096E-2</v>
      </c>
      <c r="AT191" s="94">
        <f>IF(INDEX(lmic_raw_lb[],MATCH($A191,lmic_raw_lb[[setting]:[setting]],0), MATCH(AT$139, lmic_raw_lb[#Headers],0))=0, INDEX(regions_lb[], MATCH($D191, regions_lb[[setting]:[setting]],0), MATCH(AT$139, regions_lb[#Headers],0)),INDEX(lmic_raw_lb[],MATCH($A191,lmic_raw_lb[[setting]:[setting]],0), MATCH(AT$139, lmic_raw_lb[#Headers],0)))</f>
        <v>5.676019434638583E-2</v>
      </c>
      <c r="AU191" s="94">
        <f>IF(INDEX(lmic_raw_lb[],MATCH($A191,lmic_raw_lb[[setting]:[setting]],0), MATCH(AU$139, lmic_raw_lb[#Headers],0))=0, INDEX(regions_lb[], MATCH($D191, regions_lb[[setting]:[setting]],0), MATCH(AU$139, regions_lb[#Headers],0)),INDEX(lmic_raw_lb[],MATCH($A191,lmic_raw_lb[[setting]:[setting]],0), MATCH(AU$139, lmic_raw_lb[#Headers],0)))</f>
        <v>7.4769691525443174E-2</v>
      </c>
      <c r="AV191" s="94">
        <f>IF(INDEX(lmic_raw_lb[],MATCH($A191,lmic_raw_lb[[setting]:[setting]],0), MATCH(AV$139, lmic_raw_lb[#Headers],0))=0, INDEX(regions_lb[], MATCH($D191, regions_lb[[setting]:[setting]],0), MATCH(AV$139, regions_lb[#Headers],0)),INDEX(lmic_raw_lb[],MATCH($A191,lmic_raw_lb[[setting]:[setting]],0), MATCH(AV$139, lmic_raw_lb[#Headers],0)))</f>
        <v>9.417813447461669E-2</v>
      </c>
      <c r="AW191" s="94">
        <f>IF(INDEX(lmic_raw_lb[],MATCH($A191,lmic_raw_lb[[setting]:[setting]],0), MATCH(AW$139, lmic_raw_lb[#Headers],0))=0, INDEX(regions_lb[], MATCH($D191, regions_lb[[setting]:[setting]],0), MATCH(AW$139, regions_lb[#Headers],0)),INDEX(lmic_raw_lb[],MATCH($A191,lmic_raw_lb[[setting]:[setting]],0), MATCH(AW$139, lmic_raw_lb[#Headers],0)))</f>
        <v>0.11376314473843613</v>
      </c>
      <c r="AX191" s="94">
        <f>IF(INDEX(lmic_raw_lb[],MATCH($A191,lmic_raw_lb[[setting]:[setting]],0), MATCH(AX$139, lmic_raw_lb[#Headers],0))=0, INDEX(regions_lb[], MATCH($D191, regions_lb[[setting]:[setting]],0), MATCH(AX$139, regions_lb[#Headers],0)),INDEX(lmic_raw_lb[],MATCH($A191,lmic_raw_lb[[setting]:[setting]],0), MATCH(AX$139, lmic_raw_lb[#Headers],0)))</f>
        <v>66.227349999999987</v>
      </c>
      <c r="AY191" s="94" t="str">
        <f>IF(VLOOKUP(lmics_lb[[#This Row],[setting]],lmic_raw_lb[],11,FALSE)=0, "Yes", "No")</f>
        <v>Yes</v>
      </c>
    </row>
    <row r="192" spans="1:51" x14ac:dyDescent="0.25">
      <c r="A192" s="109" t="s">
        <v>238</v>
      </c>
      <c r="B192" s="101" t="s">
        <v>436</v>
      </c>
      <c r="C192" s="102">
        <v>332</v>
      </c>
      <c r="D192" s="82" t="s">
        <v>679</v>
      </c>
      <c r="E192" s="121" t="s">
        <v>223</v>
      </c>
      <c r="F192" s="98" t="s">
        <v>665</v>
      </c>
      <c r="G192" s="98" t="s">
        <v>674</v>
      </c>
      <c r="H192" s="98"/>
      <c r="I192" s="98"/>
      <c r="J192" s="98">
        <f>IF(INDEX(lmic_raw_lb[],MATCH($A192,lmic_raw_lb[[setting]:[setting]],0), MATCH(J$139, lmic_raw_lb[#Headers],0))=0, INDEX(regions_lb[], MATCH($D192, regions_lb[[setting]:[setting]],0), MATCH(J$139, regions_lb[#Headers],0)),INDEX(lmic_raw_lb[],MATCH($A192,lmic_raw_lb[[setting]:[setting]],0), MATCH(J$139, lmic_raw_lb[#Headers],0)))</f>
        <v>0.37429999999999997</v>
      </c>
      <c r="K192" s="98">
        <f>IF(INDEX(lmic_raw_lb[],MATCH($A192,lmic_raw_lb[[setting]:[setting]],0), MATCH(K$139, lmic_raw_lb[#Headers],0))=0, INDEX(regions_lb[], MATCH($D192, regions_lb[[setting]:[setting]],0), MATCH(K$139, regions_lb[#Headers],0)),INDEX(lmic_raw_lb[],MATCH($A192,lmic_raw_lb[[setting]:[setting]],0), MATCH(K$139, lmic_raw_lb[#Headers],0)))</f>
        <v>0.70839362529601158</v>
      </c>
      <c r="L192" s="98">
        <f>IF(INDEX(lmic_raw_lb[],MATCH($A192,lmic_raw_lb[[setting]:[setting]],0), MATCH(L$139, lmic_raw_lb[#Headers],0))=0, INDEX(regions_lb[], MATCH($D192, regions_lb[[setting]:[setting]],0), MATCH(L$139, regions_lb[#Headers],0)),INDEX(lmic_raw_lb[],MATCH($A192,lmic_raw_lb[[setting]:[setting]],0), MATCH(L$139, lmic_raw_lb[#Headers],0)))</f>
        <v>0.48449999999999999</v>
      </c>
      <c r="M192" s="98">
        <f>IF(INDEX(lmic_raw_lb[],MATCH($A192,lmic_raw_lb[[setting]:[setting]],0), MATCH(M$139, lmic_raw_lb[#Headers],0))=0, INDEX(regions_lb[], MATCH($D192, regions_lb[[setting]:[setting]],0), MATCH(M$139, regions_lb[#Headers],0)),INDEX(lmic_raw_lb[],MATCH($A192,lmic_raw_lb[[setting]:[setting]],0), MATCH(M$139, lmic_raw_lb[#Headers],0)))</f>
        <v>2.0199999999999999E-2</v>
      </c>
      <c r="N192" s="98">
        <f>IF(INDEX(lmic_raw_lb[],MATCH($A192,lmic_raw_lb[[setting]:[setting]],0), MATCH(N$139, lmic_raw_lb[#Headers],0))=0, INDEX(regions_lb[], MATCH($D192, regions_lb[[setting]:[setting]],0), MATCH(N$139, regions_lb[#Headers],0)),INDEX(lmic_raw_lb[],MATCH($A192,lmic_raw_lb[[setting]:[setting]],0), MATCH(N$139, lmic_raw_lb[#Headers],0)))</f>
        <v>0.16309999999999999</v>
      </c>
      <c r="O192" s="98">
        <f>IF(INDEX(lmic_raw_lb[],MATCH($A192,lmic_raw_lb[[setting]:[setting]],0), MATCH(O$139, lmic_raw_lb[#Headers],0))=0, INDEX(regions_lb[], MATCH($D192, regions_lb[[setting]:[setting]],0), MATCH(O$139, regions_lb[#Headers],0)),INDEX(lmic_raw_lb[],MATCH($A192,lmic_raw_lb[[setting]:[setting]],0), MATCH(O$139, lmic_raw_lb[#Headers],0)))</f>
        <v>0.7</v>
      </c>
      <c r="P192" s="98">
        <f>IF(INDEX(lmic_raw_lb[],MATCH($A192,lmic_raw_lb[[setting]:[setting]],0), MATCH(P$139, lmic_raw_lb[#Headers],0))=0, INDEX(regions_lb[], MATCH($D192, regions_lb[[setting]:[setting]],0), MATCH(P$139, regions_lb[#Headers],0)),INDEX(lmic_raw_lb[],MATCH($A192,lmic_raw_lb[[setting]:[setting]],0), MATCH(P$139, lmic_raw_lb[#Headers],0)))</f>
        <v>0.05</v>
      </c>
      <c r="Q192" s="98">
        <f>IF(INDEX(lmic_raw_lb[],MATCH($A192,lmic_raw_lb[[setting]:[setting]],0), MATCH(Q$139, lmic_raw_lb[#Headers],0))=0, INDEX(regions_lb[], MATCH($D192, regions_lb[[setting]:[setting]],0), MATCH(Q$139, regions_lb[#Headers],0)),INDEX(lmic_raw_lb[],MATCH($A192,lmic_raw_lb[[setting]:[setting]],0), MATCH(Q$139, lmic_raw_lb[#Headers],0)))</f>
        <v>3.1342332911832664</v>
      </c>
      <c r="R192" s="98">
        <f>IF(INDEX(lmic_raw_lb[],MATCH($A192,lmic_raw_lb[[setting]:[setting]],0), MATCH(R$139, lmic_raw_lb[#Headers],0))=0, INDEX(regions_lb[], MATCH($D192, regions_lb[[setting]:[setting]],0), MATCH(R$139, regions_lb[#Headers],0)),INDEX(lmic_raw_lb[],MATCH($A192,lmic_raw_lb[[setting]:[setting]],0), MATCH(R$139, lmic_raw_lb[#Headers],0)))</f>
        <v>82.539704999999998</v>
      </c>
      <c r="S192" s="98">
        <f>IF(INDEX(lmic_raw_lb[],MATCH($A192,lmic_raw_lb[[setting]:[setting]],0), MATCH(S$139, lmic_raw_lb[#Headers],0))=0, INDEX(regions_lb[], MATCH($D192, regions_lb[[setting]:[setting]],0), MATCH(S$139, regions_lb[#Headers],0)),INDEX(lmic_raw_lb[],MATCH($A192,lmic_raw_lb[[setting]:[setting]],0), MATCH(S$139, lmic_raw_lb[#Headers],0)))</f>
        <v>127.894605</v>
      </c>
      <c r="T192" s="98">
        <f>IF(INDEX(lmic_raw_lb[],MATCH($A192,lmic_raw_lb[[setting]:[setting]],0), MATCH(T$139, lmic_raw_lb[#Headers],0))=0, INDEX(regions_lb[], MATCH($D192, regions_lb[[setting]:[setting]],0), MATCH(T$139, regions_lb[#Headers],0)),INDEX(lmic_raw_lb[],MATCH($A192,lmic_raw_lb[[setting]:[setting]],0), MATCH(T$139, lmic_raw_lb[#Headers],0)))</f>
        <v>127.894605</v>
      </c>
      <c r="U192" s="98">
        <f>IF(INDEX(lmic_raw_lb[],MATCH($A192,lmic_raw_lb[[setting]:[setting]],0), MATCH(U$139, lmic_raw_lb[#Headers],0))=0, INDEX(regions_lb[], MATCH($D192, regions_lb[[setting]:[setting]],0), MATCH(U$139, regions_lb[#Headers],0)),INDEX(lmic_raw_lb[],MATCH($A192,lmic_raw_lb[[setting]:[setting]],0), MATCH(U$139, lmic_raw_lb[#Headers],0)))</f>
        <v>127.894605</v>
      </c>
      <c r="V192" s="98">
        <f>IF(INDEX(lmic_raw_lb[],MATCH($A192,lmic_raw_lb[[setting]:[setting]],0), MATCH(V$139, lmic_raw_lb[#Headers],0))=0, INDEX(regions_lb[], MATCH($D192, regions_lb[[setting]:[setting]],0), MATCH(V$139, regions_lb[#Headers],0)),INDEX(lmic_raw_lb[],MATCH($A192,lmic_raw_lb[[setting]:[setting]],0), MATCH(V$139, lmic_raw_lb[#Headers],0)))</f>
        <v>0.67200290172810917</v>
      </c>
      <c r="W192" s="98">
        <f>IF(INDEX(lmic_raw_lb[],MATCH($A192,lmic_raw_lb[[setting]:[setting]],0), MATCH(W$139, lmic_raw_lb[#Headers],0))=0, INDEX(regions_lb[], MATCH($D192, regions_lb[[setting]:[setting]],0), MATCH(W$139, regions_lb[#Headers],0)),INDEX(lmic_raw_lb[],MATCH($A192,lmic_raw_lb[[setting]:[setting]],0), MATCH(W$139, lmic_raw_lb[#Headers],0)))</f>
        <v>0.69271290172810918</v>
      </c>
      <c r="X192" s="98">
        <f>IF(INDEX(lmic_raw_lb[],MATCH($A192,lmic_raw_lb[[setting]:[setting]],0), MATCH(X$139, lmic_raw_lb[#Headers],0))=0, INDEX(regions_lb[], MATCH($D192, regions_lb[[setting]:[setting]],0), MATCH(X$139, regions_lb[#Headers],0)),INDEX(lmic_raw_lb[],MATCH($A192,lmic_raw_lb[[setting]:[setting]],0), MATCH(X$139, lmic_raw_lb[#Headers],0)))</f>
        <v>0.30533582858880082</v>
      </c>
      <c r="Y192" s="98">
        <f>IF(INDEX(lmic_raw_lb[],MATCH($A192,lmic_raw_lb[[setting]:[setting]],0), MATCH(Y$139, lmic_raw_lb[#Headers],0))=0, INDEX(regions_lb[], MATCH($D192, regions_lb[[setting]:[setting]],0), MATCH(Y$139, regions_lb[#Headers],0)),INDEX(lmic_raw_lb[],MATCH($A192,lmic_raw_lb[[setting]:[setting]],0), MATCH(Y$139, lmic_raw_lb[#Headers],0)))</f>
        <v>0.32604582858880082</v>
      </c>
      <c r="Z192" s="98">
        <f>IF(INDEX(lmic_raw_lb[],MATCH($A192,lmic_raw_lb[[setting]:[setting]],0), MATCH(Z$139, lmic_raw_lb[#Headers],0))=0, INDEX(regions_lb[], MATCH($D192, regions_lb[[setting]:[setting]],0), MATCH(Z$139, regions_lb[#Headers],0)),INDEX(lmic_raw_lb[],MATCH($A192,lmic_raw_lb[[setting]:[setting]],0), MATCH(Z$139, lmic_raw_lb[#Headers],0)))</f>
        <v>0.32304288304112</v>
      </c>
      <c r="AA192" s="98">
        <f>IF(INDEX(lmic_raw_lb[],MATCH($A192,lmic_raw_lb[[setting]:[setting]],0), MATCH(AA$139, lmic_raw_lb[#Headers],0))=0, INDEX(regions_lb[], MATCH($D192, regions_lb[[setting]:[setting]],0), MATCH(AA$139, regions_lb[#Headers],0)),INDEX(lmic_raw_lb[],MATCH($A192,lmic_raw_lb[[setting]:[setting]],0), MATCH(AA$139, lmic_raw_lb[#Headers],0)))</f>
        <v>0.88378746473773917</v>
      </c>
      <c r="AB192" s="98">
        <f>IF(INDEX(lmic_raw_lb[],MATCH($A192,lmic_raw_lb[[setting]:[setting]],0), MATCH(AB$139, lmic_raw_lb[#Headers],0))=0, INDEX(regions_lb[], MATCH($D192, regions_lb[[setting]:[setting]],0), MATCH(AB$139, regions_lb[#Headers],0)),INDEX(lmic_raw_lb[],MATCH($A192,lmic_raw_lb[[setting]:[setting]],0), MATCH(AB$139, lmic_raw_lb[#Headers],0)))</f>
        <v>0.90449746473773918</v>
      </c>
      <c r="AC192" s="98">
        <f>IF(INDEX(lmic_raw_lb[],MATCH($A192,lmic_raw_lb[[setting]:[setting]],0), MATCH(AC$139, lmic_raw_lb[#Headers],0))=0, INDEX(regions_lb[], MATCH($D192, regions_lb[[setting]:[setting]],0), MATCH(AC$139, regions_lb[#Headers],0)),INDEX(lmic_raw_lb[],MATCH($A192,lmic_raw_lb[[setting]:[setting]],0), MATCH(AC$139, lmic_raw_lb[#Headers],0)))</f>
        <v>5.1607752500000034E-2</v>
      </c>
      <c r="AD192" s="98">
        <f>IF(INDEX(lmic_raw_lb[],MATCH($A192,lmic_raw_lb[[setting]:[setting]],0), MATCH(AD$139, lmic_raw_lb[#Headers],0))=0, INDEX(regions_lb[], MATCH($D192, regions_lb[[setting]:[setting]],0), MATCH(AD$139, regions_lb[#Headers],0)),INDEX(lmic_raw_lb[],MATCH($A192,lmic_raw_lb[[setting]:[setting]],0), MATCH(AD$139, lmic_raw_lb[#Headers],0)))</f>
        <v>6.713845745591215E-3</v>
      </c>
      <c r="AE192" s="98">
        <f>IF(INDEX(lmic_raw_lb[],MATCH($A192,lmic_raw_lb[[setting]:[setting]],0), MATCH(AE$139, lmic_raw_lb[#Headers],0))=0, INDEX(regions_lb[], MATCH($D192, regions_lb[[setting]:[setting]],0), MATCH(AE$139, regions_lb[#Headers],0)),INDEX(lmic_raw_lb[],MATCH($A192,lmic_raw_lb[[setting]:[setting]],0), MATCH(AE$139, lmic_raw_lb[#Headers],0)))</f>
        <v>2.3889735695220918E-3</v>
      </c>
      <c r="AF192" s="98">
        <f>IF(INDEX(lmic_raw_lb[],MATCH($A192,lmic_raw_lb[[setting]:[setting]],0), MATCH(AF$139, lmic_raw_lb[#Headers],0))=0, INDEX(regions_lb[], MATCH($D192, regions_lb[[setting]:[setting]],0), MATCH(AF$139, regions_lb[#Headers],0)),INDEX(lmic_raw_lb[],MATCH($A192,lmic_raw_lb[[setting]:[setting]],0), MATCH(AF$139, lmic_raw_lb[#Headers],0)))</f>
        <v>1.9440235816073196E-3</v>
      </c>
      <c r="AG192" s="98">
        <f>IF(INDEX(lmic_raw_lb[],MATCH($A192,lmic_raw_lb[[setting]:[setting]],0), MATCH(AG$139, lmic_raw_lb[#Headers],0))=0, INDEX(regions_lb[], MATCH($D192, regions_lb[[setting]:[setting]],0), MATCH(AG$139, regions_lb[#Headers],0)),INDEX(lmic_raw_lb[],MATCH($A192,lmic_raw_lb[[setting]:[setting]],0), MATCH(AG$139, lmic_raw_lb[#Headers],0)))</f>
        <v>2.4055879249673126E-3</v>
      </c>
      <c r="AH192" s="98">
        <f>IF(INDEX(lmic_raw_lb[],MATCH($A192,lmic_raw_lb[[setting]:[setting]],0), MATCH(AH$139, lmic_raw_lb[#Headers],0))=0, INDEX(regions_lb[], MATCH($D192, regions_lb[[setting]:[setting]],0), MATCH(AH$139, regions_lb[#Headers],0)),INDEX(lmic_raw_lb[],MATCH($A192,lmic_raw_lb[[setting]:[setting]],0), MATCH(AH$139, lmic_raw_lb[#Headers],0)))</f>
        <v>3.0394372938494195E-3</v>
      </c>
      <c r="AI192" s="98">
        <f>IF(INDEX(lmic_raw_lb[],MATCH($A192,lmic_raw_lb[[setting]:[setting]],0), MATCH(AI$139, lmic_raw_lb[#Headers],0))=0, INDEX(regions_lb[], MATCH($D192, regions_lb[[setting]:[setting]],0), MATCH(AI$139, regions_lb[#Headers],0)),INDEX(lmic_raw_lb[],MATCH($A192,lmic_raw_lb[[setting]:[setting]],0), MATCH(AI$139, lmic_raw_lb[#Headers],0)))</f>
        <v>3.6100262174568027E-3</v>
      </c>
      <c r="AJ192" s="98">
        <f>IF(INDEX(lmic_raw_lb[],MATCH($A192,lmic_raw_lb[[setting]:[setting]],0), MATCH(AJ$139, lmic_raw_lb[#Headers],0))=0, INDEX(regions_lb[], MATCH($D192, regions_lb[[setting]:[setting]],0), MATCH(AJ$139, regions_lb[#Headers],0)),INDEX(lmic_raw_lb[],MATCH($A192,lmic_raw_lb[[setting]:[setting]],0), MATCH(AJ$139, lmic_raw_lb[#Headers],0)))</f>
        <v>4.1028881554310802E-3</v>
      </c>
      <c r="AK192" s="98">
        <f>IF(INDEX(lmic_raw_lb[],MATCH($A192,lmic_raw_lb[[setting]:[setting]],0), MATCH(AK$139, lmic_raw_lb[#Headers],0))=0, INDEX(regions_lb[], MATCH($D192, regions_lb[[setting]:[setting]],0), MATCH(AK$139, regions_lb[#Headers],0)),INDEX(lmic_raw_lb[],MATCH($A192,lmic_raw_lb[[setting]:[setting]],0), MATCH(AK$139, lmic_raw_lb[#Headers],0)))</f>
        <v>4.6041483300399986E-3</v>
      </c>
      <c r="AL192" s="98">
        <f>IF(INDEX(lmic_raw_lb[],MATCH($A192,lmic_raw_lb[[setting]:[setting]],0), MATCH(AL$139, lmic_raw_lb[#Headers],0))=0, INDEX(regions_lb[], MATCH($D192, regions_lb[[setting]:[setting]],0), MATCH(AL$139, regions_lb[#Headers],0)),INDEX(lmic_raw_lb[],MATCH($A192,lmic_raw_lb[[setting]:[setting]],0), MATCH(AL$139, lmic_raw_lb[#Headers],0)))</f>
        <v>5.2702729491879456E-3</v>
      </c>
      <c r="AM192" s="98">
        <f>IF(INDEX(lmic_raw_lb[],MATCH($A192,lmic_raw_lb[[setting]:[setting]],0), MATCH(AM$139, lmic_raw_lb[#Headers],0))=0, INDEX(regions_lb[], MATCH($D192, regions_lb[[setting]:[setting]],0), MATCH(AM$139, regions_lb[#Headers],0)),INDEX(lmic_raw_lb[],MATCH($A192,lmic_raw_lb[[setting]:[setting]],0), MATCH(AM$139, lmic_raw_lb[#Headers],0)))</f>
        <v>6.3349620943564267E-3</v>
      </c>
      <c r="AN192" s="98">
        <f>IF(INDEX(lmic_raw_lb[],MATCH($A192,lmic_raw_lb[[setting]:[setting]],0), MATCH(AN$139, lmic_raw_lb[#Headers],0))=0, INDEX(regions_lb[], MATCH($D192, regions_lb[[setting]:[setting]],0), MATCH(AN$139, regions_lb[#Headers],0)),INDEX(lmic_raw_lb[],MATCH($A192,lmic_raw_lb[[setting]:[setting]],0), MATCH(AN$139, lmic_raw_lb[#Headers],0)))</f>
        <v>8.1465952735742218E-3</v>
      </c>
      <c r="AO192" s="98">
        <f>IF(INDEX(lmic_raw_lb[],MATCH($A192,lmic_raw_lb[[setting]:[setting]],0), MATCH(AO$139, lmic_raw_lb[#Headers],0))=0, INDEX(regions_lb[], MATCH($D192, regions_lb[[setting]:[setting]],0), MATCH(AO$139, regions_lb[#Headers],0)),INDEX(lmic_raw_lb[],MATCH($A192,lmic_raw_lb[[setting]:[setting]],0), MATCH(AO$139, lmic_raw_lb[#Headers],0)))</f>
        <v>1.1219330259294506E-2</v>
      </c>
      <c r="AP192" s="98">
        <f>IF(INDEX(lmic_raw_lb[],MATCH($A192,lmic_raw_lb[[setting]:[setting]],0), MATCH(AP$139, lmic_raw_lb[#Headers],0))=0, INDEX(regions_lb[], MATCH($D192, regions_lb[[setting]:[setting]],0), MATCH(AP$139, regions_lb[#Headers],0)),INDEX(lmic_raw_lb[],MATCH($A192,lmic_raw_lb[[setting]:[setting]],0), MATCH(AP$139, lmic_raw_lb[#Headers],0)))</f>
        <v>1.6330077641416817E-2</v>
      </c>
      <c r="AQ192" s="98">
        <f>IF(INDEX(lmic_raw_lb[],MATCH($A192,lmic_raw_lb[[setting]:[setting]],0), MATCH(AQ$139, lmic_raw_lb[#Headers],0))=0, INDEX(regions_lb[], MATCH($D192, regions_lb[[setting]:[setting]],0), MATCH(AQ$139, regions_lb[#Headers],0)),INDEX(lmic_raw_lb[],MATCH($A192,lmic_raw_lb[[setting]:[setting]],0), MATCH(AQ$139, lmic_raw_lb[#Headers],0)))</f>
        <v>2.4561916833615239E-2</v>
      </c>
      <c r="AR192" s="98">
        <f>IF(INDEX(lmic_raw_lb[],MATCH($A192,lmic_raw_lb[[setting]:[setting]],0), MATCH(AR$139, lmic_raw_lb[#Headers],0))=0, INDEX(regions_lb[], MATCH($D192, regions_lb[[setting]:[setting]],0), MATCH(AR$139, regions_lb[#Headers],0)),INDEX(lmic_raw_lb[],MATCH($A192,lmic_raw_lb[[setting]:[setting]],0), MATCH(AR$139, lmic_raw_lb[#Headers],0)))</f>
        <v>3.7446162366875341E-2</v>
      </c>
      <c r="AS192" s="98">
        <f>IF(INDEX(lmic_raw_lb[],MATCH($A192,lmic_raw_lb[[setting]:[setting]],0), MATCH(AS$139, lmic_raw_lb[#Headers],0))=0, INDEX(regions_lb[], MATCH($D192, regions_lb[[setting]:[setting]],0), MATCH(AS$139, regions_lb[#Headers],0)),INDEX(lmic_raw_lb[],MATCH($A192,lmic_raw_lb[[setting]:[setting]],0), MATCH(AS$139, lmic_raw_lb[#Headers],0)))</f>
        <v>5.6435457665112577E-2</v>
      </c>
      <c r="AT192" s="98">
        <f>IF(INDEX(lmic_raw_lb[],MATCH($A192,lmic_raw_lb[[setting]:[setting]],0), MATCH(AT$139, lmic_raw_lb[#Headers],0))=0, INDEX(regions_lb[], MATCH($D192, regions_lb[[setting]:[setting]],0), MATCH(AT$139, regions_lb[#Headers],0)),INDEX(lmic_raw_lb[],MATCH($A192,lmic_raw_lb[[setting]:[setting]],0), MATCH(AT$139, lmic_raw_lb[#Headers],0)))</f>
        <v>7.7712849419006927E-2</v>
      </c>
      <c r="AU192" s="98">
        <f>IF(INDEX(lmic_raw_lb[],MATCH($A192,lmic_raw_lb[[setting]:[setting]],0), MATCH(AU$139, lmic_raw_lb[#Headers],0))=0, INDEX(regions_lb[], MATCH($D192, regions_lb[[setting]:[setting]],0), MATCH(AU$139, regions_lb[#Headers],0)),INDEX(lmic_raw_lb[],MATCH($A192,lmic_raw_lb[[setting]:[setting]],0), MATCH(AU$139, lmic_raw_lb[#Headers],0)))</f>
        <v>0.10054840629879461</v>
      </c>
      <c r="AV192" s="98">
        <f>IF(INDEX(lmic_raw_lb[],MATCH($A192,lmic_raw_lb[[setting]:[setting]],0), MATCH(AV$139, lmic_raw_lb[#Headers],0))=0, INDEX(regions_lb[], MATCH($D192, regions_lb[[setting]:[setting]],0), MATCH(AV$139, regions_lb[#Headers],0)),INDEX(lmic_raw_lb[],MATCH($A192,lmic_raw_lb[[setting]:[setting]],0), MATCH(AV$139, lmic_raw_lb[#Headers],0)))</f>
        <v>0.12214049399050121</v>
      </c>
      <c r="AW192" s="98">
        <f>IF(INDEX(lmic_raw_lb[],MATCH($A192,lmic_raw_lb[[setting]:[setting]],0), MATCH(AW$139, lmic_raw_lb[#Headers],0))=0, INDEX(regions_lb[], MATCH($D192, regions_lb[[setting]:[setting]],0), MATCH(AW$139, regions_lb[#Headers],0)),INDEX(lmic_raw_lb[],MATCH($A192,lmic_raw_lb[[setting]:[setting]],0), MATCH(AW$139, lmic_raw_lb[#Headers],0)))</f>
        <v>0.14082283241957885</v>
      </c>
      <c r="AX192" s="98">
        <f>IF(INDEX(lmic_raw_lb[],MATCH($A192,lmic_raw_lb[[setting]:[setting]],0), MATCH(AX$139, lmic_raw_lb[#Headers],0))=0, INDEX(regions_lb[], MATCH($D192, regions_lb[[setting]:[setting]],0), MATCH(AX$139, regions_lb[#Headers],0)),INDEX(lmic_raw_lb[],MATCH($A192,lmic_raw_lb[[setting]:[setting]],0), MATCH(AX$139, lmic_raw_lb[#Headers],0)))</f>
        <v>60.343049999999998</v>
      </c>
      <c r="AY192" s="98" t="str">
        <f>IF(VLOOKUP(lmics_lb[[#This Row],[setting]],lmic_raw_lb[],11,FALSE)=0, "Yes", "No")</f>
        <v>Yes</v>
      </c>
    </row>
    <row r="193" spans="1:51" x14ac:dyDescent="0.25">
      <c r="A193" s="110" t="s">
        <v>257</v>
      </c>
      <c r="B193" s="104" t="s">
        <v>437</v>
      </c>
      <c r="C193" s="105">
        <v>340</v>
      </c>
      <c r="D193" s="84" t="s">
        <v>679</v>
      </c>
      <c r="E193" s="122" t="s">
        <v>604</v>
      </c>
      <c r="F193" s="94" t="s">
        <v>665</v>
      </c>
      <c r="G193" s="94" t="s">
        <v>678</v>
      </c>
      <c r="H193" s="94"/>
      <c r="I193" s="94"/>
      <c r="J193" s="94">
        <f>IF(INDEX(lmic_raw_lb[],MATCH($A193,lmic_raw_lb[[setting]:[setting]],0), MATCH(J$139, lmic_raw_lb[#Headers],0))=0, INDEX(regions_lb[], MATCH($D193, regions_lb[[setting]:[setting]],0), MATCH(J$139, regions_lb[#Headers],0)),INDEX(lmic_raw_lb[],MATCH($A193,lmic_raw_lb[[setting]:[setting]],0), MATCH(J$139, lmic_raw_lb[#Headers],0)))</f>
        <v>0.78565000000000007</v>
      </c>
      <c r="K193" s="94">
        <f>IF(INDEX(lmic_raw_lb[],MATCH($A193,lmic_raw_lb[[setting]:[setting]],0), MATCH(K$139, lmic_raw_lb[#Headers],0))=0, INDEX(regions_lb[], MATCH($D193, regions_lb[[setting]:[setting]],0), MATCH(K$139, regions_lb[#Headers],0)),INDEX(lmic_raw_lb[],MATCH($A193,lmic_raw_lb[[setting]:[setting]],0), MATCH(K$139, lmic_raw_lb[#Headers],0)))</f>
        <v>0.71249999999999991</v>
      </c>
      <c r="L193" s="94">
        <f>IF(INDEX(lmic_raw_lb[],MATCH($A193,lmic_raw_lb[[setting]:[setting]],0), MATCH(L$139, lmic_raw_lb[#Headers],0))=0, INDEX(regions_lb[], MATCH($D193, regions_lb[[setting]:[setting]],0), MATCH(L$139, regions_lb[#Headers],0)),INDEX(lmic_raw_lb[],MATCH($A193,lmic_raw_lb[[setting]:[setting]],0), MATCH(L$139, lmic_raw_lb[#Headers],0)))</f>
        <v>0.82650000000000001</v>
      </c>
      <c r="M193" s="94">
        <f>IF(INDEX(lmic_raw_lb[],MATCH($A193,lmic_raw_lb[[setting]:[setting]],0), MATCH(M$139, lmic_raw_lb[#Headers],0))=0, INDEX(regions_lb[], MATCH($D193, regions_lb[[setting]:[setting]],0), MATCH(M$139, regions_lb[#Headers],0)),INDEX(lmic_raw_lb[],MATCH($A193,lmic_raw_lb[[setting]:[setting]],0), MATCH(M$139, lmic_raw_lb[#Headers],0)))</f>
        <v>8.0000000000000004E-4</v>
      </c>
      <c r="N193" s="94">
        <f>IF(INDEX(lmic_raw_lb[],MATCH($A193,lmic_raw_lb[[setting]:[setting]],0), MATCH(N$139, lmic_raw_lb[#Headers],0))=0, INDEX(regions_lb[], MATCH($D193, regions_lb[[setting]:[setting]],0), MATCH(N$139, regions_lb[#Headers],0)),INDEX(lmic_raw_lb[],MATCH($A193,lmic_raw_lb[[setting]:[setting]],0), MATCH(N$139, lmic_raw_lb[#Headers],0)))</f>
        <v>0.16440000000000002</v>
      </c>
      <c r="O193" s="94">
        <f>IF(INDEX(lmic_raw_lb[],MATCH($A193,lmic_raw_lb[[setting]:[setting]],0), MATCH(O$139, lmic_raw_lb[#Headers],0))=0, INDEX(regions_lb[], MATCH($D193, regions_lb[[setting]:[setting]],0), MATCH(O$139, regions_lb[#Headers],0)),INDEX(lmic_raw_lb[],MATCH($A193,lmic_raw_lb[[setting]:[setting]],0), MATCH(O$139, lmic_raw_lb[#Headers],0)))</f>
        <v>0.7</v>
      </c>
      <c r="P193" s="94">
        <f>IF(INDEX(lmic_raw_lb[],MATCH($A193,lmic_raw_lb[[setting]:[setting]],0), MATCH(P$139, lmic_raw_lb[#Headers],0))=0, INDEX(regions_lb[], MATCH($D193, regions_lb[[setting]:[setting]],0), MATCH(P$139, regions_lb[#Headers],0)),INDEX(lmic_raw_lb[],MATCH($A193,lmic_raw_lb[[setting]:[setting]],0), MATCH(P$139, lmic_raw_lb[#Headers],0)))</f>
        <v>0.05</v>
      </c>
      <c r="Q193" s="94">
        <f>IF(INDEX(lmic_raw_lb[],MATCH($A193,lmic_raw_lb[[setting]:[setting]],0), MATCH(Q$139, lmic_raw_lb[#Headers],0))=0, INDEX(regions_lb[], MATCH($D193, regions_lb[[setting]:[setting]],0), MATCH(Q$139, regions_lb[#Headers],0)),INDEX(lmic_raw_lb[],MATCH($A193,lmic_raw_lb[[setting]:[setting]],0), MATCH(Q$139, lmic_raw_lb[#Headers],0)))</f>
        <v>5.1074628799041806</v>
      </c>
      <c r="R193" s="94">
        <f>IF(INDEX(lmic_raw_lb[],MATCH($A193,lmic_raw_lb[[setting]:[setting]],0), MATCH(R$139, lmic_raw_lb[#Headers],0))=0, INDEX(regions_lb[], MATCH($D193, regions_lb[[setting]:[setting]],0), MATCH(R$139, regions_lb[#Headers],0)),INDEX(lmic_raw_lb[],MATCH($A193,lmic_raw_lb[[setting]:[setting]],0), MATCH(R$139, lmic_raw_lb[#Headers],0)))</f>
        <v>82.539704999999998</v>
      </c>
      <c r="S193" s="94">
        <f>IF(INDEX(lmic_raw_lb[],MATCH($A193,lmic_raw_lb[[setting]:[setting]],0), MATCH(S$139, lmic_raw_lb[#Headers],0))=0, INDEX(regions_lb[], MATCH($D193, regions_lb[[setting]:[setting]],0), MATCH(S$139, regions_lb[#Headers],0)),INDEX(lmic_raw_lb[],MATCH($A193,lmic_raw_lb[[setting]:[setting]],0), MATCH(S$139, lmic_raw_lb[#Headers],0)))</f>
        <v>127.894605</v>
      </c>
      <c r="T193" s="94">
        <f>IF(INDEX(lmic_raw_lb[],MATCH($A193,lmic_raw_lb[[setting]:[setting]],0), MATCH(T$139, lmic_raw_lb[#Headers],0))=0, INDEX(regions_lb[], MATCH($D193, regions_lb[[setting]:[setting]],0), MATCH(T$139, regions_lb[#Headers],0)),INDEX(lmic_raw_lb[],MATCH($A193,lmic_raw_lb[[setting]:[setting]],0), MATCH(T$139, lmic_raw_lb[#Headers],0)))</f>
        <v>127.894605</v>
      </c>
      <c r="U193" s="94">
        <f>IF(INDEX(lmic_raw_lb[],MATCH($A193,lmic_raw_lb[[setting]:[setting]],0), MATCH(U$139, lmic_raw_lb[#Headers],0))=0, INDEX(regions_lb[], MATCH($D193, regions_lb[[setting]:[setting]],0), MATCH(U$139, regions_lb[#Headers],0)),INDEX(lmic_raw_lb[],MATCH($A193,lmic_raw_lb[[setting]:[setting]],0), MATCH(U$139, lmic_raw_lb[#Headers],0)))</f>
        <v>127.894605</v>
      </c>
      <c r="V193" s="94">
        <f>IF(INDEX(lmic_raw_lb[],MATCH($A193,lmic_raw_lb[[setting]:[setting]],0), MATCH(V$139, lmic_raw_lb[#Headers],0))=0, INDEX(regions_lb[], MATCH($D193, regions_lb[[setting]:[setting]],0), MATCH(V$139, regions_lb[#Headers],0)),INDEX(lmic_raw_lb[],MATCH($A193,lmic_raw_lb[[setting]:[setting]],0), MATCH(V$139, lmic_raw_lb[#Headers],0)))</f>
        <v>1.7264067098592824</v>
      </c>
      <c r="W193" s="94">
        <f>IF(INDEX(lmic_raw_lb[],MATCH($A193,lmic_raw_lb[[setting]:[setting]],0), MATCH(W$139, lmic_raw_lb[#Headers],0))=0, INDEX(regions_lb[], MATCH($D193, regions_lb[[setting]:[setting]],0), MATCH(W$139, regions_lb[#Headers],0)),INDEX(lmic_raw_lb[],MATCH($A193,lmic_raw_lb[[setting]:[setting]],0), MATCH(W$139, lmic_raw_lb[#Headers],0)))</f>
        <v>1.7471167098592824</v>
      </c>
      <c r="X193" s="94">
        <f>IF(INDEX(lmic_raw_lb[],MATCH($A193,lmic_raw_lb[[setting]:[setting]],0), MATCH(X$139, lmic_raw_lb[#Headers],0))=0, INDEX(regions_lb[], MATCH($D193, regions_lb[[setting]:[setting]],0), MATCH(X$139, regions_lb[#Headers],0)),INDEX(lmic_raw_lb[],MATCH($A193,lmic_raw_lb[[setting]:[setting]],0), MATCH(X$139, lmic_raw_lb[#Headers],0)))</f>
        <v>1.3581733627836086</v>
      </c>
      <c r="Y193" s="94">
        <f>IF(INDEX(lmic_raw_lb[],MATCH($A193,lmic_raw_lb[[setting]:[setting]],0), MATCH(Y$139, lmic_raw_lb[#Headers],0))=0, INDEX(regions_lb[], MATCH($D193, regions_lb[[setting]:[setting]],0), MATCH(Y$139, regions_lb[#Headers],0)),INDEX(lmic_raw_lb[],MATCH($A193,lmic_raw_lb[[setting]:[setting]],0), MATCH(Y$139, lmic_raw_lb[#Headers],0)))</f>
        <v>1.3788833627836086</v>
      </c>
      <c r="Z193" s="94">
        <f>IF(INDEX(lmic_raw_lb[],MATCH($A193,lmic_raw_lb[[setting]:[setting]],0), MATCH(Z$139, lmic_raw_lb[#Headers],0))=0, INDEX(regions_lb[], MATCH($D193, regions_lb[[setting]:[setting]],0), MATCH(Z$139, regions_lb[#Headers],0)),INDEX(lmic_raw_lb[],MATCH($A193,lmic_raw_lb[[setting]:[setting]],0), MATCH(Z$139, lmic_raw_lb[#Headers],0)))</f>
        <v>1.3747783559086566</v>
      </c>
      <c r="AA193" s="94">
        <f>IF(INDEX(lmic_raw_lb[],MATCH($A193,lmic_raw_lb[[setting]:[setting]],0), MATCH(AA$139, lmic_raw_lb[#Headers],0))=0, INDEX(regions_lb[], MATCH($D193, regions_lb[[setting]:[setting]],0), MATCH(AA$139, regions_lb[#Headers],0)),INDEX(lmic_raw_lb[],MATCH($A193,lmic_raw_lb[[setting]:[setting]],0), MATCH(AA$139, lmic_raw_lb[#Headers],0)))</f>
        <v>1.9388625331273548</v>
      </c>
      <c r="AB193" s="94">
        <f>IF(INDEX(lmic_raw_lb[],MATCH($A193,lmic_raw_lb[[setting]:[setting]],0), MATCH(AB$139, lmic_raw_lb[#Headers],0))=0, INDEX(regions_lb[], MATCH($D193, regions_lb[[setting]:[setting]],0), MATCH(AB$139, regions_lb[#Headers],0)),INDEX(lmic_raw_lb[],MATCH($A193,lmic_raw_lb[[setting]:[setting]],0), MATCH(AB$139, lmic_raw_lb[#Headers],0)))</f>
        <v>1.9595725331273548</v>
      </c>
      <c r="AC193" s="94">
        <f>IF(INDEX(lmic_raw_lb[],MATCH($A193,lmic_raw_lb[[setting]:[setting]],0), MATCH(AC$139, lmic_raw_lb[#Headers],0))=0, INDEX(regions_lb[], MATCH($D193, regions_lb[[setting]:[setting]],0), MATCH(AC$139, regions_lb[#Headers],0)),INDEX(lmic_raw_lb[],MATCH($A193,lmic_raw_lb[[setting]:[setting]],0), MATCH(AC$139, lmic_raw_lb[#Headers],0)))</f>
        <v>1.4288066499999979E-2</v>
      </c>
      <c r="AD193" s="94">
        <f>IF(INDEX(lmic_raw_lb[],MATCH($A193,lmic_raw_lb[[setting]:[setting]],0), MATCH(AD$139, lmic_raw_lb[#Headers],0))=0, INDEX(regions_lb[], MATCH($D193, regions_lb[[setting]:[setting]],0), MATCH(AD$139, regions_lb[#Headers],0)),INDEX(lmic_raw_lb[],MATCH($A193,lmic_raw_lb[[setting]:[setting]],0), MATCH(AD$139, lmic_raw_lb[#Headers],0)))</f>
        <v>1.5125483328037508E-3</v>
      </c>
      <c r="AE193" s="94">
        <f>IF(INDEX(lmic_raw_lb[],MATCH($A193,lmic_raw_lb[[setting]:[setting]],0), MATCH(AE$139, lmic_raw_lb[#Headers],0))=0, INDEX(regions_lb[], MATCH($D193, regions_lb[[setting]:[setting]],0), MATCH(AE$139, regions_lb[#Headers],0)),INDEX(lmic_raw_lb[],MATCH($A193,lmic_raw_lb[[setting]:[setting]],0), MATCH(AE$139, lmic_raw_lb[#Headers],0)))</f>
        <v>8.1599349593953596E-4</v>
      </c>
      <c r="AF193" s="94">
        <f>IF(INDEX(lmic_raw_lb[],MATCH($A193,lmic_raw_lb[[setting]:[setting]],0), MATCH(AF$139, lmic_raw_lb[#Headers],0))=0, INDEX(regions_lb[], MATCH($D193, regions_lb[[setting]:[setting]],0), MATCH(AF$139, regions_lb[#Headers],0)),INDEX(lmic_raw_lb[],MATCH($A193,lmic_raw_lb[[setting]:[setting]],0), MATCH(AF$139, lmic_raw_lb[#Headers],0)))</f>
        <v>6.5990652775472971E-4</v>
      </c>
      <c r="AG193" s="94">
        <f>IF(INDEX(lmic_raw_lb[],MATCH($A193,lmic_raw_lb[[setting]:[setting]],0), MATCH(AG$139, lmic_raw_lb[#Headers],0))=0, INDEX(regions_lb[], MATCH($D193, regions_lb[[setting]:[setting]],0), MATCH(AG$139, regions_lb[#Headers],0)),INDEX(lmic_raw_lb[],MATCH($A193,lmic_raw_lb[[setting]:[setting]],0), MATCH(AG$139, lmic_raw_lb[#Headers],0)))</f>
        <v>9.4784452280810138E-4</v>
      </c>
      <c r="AH193" s="94">
        <f>IF(INDEX(lmic_raw_lb[],MATCH($A193,lmic_raw_lb[[setting]:[setting]],0), MATCH(AH$139, lmic_raw_lb[#Headers],0))=0, INDEX(regions_lb[], MATCH($D193, regions_lb[[setting]:[setting]],0), MATCH(AH$139, regions_lb[#Headers],0)),INDEX(lmic_raw_lb[],MATCH($A193,lmic_raw_lb[[setting]:[setting]],0), MATCH(AH$139, lmic_raw_lb[#Headers],0)))</f>
        <v>1.3862861048244905E-3</v>
      </c>
      <c r="AI193" s="94">
        <f>IF(INDEX(lmic_raw_lb[],MATCH($A193,lmic_raw_lb[[setting]:[setting]],0), MATCH(AI$139, lmic_raw_lb[#Headers],0))=0, INDEX(regions_lb[], MATCH($D193, regions_lb[[setting]:[setting]],0), MATCH(AI$139, regions_lb[#Headers],0)),INDEX(lmic_raw_lb[],MATCH($A193,lmic_raw_lb[[setting]:[setting]],0), MATCH(AI$139, lmic_raw_lb[#Headers],0)))</f>
        <v>1.8311375493059484E-3</v>
      </c>
      <c r="AJ193" s="94">
        <f>IF(INDEX(lmic_raw_lb[],MATCH($A193,lmic_raw_lb[[setting]:[setting]],0), MATCH(AJ$139, lmic_raw_lb[#Headers],0))=0, INDEX(regions_lb[], MATCH($D193, regions_lb[[setting]:[setting]],0), MATCH(AJ$139, regions_lb[#Headers],0)),INDEX(lmic_raw_lb[],MATCH($A193,lmic_raw_lb[[setting]:[setting]],0), MATCH(AJ$139, lmic_raw_lb[#Headers],0)))</f>
        <v>2.2541498675460458E-3</v>
      </c>
      <c r="AK193" s="94">
        <f>IF(INDEX(lmic_raw_lb[],MATCH($A193,lmic_raw_lb[[setting]:[setting]],0), MATCH(AK$139, lmic_raw_lb[#Headers],0))=0, INDEX(regions_lb[], MATCH($D193, regions_lb[[setting]:[setting]],0), MATCH(AK$139, regions_lb[#Headers],0)),INDEX(lmic_raw_lb[],MATCH($A193,lmic_raw_lb[[setting]:[setting]],0), MATCH(AK$139, lmic_raw_lb[#Headers],0)))</f>
        <v>2.6905937737751557E-3</v>
      </c>
      <c r="AL193" s="94">
        <f>IF(INDEX(lmic_raw_lb[],MATCH($A193,lmic_raw_lb[[setting]:[setting]],0), MATCH(AL$139, lmic_raw_lb[#Headers],0))=0, INDEX(regions_lb[], MATCH($D193, regions_lb[[setting]:[setting]],0), MATCH(AL$139, regions_lb[#Headers],0)),INDEX(lmic_raw_lb[],MATCH($A193,lmic_raw_lb[[setting]:[setting]],0), MATCH(AL$139, lmic_raw_lb[#Headers],0)))</f>
        <v>3.231150813215543E-3</v>
      </c>
      <c r="AM193" s="94">
        <f>IF(INDEX(lmic_raw_lb[],MATCH($A193,lmic_raw_lb[[setting]:[setting]],0), MATCH(AM$139, lmic_raw_lb[#Headers],0))=0, INDEX(regions_lb[], MATCH($D193, regions_lb[[setting]:[setting]],0), MATCH(AM$139, regions_lb[#Headers],0)),INDEX(lmic_raw_lb[],MATCH($A193,lmic_raw_lb[[setting]:[setting]],0), MATCH(AM$139, lmic_raw_lb[#Headers],0)))</f>
        <v>4.0129777500712031E-3</v>
      </c>
      <c r="AN193" s="94">
        <f>IF(INDEX(lmic_raw_lb[],MATCH($A193,lmic_raw_lb[[setting]:[setting]],0), MATCH(AN$139, lmic_raw_lb[#Headers],0))=0, INDEX(regions_lb[], MATCH($D193, regions_lb[[setting]:[setting]],0), MATCH(AN$139, regions_lb[#Headers],0)),INDEX(lmic_raw_lb[],MATCH($A193,lmic_raw_lb[[setting]:[setting]],0), MATCH(AN$139, lmic_raw_lb[#Headers],0)))</f>
        <v>5.2451009106526045E-3</v>
      </c>
      <c r="AO193" s="94">
        <f>IF(INDEX(lmic_raw_lb[],MATCH($A193,lmic_raw_lb[[setting]:[setting]],0), MATCH(AO$139, lmic_raw_lb[#Headers],0))=0, INDEX(regions_lb[], MATCH($D193, regions_lb[[setting]:[setting]],0), MATCH(AO$139, regions_lb[#Headers],0)),INDEX(lmic_raw_lb[],MATCH($A193,lmic_raw_lb[[setting]:[setting]],0), MATCH(AO$139, lmic_raw_lb[#Headers],0)))</f>
        <v>7.2414247143800427E-3</v>
      </c>
      <c r="AP193" s="94">
        <f>IF(INDEX(lmic_raw_lb[],MATCH($A193,lmic_raw_lb[[setting]:[setting]],0), MATCH(AP$139, lmic_raw_lb[#Headers],0))=0, INDEX(regions_lb[], MATCH($D193, regions_lb[[setting]:[setting]],0), MATCH(AP$139, regions_lb[#Headers],0)),INDEX(lmic_raw_lb[],MATCH($A193,lmic_raw_lb[[setting]:[setting]],0), MATCH(AP$139, lmic_raw_lb[#Headers],0)))</f>
        <v>1.0480895411284451E-2</v>
      </c>
      <c r="AQ193" s="94">
        <f>IF(INDEX(lmic_raw_lb[],MATCH($A193,lmic_raw_lb[[setting]:[setting]],0), MATCH(AQ$139, lmic_raw_lb[#Headers],0))=0, INDEX(regions_lb[], MATCH($D193, regions_lb[[setting]:[setting]],0), MATCH(AQ$139, regions_lb[#Headers],0)),INDEX(lmic_raw_lb[],MATCH($A193,lmic_raw_lb[[setting]:[setting]],0), MATCH(AQ$139, lmic_raw_lb[#Headers],0)))</f>
        <v>1.5684628521288921E-2</v>
      </c>
      <c r="AR193" s="94">
        <f>IF(INDEX(lmic_raw_lb[],MATCH($A193,lmic_raw_lb[[setting]:[setting]],0), MATCH(AR$139, lmic_raw_lb[#Headers],0))=0, INDEX(regions_lb[], MATCH($D193, regions_lb[[setting]:[setting]],0), MATCH(AR$139, regions_lb[#Headers],0)),INDEX(lmic_raw_lb[],MATCH($A193,lmic_raw_lb[[setting]:[setting]],0), MATCH(AR$139, lmic_raw_lb[#Headers],0)))</f>
        <v>2.3880525119129324E-2</v>
      </c>
      <c r="AS193" s="94">
        <f>IF(INDEX(lmic_raw_lb[],MATCH($A193,lmic_raw_lb[[setting]:[setting]],0), MATCH(AS$139, lmic_raw_lb[#Headers],0))=0, INDEX(regions_lb[], MATCH($D193, regions_lb[[setting]:[setting]],0), MATCH(AS$139, regions_lb[#Headers],0)),INDEX(lmic_raw_lb[],MATCH($A193,lmic_raw_lb[[setting]:[setting]],0), MATCH(AS$139, lmic_raw_lb[#Headers],0)))</f>
        <v>3.6388866753624197E-2</v>
      </c>
      <c r="AT193" s="94">
        <f>IF(INDEX(lmic_raw_lb[],MATCH($A193,lmic_raw_lb[[setting]:[setting]],0), MATCH(AT$139, lmic_raw_lb[#Headers],0))=0, INDEX(regions_lb[], MATCH($D193, regions_lb[[setting]:[setting]],0), MATCH(AT$139, regions_lb[#Headers],0)),INDEX(lmic_raw_lb[],MATCH($A193,lmic_raw_lb[[setting]:[setting]],0), MATCH(AT$139, lmic_raw_lb[#Headers],0)))</f>
        <v>5.4568261849513647E-2</v>
      </c>
      <c r="AU193" s="94">
        <f>IF(INDEX(lmic_raw_lb[],MATCH($A193,lmic_raw_lb[[setting]:[setting]],0), MATCH(AU$139, lmic_raw_lb[#Headers],0))=0, INDEX(regions_lb[], MATCH($D193, regions_lb[[setting]:[setting]],0), MATCH(AU$139, regions_lb[#Headers],0)),INDEX(lmic_raw_lb[],MATCH($A193,lmic_raw_lb[[setting]:[setting]],0), MATCH(AU$139, lmic_raw_lb[#Headers],0)))</f>
        <v>7.9143484351339249E-2</v>
      </c>
      <c r="AV193" s="94">
        <f>IF(INDEX(lmic_raw_lb[],MATCH($A193,lmic_raw_lb[[setting]:[setting]],0), MATCH(AV$139, lmic_raw_lb[#Headers],0))=0, INDEX(regions_lb[], MATCH($D193, regions_lb[[setting]:[setting]],0), MATCH(AV$139, regions_lb[#Headers],0)),INDEX(lmic_raw_lb[],MATCH($A193,lmic_raw_lb[[setting]:[setting]],0), MATCH(AV$139, lmic_raw_lb[#Headers],0)))</f>
        <v>0.10899640282176783</v>
      </c>
      <c r="AW193" s="94">
        <f>IF(INDEX(lmic_raw_lb[],MATCH($A193,lmic_raw_lb[[setting]:[setting]],0), MATCH(AW$139, lmic_raw_lb[#Headers],0))=0, INDEX(regions_lb[], MATCH($D193, regions_lb[[setting]:[setting]],0), MATCH(AW$139, regions_lb[#Headers],0)),INDEX(lmic_raw_lb[],MATCH($A193,lmic_raw_lb[[setting]:[setting]],0), MATCH(AW$139, lmic_raw_lb[#Headers],0)))</f>
        <v>0.1418739689138081</v>
      </c>
      <c r="AX193" s="94">
        <f>IF(INDEX(lmic_raw_lb[],MATCH($A193,lmic_raw_lb[[setting]:[setting]],0), MATCH(AX$139, lmic_raw_lb[#Headers],0))=0, INDEX(regions_lb[], MATCH($D193, regions_lb[[setting]:[setting]],0), MATCH(AX$139, regions_lb[#Headers],0)),INDEX(lmic_raw_lb[],MATCH($A193,lmic_raw_lb[[setting]:[setting]],0), MATCH(AX$139, lmic_raw_lb[#Headers],0)))</f>
        <v>71.242400000000004</v>
      </c>
      <c r="AY193" s="94" t="str">
        <f>IF(VLOOKUP(lmics_lb[[#This Row],[setting]],lmic_raw_lb[],11,FALSE)=0, "Yes", "No")</f>
        <v>No</v>
      </c>
    </row>
    <row r="194" spans="1:51" x14ac:dyDescent="0.25">
      <c r="A194" s="109" t="s">
        <v>194</v>
      </c>
      <c r="B194" s="101" t="s">
        <v>438</v>
      </c>
      <c r="C194" s="102">
        <v>356</v>
      </c>
      <c r="D194" s="82" t="s">
        <v>680</v>
      </c>
      <c r="E194" s="121" t="s">
        <v>589</v>
      </c>
      <c r="F194" s="98" t="s">
        <v>589</v>
      </c>
      <c r="G194" s="98" t="s">
        <v>678</v>
      </c>
      <c r="H194" s="98"/>
      <c r="I194" s="98"/>
      <c r="J194" s="98">
        <f>IF(INDEX(lmic_raw_lb[],MATCH($A194,lmic_raw_lb[[setting]:[setting]],0), MATCH(J$139, lmic_raw_lb[#Headers],0))=0, INDEX(regions_lb[], MATCH($D194, regions_lb[[setting]:[setting]],0), MATCH(J$139, regions_lb[#Headers],0)),INDEX(lmic_raw_lb[],MATCH($A194,lmic_raw_lb[[setting]:[setting]],0), MATCH(J$139, lmic_raw_lb[#Headers],0)))</f>
        <v>0.74955000000000005</v>
      </c>
      <c r="K194" s="98">
        <f>IF(INDEX(lmic_raw_lb[],MATCH($A194,lmic_raw_lb[[setting]:[setting]],0), MATCH(K$139, lmic_raw_lb[#Headers],0))=0, INDEX(regions_lb[], MATCH($D194, regions_lb[[setting]:[setting]],0), MATCH(K$139, regions_lb[#Headers],0)),INDEX(lmic_raw_lb[],MATCH($A194,lmic_raw_lb[[setting]:[setting]],0), MATCH(K$139, lmic_raw_lb[#Headers],0)))</f>
        <v>0.53200000000000003</v>
      </c>
      <c r="L194" s="98">
        <f>IF(INDEX(lmic_raw_lb[],MATCH($A194,lmic_raw_lb[[setting]:[setting]],0), MATCH(L$139, lmic_raw_lb[#Headers],0))=0, INDEX(regions_lb[], MATCH($D194, regions_lb[[setting]:[setting]],0), MATCH(L$139, regions_lb[#Headers],0)),INDEX(lmic_raw_lb[],MATCH($A194,lmic_raw_lb[[setting]:[setting]],0), MATCH(L$139, lmic_raw_lb[#Headers],0)))</f>
        <v>0.86449999999999994</v>
      </c>
      <c r="M194" s="98">
        <f>IF(INDEX(lmic_raw_lb[],MATCH($A194,lmic_raw_lb[[setting]:[setting]],0), MATCH(M$139, lmic_raw_lb[#Headers],0))=0, INDEX(regions_lb[], MATCH($D194, regions_lb[[setting]:[setting]],0), MATCH(M$139, regions_lb[#Headers],0)),INDEX(lmic_raw_lb[],MATCH($A194,lmic_raw_lb[[setting]:[setting]],0), MATCH(M$139, lmic_raw_lb[#Headers],0)))</f>
        <v>1.3300000000000001E-2</v>
      </c>
      <c r="N194" s="98">
        <f>IF(INDEX(lmic_raw_lb[],MATCH($A194,lmic_raw_lb[[setting]:[setting]],0), MATCH(N$139, lmic_raw_lb[#Headers],0))=0, INDEX(regions_lb[], MATCH($D194, regions_lb[[setting]:[setting]],0), MATCH(N$139, regions_lb[#Headers],0)),INDEX(lmic_raw_lb[],MATCH($A194,lmic_raw_lb[[setting]:[setting]],0), MATCH(N$139, lmic_raw_lb[#Headers],0)))</f>
        <v>0.1482</v>
      </c>
      <c r="O194" s="98">
        <f>IF(INDEX(lmic_raw_lb[],MATCH($A194,lmic_raw_lb[[setting]:[setting]],0), MATCH(O$139, lmic_raw_lb[#Headers],0))=0, INDEX(regions_lb[], MATCH($D194, regions_lb[[setting]:[setting]],0), MATCH(O$139, regions_lb[#Headers],0)),INDEX(lmic_raw_lb[],MATCH($A194,lmic_raw_lb[[setting]:[setting]],0), MATCH(O$139, lmic_raw_lb[#Headers],0)))</f>
        <v>0.7</v>
      </c>
      <c r="P194" s="98">
        <f>IF(INDEX(lmic_raw_lb[],MATCH($A194,lmic_raw_lb[[setting]:[setting]],0), MATCH(P$139, lmic_raw_lb[#Headers],0))=0, INDEX(regions_lb[], MATCH($D194, regions_lb[[setting]:[setting]],0), MATCH(P$139, regions_lb[#Headers],0)),INDEX(lmic_raw_lb[],MATCH($A194,lmic_raw_lb[[setting]:[setting]],0), MATCH(P$139, lmic_raw_lb[#Headers],0)))</f>
        <v>0.05</v>
      </c>
      <c r="Q194" s="98">
        <f>IF(INDEX(lmic_raw_lb[],MATCH($A194,lmic_raw_lb[[setting]:[setting]],0), MATCH(Q$139, lmic_raw_lb[#Headers],0))=0, INDEX(regions_lb[], MATCH($D194, regions_lb[[setting]:[setting]],0), MATCH(Q$139, regions_lb[#Headers],0)),INDEX(lmic_raw_lb[],MATCH($A194,lmic_raw_lb[[setting]:[setting]],0), MATCH(Q$139, lmic_raw_lb[#Headers],0)))</f>
        <v>3.6641863807254551</v>
      </c>
      <c r="R194" s="98">
        <f>IF(INDEX(lmic_raw_lb[],MATCH($A194,lmic_raw_lb[[setting]:[setting]],0), MATCH(R$139, lmic_raw_lb[#Headers],0))=0, INDEX(regions_lb[], MATCH($D194, regions_lb[[setting]:[setting]],0), MATCH(R$139, regions_lb[#Headers],0)),INDEX(lmic_raw_lb[],MATCH($A194,lmic_raw_lb[[setting]:[setting]],0), MATCH(R$139, lmic_raw_lb[#Headers],0)))</f>
        <v>43.604905000000002</v>
      </c>
      <c r="S194" s="98">
        <f>IF(INDEX(lmic_raw_lb[],MATCH($A194,lmic_raw_lb[[setting]:[setting]],0), MATCH(S$139, lmic_raw_lb[#Headers],0))=0, INDEX(regions_lb[], MATCH($D194, regions_lb[[setting]:[setting]],0), MATCH(S$139, regions_lb[#Headers],0)),INDEX(lmic_raw_lb[],MATCH($A194,lmic_raw_lb[[setting]:[setting]],0), MATCH(S$139, lmic_raw_lb[#Headers],0)))</f>
        <v>88.959805000000003</v>
      </c>
      <c r="T194" s="98">
        <f>IF(INDEX(lmic_raw_lb[],MATCH($A194,lmic_raw_lb[[setting]:[setting]],0), MATCH(T$139, lmic_raw_lb[#Headers],0))=0, INDEX(regions_lb[], MATCH($D194, regions_lb[[setting]:[setting]],0), MATCH(T$139, regions_lb[#Headers],0)),INDEX(lmic_raw_lb[],MATCH($A194,lmic_raw_lb[[setting]:[setting]],0), MATCH(T$139, lmic_raw_lb[#Headers],0)))</f>
        <v>88.959805000000003</v>
      </c>
      <c r="U194" s="98">
        <f>IF(INDEX(lmic_raw_lb[],MATCH($A194,lmic_raw_lb[[setting]:[setting]],0), MATCH(U$139, lmic_raw_lb[#Headers],0))=0, INDEX(regions_lb[], MATCH($D194, regions_lb[[setting]:[setting]],0), MATCH(U$139, regions_lb[#Headers],0)),INDEX(lmic_raw_lb[],MATCH($A194,lmic_raw_lb[[setting]:[setting]],0), MATCH(U$139, lmic_raw_lb[#Headers],0)))</f>
        <v>88.959805000000003</v>
      </c>
      <c r="V194" s="98">
        <f>IF(INDEX(lmic_raw_lb[],MATCH($A194,lmic_raw_lb[[setting]:[setting]],0), MATCH(V$139, lmic_raw_lb[#Headers],0))=0, INDEX(regions_lb[], MATCH($D194, regions_lb[[setting]:[setting]],0), MATCH(V$139, regions_lb[#Headers],0)),INDEX(lmic_raw_lb[],MATCH($A194,lmic_raw_lb[[setting]:[setting]],0), MATCH(V$139, lmic_raw_lb[#Headers],0)))</f>
        <v>0.63191130299512144</v>
      </c>
      <c r="W194" s="98">
        <f>IF(INDEX(lmic_raw_lb[],MATCH($A194,lmic_raw_lb[[setting]:[setting]],0), MATCH(W$139, lmic_raw_lb[#Headers],0))=0, INDEX(regions_lb[], MATCH($D194, regions_lb[[setting]:[setting]],0), MATCH(W$139, regions_lb[#Headers],0)),INDEX(lmic_raw_lb[],MATCH($A194,lmic_raw_lb[[setting]:[setting]],0), MATCH(W$139, lmic_raw_lb[#Headers],0)))</f>
        <v>2.9594113029951217</v>
      </c>
      <c r="X194" s="98">
        <f>IF(INDEX(lmic_raw_lb[],MATCH($A194,lmic_raw_lb[[setting]:[setting]],0), MATCH(X$139, lmic_raw_lb[#Headers],0))=0, INDEX(regions_lb[], MATCH($D194, regions_lb[[setting]:[setting]],0), MATCH(X$139, regions_lb[#Headers],0)),INDEX(lmic_raw_lb[],MATCH($A194,lmic_raw_lb[[setting]:[setting]],0), MATCH(X$139, lmic_raw_lb[#Headers],0)))</f>
        <v>0.26478782933410211</v>
      </c>
      <c r="Y194" s="98">
        <f>IF(INDEX(lmic_raw_lb[],MATCH($A194,lmic_raw_lb[[setting]:[setting]],0), MATCH(Y$139, lmic_raw_lb[#Headers],0))=0, INDEX(regions_lb[], MATCH($D194, regions_lb[[setting]:[setting]],0), MATCH(Y$139, regions_lb[#Headers],0)),INDEX(lmic_raw_lb[],MATCH($A194,lmic_raw_lb[[setting]:[setting]],0), MATCH(Y$139, lmic_raw_lb[#Headers],0)))</f>
        <v>2.5922878293341021</v>
      </c>
      <c r="Z194" s="98">
        <f>IF(INDEX(lmic_raw_lb[],MATCH($A194,lmic_raw_lb[[setting]:[setting]],0), MATCH(Z$139, lmic_raw_lb[#Headers],0))=0, INDEX(regions_lb[], MATCH($D194, regions_lb[[setting]:[setting]],0), MATCH(Z$139, regions_lb[#Headers],0)),INDEX(lmic_raw_lb[],MATCH($A194,lmic_raw_lb[[setting]:[setting]],0), MATCH(Z$139, lmic_raw_lb[#Headers],0)))</f>
        <v>2.5888881463853863</v>
      </c>
      <c r="AA194" s="98">
        <f>IF(INDEX(lmic_raw_lb[],MATCH($A194,lmic_raw_lb[[setting]:[setting]],0), MATCH(AA$139, lmic_raw_lb[#Headers],0))=0, INDEX(regions_lb[], MATCH($D194, regions_lb[[setting]:[setting]],0), MATCH(AA$139, regions_lb[#Headers],0)),INDEX(lmic_raw_lb[],MATCH($A194,lmic_raw_lb[[setting]:[setting]],0), MATCH(AA$139, lmic_raw_lb[#Headers],0)))</f>
        <v>0.84389146622834166</v>
      </c>
      <c r="AB194" s="98">
        <f>IF(INDEX(lmic_raw_lb[],MATCH($A194,lmic_raw_lb[[setting]:[setting]],0), MATCH(AB$139, lmic_raw_lb[#Headers],0))=0, INDEX(regions_lb[], MATCH($D194, regions_lb[[setting]:[setting]],0), MATCH(AB$139, regions_lb[#Headers],0)),INDEX(lmic_raw_lb[],MATCH($A194,lmic_raw_lb[[setting]:[setting]],0), MATCH(AB$139, lmic_raw_lb[#Headers],0)))</f>
        <v>3.171391466228342</v>
      </c>
      <c r="AC194" s="98">
        <f>IF(INDEX(lmic_raw_lb[],MATCH($A194,lmic_raw_lb[[setting]:[setting]],0), MATCH(AC$139, lmic_raw_lb[#Headers],0))=0, INDEX(regions_lb[], MATCH($D194, regions_lb[[setting]:[setting]],0), MATCH(AC$139, regions_lb[#Headers],0)),INDEX(lmic_raw_lb[],MATCH($A194,lmic_raw_lb[[setting]:[setting]],0), MATCH(AC$139, lmic_raw_lb[#Headers],0)))</f>
        <v>3.04E-2</v>
      </c>
      <c r="AD194" s="98">
        <f>IF(INDEX(lmic_raw_lb[],MATCH($A194,lmic_raw_lb[[setting]:[setting]],0), MATCH(AD$139, lmic_raw_lb[#Headers],0))=0, INDEX(regions_lb[], MATCH($D194, regions_lb[[setting]:[setting]],0), MATCH(AD$139, regions_lb[#Headers],0)),INDEX(lmic_raw_lb[],MATCH($A194,lmic_raw_lb[[setting]:[setting]],0), MATCH(AD$139, lmic_raw_lb[#Headers],0)))</f>
        <v>1.8169289772727304E-3</v>
      </c>
      <c r="AE194" s="98">
        <f>IF(INDEX(lmic_raw_lb[],MATCH($A194,lmic_raw_lb[[setting]:[setting]],0), MATCH(AE$139, lmic_raw_lb[#Headers],0))=0, INDEX(regions_lb[], MATCH($D194, regions_lb[[setting]:[setting]],0), MATCH(AE$139, regions_lb[#Headers],0)),INDEX(lmic_raw_lb[],MATCH($A194,lmic_raw_lb[[setting]:[setting]],0), MATCH(AE$139, lmic_raw_lb[#Headers],0)))</f>
        <v>6.7958315983836866E-4</v>
      </c>
      <c r="AF194" s="98">
        <f>IF(INDEX(lmic_raw_lb[],MATCH($A194,lmic_raw_lb[[setting]:[setting]],0), MATCH(AF$139, lmic_raw_lb[#Headers],0))=0, INDEX(regions_lb[], MATCH($D194, regions_lb[[setting]:[setting]],0), MATCH(AF$139, regions_lb[#Headers],0)),INDEX(lmic_raw_lb[],MATCH($A194,lmic_raw_lb[[setting]:[setting]],0), MATCH(AF$139, lmic_raw_lb[#Headers],0)))</f>
        <v>5.7152524444820704E-4</v>
      </c>
      <c r="AG194" s="98">
        <f>IF(INDEX(lmic_raw_lb[],MATCH($A194,lmic_raw_lb[[setting]:[setting]],0), MATCH(AG$139, lmic_raw_lb[#Headers],0))=0, INDEX(regions_lb[], MATCH($D194, regions_lb[[setting]:[setting]],0), MATCH(AG$139, regions_lb[#Headers],0)),INDEX(lmic_raw_lb[],MATCH($A194,lmic_raw_lb[[setting]:[setting]],0), MATCH(AG$139, lmic_raw_lb[#Headers],0)))</f>
        <v>8.9910167943334945E-4</v>
      </c>
      <c r="AH194" s="98">
        <f>IF(INDEX(lmic_raw_lb[],MATCH($A194,lmic_raw_lb[[setting]:[setting]],0), MATCH(AH$139, lmic_raw_lb[#Headers],0))=0, INDEX(regions_lb[], MATCH($D194, regions_lb[[setting]:[setting]],0), MATCH(AH$139, regions_lb[#Headers],0)),INDEX(lmic_raw_lb[],MATCH($A194,lmic_raw_lb[[setting]:[setting]],0), MATCH(AH$139, lmic_raw_lb[#Headers],0)))</f>
        <v>1.3045542847308646E-3</v>
      </c>
      <c r="AI194" s="98">
        <f>IF(INDEX(lmic_raw_lb[],MATCH($A194,lmic_raw_lb[[setting]:[setting]],0), MATCH(AI$139, lmic_raw_lb[#Headers],0))=0, INDEX(regions_lb[], MATCH($D194, regions_lb[[setting]:[setting]],0), MATCH(AI$139, regions_lb[#Headers],0)),INDEX(lmic_raw_lb[],MATCH($A194,lmic_raw_lb[[setting]:[setting]],0), MATCH(AI$139, lmic_raw_lb[#Headers],0)))</f>
        <v>1.4750277950733364E-3</v>
      </c>
      <c r="AJ194" s="98">
        <f>IF(INDEX(lmic_raw_lb[],MATCH($A194,lmic_raw_lb[[setting]:[setting]],0), MATCH(AJ$139, lmic_raw_lb[#Headers],0))=0, INDEX(regions_lb[], MATCH($D194, regions_lb[[setting]:[setting]],0), MATCH(AJ$139, regions_lb[#Headers],0)),INDEX(lmic_raw_lb[],MATCH($A194,lmic_raw_lb[[setting]:[setting]],0), MATCH(AJ$139, lmic_raw_lb[#Headers],0)))</f>
        <v>1.8824965406766181E-3</v>
      </c>
      <c r="AK194" s="98">
        <f>IF(INDEX(lmic_raw_lb[],MATCH($A194,lmic_raw_lb[[setting]:[setting]],0), MATCH(AK$139, lmic_raw_lb[#Headers],0))=0, INDEX(regions_lb[], MATCH($D194, regions_lb[[setting]:[setting]],0), MATCH(AK$139, regions_lb[#Headers],0)),INDEX(lmic_raw_lb[],MATCH($A194,lmic_raw_lb[[setting]:[setting]],0), MATCH(AK$139, lmic_raw_lb[#Headers],0)))</f>
        <v>2.6065319325899801E-3</v>
      </c>
      <c r="AL194" s="98">
        <f>IF(INDEX(lmic_raw_lb[],MATCH($A194,lmic_raw_lb[[setting]:[setting]],0), MATCH(AL$139, lmic_raw_lb[#Headers],0))=0, INDEX(regions_lb[], MATCH($D194, regions_lb[[setting]:[setting]],0), MATCH(AL$139, regions_lb[#Headers],0)),INDEX(lmic_raw_lb[],MATCH($A194,lmic_raw_lb[[setting]:[setting]],0), MATCH(AL$139, lmic_raw_lb[#Headers],0)))</f>
        <v>3.5048022848458496E-3</v>
      </c>
      <c r="AM194" s="98">
        <f>IF(INDEX(lmic_raw_lb[],MATCH($A194,lmic_raw_lb[[setting]:[setting]],0), MATCH(AM$139, lmic_raw_lb[#Headers],0))=0, INDEX(regions_lb[], MATCH($D194, regions_lb[[setting]:[setting]],0), MATCH(AM$139, regions_lb[#Headers],0)),INDEX(lmic_raw_lb[],MATCH($A194,lmic_raw_lb[[setting]:[setting]],0), MATCH(AM$139, lmic_raw_lb[#Headers],0)))</f>
        <v>5.0334868502391371E-3</v>
      </c>
      <c r="AN194" s="98">
        <f>IF(INDEX(lmic_raw_lb[],MATCH($A194,lmic_raw_lb[[setting]:[setting]],0), MATCH(AN$139, lmic_raw_lb[#Headers],0))=0, INDEX(regions_lb[], MATCH($D194, regions_lb[[setting]:[setting]],0), MATCH(AN$139, regions_lb[#Headers],0)),INDEX(lmic_raw_lb[],MATCH($A194,lmic_raw_lb[[setting]:[setting]],0), MATCH(AN$139, lmic_raw_lb[#Headers],0)))</f>
        <v>8.0546747947557399E-3</v>
      </c>
      <c r="AO194" s="98">
        <f>IF(INDEX(lmic_raw_lb[],MATCH($A194,lmic_raw_lb[[setting]:[setting]],0), MATCH(AO$139, lmic_raw_lb[#Headers],0))=0, INDEX(regions_lb[], MATCH($D194, regions_lb[[setting]:[setting]],0), MATCH(AO$139, regions_lb[#Headers],0)),INDEX(lmic_raw_lb[],MATCH($A194,lmic_raw_lb[[setting]:[setting]],0), MATCH(AO$139, lmic_raw_lb[#Headers],0)))</f>
        <v>1.1967367571635216E-2</v>
      </c>
      <c r="AP194" s="98">
        <f>IF(INDEX(lmic_raw_lb[],MATCH($A194,lmic_raw_lb[[setting]:[setting]],0), MATCH(AP$139, lmic_raw_lb[#Headers],0))=0, INDEX(regions_lb[], MATCH($D194, regions_lb[[setting]:[setting]],0), MATCH(AP$139, regions_lb[#Headers],0)),INDEX(lmic_raw_lb[],MATCH($A194,lmic_raw_lb[[setting]:[setting]],0), MATCH(AP$139, lmic_raw_lb[#Headers],0)))</f>
        <v>1.766751677082555E-2</v>
      </c>
      <c r="AQ194" s="98">
        <f>IF(INDEX(lmic_raw_lb[],MATCH($A194,lmic_raw_lb[[setting]:[setting]],0), MATCH(AQ$139, lmic_raw_lb[#Headers],0))=0, INDEX(regions_lb[], MATCH($D194, regions_lb[[setting]:[setting]],0), MATCH(AQ$139, regions_lb[#Headers],0)),INDEX(lmic_raw_lb[],MATCH($A194,lmic_raw_lb[[setting]:[setting]],0), MATCH(AQ$139, lmic_raw_lb[#Headers],0)))</f>
        <v>2.6502618776496203E-2</v>
      </c>
      <c r="AR194" s="98">
        <f>IF(INDEX(lmic_raw_lb[],MATCH($A194,lmic_raw_lb[[setting]:[setting]],0), MATCH(AR$139, lmic_raw_lb[#Headers],0))=0, INDEX(regions_lb[], MATCH($D194, regions_lb[[setting]:[setting]],0), MATCH(AR$139, regions_lb[#Headers],0)),INDEX(lmic_raw_lb[],MATCH($A194,lmic_raw_lb[[setting]:[setting]],0), MATCH(AR$139, lmic_raw_lb[#Headers],0)))</f>
        <v>4.0707180328769986E-2</v>
      </c>
      <c r="AS194" s="98">
        <f>IF(INDEX(lmic_raw_lb[],MATCH($A194,lmic_raw_lb[[setting]:[setting]],0), MATCH(AS$139, lmic_raw_lb[#Headers],0))=0, INDEX(regions_lb[], MATCH($D194, regions_lb[[setting]:[setting]],0), MATCH(AS$139, regions_lb[#Headers],0)),INDEX(lmic_raw_lb[],MATCH($A194,lmic_raw_lb[[setting]:[setting]],0), MATCH(AS$139, lmic_raw_lb[#Headers],0)))</f>
        <v>5.7645979226863639E-2</v>
      </c>
      <c r="AT194" s="98">
        <f>IF(INDEX(lmic_raw_lb[],MATCH($A194,lmic_raw_lb[[setting]:[setting]],0), MATCH(AT$139, lmic_raw_lb[#Headers],0))=0, INDEX(regions_lb[], MATCH($D194, regions_lb[[setting]:[setting]],0), MATCH(AT$139, regions_lb[#Headers],0)),INDEX(lmic_raw_lb[],MATCH($A194,lmic_raw_lb[[setting]:[setting]],0), MATCH(AT$139, lmic_raw_lb[#Headers],0)))</f>
        <v>8.2289111880304536E-2</v>
      </c>
      <c r="AU194" s="98">
        <f>IF(INDEX(lmic_raw_lb[],MATCH($A194,lmic_raw_lb[[setting]:[setting]],0), MATCH(AU$139, lmic_raw_lb[#Headers],0))=0, INDEX(regions_lb[], MATCH($D194, regions_lb[[setting]:[setting]],0), MATCH(AU$139, regions_lb[#Headers],0)),INDEX(lmic_raw_lb[],MATCH($A194,lmic_raw_lb[[setting]:[setting]],0), MATCH(AU$139, lmic_raw_lb[#Headers],0)))</f>
        <v>0.11020584860932035</v>
      </c>
      <c r="AV194" s="98">
        <f>IF(INDEX(lmic_raw_lb[],MATCH($A194,lmic_raw_lb[[setting]:[setting]],0), MATCH(AV$139, lmic_raw_lb[#Headers],0))=0, INDEX(regions_lb[], MATCH($D194, regions_lb[[setting]:[setting]],0), MATCH(AV$139, regions_lb[#Headers],0)),INDEX(lmic_raw_lb[],MATCH($A194,lmic_raw_lb[[setting]:[setting]],0), MATCH(AV$139, lmic_raw_lb[#Headers],0)))</f>
        <v>0.13595182421856622</v>
      </c>
      <c r="AW194" s="98">
        <f>IF(INDEX(lmic_raw_lb[],MATCH($A194,lmic_raw_lb[[setting]:[setting]],0), MATCH(AW$139, lmic_raw_lb[#Headers],0))=0, INDEX(regions_lb[], MATCH($D194, regions_lb[[setting]:[setting]],0), MATCH(AW$139, regions_lb[#Headers],0)),INDEX(lmic_raw_lb[],MATCH($A194,lmic_raw_lb[[setting]:[setting]],0), MATCH(AW$139, lmic_raw_lb[#Headers],0)))</f>
        <v>0.13110623605364519</v>
      </c>
      <c r="AX194" s="98">
        <f>IF(INDEX(lmic_raw_lb[],MATCH($A194,lmic_raw_lb[[setting]:[setting]],0), MATCH(AX$139, lmic_raw_lb[#Headers],0))=0, INDEX(regions_lb[], MATCH($D194, regions_lb[[setting]:[setting]],0), MATCH(AX$139, regions_lb[#Headers],0)),INDEX(lmic_raw_lb[],MATCH($A194,lmic_raw_lb[[setting]:[setting]],0), MATCH(AX$139, lmic_raw_lb[#Headers],0)))</f>
        <v>65.808400000000006</v>
      </c>
      <c r="AY194" s="98" t="str">
        <f>IF(VLOOKUP(lmics_lb[[#This Row],[setting]],lmic_raw_lb[],11,FALSE)=0, "Yes", "No")</f>
        <v>No</v>
      </c>
    </row>
    <row r="195" spans="1:51" x14ac:dyDescent="0.25">
      <c r="A195" s="110" t="s">
        <v>213</v>
      </c>
      <c r="B195" s="104" t="s">
        <v>439</v>
      </c>
      <c r="C195" s="105">
        <v>360</v>
      </c>
      <c r="D195" s="84" t="s">
        <v>680</v>
      </c>
      <c r="E195" s="122" t="s">
        <v>598</v>
      </c>
      <c r="F195" s="94" t="s">
        <v>666</v>
      </c>
      <c r="G195" s="94" t="s">
        <v>678</v>
      </c>
      <c r="H195" s="94"/>
      <c r="I195" s="94"/>
      <c r="J195" s="94">
        <f>IF(INDEX(lmic_raw_lb[],MATCH($A195,lmic_raw_lb[[setting]:[setting]],0), MATCH(J$139, lmic_raw_lb[#Headers],0))=0, INDEX(regions_lb[], MATCH($D195, regions_lb[[setting]:[setting]],0), MATCH(J$139, regions_lb[#Headers],0)),INDEX(lmic_raw_lb[],MATCH($A195,lmic_raw_lb[[setting]:[setting]],0), MATCH(J$139, lmic_raw_lb[#Headers],0)))</f>
        <v>0.75049999999999994</v>
      </c>
      <c r="K195" s="94">
        <f>IF(INDEX(lmic_raw_lb[],MATCH($A195,lmic_raw_lb[[setting]:[setting]],0), MATCH(K$139, lmic_raw_lb[#Headers],0))=0, INDEX(regions_lb[], MATCH($D195, regions_lb[[setting]:[setting]],0), MATCH(K$139, regions_lb[#Headers],0)),INDEX(lmic_raw_lb[],MATCH($A195,lmic_raw_lb[[setting]:[setting]],0), MATCH(K$139, lmic_raw_lb[#Headers],0)))</f>
        <v>0.79799999999999993</v>
      </c>
      <c r="L195" s="94">
        <f>IF(INDEX(lmic_raw_lb[],MATCH($A195,lmic_raw_lb[[setting]:[setting]],0), MATCH(L$139, lmic_raw_lb[#Headers],0))=0, INDEX(regions_lb[], MATCH($D195, regions_lb[[setting]:[setting]],0), MATCH(L$139, regions_lb[#Headers],0)),INDEX(lmic_raw_lb[],MATCH($A195,lmic_raw_lb[[setting]:[setting]],0), MATCH(L$139, lmic_raw_lb[#Headers],0)))</f>
        <v>0.8075</v>
      </c>
      <c r="M195" s="94">
        <f>IF(INDEX(lmic_raw_lb[],MATCH($A195,lmic_raw_lb[[setting]:[setting]],0), MATCH(M$139, lmic_raw_lb[#Headers],0))=0, INDEX(regions_lb[], MATCH($D195, regions_lb[[setting]:[setting]],0), MATCH(M$139, regions_lb[#Headers],0)),INDEX(lmic_raw_lb[],MATCH($A195,lmic_raw_lb[[setting]:[setting]],0), MATCH(M$139, lmic_raw_lb[#Headers],0)))</f>
        <v>1.8100000000000002E-2</v>
      </c>
      <c r="N195" s="94">
        <f>IF(INDEX(lmic_raw_lb[],MATCH($A195,lmic_raw_lb[[setting]:[setting]],0), MATCH(N$139, lmic_raw_lb[#Headers],0))=0, INDEX(regions_lb[], MATCH($D195, regions_lb[[setting]:[setting]],0), MATCH(N$139, regions_lb[#Headers],0)),INDEX(lmic_raw_lb[],MATCH($A195,lmic_raw_lb[[setting]:[setting]],0), MATCH(N$139, lmic_raw_lb[#Headers],0)))</f>
        <v>0.18100000000000002</v>
      </c>
      <c r="O195" s="94">
        <f>IF(INDEX(lmic_raw_lb[],MATCH($A195,lmic_raw_lb[[setting]:[setting]],0), MATCH(O$139, lmic_raw_lb[#Headers],0))=0, INDEX(regions_lb[], MATCH($D195, regions_lb[[setting]:[setting]],0), MATCH(O$139, regions_lb[#Headers],0)),INDEX(lmic_raw_lb[],MATCH($A195,lmic_raw_lb[[setting]:[setting]],0), MATCH(O$139, lmic_raw_lb[#Headers],0)))</f>
        <v>0.7</v>
      </c>
      <c r="P195" s="94">
        <f>IF(INDEX(lmic_raw_lb[],MATCH($A195,lmic_raw_lb[[setting]:[setting]],0), MATCH(P$139, lmic_raw_lb[#Headers],0))=0, INDEX(regions_lb[], MATCH($D195, regions_lb[[setting]:[setting]],0), MATCH(P$139, regions_lb[#Headers],0)),INDEX(lmic_raw_lb[],MATCH($A195,lmic_raw_lb[[setting]:[setting]],0), MATCH(P$139, lmic_raw_lb[#Headers],0)))</f>
        <v>0.05</v>
      </c>
      <c r="Q195" s="94">
        <f>IF(INDEX(lmic_raw_lb[],MATCH($A195,lmic_raw_lb[[setting]:[setting]],0), MATCH(Q$139, lmic_raw_lb[#Headers],0))=0, INDEX(regions_lb[], MATCH($D195, regions_lb[[setting]:[setting]],0), MATCH(Q$139, regions_lb[#Headers],0)),INDEX(lmic_raw_lb[],MATCH($A195,lmic_raw_lb[[setting]:[setting]],0), MATCH(Q$139, lmic_raw_lb[#Headers],0)))</f>
        <v>4.5549585950623239</v>
      </c>
      <c r="R195" s="94">
        <f>IF(INDEX(lmic_raw_lb[],MATCH($A195,lmic_raw_lb[[setting]:[setting]],0), MATCH(R$139, lmic_raw_lb[#Headers],0))=0, INDEX(regions_lb[], MATCH($D195, regions_lb[[setting]:[setting]],0), MATCH(R$139, regions_lb[#Headers],0)),INDEX(lmic_raw_lb[],MATCH($A195,lmic_raw_lb[[setting]:[setting]],0), MATCH(R$139, lmic_raw_lb[#Headers],0)))</f>
        <v>69.430275000000009</v>
      </c>
      <c r="S195" s="94">
        <f>IF(INDEX(lmic_raw_lb[],MATCH($A195,lmic_raw_lb[[setting]:[setting]],0), MATCH(S$139, lmic_raw_lb[#Headers],0))=0, INDEX(regions_lb[], MATCH($D195, regions_lb[[setting]:[setting]],0), MATCH(S$139, regions_lb[#Headers],0)),INDEX(lmic_raw_lb[],MATCH($A195,lmic_raw_lb[[setting]:[setting]],0), MATCH(S$139, lmic_raw_lb[#Headers],0)))</f>
        <v>114.785175</v>
      </c>
      <c r="T195" s="94">
        <f>IF(INDEX(lmic_raw_lb[],MATCH($A195,lmic_raw_lb[[setting]:[setting]],0), MATCH(T$139, lmic_raw_lb[#Headers],0))=0, INDEX(regions_lb[], MATCH($D195, regions_lb[[setting]:[setting]],0), MATCH(T$139, regions_lb[#Headers],0)),INDEX(lmic_raw_lb[],MATCH($A195,lmic_raw_lb[[setting]:[setting]],0), MATCH(T$139, lmic_raw_lb[#Headers],0)))</f>
        <v>114.785175</v>
      </c>
      <c r="U195" s="94">
        <f>IF(INDEX(lmic_raw_lb[],MATCH($A195,lmic_raw_lb[[setting]:[setting]],0), MATCH(U$139, lmic_raw_lb[#Headers],0))=0, INDEX(regions_lb[], MATCH($D195, regions_lb[[setting]:[setting]],0), MATCH(U$139, regions_lb[#Headers],0)),INDEX(lmic_raw_lb[],MATCH($A195,lmic_raw_lb[[setting]:[setting]],0), MATCH(U$139, lmic_raw_lb[#Headers],0)))</f>
        <v>114.785175</v>
      </c>
      <c r="V195" s="94">
        <f>IF(INDEX(lmic_raw_lb[],MATCH($A195,lmic_raw_lb[[setting]:[setting]],0), MATCH(V$139, lmic_raw_lb[#Headers],0))=0, INDEX(regions_lb[], MATCH($D195, regions_lb[[setting]:[setting]],0), MATCH(V$139, regions_lb[#Headers],0)),INDEX(lmic_raw_lb[],MATCH($A195,lmic_raw_lb[[setting]:[setting]],0), MATCH(V$139, lmic_raw_lb[#Headers],0)))</f>
        <v>0.70483945930028902</v>
      </c>
      <c r="W195" s="94">
        <f>IF(INDEX(lmic_raw_lb[],MATCH($A195,lmic_raw_lb[[setting]:[setting]],0), MATCH(W$139, lmic_raw_lb[#Headers],0))=0, INDEX(regions_lb[], MATCH($D195, regions_lb[[setting]:[setting]],0), MATCH(W$139, regions_lb[#Headers],0)),INDEX(lmic_raw_lb[],MATCH($A195,lmic_raw_lb[[setting]:[setting]],0), MATCH(W$139, lmic_raw_lb[#Headers],0)))</f>
        <v>1.3054294593002891</v>
      </c>
      <c r="X195" s="94">
        <f>IF(INDEX(lmic_raw_lb[],MATCH($A195,lmic_raw_lb[[setting]:[setting]],0), MATCH(X$139, lmic_raw_lb[#Headers],0))=0, INDEX(regions_lb[], MATCH($D195, regions_lb[[setting]:[setting]],0), MATCH(X$139, regions_lb[#Headers],0)),INDEX(lmic_raw_lb[],MATCH($A195,lmic_raw_lb[[setting]:[setting]],0), MATCH(X$139, lmic_raw_lb[#Headers],0)))</f>
        <v>0.33313380363125955</v>
      </c>
      <c r="Y195" s="94">
        <f>IF(INDEX(lmic_raw_lb[],MATCH($A195,lmic_raw_lb[[setting]:[setting]],0), MATCH(Y$139, lmic_raw_lb[#Headers],0))=0, INDEX(regions_lb[], MATCH($D195, regions_lb[[setting]:[setting]],0), MATCH(Y$139, regions_lb[#Headers],0)),INDEX(lmic_raw_lb[],MATCH($A195,lmic_raw_lb[[setting]:[setting]],0), MATCH(Y$139, lmic_raw_lb[#Headers],0)))</f>
        <v>0.93372380363125951</v>
      </c>
      <c r="Z195" s="94">
        <f>IF(INDEX(lmic_raw_lb[],MATCH($A195,lmic_raw_lb[[setting]:[setting]],0), MATCH(Z$139, lmic_raw_lb[#Headers],0))=0, INDEX(regions_lb[], MATCH($D195, regions_lb[[setting]:[setting]],0), MATCH(Z$139, regions_lb[#Headers],0)),INDEX(lmic_raw_lb[],MATCH($A195,lmic_raw_lb[[setting]:[setting]],0), MATCH(Z$139, lmic_raw_lb[#Headers],0)))</f>
        <v>0.92754846159780646</v>
      </c>
      <c r="AA195" s="94">
        <f>IF(INDEX(lmic_raw_lb[],MATCH($A195,lmic_raw_lb[[setting]:[setting]],0), MATCH(AA$139, lmic_raw_lb[#Headers],0))=0, INDEX(regions_lb[], MATCH($D195, regions_lb[[setting]:[setting]],0), MATCH(AA$139, regions_lb[#Headers],0)),INDEX(lmic_raw_lb[],MATCH($A195,lmic_raw_lb[[setting]:[setting]],0), MATCH(AA$139, lmic_raw_lb[#Headers],0)))</f>
        <v>0.91878341482265657</v>
      </c>
      <c r="AB195" s="94">
        <f>IF(INDEX(lmic_raw_lb[],MATCH($A195,lmic_raw_lb[[setting]:[setting]],0), MATCH(AB$139, lmic_raw_lb[#Headers],0))=0, INDEX(regions_lb[], MATCH($D195, regions_lb[[setting]:[setting]],0), MATCH(AB$139, regions_lb[#Headers],0)),INDEX(lmic_raw_lb[],MATCH($A195,lmic_raw_lb[[setting]:[setting]],0), MATCH(AB$139, lmic_raw_lb[#Headers],0)))</f>
        <v>1.5193734148226565</v>
      </c>
      <c r="AC195" s="94">
        <f>IF(INDEX(lmic_raw_lb[],MATCH($A195,lmic_raw_lb[[setting]:[setting]],0), MATCH(AC$139, lmic_raw_lb[#Headers],0))=0, INDEX(regions_lb[], MATCH($D195, regions_lb[[setting]:[setting]],0), MATCH(AC$139, regions_lb[#Headers],0)),INDEX(lmic_raw_lb[],MATCH($A195,lmic_raw_lb[[setting]:[setting]],0), MATCH(AC$139, lmic_raw_lb[#Headers],0)))</f>
        <v>1.7976736000000004E-2</v>
      </c>
      <c r="AD195" s="94">
        <f>IF(INDEX(lmic_raw_lb[],MATCH($A195,lmic_raw_lb[[setting]:[setting]],0), MATCH(AD$139, lmic_raw_lb[#Headers],0))=0, INDEX(regions_lb[], MATCH($D195, regions_lb[[setting]:[setting]],0), MATCH(AD$139, regions_lb[#Headers],0)),INDEX(lmic_raw_lb[],MATCH($A195,lmic_raw_lb[[setting]:[setting]],0), MATCH(AD$139, lmic_raw_lb[#Headers],0)))</f>
        <v>1.4461063723512505E-3</v>
      </c>
      <c r="AE195" s="94">
        <f>IF(INDEX(lmic_raw_lb[],MATCH($A195,lmic_raw_lb[[setting]:[setting]],0), MATCH(AE$139, lmic_raw_lb[#Headers],0))=0, INDEX(regions_lb[], MATCH($D195, regions_lb[[setting]:[setting]],0), MATCH(AE$139, regions_lb[#Headers],0)),INDEX(lmic_raw_lb[],MATCH($A195,lmic_raw_lb[[setting]:[setting]],0), MATCH(AE$139, lmic_raw_lb[#Headers],0)))</f>
        <v>4.8112248026353766E-4</v>
      </c>
      <c r="AF195" s="94">
        <f>IF(INDEX(lmic_raw_lb[],MATCH($A195,lmic_raw_lb[[setting]:[setting]],0), MATCH(AF$139, lmic_raw_lb[#Headers],0))=0, INDEX(regions_lb[], MATCH($D195, regions_lb[[setting]:[setting]],0), MATCH(AF$139, regions_lb[#Headers],0)),INDEX(lmic_raw_lb[],MATCH($A195,lmic_raw_lb[[setting]:[setting]],0), MATCH(AF$139, lmic_raw_lb[#Headers],0)))</f>
        <v>4.2516812768343719E-4</v>
      </c>
      <c r="AG195" s="94">
        <f>IF(INDEX(lmic_raw_lb[],MATCH($A195,lmic_raw_lb[[setting]:[setting]],0), MATCH(AG$139, lmic_raw_lb[#Headers],0))=0, INDEX(regions_lb[], MATCH($D195, regions_lb[[setting]:[setting]],0), MATCH(AG$139, regions_lb[#Headers],0)),INDEX(lmic_raw_lb[],MATCH($A195,lmic_raw_lb[[setting]:[setting]],0), MATCH(AG$139, lmic_raw_lb[#Headers],0)))</f>
        <v>8.9141969903277455E-4</v>
      </c>
      <c r="AH195" s="94">
        <f>IF(INDEX(lmic_raw_lb[],MATCH($A195,lmic_raw_lb[[setting]:[setting]],0), MATCH(AH$139, lmic_raw_lb[#Headers],0))=0, INDEX(regions_lb[], MATCH($D195, regions_lb[[setting]:[setting]],0), MATCH(AH$139, regions_lb[#Headers],0)),INDEX(lmic_raw_lb[],MATCH($A195,lmic_raw_lb[[setting]:[setting]],0), MATCH(AH$139, lmic_raw_lb[#Headers],0)))</f>
        <v>1.1712550695476478E-3</v>
      </c>
      <c r="AI195" s="94">
        <f>IF(INDEX(lmic_raw_lb[],MATCH($A195,lmic_raw_lb[[setting]:[setting]],0), MATCH(AI$139, lmic_raw_lb[#Headers],0))=0, INDEX(regions_lb[], MATCH($D195, regions_lb[[setting]:[setting]],0), MATCH(AI$139, regions_lb[#Headers],0)),INDEX(lmic_raw_lb[],MATCH($A195,lmic_raw_lb[[setting]:[setting]],0), MATCH(AI$139, lmic_raw_lb[#Headers],0)))</f>
        <v>1.2412153794612581E-3</v>
      </c>
      <c r="AJ195" s="94">
        <f>IF(INDEX(lmic_raw_lb[],MATCH($A195,lmic_raw_lb[[setting]:[setting]],0), MATCH(AJ$139, lmic_raw_lb[#Headers],0))=0, INDEX(regions_lb[], MATCH($D195, regions_lb[[setting]:[setting]],0), MATCH(AJ$139, regions_lb[#Headers],0)),INDEX(lmic_raw_lb[],MATCH($A195,lmic_raw_lb[[setting]:[setting]],0), MATCH(AJ$139, lmic_raw_lb[#Headers],0)))</f>
        <v>1.4764995638156372E-3</v>
      </c>
      <c r="AK195" s="94">
        <f>IF(INDEX(lmic_raw_lb[],MATCH($A195,lmic_raw_lb[[setting]:[setting]],0), MATCH(AK$139, lmic_raw_lb[#Headers],0))=0, INDEX(regions_lb[], MATCH($D195, regions_lb[[setting]:[setting]],0), MATCH(AK$139, regions_lb[#Headers],0)),INDEX(lmic_raw_lb[],MATCH($A195,lmic_raw_lb[[setting]:[setting]],0), MATCH(AK$139, lmic_raw_lb[#Headers],0)))</f>
        <v>1.9864591670799478E-3</v>
      </c>
      <c r="AL195" s="94">
        <f>IF(INDEX(lmic_raw_lb[],MATCH($A195,lmic_raw_lb[[setting]:[setting]],0), MATCH(AL$139, lmic_raw_lb[#Headers],0))=0, INDEX(regions_lb[], MATCH($D195, regions_lb[[setting]:[setting]],0), MATCH(AL$139, regions_lb[#Headers],0)),INDEX(lmic_raw_lb[],MATCH($A195,lmic_raw_lb[[setting]:[setting]],0), MATCH(AL$139, lmic_raw_lb[#Headers],0)))</f>
        <v>2.8497820237502118E-3</v>
      </c>
      <c r="AM195" s="94">
        <f>IF(INDEX(lmic_raw_lb[],MATCH($A195,lmic_raw_lb[[setting]:[setting]],0), MATCH(AM$139, lmic_raw_lb[#Headers],0))=0, INDEX(regions_lb[], MATCH($D195, regions_lb[[setting]:[setting]],0), MATCH(AM$139, regions_lb[#Headers],0)),INDEX(lmic_raw_lb[],MATCH($A195,lmic_raw_lb[[setting]:[setting]],0), MATCH(AM$139, lmic_raw_lb[#Headers],0)))</f>
        <v>4.3663869259866093E-3</v>
      </c>
      <c r="AN195" s="94">
        <f>IF(INDEX(lmic_raw_lb[],MATCH($A195,lmic_raw_lb[[setting]:[setting]],0), MATCH(AN$139, lmic_raw_lb[#Headers],0))=0, INDEX(regions_lb[], MATCH($D195, regions_lb[[setting]:[setting]],0), MATCH(AN$139, regions_lb[#Headers],0)),INDEX(lmic_raw_lb[],MATCH($A195,lmic_raw_lb[[setting]:[setting]],0), MATCH(AN$139, lmic_raw_lb[#Headers],0)))</f>
        <v>6.7520635158571218E-3</v>
      </c>
      <c r="AO195" s="94">
        <f>IF(INDEX(lmic_raw_lb[],MATCH($A195,lmic_raw_lb[[setting]:[setting]],0), MATCH(AO$139, lmic_raw_lb[#Headers],0))=0, INDEX(regions_lb[], MATCH($D195, regions_lb[[setting]:[setting]],0), MATCH(AO$139, regions_lb[#Headers],0)),INDEX(lmic_raw_lb[],MATCH($A195,lmic_raw_lb[[setting]:[setting]],0), MATCH(AO$139, lmic_raw_lb[#Headers],0)))</f>
        <v>1.0485710350985602E-2</v>
      </c>
      <c r="AP195" s="94">
        <f>IF(INDEX(lmic_raw_lb[],MATCH($A195,lmic_raw_lb[[setting]:[setting]],0), MATCH(AP$139, lmic_raw_lb[#Headers],0))=0, INDEX(regions_lb[], MATCH($D195, regions_lb[[setting]:[setting]],0), MATCH(AP$139, regions_lb[#Headers],0)),INDEX(lmic_raw_lb[],MATCH($A195,lmic_raw_lb[[setting]:[setting]],0), MATCH(AP$139, lmic_raw_lb[#Headers],0)))</f>
        <v>1.6158428876009805E-2</v>
      </c>
      <c r="AQ195" s="94">
        <f>IF(INDEX(lmic_raw_lb[],MATCH($A195,lmic_raw_lb[[setting]:[setting]],0), MATCH(AQ$139, lmic_raw_lb[#Headers],0))=0, INDEX(regions_lb[], MATCH($D195, regions_lb[[setting]:[setting]],0), MATCH(AQ$139, regions_lb[#Headers],0)),INDEX(lmic_raw_lb[],MATCH($A195,lmic_raw_lb[[setting]:[setting]],0), MATCH(AQ$139, lmic_raw_lb[#Headers],0)))</f>
        <v>2.4502811474040997E-2</v>
      </c>
      <c r="AR195" s="94">
        <f>IF(INDEX(lmic_raw_lb[],MATCH($A195,lmic_raw_lb[[setting]:[setting]],0), MATCH(AR$139, lmic_raw_lb[#Headers],0))=0, INDEX(regions_lb[], MATCH($D195, regions_lb[[setting]:[setting]],0), MATCH(AR$139, regions_lb[#Headers],0)),INDEX(lmic_raw_lb[],MATCH($A195,lmic_raw_lb[[setting]:[setting]],0), MATCH(AR$139, lmic_raw_lb[#Headers],0)))</f>
        <v>3.7508987442541421E-2</v>
      </c>
      <c r="AS195" s="94">
        <f>IF(INDEX(lmic_raw_lb[],MATCH($A195,lmic_raw_lb[[setting]:[setting]],0), MATCH(AS$139, lmic_raw_lb[#Headers],0))=0, INDEX(regions_lb[], MATCH($D195, regions_lb[[setting]:[setting]],0), MATCH(AS$139, regions_lb[#Headers],0)),INDEX(lmic_raw_lb[],MATCH($A195,lmic_raw_lb[[setting]:[setting]],0), MATCH(AS$139, lmic_raw_lb[#Headers],0)))</f>
        <v>5.7953958692443013E-2</v>
      </c>
      <c r="AT195" s="94">
        <f>IF(INDEX(lmic_raw_lb[],MATCH($A195,lmic_raw_lb[[setting]:[setting]],0), MATCH(AT$139, lmic_raw_lb[#Headers],0))=0, INDEX(regions_lb[], MATCH($D195, regions_lb[[setting]:[setting]],0), MATCH(AT$139, regions_lb[#Headers],0)),INDEX(lmic_raw_lb[],MATCH($A195,lmic_raw_lb[[setting]:[setting]],0), MATCH(AT$139, lmic_raw_lb[#Headers],0)))</f>
        <v>8.4948585671753729E-2</v>
      </c>
      <c r="AU195" s="94">
        <f>IF(INDEX(lmic_raw_lb[],MATCH($A195,lmic_raw_lb[[setting]:[setting]],0), MATCH(AU$139, lmic_raw_lb[#Headers],0))=0, INDEX(regions_lb[], MATCH($D195, regions_lb[[setting]:[setting]],0), MATCH(AU$139, regions_lb[#Headers],0)),INDEX(lmic_raw_lb[],MATCH($A195,lmic_raw_lb[[setting]:[setting]],0), MATCH(AU$139, lmic_raw_lb[#Headers],0)))</f>
        <v>0.11671643713753929</v>
      </c>
      <c r="AV195" s="94">
        <f>IF(INDEX(lmic_raw_lb[],MATCH($A195,lmic_raw_lb[[setting]:[setting]],0), MATCH(AV$139, lmic_raw_lb[#Headers],0))=0, INDEX(regions_lb[], MATCH($D195, regions_lb[[setting]:[setting]],0), MATCH(AV$139, regions_lb[#Headers],0)),INDEX(lmic_raw_lb[],MATCH($A195,lmic_raw_lb[[setting]:[setting]],0), MATCH(AV$139, lmic_raw_lb[#Headers],0)))</f>
        <v>0.1447334702434302</v>
      </c>
      <c r="AW195" s="94">
        <f>IF(INDEX(lmic_raw_lb[],MATCH($A195,lmic_raw_lb[[setting]:[setting]],0), MATCH(AW$139, lmic_raw_lb[#Headers],0))=0, INDEX(regions_lb[], MATCH($D195, regions_lb[[setting]:[setting]],0), MATCH(AW$139, regions_lb[#Headers],0)),INDEX(lmic_raw_lb[],MATCH($A195,lmic_raw_lb[[setting]:[setting]],0), MATCH(AW$139, lmic_raw_lb[#Headers],0)))</f>
        <v>0.16546159770789753</v>
      </c>
      <c r="AX195" s="94">
        <f>IF(INDEX(lmic_raw_lb[],MATCH($A195,lmic_raw_lb[[setting]:[setting]],0), MATCH(AX$139, lmic_raw_lb[#Headers],0))=0, INDEX(regions_lb[], MATCH($D195, regions_lb[[setting]:[setting]],0), MATCH(AX$139, regions_lb[#Headers],0)),INDEX(lmic_raw_lb[],MATCH($A195,lmic_raw_lb[[setting]:[setting]],0), MATCH(AX$139, lmic_raw_lb[#Headers],0)))</f>
        <v>67.838549999999998</v>
      </c>
      <c r="AY195" s="94" t="str">
        <f>IF(VLOOKUP(lmics_lb[[#This Row],[setting]],lmic_raw_lb[],11,FALSE)=0, "Yes", "No")</f>
        <v>No</v>
      </c>
    </row>
    <row r="196" spans="1:51" x14ac:dyDescent="0.25">
      <c r="A196" s="82" t="s">
        <v>195</v>
      </c>
      <c r="B196" s="101" t="s">
        <v>440</v>
      </c>
      <c r="C196" s="102">
        <v>364</v>
      </c>
      <c r="D196" s="82" t="s">
        <v>673</v>
      </c>
      <c r="E196" s="121" t="s">
        <v>579</v>
      </c>
      <c r="F196" s="98" t="s">
        <v>579</v>
      </c>
      <c r="G196" s="98" t="s">
        <v>676</v>
      </c>
      <c r="H196" s="98"/>
      <c r="I196" s="98"/>
      <c r="J196" s="98">
        <f>IF(INDEX(lmic_raw_lb[],MATCH($A196,lmic_raw_lb[[setting]:[setting]],0), MATCH(J$139, lmic_raw_lb[#Headers],0))=0, INDEX(regions_lb[], MATCH($D196, regions_lb[[setting]:[setting]],0), MATCH(J$139, regions_lb[#Headers],0)),INDEX(lmic_raw_lb[],MATCH($A196,lmic_raw_lb[[setting]:[setting]],0), MATCH(J$139, lmic_raw_lb[#Headers],0)))</f>
        <v>0.90534999999999988</v>
      </c>
      <c r="K196" s="98">
        <f>IF(INDEX(lmic_raw_lb[],MATCH($A196,lmic_raw_lb[[setting]:[setting]],0), MATCH(K$139, lmic_raw_lb[#Headers],0))=0, INDEX(regions_lb[], MATCH($D196, regions_lb[[setting]:[setting]],0), MATCH(K$139, regions_lb[#Headers],0)),INDEX(lmic_raw_lb[],MATCH($A196,lmic_raw_lb[[setting]:[setting]],0), MATCH(K$139, lmic_raw_lb[#Headers],0)))</f>
        <v>0.90249999999999997</v>
      </c>
      <c r="L196" s="98">
        <f>IF(INDEX(lmic_raw_lb[],MATCH($A196,lmic_raw_lb[[setting]:[setting]],0), MATCH(L$139, lmic_raw_lb[#Headers],0))=0, INDEX(regions_lb[], MATCH($D196, regions_lb[[setting]:[setting]],0), MATCH(L$139, regions_lb[#Headers],0)),INDEX(lmic_raw_lb[],MATCH($A196,lmic_raw_lb[[setting]:[setting]],0), MATCH(L$139, lmic_raw_lb[#Headers],0)))</f>
        <v>0.9405</v>
      </c>
      <c r="M196" s="98">
        <f>IF(INDEX(lmic_raw_lb[],MATCH($A196,lmic_raw_lb[[setting]:[setting]],0), MATCH(M$139, lmic_raw_lb[#Headers],0))=0, INDEX(regions_lb[], MATCH($D196, regions_lb[[setting]:[setting]],0), MATCH(M$139, regions_lb[#Headers],0)),INDEX(lmic_raw_lb[],MATCH($A196,lmic_raw_lb[[setting]:[setting]],0), MATCH(M$139, lmic_raw_lb[#Headers],0)))</f>
        <v>1.1000000000000001E-3</v>
      </c>
      <c r="N196" s="98">
        <f>IF(INDEX(lmic_raw_lb[],MATCH($A196,lmic_raw_lb[[setting]:[setting]],0), MATCH(N$139, lmic_raw_lb[#Headers],0))=0, INDEX(regions_lb[], MATCH($D196, regions_lb[[setting]:[setting]],0), MATCH(N$139, regions_lb[#Headers],0)),INDEX(lmic_raw_lb[],MATCH($A196,lmic_raw_lb[[setting]:[setting]],0), MATCH(N$139, lmic_raw_lb[#Headers],0)))</f>
        <v>0.14980000000000002</v>
      </c>
      <c r="O196" s="98">
        <f>IF(INDEX(lmic_raw_lb[],MATCH($A196,lmic_raw_lb[[setting]:[setting]],0), MATCH(O$139, lmic_raw_lb[#Headers],0))=0, INDEX(regions_lb[], MATCH($D196, regions_lb[[setting]:[setting]],0), MATCH(O$139, regions_lb[#Headers],0)),INDEX(lmic_raw_lb[],MATCH($A196,lmic_raw_lb[[setting]:[setting]],0), MATCH(O$139, lmic_raw_lb[#Headers],0)))</f>
        <v>0.7</v>
      </c>
      <c r="P196" s="98">
        <f>IF(INDEX(lmic_raw_lb[],MATCH($A196,lmic_raw_lb[[setting]:[setting]],0), MATCH(P$139, lmic_raw_lb[#Headers],0))=0, INDEX(regions_lb[], MATCH($D196, regions_lb[[setting]:[setting]],0), MATCH(P$139, regions_lb[#Headers],0)),INDEX(lmic_raw_lb[],MATCH($A196,lmic_raw_lb[[setting]:[setting]],0), MATCH(P$139, lmic_raw_lb[#Headers],0)))</f>
        <v>0.05</v>
      </c>
      <c r="Q196" s="98">
        <f>IF(INDEX(lmic_raw_lb[],MATCH($A196,lmic_raw_lb[[setting]:[setting]],0), MATCH(Q$139, lmic_raw_lb[#Headers],0))=0, INDEX(regions_lb[], MATCH($D196, regions_lb[[setting]:[setting]],0), MATCH(Q$139, regions_lb[#Headers],0)),INDEX(lmic_raw_lb[],MATCH($A196,lmic_raw_lb[[setting]:[setting]],0), MATCH(Q$139, lmic_raw_lb[#Headers],0)))</f>
        <v>9.9897966622822132</v>
      </c>
      <c r="R196" s="98">
        <f>IF(INDEX(lmic_raw_lb[],MATCH($A196,lmic_raw_lb[[setting]:[setting]],0), MATCH(R$139, lmic_raw_lb[#Headers],0))=0, INDEX(regions_lb[], MATCH($D196, regions_lb[[setting]:[setting]],0), MATCH(R$139, regions_lb[#Headers],0)),INDEX(lmic_raw_lb[],MATCH($A196,lmic_raw_lb[[setting]:[setting]],0), MATCH(R$139, lmic_raw_lb[#Headers],0)))</f>
        <v>44.019105000000003</v>
      </c>
      <c r="S196" s="98">
        <f>IF(INDEX(lmic_raw_lb[],MATCH($A196,lmic_raw_lb[[setting]:[setting]],0), MATCH(S$139, lmic_raw_lb[#Headers],0))=0, INDEX(regions_lb[], MATCH($D196, regions_lb[[setting]:[setting]],0), MATCH(S$139, regions_lb[#Headers],0)),INDEX(lmic_raw_lb[],MATCH($A196,lmic_raw_lb[[setting]:[setting]],0), MATCH(S$139, lmic_raw_lb[#Headers],0)))</f>
        <v>89.374005000000011</v>
      </c>
      <c r="T196" s="98">
        <f>IF(INDEX(lmic_raw_lb[],MATCH($A196,lmic_raw_lb[[setting]:[setting]],0), MATCH(T$139, lmic_raw_lb[#Headers],0))=0, INDEX(regions_lb[], MATCH($D196, regions_lb[[setting]:[setting]],0), MATCH(T$139, regions_lb[#Headers],0)),INDEX(lmic_raw_lb[],MATCH($A196,lmic_raw_lb[[setting]:[setting]],0), MATCH(T$139, lmic_raw_lb[#Headers],0)))</f>
        <v>89.374005000000011</v>
      </c>
      <c r="U196" s="98">
        <f>IF(INDEX(lmic_raw_lb[],MATCH($A196,lmic_raw_lb[[setting]:[setting]],0), MATCH(U$139, lmic_raw_lb[#Headers],0))=0, INDEX(regions_lb[], MATCH($D196, regions_lb[[setting]:[setting]],0), MATCH(U$139, regions_lb[#Headers],0)),INDEX(lmic_raw_lb[],MATCH($A196,lmic_raw_lb[[setting]:[setting]],0), MATCH(U$139, lmic_raw_lb[#Headers],0)))</f>
        <v>89.374005000000011</v>
      </c>
      <c r="V196" s="98">
        <f>IF(INDEX(lmic_raw_lb[],MATCH($A196,lmic_raw_lb[[setting]:[setting]],0), MATCH(V$139, lmic_raw_lb[#Headers],0))=0, INDEX(regions_lb[], MATCH($D196, regions_lb[[setting]:[setting]],0), MATCH(V$139, regions_lb[#Headers],0)),INDEX(lmic_raw_lb[],MATCH($A196,lmic_raw_lb[[setting]:[setting]],0), MATCH(V$139, lmic_raw_lb[#Headers],0)))</f>
        <v>1.6271829196874248</v>
      </c>
      <c r="W196" s="98">
        <f>IF(INDEX(lmic_raw_lb[],MATCH($A196,lmic_raw_lb[[setting]:[setting]],0), MATCH(W$139, lmic_raw_lb[#Headers],0))=0, INDEX(regions_lb[], MATCH($D196, regions_lb[[setting]:[setting]],0), MATCH(W$139, regions_lb[#Headers],0)),INDEX(lmic_raw_lb[],MATCH($A196,lmic_raw_lb[[setting]:[setting]],0), MATCH(W$139, lmic_raw_lb[#Headers],0)))</f>
        <v>2.0828029196874249</v>
      </c>
      <c r="X196" s="98">
        <f>IF(INDEX(lmic_raw_lb[],MATCH($A196,lmic_raw_lb[[setting]:[setting]],0), MATCH(X$139, lmic_raw_lb[#Headers],0))=0, INDEX(regions_lb[], MATCH($D196, regions_lb[[setting]:[setting]],0), MATCH(X$139, regions_lb[#Headers],0)),INDEX(lmic_raw_lb[],MATCH($A196,lmic_raw_lb[[setting]:[setting]],0), MATCH(X$139, lmic_raw_lb[#Headers],0)))</f>
        <v>1.2573946626825159</v>
      </c>
      <c r="Y196" s="98">
        <f>IF(INDEX(lmic_raw_lb[],MATCH($A196,lmic_raw_lb[[setting]:[setting]],0), MATCH(Y$139, lmic_raw_lb[#Headers],0))=0, INDEX(regions_lb[], MATCH($D196, regions_lb[[setting]:[setting]],0), MATCH(Y$139, regions_lb[#Headers],0)),INDEX(lmic_raw_lb[],MATCH($A196,lmic_raw_lb[[setting]:[setting]],0), MATCH(Y$139, lmic_raw_lb[#Headers],0)))</f>
        <v>1.7130146626825158</v>
      </c>
      <c r="Z196" s="98">
        <f>IF(INDEX(lmic_raw_lb[],MATCH($A196,lmic_raw_lb[[setting]:[setting]],0), MATCH(Z$139, lmic_raw_lb[#Headers],0))=0, INDEX(regions_lb[], MATCH($D196, regions_lb[[setting]:[setting]],0), MATCH(Z$139, regions_lb[#Headers],0)),INDEX(lmic_raw_lb[],MATCH($A196,lmic_raw_lb[[setting]:[setting]],0), MATCH(Z$139, lmic_raw_lb[#Headers],0)))</f>
        <v>1.7074871907747835</v>
      </c>
      <c r="AA196" s="98">
        <f>IF(INDEX(lmic_raw_lb[],MATCH($A196,lmic_raw_lb[[setting]:[setting]],0), MATCH(AA$139, lmic_raw_lb[#Headers],0))=0, INDEX(regions_lb[], MATCH($D196, regions_lb[[setting]:[setting]],0), MATCH(AA$139, regions_lb[#Headers],0)),INDEX(lmic_raw_lb[],MATCH($A196,lmic_raw_lb[[setting]:[setting]],0), MATCH(AA$139, lmic_raw_lb[#Headers],0)))</f>
        <v>1.8403051329251694</v>
      </c>
      <c r="AB196" s="98">
        <f>IF(INDEX(lmic_raw_lb[],MATCH($A196,lmic_raw_lb[[setting]:[setting]],0), MATCH(AB$139, lmic_raw_lb[#Headers],0))=0, INDEX(regions_lb[], MATCH($D196, regions_lb[[setting]:[setting]],0), MATCH(AB$139, regions_lb[#Headers],0)),INDEX(lmic_raw_lb[],MATCH($A196,lmic_raw_lb[[setting]:[setting]],0), MATCH(AB$139, lmic_raw_lb[#Headers],0)))</f>
        <v>2.2959251329251695</v>
      </c>
      <c r="AC196" s="98">
        <f>IF(INDEX(lmic_raw_lb[],MATCH($A196,lmic_raw_lb[[setting]:[setting]],0), MATCH(AC$139, lmic_raw_lb[#Headers],0))=0, INDEX(regions_lb[], MATCH($D196, regions_lb[[setting]:[setting]],0), MATCH(AC$139, regions_lb[#Headers],0)),INDEX(lmic_raw_lb[],MATCH($A196,lmic_raw_lb[[setting]:[setting]],0), MATCH(AC$139, lmic_raw_lb[#Headers],0)))</f>
        <v>1.2176577499999956E-2</v>
      </c>
      <c r="AD196" s="98">
        <f>IF(INDEX(lmic_raw_lb[],MATCH($A196,lmic_raw_lb[[setting]:[setting]],0), MATCH(AD$139, lmic_raw_lb[#Headers],0))=0, INDEX(regions_lb[], MATCH($D196, regions_lb[[setting]:[setting]],0), MATCH(AD$139, regions_lb[#Headers],0)),INDEX(lmic_raw_lb[],MATCH($A196,lmic_raw_lb[[setting]:[setting]],0), MATCH(AD$139, lmic_raw_lb[#Headers],0)))</f>
        <v>5.0523051688871343E-4</v>
      </c>
      <c r="AE196" s="98">
        <f>IF(INDEX(lmic_raw_lb[],MATCH($A196,lmic_raw_lb[[setting]:[setting]],0), MATCH(AE$139, lmic_raw_lb[#Headers],0))=0, INDEX(regions_lb[], MATCH($D196, regions_lb[[setting]:[setting]],0), MATCH(AE$139, regions_lb[#Headers],0)),INDEX(lmic_raw_lb[],MATCH($A196,lmic_raw_lb[[setting]:[setting]],0), MATCH(AE$139, lmic_raw_lb[#Headers],0)))</f>
        <v>1.6712427130344295E-4</v>
      </c>
      <c r="AF196" s="98">
        <f>IF(INDEX(lmic_raw_lb[],MATCH($A196,lmic_raw_lb[[setting]:[setting]],0), MATCH(AF$139, lmic_raw_lb[#Headers],0))=0, INDEX(regions_lb[], MATCH($D196, regions_lb[[setting]:[setting]],0), MATCH(AF$139, regions_lb[#Headers],0)),INDEX(lmic_raw_lb[],MATCH($A196,lmic_raw_lb[[setting]:[setting]],0), MATCH(AF$139, lmic_raw_lb[#Headers],0)))</f>
        <v>1.8614754351952011E-4</v>
      </c>
      <c r="AG196" s="98">
        <f>IF(INDEX(lmic_raw_lb[],MATCH($A196,lmic_raw_lb[[setting]:[setting]],0), MATCH(AG$139, lmic_raw_lb[#Headers],0))=0, INDEX(regions_lb[], MATCH($D196, regions_lb[[setting]:[setting]],0), MATCH(AG$139, regions_lb[#Headers],0)),INDEX(lmic_raw_lb[],MATCH($A196,lmic_raw_lb[[setting]:[setting]],0), MATCH(AG$139, lmic_raw_lb[#Headers],0)))</f>
        <v>4.0538283688251807E-4</v>
      </c>
      <c r="AH196" s="98">
        <f>IF(INDEX(lmic_raw_lb[],MATCH($A196,lmic_raw_lb[[setting]:[setting]],0), MATCH(AH$139, lmic_raw_lb[#Headers],0))=0, INDEX(regions_lb[], MATCH($D196, regions_lb[[setting]:[setting]],0), MATCH(AH$139, regions_lb[#Headers],0)),INDEX(lmic_raw_lb[],MATCH($A196,lmic_raw_lb[[setting]:[setting]],0), MATCH(AH$139, lmic_raw_lb[#Headers],0)))</f>
        <v>7.214393973838521E-4</v>
      </c>
      <c r="AI196" s="98">
        <f>IF(INDEX(lmic_raw_lb[],MATCH($A196,lmic_raw_lb[[setting]:[setting]],0), MATCH(AI$139, lmic_raw_lb[#Headers],0))=0, INDEX(regions_lb[], MATCH($D196, regions_lb[[setting]:[setting]],0), MATCH(AI$139, regions_lb[#Headers],0)),INDEX(lmic_raw_lb[],MATCH($A196,lmic_raw_lb[[setting]:[setting]],0), MATCH(AI$139, lmic_raw_lb[#Headers],0)))</f>
        <v>5.621962463052396E-4</v>
      </c>
      <c r="AJ196" s="98">
        <f>IF(INDEX(lmic_raw_lb[],MATCH($A196,lmic_raw_lb[[setting]:[setting]],0), MATCH(AJ$139, lmic_raw_lb[#Headers],0))=0, INDEX(regions_lb[], MATCH($D196, regions_lb[[setting]:[setting]],0), MATCH(AJ$139, regions_lb[#Headers],0)),INDEX(lmic_raw_lb[],MATCH($A196,lmic_raw_lb[[setting]:[setting]],0), MATCH(AJ$139, lmic_raw_lb[#Headers],0)))</f>
        <v>6.1280662403239263E-4</v>
      </c>
      <c r="AK196" s="98">
        <f>IF(INDEX(lmic_raw_lb[],MATCH($A196,lmic_raw_lb[[setting]:[setting]],0), MATCH(AK$139, lmic_raw_lb[#Headers],0))=0, INDEX(regions_lb[], MATCH($D196, regions_lb[[setting]:[setting]],0), MATCH(AK$139, regions_lb[#Headers],0)),INDEX(lmic_raw_lb[],MATCH($A196,lmic_raw_lb[[setting]:[setting]],0), MATCH(AK$139, lmic_raw_lb[#Headers],0)))</f>
        <v>6.7054005210020952E-4</v>
      </c>
      <c r="AL196" s="98">
        <f>IF(INDEX(lmic_raw_lb[],MATCH($A196,lmic_raw_lb[[setting]:[setting]],0), MATCH(AL$139, lmic_raw_lb[#Headers],0))=0, INDEX(regions_lb[], MATCH($D196, regions_lb[[setting]:[setting]],0), MATCH(AL$139, regions_lb[#Headers],0)),INDEX(lmic_raw_lb[],MATCH($A196,lmic_raw_lb[[setting]:[setting]],0), MATCH(AL$139, lmic_raw_lb[#Headers],0)))</f>
        <v>9.8768836594111771E-4</v>
      </c>
      <c r="AM196" s="98">
        <f>IF(INDEX(lmic_raw_lb[],MATCH($A196,lmic_raw_lb[[setting]:[setting]],0), MATCH(AM$139, lmic_raw_lb[#Headers],0))=0, INDEX(regions_lb[], MATCH($D196, regions_lb[[setting]:[setting]],0), MATCH(AM$139, regions_lb[#Headers],0)),INDEX(lmic_raw_lb[],MATCH($A196,lmic_raw_lb[[setting]:[setting]],0), MATCH(AM$139, lmic_raw_lb[#Headers],0)))</f>
        <v>1.6527202149349742E-3</v>
      </c>
      <c r="AN196" s="98">
        <f>IF(INDEX(lmic_raw_lb[],MATCH($A196,lmic_raw_lb[[setting]:[setting]],0), MATCH(AN$139, lmic_raw_lb[#Headers],0))=0, INDEX(regions_lb[], MATCH($D196, regions_lb[[setting]:[setting]],0), MATCH(AN$139, regions_lb[#Headers],0)),INDEX(lmic_raw_lb[],MATCH($A196,lmic_raw_lb[[setting]:[setting]],0), MATCH(AN$139, lmic_raw_lb[#Headers],0)))</f>
        <v>3.0771693047141166E-3</v>
      </c>
      <c r="AO196" s="98">
        <f>IF(INDEX(lmic_raw_lb[],MATCH($A196,lmic_raw_lb[[setting]:[setting]],0), MATCH(AO$139, lmic_raw_lb[#Headers],0))=0, INDEX(regions_lb[], MATCH($D196, regions_lb[[setting]:[setting]],0), MATCH(AO$139, regions_lb[#Headers],0)),INDEX(lmic_raw_lb[],MATCH($A196,lmic_raw_lb[[setting]:[setting]],0), MATCH(AO$139, lmic_raw_lb[#Headers],0)))</f>
        <v>4.5583518045280401E-3</v>
      </c>
      <c r="AP196" s="98">
        <f>IF(INDEX(lmic_raw_lb[],MATCH($A196,lmic_raw_lb[[setting]:[setting]],0), MATCH(AP$139, lmic_raw_lb[#Headers],0))=0, INDEX(regions_lb[], MATCH($D196, regions_lb[[setting]:[setting]],0), MATCH(AP$139, regions_lb[#Headers],0)),INDEX(lmic_raw_lb[],MATCH($A196,lmic_raw_lb[[setting]:[setting]],0), MATCH(AP$139, lmic_raw_lb[#Headers],0)))</f>
        <v>8.4264868272173245E-3</v>
      </c>
      <c r="AQ196" s="98">
        <f>IF(INDEX(lmic_raw_lb[],MATCH($A196,lmic_raw_lb[[setting]:[setting]],0), MATCH(AQ$139, lmic_raw_lb[#Headers],0))=0, INDEX(regions_lb[], MATCH($D196, regions_lb[[setting]:[setting]],0), MATCH(AQ$139, regions_lb[#Headers],0)),INDEX(lmic_raw_lb[],MATCH($A196,lmic_raw_lb[[setting]:[setting]],0), MATCH(AQ$139, lmic_raw_lb[#Headers],0)))</f>
        <v>1.5354750145581632E-2</v>
      </c>
      <c r="AR196" s="98">
        <f>IF(INDEX(lmic_raw_lb[],MATCH($A196,lmic_raw_lb[[setting]:[setting]],0), MATCH(AR$139, lmic_raw_lb[#Headers],0))=0, INDEX(regions_lb[], MATCH($D196, regions_lb[[setting]:[setting]],0), MATCH(AR$139, regions_lb[#Headers],0)),INDEX(lmic_raw_lb[],MATCH($A196,lmic_raw_lb[[setting]:[setting]],0), MATCH(AR$139, lmic_raw_lb[#Headers],0)))</f>
        <v>3.0609009598516587E-2</v>
      </c>
      <c r="AS196" s="98">
        <f>IF(INDEX(lmic_raw_lb[],MATCH($A196,lmic_raw_lb[[setting]:[setting]],0), MATCH(AS$139, lmic_raw_lb[#Headers],0))=0, INDEX(regions_lb[], MATCH($D196, regions_lb[[setting]:[setting]],0), MATCH(AS$139, regions_lb[#Headers],0)),INDEX(lmic_raw_lb[],MATCH($A196,lmic_raw_lb[[setting]:[setting]],0), MATCH(AS$139, lmic_raw_lb[#Headers],0)))</f>
        <v>6.0827125542031693E-2</v>
      </c>
      <c r="AT196" s="98">
        <f>IF(INDEX(lmic_raw_lb[],MATCH($A196,lmic_raw_lb[[setting]:[setting]],0), MATCH(AT$139, lmic_raw_lb[#Headers],0))=0, INDEX(regions_lb[], MATCH($D196, regions_lb[[setting]:[setting]],0), MATCH(AT$139, regions_lb[#Headers],0)),INDEX(lmic_raw_lb[],MATCH($A196,lmic_raw_lb[[setting]:[setting]],0), MATCH(AT$139, lmic_raw_lb[#Headers],0)))</f>
        <v>8.7543564897937881E-2</v>
      </c>
      <c r="AU196" s="98">
        <f>IF(INDEX(lmic_raw_lb[],MATCH($A196,lmic_raw_lb[[setting]:[setting]],0), MATCH(AU$139, lmic_raw_lb[#Headers],0))=0, INDEX(regions_lb[], MATCH($D196, regions_lb[[setting]:[setting]],0), MATCH(AU$139, regions_lb[#Headers],0)),INDEX(lmic_raw_lb[],MATCH($A196,lmic_raw_lb[[setting]:[setting]],0), MATCH(AU$139, lmic_raw_lb[#Headers],0)))</f>
        <v>0.11934822028144469</v>
      </c>
      <c r="AV196" s="98">
        <f>IF(INDEX(lmic_raw_lb[],MATCH($A196,lmic_raw_lb[[setting]:[setting]],0), MATCH(AV$139, lmic_raw_lb[#Headers],0))=0, INDEX(regions_lb[], MATCH($D196, regions_lb[[setting]:[setting]],0), MATCH(AV$139, regions_lb[#Headers],0)),INDEX(lmic_raw_lb[],MATCH($A196,lmic_raw_lb[[setting]:[setting]],0), MATCH(AV$139, lmic_raw_lb[#Headers],0)))</f>
        <v>0.14981808619032058</v>
      </c>
      <c r="AW196" s="98">
        <f>IF(INDEX(lmic_raw_lb[],MATCH($A196,lmic_raw_lb[[setting]:[setting]],0), MATCH(AW$139, lmic_raw_lb[#Headers],0))=0, INDEX(regions_lb[], MATCH($D196, regions_lb[[setting]:[setting]],0), MATCH(AW$139, regions_lb[#Headers],0)),INDEX(lmic_raw_lb[],MATCH($A196,lmic_raw_lb[[setting]:[setting]],0), MATCH(AW$139, lmic_raw_lb[#Headers],0)))</f>
        <v>0.16987327049633713</v>
      </c>
      <c r="AX196" s="98">
        <f>IF(INDEX(lmic_raw_lb[],MATCH($A196,lmic_raw_lb[[setting]:[setting]],0), MATCH(AX$139, lmic_raw_lb[#Headers],0))=0, INDEX(regions_lb[], MATCH($D196, regions_lb[[setting]:[setting]],0), MATCH(AX$139, regions_lb[#Headers],0)),INDEX(lmic_raw_lb[],MATCH($A196,lmic_raw_lb[[setting]:[setting]],0), MATCH(AX$139, lmic_raw_lb[#Headers],0)))</f>
        <v>72.528700000000001</v>
      </c>
      <c r="AY196" s="98" t="str">
        <f>IF(VLOOKUP(lmics_lb[[#This Row],[setting]],lmic_raw_lb[],11,FALSE)=0, "Yes", "No")</f>
        <v>No</v>
      </c>
    </row>
    <row r="197" spans="1:51" x14ac:dyDescent="0.25">
      <c r="A197" s="110" t="s">
        <v>170</v>
      </c>
      <c r="B197" s="104" t="s">
        <v>441</v>
      </c>
      <c r="C197" s="105">
        <v>368</v>
      </c>
      <c r="D197" s="84" t="s">
        <v>673</v>
      </c>
      <c r="E197" s="122" t="s">
        <v>579</v>
      </c>
      <c r="F197" s="94" t="s">
        <v>579</v>
      </c>
      <c r="G197" s="94" t="s">
        <v>676</v>
      </c>
      <c r="H197" s="94"/>
      <c r="I197" s="94"/>
      <c r="J197" s="94">
        <f>IF(INDEX(lmic_raw_lb[],MATCH($A197,lmic_raw_lb[[setting]:[setting]],0), MATCH(J$139, lmic_raw_lb[#Headers],0))=0, INDEX(regions_lb[], MATCH($D197, regions_lb[[setting]:[setting]],0), MATCH(J$139, regions_lb[#Headers],0)),INDEX(lmic_raw_lb[],MATCH($A197,lmic_raw_lb[[setting]:[setting]],0), MATCH(J$139, lmic_raw_lb[#Headers],0)))</f>
        <v>0.82269999999999999</v>
      </c>
      <c r="K197" s="94">
        <f>IF(INDEX(lmic_raw_lb[],MATCH($A197,lmic_raw_lb[[setting]:[setting]],0), MATCH(K$139, lmic_raw_lb[#Headers],0))=0, INDEX(regions_lb[], MATCH($D197, regions_lb[[setting]:[setting]],0), MATCH(K$139, regions_lb[#Headers],0)),INDEX(lmic_raw_lb[],MATCH($A197,lmic_raw_lb[[setting]:[setting]],0), MATCH(K$139, lmic_raw_lb[#Headers],0)))</f>
        <v>0.38949999999999996</v>
      </c>
      <c r="L197" s="94">
        <f>IF(INDEX(lmic_raw_lb[],MATCH($A197,lmic_raw_lb[[setting]:[setting]],0), MATCH(L$139, lmic_raw_lb[#Headers],0))=0, INDEX(regions_lb[], MATCH($D197, regions_lb[[setting]:[setting]],0), MATCH(L$139, regions_lb[#Headers],0)),INDEX(lmic_raw_lb[],MATCH($A197,lmic_raw_lb[[setting]:[setting]],0), MATCH(L$139, lmic_raw_lb[#Headers],0)))</f>
        <v>0.79799999999999993</v>
      </c>
      <c r="M197" s="94">
        <f>IF(INDEX(lmic_raw_lb[],MATCH($A197,lmic_raw_lb[[setting]:[setting]],0), MATCH(M$139, lmic_raw_lb[#Headers],0))=0, INDEX(regions_lb[], MATCH($D197, regions_lb[[setting]:[setting]],0), MATCH(M$139, regions_lb[#Headers],0)),INDEX(lmic_raw_lb[],MATCH($A197,lmic_raw_lb[[setting]:[setting]],0), MATCH(M$139, lmic_raw_lb[#Headers],0)))</f>
        <v>1.1000000000000001E-3</v>
      </c>
      <c r="N197" s="94">
        <f>IF(INDEX(lmic_raw_lb[],MATCH($A197,lmic_raw_lb[[setting]:[setting]],0), MATCH(N$139, lmic_raw_lb[#Headers],0))=0, INDEX(regions_lb[], MATCH($D197, regions_lb[[setting]:[setting]],0), MATCH(N$139, regions_lb[#Headers],0)),INDEX(lmic_raw_lb[],MATCH($A197,lmic_raw_lb[[setting]:[setting]],0), MATCH(N$139, lmic_raw_lb[#Headers],0)))</f>
        <v>0.14980000000000002</v>
      </c>
      <c r="O197" s="94">
        <f>IF(INDEX(lmic_raw_lb[],MATCH($A197,lmic_raw_lb[[setting]:[setting]],0), MATCH(O$139, lmic_raw_lb[#Headers],0))=0, INDEX(regions_lb[], MATCH($D197, regions_lb[[setting]:[setting]],0), MATCH(O$139, regions_lb[#Headers],0)),INDEX(lmic_raw_lb[],MATCH($A197,lmic_raw_lb[[setting]:[setting]],0), MATCH(O$139, lmic_raw_lb[#Headers],0)))</f>
        <v>0.7</v>
      </c>
      <c r="P197" s="94">
        <f>IF(INDEX(lmic_raw_lb[],MATCH($A197,lmic_raw_lb[[setting]:[setting]],0), MATCH(P$139, lmic_raw_lb[#Headers],0))=0, INDEX(regions_lb[], MATCH($D197, regions_lb[[setting]:[setting]],0), MATCH(P$139, regions_lb[#Headers],0)),INDEX(lmic_raw_lb[],MATCH($A197,lmic_raw_lb[[setting]:[setting]],0), MATCH(P$139, lmic_raw_lb[#Headers],0)))</f>
        <v>0.05</v>
      </c>
      <c r="Q197" s="94">
        <f>IF(INDEX(lmic_raw_lb[],MATCH($A197,lmic_raw_lb[[setting]:[setting]],0), MATCH(Q$139, lmic_raw_lb[#Headers],0))=0, INDEX(regions_lb[], MATCH($D197, regions_lb[[setting]:[setting]],0), MATCH(Q$139, regions_lb[#Headers],0)),INDEX(lmic_raw_lb[],MATCH($A197,lmic_raw_lb[[setting]:[setting]],0), MATCH(Q$139, lmic_raw_lb[#Headers],0)))</f>
        <v>4.1941394702676433</v>
      </c>
      <c r="R197" s="94">
        <f>IF(INDEX(lmic_raw_lb[],MATCH($A197,lmic_raw_lb[[setting]:[setting]],0), MATCH(R$139, lmic_raw_lb[#Headers],0))=0, INDEX(regions_lb[], MATCH($D197, regions_lb[[setting]:[setting]],0), MATCH(R$139, regions_lb[#Headers],0)),INDEX(lmic_raw_lb[],MATCH($A197,lmic_raw_lb[[setting]:[setting]],0), MATCH(R$139, lmic_raw_lb[#Headers],0)))</f>
        <v>44.019105000000003</v>
      </c>
      <c r="S197" s="94">
        <f>IF(INDEX(lmic_raw_lb[],MATCH($A197,lmic_raw_lb[[setting]:[setting]],0), MATCH(S$139, lmic_raw_lb[#Headers],0))=0, INDEX(regions_lb[], MATCH($D197, regions_lb[[setting]:[setting]],0), MATCH(S$139, regions_lb[#Headers],0)),INDEX(lmic_raw_lb[],MATCH($A197,lmic_raw_lb[[setting]:[setting]],0), MATCH(S$139, lmic_raw_lb[#Headers],0)))</f>
        <v>89.374005000000011</v>
      </c>
      <c r="T197" s="94">
        <f>IF(INDEX(lmic_raw_lb[],MATCH($A197,lmic_raw_lb[[setting]:[setting]],0), MATCH(T$139, lmic_raw_lb[#Headers],0))=0, INDEX(regions_lb[], MATCH($D197, regions_lb[[setting]:[setting]],0), MATCH(T$139, regions_lb[#Headers],0)),INDEX(lmic_raw_lb[],MATCH($A197,lmic_raw_lb[[setting]:[setting]],0), MATCH(T$139, lmic_raw_lb[#Headers],0)))</f>
        <v>89.374005000000011</v>
      </c>
      <c r="U197" s="94">
        <f>IF(INDEX(lmic_raw_lb[],MATCH($A197,lmic_raw_lb[[setting]:[setting]],0), MATCH(U$139, lmic_raw_lb[#Headers],0))=0, INDEX(regions_lb[], MATCH($D197, regions_lb[[setting]:[setting]],0), MATCH(U$139, regions_lb[#Headers],0)),INDEX(lmic_raw_lb[],MATCH($A197,lmic_raw_lb[[setting]:[setting]],0), MATCH(U$139, lmic_raw_lb[#Headers],0)))</f>
        <v>89.374005000000011</v>
      </c>
      <c r="V197" s="94">
        <f>IF(INDEX(lmic_raw_lb[],MATCH($A197,lmic_raw_lb[[setting]:[setting]],0), MATCH(V$139, lmic_raw_lb[#Headers],0))=0, INDEX(regions_lb[], MATCH($D197, regions_lb[[setting]:[setting]],0), MATCH(V$139, regions_lb[#Headers],0)),INDEX(lmic_raw_lb[],MATCH($A197,lmic_raw_lb[[setting]:[setting]],0), MATCH(V$139, lmic_raw_lb[#Headers],0)))</f>
        <v>1.2248117168788946</v>
      </c>
      <c r="W197" s="94">
        <f>IF(INDEX(lmic_raw_lb[],MATCH($A197,lmic_raw_lb[[setting]:[setting]],0), MATCH(W$139, lmic_raw_lb[#Headers],0))=0, INDEX(regions_lb[], MATCH($D197, regions_lb[[setting]:[setting]],0), MATCH(W$139, regions_lb[#Headers],0)),INDEX(lmic_raw_lb[],MATCH($A197,lmic_raw_lb[[setting]:[setting]],0), MATCH(W$139, lmic_raw_lb[#Headers],0)))</f>
        <v>1.6804317168788945</v>
      </c>
      <c r="X197" s="94">
        <f>IF(INDEX(lmic_raw_lb[],MATCH($A197,lmic_raw_lb[[setting]:[setting]],0), MATCH(X$139, lmic_raw_lb[#Headers],0))=0, INDEX(regions_lb[], MATCH($D197, regions_lb[[setting]:[setting]],0), MATCH(X$139, regions_lb[#Headers],0)),INDEX(lmic_raw_lb[],MATCH($A197,lmic_raw_lb[[setting]:[setting]],0), MATCH(X$139, lmic_raw_lb[#Headers],0)))</f>
        <v>0.85529983750102756</v>
      </c>
      <c r="Y197" s="94">
        <f>IF(INDEX(lmic_raw_lb[],MATCH($A197,lmic_raw_lb[[setting]:[setting]],0), MATCH(Y$139, lmic_raw_lb[#Headers],0))=0, INDEX(regions_lb[], MATCH($D197, regions_lb[[setting]:[setting]],0), MATCH(Y$139, regions_lb[#Headers],0)),INDEX(lmic_raw_lb[],MATCH($A197,lmic_raw_lb[[setting]:[setting]],0), MATCH(Y$139, lmic_raw_lb[#Headers],0)))</f>
        <v>1.3109198375010276</v>
      </c>
      <c r="Z197" s="94">
        <f>IF(INDEX(lmic_raw_lb[],MATCH($A197,lmic_raw_lb[[setting]:[setting]],0), MATCH(Z$139, lmic_raw_lb[#Headers],0))=0, INDEX(regions_lb[], MATCH($D197, regions_lb[[setting]:[setting]],0), MATCH(Z$139, regions_lb[#Headers],0)),INDEX(lmic_raw_lb[],MATCH($A197,lmic_raw_lb[[setting]:[setting]],0), MATCH(Z$139, lmic_raw_lb[#Headers],0)))</f>
        <v>1.3061934889764495</v>
      </c>
      <c r="AA197" s="94">
        <f>IF(INDEX(lmic_raw_lb[],MATCH($A197,lmic_raw_lb[[setting]:[setting]],0), MATCH(AA$139, lmic_raw_lb[#Headers],0))=0, INDEX(regions_lb[], MATCH($D197, regions_lb[[setting]:[setting]],0), MATCH(AA$139, regions_lb[#Headers],0)),INDEX(lmic_raw_lb[],MATCH($A197,lmic_raw_lb[[setting]:[setting]],0), MATCH(AA$139, lmic_raw_lb[#Headers],0)))</f>
        <v>1.4378154825621927</v>
      </c>
      <c r="AB197" s="94">
        <f>IF(INDEX(lmic_raw_lb[],MATCH($A197,lmic_raw_lb[[setting]:[setting]],0), MATCH(AB$139, lmic_raw_lb[#Headers],0))=0, INDEX(regions_lb[], MATCH($D197, regions_lb[[setting]:[setting]],0), MATCH(AB$139, regions_lb[#Headers],0)),INDEX(lmic_raw_lb[],MATCH($A197,lmic_raw_lb[[setting]:[setting]],0), MATCH(AB$139, lmic_raw_lb[#Headers],0)))</f>
        <v>1.8934354825621926</v>
      </c>
      <c r="AC197" s="94">
        <f>IF(INDEX(lmic_raw_lb[],MATCH($A197,lmic_raw_lb[[setting]:[setting]],0), MATCH(AC$139, lmic_raw_lb[#Headers],0))=0, INDEX(regions_lb[], MATCH($D197, regions_lb[[setting]:[setting]],0), MATCH(AC$139, regions_lb[#Headers],0)),INDEX(lmic_raw_lb[],MATCH($A197,lmic_raw_lb[[setting]:[setting]],0), MATCH(AC$139, lmic_raw_lb[#Headers],0)))</f>
        <v>2.2905260000000018E-2</v>
      </c>
      <c r="AD197" s="94">
        <f>IF(INDEX(lmic_raw_lb[],MATCH($A197,lmic_raw_lb[[setting]:[setting]],0), MATCH(AD$139, lmic_raw_lb[#Headers],0))=0, INDEX(regions_lb[], MATCH($D197, regions_lb[[setting]:[setting]],0), MATCH(AD$139, regions_lb[#Headers],0)),INDEX(lmic_raw_lb[],MATCH($A197,lmic_raw_lb[[setting]:[setting]],0), MATCH(AD$139, lmic_raw_lb[#Headers],0)))</f>
        <v>1.0259826371682476E-3</v>
      </c>
      <c r="AE197" s="94">
        <f>IF(INDEX(lmic_raw_lb[],MATCH($A197,lmic_raw_lb[[setting]:[setting]],0), MATCH(AE$139, lmic_raw_lb[#Headers],0))=0, INDEX(regions_lb[], MATCH($D197, regions_lb[[setting]:[setting]],0), MATCH(AE$139, regions_lb[#Headers],0)),INDEX(lmic_raw_lb[],MATCH($A197,lmic_raw_lb[[setting]:[setting]],0), MATCH(AE$139, lmic_raw_lb[#Headers],0)))</f>
        <v>6.4430474341568335E-4</v>
      </c>
      <c r="AF197" s="94">
        <f>IF(INDEX(lmic_raw_lb[],MATCH($A197,lmic_raw_lb[[setting]:[setting]],0), MATCH(AF$139, lmic_raw_lb[#Headers],0))=0, INDEX(regions_lb[], MATCH($D197, regions_lb[[setting]:[setting]],0), MATCH(AF$139, regions_lb[#Headers],0)),INDEX(lmic_raw_lb[],MATCH($A197,lmic_raw_lb[[setting]:[setting]],0), MATCH(AF$139, lmic_raw_lb[#Headers],0)))</f>
        <v>5.3729956660226357E-4</v>
      </c>
      <c r="AG197" s="94">
        <f>IF(INDEX(lmic_raw_lb[],MATCH($A197,lmic_raw_lb[[setting]:[setting]],0), MATCH(AG$139, lmic_raw_lb[#Headers],0))=0, INDEX(regions_lb[], MATCH($D197, regions_lb[[setting]:[setting]],0), MATCH(AG$139, regions_lb[#Headers],0)),INDEX(lmic_raw_lb[],MATCH($A197,lmic_raw_lb[[setting]:[setting]],0), MATCH(AG$139, lmic_raw_lb[#Headers],0)))</f>
        <v>9.5039358044780929E-4</v>
      </c>
      <c r="AH197" s="94">
        <f>IF(INDEX(lmic_raw_lb[],MATCH($A197,lmic_raw_lb[[setting]:[setting]],0), MATCH(AH$139, lmic_raw_lb[#Headers],0))=0, INDEX(regions_lb[], MATCH($D197, regions_lb[[setting]:[setting]],0), MATCH(AH$139, regions_lb[#Headers],0)),INDEX(lmic_raw_lb[],MATCH($A197,lmic_raw_lb[[setting]:[setting]],0), MATCH(AH$139, lmic_raw_lb[#Headers],0)))</f>
        <v>1.3443688653697427E-3</v>
      </c>
      <c r="AI197" s="94">
        <f>IF(INDEX(lmic_raw_lb[],MATCH($A197,lmic_raw_lb[[setting]:[setting]],0), MATCH(AI$139, lmic_raw_lb[#Headers],0))=0, INDEX(regions_lb[], MATCH($D197, regions_lb[[setting]:[setting]],0), MATCH(AI$139, regions_lb[#Headers],0)),INDEX(lmic_raw_lb[],MATCH($A197,lmic_raw_lb[[setting]:[setting]],0), MATCH(AI$139, lmic_raw_lb[#Headers],0)))</f>
        <v>1.447997776043364E-3</v>
      </c>
      <c r="AJ197" s="94">
        <f>IF(INDEX(lmic_raw_lb[],MATCH($A197,lmic_raw_lb[[setting]:[setting]],0), MATCH(AJ$139, lmic_raw_lb[#Headers],0))=0, INDEX(regions_lb[], MATCH($D197, regions_lb[[setting]:[setting]],0), MATCH(AJ$139, regions_lb[#Headers],0)),INDEX(lmic_raw_lb[],MATCH($A197,lmic_raw_lb[[setting]:[setting]],0), MATCH(AJ$139, lmic_raw_lb[#Headers],0)))</f>
        <v>1.6605167084530117E-3</v>
      </c>
      <c r="AK197" s="94">
        <f>IF(INDEX(lmic_raw_lb[],MATCH($A197,lmic_raw_lb[[setting]:[setting]],0), MATCH(AK$139, lmic_raw_lb[#Headers],0))=0, INDEX(regions_lb[], MATCH($D197, regions_lb[[setting]:[setting]],0), MATCH(AK$139, regions_lb[#Headers],0)),INDEX(lmic_raw_lb[],MATCH($A197,lmic_raw_lb[[setting]:[setting]],0), MATCH(AK$139, lmic_raw_lb[#Headers],0)))</f>
        <v>2.093552275560108E-3</v>
      </c>
      <c r="AL197" s="94">
        <f>IF(INDEX(lmic_raw_lb[],MATCH($A197,lmic_raw_lb[[setting]:[setting]],0), MATCH(AL$139, lmic_raw_lb[#Headers],0))=0, INDEX(regions_lb[], MATCH($D197, regions_lb[[setting]:[setting]],0), MATCH(AL$139, regions_lb[#Headers],0)),INDEX(lmic_raw_lb[],MATCH($A197,lmic_raw_lb[[setting]:[setting]],0), MATCH(AL$139, lmic_raw_lb[#Headers],0)))</f>
        <v>2.9362824599895128E-3</v>
      </c>
      <c r="AM197" s="94">
        <f>IF(INDEX(lmic_raw_lb[],MATCH($A197,lmic_raw_lb[[setting]:[setting]],0), MATCH(AM$139, lmic_raw_lb[#Headers],0))=0, INDEX(regions_lb[], MATCH($D197, regions_lb[[setting]:[setting]],0), MATCH(AM$139, regions_lb[#Headers],0)),INDEX(lmic_raw_lb[],MATCH($A197,lmic_raw_lb[[setting]:[setting]],0), MATCH(AM$139, lmic_raw_lb[#Headers],0)))</f>
        <v>4.4577551096119435E-3</v>
      </c>
      <c r="AN197" s="94">
        <f>IF(INDEX(lmic_raw_lb[],MATCH($A197,lmic_raw_lb[[setting]:[setting]],0), MATCH(AN$139, lmic_raw_lb[#Headers],0))=0, INDEX(regions_lb[], MATCH($D197, regions_lb[[setting]:[setting]],0), MATCH(AN$139, regions_lb[#Headers],0)),INDEX(lmic_raw_lb[],MATCH($A197,lmic_raw_lb[[setting]:[setting]],0), MATCH(AN$139, lmic_raw_lb[#Headers],0)))</f>
        <v>6.8064963537309963E-3</v>
      </c>
      <c r="AO197" s="94">
        <f>IF(INDEX(lmic_raw_lb[],MATCH($A197,lmic_raw_lb[[setting]:[setting]],0), MATCH(AO$139, lmic_raw_lb[#Headers],0))=0, INDEX(regions_lb[], MATCH($D197, regions_lb[[setting]:[setting]],0), MATCH(AO$139, regions_lb[#Headers],0)),INDEX(lmic_raw_lb[],MATCH($A197,lmic_raw_lb[[setting]:[setting]],0), MATCH(AO$139, lmic_raw_lb[#Headers],0)))</f>
        <v>1.0522699576347159E-2</v>
      </c>
      <c r="AP197" s="94">
        <f>IF(INDEX(lmic_raw_lb[],MATCH($A197,lmic_raw_lb[[setting]:[setting]],0), MATCH(AP$139, lmic_raw_lb[#Headers],0))=0, INDEX(regions_lb[], MATCH($D197, regions_lb[[setting]:[setting]],0), MATCH(AP$139, regions_lb[#Headers],0)),INDEX(lmic_raw_lb[],MATCH($A197,lmic_raw_lb[[setting]:[setting]],0), MATCH(AP$139, lmic_raw_lb[#Headers],0)))</f>
        <v>1.6354675115820911E-2</v>
      </c>
      <c r="AQ197" s="94">
        <f>IF(INDEX(lmic_raw_lb[],MATCH($A197,lmic_raw_lb[[setting]:[setting]],0), MATCH(AQ$139, lmic_raw_lb[#Headers],0))=0, INDEX(regions_lb[], MATCH($D197, regions_lb[[setting]:[setting]],0), MATCH(AQ$139, regions_lb[#Headers],0)),INDEX(lmic_raw_lb[],MATCH($A197,lmic_raw_lb[[setting]:[setting]],0), MATCH(AQ$139, lmic_raw_lb[#Headers],0)))</f>
        <v>2.5879192606524045E-2</v>
      </c>
      <c r="AR197" s="94">
        <f>IF(INDEX(lmic_raw_lb[],MATCH($A197,lmic_raw_lb[[setting]:[setting]],0), MATCH(AR$139, lmic_raw_lb[#Headers],0))=0, INDEX(regions_lb[], MATCH($D197, regions_lb[[setting]:[setting]],0), MATCH(AR$139, regions_lb[#Headers],0)),INDEX(lmic_raw_lb[],MATCH($A197,lmic_raw_lb[[setting]:[setting]],0), MATCH(AR$139, lmic_raw_lb[#Headers],0)))</f>
        <v>4.090602584247327E-2</v>
      </c>
      <c r="AS197" s="94">
        <f>IF(INDEX(lmic_raw_lb[],MATCH($A197,lmic_raw_lb[[setting]:[setting]],0), MATCH(AS$139, lmic_raw_lb[#Headers],0))=0, INDEX(regions_lb[], MATCH($D197, regions_lb[[setting]:[setting]],0), MATCH(AS$139, regions_lb[#Headers],0)),INDEX(lmic_raw_lb[],MATCH($A197,lmic_raw_lb[[setting]:[setting]],0), MATCH(AS$139, lmic_raw_lb[#Headers],0)))</f>
        <v>6.2645623398801045E-2</v>
      </c>
      <c r="AT197" s="94">
        <f>IF(INDEX(lmic_raw_lb[],MATCH($A197,lmic_raw_lb[[setting]:[setting]],0), MATCH(AT$139, lmic_raw_lb[#Headers],0))=0, INDEX(regions_lb[], MATCH($D197, regions_lb[[setting]:[setting]],0), MATCH(AT$139, regions_lb[#Headers],0)),INDEX(lmic_raw_lb[],MATCH($A197,lmic_raw_lb[[setting]:[setting]],0), MATCH(AT$139, lmic_raw_lb[#Headers],0)))</f>
        <v>9.2313976051498783E-2</v>
      </c>
      <c r="AU197" s="94">
        <f>IF(INDEX(lmic_raw_lb[],MATCH($A197,lmic_raw_lb[[setting]:[setting]],0), MATCH(AU$139, lmic_raw_lb[#Headers],0))=0, INDEX(regions_lb[], MATCH($D197, regions_lb[[setting]:[setting]],0), MATCH(AU$139, regions_lb[#Headers],0)),INDEX(lmic_raw_lb[],MATCH($A197,lmic_raw_lb[[setting]:[setting]],0), MATCH(AU$139, lmic_raw_lb[#Headers],0)))</f>
        <v>0.12425329947591431</v>
      </c>
      <c r="AV197" s="94">
        <f>IF(INDEX(lmic_raw_lb[],MATCH($A197,lmic_raw_lb[[setting]:[setting]],0), MATCH(AV$139, lmic_raw_lb[#Headers],0))=0, INDEX(regions_lb[], MATCH($D197, regions_lb[[setting]:[setting]],0), MATCH(AV$139, regions_lb[#Headers],0)),INDEX(lmic_raw_lb[],MATCH($A197,lmic_raw_lb[[setting]:[setting]],0), MATCH(AV$139, lmic_raw_lb[#Headers],0)))</f>
        <v>0.15175772633462509</v>
      </c>
      <c r="AW197" s="94">
        <f>IF(INDEX(lmic_raw_lb[],MATCH($A197,lmic_raw_lb[[setting]:[setting]],0), MATCH(AW$139, lmic_raw_lb[#Headers],0))=0, INDEX(regions_lb[], MATCH($D197, regions_lb[[setting]:[setting]],0), MATCH(AW$139, regions_lb[#Headers],0)),INDEX(lmic_raw_lb[],MATCH($A197,lmic_raw_lb[[setting]:[setting]],0), MATCH(AW$139, lmic_raw_lb[#Headers],0)))</f>
        <v>0.16895628959385356</v>
      </c>
      <c r="AX197" s="94">
        <f>IF(INDEX(lmic_raw_lb[],MATCH($A197,lmic_raw_lb[[setting]:[setting]],0), MATCH(AX$139, lmic_raw_lb[#Headers],0))=0, INDEX(regions_lb[], MATCH($D197, regions_lb[[setting]:[setting]],0), MATCH(AX$139, regions_lb[#Headers],0)),INDEX(lmic_raw_lb[],MATCH($A197,lmic_raw_lb[[setting]:[setting]],0), MATCH(AX$139, lmic_raw_lb[#Headers],0)))</f>
        <v>66.849599999999995</v>
      </c>
      <c r="AY197" s="94" t="str">
        <f>IF(VLOOKUP(lmics_lb[[#This Row],[setting]],lmic_raw_lb[],11,FALSE)=0, "Yes", "No")</f>
        <v>No</v>
      </c>
    </row>
    <row r="198" spans="1:51" x14ac:dyDescent="0.25">
      <c r="A198" s="109" t="s">
        <v>239</v>
      </c>
      <c r="B198" s="101" t="s">
        <v>444</v>
      </c>
      <c r="C198" s="102">
        <v>388</v>
      </c>
      <c r="D198" s="82" t="s">
        <v>679</v>
      </c>
      <c r="E198" s="121" t="s">
        <v>223</v>
      </c>
      <c r="F198" s="98" t="s">
        <v>665</v>
      </c>
      <c r="G198" s="98" t="s">
        <v>676</v>
      </c>
      <c r="H198" s="98"/>
      <c r="I198" s="98"/>
      <c r="J198" s="98">
        <f>IF(INDEX(lmic_raw_lb[],MATCH($A198,lmic_raw_lb[[setting]:[setting]],0), MATCH(J$139, lmic_raw_lb[#Headers],0))=0, INDEX(regions_lb[], MATCH($D198, regions_lb[[setting]:[setting]],0), MATCH(J$139, regions_lb[#Headers],0)),INDEX(lmic_raw_lb[],MATCH($A198,lmic_raw_lb[[setting]:[setting]],0), MATCH(J$139, lmic_raw_lb[#Headers],0)))</f>
        <v>0.93669999999999998</v>
      </c>
      <c r="K198" s="98">
        <f>IF(INDEX(lmic_raw_lb[],MATCH($A198,lmic_raw_lb[[setting]:[setting]],0), MATCH(K$139, lmic_raw_lb[#Headers],0))=0, INDEX(regions_lb[], MATCH($D198, regions_lb[[setting]:[setting]],0), MATCH(K$139, regions_lb[#Headers],0)),INDEX(lmic_raw_lb[],MATCH($A198,lmic_raw_lb[[setting]:[setting]],0), MATCH(K$139, lmic_raw_lb[#Headers],0)))</f>
        <v>0.70839362529601158</v>
      </c>
      <c r="L198" s="98">
        <f>IF(INDEX(lmic_raw_lb[],MATCH($A198,lmic_raw_lb[[setting]:[setting]],0), MATCH(L$139, lmic_raw_lb[#Headers],0))=0, INDEX(regions_lb[], MATCH($D198, regions_lb[[setting]:[setting]],0), MATCH(L$139, regions_lb[#Headers],0)),INDEX(lmic_raw_lb[],MATCH($A198,lmic_raw_lb[[setting]:[setting]],0), MATCH(L$139, lmic_raw_lb[#Headers],0)))</f>
        <v>0.91199999999999992</v>
      </c>
      <c r="M198" s="98">
        <f>IF(INDEX(lmic_raw_lb[],MATCH($A198,lmic_raw_lb[[setting]:[setting]],0), MATCH(M$139, lmic_raw_lb[#Headers],0))=0, INDEX(regions_lb[], MATCH($D198, regions_lb[[setting]:[setting]],0), MATCH(M$139, regions_lb[#Headers],0)),INDEX(lmic_raw_lb[],MATCH($A198,lmic_raw_lb[[setting]:[setting]],0), MATCH(M$139, lmic_raw_lb[#Headers],0)))</f>
        <v>1.1000000000000001E-3</v>
      </c>
      <c r="N198" s="98">
        <f>IF(INDEX(lmic_raw_lb[],MATCH($A198,lmic_raw_lb[[setting]:[setting]],0), MATCH(N$139, lmic_raw_lb[#Headers],0))=0, INDEX(regions_lb[], MATCH($D198, regions_lb[[setting]:[setting]],0), MATCH(N$139, regions_lb[#Headers],0)),INDEX(lmic_raw_lb[],MATCH($A198,lmic_raw_lb[[setting]:[setting]],0), MATCH(N$139, lmic_raw_lb[#Headers],0)))</f>
        <v>0.16309999999999999</v>
      </c>
      <c r="O198" s="98">
        <f>IF(INDEX(lmic_raw_lb[],MATCH($A198,lmic_raw_lb[[setting]:[setting]],0), MATCH(O$139, lmic_raw_lb[#Headers],0))=0, INDEX(regions_lb[], MATCH($D198, regions_lb[[setting]:[setting]],0), MATCH(O$139, regions_lb[#Headers],0)),INDEX(lmic_raw_lb[],MATCH($A198,lmic_raw_lb[[setting]:[setting]],0), MATCH(O$139, lmic_raw_lb[#Headers],0)))</f>
        <v>0.7</v>
      </c>
      <c r="P198" s="98">
        <f>IF(INDEX(lmic_raw_lb[],MATCH($A198,lmic_raw_lb[[setting]:[setting]],0), MATCH(P$139, lmic_raw_lb[#Headers],0))=0, INDEX(regions_lb[], MATCH($D198, regions_lb[[setting]:[setting]],0), MATCH(P$139, regions_lb[#Headers],0)),INDEX(lmic_raw_lb[],MATCH($A198,lmic_raw_lb[[setting]:[setting]],0), MATCH(P$139, lmic_raw_lb[#Headers],0)))</f>
        <v>0.05</v>
      </c>
      <c r="Q198" s="98">
        <f>IF(INDEX(lmic_raw_lb[],MATCH($A198,lmic_raw_lb[[setting]:[setting]],0), MATCH(Q$139, lmic_raw_lb[#Headers],0))=0, INDEX(regions_lb[], MATCH($D198, regions_lb[[setting]:[setting]],0), MATCH(Q$139, regions_lb[#Headers],0)),INDEX(lmic_raw_lb[],MATCH($A198,lmic_raw_lb[[setting]:[setting]],0), MATCH(Q$139, lmic_raw_lb[#Headers],0)))</f>
        <v>8.9862684714470067</v>
      </c>
      <c r="R198" s="98">
        <f>IF(INDEX(lmic_raw_lb[],MATCH($A198,lmic_raw_lb[[setting]:[setting]],0), MATCH(R$139, lmic_raw_lb[#Headers],0))=0, INDEX(regions_lb[], MATCH($D198, regions_lb[[setting]:[setting]],0), MATCH(R$139, regions_lb[#Headers],0)),INDEX(lmic_raw_lb[],MATCH($A198,lmic_raw_lb[[setting]:[setting]],0), MATCH(R$139, lmic_raw_lb[#Headers],0)))</f>
        <v>82.539704999999998</v>
      </c>
      <c r="S198" s="98">
        <f>IF(INDEX(lmic_raw_lb[],MATCH($A198,lmic_raw_lb[[setting]:[setting]],0), MATCH(S$139, lmic_raw_lb[#Headers],0))=0, INDEX(regions_lb[], MATCH($D198, regions_lb[[setting]:[setting]],0), MATCH(S$139, regions_lb[#Headers],0)),INDEX(lmic_raw_lb[],MATCH($A198,lmic_raw_lb[[setting]:[setting]],0), MATCH(S$139, lmic_raw_lb[#Headers],0)))</f>
        <v>127.894605</v>
      </c>
      <c r="T198" s="98">
        <f>IF(INDEX(lmic_raw_lb[],MATCH($A198,lmic_raw_lb[[setting]:[setting]],0), MATCH(T$139, lmic_raw_lb[#Headers],0))=0, INDEX(regions_lb[], MATCH($D198, regions_lb[[setting]:[setting]],0), MATCH(T$139, regions_lb[#Headers],0)),INDEX(lmic_raw_lb[],MATCH($A198,lmic_raw_lb[[setting]:[setting]],0), MATCH(T$139, lmic_raw_lb[#Headers],0)))</f>
        <v>127.894605</v>
      </c>
      <c r="U198" s="98">
        <f>IF(INDEX(lmic_raw_lb[],MATCH($A198,lmic_raw_lb[[setting]:[setting]],0), MATCH(U$139, lmic_raw_lb[#Headers],0))=0, INDEX(regions_lb[], MATCH($D198, regions_lb[[setting]:[setting]],0), MATCH(U$139, regions_lb[#Headers],0)),INDEX(lmic_raw_lb[],MATCH($A198,lmic_raw_lb[[setting]:[setting]],0), MATCH(U$139, lmic_raw_lb[#Headers],0)))</f>
        <v>127.894605</v>
      </c>
      <c r="V198" s="98">
        <f>IF(INDEX(lmic_raw_lb[],MATCH($A198,lmic_raw_lb[[setting]:[setting]],0), MATCH(V$139, lmic_raw_lb[#Headers],0))=0, INDEX(regions_lb[], MATCH($D198, regions_lb[[setting]:[setting]],0), MATCH(V$139, regions_lb[#Headers],0)),INDEX(lmic_raw_lb[],MATCH($A198,lmic_raw_lb[[setting]:[setting]],0), MATCH(V$139, lmic_raw_lb[#Headers],0)))</f>
        <v>3.2643942172457794</v>
      </c>
      <c r="W198" s="98">
        <f>IF(INDEX(lmic_raw_lb[],MATCH($A198,lmic_raw_lb[[setting]:[setting]],0), MATCH(W$139, lmic_raw_lb[#Headers],0))=0, INDEX(regions_lb[], MATCH($D198, regions_lb[[setting]:[setting]],0), MATCH(W$139, regions_lb[#Headers],0)),INDEX(lmic_raw_lb[],MATCH($A198,lmic_raw_lb[[setting]:[setting]],0), MATCH(W$139, lmic_raw_lb[#Headers],0)))</f>
        <v>3.2851042172457792</v>
      </c>
      <c r="X198" s="98">
        <f>IF(INDEX(lmic_raw_lb[],MATCH($A198,lmic_raw_lb[[setting]:[setting]],0), MATCH(X$139, lmic_raw_lb[#Headers],0))=0, INDEX(regions_lb[], MATCH($D198, regions_lb[[setting]:[setting]],0), MATCH(X$139, regions_lb[#Headers],0)),INDEX(lmic_raw_lb[],MATCH($A198,lmic_raw_lb[[setting]:[setting]],0), MATCH(X$139, lmic_raw_lb[#Headers],0)))</f>
        <v>2.8948071906580188</v>
      </c>
      <c r="Y198" s="98">
        <f>IF(INDEX(lmic_raw_lb[],MATCH($A198,lmic_raw_lb[[setting]:[setting]],0), MATCH(Y$139, lmic_raw_lb[#Headers],0))=0, INDEX(regions_lb[], MATCH($D198, regions_lb[[setting]:[setting]],0), MATCH(Y$139, regions_lb[#Headers],0)),INDEX(lmic_raw_lb[],MATCH($A198,lmic_raw_lb[[setting]:[setting]],0), MATCH(Y$139, lmic_raw_lb[#Headers],0)))</f>
        <v>2.9155171906580186</v>
      </c>
      <c r="Z198" s="98">
        <f>IF(INDEX(lmic_raw_lb[],MATCH($A198,lmic_raw_lb[[setting]:[setting]],0), MATCH(Z$139, lmic_raw_lb[#Headers],0))=0, INDEX(regions_lb[], MATCH($D198, regions_lb[[setting]:[setting]],0), MATCH(Z$139, regions_lb[#Headers],0)),INDEX(lmic_raw_lb[],MATCH($A198,lmic_raw_lb[[setting]:[setting]],0), MATCH(Z$139, lmic_raw_lb[#Headers],0)))</f>
        <v>2.9103094929867419</v>
      </c>
      <c r="AA198" s="98">
        <f>IF(INDEX(lmic_raw_lb[],MATCH($A198,lmic_raw_lb[[setting]:[setting]],0), MATCH(AA$139, lmic_raw_lb[#Headers],0))=0, INDEX(regions_lb[], MATCH($D198, regions_lb[[setting]:[setting]],0), MATCH(AA$139, regions_lb[#Headers],0)),INDEX(lmic_raw_lb[],MATCH($A198,lmic_raw_lb[[setting]:[setting]],0), MATCH(AA$139, lmic_raw_lb[#Headers],0)))</f>
        <v>3.4774301888761747</v>
      </c>
      <c r="AB198" s="98">
        <f>IF(INDEX(lmic_raw_lb[],MATCH($A198,lmic_raw_lb[[setting]:[setting]],0), MATCH(AB$139, lmic_raw_lb[#Headers],0))=0, INDEX(regions_lb[], MATCH($D198, regions_lb[[setting]:[setting]],0), MATCH(AB$139, regions_lb[#Headers],0)),INDEX(lmic_raw_lb[],MATCH($A198,lmic_raw_lb[[setting]:[setting]],0), MATCH(AB$139, lmic_raw_lb[#Headers],0)))</f>
        <v>3.4981401888761745</v>
      </c>
      <c r="AC198" s="98">
        <f>IF(INDEX(lmic_raw_lb[],MATCH($A198,lmic_raw_lb[[setting]:[setting]],0), MATCH(AC$139, lmic_raw_lb[#Headers],0))=0, INDEX(regions_lb[], MATCH($D198, regions_lb[[setting]:[setting]],0), MATCH(AC$139, regions_lb[#Headers],0)),INDEX(lmic_raw_lb[],MATCH($A198,lmic_raw_lb[[setting]:[setting]],0), MATCH(AC$139, lmic_raw_lb[#Headers],0)))</f>
        <v>1.1183960500000052E-2</v>
      </c>
      <c r="AD198" s="98">
        <f>IF(INDEX(lmic_raw_lb[],MATCH($A198,lmic_raw_lb[[setting]:[setting]],0), MATCH(AD$139, lmic_raw_lb[#Headers],0))=0, INDEX(regions_lb[], MATCH($D198, regions_lb[[setting]:[setting]],0), MATCH(AD$139, regions_lb[#Headers],0)),INDEX(lmic_raw_lb[],MATCH($A198,lmic_raw_lb[[setting]:[setting]],0), MATCH(AD$139, lmic_raw_lb[#Headers],0)))</f>
        <v>7.6759976228545936E-4</v>
      </c>
      <c r="AE198" s="98">
        <f>IF(INDEX(lmic_raw_lb[],MATCH($A198,lmic_raw_lb[[setting]:[setting]],0), MATCH(AE$139, lmic_raw_lb[#Headers],0))=0, INDEX(regions_lb[], MATCH($D198, regions_lb[[setting]:[setting]],0), MATCH(AE$139, regions_lb[#Headers],0)),INDEX(lmic_raw_lb[],MATCH($A198,lmic_raw_lb[[setting]:[setting]],0), MATCH(AE$139, lmic_raw_lb[#Headers],0)))</f>
        <v>3.2595369907537525E-4</v>
      </c>
      <c r="AF198" s="98">
        <f>IF(INDEX(lmic_raw_lb[],MATCH($A198,lmic_raw_lb[[setting]:[setting]],0), MATCH(AF$139, lmic_raw_lb[#Headers],0))=0, INDEX(regions_lb[], MATCH($D198, regions_lb[[setting]:[setting]],0), MATCH(AF$139, regions_lb[#Headers],0)),INDEX(lmic_raw_lb[],MATCH($A198,lmic_raw_lb[[setting]:[setting]],0), MATCH(AF$139, lmic_raw_lb[#Headers],0)))</f>
        <v>3.1079553790552291E-4</v>
      </c>
      <c r="AG198" s="98">
        <f>IF(INDEX(lmic_raw_lb[],MATCH($A198,lmic_raw_lb[[setting]:[setting]],0), MATCH(AG$139, lmic_raw_lb[#Headers],0))=0, INDEX(regions_lb[], MATCH($D198, regions_lb[[setting]:[setting]],0), MATCH(AG$139, regions_lb[#Headers],0)),INDEX(lmic_raw_lb[],MATCH($A198,lmic_raw_lb[[setting]:[setting]],0), MATCH(AG$139, lmic_raw_lb[#Headers],0)))</f>
        <v>7.4947745321963068E-4</v>
      </c>
      <c r="AH198" s="98">
        <f>IF(INDEX(lmic_raw_lb[],MATCH($A198,lmic_raw_lb[[setting]:[setting]],0), MATCH(AH$139, lmic_raw_lb[#Headers],0))=0, INDEX(regions_lb[], MATCH($D198, regions_lb[[setting]:[setting]],0), MATCH(AH$139, regions_lb[#Headers],0)),INDEX(lmic_raw_lb[],MATCH($A198,lmic_raw_lb[[setting]:[setting]],0), MATCH(AH$139, lmic_raw_lb[#Headers],0)))</f>
        <v>1.0241507369389818E-3</v>
      </c>
      <c r="AI198" s="98">
        <f>IF(INDEX(lmic_raw_lb[],MATCH($A198,lmic_raw_lb[[setting]:[setting]],0), MATCH(AI$139, lmic_raw_lb[#Headers],0))=0, INDEX(regions_lb[], MATCH($D198, regions_lb[[setting]:[setting]],0), MATCH(AI$139, regions_lb[#Headers],0)),INDEX(lmic_raw_lb[],MATCH($A198,lmic_raw_lb[[setting]:[setting]],0), MATCH(AI$139, lmic_raw_lb[#Headers],0)))</f>
        <v>1.0906282180774961E-3</v>
      </c>
      <c r="AJ198" s="98">
        <f>IF(INDEX(lmic_raw_lb[],MATCH($A198,lmic_raw_lb[[setting]:[setting]],0), MATCH(AJ$139, lmic_raw_lb[#Headers],0))=0, INDEX(regions_lb[], MATCH($D198, regions_lb[[setting]:[setting]],0), MATCH(AJ$139, regions_lb[#Headers],0)),INDEX(lmic_raw_lb[],MATCH($A198,lmic_raw_lb[[setting]:[setting]],0), MATCH(AJ$139, lmic_raw_lb[#Headers],0)))</f>
        <v>1.3050033032793356E-3</v>
      </c>
      <c r="AK198" s="98">
        <f>IF(INDEX(lmic_raw_lb[],MATCH($A198,lmic_raw_lb[[setting]:[setting]],0), MATCH(AK$139, lmic_raw_lb[#Headers],0))=0, INDEX(regions_lb[], MATCH($D198, regions_lb[[setting]:[setting]],0), MATCH(AK$139, regions_lb[#Headers],0)),INDEX(lmic_raw_lb[],MATCH($A198,lmic_raw_lb[[setting]:[setting]],0), MATCH(AK$139, lmic_raw_lb[#Headers],0)))</f>
        <v>1.7658877039598052E-3</v>
      </c>
      <c r="AL198" s="98">
        <f>IF(INDEX(lmic_raw_lb[],MATCH($A198,lmic_raw_lb[[setting]:[setting]],0), MATCH(AL$139, lmic_raw_lb[#Headers],0))=0, INDEX(regions_lb[], MATCH($D198, regions_lb[[setting]:[setting]],0), MATCH(AL$139, regions_lb[#Headers],0)),INDEX(lmic_raw_lb[],MATCH($A198,lmic_raw_lb[[setting]:[setting]],0), MATCH(AL$139, lmic_raw_lb[#Headers],0)))</f>
        <v>2.5816257823881653E-3</v>
      </c>
      <c r="AM198" s="98">
        <f>IF(INDEX(lmic_raw_lb[],MATCH($A198,lmic_raw_lb[[setting]:[setting]],0), MATCH(AM$139, lmic_raw_lb[#Headers],0))=0, INDEX(regions_lb[], MATCH($D198, regions_lb[[setting]:[setting]],0), MATCH(AM$139, regions_lb[#Headers],0)),INDEX(lmic_raw_lb[],MATCH($A198,lmic_raw_lb[[setting]:[setting]],0), MATCH(AM$139, lmic_raw_lb[#Headers],0)))</f>
        <v>4.0059951195155988E-3</v>
      </c>
      <c r="AN198" s="98">
        <f>IF(INDEX(lmic_raw_lb[],MATCH($A198,lmic_raw_lb[[setting]:[setting]],0), MATCH(AN$139, lmic_raw_lb[#Headers],0))=0, INDEX(regions_lb[], MATCH($D198, regions_lb[[setting]:[setting]],0), MATCH(AN$139, regions_lb[#Headers],0)),INDEX(lmic_raw_lb[],MATCH($A198,lmic_raw_lb[[setting]:[setting]],0), MATCH(AN$139, lmic_raw_lb[#Headers],0)))</f>
        <v>6.240226828987604E-3</v>
      </c>
      <c r="AO198" s="98">
        <f>IF(INDEX(lmic_raw_lb[],MATCH($A198,lmic_raw_lb[[setting]:[setting]],0), MATCH(AO$139, lmic_raw_lb[#Headers],0))=0, INDEX(regions_lb[], MATCH($D198, regions_lb[[setting]:[setting]],0), MATCH(AO$139, regions_lb[#Headers],0)),INDEX(lmic_raw_lb[],MATCH($A198,lmic_raw_lb[[setting]:[setting]],0), MATCH(AO$139, lmic_raw_lb[#Headers],0)))</f>
        <v>9.6017170099614909E-3</v>
      </c>
      <c r="AP198" s="98">
        <f>IF(INDEX(lmic_raw_lb[],MATCH($A198,lmic_raw_lb[[setting]:[setting]],0), MATCH(AP$139, lmic_raw_lb[#Headers],0))=0, INDEX(regions_lb[], MATCH($D198, regions_lb[[setting]:[setting]],0), MATCH(AP$139, regions_lb[#Headers],0)),INDEX(lmic_raw_lb[],MATCH($A198,lmic_raw_lb[[setting]:[setting]],0), MATCH(AP$139, lmic_raw_lb[#Headers],0)))</f>
        <v>1.3453134194440915E-2</v>
      </c>
      <c r="AQ198" s="98">
        <f>IF(INDEX(lmic_raw_lb[],MATCH($A198,lmic_raw_lb[[setting]:[setting]],0), MATCH(AQ$139, lmic_raw_lb[#Headers],0))=0, INDEX(regions_lb[], MATCH($D198, regions_lb[[setting]:[setting]],0), MATCH(AQ$139, regions_lb[#Headers],0)),INDEX(lmic_raw_lb[],MATCH($A198,lmic_raw_lb[[setting]:[setting]],0), MATCH(AQ$139, lmic_raw_lb[#Headers],0)))</f>
        <v>1.9021432632921435E-2</v>
      </c>
      <c r="AR198" s="98">
        <f>IF(INDEX(lmic_raw_lb[],MATCH($A198,lmic_raw_lb[[setting]:[setting]],0), MATCH(AR$139, lmic_raw_lb[#Headers],0))=0, INDEX(regions_lb[], MATCH($D198, regions_lb[[setting]:[setting]],0), MATCH(AR$139, regions_lb[#Headers],0)),INDEX(lmic_raw_lb[],MATCH($A198,lmic_raw_lb[[setting]:[setting]],0), MATCH(AR$139, lmic_raw_lb[#Headers],0)))</f>
        <v>2.8732949503984993E-2</v>
      </c>
      <c r="AS198" s="98">
        <f>IF(INDEX(lmic_raw_lb[],MATCH($A198,lmic_raw_lb[[setting]:[setting]],0), MATCH(AS$139, lmic_raw_lb[#Headers],0))=0, INDEX(regions_lb[], MATCH($D198, regions_lb[[setting]:[setting]],0), MATCH(AS$139, regions_lb[#Headers],0)),INDEX(lmic_raw_lb[],MATCH($A198,lmic_raw_lb[[setting]:[setting]],0), MATCH(AS$139, lmic_raw_lb[#Headers],0)))</f>
        <v>4.6159497716422138E-2</v>
      </c>
      <c r="AT198" s="98">
        <f>IF(INDEX(lmic_raw_lb[],MATCH($A198,lmic_raw_lb[[setting]:[setting]],0), MATCH(AT$139, lmic_raw_lb[#Headers],0))=0, INDEX(regions_lb[], MATCH($D198, regions_lb[[setting]:[setting]],0), MATCH(AT$139, regions_lb[#Headers],0)),INDEX(lmic_raw_lb[],MATCH($A198,lmic_raw_lb[[setting]:[setting]],0), MATCH(AT$139, lmic_raw_lb[#Headers],0)))</f>
        <v>7.1131507106431027E-2</v>
      </c>
      <c r="AU198" s="98">
        <f>IF(INDEX(lmic_raw_lb[],MATCH($A198,lmic_raw_lb[[setting]:[setting]],0), MATCH(AU$139, lmic_raw_lb[#Headers],0))=0, INDEX(regions_lb[], MATCH($D198, regions_lb[[setting]:[setting]],0), MATCH(AU$139, regions_lb[#Headers],0)),INDEX(lmic_raw_lb[],MATCH($A198,lmic_raw_lb[[setting]:[setting]],0), MATCH(AU$139, lmic_raw_lb[#Headers],0)))</f>
        <v>0.10228523906004958</v>
      </c>
      <c r="AV198" s="98">
        <f>IF(INDEX(lmic_raw_lb[],MATCH($A198,lmic_raw_lb[[setting]:[setting]],0), MATCH(AV$139, lmic_raw_lb[#Headers],0))=0, INDEX(regions_lb[], MATCH($D198, regions_lb[[setting]:[setting]],0), MATCH(AV$139, regions_lb[#Headers],0)),INDEX(lmic_raw_lb[],MATCH($A198,lmic_raw_lb[[setting]:[setting]],0), MATCH(AV$139, lmic_raw_lb[#Headers],0)))</f>
        <v>0.1322878701624764</v>
      </c>
      <c r="AW198" s="98">
        <f>IF(INDEX(lmic_raw_lb[],MATCH($A198,lmic_raw_lb[[setting]:[setting]],0), MATCH(AW$139, lmic_raw_lb[#Headers],0))=0, INDEX(regions_lb[], MATCH($D198, regions_lb[[setting]:[setting]],0), MATCH(AW$139, regions_lb[#Headers],0)),INDEX(lmic_raw_lb[],MATCH($A198,lmic_raw_lb[[setting]:[setting]],0), MATCH(AW$139, lmic_raw_lb[#Headers],0)))</f>
        <v>0.15578765576222733</v>
      </c>
      <c r="AX198" s="98">
        <f>IF(INDEX(lmic_raw_lb[],MATCH($A198,lmic_raw_lb[[setting]:[setting]],0), MATCH(AX$139, lmic_raw_lb[#Headers],0))=0, INDEX(regions_lb[], MATCH($D198, regions_lb[[setting]:[setting]],0), MATCH(AX$139, regions_lb[#Headers],0)),INDEX(lmic_raw_lb[],MATCH($A198,lmic_raw_lb[[setting]:[setting]],0), MATCH(AX$139, lmic_raw_lb[#Headers],0)))</f>
        <v>70.615399999999994</v>
      </c>
      <c r="AY198" s="98" t="str">
        <f>IF(VLOOKUP(lmics_lb[[#This Row],[setting]],lmic_raw_lb[],11,FALSE)=0, "Yes", "No")</f>
        <v>Yes</v>
      </c>
    </row>
    <row r="199" spans="1:51" x14ac:dyDescent="0.25">
      <c r="A199" s="110" t="s">
        <v>172</v>
      </c>
      <c r="B199" s="104" t="s">
        <v>446</v>
      </c>
      <c r="C199" s="105">
        <v>400</v>
      </c>
      <c r="D199" s="84" t="s">
        <v>673</v>
      </c>
      <c r="E199" s="122" t="s">
        <v>579</v>
      </c>
      <c r="F199" s="94" t="s">
        <v>579</v>
      </c>
      <c r="G199" s="94" t="s">
        <v>676</v>
      </c>
      <c r="H199" s="94"/>
      <c r="I199" s="94"/>
      <c r="J199" s="94">
        <f>IF(INDEX(lmic_raw_lb[],MATCH($A199,lmic_raw_lb[[setting]:[setting]],0), MATCH(J$139, lmic_raw_lb[#Headers],0))=0, INDEX(regions_lb[], MATCH($D199, regions_lb[[setting]:[setting]],0), MATCH(J$139, regions_lb[#Headers],0)),INDEX(lmic_raw_lb[],MATCH($A199,lmic_raw_lb[[setting]:[setting]],0), MATCH(J$139, lmic_raw_lb[#Headers],0)))</f>
        <v>0.93194999999999995</v>
      </c>
      <c r="K199" s="94">
        <f>IF(INDEX(lmic_raw_lb[],MATCH($A199,lmic_raw_lb[[setting]:[setting]],0), MATCH(K$139, lmic_raw_lb[#Headers],0))=0, INDEX(regions_lb[], MATCH($D199, regions_lb[[setting]:[setting]],0), MATCH(K$139, regions_lb[#Headers],0)),INDEX(lmic_raw_lb[],MATCH($A199,lmic_raw_lb[[setting]:[setting]],0), MATCH(K$139, lmic_raw_lb[#Headers],0)))</f>
        <v>0.67438226776312915</v>
      </c>
      <c r="L199" s="94">
        <f>IF(INDEX(lmic_raw_lb[],MATCH($A199,lmic_raw_lb[[setting]:[setting]],0), MATCH(L$139, lmic_raw_lb[#Headers],0))=0, INDEX(regions_lb[], MATCH($D199, regions_lb[[setting]:[setting]],0), MATCH(L$139, regions_lb[#Headers],0)),INDEX(lmic_raw_lb[],MATCH($A199,lmic_raw_lb[[setting]:[setting]],0), MATCH(L$139, lmic_raw_lb[#Headers],0)))</f>
        <v>0.84549999999999992</v>
      </c>
      <c r="M199" s="94">
        <f>IF(INDEX(lmic_raw_lb[],MATCH($A199,lmic_raw_lb[[setting]:[setting]],0), MATCH(M$139, lmic_raw_lb[#Headers],0))=0, INDEX(regions_lb[], MATCH($D199, regions_lb[[setting]:[setting]],0), MATCH(M$139, regions_lb[#Headers],0)),INDEX(lmic_raw_lb[],MATCH($A199,lmic_raw_lb[[setting]:[setting]],0), MATCH(M$139, lmic_raw_lb[#Headers],0)))</f>
        <v>1.6399999999999998E-2</v>
      </c>
      <c r="N199" s="94">
        <f>IF(INDEX(lmic_raw_lb[],MATCH($A199,lmic_raw_lb[[setting]:[setting]],0), MATCH(N$139, lmic_raw_lb[#Headers],0))=0, INDEX(regions_lb[], MATCH($D199, regions_lb[[setting]:[setting]],0), MATCH(N$139, regions_lb[#Headers],0)),INDEX(lmic_raw_lb[],MATCH($A199,lmic_raw_lb[[setting]:[setting]],0), MATCH(N$139, lmic_raw_lb[#Headers],0)))</f>
        <v>0.14980000000000002</v>
      </c>
      <c r="O199" s="94">
        <f>IF(INDEX(lmic_raw_lb[],MATCH($A199,lmic_raw_lb[[setting]:[setting]],0), MATCH(O$139, lmic_raw_lb[#Headers],0))=0, INDEX(regions_lb[], MATCH($D199, regions_lb[[setting]:[setting]],0), MATCH(O$139, regions_lb[#Headers],0)),INDEX(lmic_raw_lb[],MATCH($A199,lmic_raw_lb[[setting]:[setting]],0), MATCH(O$139, lmic_raw_lb[#Headers],0)))</f>
        <v>0.7</v>
      </c>
      <c r="P199" s="94">
        <f>IF(INDEX(lmic_raw_lb[],MATCH($A199,lmic_raw_lb[[setting]:[setting]],0), MATCH(P$139, lmic_raw_lb[#Headers],0))=0, INDEX(regions_lb[], MATCH($D199, regions_lb[[setting]:[setting]],0), MATCH(P$139, regions_lb[#Headers],0)),INDEX(lmic_raw_lb[],MATCH($A199,lmic_raw_lb[[setting]:[setting]],0), MATCH(P$139, lmic_raw_lb[#Headers],0)))</f>
        <v>0.05</v>
      </c>
      <c r="Q199" s="94">
        <f>IF(INDEX(lmic_raw_lb[],MATCH($A199,lmic_raw_lb[[setting]:[setting]],0), MATCH(Q$139, lmic_raw_lb[#Headers],0))=0, INDEX(regions_lb[], MATCH($D199, regions_lb[[setting]:[setting]],0), MATCH(Q$139, regions_lb[#Headers],0)),INDEX(lmic_raw_lb[],MATCH($A199,lmic_raw_lb[[setting]:[setting]],0), MATCH(Q$139, lmic_raw_lb[#Headers],0)))</f>
        <v>6.2315096077367231</v>
      </c>
      <c r="R199" s="94">
        <f>IF(INDEX(lmic_raw_lb[],MATCH($A199,lmic_raw_lb[[setting]:[setting]],0), MATCH(R$139, lmic_raw_lb[#Headers],0))=0, INDEX(regions_lb[], MATCH($D199, regions_lb[[setting]:[setting]],0), MATCH(R$139, regions_lb[#Headers],0)),INDEX(lmic_raw_lb[],MATCH($A199,lmic_raw_lb[[setting]:[setting]],0), MATCH(R$139, lmic_raw_lb[#Headers],0)))</f>
        <v>44.019105000000003</v>
      </c>
      <c r="S199" s="94">
        <f>IF(INDEX(lmic_raw_lb[],MATCH($A199,lmic_raw_lb[[setting]:[setting]],0), MATCH(S$139, lmic_raw_lb[#Headers],0))=0, INDEX(regions_lb[], MATCH($D199, regions_lb[[setting]:[setting]],0), MATCH(S$139, regions_lb[#Headers],0)),INDEX(lmic_raw_lb[],MATCH($A199,lmic_raw_lb[[setting]:[setting]],0), MATCH(S$139, lmic_raw_lb[#Headers],0)))</f>
        <v>89.374005000000011</v>
      </c>
      <c r="T199" s="94">
        <f>IF(INDEX(lmic_raw_lb[],MATCH($A199,lmic_raw_lb[[setting]:[setting]],0), MATCH(T$139, lmic_raw_lb[#Headers],0))=0, INDEX(regions_lb[], MATCH($D199, regions_lb[[setting]:[setting]],0), MATCH(T$139, regions_lb[#Headers],0)),INDEX(lmic_raw_lb[],MATCH($A199,lmic_raw_lb[[setting]:[setting]],0), MATCH(T$139, lmic_raw_lb[#Headers],0)))</f>
        <v>89.374005000000011</v>
      </c>
      <c r="U199" s="94">
        <f>IF(INDEX(lmic_raw_lb[],MATCH($A199,lmic_raw_lb[[setting]:[setting]],0), MATCH(U$139, lmic_raw_lb[#Headers],0))=0, INDEX(regions_lb[], MATCH($D199, regions_lb[[setting]:[setting]],0), MATCH(U$139, regions_lb[#Headers],0)),INDEX(lmic_raw_lb[],MATCH($A199,lmic_raw_lb[[setting]:[setting]],0), MATCH(U$139, lmic_raw_lb[#Headers],0)))</f>
        <v>89.374005000000011</v>
      </c>
      <c r="V199" s="94">
        <f>IF(INDEX(lmic_raw_lb[],MATCH($A199,lmic_raw_lb[[setting]:[setting]],0), MATCH(V$139, lmic_raw_lb[#Headers],0))=0, INDEX(regions_lb[], MATCH($D199, regions_lb[[setting]:[setting]],0), MATCH(V$139, regions_lb[#Headers],0)),INDEX(lmic_raw_lb[],MATCH($A199,lmic_raw_lb[[setting]:[setting]],0), MATCH(V$139, lmic_raw_lb[#Headers],0)))</f>
        <v>2.2712405073693454</v>
      </c>
      <c r="W199" s="94">
        <f>IF(INDEX(lmic_raw_lb[],MATCH($A199,lmic_raw_lb[[setting]:[setting]],0), MATCH(W$139, lmic_raw_lb[#Headers],0))=0, INDEX(regions_lb[], MATCH($D199, regions_lb[[setting]:[setting]],0), MATCH(W$139, regions_lb[#Headers],0)),INDEX(lmic_raw_lb[],MATCH($A199,lmic_raw_lb[[setting]:[setting]],0), MATCH(W$139, lmic_raw_lb[#Headers],0)))</f>
        <v>2.7268605073693455</v>
      </c>
      <c r="X199" s="94">
        <f>IF(INDEX(lmic_raw_lb[],MATCH($A199,lmic_raw_lb[[setting]:[setting]],0), MATCH(X$139, lmic_raw_lb[#Headers],0))=0, INDEX(regions_lb[], MATCH($D199, regions_lb[[setting]:[setting]],0), MATCH(X$139, regions_lb[#Headers],0)),INDEX(lmic_raw_lb[],MATCH($A199,lmic_raw_lb[[setting]:[setting]],0), MATCH(X$139, lmic_raw_lb[#Headers],0)))</f>
        <v>1.9034461848483515</v>
      </c>
      <c r="Y199" s="94">
        <f>IF(INDEX(lmic_raw_lb[],MATCH($A199,lmic_raw_lb[[setting]:[setting]],0), MATCH(Y$139, lmic_raw_lb[#Headers],0))=0, INDEX(regions_lb[], MATCH($D199, regions_lb[[setting]:[setting]],0), MATCH(Y$139, regions_lb[#Headers],0)),INDEX(lmic_raw_lb[],MATCH($A199,lmic_raw_lb[[setting]:[setting]],0), MATCH(Y$139, lmic_raw_lb[#Headers],0)))</f>
        <v>2.3590661848483516</v>
      </c>
      <c r="Z199" s="94">
        <f>IF(INDEX(lmic_raw_lb[],MATCH($A199,lmic_raw_lb[[setting]:[setting]],0), MATCH(Z$139, lmic_raw_lb[#Headers],0))=0, INDEX(regions_lb[], MATCH($D199, regions_lb[[setting]:[setting]],0), MATCH(Z$139, regions_lb[#Headers],0)),INDEX(lmic_raw_lb[],MATCH($A199,lmic_raw_lb[[setting]:[setting]],0), MATCH(Z$139, lmic_raw_lb[#Headers],0)))</f>
        <v>2.3552390855987664</v>
      </c>
      <c r="AA199" s="94">
        <f>IF(INDEX(lmic_raw_lb[],MATCH($A199,lmic_raw_lb[[setting]:[setting]],0), MATCH(AA$139, lmic_raw_lb[#Headers],0))=0, INDEX(regions_lb[], MATCH($D199, regions_lb[[setting]:[setting]],0), MATCH(AA$139, regions_lb[#Headers],0)),INDEX(lmic_raw_lb[],MATCH($A199,lmic_raw_lb[[setting]:[setting]],0), MATCH(AA$139, lmic_raw_lb[#Headers],0)))</f>
        <v>2.4835081772568408</v>
      </c>
      <c r="AB199" s="94">
        <f>IF(INDEX(lmic_raw_lb[],MATCH($A199,lmic_raw_lb[[setting]:[setting]],0), MATCH(AB$139, lmic_raw_lb[#Headers],0))=0, INDEX(regions_lb[], MATCH($D199, regions_lb[[setting]:[setting]],0), MATCH(AB$139, regions_lb[#Headers],0)),INDEX(lmic_raw_lb[],MATCH($A199,lmic_raw_lb[[setting]:[setting]],0), MATCH(AB$139, lmic_raw_lb[#Headers],0)))</f>
        <v>2.9391281772568409</v>
      </c>
      <c r="AC199" s="94">
        <f>IF(INDEX(lmic_raw_lb[],MATCH($A199,lmic_raw_lb[[setting]:[setting]],0), MATCH(AC$139, lmic_raw_lb[#Headers],0))=0, INDEX(regions_lb[], MATCH($D199, regions_lb[[setting]:[setting]],0), MATCH(AC$139, regions_lb[#Headers],0)),INDEX(lmic_raw_lb[],MATCH($A199,lmic_raw_lb[[setting]:[setting]],0), MATCH(AC$139, lmic_raw_lb[#Headers],0)))</f>
        <v>1.3901112499999943E-2</v>
      </c>
      <c r="AD199" s="94">
        <f>IF(INDEX(lmic_raw_lb[],MATCH($A199,lmic_raw_lb[[setting]:[setting]],0), MATCH(AD$139, lmic_raw_lb[#Headers],0))=0, INDEX(regions_lb[], MATCH($D199, regions_lb[[setting]:[setting]],0), MATCH(AD$139, regions_lb[#Headers],0)),INDEX(lmic_raw_lb[],MATCH($A199,lmic_raw_lb[[setting]:[setting]],0), MATCH(AD$139, lmic_raw_lb[#Headers],0)))</f>
        <v>5.7916591504337948E-4</v>
      </c>
      <c r="AE199" s="94">
        <f>IF(INDEX(lmic_raw_lb[],MATCH($A199,lmic_raw_lb[[setting]:[setting]],0), MATCH(AE$139, lmic_raw_lb[#Headers],0))=0, INDEX(regions_lb[], MATCH($D199, regions_lb[[setting]:[setting]],0), MATCH(AE$139, regions_lb[#Headers],0)),INDEX(lmic_raw_lb[],MATCH($A199,lmic_raw_lb[[setting]:[setting]],0), MATCH(AE$139, lmic_raw_lb[#Headers],0)))</f>
        <v>3.1187224960774174E-4</v>
      </c>
      <c r="AF199" s="94">
        <f>IF(INDEX(lmic_raw_lb[],MATCH($A199,lmic_raw_lb[[setting]:[setting]],0), MATCH(AF$139, lmic_raw_lb[#Headers],0))=0, INDEX(regions_lb[], MATCH($D199, regions_lb[[setting]:[setting]],0), MATCH(AF$139, regions_lb[#Headers],0)),INDEX(lmic_raw_lb[],MATCH($A199,lmic_raw_lb[[setting]:[setting]],0), MATCH(AF$139, lmic_raw_lb[#Headers],0)))</f>
        <v>2.6198427887469487E-4</v>
      </c>
      <c r="AG199" s="94">
        <f>IF(INDEX(lmic_raw_lb[],MATCH($A199,lmic_raw_lb[[setting]:[setting]],0), MATCH(AG$139, lmic_raw_lb[#Headers],0))=0, INDEX(regions_lb[], MATCH($D199, regions_lb[[setting]:[setting]],0), MATCH(AG$139, regions_lb[#Headers],0)),INDEX(lmic_raw_lb[],MATCH($A199,lmic_raw_lb[[setting]:[setting]],0), MATCH(AG$139, lmic_raw_lb[#Headers],0)))</f>
        <v>4.8641858064730153E-4</v>
      </c>
      <c r="AH199" s="94">
        <f>IF(INDEX(lmic_raw_lb[],MATCH($A199,lmic_raw_lb[[setting]:[setting]],0), MATCH(AH$139, lmic_raw_lb[#Headers],0))=0, INDEX(regions_lb[], MATCH($D199, regions_lb[[setting]:[setting]],0), MATCH(AH$139, regions_lb[#Headers],0)),INDEX(lmic_raw_lb[],MATCH($A199,lmic_raw_lb[[setting]:[setting]],0), MATCH(AH$139, lmic_raw_lb[#Headers],0)))</f>
        <v>6.8031467940150262E-4</v>
      </c>
      <c r="AI199" s="94">
        <f>IF(INDEX(lmic_raw_lb[],MATCH($A199,lmic_raw_lb[[setting]:[setting]],0), MATCH(AI$139, lmic_raw_lb[#Headers],0))=0, INDEX(regions_lb[], MATCH($D199, regions_lb[[setting]:[setting]],0), MATCH(AI$139, regions_lb[#Headers],0)),INDEX(lmic_raw_lb[],MATCH($A199,lmic_raw_lb[[setting]:[setting]],0), MATCH(AI$139, lmic_raw_lb[#Headers],0)))</f>
        <v>7.3319382933787088E-4</v>
      </c>
      <c r="AJ199" s="94">
        <f>IF(INDEX(lmic_raw_lb[],MATCH($A199,lmic_raw_lb[[setting]:[setting]],0), MATCH(AJ$139, lmic_raw_lb[#Headers],0))=0, INDEX(regions_lb[], MATCH($D199, regions_lb[[setting]:[setting]],0), MATCH(AJ$139, regions_lb[#Headers],0)),INDEX(lmic_raw_lb[],MATCH($A199,lmic_raw_lb[[setting]:[setting]],0), MATCH(AJ$139, lmic_raw_lb[#Headers],0)))</f>
        <v>8.6509574958743322E-4</v>
      </c>
      <c r="AK199" s="94">
        <f>IF(INDEX(lmic_raw_lb[],MATCH($A199,lmic_raw_lb[[setting]:[setting]],0), MATCH(AK$139, lmic_raw_lb[#Headers],0))=0, INDEX(regions_lb[], MATCH($D199, regions_lb[[setting]:[setting]],0), MATCH(AK$139, regions_lb[#Headers],0)),INDEX(lmic_raw_lb[],MATCH($A199,lmic_raw_lb[[setting]:[setting]],0), MATCH(AK$139, lmic_raw_lb[#Headers],0)))</f>
        <v>1.1613375968239025E-3</v>
      </c>
      <c r="AL199" s="94">
        <f>IF(INDEX(lmic_raw_lb[],MATCH($A199,lmic_raw_lb[[setting]:[setting]],0), MATCH(AL$139, lmic_raw_lb[#Headers],0))=0, INDEX(regions_lb[], MATCH($D199, regions_lb[[setting]:[setting]],0), MATCH(AL$139, regions_lb[#Headers],0)),INDEX(lmic_raw_lb[],MATCH($A199,lmic_raw_lb[[setting]:[setting]],0), MATCH(AL$139, lmic_raw_lb[#Headers],0)))</f>
        <v>1.7587110516351365E-3</v>
      </c>
      <c r="AM199" s="94">
        <f>IF(INDEX(lmic_raw_lb[],MATCH($A199,lmic_raw_lb[[setting]:[setting]],0), MATCH(AM$139, lmic_raw_lb[#Headers],0))=0, INDEX(regions_lb[], MATCH($D199, regions_lb[[setting]:[setting]],0), MATCH(AM$139, regions_lb[#Headers],0)),INDEX(lmic_raw_lb[],MATCH($A199,lmic_raw_lb[[setting]:[setting]],0), MATCH(AM$139, lmic_raw_lb[#Headers],0)))</f>
        <v>2.9566348099198357E-3</v>
      </c>
      <c r="AN199" s="94">
        <f>IF(INDEX(lmic_raw_lb[],MATCH($A199,lmic_raw_lb[[setting]:[setting]],0), MATCH(AN$139, lmic_raw_lb[#Headers],0))=0, INDEX(regions_lb[], MATCH($D199, regions_lb[[setting]:[setting]],0), MATCH(AN$139, regions_lb[#Headers],0)),INDEX(lmic_raw_lb[],MATCH($A199,lmic_raw_lb[[setting]:[setting]],0), MATCH(AN$139, lmic_raw_lb[#Headers],0)))</f>
        <v>4.8192837668066145E-3</v>
      </c>
      <c r="AO199" s="94">
        <f>IF(INDEX(lmic_raw_lb[],MATCH($A199,lmic_raw_lb[[setting]:[setting]],0), MATCH(AO$139, lmic_raw_lb[#Headers],0))=0, INDEX(regions_lb[], MATCH($D199, regions_lb[[setting]:[setting]],0), MATCH(AO$139, regions_lb[#Headers],0)),INDEX(lmic_raw_lb[],MATCH($A199,lmic_raw_lb[[setting]:[setting]],0), MATCH(AO$139, lmic_raw_lb[#Headers],0)))</f>
        <v>7.9514662244715012E-3</v>
      </c>
      <c r="AP199" s="94">
        <f>IF(INDEX(lmic_raw_lb[],MATCH($A199,lmic_raw_lb[[setting]:[setting]],0), MATCH(AP$139, lmic_raw_lb[#Headers],0))=0, INDEX(regions_lb[], MATCH($D199, regions_lb[[setting]:[setting]],0), MATCH(AP$139, regions_lb[#Headers],0)),INDEX(lmic_raw_lb[],MATCH($A199,lmic_raw_lb[[setting]:[setting]],0), MATCH(AP$139, lmic_raw_lb[#Headers],0)))</f>
        <v>1.2722304524474579E-2</v>
      </c>
      <c r="AQ199" s="94">
        <f>IF(INDEX(lmic_raw_lb[],MATCH($A199,lmic_raw_lb[[setting]:[setting]],0), MATCH(AQ$139, lmic_raw_lb[#Headers],0))=0, INDEX(regions_lb[], MATCH($D199, regions_lb[[setting]:[setting]],0), MATCH(AQ$139, regions_lb[#Headers],0)),INDEX(lmic_raw_lb[],MATCH($A199,lmic_raw_lb[[setting]:[setting]],0), MATCH(AQ$139, lmic_raw_lb[#Headers],0)))</f>
        <v>2.1018061895350815E-2</v>
      </c>
      <c r="AR199" s="94">
        <f>IF(INDEX(lmic_raw_lb[],MATCH($A199,lmic_raw_lb[[setting]:[setting]],0), MATCH(AR$139, lmic_raw_lb[#Headers],0))=0, INDEX(regions_lb[], MATCH($D199, regions_lb[[setting]:[setting]],0), MATCH(AR$139, regions_lb[#Headers],0)),INDEX(lmic_raw_lb[],MATCH($A199,lmic_raw_lb[[setting]:[setting]],0), MATCH(AR$139, lmic_raw_lb[#Headers],0)))</f>
        <v>3.437813604581396E-2</v>
      </c>
      <c r="AS199" s="94">
        <f>IF(INDEX(lmic_raw_lb[],MATCH($A199,lmic_raw_lb[[setting]:[setting]],0), MATCH(AS$139, lmic_raw_lb[#Headers],0))=0, INDEX(regions_lb[], MATCH($D199, regions_lb[[setting]:[setting]],0), MATCH(AS$139, regions_lb[#Headers],0)),INDEX(lmic_raw_lb[],MATCH($A199,lmic_raw_lb[[setting]:[setting]],0), MATCH(AS$139, lmic_raw_lb[#Headers],0)))</f>
        <v>5.475833001760036E-2</v>
      </c>
      <c r="AT199" s="94">
        <f>IF(INDEX(lmic_raw_lb[],MATCH($A199,lmic_raw_lb[[setting]:[setting]],0), MATCH(AT$139, lmic_raw_lb[#Headers],0))=0, INDEX(regions_lb[], MATCH($D199, regions_lb[[setting]:[setting]],0), MATCH(AT$139, regions_lb[#Headers],0)),INDEX(lmic_raw_lb[],MATCH($A199,lmic_raw_lb[[setting]:[setting]],0), MATCH(AT$139, lmic_raw_lb[#Headers],0)))</f>
        <v>8.4421697125510189E-2</v>
      </c>
      <c r="AU199" s="94">
        <f>IF(INDEX(lmic_raw_lb[],MATCH($A199,lmic_raw_lb[[setting]:[setting]],0), MATCH(AU$139, lmic_raw_lb[#Headers],0))=0, INDEX(regions_lb[], MATCH($D199, regions_lb[[setting]:[setting]],0), MATCH(AU$139, regions_lb[#Headers],0)),INDEX(lmic_raw_lb[],MATCH($A199,lmic_raw_lb[[setting]:[setting]],0), MATCH(AU$139, lmic_raw_lb[#Headers],0)))</f>
        <v>0.11721309865415828</v>
      </c>
      <c r="AV199" s="94">
        <f>IF(INDEX(lmic_raw_lb[],MATCH($A199,lmic_raw_lb[[setting]:[setting]],0), MATCH(AV$139, lmic_raw_lb[#Headers],0))=0, INDEX(regions_lb[], MATCH($D199, regions_lb[[setting]:[setting]],0), MATCH(AV$139, regions_lb[#Headers],0)),INDEX(lmic_raw_lb[],MATCH($A199,lmic_raw_lb[[setting]:[setting]],0), MATCH(AV$139, lmic_raw_lb[#Headers],0)))</f>
        <v>0.14698254819329756</v>
      </c>
      <c r="AW199" s="94">
        <f>IF(INDEX(lmic_raw_lb[],MATCH($A199,lmic_raw_lb[[setting]:[setting]],0), MATCH(AW$139, lmic_raw_lb[#Headers],0))=0, INDEX(regions_lb[], MATCH($D199, regions_lb[[setting]:[setting]],0), MATCH(AW$139, regions_lb[#Headers],0)),INDEX(lmic_raw_lb[],MATCH($A199,lmic_raw_lb[[setting]:[setting]],0), MATCH(AW$139, lmic_raw_lb[#Headers],0)))</f>
        <v>0.16772213601864666</v>
      </c>
      <c r="AX199" s="94">
        <f>IF(INDEX(lmic_raw_lb[],MATCH($A199,lmic_raw_lb[[setting]:[setting]],0), MATCH(AX$139, lmic_raw_lb[#Headers],0))=0, INDEX(regions_lb[], MATCH($D199, regions_lb[[setting]:[setting]],0), MATCH(AX$139, regions_lb[#Headers],0)),INDEX(lmic_raw_lb[],MATCH($A199,lmic_raw_lb[[setting]:[setting]],0), MATCH(AX$139, lmic_raw_lb[#Headers],0)))</f>
        <v>70.610649999999993</v>
      </c>
      <c r="AY199" s="94" t="str">
        <f>IF(VLOOKUP(lmics_lb[[#This Row],[setting]],lmic_raw_lb[],11,FALSE)=0, "Yes", "No")</f>
        <v>Yes</v>
      </c>
    </row>
    <row r="200" spans="1:51" x14ac:dyDescent="0.25">
      <c r="A200" s="109" t="s">
        <v>185</v>
      </c>
      <c r="B200" s="101" t="s">
        <v>447</v>
      </c>
      <c r="C200" s="102">
        <v>398</v>
      </c>
      <c r="D200" s="82" t="s">
        <v>675</v>
      </c>
      <c r="E200" s="121" t="s">
        <v>184</v>
      </c>
      <c r="F200" s="98" t="s">
        <v>663</v>
      </c>
      <c r="G200" s="98" t="s">
        <v>676</v>
      </c>
      <c r="H200" s="98"/>
      <c r="I200" s="98"/>
      <c r="J200" s="98">
        <f>IF(INDEX(lmic_raw_lb[],MATCH($A200,lmic_raw_lb[[setting]:[setting]],0), MATCH(J$139, lmic_raw_lb[#Headers],0))=0, INDEX(regions_lb[], MATCH($D200, regions_lb[[setting]:[setting]],0), MATCH(J$139, regions_lb[#Headers],0)),INDEX(lmic_raw_lb[],MATCH($A200,lmic_raw_lb[[setting]:[setting]],0), MATCH(J$139, lmic_raw_lb[#Headers],0)))</f>
        <v>0.94334999999999991</v>
      </c>
      <c r="K200" s="98">
        <f>IF(INDEX(lmic_raw_lb[],MATCH($A200,lmic_raw_lb[[setting]:[setting]],0), MATCH(K$139, lmic_raw_lb[#Headers],0))=0, INDEX(regions_lb[], MATCH($D200, regions_lb[[setting]:[setting]],0), MATCH(K$139, regions_lb[#Headers],0)),INDEX(lmic_raw_lb[],MATCH($A200,lmic_raw_lb[[setting]:[setting]],0), MATCH(K$139, lmic_raw_lb[#Headers],0)))</f>
        <v>0.88349999999999995</v>
      </c>
      <c r="L200" s="98">
        <f>IF(INDEX(lmic_raw_lb[],MATCH($A200,lmic_raw_lb[[setting]:[setting]],0), MATCH(L$139, lmic_raw_lb[#Headers],0))=0, INDEX(regions_lb[], MATCH($D200, regions_lb[[setting]:[setting]],0), MATCH(L$139, regions_lb[#Headers],0)),INDEX(lmic_raw_lb[],MATCH($A200,lmic_raw_lb[[setting]:[setting]],0), MATCH(L$139, lmic_raw_lb[#Headers],0)))</f>
        <v>0.92149999999999999</v>
      </c>
      <c r="M200" s="98">
        <f>IF(INDEX(lmic_raw_lb[],MATCH($A200,lmic_raw_lb[[setting]:[setting]],0), MATCH(M$139, lmic_raw_lb[#Headers],0))=0, INDEX(regions_lb[], MATCH($D200, regions_lb[[setting]:[setting]],0), MATCH(M$139, regions_lb[#Headers],0)),INDEX(lmic_raw_lb[],MATCH($A200,lmic_raw_lb[[setting]:[setting]],0), MATCH(M$139, lmic_raw_lb[#Headers],0)))</f>
        <v>1.2199999999999999E-2</v>
      </c>
      <c r="N200" s="98">
        <f>IF(INDEX(lmic_raw_lb[],MATCH($A200,lmic_raw_lb[[setting]:[setting]],0), MATCH(N$139, lmic_raw_lb[#Headers],0))=0, INDEX(regions_lb[], MATCH($D200, regions_lb[[setting]:[setting]],0), MATCH(N$139, regions_lb[#Headers],0)),INDEX(lmic_raw_lb[],MATCH($A200,lmic_raw_lb[[setting]:[setting]],0), MATCH(N$139, lmic_raw_lb[#Headers],0)))</f>
        <v>0.16309999999999999</v>
      </c>
      <c r="O200" s="98">
        <f>IF(INDEX(lmic_raw_lb[],MATCH($A200,lmic_raw_lb[[setting]:[setting]],0), MATCH(O$139, lmic_raw_lb[#Headers],0))=0, INDEX(regions_lb[], MATCH($D200, regions_lb[[setting]:[setting]],0), MATCH(O$139, regions_lb[#Headers],0)),INDEX(lmic_raw_lb[],MATCH($A200,lmic_raw_lb[[setting]:[setting]],0), MATCH(O$139, lmic_raw_lb[#Headers],0)))</f>
        <v>0.7</v>
      </c>
      <c r="P200" s="98">
        <f>IF(INDEX(lmic_raw_lb[],MATCH($A200,lmic_raw_lb[[setting]:[setting]],0), MATCH(P$139, lmic_raw_lb[#Headers],0))=0, INDEX(regions_lb[], MATCH($D200, regions_lb[[setting]:[setting]],0), MATCH(P$139, regions_lb[#Headers],0)),INDEX(lmic_raw_lb[],MATCH($A200,lmic_raw_lb[[setting]:[setting]],0), MATCH(P$139, lmic_raw_lb[#Headers],0)))</f>
        <v>0.05</v>
      </c>
      <c r="Q200" s="98">
        <f>IF(INDEX(lmic_raw_lb[],MATCH($A200,lmic_raw_lb[[setting]:[setting]],0), MATCH(Q$139, lmic_raw_lb[#Headers],0))=0, INDEX(regions_lb[], MATCH($D200, regions_lb[[setting]:[setting]],0), MATCH(Q$139, regions_lb[#Headers],0)),INDEX(lmic_raw_lb[],MATCH($A200,lmic_raw_lb[[setting]:[setting]],0), MATCH(Q$139, lmic_raw_lb[#Headers],0)))</f>
        <v>10.677608118922075</v>
      </c>
      <c r="R200" s="98">
        <f>IF(INDEX(lmic_raw_lb[],MATCH($A200,lmic_raw_lb[[setting]:[setting]],0), MATCH(R$139, lmic_raw_lb[#Headers],0))=0, INDEX(regions_lb[], MATCH($D200, regions_lb[[setting]:[setting]],0), MATCH(R$139, regions_lb[#Headers],0)),INDEX(lmic_raw_lb[],MATCH($A200,lmic_raw_lb[[setting]:[setting]],0), MATCH(R$139, lmic_raw_lb[#Headers],0)))</f>
        <v>42.31053</v>
      </c>
      <c r="S200" s="98">
        <f>IF(INDEX(lmic_raw_lb[],MATCH($A200,lmic_raw_lb[[setting]:[setting]],0), MATCH(S$139, lmic_raw_lb[#Headers],0))=0, INDEX(regions_lb[], MATCH($D200, regions_lb[[setting]:[setting]],0), MATCH(S$139, regions_lb[#Headers],0)),INDEX(lmic_raw_lb[],MATCH($A200,lmic_raw_lb[[setting]:[setting]],0), MATCH(S$139, lmic_raw_lb[#Headers],0)))</f>
        <v>87.665430000000001</v>
      </c>
      <c r="T200" s="98">
        <f>IF(INDEX(lmic_raw_lb[],MATCH($A200,lmic_raw_lb[[setting]:[setting]],0), MATCH(T$139, lmic_raw_lb[#Headers],0))=0, INDEX(regions_lb[], MATCH($D200, regions_lb[[setting]:[setting]],0), MATCH(T$139, regions_lb[#Headers],0)),INDEX(lmic_raw_lb[],MATCH($A200,lmic_raw_lb[[setting]:[setting]],0), MATCH(T$139, lmic_raw_lb[#Headers],0)))</f>
        <v>87.665430000000001</v>
      </c>
      <c r="U200" s="98">
        <f>IF(INDEX(lmic_raw_lb[],MATCH($A200,lmic_raw_lb[[setting]:[setting]],0), MATCH(U$139, lmic_raw_lb[#Headers],0))=0, INDEX(regions_lb[], MATCH($D200, regions_lb[[setting]:[setting]],0), MATCH(U$139, regions_lb[#Headers],0)),INDEX(lmic_raw_lb[],MATCH($A200,lmic_raw_lb[[setting]:[setting]],0), MATCH(U$139, lmic_raw_lb[#Headers],0)))</f>
        <v>87.665430000000001</v>
      </c>
      <c r="V200" s="98">
        <f>IF(INDEX(lmic_raw_lb[],MATCH($A200,lmic_raw_lb[[setting]:[setting]],0), MATCH(V$139, lmic_raw_lb[#Headers],0))=0, INDEX(regions_lb[], MATCH($D200, regions_lb[[setting]:[setting]],0), MATCH(V$139, regions_lb[#Headers],0)),INDEX(lmic_raw_lb[],MATCH($A200,lmic_raw_lb[[setting]:[setting]],0), MATCH(V$139, lmic_raw_lb[#Headers],0)))</f>
        <v>2.3187105374204924</v>
      </c>
      <c r="W200" s="98">
        <f>IF(INDEX(lmic_raw_lb[],MATCH($A200,lmic_raw_lb[[setting]:[setting]],0), MATCH(W$139, lmic_raw_lb[#Headers],0))=0, INDEX(regions_lb[], MATCH($D200, regions_lb[[setting]:[setting]],0), MATCH(W$139, regions_lb[#Headers],0)),INDEX(lmic_raw_lb[],MATCH($A200,lmic_raw_lb[[setting]:[setting]],0), MATCH(W$139, lmic_raw_lb[#Headers],0)))</f>
        <v>6.1811255374204928</v>
      </c>
      <c r="X200" s="98">
        <f>IF(INDEX(lmic_raw_lb[],MATCH($A200,lmic_raw_lb[[setting]:[setting]],0), MATCH(X$139, lmic_raw_lb[#Headers],0))=0, INDEX(regions_lb[], MATCH($D200, regions_lb[[setting]:[setting]],0), MATCH(X$139, regions_lb[#Headers],0)),INDEX(lmic_raw_lb[],MATCH($A200,lmic_raw_lb[[setting]:[setting]],0), MATCH(X$139, lmic_raw_lb[#Headers],0)))</f>
        <v>1.9440932613490263</v>
      </c>
      <c r="Y200" s="98">
        <f>IF(INDEX(lmic_raw_lb[],MATCH($A200,lmic_raw_lb[[setting]:[setting]],0), MATCH(Y$139, lmic_raw_lb[#Headers],0))=0, INDEX(regions_lb[], MATCH($D200, regions_lb[[setting]:[setting]],0), MATCH(Y$139, regions_lb[#Headers],0)),INDEX(lmic_raw_lb[],MATCH($A200,lmic_raw_lb[[setting]:[setting]],0), MATCH(Y$139, lmic_raw_lb[#Headers],0)))</f>
        <v>5.8065082613490269</v>
      </c>
      <c r="Z200" s="98">
        <f>IF(INDEX(lmic_raw_lb[],MATCH($A200,lmic_raw_lb[[setting]:[setting]],0), MATCH(Z$139, lmic_raw_lb[#Headers],0))=0, INDEX(regions_lb[], MATCH($D200, regions_lb[[setting]:[setting]],0), MATCH(Z$139, regions_lb[#Headers],0)),INDEX(lmic_raw_lb[],MATCH($A200,lmic_raw_lb[[setting]:[setting]],0), MATCH(Z$139, lmic_raw_lb[#Headers],0)))</f>
        <v>5.7983576755316211</v>
      </c>
      <c r="AA200" s="98">
        <f>IF(INDEX(lmic_raw_lb[],MATCH($A200,lmic_raw_lb[[setting]:[setting]],0), MATCH(AA$139, lmic_raw_lb[#Headers],0))=0, INDEX(regions_lb[], MATCH($D200, regions_lb[[setting]:[setting]],0), MATCH(AA$139, regions_lb[#Headers],0)),INDEX(lmic_raw_lb[],MATCH($A200,lmic_raw_lb[[setting]:[setting]],0), MATCH(AA$139, lmic_raw_lb[#Headers],0)))</f>
        <v>2.53390233025819</v>
      </c>
      <c r="AB200" s="98">
        <f>IF(INDEX(lmic_raw_lb[],MATCH($A200,lmic_raw_lb[[setting]:[setting]],0), MATCH(AB$139, lmic_raw_lb[#Headers],0))=0, INDEX(regions_lb[], MATCH($D200, regions_lb[[setting]:[setting]],0), MATCH(AB$139, regions_lb[#Headers],0)),INDEX(lmic_raw_lb[],MATCH($A200,lmic_raw_lb[[setting]:[setting]],0), MATCH(AB$139, lmic_raw_lb[#Headers],0)))</f>
        <v>6.3963173302581904</v>
      </c>
      <c r="AC200" s="98">
        <f>IF(INDEX(lmic_raw_lb[],MATCH($A200,lmic_raw_lb[[setting]:[setting]],0), MATCH(AC$139, lmic_raw_lb[#Headers],0))=0, INDEX(regions_lb[], MATCH($D200, regions_lb[[setting]:[setting]],0), MATCH(AC$139, regions_lb[#Headers],0)),INDEX(lmic_raw_lb[],MATCH($A200,lmic_raw_lb[[setting]:[setting]],0), MATCH(AC$139, lmic_raw_lb[#Headers],0)))</f>
        <v>7.2899675000000497E-3</v>
      </c>
      <c r="AD200" s="98">
        <f>IF(INDEX(lmic_raw_lb[],MATCH($A200,lmic_raw_lb[[setting]:[setting]],0), MATCH(AD$139, lmic_raw_lb[#Headers],0))=0, INDEX(regions_lb[], MATCH($D200, regions_lb[[setting]:[setting]],0), MATCH(AD$139, regions_lb[#Headers],0)),INDEX(lmic_raw_lb[],MATCH($A200,lmic_raw_lb[[setting]:[setting]],0), MATCH(AD$139, lmic_raw_lb[#Headers],0)))</f>
        <v>5.3083418574946311E-4</v>
      </c>
      <c r="AE200" s="98">
        <f>IF(INDEX(lmic_raw_lb[],MATCH($A200,lmic_raw_lb[[setting]:[setting]],0), MATCH(AE$139, lmic_raw_lb[#Headers],0))=0, INDEX(regions_lb[], MATCH($D200, regions_lb[[setting]:[setting]],0), MATCH(AE$139, regions_lb[#Headers],0)),INDEX(lmic_raw_lb[],MATCH($A200,lmic_raw_lb[[setting]:[setting]],0), MATCH(AE$139, lmic_raw_lb[#Headers],0)))</f>
        <v>2.5986275583701225E-4</v>
      </c>
      <c r="AF200" s="98">
        <f>IF(INDEX(lmic_raw_lb[],MATCH($A200,lmic_raw_lb[[setting]:[setting]],0), MATCH(AF$139, lmic_raw_lb[#Headers],0))=0, INDEX(regions_lb[], MATCH($D200, regions_lb[[setting]:[setting]],0), MATCH(AF$139, regions_lb[#Headers],0)),INDEX(lmic_raw_lb[],MATCH($A200,lmic_raw_lb[[setting]:[setting]],0), MATCH(AF$139, lmic_raw_lb[#Headers],0)))</f>
        <v>2.7824527963590925E-4</v>
      </c>
      <c r="AG200" s="98">
        <f>IF(INDEX(lmic_raw_lb[],MATCH($A200,lmic_raw_lb[[setting]:[setting]],0), MATCH(AG$139, lmic_raw_lb[#Headers],0))=0, INDEX(regions_lb[], MATCH($D200, regions_lb[[setting]:[setting]],0), MATCH(AG$139, regions_lb[#Headers],0)),INDEX(lmic_raw_lb[],MATCH($A200,lmic_raw_lb[[setting]:[setting]],0), MATCH(AG$139, lmic_raw_lb[#Headers],0)))</f>
        <v>5.6104587040702871E-4</v>
      </c>
      <c r="AH200" s="98">
        <f>IF(INDEX(lmic_raw_lb[],MATCH($A200,lmic_raw_lb[[setting]:[setting]],0), MATCH(AH$139, lmic_raw_lb[#Headers],0))=0, INDEX(regions_lb[], MATCH($D200, regions_lb[[setting]:[setting]],0), MATCH(AH$139, regions_lb[#Headers],0)),INDEX(lmic_raw_lb[],MATCH($A200,lmic_raw_lb[[setting]:[setting]],0), MATCH(AH$139, lmic_raw_lb[#Headers],0)))</f>
        <v>8.2462193092057835E-4</v>
      </c>
      <c r="AI200" s="98">
        <f>IF(INDEX(lmic_raw_lb[],MATCH($A200,lmic_raw_lb[[setting]:[setting]],0), MATCH(AI$139, lmic_raw_lb[#Headers],0))=0, INDEX(regions_lb[], MATCH($D200, regions_lb[[setting]:[setting]],0), MATCH(AI$139, regions_lb[#Headers],0)),INDEX(lmic_raw_lb[],MATCH($A200,lmic_raw_lb[[setting]:[setting]],0), MATCH(AI$139, lmic_raw_lb[#Headers],0)))</f>
        <v>1.0756383029195131E-3</v>
      </c>
      <c r="AJ200" s="98">
        <f>IF(INDEX(lmic_raw_lb[],MATCH($A200,lmic_raw_lb[[setting]:[setting]],0), MATCH(AJ$139, lmic_raw_lb[#Headers],0))=0, INDEX(regions_lb[], MATCH($D200, regions_lb[[setting]:[setting]],0), MATCH(AJ$139, regions_lb[#Headers],0)),INDEX(lmic_raw_lb[],MATCH($A200,lmic_raw_lb[[setting]:[setting]],0), MATCH(AJ$139, lmic_raw_lb[#Headers],0)))</f>
        <v>1.6493957641617906E-3</v>
      </c>
      <c r="AK200" s="98">
        <f>IF(INDEX(lmic_raw_lb[],MATCH($A200,lmic_raw_lb[[setting]:[setting]],0), MATCH(AK$139, lmic_raw_lb[#Headers],0))=0, INDEX(regions_lb[], MATCH($D200, regions_lb[[setting]:[setting]],0), MATCH(AK$139, regions_lb[#Headers],0)),INDEX(lmic_raw_lb[],MATCH($A200,lmic_raw_lb[[setting]:[setting]],0), MATCH(AK$139, lmic_raw_lb[#Headers],0)))</f>
        <v>2.6268828959796994E-3</v>
      </c>
      <c r="AL200" s="98">
        <f>IF(INDEX(lmic_raw_lb[],MATCH($A200,lmic_raw_lb[[setting]:[setting]],0), MATCH(AL$139, lmic_raw_lb[#Headers],0))=0, INDEX(regions_lb[], MATCH($D200, regions_lb[[setting]:[setting]],0), MATCH(AL$139, regions_lb[#Headers],0)),INDEX(lmic_raw_lb[],MATCH($A200,lmic_raw_lb[[setting]:[setting]],0), MATCH(AL$139, lmic_raw_lb[#Headers],0)))</f>
        <v>3.6210489065264979E-3</v>
      </c>
      <c r="AM200" s="98">
        <f>IF(INDEX(lmic_raw_lb[],MATCH($A200,lmic_raw_lb[[setting]:[setting]],0), MATCH(AM$139, lmic_raw_lb[#Headers],0))=0, INDEX(regions_lb[], MATCH($D200, regions_lb[[setting]:[setting]],0), MATCH(AM$139, regions_lb[#Headers],0)),INDEX(lmic_raw_lb[],MATCH($A200,lmic_raw_lb[[setting]:[setting]],0), MATCH(AM$139, lmic_raw_lb[#Headers],0)))</f>
        <v>4.8553143395240004E-3</v>
      </c>
      <c r="AN200" s="98">
        <f>IF(INDEX(lmic_raw_lb[],MATCH($A200,lmic_raw_lb[[setting]:[setting]],0), MATCH(AN$139, lmic_raw_lb[#Headers],0))=0, INDEX(regions_lb[], MATCH($D200, regions_lb[[setting]:[setting]],0), MATCH(AN$139, regions_lb[#Headers],0)),INDEX(lmic_raw_lb[],MATCH($A200,lmic_raw_lb[[setting]:[setting]],0), MATCH(AN$139, lmic_raw_lb[#Headers],0)))</f>
        <v>6.7925987869334684E-3</v>
      </c>
      <c r="AO200" s="98">
        <f>IF(INDEX(lmic_raw_lb[],MATCH($A200,lmic_raw_lb[[setting]:[setting]],0), MATCH(AO$139, lmic_raw_lb[#Headers],0))=0, INDEX(regions_lb[], MATCH($D200, regions_lb[[setting]:[setting]],0), MATCH(AO$139, regions_lb[#Headers],0)),INDEX(lmic_raw_lb[],MATCH($A200,lmic_raw_lb[[setting]:[setting]],0), MATCH(AO$139, lmic_raw_lb[#Headers],0)))</f>
        <v>1.0189283450566265E-2</v>
      </c>
      <c r="AP200" s="98">
        <f>IF(INDEX(lmic_raw_lb[],MATCH($A200,lmic_raw_lb[[setting]:[setting]],0), MATCH(AP$139, lmic_raw_lb[#Headers],0))=0, INDEX(regions_lb[], MATCH($D200, regions_lb[[setting]:[setting]],0), MATCH(AP$139, regions_lb[#Headers],0)),INDEX(lmic_raw_lb[],MATCH($A200,lmic_raw_lb[[setting]:[setting]],0), MATCH(AP$139, lmic_raw_lb[#Headers],0)))</f>
        <v>1.5711752580827729E-2</v>
      </c>
      <c r="AQ200" s="98">
        <f>IF(INDEX(lmic_raw_lb[],MATCH($A200,lmic_raw_lb[[setting]:[setting]],0), MATCH(AQ$139, lmic_raw_lb[#Headers],0))=0, INDEX(regions_lb[], MATCH($D200, regions_lb[[setting]:[setting]],0), MATCH(AQ$139, regions_lb[#Headers],0)),INDEX(lmic_raw_lb[],MATCH($A200,lmic_raw_lb[[setting]:[setting]],0), MATCH(AQ$139, lmic_raw_lb[#Headers],0)))</f>
        <v>2.3492002936812448E-2</v>
      </c>
      <c r="AR200" s="98">
        <f>IF(INDEX(lmic_raw_lb[],MATCH($A200,lmic_raw_lb[[setting]:[setting]],0), MATCH(AR$139, lmic_raw_lb[#Headers],0))=0, INDEX(regions_lb[], MATCH($D200, regions_lb[[setting]:[setting]],0), MATCH(AR$139, regions_lb[#Headers],0)),INDEX(lmic_raw_lb[],MATCH($A200,lmic_raw_lb[[setting]:[setting]],0), MATCH(AR$139, lmic_raw_lb[#Headers],0)))</f>
        <v>3.2854746244385759E-2</v>
      </c>
      <c r="AS200" s="98">
        <f>IF(INDEX(lmic_raw_lb[],MATCH($A200,lmic_raw_lb[[setting]:[setting]],0), MATCH(AS$139, lmic_raw_lb[#Headers],0))=0, INDEX(regions_lb[], MATCH($D200, regions_lb[[setting]:[setting]],0), MATCH(AS$139, regions_lb[#Headers],0)),INDEX(lmic_raw_lb[],MATCH($A200,lmic_raw_lb[[setting]:[setting]],0), MATCH(AS$139, lmic_raw_lb[#Headers],0)))</f>
        <v>5.1561221084653504E-2</v>
      </c>
      <c r="AT200" s="98">
        <f>IF(INDEX(lmic_raw_lb[],MATCH($A200,lmic_raw_lb[[setting]:[setting]],0), MATCH(AT$139, lmic_raw_lb[#Headers],0))=0, INDEX(regions_lb[], MATCH($D200, regions_lb[[setting]:[setting]],0), MATCH(AT$139, regions_lb[#Headers],0)),INDEX(lmic_raw_lb[],MATCH($A200,lmic_raw_lb[[setting]:[setting]],0), MATCH(AT$139, lmic_raw_lb[#Headers],0)))</f>
        <v>7.5699500501644382E-2</v>
      </c>
      <c r="AU200" s="98">
        <f>IF(INDEX(lmic_raw_lb[],MATCH($A200,lmic_raw_lb[[setting]:[setting]],0), MATCH(AU$139, lmic_raw_lb[#Headers],0))=0, INDEX(regions_lb[], MATCH($D200, regions_lb[[setting]:[setting]],0), MATCH(AU$139, regions_lb[#Headers],0)),INDEX(lmic_raw_lb[],MATCH($A200,lmic_raw_lb[[setting]:[setting]],0), MATCH(AU$139, lmic_raw_lb[#Headers],0)))</f>
        <v>0.10563124341170331</v>
      </c>
      <c r="AV200" s="98">
        <f>IF(INDEX(lmic_raw_lb[],MATCH($A200,lmic_raw_lb[[setting]:[setting]],0), MATCH(AV$139, lmic_raw_lb[#Headers],0))=0, INDEX(regions_lb[], MATCH($D200, regions_lb[[setting]:[setting]],0), MATCH(AV$139, regions_lb[#Headers],0)),INDEX(lmic_raw_lb[],MATCH($A200,lmic_raw_lb[[setting]:[setting]],0), MATCH(AV$139, lmic_raw_lb[#Headers],0)))</f>
        <v>0.13702436295945719</v>
      </c>
      <c r="AW200" s="98">
        <f>IF(INDEX(lmic_raw_lb[],MATCH($A200,lmic_raw_lb[[setting]:[setting]],0), MATCH(AW$139, lmic_raw_lb[#Headers],0))=0, INDEX(regions_lb[], MATCH($D200, regions_lb[[setting]:[setting]],0), MATCH(AW$139, regions_lb[#Headers],0)),INDEX(lmic_raw_lb[],MATCH($A200,lmic_raw_lb[[setting]:[setting]],0), MATCH(AW$139, lmic_raw_lb[#Headers],0)))</f>
        <v>0.16122366444678765</v>
      </c>
      <c r="AX200" s="98">
        <f>IF(INDEX(lmic_raw_lb[],MATCH($A200,lmic_raw_lb[[setting]:[setting]],0), MATCH(AX$139, lmic_raw_lb[#Headers],0))=0, INDEX(regions_lb[], MATCH($D200, regions_lb[[setting]:[setting]],0), MATCH(AX$139, regions_lb[#Headers],0)),INDEX(lmic_raw_lb[],MATCH($A200,lmic_raw_lb[[setting]:[setting]],0), MATCH(AX$139, lmic_raw_lb[#Headers],0)))</f>
        <v>69.563749999999985</v>
      </c>
      <c r="AY200" s="98" t="str">
        <f>IF(VLOOKUP(lmics_lb[[#This Row],[setting]],lmic_raw_lb[],11,FALSE)=0, "Yes", "No")</f>
        <v>No</v>
      </c>
    </row>
    <row r="201" spans="1:51" x14ac:dyDescent="0.25">
      <c r="A201" s="110" t="s">
        <v>106</v>
      </c>
      <c r="B201" s="104" t="s">
        <v>448</v>
      </c>
      <c r="C201" s="105">
        <v>404</v>
      </c>
      <c r="D201" s="84" t="s">
        <v>677</v>
      </c>
      <c r="E201" s="122" t="s">
        <v>597</v>
      </c>
      <c r="F201" s="94" t="s">
        <v>667</v>
      </c>
      <c r="G201" s="94" t="s">
        <v>678</v>
      </c>
      <c r="H201" s="94"/>
      <c r="I201" s="94"/>
      <c r="J201" s="94">
        <f>IF(INDEX(lmic_raw_lb[],MATCH($A201,lmic_raw_lb[[setting]:[setting]],0), MATCH(J$139, lmic_raw_lb[#Headers],0))=0, INDEX(regions_lb[], MATCH($D201, regions_lb[[setting]:[setting]],0), MATCH(J$139, regions_lb[#Headers],0)),INDEX(lmic_raw_lb[],MATCH($A201,lmic_raw_lb[[setting]:[setting]],0), MATCH(J$139, lmic_raw_lb[#Headers],0)))</f>
        <v>0.58139999999999992</v>
      </c>
      <c r="K201" s="94">
        <f>IF(INDEX(lmic_raw_lb[],MATCH($A201,lmic_raw_lb[[setting]:[setting]],0), MATCH(K$139, lmic_raw_lb[#Headers],0))=0, INDEX(regions_lb[], MATCH($D201, regions_lb[[setting]:[setting]],0), MATCH(K$139, regions_lb[#Headers],0)),INDEX(lmic_raw_lb[],MATCH($A201,lmic_raw_lb[[setting]:[setting]],0), MATCH(K$139, lmic_raw_lb[#Headers],0)))</f>
        <v>0.65789974195504752</v>
      </c>
      <c r="L201" s="94">
        <f>IF(INDEX(lmic_raw_lb[],MATCH($A201,lmic_raw_lb[[setting]:[setting]],0), MATCH(L$139, lmic_raw_lb[#Headers],0))=0, INDEX(regions_lb[], MATCH($D201, regions_lb[[setting]:[setting]],0), MATCH(L$139, regions_lb[#Headers],0)),INDEX(lmic_raw_lb[],MATCH($A201,lmic_raw_lb[[setting]:[setting]],0), MATCH(L$139, lmic_raw_lb[#Headers],0)))</f>
        <v>0.874</v>
      </c>
      <c r="M201" s="94">
        <f>IF(INDEX(lmic_raw_lb[],MATCH($A201,lmic_raw_lb[[setting]:[setting]],0), MATCH(M$139, lmic_raw_lb[#Headers],0))=0, INDEX(regions_lb[], MATCH($D201, regions_lb[[setting]:[setting]],0), MATCH(M$139, regions_lb[#Headers],0)),INDEX(lmic_raw_lb[],MATCH($A201,lmic_raw_lb[[setting]:[setting]],0), MATCH(M$139, lmic_raw_lb[#Headers],0)))</f>
        <v>1.6299999999999999E-2</v>
      </c>
      <c r="N201" s="94">
        <f>IF(INDEX(lmic_raw_lb[],MATCH($A201,lmic_raw_lb[[setting]:[setting]],0), MATCH(N$139, lmic_raw_lb[#Headers],0))=0, INDEX(regions_lb[], MATCH($D201, regions_lb[[setting]:[setting]],0), MATCH(N$139, regions_lb[#Headers],0)),INDEX(lmic_raw_lb[],MATCH($A201,lmic_raw_lb[[setting]:[setting]],0), MATCH(N$139, lmic_raw_lb[#Headers],0)))</f>
        <v>0.15560000000000002</v>
      </c>
      <c r="O201" s="94">
        <f>IF(INDEX(lmic_raw_lb[],MATCH($A201,lmic_raw_lb[[setting]:[setting]],0), MATCH(O$139, lmic_raw_lb[#Headers],0))=0, INDEX(regions_lb[], MATCH($D201, regions_lb[[setting]:[setting]],0), MATCH(O$139, regions_lb[#Headers],0)),INDEX(lmic_raw_lb[],MATCH($A201,lmic_raw_lb[[setting]:[setting]],0), MATCH(O$139, lmic_raw_lb[#Headers],0)))</f>
        <v>7.0000000000000007E-2</v>
      </c>
      <c r="P201" s="94">
        <f>IF(INDEX(lmic_raw_lb[],MATCH($A201,lmic_raw_lb[[setting]:[setting]],0), MATCH(P$139, lmic_raw_lb[#Headers],0))=0, INDEX(regions_lb[], MATCH($D201, regions_lb[[setting]:[setting]],0), MATCH(P$139, regions_lb[#Headers],0)),INDEX(lmic_raw_lb[],MATCH($A201,lmic_raw_lb[[setting]:[setting]],0), MATCH(P$139, lmic_raw_lb[#Headers],0)))</f>
        <v>1E-3</v>
      </c>
      <c r="Q201" s="94">
        <f>IF(INDEX(lmic_raw_lb[],MATCH($A201,lmic_raw_lb[[setting]:[setting]],0), MATCH(Q$139, lmic_raw_lb[#Headers],0))=0, INDEX(regions_lb[], MATCH($D201, regions_lb[[setting]:[setting]],0), MATCH(Q$139, regions_lb[#Headers],0)),INDEX(lmic_raw_lb[],MATCH($A201,lmic_raw_lb[[setting]:[setting]],0), MATCH(Q$139, lmic_raw_lb[#Headers],0)))</f>
        <v>2.9876505217354268</v>
      </c>
      <c r="R201" s="94">
        <f>IF(INDEX(lmic_raw_lb[],MATCH($A201,lmic_raw_lb[[setting]:[setting]],0), MATCH(R$139, lmic_raw_lb[#Headers],0))=0, INDEX(regions_lb[], MATCH($D201, regions_lb[[setting]:[setting]],0), MATCH(R$139, regions_lb[#Headers],0)),INDEX(lmic_raw_lb[],MATCH($A201,lmic_raw_lb[[setting]:[setting]],0), MATCH(R$139, lmic_raw_lb[#Headers],0)))</f>
        <v>28.424474999999997</v>
      </c>
      <c r="S201" s="94">
        <f>IF(INDEX(lmic_raw_lb[],MATCH($A201,lmic_raw_lb[[setting]:[setting]],0), MATCH(S$139, lmic_raw_lb[#Headers],0))=0, INDEX(regions_lb[], MATCH($D201, regions_lb[[setting]:[setting]],0), MATCH(S$139, regions_lb[#Headers],0)),INDEX(lmic_raw_lb[],MATCH($A201,lmic_raw_lb[[setting]:[setting]],0), MATCH(S$139, lmic_raw_lb[#Headers],0)))</f>
        <v>73.779375000000002</v>
      </c>
      <c r="T201" s="94">
        <f>IF(INDEX(lmic_raw_lb[],MATCH($A201,lmic_raw_lb[[setting]:[setting]],0), MATCH(T$139, lmic_raw_lb[#Headers],0))=0, INDEX(regions_lb[], MATCH($D201, regions_lb[[setting]:[setting]],0), MATCH(T$139, regions_lb[#Headers],0)),INDEX(lmic_raw_lb[],MATCH($A201,lmic_raw_lb[[setting]:[setting]],0), MATCH(T$139, lmic_raw_lb[#Headers],0)))</f>
        <v>73.779375000000002</v>
      </c>
      <c r="U201" s="94">
        <f>IF(INDEX(lmic_raw_lb[],MATCH($A201,lmic_raw_lb[[setting]:[setting]],0), MATCH(U$139, lmic_raw_lb[#Headers],0))=0, INDEX(regions_lb[], MATCH($D201, regions_lb[[setting]:[setting]],0), MATCH(U$139, regions_lb[#Headers],0)),INDEX(lmic_raw_lb[],MATCH($A201,lmic_raw_lb[[setting]:[setting]],0), MATCH(U$139, lmic_raw_lb[#Headers],0)))</f>
        <v>73.779375000000002</v>
      </c>
      <c r="V201" s="94">
        <f>IF(INDEX(lmic_raw_lb[],MATCH($A201,lmic_raw_lb[[setting]:[setting]],0), MATCH(V$139, lmic_raw_lb[#Headers],0))=0, INDEX(regions_lb[], MATCH($D201, regions_lb[[setting]:[setting]],0), MATCH(V$139, regions_lb[#Headers],0)),INDEX(lmic_raw_lb[],MATCH($A201,lmic_raw_lb[[setting]:[setting]],0), MATCH(V$139, lmic_raw_lb[#Headers],0)))</f>
        <v>1.1756843122973613</v>
      </c>
      <c r="W201" s="94">
        <f>IF(INDEX(lmic_raw_lb[],MATCH($A201,lmic_raw_lb[[setting]:[setting]],0), MATCH(W$139, lmic_raw_lb[#Headers],0))=0, INDEX(regions_lb[], MATCH($D201, regions_lb[[setting]:[setting]],0), MATCH(W$139, regions_lb[#Headers],0)),INDEX(lmic_raw_lb[],MATCH($A201,lmic_raw_lb[[setting]:[setting]],0), MATCH(W$139, lmic_raw_lb[#Headers],0)))</f>
        <v>5.7629493122973621</v>
      </c>
      <c r="X201" s="94">
        <f>IF(INDEX(lmic_raw_lb[],MATCH($A201,lmic_raw_lb[[setting]:[setting]],0), MATCH(X$139, lmic_raw_lb[#Headers],0))=0, INDEX(regions_lb[], MATCH($D201, regions_lb[[setting]:[setting]],0), MATCH(X$139, regions_lb[#Headers],0)),INDEX(lmic_raw_lb[],MATCH($A201,lmic_raw_lb[[setting]:[setting]],0), MATCH(X$139, lmic_raw_lb[#Headers],0)))</f>
        <v>0.80943665833541967</v>
      </c>
      <c r="Y201" s="94">
        <f>IF(INDEX(lmic_raw_lb[],MATCH($A201,lmic_raw_lb[[setting]:[setting]],0), MATCH(Y$139, lmic_raw_lb[#Headers],0))=0, INDEX(regions_lb[], MATCH($D201, regions_lb[[setting]:[setting]],0), MATCH(Y$139, regions_lb[#Headers],0)),INDEX(lmic_raw_lb[],MATCH($A201,lmic_raw_lb[[setting]:[setting]],0), MATCH(Y$139, lmic_raw_lb[#Headers],0)))</f>
        <v>5.3967016583354201</v>
      </c>
      <c r="Z201" s="94">
        <f>IF(INDEX(lmic_raw_lb[],MATCH($A201,lmic_raw_lb[[setting]:[setting]],0), MATCH(Z$139, lmic_raw_lb[#Headers],0))=0, INDEX(regions_lb[], MATCH($D201, regions_lb[[setting]:[setting]],0), MATCH(Z$139, regions_lb[#Headers],0)),INDEX(lmic_raw_lb[],MATCH($A201,lmic_raw_lb[[setting]:[setting]],0), MATCH(Z$139, lmic_raw_lb[#Headers],0)))</f>
        <v>5.3940289757711835</v>
      </c>
      <c r="AA201" s="94">
        <f>IF(INDEX(lmic_raw_lb[],MATCH($A201,lmic_raw_lb[[setting]:[setting]],0), MATCH(AA$139, lmic_raw_lb[#Headers],0))=0, INDEX(regions_lb[], MATCH($D201, regions_lb[[setting]:[setting]],0), MATCH(AA$139, regions_lb[#Headers],0)),INDEX(lmic_raw_lb[],MATCH($A201,lmic_raw_lb[[setting]:[setting]],0), MATCH(AA$139, lmic_raw_lb[#Headers],0)))</f>
        <v>1.3872891242309768</v>
      </c>
      <c r="AB201" s="94">
        <f>IF(INDEX(lmic_raw_lb[],MATCH($A201,lmic_raw_lb[[setting]:[setting]],0), MATCH(AB$139, lmic_raw_lb[#Headers],0))=0, INDEX(regions_lb[], MATCH($D201, regions_lb[[setting]:[setting]],0), MATCH(AB$139, regions_lb[#Headers],0)),INDEX(lmic_raw_lb[],MATCH($A201,lmic_raw_lb[[setting]:[setting]],0), MATCH(AB$139, lmic_raw_lb[#Headers],0)))</f>
        <v>5.974554124230977</v>
      </c>
      <c r="AC201" s="94">
        <f>IF(INDEX(lmic_raw_lb[],MATCH($A201,lmic_raw_lb[[setting]:[setting]],0), MATCH(AC$139, lmic_raw_lb[#Headers],0))=0, INDEX(regions_lb[], MATCH($D201, regions_lb[[setting]:[setting]],0), MATCH(AC$139, regions_lb[#Headers],0)),INDEX(lmic_raw_lb[],MATCH($A201,lmic_raw_lb[[setting]:[setting]],0), MATCH(AC$139, lmic_raw_lb[#Headers],0)))</f>
        <v>3.4553096000000047E-2</v>
      </c>
      <c r="AD201" s="94">
        <f>IF(INDEX(lmic_raw_lb[],MATCH($A201,lmic_raw_lb[[setting]:[setting]],0), MATCH(AD$139, lmic_raw_lb[#Headers],0))=0, INDEX(regions_lb[], MATCH($D201, regions_lb[[setting]:[setting]],0), MATCH(AD$139, regions_lb[#Headers],0)),INDEX(lmic_raw_lb[],MATCH($A201,lmic_raw_lb[[setting]:[setting]],0), MATCH(AD$139, lmic_raw_lb[#Headers],0)))</f>
        <v>2.7339646369047943E-3</v>
      </c>
      <c r="AE201" s="94">
        <f>IF(INDEX(lmic_raw_lb[],MATCH($A201,lmic_raw_lb[[setting]:[setting]],0), MATCH(AE$139, lmic_raw_lb[#Headers],0))=0, INDEX(regions_lb[], MATCH($D201, regions_lb[[setting]:[setting]],0), MATCH(AE$139, regions_lb[#Headers],0)),INDEX(lmic_raw_lb[],MATCH($A201,lmic_raw_lb[[setting]:[setting]],0), MATCH(AE$139, lmic_raw_lb[#Headers],0)))</f>
        <v>8.4434242340849727E-4</v>
      </c>
      <c r="AF201" s="94">
        <f>IF(INDEX(lmic_raw_lb[],MATCH($A201,lmic_raw_lb[[setting]:[setting]],0), MATCH(AF$139, lmic_raw_lb[#Headers],0))=0, INDEX(regions_lb[], MATCH($D201, regions_lb[[setting]:[setting]],0), MATCH(AF$139, regions_lb[#Headers],0)),INDEX(lmic_raw_lb[],MATCH($A201,lmic_raw_lb[[setting]:[setting]],0), MATCH(AF$139, lmic_raw_lb[#Headers],0)))</f>
        <v>6.8582338591078229E-4</v>
      </c>
      <c r="AG201" s="94">
        <f>IF(INDEX(lmic_raw_lb[],MATCH($A201,lmic_raw_lb[[setting]:[setting]],0), MATCH(AG$139, lmic_raw_lb[#Headers],0))=0, INDEX(regions_lb[], MATCH($D201, regions_lb[[setting]:[setting]],0), MATCH(AG$139, regions_lb[#Headers],0)),INDEX(lmic_raw_lb[],MATCH($A201,lmic_raw_lb[[setting]:[setting]],0), MATCH(AG$139, lmic_raw_lb[#Headers],0)))</f>
        <v>1.1908887524835054E-3</v>
      </c>
      <c r="AH201" s="94">
        <f>IF(INDEX(lmic_raw_lb[],MATCH($A201,lmic_raw_lb[[setting]:[setting]],0), MATCH(AH$139, lmic_raw_lb[#Headers],0))=0, INDEX(regions_lb[], MATCH($D201, regions_lb[[setting]:[setting]],0), MATCH(AH$139, regions_lb[#Headers],0)),INDEX(lmic_raw_lb[],MATCH($A201,lmic_raw_lb[[setting]:[setting]],0), MATCH(AH$139, lmic_raw_lb[#Headers],0)))</f>
        <v>1.9143543338703032E-3</v>
      </c>
      <c r="AI201" s="94">
        <f>IF(INDEX(lmic_raw_lb[],MATCH($A201,lmic_raw_lb[[setting]:[setting]],0), MATCH(AI$139, lmic_raw_lb[#Headers],0))=0, INDEX(regions_lb[], MATCH($D201, regions_lb[[setting]:[setting]],0), MATCH(AI$139, regions_lb[#Headers],0)),INDEX(lmic_raw_lb[],MATCH($A201,lmic_raw_lb[[setting]:[setting]],0), MATCH(AI$139, lmic_raw_lb[#Headers],0)))</f>
        <v>2.6356209421926559E-3</v>
      </c>
      <c r="AJ201" s="94">
        <f>IF(INDEX(lmic_raw_lb[],MATCH($A201,lmic_raw_lb[[setting]:[setting]],0), MATCH(AJ$139, lmic_raw_lb[#Headers],0))=0, INDEX(regions_lb[], MATCH($D201, regions_lb[[setting]:[setting]],0), MATCH(AJ$139, regions_lb[#Headers],0)),INDEX(lmic_raw_lb[],MATCH($A201,lmic_raw_lb[[setting]:[setting]],0), MATCH(AJ$139, lmic_raw_lb[#Headers],0)))</f>
        <v>3.4362730580454102E-3</v>
      </c>
      <c r="AK201" s="94">
        <f>IF(INDEX(lmic_raw_lb[],MATCH($A201,lmic_raw_lb[[setting]:[setting]],0), MATCH(AK$139, lmic_raw_lb[#Headers],0))=0, INDEX(regions_lb[], MATCH($D201, regions_lb[[setting]:[setting]],0), MATCH(AK$139, regions_lb[#Headers],0)),INDEX(lmic_raw_lb[],MATCH($A201,lmic_raw_lb[[setting]:[setting]],0), MATCH(AK$139, lmic_raw_lb[#Headers],0)))</f>
        <v>4.5932433929386854E-3</v>
      </c>
      <c r="AL201" s="94">
        <f>IF(INDEX(lmic_raw_lb[],MATCH($A201,lmic_raw_lb[[setting]:[setting]],0), MATCH(AL$139, lmic_raw_lb[#Headers],0))=0, INDEX(regions_lb[], MATCH($D201, regions_lb[[setting]:[setting]],0), MATCH(AL$139, regions_lb[#Headers],0)),INDEX(lmic_raw_lb[],MATCH($A201,lmic_raw_lb[[setting]:[setting]],0), MATCH(AL$139, lmic_raw_lb[#Headers],0)))</f>
        <v>5.7735412786086735E-3</v>
      </c>
      <c r="AM201" s="94">
        <f>IF(INDEX(lmic_raw_lb[],MATCH($A201,lmic_raw_lb[[setting]:[setting]],0), MATCH(AM$139, lmic_raw_lb[#Headers],0))=0, INDEX(regions_lb[], MATCH($D201, regions_lb[[setting]:[setting]],0), MATCH(AM$139, regions_lb[#Headers],0)),INDEX(lmic_raw_lb[],MATCH($A201,lmic_raw_lb[[setting]:[setting]],0), MATCH(AM$139, lmic_raw_lb[#Headers],0)))</f>
        <v>7.2581936082924967E-3</v>
      </c>
      <c r="AN201" s="94">
        <f>IF(INDEX(lmic_raw_lb[],MATCH($A201,lmic_raw_lb[[setting]:[setting]],0), MATCH(AN$139, lmic_raw_lb[#Headers],0))=0, INDEX(regions_lb[], MATCH($D201, regions_lb[[setting]:[setting]],0), MATCH(AN$139, regions_lb[#Headers],0)),INDEX(lmic_raw_lb[],MATCH($A201,lmic_raw_lb[[setting]:[setting]],0), MATCH(AN$139, lmic_raw_lb[#Headers],0)))</f>
        <v>9.7714353716543811E-3</v>
      </c>
      <c r="AO201" s="94">
        <f>IF(INDEX(lmic_raw_lb[],MATCH($A201,lmic_raw_lb[[setting]:[setting]],0), MATCH(AO$139, lmic_raw_lb[#Headers],0))=0, INDEX(regions_lb[], MATCH($D201, regions_lb[[setting]:[setting]],0), MATCH(AO$139, regions_lb[#Headers],0)),INDEX(lmic_raw_lb[],MATCH($A201,lmic_raw_lb[[setting]:[setting]],0), MATCH(AO$139, lmic_raw_lb[#Headers],0)))</f>
        <v>1.2651247401441407E-2</v>
      </c>
      <c r="AP201" s="94">
        <f>IF(INDEX(lmic_raw_lb[],MATCH($A201,lmic_raw_lb[[setting]:[setting]],0), MATCH(AP$139, lmic_raw_lb[#Headers],0))=0, INDEX(regions_lb[], MATCH($D201, regions_lb[[setting]:[setting]],0), MATCH(AP$139, regions_lb[#Headers],0)),INDEX(lmic_raw_lb[],MATCH($A201,lmic_raw_lb[[setting]:[setting]],0), MATCH(AP$139, lmic_raw_lb[#Headers],0)))</f>
        <v>1.8066508419334458E-2</v>
      </c>
      <c r="AQ201" s="94">
        <f>IF(INDEX(lmic_raw_lb[],MATCH($A201,lmic_raw_lb[[setting]:[setting]],0), MATCH(AQ$139, lmic_raw_lb[#Headers],0))=0, INDEX(regions_lb[], MATCH($D201, regions_lb[[setting]:[setting]],0), MATCH(AQ$139, regions_lb[#Headers],0)),INDEX(lmic_raw_lb[],MATCH($A201,lmic_raw_lb[[setting]:[setting]],0), MATCH(AQ$139, lmic_raw_lb[#Headers],0)))</f>
        <v>2.6912745015916267E-2</v>
      </c>
      <c r="AR201" s="94">
        <f>IF(INDEX(lmic_raw_lb[],MATCH($A201,lmic_raw_lb[[setting]:[setting]],0), MATCH(AR$139, lmic_raw_lb[#Headers],0))=0, INDEX(regions_lb[], MATCH($D201, regions_lb[[setting]:[setting]],0), MATCH(AR$139, regions_lb[#Headers],0)),INDEX(lmic_raw_lb[],MATCH($A201,lmic_raw_lb[[setting]:[setting]],0), MATCH(AR$139, lmic_raw_lb[#Headers],0)))</f>
        <v>4.0692427216648987E-2</v>
      </c>
      <c r="AS201" s="94">
        <f>IF(INDEX(lmic_raw_lb[],MATCH($A201,lmic_raw_lb[[setting]:[setting]],0), MATCH(AS$139, lmic_raw_lb[#Headers],0))=0, INDEX(regions_lb[], MATCH($D201, regions_lb[[setting]:[setting]],0), MATCH(AS$139, regions_lb[#Headers],0)),INDEX(lmic_raw_lb[],MATCH($A201,lmic_raw_lb[[setting]:[setting]],0), MATCH(AS$139, lmic_raw_lb[#Headers],0)))</f>
        <v>6.1431662682737823E-2</v>
      </c>
      <c r="AT201" s="94">
        <f>IF(INDEX(lmic_raw_lb[],MATCH($A201,lmic_raw_lb[[setting]:[setting]],0), MATCH(AT$139, lmic_raw_lb[#Headers],0))=0, INDEX(regions_lb[], MATCH($D201, regions_lb[[setting]:[setting]],0), MATCH(AT$139, regions_lb[#Headers],0)),INDEX(lmic_raw_lb[],MATCH($A201,lmic_raw_lb[[setting]:[setting]],0), MATCH(AT$139, lmic_raw_lb[#Headers],0)))</f>
        <v>9.2356305067431463E-2</v>
      </c>
      <c r="AU201" s="94">
        <f>IF(INDEX(lmic_raw_lb[],MATCH($A201,lmic_raw_lb[[setting]:[setting]],0), MATCH(AU$139, lmic_raw_lb[#Headers],0))=0, INDEX(regions_lb[], MATCH($D201, regions_lb[[setting]:[setting]],0), MATCH(AU$139, regions_lb[#Headers],0)),INDEX(lmic_raw_lb[],MATCH($A201,lmic_raw_lb[[setting]:[setting]],0), MATCH(AU$139, lmic_raw_lb[#Headers],0)))</f>
        <v>0.13003850817267606</v>
      </c>
      <c r="AV201" s="94">
        <f>IF(INDEX(lmic_raw_lb[],MATCH($A201,lmic_raw_lb[[setting]:[setting]],0), MATCH(AV$139, lmic_raw_lb[#Headers],0))=0, INDEX(regions_lb[], MATCH($D201, regions_lb[[setting]:[setting]],0), MATCH(AV$139, regions_lb[#Headers],0)),INDEX(lmic_raw_lb[],MATCH($A201,lmic_raw_lb[[setting]:[setting]],0), MATCH(AV$139, lmic_raw_lb[#Headers],0)))</f>
        <v>0.16365423678515964</v>
      </c>
      <c r="AW201" s="94">
        <f>IF(INDEX(lmic_raw_lb[],MATCH($A201,lmic_raw_lb[[setting]:[setting]],0), MATCH(AW$139, lmic_raw_lb[#Headers],0))=0, INDEX(regions_lb[], MATCH($D201, regions_lb[[setting]:[setting]],0), MATCH(AW$139, regions_lb[#Headers],0)),INDEX(lmic_raw_lb[],MATCH($A201,lmic_raw_lb[[setting]:[setting]],0), MATCH(AW$139, lmic_raw_lb[#Headers],0)))</f>
        <v>0.17741853318210629</v>
      </c>
      <c r="AX201" s="94">
        <f>IF(INDEX(lmic_raw_lb[],MATCH($A201,lmic_raw_lb[[setting]:[setting]],0), MATCH(AX$139, lmic_raw_lb[#Headers],0))=0, INDEX(regions_lb[], MATCH($D201, regions_lb[[setting]:[setting]],0), MATCH(AX$139, regions_lb[#Headers],0)),INDEX(lmic_raw_lb[],MATCH($A201,lmic_raw_lb[[setting]:[setting]],0), MATCH(AX$139, lmic_raw_lb[#Headers],0)))</f>
        <v>62.869099999999996</v>
      </c>
      <c r="AY201" s="94" t="str">
        <f>IF(VLOOKUP(lmics_lb[[#This Row],[setting]],lmic_raw_lb[],11,FALSE)=0, "Yes", "No")</f>
        <v>Yes</v>
      </c>
    </row>
    <row r="202" spans="1:51" x14ac:dyDescent="0.25">
      <c r="A202" s="109" t="s">
        <v>288</v>
      </c>
      <c r="B202" s="101" t="s">
        <v>449</v>
      </c>
      <c r="C202" s="102">
        <v>296</v>
      </c>
      <c r="D202" s="82" t="s">
        <v>681</v>
      </c>
      <c r="E202" s="121" t="s">
        <v>98</v>
      </c>
      <c r="F202" s="98" t="s">
        <v>666</v>
      </c>
      <c r="G202" s="98" t="s">
        <v>678</v>
      </c>
      <c r="H202" s="98"/>
      <c r="I202" s="98"/>
      <c r="J202" s="98">
        <f>IF(INDEX(lmic_raw_lb[],MATCH($A202,lmic_raw_lb[[setting]:[setting]],0), MATCH(J$139, lmic_raw_lb[#Headers],0))=0, INDEX(regions_lb[], MATCH($D202, regions_lb[[setting]:[setting]],0), MATCH(J$139, regions_lb[#Headers],0)),INDEX(lmic_raw_lb[],MATCH($A202,lmic_raw_lb[[setting]:[setting]],0), MATCH(J$139, lmic_raw_lb[#Headers],0)))</f>
        <v>0.81794999999999995</v>
      </c>
      <c r="K202" s="98">
        <f>IF(INDEX(lmic_raw_lb[],MATCH($A202,lmic_raw_lb[[setting]:[setting]],0), MATCH(K$139, lmic_raw_lb[#Headers],0))=0, INDEX(regions_lb[], MATCH($D202, regions_lb[[setting]:[setting]],0), MATCH(K$139, regions_lb[#Headers],0)),INDEX(lmic_raw_lb[],MATCH($A202,lmic_raw_lb[[setting]:[setting]],0), MATCH(K$139, lmic_raw_lb[#Headers],0)))</f>
        <v>0.9405</v>
      </c>
      <c r="L202" s="98">
        <f>IF(INDEX(lmic_raw_lb[],MATCH($A202,lmic_raw_lb[[setting]:[setting]],0), MATCH(L$139, lmic_raw_lb[#Headers],0))=0, INDEX(regions_lb[], MATCH($D202, regions_lb[[setting]:[setting]],0), MATCH(L$139, regions_lb[#Headers],0)),INDEX(lmic_raw_lb[],MATCH($A202,lmic_raw_lb[[setting]:[setting]],0), MATCH(L$139, lmic_raw_lb[#Headers],0)))</f>
        <v>0.8929999999999999</v>
      </c>
      <c r="M202" s="98">
        <f>IF(INDEX(lmic_raw_lb[],MATCH($A202,lmic_raw_lb[[setting]:[setting]],0), MATCH(M$139, lmic_raw_lb[#Headers],0))=0, INDEX(regions_lb[], MATCH($D202, regions_lb[[setting]:[setting]],0), MATCH(M$139, regions_lb[#Headers],0)),INDEX(lmic_raw_lb[],MATCH($A202,lmic_raw_lb[[setting]:[setting]],0), MATCH(M$139, lmic_raw_lb[#Headers],0)))</f>
        <v>0.12279999999999999</v>
      </c>
      <c r="N202" s="98">
        <f>IF(INDEX(lmic_raw_lb[],MATCH($A202,lmic_raw_lb[[setting]:[setting]],0), MATCH(N$139, lmic_raw_lb[#Headers],0))=0, INDEX(regions_lb[], MATCH($D202, regions_lb[[setting]:[setting]],0), MATCH(N$139, regions_lb[#Headers],0)),INDEX(lmic_raw_lb[],MATCH($A202,lmic_raw_lb[[setting]:[setting]],0), MATCH(N$139, lmic_raw_lb[#Headers],0)))</f>
        <v>0.1832</v>
      </c>
      <c r="O202" s="98">
        <f>IF(INDEX(lmic_raw_lb[],MATCH($A202,lmic_raw_lb[[setting]:[setting]],0), MATCH(O$139, lmic_raw_lb[#Headers],0))=0, INDEX(regions_lb[], MATCH($D202, regions_lb[[setting]:[setting]],0), MATCH(O$139, regions_lb[#Headers],0)),INDEX(lmic_raw_lb[],MATCH($A202,lmic_raw_lb[[setting]:[setting]],0), MATCH(O$139, lmic_raw_lb[#Headers],0)))</f>
        <v>0.7</v>
      </c>
      <c r="P202" s="98">
        <f>IF(INDEX(lmic_raw_lb[],MATCH($A202,lmic_raw_lb[[setting]:[setting]],0), MATCH(P$139, lmic_raw_lb[#Headers],0))=0, INDEX(regions_lb[], MATCH($D202, regions_lb[[setting]:[setting]],0), MATCH(P$139, regions_lb[#Headers],0)),INDEX(lmic_raw_lb[],MATCH($A202,lmic_raw_lb[[setting]:[setting]],0), MATCH(P$139, lmic_raw_lb[#Headers],0)))</f>
        <v>0.05</v>
      </c>
      <c r="Q202" s="98">
        <f>IF(INDEX(lmic_raw_lb[],MATCH($A202,lmic_raw_lb[[setting]:[setting]],0), MATCH(Q$139, lmic_raw_lb[#Headers],0))=0, INDEX(regions_lb[], MATCH($D202, regions_lb[[setting]:[setting]],0), MATCH(Q$139, regions_lb[#Headers],0)),INDEX(lmic_raw_lb[],MATCH($A202,lmic_raw_lb[[setting]:[setting]],0), MATCH(Q$139, lmic_raw_lb[#Headers],0)))</f>
        <v>5.7501719459447074</v>
      </c>
      <c r="R202" s="98">
        <f>IF(INDEX(lmic_raw_lb[],MATCH($A202,lmic_raw_lb[[setting]:[setting]],0), MATCH(R$139, lmic_raw_lb[#Headers],0))=0, INDEX(regions_lb[], MATCH($D202, regions_lb[[setting]:[setting]],0), MATCH(R$139, regions_lb[#Headers],0)),INDEX(lmic_raw_lb[],MATCH($A202,lmic_raw_lb[[setting]:[setting]],0), MATCH(R$139, lmic_raw_lb[#Headers],0)))</f>
        <v>69.430275000000009</v>
      </c>
      <c r="S202" s="98">
        <f>IF(INDEX(lmic_raw_lb[],MATCH($A202,lmic_raw_lb[[setting]:[setting]],0), MATCH(S$139, lmic_raw_lb[#Headers],0))=0, INDEX(regions_lb[], MATCH($D202, regions_lb[[setting]:[setting]],0), MATCH(S$139, regions_lb[#Headers],0)),INDEX(lmic_raw_lb[],MATCH($A202,lmic_raw_lb[[setting]:[setting]],0), MATCH(S$139, lmic_raw_lb[#Headers],0)))</f>
        <v>114.785175</v>
      </c>
      <c r="T202" s="98">
        <f>IF(INDEX(lmic_raw_lb[],MATCH($A202,lmic_raw_lb[[setting]:[setting]],0), MATCH(T$139, lmic_raw_lb[#Headers],0))=0, INDEX(regions_lb[], MATCH($D202, regions_lb[[setting]:[setting]],0), MATCH(T$139, regions_lb[#Headers],0)),INDEX(lmic_raw_lb[],MATCH($A202,lmic_raw_lb[[setting]:[setting]],0), MATCH(T$139, lmic_raw_lb[#Headers],0)))</f>
        <v>114.785175</v>
      </c>
      <c r="U202" s="98">
        <f>IF(INDEX(lmic_raw_lb[],MATCH($A202,lmic_raw_lb[[setting]:[setting]],0), MATCH(U$139, lmic_raw_lb[#Headers],0))=0, INDEX(regions_lb[], MATCH($D202, regions_lb[[setting]:[setting]],0), MATCH(U$139, regions_lb[#Headers],0)),INDEX(lmic_raw_lb[],MATCH($A202,lmic_raw_lb[[setting]:[setting]],0), MATCH(U$139, lmic_raw_lb[#Headers],0)))</f>
        <v>114.785175</v>
      </c>
      <c r="V202" s="98">
        <f>IF(INDEX(lmic_raw_lb[],MATCH($A202,lmic_raw_lb[[setting]:[setting]],0), MATCH(V$139, lmic_raw_lb[#Headers],0))=0, INDEX(regions_lb[], MATCH($D202, regions_lb[[setting]:[setting]],0), MATCH(V$139, regions_lb[#Headers],0)),INDEX(lmic_raw_lb[],MATCH($A202,lmic_raw_lb[[setting]:[setting]],0), MATCH(V$139, lmic_raw_lb[#Headers],0)))</f>
        <v>3.1522389633226</v>
      </c>
      <c r="W202" s="98">
        <f>IF(INDEX(lmic_raw_lb[],MATCH($A202,lmic_raw_lb[[setting]:[setting]],0), MATCH(W$139, lmic_raw_lb[#Headers],0))=0, INDEX(regions_lb[], MATCH($D202, regions_lb[[setting]:[setting]],0), MATCH(W$139, regions_lb[#Headers],0)),INDEX(lmic_raw_lb[],MATCH($A202,lmic_raw_lb[[setting]:[setting]],0), MATCH(W$139, lmic_raw_lb[#Headers],0)))</f>
        <v>3.7528289633226</v>
      </c>
      <c r="X202" s="98">
        <f>IF(INDEX(lmic_raw_lb[],MATCH($A202,lmic_raw_lb[[setting]:[setting]],0), MATCH(X$139, lmic_raw_lb[#Headers],0))=0, INDEX(regions_lb[], MATCH($D202, regions_lb[[setting]:[setting]],0), MATCH(X$139, regions_lb[#Headers],0)),INDEX(lmic_raw_lb[],MATCH($A202,lmic_raw_lb[[setting]:[setting]],0), MATCH(X$139, lmic_raw_lb[#Headers],0)))</f>
        <v>2.7864217471737955</v>
      </c>
      <c r="Y202" s="98">
        <f>IF(INDEX(lmic_raw_lb[],MATCH($A202,lmic_raw_lb[[setting]:[setting]],0), MATCH(Y$139, lmic_raw_lb[#Headers],0))=0, INDEX(regions_lb[], MATCH($D202, regions_lb[[setting]:[setting]],0), MATCH(Y$139, regions_lb[#Headers],0)),INDEX(lmic_raw_lb[],MATCH($A202,lmic_raw_lb[[setting]:[setting]],0), MATCH(Y$139, lmic_raw_lb[#Headers],0)))</f>
        <v>3.3870117471737955</v>
      </c>
      <c r="Z202" s="98">
        <f>IF(INDEX(lmic_raw_lb[],MATCH($A202,lmic_raw_lb[[setting]:[setting]],0), MATCH(Z$139, lmic_raw_lb[#Headers],0))=0, INDEX(regions_lb[], MATCH($D202, regions_lb[[setting]:[setting]],0), MATCH(Z$139, regions_lb[#Headers],0)),INDEX(lmic_raw_lb[],MATCH($A202,lmic_raw_lb[[setting]:[setting]],0), MATCH(Z$139, lmic_raw_lb[#Headers],0)))</f>
        <v>3.3846549608130738</v>
      </c>
      <c r="AA202" s="98">
        <f>IF(INDEX(lmic_raw_lb[],MATCH($A202,lmic_raw_lb[[setting]:[setting]],0), MATCH(AA$139, lmic_raw_lb[#Headers],0))=0, INDEX(regions_lb[], MATCH($D202, regions_lb[[setting]:[setting]],0), MATCH(AA$139, regions_lb[#Headers],0)),INDEX(lmic_raw_lb[],MATCH($A202,lmic_raw_lb[[setting]:[setting]],0), MATCH(AA$139, lmic_raw_lb[#Headers],0)))</f>
        <v>3.3636593019077283</v>
      </c>
      <c r="AB202" s="98">
        <f>IF(INDEX(lmic_raw_lb[],MATCH($A202,lmic_raw_lb[[setting]:[setting]],0), MATCH(AB$139, lmic_raw_lb[#Headers],0))=0, INDEX(regions_lb[], MATCH($D202, regions_lb[[setting]:[setting]],0), MATCH(AB$139, regions_lb[#Headers],0)),INDEX(lmic_raw_lb[],MATCH($A202,lmic_raw_lb[[setting]:[setting]],0), MATCH(AB$139, lmic_raw_lb[#Headers],0)))</f>
        <v>3.9642493019077283</v>
      </c>
      <c r="AC202" s="98">
        <f>IF(INDEX(lmic_raw_lb[],MATCH($A202,lmic_raw_lb[[setting]:[setting]],0), MATCH(AC$139, lmic_raw_lb[#Headers],0))=0, INDEX(regions_lb[], MATCH($D202, regions_lb[[setting]:[setting]],0), MATCH(AC$139, regions_lb[#Headers],0)),INDEX(lmic_raw_lb[],MATCH($A202,lmic_raw_lb[[setting]:[setting]],0), MATCH(AC$139, lmic_raw_lb[#Headers],0)))</f>
        <v>4.067005100000004E-2</v>
      </c>
      <c r="AD202" s="98">
        <f>IF(INDEX(lmic_raw_lb[],MATCH($A202,lmic_raw_lb[[setting]:[setting]],0), MATCH(AD$139, lmic_raw_lb[#Headers],0))=0, INDEX(regions_lb[], MATCH($D202, regions_lb[[setting]:[setting]],0), MATCH(AD$139, regions_lb[#Headers],0)),INDEX(lmic_raw_lb[],MATCH($A202,lmic_raw_lb[[setting]:[setting]],0), MATCH(AD$139, lmic_raw_lb[#Headers],0)))</f>
        <v>2.8247999492096113E-3</v>
      </c>
      <c r="AE202" s="98">
        <f>IF(INDEX(lmic_raw_lb[],MATCH($A202,lmic_raw_lb[[setting]:[setting]],0), MATCH(AE$139, lmic_raw_lb[#Headers],0))=0, INDEX(regions_lb[], MATCH($D202, regions_lb[[setting]:[setting]],0), MATCH(AE$139, regions_lb[#Headers],0)),INDEX(lmic_raw_lb[],MATCH($A202,lmic_raw_lb[[setting]:[setting]],0), MATCH(AE$139, lmic_raw_lb[#Headers],0)))</f>
        <v>9.5975436620526343E-4</v>
      </c>
      <c r="AF202" s="98">
        <f>IF(INDEX(lmic_raw_lb[],MATCH($A202,lmic_raw_lb[[setting]:[setting]],0), MATCH(AF$139, lmic_raw_lb[#Headers],0))=0, INDEX(regions_lb[], MATCH($D202, regions_lb[[setting]:[setting]],0), MATCH(AF$139, regions_lb[#Headers],0)),INDEX(lmic_raw_lb[],MATCH($A202,lmic_raw_lb[[setting]:[setting]],0), MATCH(AF$139, lmic_raw_lb[#Headers],0)))</f>
        <v>7.3176763777256851E-4</v>
      </c>
      <c r="AG202" s="98">
        <f>IF(INDEX(lmic_raw_lb[],MATCH($A202,lmic_raw_lb[[setting]:[setting]],0), MATCH(AG$139, lmic_raw_lb[#Headers],0))=0, INDEX(regions_lb[], MATCH($D202, regions_lb[[setting]:[setting]],0), MATCH(AG$139, regions_lb[#Headers],0)),INDEX(lmic_raw_lb[],MATCH($A202,lmic_raw_lb[[setting]:[setting]],0), MATCH(AG$139, lmic_raw_lb[#Headers],0)))</f>
        <v>1.2930845047036017E-3</v>
      </c>
      <c r="AH202" s="98">
        <f>IF(INDEX(lmic_raw_lb[],MATCH($A202,lmic_raw_lb[[setting]:[setting]],0), MATCH(AH$139, lmic_raw_lb[#Headers],0))=0, INDEX(regions_lb[], MATCH($D202, regions_lb[[setting]:[setting]],0), MATCH(AH$139, regions_lb[#Headers],0)),INDEX(lmic_raw_lb[],MATCH($A202,lmic_raw_lb[[setting]:[setting]],0), MATCH(AH$139, lmic_raw_lb[#Headers],0)))</f>
        <v>1.7182919488275903E-3</v>
      </c>
      <c r="AI202" s="98">
        <f>IF(INDEX(lmic_raw_lb[],MATCH($A202,lmic_raw_lb[[setting]:[setting]],0), MATCH(AI$139, lmic_raw_lb[#Headers],0))=0, INDEX(regions_lb[], MATCH($D202, regions_lb[[setting]:[setting]],0), MATCH(AI$139, regions_lb[#Headers],0)),INDEX(lmic_raw_lb[],MATCH($A202,lmic_raw_lb[[setting]:[setting]],0), MATCH(AI$139, lmic_raw_lb[#Headers],0)))</f>
        <v>1.8354457037939077E-3</v>
      </c>
      <c r="AJ202" s="98">
        <f>IF(INDEX(lmic_raw_lb[],MATCH($A202,lmic_raw_lb[[setting]:[setting]],0), MATCH(AJ$139, lmic_raw_lb[#Headers],0))=0, INDEX(regions_lb[], MATCH($D202, regions_lb[[setting]:[setting]],0), MATCH(AJ$139, regions_lb[#Headers],0)),INDEX(lmic_raw_lb[],MATCH($A202,lmic_raw_lb[[setting]:[setting]],0), MATCH(AJ$139, lmic_raw_lb[#Headers],0)))</f>
        <v>2.151569554578485E-3</v>
      </c>
      <c r="AK202" s="98">
        <f>IF(INDEX(lmic_raw_lb[],MATCH($A202,lmic_raw_lb[[setting]:[setting]],0), MATCH(AK$139, lmic_raw_lb[#Headers],0))=0, INDEX(regions_lb[], MATCH($D202, regions_lb[[setting]:[setting]],0), MATCH(AK$139, regions_lb[#Headers],0)),INDEX(lmic_raw_lb[],MATCH($A202,lmic_raw_lb[[setting]:[setting]],0), MATCH(AK$139, lmic_raw_lb[#Headers],0)))</f>
        <v>2.8181011914983965E-3</v>
      </c>
      <c r="AL202" s="98">
        <f>IF(INDEX(lmic_raw_lb[],MATCH($A202,lmic_raw_lb[[setting]:[setting]],0), MATCH(AL$139, lmic_raw_lb[#Headers],0))=0, INDEX(regions_lb[], MATCH($D202, regions_lb[[setting]:[setting]],0), MATCH(AL$139, regions_lb[#Headers],0)),INDEX(lmic_raw_lb[],MATCH($A202,lmic_raw_lb[[setting]:[setting]],0), MATCH(AL$139, lmic_raw_lb[#Headers],0)))</f>
        <v>3.8857910152864674E-3</v>
      </c>
      <c r="AM202" s="98">
        <f>IF(INDEX(lmic_raw_lb[],MATCH($A202,lmic_raw_lb[[setting]:[setting]],0), MATCH(AM$139, lmic_raw_lb[#Headers],0))=0, INDEX(regions_lb[], MATCH($D202, regions_lb[[setting]:[setting]],0), MATCH(AM$139, regions_lb[#Headers],0)),INDEX(lmic_raw_lb[],MATCH($A202,lmic_raw_lb[[setting]:[setting]],0), MATCH(AM$139, lmic_raw_lb[#Headers],0)))</f>
        <v>5.648200123517814E-3</v>
      </c>
      <c r="AN202" s="98">
        <f>IF(INDEX(lmic_raw_lb[],MATCH($A202,lmic_raw_lb[[setting]:[setting]],0), MATCH(AN$139, lmic_raw_lb[#Headers],0))=0, INDEX(regions_lb[], MATCH($D202, regions_lb[[setting]:[setting]],0), MATCH(AN$139, regions_lb[#Headers],0)),INDEX(lmic_raw_lb[],MATCH($A202,lmic_raw_lb[[setting]:[setting]],0), MATCH(AN$139, lmic_raw_lb[#Headers],0)))</f>
        <v>8.4439545982601238E-3</v>
      </c>
      <c r="AO202" s="98">
        <f>IF(INDEX(lmic_raw_lb[],MATCH($A202,lmic_raw_lb[[setting]:[setting]],0), MATCH(AO$139, lmic_raw_lb[#Headers],0))=0, INDEX(regions_lb[], MATCH($D202, regions_lb[[setting]:[setting]],0), MATCH(AO$139, regions_lb[#Headers],0)),INDEX(lmic_raw_lb[],MATCH($A202,lmic_raw_lb[[setting]:[setting]],0), MATCH(AO$139, lmic_raw_lb[#Headers],0)))</f>
        <v>1.2677494863003949E-2</v>
      </c>
      <c r="AP202" s="98">
        <f>IF(INDEX(lmic_raw_lb[],MATCH($A202,lmic_raw_lb[[setting]:[setting]],0), MATCH(AP$139, lmic_raw_lb[#Headers],0))=0, INDEX(regions_lb[], MATCH($D202, regions_lb[[setting]:[setting]],0), MATCH(AP$139, regions_lb[#Headers],0)),INDEX(lmic_raw_lb[],MATCH($A202,lmic_raw_lb[[setting]:[setting]],0), MATCH(AP$139, lmic_raw_lb[#Headers],0)))</f>
        <v>1.7717803588081657E-2</v>
      </c>
      <c r="AQ202" s="98">
        <f>IF(INDEX(lmic_raw_lb[],MATCH($A202,lmic_raw_lb[[setting]:[setting]],0), MATCH(AQ$139, lmic_raw_lb[#Headers],0))=0, INDEX(regions_lb[], MATCH($D202, regions_lb[[setting]:[setting]],0), MATCH(AQ$139, regions_lb[#Headers],0)),INDEX(lmic_raw_lb[],MATCH($A202,lmic_raw_lb[[setting]:[setting]],0), MATCH(AQ$139, lmic_raw_lb[#Headers],0)))</f>
        <v>2.4502664830115557E-2</v>
      </c>
      <c r="AR202" s="98">
        <f>IF(INDEX(lmic_raw_lb[],MATCH($A202,lmic_raw_lb[[setting]:[setting]],0), MATCH(AR$139, lmic_raw_lb[#Headers],0))=0, INDEX(regions_lb[], MATCH($D202, regions_lb[[setting]:[setting]],0), MATCH(AR$139, regions_lb[#Headers],0)),INDEX(lmic_raw_lb[],MATCH($A202,lmic_raw_lb[[setting]:[setting]],0), MATCH(AR$139, lmic_raw_lb[#Headers],0)))</f>
        <v>3.5398602787191216E-2</v>
      </c>
      <c r="AS202" s="98">
        <f>IF(INDEX(lmic_raw_lb[],MATCH($A202,lmic_raw_lb[[setting]:[setting]],0), MATCH(AS$139, lmic_raw_lb[#Headers],0))=0, INDEX(regions_lb[], MATCH($D202, regions_lb[[setting]:[setting]],0), MATCH(AS$139, regions_lb[#Headers],0)),INDEX(lmic_raw_lb[],MATCH($A202,lmic_raw_lb[[setting]:[setting]],0), MATCH(AS$139, lmic_raw_lb[#Headers],0)))</f>
        <v>5.3433248068609711E-2</v>
      </c>
      <c r="AT202" s="98">
        <f>IF(INDEX(lmic_raw_lb[],MATCH($A202,lmic_raw_lb[[setting]:[setting]],0), MATCH(AT$139, lmic_raw_lb[#Headers],0))=0, INDEX(regions_lb[], MATCH($D202, regions_lb[[setting]:[setting]],0), MATCH(AT$139, regions_lb[#Headers],0)),INDEX(lmic_raw_lb[],MATCH($A202,lmic_raw_lb[[setting]:[setting]],0), MATCH(AT$139, lmic_raw_lb[#Headers],0)))</f>
        <v>7.7597481023399459E-2</v>
      </c>
      <c r="AU202" s="98">
        <f>IF(INDEX(lmic_raw_lb[],MATCH($A202,lmic_raw_lb[[setting]:[setting]],0), MATCH(AU$139, lmic_raw_lb[#Headers],0))=0, INDEX(regions_lb[], MATCH($D202, regions_lb[[setting]:[setting]],0), MATCH(AU$139, regions_lb[#Headers],0)),INDEX(lmic_raw_lb[],MATCH($A202,lmic_raw_lb[[setting]:[setting]],0), MATCH(AU$139, lmic_raw_lb[#Headers],0)))</f>
        <v>0.10352838812147862</v>
      </c>
      <c r="AV202" s="98">
        <f>IF(INDEX(lmic_raw_lb[],MATCH($A202,lmic_raw_lb[[setting]:[setting]],0), MATCH(AV$139, lmic_raw_lb[#Headers],0))=0, INDEX(regions_lb[], MATCH($D202, regions_lb[[setting]:[setting]],0), MATCH(AV$139, regions_lb[#Headers],0)),INDEX(lmic_raw_lb[],MATCH($A202,lmic_raw_lb[[setting]:[setting]],0), MATCH(AV$139, lmic_raw_lb[#Headers],0)))</f>
        <v>0.12514707270579581</v>
      </c>
      <c r="AW202" s="98">
        <f>IF(INDEX(lmic_raw_lb[],MATCH($A202,lmic_raw_lb[[setting]:[setting]],0), MATCH(AW$139, lmic_raw_lb[#Headers],0))=0, INDEX(regions_lb[], MATCH($D202, regions_lb[[setting]:[setting]],0), MATCH(AW$139, regions_lb[#Headers],0)),INDEX(lmic_raw_lb[],MATCH($A202,lmic_raw_lb[[setting]:[setting]],0), MATCH(AW$139, lmic_raw_lb[#Headers],0)))</f>
        <v>0.14574671758464747</v>
      </c>
      <c r="AX202" s="98">
        <f>IF(INDEX(lmic_raw_lb[],MATCH($A202,lmic_raw_lb[[setting]:[setting]],0), MATCH(AX$139, lmic_raw_lb[#Headers],0))=0, INDEX(regions_lb[], MATCH($D202, regions_lb[[setting]:[setting]],0), MATCH(AX$139, regions_lb[#Headers],0)),INDEX(lmic_raw_lb[],MATCH($A202,lmic_raw_lb[[setting]:[setting]],0), MATCH(AX$139, lmic_raw_lb[#Headers],0)))</f>
        <v>64.590499999999992</v>
      </c>
      <c r="AY202" s="98" t="str">
        <f>IF(VLOOKUP(lmics_lb[[#This Row],[setting]],lmic_raw_lb[],11,FALSE)=0, "Yes", "No")</f>
        <v>No</v>
      </c>
    </row>
    <row r="203" spans="1:51" x14ac:dyDescent="0.25">
      <c r="A203" s="82" t="s">
        <v>610</v>
      </c>
      <c r="B203" s="104" t="s">
        <v>410</v>
      </c>
      <c r="C203" s="105">
        <v>408</v>
      </c>
      <c r="D203" s="84" t="s">
        <v>680</v>
      </c>
      <c r="E203" s="122" t="s">
        <v>603</v>
      </c>
      <c r="F203" s="94" t="s">
        <v>666</v>
      </c>
      <c r="G203" s="94" t="s">
        <v>674</v>
      </c>
      <c r="H203" s="94"/>
      <c r="I203" s="94"/>
      <c r="J203" s="94">
        <f>IF(INDEX(lmic_raw_lb[],MATCH($A203,lmic_raw_lb[[setting]:[setting]],0), MATCH(J$139, lmic_raw_lb[#Headers],0))=0, INDEX(regions_lb[], MATCH($D203, regions_lb[[setting]:[setting]],0), MATCH(J$139, regions_lb[#Headers],0)),INDEX(lmic_raw_lb[],MATCH($A203,lmic_raw_lb[[setting]:[setting]],0), MATCH(J$139, lmic_raw_lb[#Headers],0)))</f>
        <v>0.87590000000000001</v>
      </c>
      <c r="K203" s="94">
        <f>IF(INDEX(lmic_raw_lb[],MATCH($A203,lmic_raw_lb[[setting]:[setting]],0), MATCH(K$139, lmic_raw_lb[#Headers],0))=0, INDEX(regions_lb[], MATCH($D203, regions_lb[[setting]:[setting]],0), MATCH(K$139, regions_lb[#Headers],0)),INDEX(lmic_raw_lb[],MATCH($A203,lmic_raw_lb[[setting]:[setting]],0), MATCH(K$139, lmic_raw_lb[#Headers],0)))</f>
        <v>0.93099999999999994</v>
      </c>
      <c r="L203" s="94">
        <f>IF(INDEX(lmic_raw_lb[],MATCH($A203,lmic_raw_lb[[setting]:[setting]],0), MATCH(L$139, lmic_raw_lb[#Headers],0))=0, INDEX(regions_lb[], MATCH($D203, regions_lb[[setting]:[setting]],0), MATCH(L$139, regions_lb[#Headers],0)),INDEX(lmic_raw_lb[],MATCH($A203,lmic_raw_lb[[setting]:[setting]],0), MATCH(L$139, lmic_raw_lb[#Headers],0)))</f>
        <v>0.92149999999999999</v>
      </c>
      <c r="M203" s="94">
        <f>IF(INDEX(lmic_raw_lb[],MATCH($A203,lmic_raw_lb[[setting]:[setting]],0), MATCH(M$139, lmic_raw_lb[#Headers],0))=0, INDEX(regions_lb[], MATCH($D203, regions_lb[[setting]:[setting]],0), MATCH(M$139, regions_lb[#Headers],0)),INDEX(lmic_raw_lb[],MATCH($A203,lmic_raw_lb[[setting]:[setting]],0), MATCH(M$139, lmic_raw_lb[#Headers],0)))</f>
        <v>3.4999999999999996E-3</v>
      </c>
      <c r="N203" s="94">
        <f>IF(INDEX(lmic_raw_lb[],MATCH($A203,lmic_raw_lb[[setting]:[setting]],0), MATCH(N$139, lmic_raw_lb[#Headers],0))=0, INDEX(regions_lb[], MATCH($D203, regions_lb[[setting]:[setting]],0), MATCH(N$139, regions_lb[#Headers],0)),INDEX(lmic_raw_lb[],MATCH($A203,lmic_raw_lb[[setting]:[setting]],0), MATCH(N$139, lmic_raw_lb[#Headers],0)))</f>
        <v>0.18350000000000002</v>
      </c>
      <c r="O203" s="94">
        <f>IF(INDEX(lmic_raw_lb[],MATCH($A203,lmic_raw_lb[[setting]:[setting]],0), MATCH(O$139, lmic_raw_lb[#Headers],0))=0, INDEX(regions_lb[], MATCH($D203, regions_lb[[setting]:[setting]],0), MATCH(O$139, regions_lb[#Headers],0)),INDEX(lmic_raw_lb[],MATCH($A203,lmic_raw_lb[[setting]:[setting]],0), MATCH(O$139, lmic_raw_lb[#Headers],0)))</f>
        <v>0.7</v>
      </c>
      <c r="P203" s="94">
        <f>IF(INDEX(lmic_raw_lb[],MATCH($A203,lmic_raw_lb[[setting]:[setting]],0), MATCH(P$139, lmic_raw_lb[#Headers],0))=0, INDEX(regions_lb[], MATCH($D203, regions_lb[[setting]:[setting]],0), MATCH(P$139, regions_lb[#Headers],0)),INDEX(lmic_raw_lb[],MATCH($A203,lmic_raw_lb[[setting]:[setting]],0), MATCH(P$139, lmic_raw_lb[#Headers],0)))</f>
        <v>0.05</v>
      </c>
      <c r="Q203" s="94">
        <f>IF(INDEX(lmic_raw_lb[],MATCH($A203,lmic_raw_lb[[setting]:[setting]],0), MATCH(Q$139, lmic_raw_lb[#Headers],0))=0, INDEX(regions_lb[], MATCH($D203, regions_lb[[setting]:[setting]],0), MATCH(Q$139, regions_lb[#Headers],0)),INDEX(lmic_raw_lb[],MATCH($A203,lmic_raw_lb[[setting]:[setting]],0), MATCH(Q$139, lmic_raw_lb[#Headers],0)))</f>
        <v>3.8631075850141383</v>
      </c>
      <c r="R203" s="94">
        <f>IF(INDEX(lmic_raw_lb[],MATCH($A203,lmic_raw_lb[[setting]:[setting]],0), MATCH(R$139, lmic_raw_lb[#Headers],0))=0, INDEX(regions_lb[], MATCH($D203, regions_lb[[setting]:[setting]],0), MATCH(R$139, regions_lb[#Headers],0)),INDEX(lmic_raw_lb[],MATCH($A203,lmic_raw_lb[[setting]:[setting]],0), MATCH(R$139, lmic_raw_lb[#Headers],0)))</f>
        <v>69.430275000000009</v>
      </c>
      <c r="S203" s="94">
        <f>IF(INDEX(lmic_raw_lb[],MATCH($A203,lmic_raw_lb[[setting]:[setting]],0), MATCH(S$139, lmic_raw_lb[#Headers],0))=0, INDEX(regions_lb[], MATCH($D203, regions_lb[[setting]:[setting]],0), MATCH(S$139, regions_lb[#Headers],0)),INDEX(lmic_raw_lb[],MATCH($A203,lmic_raw_lb[[setting]:[setting]],0), MATCH(S$139, lmic_raw_lb[#Headers],0)))</f>
        <v>114.785175</v>
      </c>
      <c r="T203" s="94">
        <f>IF(INDEX(lmic_raw_lb[],MATCH($A203,lmic_raw_lb[[setting]:[setting]],0), MATCH(T$139, lmic_raw_lb[#Headers],0))=0, INDEX(regions_lb[], MATCH($D203, regions_lb[[setting]:[setting]],0), MATCH(T$139, regions_lb[#Headers],0)),INDEX(lmic_raw_lb[],MATCH($A203,lmic_raw_lb[[setting]:[setting]],0), MATCH(T$139, lmic_raw_lb[#Headers],0)))</f>
        <v>114.785175</v>
      </c>
      <c r="U203" s="94">
        <f>IF(INDEX(lmic_raw_lb[],MATCH($A203,lmic_raw_lb[[setting]:[setting]],0), MATCH(U$139, lmic_raw_lb[#Headers],0))=0, INDEX(regions_lb[], MATCH($D203, regions_lb[[setting]:[setting]],0), MATCH(U$139, regions_lb[#Headers],0)),INDEX(lmic_raw_lb[],MATCH($A203,lmic_raw_lb[[setting]:[setting]],0), MATCH(U$139, lmic_raw_lb[#Headers],0)))</f>
        <v>114.785175</v>
      </c>
      <c r="V203" s="94">
        <f>IF(INDEX(lmic_raw_lb[],MATCH($A203,lmic_raw_lb[[setting]:[setting]],0), MATCH(V$139, lmic_raw_lb[#Headers],0))=0, INDEX(regions_lb[], MATCH($D203, regions_lb[[setting]:[setting]],0), MATCH(V$139, regions_lb[#Headers],0)),INDEX(lmic_raw_lb[],MATCH($A203,lmic_raw_lb[[setting]:[setting]],0), MATCH(V$139, lmic_raw_lb[#Headers],0)))</f>
        <v>1.1860219931271478</v>
      </c>
      <c r="W203" s="94">
        <f>IF(INDEX(lmic_raw_lb[],MATCH($A203,lmic_raw_lb[[setting]:[setting]],0), MATCH(W$139, lmic_raw_lb[#Headers],0))=0, INDEX(regions_lb[], MATCH($D203, regions_lb[[setting]:[setting]],0), MATCH(W$139, regions_lb[#Headers],0)),INDEX(lmic_raw_lb[],MATCH($A203,lmic_raw_lb[[setting]:[setting]],0), MATCH(W$139, lmic_raw_lb[#Headers],0)))</f>
        <v>1.7866119931271478</v>
      </c>
      <c r="X203" s="94">
        <f>IF(INDEX(lmic_raw_lb[],MATCH($A203,lmic_raw_lb[[setting]:[setting]],0), MATCH(X$139, lmic_raw_lb[#Headers],0))=0, INDEX(regions_lb[], MATCH($D203, regions_lb[[setting]:[setting]],0), MATCH(X$139, regions_lb[#Headers],0)),INDEX(lmic_raw_lb[],MATCH($A203,lmic_raw_lb[[setting]:[setting]],0), MATCH(X$139, lmic_raw_lb[#Headers],0)))</f>
        <v>0.82400000000000007</v>
      </c>
      <c r="Y203" s="94">
        <f>IF(INDEX(lmic_raw_lb[],MATCH($A203,lmic_raw_lb[[setting]:[setting]],0), MATCH(Y$139, lmic_raw_lb[#Headers],0))=0, INDEX(regions_lb[], MATCH($D203, regions_lb[[setting]:[setting]],0), MATCH(Y$139, regions_lb[#Headers],0)),INDEX(lmic_raw_lb[],MATCH($A203,lmic_raw_lb[[setting]:[setting]],0), MATCH(Y$139, lmic_raw_lb[#Headers],0)))</f>
        <v>1.42459</v>
      </c>
      <c r="Z203" s="94">
        <f>IF(INDEX(lmic_raw_lb[],MATCH($A203,lmic_raw_lb[[setting]:[setting]],0), MATCH(Z$139, lmic_raw_lb[#Headers],0))=0, INDEX(regions_lb[], MATCH($D203, regions_lb[[setting]:[setting]],0), MATCH(Z$139, regions_lb[#Headers],0)),INDEX(lmic_raw_lb[],MATCH($A203,lmic_raw_lb[[setting]:[setting]],0), MATCH(Z$139, lmic_raw_lb[#Headers],0)))</f>
        <v>1.42459</v>
      </c>
      <c r="AA203" s="94">
        <f>IF(INDEX(lmic_raw_lb[],MATCH($A203,lmic_raw_lb[[setting]:[setting]],0), MATCH(AA$139, lmic_raw_lb[#Headers],0))=0, INDEX(regions_lb[], MATCH($D203, regions_lb[[setting]:[setting]],0), MATCH(AA$139, regions_lb[#Headers],0)),INDEX(lmic_raw_lb[],MATCH($A203,lmic_raw_lb[[setting]:[setting]],0), MATCH(AA$139, lmic_raw_lb[#Headers],0)))</f>
        <v>1.3958158075601377</v>
      </c>
      <c r="AB203" s="94">
        <f>IF(INDEX(lmic_raw_lb[],MATCH($A203,lmic_raw_lb[[setting]:[setting]],0), MATCH(AB$139, lmic_raw_lb[#Headers],0))=0, INDEX(regions_lb[], MATCH($D203, regions_lb[[setting]:[setting]],0), MATCH(AB$139, regions_lb[#Headers],0)),INDEX(lmic_raw_lb[],MATCH($A203,lmic_raw_lb[[setting]:[setting]],0), MATCH(AB$139, lmic_raw_lb[#Headers],0)))</f>
        <v>1.9964058075601376</v>
      </c>
      <c r="AC203" s="94">
        <f>IF(INDEX(lmic_raw_lb[],MATCH($A203,lmic_raw_lb[[setting]:[setting]],0), MATCH(AC$139, lmic_raw_lb[#Headers],0))=0, INDEX(regions_lb[], MATCH($D203, regions_lb[[setting]:[setting]],0), MATCH(AC$139, regions_lb[#Headers],0)),INDEX(lmic_raw_lb[],MATCH($A203,lmic_raw_lb[[setting]:[setting]],0), MATCH(AC$139, lmic_raw_lb[#Headers],0)))</f>
        <v>1.3203204500000015E-2</v>
      </c>
      <c r="AD203" s="94">
        <f>IF(INDEX(lmic_raw_lb[],MATCH($A203,lmic_raw_lb[[setting]:[setting]],0), MATCH(AD$139, lmic_raw_lb[#Headers],0))=0, INDEX(regions_lb[], MATCH($D203, regions_lb[[setting]:[setting]],0), MATCH(AD$139, regions_lb[#Headers],0)),INDEX(lmic_raw_lb[],MATCH($A203,lmic_raw_lb[[setting]:[setting]],0), MATCH(AD$139, lmic_raw_lb[#Headers],0)))</f>
        <v>1.0949425063975875E-3</v>
      </c>
      <c r="AE203" s="94">
        <f>IF(INDEX(lmic_raw_lb[],MATCH($A203,lmic_raw_lb[[setting]:[setting]],0), MATCH(AE$139, lmic_raw_lb[#Headers],0))=0, INDEX(regions_lb[], MATCH($D203, regions_lb[[setting]:[setting]],0), MATCH(AE$139, regions_lb[#Headers],0)),INDEX(lmic_raw_lb[],MATCH($A203,lmic_raw_lb[[setting]:[setting]],0), MATCH(AE$139, lmic_raw_lb[#Headers],0)))</f>
        <v>6.1250279759982463E-4</v>
      </c>
      <c r="AF203" s="94">
        <f>IF(INDEX(lmic_raw_lb[],MATCH($A203,lmic_raw_lb[[setting]:[setting]],0), MATCH(AF$139, lmic_raw_lb[#Headers],0))=0, INDEX(regions_lb[], MATCH($D203, regions_lb[[setting]:[setting]],0), MATCH(AF$139, regions_lb[#Headers],0)),INDEX(lmic_raw_lb[],MATCH($A203,lmic_raw_lb[[setting]:[setting]],0), MATCH(AF$139, lmic_raw_lb[#Headers],0)))</f>
        <v>5.689679787059548E-4</v>
      </c>
      <c r="AG203" s="94">
        <f>IF(INDEX(lmic_raw_lb[],MATCH($A203,lmic_raw_lb[[setting]:[setting]],0), MATCH(AG$139, lmic_raw_lb[#Headers],0))=0, INDEX(regions_lb[], MATCH($D203, regions_lb[[setting]:[setting]],0), MATCH(AG$139, regions_lb[#Headers],0)),INDEX(lmic_raw_lb[],MATCH($A203,lmic_raw_lb[[setting]:[setting]],0), MATCH(AG$139, lmic_raw_lb[#Headers],0)))</f>
        <v>8.2166598504063572E-4</v>
      </c>
      <c r="AH203" s="94">
        <f>IF(INDEX(lmic_raw_lb[],MATCH($A203,lmic_raw_lb[[setting]:[setting]],0), MATCH(AH$139, lmic_raw_lb[#Headers],0))=0, INDEX(regions_lb[], MATCH($D203, regions_lb[[setting]:[setting]],0), MATCH(AH$139, regions_lb[#Headers],0)),INDEX(lmic_raw_lb[],MATCH($A203,lmic_raw_lb[[setting]:[setting]],0), MATCH(AH$139, lmic_raw_lb[#Headers],0)))</f>
        <v>1.1783467525958498E-3</v>
      </c>
      <c r="AI203" s="94">
        <f>IF(INDEX(lmic_raw_lb[],MATCH($A203,lmic_raw_lb[[setting]:[setting]],0), MATCH(AI$139, lmic_raw_lb[#Headers],0))=0, INDEX(regions_lb[], MATCH($D203, regions_lb[[setting]:[setting]],0), MATCH(AI$139, regions_lb[#Headers],0)),INDEX(lmic_raw_lb[],MATCH($A203,lmic_raw_lb[[setting]:[setting]],0), MATCH(AI$139, lmic_raw_lb[#Headers],0)))</f>
        <v>1.4626867422074634E-3</v>
      </c>
      <c r="AJ203" s="94">
        <f>IF(INDEX(lmic_raw_lb[],MATCH($A203,lmic_raw_lb[[setting]:[setting]],0), MATCH(AJ$139, lmic_raw_lb[#Headers],0))=0, INDEX(regions_lb[], MATCH($D203, regions_lb[[setting]:[setting]],0), MATCH(AJ$139, regions_lb[#Headers],0)),INDEX(lmic_raw_lb[],MATCH($A203,lmic_raw_lb[[setting]:[setting]],0), MATCH(AJ$139, lmic_raw_lb[#Headers],0)))</f>
        <v>1.6612434474872798E-3</v>
      </c>
      <c r="AK203" s="94">
        <f>IF(INDEX(lmic_raw_lb[],MATCH($A203,lmic_raw_lb[[setting]:[setting]],0), MATCH(AK$139, lmic_raw_lb[#Headers],0))=0, INDEX(regions_lb[], MATCH($D203, regions_lb[[setting]:[setting]],0), MATCH(AK$139, regions_lb[#Headers],0)),INDEX(lmic_raw_lb[],MATCH($A203,lmic_raw_lb[[setting]:[setting]],0), MATCH(AK$139, lmic_raw_lb[#Headers],0)))</f>
        <v>1.9155981294328806E-3</v>
      </c>
      <c r="AL203" s="94">
        <f>IF(INDEX(lmic_raw_lb[],MATCH($A203,lmic_raw_lb[[setting]:[setting]],0), MATCH(AL$139, lmic_raw_lb[#Headers],0))=0, INDEX(regions_lb[], MATCH($D203, regions_lb[[setting]:[setting]],0), MATCH(AL$139, regions_lb[#Headers],0)),INDEX(lmic_raw_lb[],MATCH($A203,lmic_raw_lb[[setting]:[setting]],0), MATCH(AL$139, lmic_raw_lb[#Headers],0)))</f>
        <v>2.3270304874970235E-3</v>
      </c>
      <c r="AM203" s="94">
        <f>IF(INDEX(lmic_raw_lb[],MATCH($A203,lmic_raw_lb[[setting]:[setting]],0), MATCH(AM$139, lmic_raw_lb[#Headers],0))=0, INDEX(regions_lb[], MATCH($D203, regions_lb[[setting]:[setting]],0), MATCH(AM$139, regions_lb[#Headers],0)),INDEX(lmic_raw_lb[],MATCH($A203,lmic_raw_lb[[setting]:[setting]],0), MATCH(AM$139, lmic_raw_lb[#Headers],0)))</f>
        <v>3.1760080634953935E-3</v>
      </c>
      <c r="AN203" s="94">
        <f>IF(INDEX(lmic_raw_lb[],MATCH($A203,lmic_raw_lb[[setting]:[setting]],0), MATCH(AN$139, lmic_raw_lb[#Headers],0))=0, INDEX(regions_lb[], MATCH($D203, regions_lb[[setting]:[setting]],0), MATCH(AN$139, regions_lb[#Headers],0)),INDEX(lmic_raw_lb[],MATCH($A203,lmic_raw_lb[[setting]:[setting]],0), MATCH(AN$139, lmic_raw_lb[#Headers],0)))</f>
        <v>4.5577088284551731E-3</v>
      </c>
      <c r="AO203" s="94">
        <f>IF(INDEX(lmic_raw_lb[],MATCH($A203,lmic_raw_lb[[setting]:[setting]],0), MATCH(AO$139, lmic_raw_lb[#Headers],0))=0, INDEX(regions_lb[], MATCH($D203, regions_lb[[setting]:[setting]],0), MATCH(AO$139, regions_lb[#Headers],0)),INDEX(lmic_raw_lb[],MATCH($A203,lmic_raw_lb[[setting]:[setting]],0), MATCH(AO$139, lmic_raw_lb[#Headers],0)))</f>
        <v>9.1973374909347459E-3</v>
      </c>
      <c r="AP203" s="94">
        <f>IF(INDEX(lmic_raw_lb[],MATCH($A203,lmic_raw_lb[[setting]:[setting]],0), MATCH(AP$139, lmic_raw_lb[#Headers],0))=0, INDEX(regions_lb[], MATCH($D203, regions_lb[[setting]:[setting]],0), MATCH(AP$139, regions_lb[#Headers],0)),INDEX(lmic_raw_lb[],MATCH($A203,lmic_raw_lb[[setting]:[setting]],0), MATCH(AP$139, lmic_raw_lb[#Headers],0)))</f>
        <v>1.8810377819010453E-2</v>
      </c>
      <c r="AQ203" s="94">
        <f>IF(INDEX(lmic_raw_lb[],MATCH($A203,lmic_raw_lb[[setting]:[setting]],0), MATCH(AQ$139, lmic_raw_lb[#Headers],0))=0, INDEX(regions_lb[], MATCH($D203, regions_lb[[setting]:[setting]],0), MATCH(AQ$139, regions_lb[#Headers],0)),INDEX(lmic_raw_lb[],MATCH($A203,lmic_raw_lb[[setting]:[setting]],0), MATCH(AQ$139, lmic_raw_lb[#Headers],0)))</f>
        <v>2.7423081469331454E-2</v>
      </c>
      <c r="AR203" s="94">
        <f>IF(INDEX(lmic_raw_lb[],MATCH($A203,lmic_raw_lb[[setting]:[setting]],0), MATCH(AR$139, lmic_raw_lb[#Headers],0))=0, INDEX(regions_lb[], MATCH($D203, regions_lb[[setting]:[setting]],0), MATCH(AR$139, regions_lb[#Headers],0)),INDEX(lmic_raw_lb[],MATCH($A203,lmic_raw_lb[[setting]:[setting]],0), MATCH(AR$139, lmic_raw_lb[#Headers],0)))</f>
        <v>3.8445192890859937E-2</v>
      </c>
      <c r="AS203" s="94">
        <f>IF(INDEX(lmic_raw_lb[],MATCH($A203,lmic_raw_lb[[setting]:[setting]],0), MATCH(AS$139, lmic_raw_lb[#Headers],0))=0, INDEX(regions_lb[], MATCH($D203, regions_lb[[setting]:[setting]],0), MATCH(AS$139, regions_lb[#Headers],0)),INDEX(lmic_raw_lb[],MATCH($A203,lmic_raw_lb[[setting]:[setting]],0), MATCH(AS$139, lmic_raw_lb[#Headers],0)))</f>
        <v>5.9884081015736869E-2</v>
      </c>
      <c r="AT203" s="94">
        <f>IF(INDEX(lmic_raw_lb[],MATCH($A203,lmic_raw_lb[[setting]:[setting]],0), MATCH(AT$139, lmic_raw_lb[#Headers],0))=0, INDEX(regions_lb[], MATCH($D203, regions_lb[[setting]:[setting]],0), MATCH(AT$139, regions_lb[#Headers],0)),INDEX(lmic_raw_lb[],MATCH($A203,lmic_raw_lb[[setting]:[setting]],0), MATCH(AT$139, lmic_raw_lb[#Headers],0)))</f>
        <v>8.3644259806461535E-2</v>
      </c>
      <c r="AU203" s="94">
        <f>IF(INDEX(lmic_raw_lb[],MATCH($A203,lmic_raw_lb[[setting]:[setting]],0), MATCH(AU$139, lmic_raw_lb[#Headers],0))=0, INDEX(regions_lb[], MATCH($D203, regions_lb[[setting]:[setting]],0), MATCH(AU$139, regions_lb[#Headers],0)),INDEX(lmic_raw_lb[],MATCH($A203,lmic_raw_lb[[setting]:[setting]],0), MATCH(AU$139, lmic_raw_lb[#Headers],0)))</f>
        <v>0.11297128458664052</v>
      </c>
      <c r="AV203" s="94">
        <f>IF(INDEX(lmic_raw_lb[],MATCH($A203,lmic_raw_lb[[setting]:[setting]],0), MATCH(AV$139, lmic_raw_lb[#Headers],0))=0, INDEX(regions_lb[], MATCH($D203, regions_lb[[setting]:[setting]],0), MATCH(AV$139, regions_lb[#Headers],0)),INDEX(lmic_raw_lb[],MATCH($A203,lmic_raw_lb[[setting]:[setting]],0), MATCH(AV$139, lmic_raw_lb[#Headers],0)))</f>
        <v>0.14108148886487673</v>
      </c>
      <c r="AW203" s="94">
        <f>IF(INDEX(lmic_raw_lb[],MATCH($A203,lmic_raw_lb[[setting]:[setting]],0), MATCH(AW$139, lmic_raw_lb[#Headers],0))=0, INDEX(regions_lb[], MATCH($D203, regions_lb[[setting]:[setting]],0), MATCH(AW$139, regions_lb[#Headers],0)),INDEX(lmic_raw_lb[],MATCH($A203,lmic_raw_lb[[setting]:[setting]],0), MATCH(AW$139, lmic_raw_lb[#Headers],0)))</f>
        <v>0.16179247964187476</v>
      </c>
      <c r="AX203" s="94">
        <f>IF(INDEX(lmic_raw_lb[],MATCH($A203,lmic_raw_lb[[setting]:[setting]],0), MATCH(AX$139, lmic_raw_lb[#Headers],0))=0, INDEX(regions_lb[], MATCH($D203, regions_lb[[setting]:[setting]],0), MATCH(AX$139, regions_lb[#Headers],0)),INDEX(lmic_raw_lb[],MATCH($A203,lmic_raw_lb[[setting]:[setting]],0), MATCH(AX$139, lmic_raw_lb[#Headers],0)))</f>
        <v>68.365799999999993</v>
      </c>
      <c r="AY203" s="94" t="str">
        <f>IF(VLOOKUP(lmics_lb[[#This Row],[setting]],lmic_raw_lb[],11,FALSE)=0, "Yes", "No")</f>
        <v>No</v>
      </c>
    </row>
    <row r="204" spans="1:51" x14ac:dyDescent="0.25">
      <c r="A204" s="82" t="s">
        <v>186</v>
      </c>
      <c r="B204" s="101" t="s">
        <v>453</v>
      </c>
      <c r="C204" s="102">
        <v>417</v>
      </c>
      <c r="D204" s="82" t="s">
        <v>675</v>
      </c>
      <c r="E204" s="121" t="s">
        <v>184</v>
      </c>
      <c r="F204" s="98" t="s">
        <v>663</v>
      </c>
      <c r="G204" s="98" t="s">
        <v>678</v>
      </c>
      <c r="H204" s="98"/>
      <c r="I204" s="98"/>
      <c r="J204" s="98">
        <f>IF(INDEX(lmic_raw_lb[],MATCH($A204,lmic_raw_lb[[setting]:[setting]],0), MATCH(J$139, lmic_raw_lb[#Headers],0))=0, INDEX(regions_lb[], MATCH($D204, regions_lb[[setting]:[setting]],0), MATCH(J$139, regions_lb[#Headers],0)),INDEX(lmic_raw_lb[],MATCH($A204,lmic_raw_lb[[setting]:[setting]],0), MATCH(J$139, lmic_raw_lb[#Headers],0)))</f>
        <v>0.94619999999999993</v>
      </c>
      <c r="K204" s="98">
        <f>IF(INDEX(lmic_raw_lb[],MATCH($A204,lmic_raw_lb[[setting]:[setting]],0), MATCH(K$139, lmic_raw_lb[#Headers],0))=0, INDEX(regions_lb[], MATCH($D204, regions_lb[[setting]:[setting]],0), MATCH(K$139, regions_lb[#Headers],0)),INDEX(lmic_raw_lb[],MATCH($A204,lmic_raw_lb[[setting]:[setting]],0), MATCH(K$139, lmic_raw_lb[#Headers],0)))</f>
        <v>0.91199999999999992</v>
      </c>
      <c r="L204" s="98">
        <f>IF(INDEX(lmic_raw_lb[],MATCH($A204,lmic_raw_lb[[setting]:[setting]],0), MATCH(L$139, lmic_raw_lb[#Headers],0))=0, INDEX(regions_lb[], MATCH($D204, regions_lb[[setting]:[setting]],0), MATCH(L$139, regions_lb[#Headers],0)),INDEX(lmic_raw_lb[],MATCH($A204,lmic_raw_lb[[setting]:[setting]],0), MATCH(L$139, lmic_raw_lb[#Headers],0)))</f>
        <v>0.90249999999999997</v>
      </c>
      <c r="M204" s="98">
        <f>IF(INDEX(lmic_raw_lb[],MATCH($A204,lmic_raw_lb[[setting]:[setting]],0), MATCH(M$139, lmic_raw_lb[#Headers],0))=0, INDEX(regions_lb[], MATCH($D204, regions_lb[[setting]:[setting]],0), MATCH(M$139, regions_lb[#Headers],0)),INDEX(lmic_raw_lb[],MATCH($A204,lmic_raw_lb[[setting]:[setting]],0), MATCH(M$139, lmic_raw_lb[#Headers],0)))</f>
        <v>3.4000000000000002E-3</v>
      </c>
      <c r="N204" s="98">
        <f>IF(INDEX(lmic_raw_lb[],MATCH($A204,lmic_raw_lb[[setting]:[setting]],0), MATCH(N$139, lmic_raw_lb[#Headers],0))=0, INDEX(regions_lb[], MATCH($D204, regions_lb[[setting]:[setting]],0), MATCH(N$139, regions_lb[#Headers],0)),INDEX(lmic_raw_lb[],MATCH($A204,lmic_raw_lb[[setting]:[setting]],0), MATCH(N$139, lmic_raw_lb[#Headers],0)))</f>
        <v>0.16309999999999999</v>
      </c>
      <c r="O204" s="98">
        <f>IF(INDEX(lmic_raw_lb[],MATCH($A204,lmic_raw_lb[[setting]:[setting]],0), MATCH(O$139, lmic_raw_lb[#Headers],0))=0, INDEX(regions_lb[], MATCH($D204, regions_lb[[setting]:[setting]],0), MATCH(O$139, regions_lb[#Headers],0)),INDEX(lmic_raw_lb[],MATCH($A204,lmic_raw_lb[[setting]:[setting]],0), MATCH(O$139, lmic_raw_lb[#Headers],0)))</f>
        <v>0.7</v>
      </c>
      <c r="P204" s="98">
        <f>IF(INDEX(lmic_raw_lb[],MATCH($A204,lmic_raw_lb[[setting]:[setting]],0), MATCH(P$139, lmic_raw_lb[#Headers],0))=0, INDEX(regions_lb[], MATCH($D204, regions_lb[[setting]:[setting]],0), MATCH(P$139, regions_lb[#Headers],0)),INDEX(lmic_raw_lb[],MATCH($A204,lmic_raw_lb[[setting]:[setting]],0), MATCH(P$139, lmic_raw_lb[#Headers],0)))</f>
        <v>0.05</v>
      </c>
      <c r="Q204" s="98">
        <f>IF(INDEX(lmic_raw_lb[],MATCH($A204,lmic_raw_lb[[setting]:[setting]],0), MATCH(Q$139, lmic_raw_lb[#Headers],0))=0, INDEX(regions_lb[], MATCH($D204, regions_lb[[setting]:[setting]],0), MATCH(Q$139, regions_lb[#Headers],0)),INDEX(lmic_raw_lb[],MATCH($A204,lmic_raw_lb[[setting]:[setting]],0), MATCH(Q$139, lmic_raw_lb[#Headers],0)))</f>
        <v>3.1229576935334329</v>
      </c>
      <c r="R204" s="98">
        <f>IF(INDEX(lmic_raw_lb[],MATCH($A204,lmic_raw_lb[[setting]:[setting]],0), MATCH(R$139, lmic_raw_lb[#Headers],0))=0, INDEX(regions_lb[], MATCH($D204, regions_lb[[setting]:[setting]],0), MATCH(R$139, regions_lb[#Headers],0)),INDEX(lmic_raw_lb[],MATCH($A204,lmic_raw_lb[[setting]:[setting]],0), MATCH(R$139, lmic_raw_lb[#Headers],0)))</f>
        <v>42.31053</v>
      </c>
      <c r="S204" s="98">
        <f>IF(INDEX(lmic_raw_lb[],MATCH($A204,lmic_raw_lb[[setting]:[setting]],0), MATCH(S$139, lmic_raw_lb[#Headers],0))=0, INDEX(regions_lb[], MATCH($D204, regions_lb[[setting]:[setting]],0), MATCH(S$139, regions_lb[#Headers],0)),INDEX(lmic_raw_lb[],MATCH($A204,lmic_raw_lb[[setting]:[setting]],0), MATCH(S$139, lmic_raw_lb[#Headers],0)))</f>
        <v>87.665430000000001</v>
      </c>
      <c r="T204" s="98">
        <f>IF(INDEX(lmic_raw_lb[],MATCH($A204,lmic_raw_lb[[setting]:[setting]],0), MATCH(T$139, lmic_raw_lb[#Headers],0))=0, INDEX(regions_lb[], MATCH($D204, regions_lb[[setting]:[setting]],0), MATCH(T$139, regions_lb[#Headers],0)),INDEX(lmic_raw_lb[],MATCH($A204,lmic_raw_lb[[setting]:[setting]],0), MATCH(T$139, lmic_raw_lb[#Headers],0)))</f>
        <v>87.665430000000001</v>
      </c>
      <c r="U204" s="98">
        <f>IF(INDEX(lmic_raw_lb[],MATCH($A204,lmic_raw_lb[[setting]:[setting]],0), MATCH(U$139, lmic_raw_lb[#Headers],0))=0, INDEX(regions_lb[], MATCH($D204, regions_lb[[setting]:[setting]],0), MATCH(U$139, regions_lb[#Headers],0)),INDEX(lmic_raw_lb[],MATCH($A204,lmic_raw_lb[[setting]:[setting]],0), MATCH(U$139, lmic_raw_lb[#Headers],0)))</f>
        <v>87.665430000000001</v>
      </c>
      <c r="V204" s="98">
        <f>IF(INDEX(lmic_raw_lb[],MATCH($A204,lmic_raw_lb[[setting]:[setting]],0), MATCH(V$139, lmic_raw_lb[#Headers],0))=0, INDEX(regions_lb[], MATCH($D204, regions_lb[[setting]:[setting]],0), MATCH(V$139, regions_lb[#Headers],0)),INDEX(lmic_raw_lb[],MATCH($A204,lmic_raw_lb[[setting]:[setting]],0), MATCH(V$139, lmic_raw_lb[#Headers],0)))</f>
        <v>1.6674551068719687</v>
      </c>
      <c r="W204" s="98">
        <f>IF(INDEX(lmic_raw_lb[],MATCH($A204,lmic_raw_lb[[setting]:[setting]],0), MATCH(W$139, lmic_raw_lb[#Headers],0))=0, INDEX(regions_lb[], MATCH($D204, regions_lb[[setting]:[setting]],0), MATCH(W$139, regions_lb[#Headers],0)),INDEX(lmic_raw_lb[],MATCH($A204,lmic_raw_lb[[setting]:[setting]],0), MATCH(W$139, lmic_raw_lb[#Headers],0)))</f>
        <v>5.5298701068719689</v>
      </c>
      <c r="X204" s="98">
        <f>IF(INDEX(lmic_raw_lb[],MATCH($A204,lmic_raw_lb[[setting]:[setting]],0), MATCH(X$139, lmic_raw_lb[#Headers],0))=0, INDEX(regions_lb[], MATCH($D204, regions_lb[[setting]:[setting]],0), MATCH(X$139, regions_lb[#Headers],0)),INDEX(lmic_raw_lb[],MATCH($A204,lmic_raw_lb[[setting]:[setting]],0), MATCH(X$139, lmic_raw_lb[#Headers],0)))</f>
        <v>1.3022900669087183</v>
      </c>
      <c r="Y204" s="98">
        <f>IF(INDEX(lmic_raw_lb[],MATCH($A204,lmic_raw_lb[[setting]:[setting]],0), MATCH(Y$139, lmic_raw_lb[#Headers],0))=0, INDEX(regions_lb[], MATCH($D204, regions_lb[[setting]:[setting]],0), MATCH(Y$139, regions_lb[#Headers],0)),INDEX(lmic_raw_lb[],MATCH($A204,lmic_raw_lb[[setting]:[setting]],0), MATCH(Y$139, lmic_raw_lb[#Headers],0)))</f>
        <v>5.1647050669087182</v>
      </c>
      <c r="Z204" s="98">
        <f>IF(INDEX(lmic_raw_lb[],MATCH($A204,lmic_raw_lb[[setting]:[setting]],0), MATCH(Z$139, lmic_raw_lb[#Headers],0))=0, INDEX(regions_lb[], MATCH($D204, regions_lb[[setting]:[setting]],0), MATCH(Z$139, regions_lb[#Headers],0)),INDEX(lmic_raw_lb[],MATCH($A204,lmic_raw_lb[[setting]:[setting]],0), MATCH(Z$139, lmic_raw_lb[#Headers],0)))</f>
        <v>5.1626398018363986</v>
      </c>
      <c r="AA204" s="98">
        <f>IF(INDEX(lmic_raw_lb[],MATCH($A204,lmic_raw_lb[[setting]:[setting]],0), MATCH(AA$139, lmic_raw_lb[#Headers],0))=0, INDEX(regions_lb[], MATCH($D204, regions_lb[[setting]:[setting]],0), MATCH(AA$139, regions_lb[#Headers],0)),INDEX(lmic_raw_lb[],MATCH($A204,lmic_raw_lb[[setting]:[setting]],0), MATCH(AA$139, lmic_raw_lb[#Headers],0)))</f>
        <v>1.8785959413775737</v>
      </c>
      <c r="AB204" s="98">
        <f>IF(INDEX(lmic_raw_lb[],MATCH($A204,lmic_raw_lb[[setting]:[setting]],0), MATCH(AB$139, lmic_raw_lb[#Headers],0))=0, INDEX(regions_lb[], MATCH($D204, regions_lb[[setting]:[setting]],0), MATCH(AB$139, regions_lb[#Headers],0)),INDEX(lmic_raw_lb[],MATCH($A204,lmic_raw_lb[[setting]:[setting]],0), MATCH(AB$139, lmic_raw_lb[#Headers],0)))</f>
        <v>5.7410109413775743</v>
      </c>
      <c r="AC204" s="98">
        <f>IF(INDEX(lmic_raw_lb[],MATCH($A204,lmic_raw_lb[[setting]:[setting]],0), MATCH(AC$139, lmic_raw_lb[#Headers],0))=0, INDEX(regions_lb[], MATCH($D204, regions_lb[[setting]:[setting]],0), MATCH(AC$139, regions_lb[#Headers],0)),INDEX(lmic_raw_lb[],MATCH($A204,lmic_raw_lb[[setting]:[setting]],0), MATCH(AC$139, lmic_raw_lb[#Headers],0)))</f>
        <v>1.4730927999999963E-2</v>
      </c>
      <c r="AD204" s="98">
        <f>IF(INDEX(lmic_raw_lb[],MATCH($A204,lmic_raw_lb[[setting]:[setting]],0), MATCH(AD$139, lmic_raw_lb[#Headers],0))=0, INDEX(regions_lb[], MATCH($D204, regions_lb[[setting]:[setting]],0), MATCH(AD$139, regions_lb[#Headers],0)),INDEX(lmic_raw_lb[],MATCH($A204,lmic_raw_lb[[setting]:[setting]],0), MATCH(AD$139, lmic_raw_lb[#Headers],0)))</f>
        <v>6.8101536265706148E-4</v>
      </c>
      <c r="AE204" s="98">
        <f>IF(INDEX(lmic_raw_lb[],MATCH($A204,lmic_raw_lb[[setting]:[setting]],0), MATCH(AE$139, lmic_raw_lb[#Headers],0))=0, INDEX(regions_lb[], MATCH($D204, regions_lb[[setting]:[setting]],0), MATCH(AE$139, regions_lb[#Headers],0)),INDEX(lmic_raw_lb[],MATCH($A204,lmic_raw_lb[[setting]:[setting]],0), MATCH(AE$139, lmic_raw_lb[#Headers],0)))</f>
        <v>2.8536073687186156E-4</v>
      </c>
      <c r="AF204" s="98">
        <f>IF(INDEX(lmic_raw_lb[],MATCH($A204,lmic_raw_lb[[setting]:[setting]],0), MATCH(AF$139, lmic_raw_lb[#Headers],0))=0, INDEX(regions_lb[], MATCH($D204, regions_lb[[setting]:[setting]],0), MATCH(AF$139, regions_lb[#Headers],0)),INDEX(lmic_raw_lb[],MATCH($A204,lmic_raw_lb[[setting]:[setting]],0), MATCH(AF$139, lmic_raw_lb[#Headers],0)))</f>
        <v>3.4296268904961038E-4</v>
      </c>
      <c r="AG204" s="98">
        <f>IF(INDEX(lmic_raw_lb[],MATCH($A204,lmic_raw_lb[[setting]:[setting]],0), MATCH(AG$139, lmic_raw_lb[#Headers],0))=0, INDEX(regions_lb[], MATCH($D204, regions_lb[[setting]:[setting]],0), MATCH(AG$139, regions_lb[#Headers],0)),INDEX(lmic_raw_lb[],MATCH($A204,lmic_raw_lb[[setting]:[setting]],0), MATCH(AG$139, lmic_raw_lb[#Headers],0)))</f>
        <v>5.3838379987635832E-4</v>
      </c>
      <c r="AH204" s="98">
        <f>IF(INDEX(lmic_raw_lb[],MATCH($A204,lmic_raw_lb[[setting]:[setting]],0), MATCH(AH$139, lmic_raw_lb[#Headers],0))=0, INDEX(regions_lb[], MATCH($D204, regions_lb[[setting]:[setting]],0), MATCH(AH$139, regions_lb[#Headers],0)),INDEX(lmic_raw_lb[],MATCH($A204,lmic_raw_lb[[setting]:[setting]],0), MATCH(AH$139, lmic_raw_lb[#Headers],0)))</f>
        <v>7.3490985227015653E-4</v>
      </c>
      <c r="AI204" s="98">
        <f>IF(INDEX(lmic_raw_lb[],MATCH($A204,lmic_raw_lb[[setting]:[setting]],0), MATCH(AI$139, lmic_raw_lb[#Headers],0))=0, INDEX(regions_lb[], MATCH($D204, regions_lb[[setting]:[setting]],0), MATCH(AI$139, regions_lb[#Headers],0)),INDEX(lmic_raw_lb[],MATCH($A204,lmic_raw_lb[[setting]:[setting]],0), MATCH(AI$139, lmic_raw_lb[#Headers],0)))</f>
        <v>9.4390356595667059E-4</v>
      </c>
      <c r="AJ204" s="98">
        <f>IF(INDEX(lmic_raw_lb[],MATCH($A204,lmic_raw_lb[[setting]:[setting]],0), MATCH(AJ$139, lmic_raw_lb[#Headers],0))=0, INDEX(regions_lb[], MATCH($D204, regions_lb[[setting]:[setting]],0), MATCH(AJ$139, regions_lb[#Headers],0)),INDEX(lmic_raw_lb[],MATCH($A204,lmic_raw_lb[[setting]:[setting]],0), MATCH(AJ$139, lmic_raw_lb[#Headers],0)))</f>
        <v>1.5149779386878037E-3</v>
      </c>
      <c r="AK204" s="98">
        <f>IF(INDEX(lmic_raw_lb[],MATCH($A204,lmic_raw_lb[[setting]:[setting]],0), MATCH(AK$139, lmic_raw_lb[#Headers],0))=0, INDEX(regions_lb[], MATCH($D204, regions_lb[[setting]:[setting]],0), MATCH(AK$139, regions_lb[#Headers],0)),INDEX(lmic_raw_lb[],MATCH($A204,lmic_raw_lb[[setting]:[setting]],0), MATCH(AK$139, lmic_raw_lb[#Headers],0)))</f>
        <v>2.2553600475459334E-3</v>
      </c>
      <c r="AL204" s="98">
        <f>IF(INDEX(lmic_raw_lb[],MATCH($A204,lmic_raw_lb[[setting]:[setting]],0), MATCH(AL$139, lmic_raw_lb[#Headers],0))=0, INDEX(regions_lb[], MATCH($D204, regions_lb[[setting]:[setting]],0), MATCH(AL$139, regions_lb[#Headers],0)),INDEX(lmic_raw_lb[],MATCH($A204,lmic_raw_lb[[setting]:[setting]],0), MATCH(AL$139, lmic_raw_lb[#Headers],0)))</f>
        <v>3.4224084989433251E-3</v>
      </c>
      <c r="AM204" s="98">
        <f>IF(INDEX(lmic_raw_lb[],MATCH($A204,lmic_raw_lb[[setting]:[setting]],0), MATCH(AM$139, lmic_raw_lb[#Headers],0))=0, INDEX(regions_lb[], MATCH($D204, regions_lb[[setting]:[setting]],0), MATCH(AM$139, regions_lb[#Headers],0)),INDEX(lmic_raw_lb[],MATCH($A204,lmic_raw_lb[[setting]:[setting]],0), MATCH(AM$139, lmic_raw_lb[#Headers],0)))</f>
        <v>4.7632890246334814E-3</v>
      </c>
      <c r="AN204" s="98">
        <f>IF(INDEX(lmic_raw_lb[],MATCH($A204,lmic_raw_lb[[setting]:[setting]],0), MATCH(AN$139, lmic_raw_lb[#Headers],0))=0, INDEX(regions_lb[], MATCH($D204, regions_lb[[setting]:[setting]],0), MATCH(AN$139, regions_lb[#Headers],0)),INDEX(lmic_raw_lb[],MATCH($A204,lmic_raw_lb[[setting]:[setting]],0), MATCH(AN$139, lmic_raw_lb[#Headers],0)))</f>
        <v>6.8660743024059594E-3</v>
      </c>
      <c r="AO204" s="98">
        <f>IF(INDEX(lmic_raw_lb[],MATCH($A204,lmic_raw_lb[[setting]:[setting]],0), MATCH(AO$139, lmic_raw_lb[#Headers],0))=0, INDEX(regions_lb[], MATCH($D204, regions_lb[[setting]:[setting]],0), MATCH(AO$139, regions_lb[#Headers],0)),INDEX(lmic_raw_lb[],MATCH($A204,lmic_raw_lb[[setting]:[setting]],0), MATCH(AO$139, lmic_raw_lb[#Headers],0)))</f>
        <v>1.0058821434012995E-2</v>
      </c>
      <c r="AP204" s="98">
        <f>IF(INDEX(lmic_raw_lb[],MATCH($A204,lmic_raw_lb[[setting]:[setting]],0), MATCH(AP$139, lmic_raw_lb[#Headers],0))=0, INDEX(regions_lb[], MATCH($D204, regions_lb[[setting]:[setting]],0), MATCH(AP$139, regions_lb[#Headers],0)),INDEX(lmic_raw_lb[],MATCH($A204,lmic_raw_lb[[setting]:[setting]],0), MATCH(AP$139, lmic_raw_lb[#Headers],0)))</f>
        <v>1.5863814053402096E-2</v>
      </c>
      <c r="AQ204" s="98">
        <f>IF(INDEX(lmic_raw_lb[],MATCH($A204,lmic_raw_lb[[setting]:[setting]],0), MATCH(AQ$139, lmic_raw_lb[#Headers],0))=0, INDEX(regions_lb[], MATCH($D204, regions_lb[[setting]:[setting]],0), MATCH(AQ$139, regions_lb[#Headers],0)),INDEX(lmic_raw_lb[],MATCH($A204,lmic_raw_lb[[setting]:[setting]],0), MATCH(AQ$139, lmic_raw_lb[#Headers],0)))</f>
        <v>2.303282000500247E-2</v>
      </c>
      <c r="AR204" s="98">
        <f>IF(INDEX(lmic_raw_lb[],MATCH($A204,lmic_raw_lb[[setting]:[setting]],0), MATCH(AR$139, lmic_raw_lb[#Headers],0))=0, INDEX(regions_lb[], MATCH($D204, regions_lb[[setting]:[setting]],0), MATCH(AR$139, regions_lb[#Headers],0)),INDEX(lmic_raw_lb[],MATCH($A204,lmic_raw_lb[[setting]:[setting]],0), MATCH(AR$139, lmic_raw_lb[#Headers],0)))</f>
        <v>4.6328842003960494E-2</v>
      </c>
      <c r="AS204" s="98">
        <f>IF(INDEX(lmic_raw_lb[],MATCH($A204,lmic_raw_lb[[setting]:[setting]],0), MATCH(AS$139, lmic_raw_lb[#Headers],0))=0, INDEX(regions_lb[], MATCH($D204, regions_lb[[setting]:[setting]],0), MATCH(AS$139, regions_lb[#Headers],0)),INDEX(lmic_raw_lb[],MATCH($A204,lmic_raw_lb[[setting]:[setting]],0), MATCH(AS$139, lmic_raw_lb[#Headers],0)))</f>
        <v>7.8441049770473892E-2</v>
      </c>
      <c r="AT204" s="98">
        <f>IF(INDEX(lmic_raw_lb[],MATCH($A204,lmic_raw_lb[[setting]:[setting]],0), MATCH(AT$139, lmic_raw_lb[#Headers],0))=0, INDEX(regions_lb[], MATCH($D204, regions_lb[[setting]:[setting]],0), MATCH(AT$139, regions_lb[#Headers],0)),INDEX(lmic_raw_lb[],MATCH($A204,lmic_raw_lb[[setting]:[setting]],0), MATCH(AT$139, lmic_raw_lb[#Headers],0)))</f>
        <v>0.10114010836409791</v>
      </c>
      <c r="AU204" s="98">
        <f>IF(INDEX(lmic_raw_lb[],MATCH($A204,lmic_raw_lb[[setting]:[setting]],0), MATCH(AU$139, lmic_raw_lb[#Headers],0))=0, INDEX(regions_lb[], MATCH($D204, regions_lb[[setting]:[setting]],0), MATCH(AU$139, regions_lb[#Headers],0)),INDEX(lmic_raw_lb[],MATCH($A204,lmic_raw_lb[[setting]:[setting]],0), MATCH(AU$139, lmic_raw_lb[#Headers],0)))</f>
        <v>0.11997086332119189</v>
      </c>
      <c r="AV204" s="98">
        <f>IF(INDEX(lmic_raw_lb[],MATCH($A204,lmic_raw_lb[[setting]:[setting]],0), MATCH(AV$139, lmic_raw_lb[#Headers],0))=0, INDEX(regions_lb[], MATCH($D204, regions_lb[[setting]:[setting]],0), MATCH(AV$139, regions_lb[#Headers],0)),INDEX(lmic_raw_lb[],MATCH($A204,lmic_raw_lb[[setting]:[setting]],0), MATCH(AV$139, lmic_raw_lb[#Headers],0)))</f>
        <v>0.13438718112986012</v>
      </c>
      <c r="AW204" s="98">
        <f>IF(INDEX(lmic_raw_lb[],MATCH($A204,lmic_raw_lb[[setting]:[setting]],0), MATCH(AW$139, lmic_raw_lb[#Headers],0))=0, INDEX(regions_lb[], MATCH($D204, regions_lb[[setting]:[setting]],0), MATCH(AW$139, regions_lb[#Headers],0)),INDEX(lmic_raw_lb[],MATCH($A204,lmic_raw_lb[[setting]:[setting]],0), MATCH(AW$139, lmic_raw_lb[#Headers],0)))</f>
        <v>0.15097219836106582</v>
      </c>
      <c r="AX204" s="98">
        <f>IF(INDEX(lmic_raw_lb[],MATCH($A204,lmic_raw_lb[[setting]:[setting]],0), MATCH(AX$139, lmic_raw_lb[#Headers],0))=0, INDEX(regions_lb[], MATCH($D204, regions_lb[[setting]:[setting]],0), MATCH(AX$139, regions_lb[#Headers],0)),INDEX(lmic_raw_lb[],MATCH($A204,lmic_raw_lb[[setting]:[setting]],0), MATCH(AX$139, lmic_raw_lb[#Headers],0)))</f>
        <v>67.622900000000001</v>
      </c>
      <c r="AY204" s="98" t="str">
        <f>IF(VLOOKUP(lmics_lb[[#This Row],[setting]],lmic_raw_lb[],11,FALSE)=0, "Yes", "No")</f>
        <v>No</v>
      </c>
    </row>
    <row r="205" spans="1:51" x14ac:dyDescent="0.25">
      <c r="A205" s="82" t="s">
        <v>628</v>
      </c>
      <c r="B205" s="104" t="s">
        <v>454</v>
      </c>
      <c r="C205" s="105">
        <v>418</v>
      </c>
      <c r="D205" s="84" t="s">
        <v>681</v>
      </c>
      <c r="E205" s="122" t="s">
        <v>598</v>
      </c>
      <c r="F205" s="94" t="s">
        <v>666</v>
      </c>
      <c r="G205" s="94" t="s">
        <v>678</v>
      </c>
      <c r="H205" s="94"/>
      <c r="I205" s="94"/>
      <c r="J205" s="94">
        <f>IF(INDEX(lmic_raw_lb[],MATCH($A205,lmic_raw_lb[[setting]:[setting]],0), MATCH(J$139, lmic_raw_lb[#Headers],0))=0, INDEX(regions_lb[], MATCH($D205, regions_lb[[setting]:[setting]],0), MATCH(J$139, regions_lb[#Headers],0)),INDEX(lmic_raw_lb[],MATCH($A205,lmic_raw_lb[[setting]:[setting]],0), MATCH(J$139, lmic_raw_lb[#Headers],0)))</f>
        <v>0.61275000000000002</v>
      </c>
      <c r="K205" s="94">
        <f>IF(INDEX(lmic_raw_lb[],MATCH($A205,lmic_raw_lb[[setting]:[setting]],0), MATCH(K$139, lmic_raw_lb[#Headers],0))=0, INDEX(regions_lb[], MATCH($D205, regions_lb[[setting]:[setting]],0), MATCH(K$139, regions_lb[#Headers],0)),INDEX(lmic_raw_lb[],MATCH($A205,lmic_raw_lb[[setting]:[setting]],0), MATCH(K$139, lmic_raw_lb[#Headers],0)))</f>
        <v>0.52249999999999996</v>
      </c>
      <c r="L205" s="94">
        <f>IF(INDEX(lmic_raw_lb[],MATCH($A205,lmic_raw_lb[[setting]:[setting]],0), MATCH(L$139, lmic_raw_lb[#Headers],0))=0, INDEX(regions_lb[], MATCH($D205, regions_lb[[setting]:[setting]],0), MATCH(L$139, regions_lb[#Headers],0)),INDEX(lmic_raw_lb[],MATCH($A205,lmic_raw_lb[[setting]:[setting]],0), MATCH(L$139, lmic_raw_lb[#Headers],0)))</f>
        <v>0.64600000000000002</v>
      </c>
      <c r="M205" s="94">
        <f>IF(INDEX(lmic_raw_lb[],MATCH($A205,lmic_raw_lb[[setting]:[setting]],0), MATCH(M$139, lmic_raw_lb[#Headers],0))=0, INDEX(regions_lb[], MATCH($D205, regions_lb[[setting]:[setting]],0), MATCH(M$139, regions_lb[#Headers],0)),INDEX(lmic_raw_lb[],MATCH($A205,lmic_raw_lb[[setting]:[setting]],0), MATCH(M$139, lmic_raw_lb[#Headers],0)))</f>
        <v>3.7400000000000003E-2</v>
      </c>
      <c r="N205" s="94">
        <f>IF(INDEX(lmic_raw_lb[],MATCH($A205,lmic_raw_lb[[setting]:[setting]],0), MATCH(N$139, lmic_raw_lb[#Headers],0))=0, INDEX(regions_lb[], MATCH($D205, regions_lb[[setting]:[setting]],0), MATCH(N$139, regions_lb[#Headers],0)),INDEX(lmic_raw_lb[],MATCH($A205,lmic_raw_lb[[setting]:[setting]],0), MATCH(N$139, lmic_raw_lb[#Headers],0)))</f>
        <v>0.18100000000000002</v>
      </c>
      <c r="O205" s="94">
        <f>IF(INDEX(lmic_raw_lb[],MATCH($A205,lmic_raw_lb[[setting]:[setting]],0), MATCH(O$139, lmic_raw_lb[#Headers],0))=0, INDEX(regions_lb[], MATCH($D205, regions_lb[[setting]:[setting]],0), MATCH(O$139, regions_lb[#Headers],0)),INDEX(lmic_raw_lb[],MATCH($A205,lmic_raw_lb[[setting]:[setting]],0), MATCH(O$139, lmic_raw_lb[#Headers],0)))</f>
        <v>0.7</v>
      </c>
      <c r="P205" s="94">
        <f>IF(INDEX(lmic_raw_lb[],MATCH($A205,lmic_raw_lb[[setting]:[setting]],0), MATCH(P$139, lmic_raw_lb[#Headers],0))=0, INDEX(regions_lb[], MATCH($D205, regions_lb[[setting]:[setting]],0), MATCH(P$139, regions_lb[#Headers],0)),INDEX(lmic_raw_lb[],MATCH($A205,lmic_raw_lb[[setting]:[setting]],0), MATCH(P$139, lmic_raw_lb[#Headers],0)))</f>
        <v>0.05</v>
      </c>
      <c r="Q205" s="94">
        <f>IF(INDEX(lmic_raw_lb[],MATCH($A205,lmic_raw_lb[[setting]:[setting]],0), MATCH(Q$139, lmic_raw_lb[#Headers],0))=0, INDEX(regions_lb[], MATCH($D205, regions_lb[[setting]:[setting]],0), MATCH(Q$139, regions_lb[#Headers],0)),INDEX(lmic_raw_lb[],MATCH($A205,lmic_raw_lb[[setting]:[setting]],0), MATCH(Q$139, lmic_raw_lb[#Headers],0)))</f>
        <v>6.9904873240786767</v>
      </c>
      <c r="R205" s="94">
        <f>IF(INDEX(lmic_raw_lb[],MATCH($A205,lmic_raw_lb[[setting]:[setting]],0), MATCH(R$139, lmic_raw_lb[#Headers],0))=0, INDEX(regions_lb[], MATCH($D205, regions_lb[[setting]:[setting]],0), MATCH(R$139, regions_lb[#Headers],0)),INDEX(lmic_raw_lb[],MATCH($A205,lmic_raw_lb[[setting]:[setting]],0), MATCH(R$139, lmic_raw_lb[#Headers],0)))</f>
        <v>69.430275000000009</v>
      </c>
      <c r="S205" s="94">
        <f>IF(INDEX(lmic_raw_lb[],MATCH($A205,lmic_raw_lb[[setting]:[setting]],0), MATCH(S$139, lmic_raw_lb[#Headers],0))=0, INDEX(regions_lb[], MATCH($D205, regions_lb[[setting]:[setting]],0), MATCH(S$139, regions_lb[#Headers],0)),INDEX(lmic_raw_lb[],MATCH($A205,lmic_raw_lb[[setting]:[setting]],0), MATCH(S$139, lmic_raw_lb[#Headers],0)))</f>
        <v>114.785175</v>
      </c>
      <c r="T205" s="94">
        <f>IF(INDEX(lmic_raw_lb[],MATCH($A205,lmic_raw_lb[[setting]:[setting]],0), MATCH(T$139, lmic_raw_lb[#Headers],0))=0, INDEX(regions_lb[], MATCH($D205, regions_lb[[setting]:[setting]],0), MATCH(T$139, regions_lb[#Headers],0)),INDEX(lmic_raw_lb[],MATCH($A205,lmic_raw_lb[[setting]:[setting]],0), MATCH(T$139, lmic_raw_lb[#Headers],0)))</f>
        <v>114.785175</v>
      </c>
      <c r="U205" s="94">
        <f>IF(INDEX(lmic_raw_lb[],MATCH($A205,lmic_raw_lb[[setting]:[setting]],0), MATCH(U$139, lmic_raw_lb[#Headers],0))=0, INDEX(regions_lb[], MATCH($D205, regions_lb[[setting]:[setting]],0), MATCH(U$139, regions_lb[#Headers],0)),INDEX(lmic_raw_lb[],MATCH($A205,lmic_raw_lb[[setting]:[setting]],0), MATCH(U$139, lmic_raw_lb[#Headers],0)))</f>
        <v>114.785175</v>
      </c>
      <c r="V205" s="94">
        <f>IF(INDEX(lmic_raw_lb[],MATCH($A205,lmic_raw_lb[[setting]:[setting]],0), MATCH(V$139, lmic_raw_lb[#Headers],0))=0, INDEX(regions_lb[], MATCH($D205, regions_lb[[setting]:[setting]],0), MATCH(V$139, regions_lb[#Headers],0)),INDEX(lmic_raw_lb[],MATCH($A205,lmic_raw_lb[[setting]:[setting]],0), MATCH(V$139, lmic_raw_lb[#Headers],0)))</f>
        <v>0.91242984677055738</v>
      </c>
      <c r="W205" s="94">
        <f>IF(INDEX(lmic_raw_lb[],MATCH($A205,lmic_raw_lb[[setting]:[setting]],0), MATCH(W$139, lmic_raw_lb[#Headers],0))=0, INDEX(regions_lb[], MATCH($D205, regions_lb[[setting]:[setting]],0), MATCH(W$139, regions_lb[#Headers],0)),INDEX(lmic_raw_lb[],MATCH($A205,lmic_raw_lb[[setting]:[setting]],0), MATCH(W$139, lmic_raw_lb[#Headers],0)))</f>
        <v>1.5130198467705573</v>
      </c>
      <c r="X205" s="94">
        <f>IF(INDEX(lmic_raw_lb[],MATCH($A205,lmic_raw_lb[[setting]:[setting]],0), MATCH(X$139, lmic_raw_lb[#Headers],0))=0, INDEX(regions_lb[], MATCH($D205, regions_lb[[setting]:[setting]],0), MATCH(X$139, regions_lb[#Headers],0)),INDEX(lmic_raw_lb[],MATCH($A205,lmic_raw_lb[[setting]:[setting]],0), MATCH(X$139, lmic_raw_lb[#Headers],0)))</f>
        <v>0.54431050214318222</v>
      </c>
      <c r="Y205" s="94">
        <f>IF(INDEX(lmic_raw_lb[],MATCH($A205,lmic_raw_lb[[setting]:[setting]],0), MATCH(Y$139, lmic_raw_lb[#Headers],0))=0, INDEX(regions_lb[], MATCH($D205, regions_lb[[setting]:[setting]],0), MATCH(Y$139, regions_lb[#Headers],0)),INDEX(lmic_raw_lb[],MATCH($A205,lmic_raw_lb[[setting]:[setting]],0), MATCH(Y$139, lmic_raw_lb[#Headers],0)))</f>
        <v>1.1449005021431822</v>
      </c>
      <c r="Z205" s="94">
        <f>IF(INDEX(lmic_raw_lb[],MATCH($A205,lmic_raw_lb[[setting]:[setting]],0), MATCH(Z$139, lmic_raw_lb[#Headers],0))=0, INDEX(regions_lb[], MATCH($D205, regions_lb[[setting]:[setting]],0), MATCH(Z$139, regions_lb[#Headers],0)),INDEX(lmic_raw_lb[],MATCH($A205,lmic_raw_lb[[setting]:[setting]],0), MATCH(Z$139, lmic_raw_lb[#Headers],0)))</f>
        <v>1.1408842560739099</v>
      </c>
      <c r="AA205" s="94">
        <f>IF(INDEX(lmic_raw_lb[],MATCH($A205,lmic_raw_lb[[setting]:[setting]],0), MATCH(AA$139, lmic_raw_lb[#Headers],0))=0, INDEX(regions_lb[], MATCH($D205, regions_lb[[setting]:[setting]],0), MATCH(AA$139, regions_lb[#Headers],0)),INDEX(lmic_raw_lb[],MATCH($A205,lmic_raw_lb[[setting]:[setting]],0), MATCH(AA$139, lmic_raw_lb[#Headers],0)))</f>
        <v>1.1248368118465017</v>
      </c>
      <c r="AB205" s="94">
        <f>IF(INDEX(lmic_raw_lb[],MATCH($A205,lmic_raw_lb[[setting]:[setting]],0), MATCH(AB$139, lmic_raw_lb[#Headers],0))=0, INDEX(regions_lb[], MATCH($D205, regions_lb[[setting]:[setting]],0), MATCH(AB$139, regions_lb[#Headers],0)),INDEX(lmic_raw_lb[],MATCH($A205,lmic_raw_lb[[setting]:[setting]],0), MATCH(AB$139, lmic_raw_lb[#Headers],0)))</f>
        <v>1.7254268118465017</v>
      </c>
      <c r="AC205" s="94">
        <f>IF(INDEX(lmic_raw_lb[],MATCH($A205,lmic_raw_lb[[setting]:[setting]],0), MATCH(AC$139, lmic_raw_lb[#Headers],0))=0, INDEX(regions_lb[], MATCH($D205, regions_lb[[setting]:[setting]],0), MATCH(AC$139, regions_lb[#Headers],0)),INDEX(lmic_raw_lb[],MATCH($A205,lmic_raw_lb[[setting]:[setting]],0), MATCH(AC$139, lmic_raw_lb[#Headers],0)))</f>
        <v>3.6838900499999952E-2</v>
      </c>
      <c r="AD205" s="94">
        <f>IF(INDEX(lmic_raw_lb[],MATCH($A205,lmic_raw_lb[[setting]:[setting]],0), MATCH(AD$139, lmic_raw_lb[#Headers],0))=0, INDEX(regions_lb[], MATCH($D205, regions_lb[[setting]:[setting]],0), MATCH(AD$139, regions_lb[#Headers],0)),INDEX(lmic_raw_lb[],MATCH($A205,lmic_raw_lb[[setting]:[setting]],0), MATCH(AD$139, lmic_raw_lb[#Headers],0)))</f>
        <v>2.3627318963010588E-3</v>
      </c>
      <c r="AE205" s="94">
        <f>IF(INDEX(lmic_raw_lb[],MATCH($A205,lmic_raw_lb[[setting]:[setting]],0), MATCH(AE$139, lmic_raw_lb[#Headers],0))=0, INDEX(regions_lb[], MATCH($D205, regions_lb[[setting]:[setting]],0), MATCH(AE$139, regions_lb[#Headers],0)),INDEX(lmic_raw_lb[],MATCH($A205,lmic_raw_lb[[setting]:[setting]],0), MATCH(AE$139, lmic_raw_lb[#Headers],0)))</f>
        <v>8.5483061990526471E-4</v>
      </c>
      <c r="AF205" s="94">
        <f>IF(INDEX(lmic_raw_lb[],MATCH($A205,lmic_raw_lb[[setting]:[setting]],0), MATCH(AF$139, lmic_raw_lb[#Headers],0))=0, INDEX(regions_lb[], MATCH($D205, regions_lb[[setting]:[setting]],0), MATCH(AF$139, regions_lb[#Headers],0)),INDEX(lmic_raw_lb[],MATCH($A205,lmic_raw_lb[[setting]:[setting]],0), MATCH(AF$139, lmic_raw_lb[#Headers],0)))</f>
        <v>6.8463758532205838E-4</v>
      </c>
      <c r="AG205" s="94">
        <f>IF(INDEX(lmic_raw_lb[],MATCH($A205,lmic_raw_lb[[setting]:[setting]],0), MATCH(AG$139, lmic_raw_lb[#Headers],0))=0, INDEX(regions_lb[], MATCH($D205, regions_lb[[setting]:[setting]],0), MATCH(AG$139, regions_lb[#Headers],0)),INDEX(lmic_raw_lb[],MATCH($A205,lmic_raw_lb[[setting]:[setting]],0), MATCH(AG$139, lmic_raw_lb[#Headers],0)))</f>
        <v>1.1580958338805059E-3</v>
      </c>
      <c r="AH205" s="94">
        <f>IF(INDEX(lmic_raw_lb[],MATCH($A205,lmic_raw_lb[[setting]:[setting]],0), MATCH(AH$139, lmic_raw_lb[#Headers],0))=0, INDEX(regions_lb[], MATCH($D205, regions_lb[[setting]:[setting]],0), MATCH(AH$139, regions_lb[#Headers],0)),INDEX(lmic_raw_lb[],MATCH($A205,lmic_raw_lb[[setting]:[setting]],0), MATCH(AH$139, lmic_raw_lb[#Headers],0)))</f>
        <v>1.6276894721471765E-3</v>
      </c>
      <c r="AI205" s="94">
        <f>IF(INDEX(lmic_raw_lb[],MATCH($A205,lmic_raw_lb[[setting]:[setting]],0), MATCH(AI$139, lmic_raw_lb[#Headers],0))=0, INDEX(regions_lb[], MATCH($D205, regions_lb[[setting]:[setting]],0), MATCH(AI$139, regions_lb[#Headers],0)),INDEX(lmic_raw_lb[],MATCH($A205,lmic_raw_lb[[setting]:[setting]],0), MATCH(AI$139, lmic_raw_lb[#Headers],0)))</f>
        <v>1.765578287930363E-3</v>
      </c>
      <c r="AJ205" s="94">
        <f>IF(INDEX(lmic_raw_lb[],MATCH($A205,lmic_raw_lb[[setting]:[setting]],0), MATCH(AJ$139, lmic_raw_lb[#Headers],0))=0, INDEX(regions_lb[], MATCH($D205, regions_lb[[setting]:[setting]],0), MATCH(AJ$139, regions_lb[#Headers],0)),INDEX(lmic_raw_lb[],MATCH($A205,lmic_raw_lb[[setting]:[setting]],0), MATCH(AJ$139, lmic_raw_lb[#Headers],0)))</f>
        <v>2.0367203875374627E-3</v>
      </c>
      <c r="AK205" s="94">
        <f>IF(INDEX(lmic_raw_lb[],MATCH($A205,lmic_raw_lb[[setting]:[setting]],0), MATCH(AK$139, lmic_raw_lb[#Headers],0))=0, INDEX(regions_lb[], MATCH($D205, regions_lb[[setting]:[setting]],0), MATCH(AK$139, regions_lb[#Headers],0)),INDEX(lmic_raw_lb[],MATCH($A205,lmic_raw_lb[[setting]:[setting]],0), MATCH(AK$139, lmic_raw_lb[#Headers],0)))</f>
        <v>2.5961849351398688E-3</v>
      </c>
      <c r="AL205" s="94">
        <f>IF(INDEX(lmic_raw_lb[],MATCH($A205,lmic_raw_lb[[setting]:[setting]],0), MATCH(AL$139, lmic_raw_lb[#Headers],0))=0, INDEX(regions_lb[], MATCH($D205, regions_lb[[setting]:[setting]],0), MATCH(AL$139, regions_lb[#Headers],0)),INDEX(lmic_raw_lb[],MATCH($A205,lmic_raw_lb[[setting]:[setting]],0), MATCH(AL$139, lmic_raw_lb[#Headers],0)))</f>
        <v>3.5799300564852373E-3</v>
      </c>
      <c r="AM205" s="94">
        <f>IF(INDEX(lmic_raw_lb[],MATCH($A205,lmic_raw_lb[[setting]:[setting]],0), MATCH(AM$139, lmic_raw_lb[#Headers],0))=0, INDEX(regions_lb[], MATCH($D205, regions_lb[[setting]:[setting]],0), MATCH(AM$139, regions_lb[#Headers],0)),INDEX(lmic_raw_lb[],MATCH($A205,lmic_raw_lb[[setting]:[setting]],0), MATCH(AM$139, lmic_raw_lb[#Headers],0)))</f>
        <v>5.2880732074011708E-3</v>
      </c>
      <c r="AN205" s="94">
        <f>IF(INDEX(lmic_raw_lb[],MATCH($A205,lmic_raw_lb[[setting]:[setting]],0), MATCH(AN$139, lmic_raw_lb[#Headers],0))=0, INDEX(regions_lb[], MATCH($D205, regions_lb[[setting]:[setting]],0), MATCH(AN$139, regions_lb[#Headers],0)),INDEX(lmic_raw_lb[],MATCH($A205,lmic_raw_lb[[setting]:[setting]],0), MATCH(AN$139, lmic_raw_lb[#Headers],0)))</f>
        <v>7.9531063523157215E-3</v>
      </c>
      <c r="AO205" s="94">
        <f>IF(INDEX(lmic_raw_lb[],MATCH($A205,lmic_raw_lb[[setting]:[setting]],0), MATCH(AO$139, lmic_raw_lb[#Headers],0))=0, INDEX(regions_lb[], MATCH($D205, regions_lb[[setting]:[setting]],0), MATCH(AO$139, regions_lb[#Headers],0)),INDEX(lmic_raw_lb[],MATCH($A205,lmic_raw_lb[[setting]:[setting]],0), MATCH(AO$139, lmic_raw_lb[#Headers],0)))</f>
        <v>1.2110019613039555E-2</v>
      </c>
      <c r="AP205" s="94">
        <f>IF(INDEX(lmic_raw_lb[],MATCH($A205,lmic_raw_lb[[setting]:[setting]],0), MATCH(AP$139, lmic_raw_lb[#Headers],0))=0, INDEX(regions_lb[], MATCH($D205, regions_lb[[setting]:[setting]],0), MATCH(AP$139, regions_lb[#Headers],0)),INDEX(lmic_raw_lb[],MATCH($A205,lmic_raw_lb[[setting]:[setting]],0), MATCH(AP$139, lmic_raw_lb[#Headers],0)))</f>
        <v>1.8559776864647014E-2</v>
      </c>
      <c r="AQ205" s="94">
        <f>IF(INDEX(lmic_raw_lb[],MATCH($A205,lmic_raw_lb[[setting]:[setting]],0), MATCH(AQ$139, lmic_raw_lb[#Headers],0))=0, INDEX(regions_lb[], MATCH($D205, regions_lb[[setting]:[setting]],0), MATCH(AQ$139, regions_lb[#Headers],0)),INDEX(lmic_raw_lb[],MATCH($A205,lmic_raw_lb[[setting]:[setting]],0), MATCH(AQ$139, lmic_raw_lb[#Headers],0)))</f>
        <v>2.8501119188533906E-2</v>
      </c>
      <c r="AR205" s="94">
        <f>IF(INDEX(lmic_raw_lb[],MATCH($A205,lmic_raw_lb[[setting]:[setting]],0), MATCH(AR$139, lmic_raw_lb[#Headers],0))=0, INDEX(regions_lb[], MATCH($D205, regions_lb[[setting]:[setting]],0), MATCH(AR$139, regions_lb[#Headers],0)),INDEX(lmic_raw_lb[],MATCH($A205,lmic_raw_lb[[setting]:[setting]],0), MATCH(AR$139, lmic_raw_lb[#Headers],0)))</f>
        <v>4.4087674404212497E-2</v>
      </c>
      <c r="AS205" s="94">
        <f>IF(INDEX(lmic_raw_lb[],MATCH($A205,lmic_raw_lb[[setting]:[setting]],0), MATCH(AS$139, lmic_raw_lb[#Headers],0))=0, INDEX(regions_lb[], MATCH($D205, regions_lb[[setting]:[setting]],0), MATCH(AS$139, regions_lb[#Headers],0)),INDEX(lmic_raw_lb[],MATCH($A205,lmic_raw_lb[[setting]:[setting]],0), MATCH(AS$139, lmic_raw_lb[#Headers],0)))</f>
        <v>6.6778949535542156E-2</v>
      </c>
      <c r="AT205" s="94">
        <f>IF(INDEX(lmic_raw_lb[],MATCH($A205,lmic_raw_lb[[setting]:[setting]],0), MATCH(AT$139, lmic_raw_lb[#Headers],0))=0, INDEX(regions_lb[], MATCH($D205, regions_lb[[setting]:[setting]],0), MATCH(AT$139, regions_lb[#Headers],0)),INDEX(lmic_raw_lb[],MATCH($A205,lmic_raw_lb[[setting]:[setting]],0), MATCH(AT$139, lmic_raw_lb[#Headers],0)))</f>
        <v>9.6756167523152511E-2</v>
      </c>
      <c r="AU205" s="94">
        <f>IF(INDEX(lmic_raw_lb[],MATCH($A205,lmic_raw_lb[[setting]:[setting]],0), MATCH(AU$139, lmic_raw_lb[#Headers],0))=0, INDEX(regions_lb[], MATCH($D205, regions_lb[[setting]:[setting]],0), MATCH(AU$139, regions_lb[#Headers],0)),INDEX(lmic_raw_lb[],MATCH($A205,lmic_raw_lb[[setting]:[setting]],0), MATCH(AU$139, lmic_raw_lb[#Headers],0)))</f>
        <v>0.12847787610374051</v>
      </c>
      <c r="AV205" s="94">
        <f>IF(INDEX(lmic_raw_lb[],MATCH($A205,lmic_raw_lb[[setting]:[setting]],0), MATCH(AV$139, lmic_raw_lb[#Headers],0))=0, INDEX(regions_lb[], MATCH($D205, regions_lb[[setting]:[setting]],0), MATCH(AV$139, regions_lb[#Headers],0)),INDEX(lmic_raw_lb[],MATCH($A205,lmic_raw_lb[[setting]:[setting]],0), MATCH(AV$139, lmic_raw_lb[#Headers],0)))</f>
        <v>0.15418902774612428</v>
      </c>
      <c r="AW205" s="94">
        <f>IF(INDEX(lmic_raw_lb[],MATCH($A205,lmic_raw_lb[[setting]:[setting]],0), MATCH(AW$139, lmic_raw_lb[#Headers],0))=0, INDEX(regions_lb[], MATCH($D205, regions_lb[[setting]:[setting]],0), MATCH(AW$139, regions_lb[#Headers],0)),INDEX(lmic_raw_lb[],MATCH($A205,lmic_raw_lb[[setting]:[setting]],0), MATCH(AW$139, lmic_raw_lb[#Headers],0)))</f>
        <v>0.17071958321636557</v>
      </c>
      <c r="AX205" s="94">
        <f>IF(INDEX(lmic_raw_lb[],MATCH($A205,lmic_raw_lb[[setting]:[setting]],0), MATCH(AX$139, lmic_raw_lb[#Headers],0))=0, INDEX(regions_lb[], MATCH($D205, regions_lb[[setting]:[setting]],0), MATCH(AX$139, regions_lb[#Headers],0)),INDEX(lmic_raw_lb[],MATCH($A205,lmic_raw_lb[[setting]:[setting]],0), MATCH(AX$139, lmic_raw_lb[#Headers],0)))</f>
        <v>64.068950000000001</v>
      </c>
      <c r="AY205" s="94" t="str">
        <f>IF(VLOOKUP(lmics_lb[[#This Row],[setting]],lmic_raw_lb[],11,FALSE)=0, "Yes", "No")</f>
        <v>No</v>
      </c>
    </row>
    <row r="206" spans="1:51" x14ac:dyDescent="0.25">
      <c r="A206" s="109" t="s">
        <v>174</v>
      </c>
      <c r="B206" s="101" t="s">
        <v>456</v>
      </c>
      <c r="C206" s="102">
        <v>422</v>
      </c>
      <c r="D206" s="82" t="s">
        <v>673</v>
      </c>
      <c r="E206" s="121" t="s">
        <v>579</v>
      </c>
      <c r="F206" s="98" t="s">
        <v>579</v>
      </c>
      <c r="G206" s="98" t="s">
        <v>676</v>
      </c>
      <c r="H206" s="98"/>
      <c r="I206" s="98"/>
      <c r="J206" s="98">
        <f>IF(INDEX(lmic_raw_lb[],MATCH($A206,lmic_raw_lb[[setting]:[setting]],0), MATCH(J$139, lmic_raw_lb[#Headers],0))=0, INDEX(regions_lb[], MATCH($D206, regions_lb[[setting]:[setting]],0), MATCH(J$139, regions_lb[#Headers],0)),INDEX(lmic_raw_lb[],MATCH($A206,lmic_raw_lb[[setting]:[setting]],0), MATCH(J$139, lmic_raw_lb[#Headers],0)))</f>
        <v>0.94905000000000006</v>
      </c>
      <c r="K206" s="98">
        <f>IF(INDEX(lmic_raw_lb[],MATCH($A206,lmic_raw_lb[[setting]:[setting]],0), MATCH(K$139, lmic_raw_lb[#Headers],0))=0, INDEX(regions_lb[], MATCH($D206, regions_lb[[setting]:[setting]],0), MATCH(K$139, regions_lb[#Headers],0)),INDEX(lmic_raw_lb[],MATCH($A206,lmic_raw_lb[[setting]:[setting]],0), MATCH(K$139, lmic_raw_lb[#Headers],0)))</f>
        <v>0.76</v>
      </c>
      <c r="L206" s="98">
        <f>IF(INDEX(lmic_raw_lb[],MATCH($A206,lmic_raw_lb[[setting]:[setting]],0), MATCH(L$139, lmic_raw_lb[#Headers],0))=0, INDEX(regions_lb[], MATCH($D206, regions_lb[[setting]:[setting]],0), MATCH(L$139, regions_lb[#Headers],0)),INDEX(lmic_raw_lb[],MATCH($A206,lmic_raw_lb[[setting]:[setting]],0), MATCH(L$139, lmic_raw_lb[#Headers],0)))</f>
        <v>0.76</v>
      </c>
      <c r="M206" s="98">
        <f>IF(INDEX(lmic_raw_lb[],MATCH($A206,lmic_raw_lb[[setting]:[setting]],0), MATCH(M$139, lmic_raw_lb[#Headers],0))=0, INDEX(regions_lb[], MATCH($D206, regions_lb[[setting]:[setting]],0), MATCH(M$139, regions_lb[#Headers],0)),INDEX(lmic_raw_lb[],MATCH($A206,lmic_raw_lb[[setting]:[setting]],0), MATCH(M$139, lmic_raw_lb[#Headers],0)))</f>
        <v>1.03E-2</v>
      </c>
      <c r="N206" s="98">
        <f>IF(INDEX(lmic_raw_lb[],MATCH($A206,lmic_raw_lb[[setting]:[setting]],0), MATCH(N$139, lmic_raw_lb[#Headers],0))=0, INDEX(regions_lb[], MATCH($D206, regions_lb[[setting]:[setting]],0), MATCH(N$139, regions_lb[#Headers],0)),INDEX(lmic_raw_lb[],MATCH($A206,lmic_raw_lb[[setting]:[setting]],0), MATCH(N$139, lmic_raw_lb[#Headers],0)))</f>
        <v>0.14980000000000002</v>
      </c>
      <c r="O206" s="98">
        <f>IF(INDEX(lmic_raw_lb[],MATCH($A206,lmic_raw_lb[[setting]:[setting]],0), MATCH(O$139, lmic_raw_lb[#Headers],0))=0, INDEX(regions_lb[], MATCH($D206, regions_lb[[setting]:[setting]],0), MATCH(O$139, regions_lb[#Headers],0)),INDEX(lmic_raw_lb[],MATCH($A206,lmic_raw_lb[[setting]:[setting]],0), MATCH(O$139, lmic_raw_lb[#Headers],0)))</f>
        <v>0.7</v>
      </c>
      <c r="P206" s="98">
        <f>IF(INDEX(lmic_raw_lb[],MATCH($A206,lmic_raw_lb[[setting]:[setting]],0), MATCH(P$139, lmic_raw_lb[#Headers],0))=0, INDEX(regions_lb[], MATCH($D206, regions_lb[[setting]:[setting]],0), MATCH(P$139, regions_lb[#Headers],0)),INDEX(lmic_raw_lb[],MATCH($A206,lmic_raw_lb[[setting]:[setting]],0), MATCH(P$139, lmic_raw_lb[#Headers],0)))</f>
        <v>0.05</v>
      </c>
      <c r="Q206" s="98">
        <f>IF(INDEX(lmic_raw_lb[],MATCH($A206,lmic_raw_lb[[setting]:[setting]],0), MATCH(Q$139, lmic_raw_lb[#Headers],0))=0, INDEX(regions_lb[], MATCH($D206, regions_lb[[setting]:[setting]],0), MATCH(Q$139, regions_lb[#Headers],0)),INDEX(lmic_raw_lb[],MATCH($A206,lmic_raw_lb[[setting]:[setting]],0), MATCH(Q$139, lmic_raw_lb[#Headers],0)))</f>
        <v>13.022932430087504</v>
      </c>
      <c r="R206" s="98">
        <f>IF(INDEX(lmic_raw_lb[],MATCH($A206,lmic_raw_lb[[setting]:[setting]],0), MATCH(R$139, lmic_raw_lb[#Headers],0))=0, INDEX(regions_lb[], MATCH($D206, regions_lb[[setting]:[setting]],0), MATCH(R$139, regions_lb[#Headers],0)),INDEX(lmic_raw_lb[],MATCH($A206,lmic_raw_lb[[setting]:[setting]],0), MATCH(R$139, lmic_raw_lb[#Headers],0)))</f>
        <v>44.019105000000003</v>
      </c>
      <c r="S206" s="98">
        <f>IF(INDEX(lmic_raw_lb[],MATCH($A206,lmic_raw_lb[[setting]:[setting]],0), MATCH(S$139, lmic_raw_lb[#Headers],0))=0, INDEX(regions_lb[], MATCH($D206, regions_lb[[setting]:[setting]],0), MATCH(S$139, regions_lb[#Headers],0)),INDEX(lmic_raw_lb[],MATCH($A206,lmic_raw_lb[[setting]:[setting]],0), MATCH(S$139, lmic_raw_lb[#Headers],0)))</f>
        <v>89.374005000000011</v>
      </c>
      <c r="T206" s="98">
        <f>IF(INDEX(lmic_raw_lb[],MATCH($A206,lmic_raw_lb[[setting]:[setting]],0), MATCH(T$139, lmic_raw_lb[#Headers],0))=0, INDEX(regions_lb[], MATCH($D206, regions_lb[[setting]:[setting]],0), MATCH(T$139, regions_lb[#Headers],0)),INDEX(lmic_raw_lb[],MATCH($A206,lmic_raw_lb[[setting]:[setting]],0), MATCH(T$139, lmic_raw_lb[#Headers],0)))</f>
        <v>89.374005000000011</v>
      </c>
      <c r="U206" s="98">
        <f>IF(INDEX(lmic_raw_lb[],MATCH($A206,lmic_raw_lb[[setting]:[setting]],0), MATCH(U$139, lmic_raw_lb[#Headers],0))=0, INDEX(regions_lb[], MATCH($D206, regions_lb[[setting]:[setting]],0), MATCH(U$139, regions_lb[#Headers],0)),INDEX(lmic_raw_lb[],MATCH($A206,lmic_raw_lb[[setting]:[setting]],0), MATCH(U$139, lmic_raw_lb[#Headers],0)))</f>
        <v>89.374005000000011</v>
      </c>
      <c r="V206" s="98">
        <f>IF(INDEX(lmic_raw_lb[],MATCH($A206,lmic_raw_lb[[setting]:[setting]],0), MATCH(V$139, lmic_raw_lb[#Headers],0))=0, INDEX(regions_lb[], MATCH($D206, regions_lb[[setting]:[setting]],0), MATCH(V$139, regions_lb[#Headers],0)),INDEX(lmic_raw_lb[],MATCH($A206,lmic_raw_lb[[setting]:[setting]],0), MATCH(V$139, lmic_raw_lb[#Headers],0)))</f>
        <v>1.7153770302947919</v>
      </c>
      <c r="W206" s="98">
        <f>IF(INDEX(lmic_raw_lb[],MATCH($A206,lmic_raw_lb[[setting]:[setting]],0), MATCH(W$139, lmic_raw_lb[#Headers],0))=0, INDEX(regions_lb[], MATCH($D206, regions_lb[[setting]:[setting]],0), MATCH(W$139, regions_lb[#Headers],0)),INDEX(lmic_raw_lb[],MATCH($A206,lmic_raw_lb[[setting]:[setting]],0), MATCH(W$139, lmic_raw_lb[#Headers],0)))</f>
        <v>2.1709970302947919</v>
      </c>
      <c r="X206" s="98">
        <f>IF(INDEX(lmic_raw_lb[],MATCH($A206,lmic_raw_lb[[setting]:[setting]],0), MATCH(X$139, lmic_raw_lb[#Headers],0))=0, INDEX(regions_lb[], MATCH($D206, regions_lb[[setting]:[setting]],0), MATCH(X$139, regions_lb[#Headers],0)),INDEX(lmic_raw_lb[],MATCH($A206,lmic_raw_lb[[setting]:[setting]],0), MATCH(X$139, lmic_raw_lb[#Headers],0)))</f>
        <v>1.3432029630397908</v>
      </c>
      <c r="Y206" s="98">
        <f>IF(INDEX(lmic_raw_lb[],MATCH($A206,lmic_raw_lb[[setting]:[setting]],0), MATCH(Y$139, lmic_raw_lb[#Headers],0))=0, INDEX(regions_lb[], MATCH($D206, regions_lb[[setting]:[setting]],0), MATCH(Y$139, regions_lb[#Headers],0)),INDEX(lmic_raw_lb[],MATCH($A206,lmic_raw_lb[[setting]:[setting]],0), MATCH(Y$139, lmic_raw_lb[#Headers],0)))</f>
        <v>1.7988229630397909</v>
      </c>
      <c r="Z206" s="98">
        <f>IF(INDEX(lmic_raw_lb[],MATCH($A206,lmic_raw_lb[[setting]:[setting]],0), MATCH(Z$139, lmic_raw_lb[#Headers],0))=0, INDEX(regions_lb[], MATCH($D206, regions_lb[[setting]:[setting]],0), MATCH(Z$139, regions_lb[#Headers],0)),INDEX(lmic_raw_lb[],MATCH($A206,lmic_raw_lb[[setting]:[setting]],0), MATCH(Z$139, lmic_raw_lb[#Headers],0)))</f>
        <v>1.7919271011868969</v>
      </c>
      <c r="AA206" s="98">
        <f>IF(INDEX(lmic_raw_lb[],MATCH($A206,lmic_raw_lb[[setting]:[setting]],0), MATCH(AA$139, lmic_raw_lb[#Headers],0))=0, INDEX(regions_lb[], MATCH($D206, regions_lb[[setting]:[setting]],0), MATCH(AA$139, regions_lb[#Headers],0)),INDEX(lmic_raw_lb[],MATCH($A206,lmic_raw_lb[[setting]:[setting]],0), MATCH(AA$139, lmic_raw_lb[#Headers],0)))</f>
        <v>1.9295217336397188</v>
      </c>
      <c r="AB206" s="98">
        <f>IF(INDEX(lmic_raw_lb[],MATCH($A206,lmic_raw_lb[[setting]:[setting]],0), MATCH(AB$139, lmic_raw_lb[#Headers],0))=0, INDEX(regions_lb[], MATCH($D206, regions_lb[[setting]:[setting]],0), MATCH(AB$139, regions_lb[#Headers],0)),INDEX(lmic_raw_lb[],MATCH($A206,lmic_raw_lb[[setting]:[setting]],0), MATCH(AB$139, lmic_raw_lb[#Headers],0)))</f>
        <v>2.3851417336397187</v>
      </c>
      <c r="AC206" s="98">
        <f>IF(INDEX(lmic_raw_lb[],MATCH($A206,lmic_raw_lb[[setting]:[setting]],0), MATCH(AC$139, lmic_raw_lb[#Headers],0))=0, INDEX(regions_lb[], MATCH($D206, regions_lb[[setting]:[setting]],0), MATCH(AC$139, regions_lb[#Headers],0)),INDEX(lmic_raw_lb[],MATCH($A206,lmic_raw_lb[[setting]:[setting]],0), MATCH(AC$139, lmic_raw_lb[#Headers],0)))</f>
        <v>8.9439839999999448E-3</v>
      </c>
      <c r="AD206" s="98">
        <f>IF(INDEX(lmic_raw_lb[],MATCH($A206,lmic_raw_lb[[setting]:[setting]],0), MATCH(AD$139, lmic_raw_lb[#Headers],0))=0, INDEX(regions_lb[], MATCH($D206, regions_lb[[setting]:[setting]],0), MATCH(AD$139, regions_lb[#Headers],0)),INDEX(lmic_raw_lb[],MATCH($A206,lmic_raw_lb[[setting]:[setting]],0), MATCH(AD$139, lmic_raw_lb[#Headers],0)))</f>
        <v>3.5771781304889532E-4</v>
      </c>
      <c r="AE206" s="98">
        <f>IF(INDEX(lmic_raw_lb[],MATCH($A206,lmic_raw_lb[[setting]:[setting]],0), MATCH(AE$139, lmic_raw_lb[#Headers],0))=0, INDEX(regions_lb[], MATCH($D206, regions_lb[[setting]:[setting]],0), MATCH(AE$139, regions_lb[#Headers],0)),INDEX(lmic_raw_lb[],MATCH($A206,lmic_raw_lb[[setting]:[setting]],0), MATCH(AE$139, lmic_raw_lb[#Headers],0)))</f>
        <v>1.7405355337161578E-4</v>
      </c>
      <c r="AF206" s="98">
        <f>IF(INDEX(lmic_raw_lb[],MATCH($A206,lmic_raw_lb[[setting]:[setting]],0), MATCH(AF$139, lmic_raw_lb[#Headers],0))=0, INDEX(regions_lb[], MATCH($D206, regions_lb[[setting]:[setting]],0), MATCH(AF$139, regions_lb[#Headers],0)),INDEX(lmic_raw_lb[],MATCH($A206,lmic_raw_lb[[setting]:[setting]],0), MATCH(AF$139, lmic_raw_lb[#Headers],0)))</f>
        <v>1.4579160709630906E-4</v>
      </c>
      <c r="AG206" s="98">
        <f>IF(INDEX(lmic_raw_lb[],MATCH($A206,lmic_raw_lb[[setting]:[setting]],0), MATCH(AG$139, lmic_raw_lb[#Headers],0))=0, INDEX(regions_lb[], MATCH($D206, regions_lb[[setting]:[setting]],0), MATCH(AG$139, regions_lb[#Headers],0)),INDEX(lmic_raw_lb[],MATCH($A206,lmic_raw_lb[[setting]:[setting]],0), MATCH(AG$139, lmic_raw_lb[#Headers],0)))</f>
        <v>2.7333490954801516E-4</v>
      </c>
      <c r="AH206" s="98">
        <f>IF(INDEX(lmic_raw_lb[],MATCH($A206,lmic_raw_lb[[setting]:[setting]],0), MATCH(AH$139, lmic_raw_lb[#Headers],0))=0, INDEX(regions_lb[], MATCH($D206, regions_lb[[setting]:[setting]],0), MATCH(AH$139, regions_lb[#Headers],0)),INDEX(lmic_raw_lb[],MATCH($A206,lmic_raw_lb[[setting]:[setting]],0), MATCH(AH$139, lmic_raw_lb[#Headers],0)))</f>
        <v>3.8105851063625532E-4</v>
      </c>
      <c r="AI206" s="98">
        <f>IF(INDEX(lmic_raw_lb[],MATCH($A206,lmic_raw_lb[[setting]:[setting]],0), MATCH(AI$139, lmic_raw_lb[#Headers],0))=0, INDEX(regions_lb[], MATCH($D206, regions_lb[[setting]:[setting]],0), MATCH(AI$139, regions_lb[#Headers],0)),INDEX(lmic_raw_lb[],MATCH($A206,lmic_raw_lb[[setting]:[setting]],0), MATCH(AI$139, lmic_raw_lb[#Headers],0)))</f>
        <v>4.079079182583706E-4</v>
      </c>
      <c r="AJ206" s="98">
        <f>IF(INDEX(lmic_raw_lb[],MATCH($A206,lmic_raw_lb[[setting]:[setting]],0), MATCH(AJ$139, lmic_raw_lb[#Headers],0))=0, INDEX(regions_lb[], MATCH($D206, regions_lb[[setting]:[setting]],0), MATCH(AJ$139, regions_lb[#Headers],0)),INDEX(lmic_raw_lb[],MATCH($A206,lmic_raw_lb[[setting]:[setting]],0), MATCH(AJ$139, lmic_raw_lb[#Headers],0)))</f>
        <v>4.8028913932769658E-4</v>
      </c>
      <c r="AK206" s="98">
        <f>IF(INDEX(lmic_raw_lb[],MATCH($A206,lmic_raw_lb[[setting]:[setting]],0), MATCH(AK$139, lmic_raw_lb[#Headers],0))=0, INDEX(regions_lb[], MATCH($D206, regions_lb[[setting]:[setting]],0), MATCH(AK$139, regions_lb[#Headers],0)),INDEX(lmic_raw_lb[],MATCH($A206,lmic_raw_lb[[setting]:[setting]],0), MATCH(AK$139, lmic_raw_lb[#Headers],0)))</f>
        <v>6.4653482578109296E-4</v>
      </c>
      <c r="AL206" s="98">
        <f>IF(INDEX(lmic_raw_lb[],MATCH($A206,lmic_raw_lb[[setting]:[setting]],0), MATCH(AL$139, lmic_raw_lb[#Headers],0))=0, INDEX(regions_lb[], MATCH($D206, regions_lb[[setting]:[setting]],0), MATCH(AL$139, regions_lb[#Headers],0)),INDEX(lmic_raw_lb[],MATCH($A206,lmic_raw_lb[[setting]:[setting]],0), MATCH(AL$139, lmic_raw_lb[#Headers],0)))</f>
        <v>9.9429943554951413E-4</v>
      </c>
      <c r="AM206" s="98">
        <f>IF(INDEX(lmic_raw_lb[],MATCH($A206,lmic_raw_lb[[setting]:[setting]],0), MATCH(AM$139, lmic_raw_lb[#Headers],0))=0, INDEX(regions_lb[], MATCH($D206, regions_lb[[setting]:[setting]],0), MATCH(AM$139, regions_lb[#Headers],0)),INDEX(lmic_raw_lb[],MATCH($A206,lmic_raw_lb[[setting]:[setting]],0), MATCH(AM$139, lmic_raw_lb[#Headers],0)))</f>
        <v>1.7342095312434496E-3</v>
      </c>
      <c r="AN206" s="98">
        <f>IF(INDEX(lmic_raw_lb[],MATCH($A206,lmic_raw_lb[[setting]:[setting]],0), MATCH(AN$139, lmic_raw_lb[#Headers],0))=0, INDEX(regions_lb[], MATCH($D206, regions_lb[[setting]:[setting]],0), MATCH(AN$139, regions_lb[#Headers],0)),INDEX(lmic_raw_lb[],MATCH($A206,lmic_raw_lb[[setting]:[setting]],0), MATCH(AN$139, lmic_raw_lb[#Headers],0)))</f>
        <v>2.963526460428678E-3</v>
      </c>
      <c r="AO206" s="98">
        <f>IF(INDEX(lmic_raw_lb[],MATCH($A206,lmic_raw_lb[[setting]:[setting]],0), MATCH(AO$139, lmic_raw_lb[#Headers],0))=0, INDEX(regions_lb[], MATCH($D206, regions_lb[[setting]:[setting]],0), MATCH(AO$139, regions_lb[#Headers],0)),INDEX(lmic_raw_lb[],MATCH($A206,lmic_raw_lb[[setting]:[setting]],0), MATCH(AO$139, lmic_raw_lb[#Headers],0)))</f>
        <v>5.1683232243441889E-3</v>
      </c>
      <c r="AP206" s="98">
        <f>IF(INDEX(lmic_raw_lb[],MATCH($A206,lmic_raw_lb[[setting]:[setting]],0), MATCH(AP$139, lmic_raw_lb[#Headers],0))=0, INDEX(regions_lb[], MATCH($D206, regions_lb[[setting]:[setting]],0), MATCH(AP$139, regions_lb[#Headers],0)),INDEX(lmic_raw_lb[],MATCH($A206,lmic_raw_lb[[setting]:[setting]],0), MATCH(AP$139, lmic_raw_lb[#Headers],0)))</f>
        <v>8.2098292152751988E-3</v>
      </c>
      <c r="AQ206" s="98">
        <f>IF(INDEX(lmic_raw_lb[],MATCH($A206,lmic_raw_lb[[setting]:[setting]],0), MATCH(AQ$139, lmic_raw_lb[#Headers],0))=0, INDEX(regions_lb[], MATCH($D206, regions_lb[[setting]:[setting]],0), MATCH(AQ$139, regions_lb[#Headers],0)),INDEX(lmic_raw_lb[],MATCH($A206,lmic_raw_lb[[setting]:[setting]],0), MATCH(AQ$139, lmic_raw_lb[#Headers],0)))</f>
        <v>1.3997440464389036E-2</v>
      </c>
      <c r="AR206" s="98">
        <f>IF(INDEX(lmic_raw_lb[],MATCH($A206,lmic_raw_lb[[setting]:[setting]],0), MATCH(AR$139, lmic_raw_lb[#Headers],0))=0, INDEX(regions_lb[], MATCH($D206, regions_lb[[setting]:[setting]],0), MATCH(AR$139, regions_lb[#Headers],0)),INDEX(lmic_raw_lb[],MATCH($A206,lmic_raw_lb[[setting]:[setting]],0), MATCH(AR$139, lmic_raw_lb[#Headers],0)))</f>
        <v>2.4229152548782214E-2</v>
      </c>
      <c r="AS206" s="98">
        <f>IF(INDEX(lmic_raw_lb[],MATCH($A206,lmic_raw_lb[[setting]:[setting]],0), MATCH(AS$139, lmic_raw_lb[#Headers],0))=0, INDEX(regions_lb[], MATCH($D206, regions_lb[[setting]:[setting]],0), MATCH(AS$139, regions_lb[#Headers],0)),INDEX(lmic_raw_lb[],MATCH($A206,lmic_raw_lb[[setting]:[setting]],0), MATCH(AS$139, lmic_raw_lb[#Headers],0)))</f>
        <v>4.0061017927271535E-2</v>
      </c>
      <c r="AT206" s="98">
        <f>IF(INDEX(lmic_raw_lb[],MATCH($A206,lmic_raw_lb[[setting]:[setting]],0), MATCH(AT$139, lmic_raw_lb[#Headers],0))=0, INDEX(regions_lb[], MATCH($D206, regions_lb[[setting]:[setting]],0), MATCH(AT$139, regions_lb[#Headers],0)),INDEX(lmic_raw_lb[],MATCH($A206,lmic_raw_lb[[setting]:[setting]],0), MATCH(AT$139, lmic_raw_lb[#Headers],0)))</f>
        <v>6.4722135995976857E-2</v>
      </c>
      <c r="AU206" s="98">
        <f>IF(INDEX(lmic_raw_lb[],MATCH($A206,lmic_raw_lb[[setting]:[setting]],0), MATCH(AU$139, lmic_raw_lb[#Headers],0))=0, INDEX(regions_lb[], MATCH($D206, regions_lb[[setting]:[setting]],0), MATCH(AU$139, regions_lb[#Headers],0)),INDEX(lmic_raw_lb[],MATCH($A206,lmic_raw_lb[[setting]:[setting]],0), MATCH(AU$139, lmic_raw_lb[#Headers],0)))</f>
        <v>9.6883284803762335E-2</v>
      </c>
      <c r="AV206" s="98">
        <f>IF(INDEX(lmic_raw_lb[],MATCH($A206,lmic_raw_lb[[setting]:[setting]],0), MATCH(AV$139, lmic_raw_lb[#Headers],0))=0, INDEX(regions_lb[], MATCH($D206, regions_lb[[setting]:[setting]],0), MATCH(AV$139, regions_lb[#Headers],0)),INDEX(lmic_raw_lb[],MATCH($A206,lmic_raw_lb[[setting]:[setting]],0), MATCH(AV$139, lmic_raw_lb[#Headers],0)))</f>
        <v>0.12925083737600901</v>
      </c>
      <c r="AW206" s="98">
        <f>IF(INDEX(lmic_raw_lb[],MATCH($A206,lmic_raw_lb[[setting]:[setting]],0), MATCH(AW$139, lmic_raw_lb[#Headers],0))=0, INDEX(regions_lb[], MATCH($D206, regions_lb[[setting]:[setting]],0), MATCH(AW$139, regions_lb[#Headers],0)),INDEX(lmic_raw_lb[],MATCH($A206,lmic_raw_lb[[setting]:[setting]],0), MATCH(AW$139, lmic_raw_lb[#Headers],0)))</f>
        <v>0.15491953009875059</v>
      </c>
      <c r="AX206" s="98">
        <f>IF(INDEX(lmic_raw_lb[],MATCH($A206,lmic_raw_lb[[setting]:[setting]],0), MATCH(AX$139, lmic_raw_lb[#Headers],0))=0, INDEX(regions_lb[], MATCH($D206, regions_lb[[setting]:[setting]],0), MATCH(AX$139, regions_lb[#Headers],0)),INDEX(lmic_raw_lb[],MATCH($A206,lmic_raw_lb[[setting]:[setting]],0), MATCH(AX$139, lmic_raw_lb[#Headers],0)))</f>
        <v>74.881849999999986</v>
      </c>
      <c r="AY206" s="98" t="str">
        <f>IF(VLOOKUP(lmics_lb[[#This Row],[setting]],lmic_raw_lb[],11,FALSE)=0, "Yes", "No")</f>
        <v>No</v>
      </c>
    </row>
    <row r="207" spans="1:51" x14ac:dyDescent="0.25">
      <c r="A207" s="110" t="s">
        <v>134</v>
      </c>
      <c r="B207" s="104" t="s">
        <v>457</v>
      </c>
      <c r="C207" s="105">
        <v>426</v>
      </c>
      <c r="D207" s="84" t="s">
        <v>677</v>
      </c>
      <c r="E207" s="122" t="s">
        <v>594</v>
      </c>
      <c r="F207" s="94" t="s">
        <v>667</v>
      </c>
      <c r="G207" s="94" t="s">
        <v>678</v>
      </c>
      <c r="H207" s="94"/>
      <c r="I207" s="94"/>
      <c r="J207" s="94">
        <f>IF(INDEX(lmic_raw_lb[],MATCH($A207,lmic_raw_lb[[setting]:[setting]],0), MATCH(J$139, lmic_raw_lb[#Headers],0))=0, INDEX(regions_lb[], MATCH($D207, regions_lb[[setting]:[setting]],0), MATCH(J$139, regions_lb[#Headers],0)),INDEX(lmic_raw_lb[],MATCH($A207,lmic_raw_lb[[setting]:[setting]],0), MATCH(J$139, lmic_raw_lb[#Headers],0)))</f>
        <v>0.84929999999999994</v>
      </c>
      <c r="K207" s="94">
        <f>IF(INDEX(lmic_raw_lb[],MATCH($A207,lmic_raw_lb[[setting]:[setting]],0), MATCH(K$139, lmic_raw_lb[#Headers],0))=0, INDEX(regions_lb[], MATCH($D207, regions_lb[[setting]:[setting]],0), MATCH(K$139, regions_lb[#Headers],0)),INDEX(lmic_raw_lb[],MATCH($A207,lmic_raw_lb[[setting]:[setting]],0), MATCH(K$139, lmic_raw_lb[#Headers],0)))</f>
        <v>0.65789974195504752</v>
      </c>
      <c r="L207" s="94">
        <f>IF(INDEX(lmic_raw_lb[],MATCH($A207,lmic_raw_lb[[setting]:[setting]],0), MATCH(L$139, lmic_raw_lb[#Headers],0))=0, INDEX(regions_lb[], MATCH($D207, regions_lb[[setting]:[setting]],0), MATCH(L$139, regions_lb[#Headers],0)),INDEX(lmic_raw_lb[],MATCH($A207,lmic_raw_lb[[setting]:[setting]],0), MATCH(L$139, lmic_raw_lb[#Headers],0)))</f>
        <v>0.82650000000000001</v>
      </c>
      <c r="M207" s="94">
        <f>IF(INDEX(lmic_raw_lb[],MATCH($A207,lmic_raw_lb[[setting]:[setting]],0), MATCH(M$139, lmic_raw_lb[#Headers],0))=0, INDEX(regions_lb[], MATCH($D207, regions_lb[[setting]:[setting]],0), MATCH(M$139, regions_lb[#Headers],0)),INDEX(lmic_raw_lb[],MATCH($A207,lmic_raw_lb[[setting]:[setting]],0), MATCH(M$139, lmic_raw_lb[#Headers],0)))</f>
        <v>4.5999999999999999E-3</v>
      </c>
      <c r="N207" s="94">
        <f>IF(INDEX(lmic_raw_lb[],MATCH($A207,lmic_raw_lb[[setting]:[setting]],0), MATCH(N$139, lmic_raw_lb[#Headers],0))=0, INDEX(regions_lb[], MATCH($D207, regions_lb[[setting]:[setting]],0), MATCH(N$139, regions_lb[#Headers],0)),INDEX(lmic_raw_lb[],MATCH($A207,lmic_raw_lb[[setting]:[setting]],0), MATCH(N$139, lmic_raw_lb[#Headers],0)))</f>
        <v>0.15109999999999998</v>
      </c>
      <c r="O207" s="94">
        <f>IF(INDEX(lmic_raw_lb[],MATCH($A207,lmic_raw_lb[[setting]:[setting]],0), MATCH(O$139, lmic_raw_lb[#Headers],0))=0, INDEX(regions_lb[], MATCH($D207, regions_lb[[setting]:[setting]],0), MATCH(O$139, regions_lb[#Headers],0)),INDEX(lmic_raw_lb[],MATCH($A207,lmic_raw_lb[[setting]:[setting]],0), MATCH(O$139, lmic_raw_lb[#Headers],0)))</f>
        <v>7.0000000000000007E-2</v>
      </c>
      <c r="P207" s="94">
        <f>IF(INDEX(lmic_raw_lb[],MATCH($A207,lmic_raw_lb[[setting]:[setting]],0), MATCH(P$139, lmic_raw_lb[#Headers],0))=0, INDEX(regions_lb[], MATCH($D207, regions_lb[[setting]:[setting]],0), MATCH(P$139, regions_lb[#Headers],0)),INDEX(lmic_raw_lb[],MATCH($A207,lmic_raw_lb[[setting]:[setting]],0), MATCH(P$139, lmic_raw_lb[#Headers],0)))</f>
        <v>1E-3</v>
      </c>
      <c r="Q207" s="94">
        <f>IF(INDEX(lmic_raw_lb[],MATCH($A207,lmic_raw_lb[[setting]:[setting]],0), MATCH(Q$139, lmic_raw_lb[#Headers],0))=0, INDEX(regions_lb[], MATCH($D207, regions_lb[[setting]:[setting]],0), MATCH(Q$139, regions_lb[#Headers],0)),INDEX(lmic_raw_lb[],MATCH($A207,lmic_raw_lb[[setting]:[setting]],0), MATCH(Q$139, lmic_raw_lb[#Headers],0)))</f>
        <v>3.4612256230284464</v>
      </c>
      <c r="R207" s="94">
        <f>IF(INDEX(lmic_raw_lb[],MATCH($A207,lmic_raw_lb[[setting]:[setting]],0), MATCH(R$139, lmic_raw_lb[#Headers],0))=0, INDEX(regions_lb[], MATCH($D207, regions_lb[[setting]:[setting]],0), MATCH(R$139, regions_lb[#Headers],0)),INDEX(lmic_raw_lb[],MATCH($A207,lmic_raw_lb[[setting]:[setting]],0), MATCH(R$139, lmic_raw_lb[#Headers],0)))</f>
        <v>28.424474999999997</v>
      </c>
      <c r="S207" s="94">
        <f>IF(INDEX(lmic_raw_lb[],MATCH($A207,lmic_raw_lb[[setting]:[setting]],0), MATCH(S$139, lmic_raw_lb[#Headers],0))=0, INDEX(regions_lb[], MATCH($D207, regions_lb[[setting]:[setting]],0), MATCH(S$139, regions_lb[#Headers],0)),INDEX(lmic_raw_lb[],MATCH($A207,lmic_raw_lb[[setting]:[setting]],0), MATCH(S$139, lmic_raw_lb[#Headers],0)))</f>
        <v>73.779375000000002</v>
      </c>
      <c r="T207" s="94">
        <f>IF(INDEX(lmic_raw_lb[],MATCH($A207,lmic_raw_lb[[setting]:[setting]],0), MATCH(T$139, lmic_raw_lb[#Headers],0))=0, INDEX(regions_lb[], MATCH($D207, regions_lb[[setting]:[setting]],0), MATCH(T$139, regions_lb[#Headers],0)),INDEX(lmic_raw_lb[],MATCH($A207,lmic_raw_lb[[setting]:[setting]],0), MATCH(T$139, lmic_raw_lb[#Headers],0)))</f>
        <v>73.779375000000002</v>
      </c>
      <c r="U207" s="94">
        <f>IF(INDEX(lmic_raw_lb[],MATCH($A207,lmic_raw_lb[[setting]:[setting]],0), MATCH(U$139, lmic_raw_lb[#Headers],0))=0, INDEX(regions_lb[], MATCH($D207, regions_lb[[setting]:[setting]],0), MATCH(U$139, regions_lb[#Headers],0)),INDEX(lmic_raw_lb[],MATCH($A207,lmic_raw_lb[[setting]:[setting]],0), MATCH(U$139, lmic_raw_lb[#Headers],0)))</f>
        <v>73.779375000000002</v>
      </c>
      <c r="V207" s="94">
        <f>IF(INDEX(lmic_raw_lb[],MATCH($A207,lmic_raw_lb[[setting]:[setting]],0), MATCH(V$139, lmic_raw_lb[#Headers],0))=0, INDEX(regions_lb[], MATCH($D207, regions_lb[[setting]:[setting]],0), MATCH(V$139, regions_lb[#Headers],0)),INDEX(lmic_raw_lb[],MATCH($A207,lmic_raw_lb[[setting]:[setting]],0), MATCH(V$139, lmic_raw_lb[#Headers],0)))</f>
        <v>2.0780094528348232</v>
      </c>
      <c r="W207" s="94">
        <f>IF(INDEX(lmic_raw_lb[],MATCH($A207,lmic_raw_lb[[setting]:[setting]],0), MATCH(W$139, lmic_raw_lb[#Headers],0))=0, INDEX(regions_lb[], MATCH($D207, regions_lb[[setting]:[setting]],0), MATCH(W$139, regions_lb[#Headers],0)),INDEX(lmic_raw_lb[],MATCH($A207,lmic_raw_lb[[setting]:[setting]],0), MATCH(W$139, lmic_raw_lb[#Headers],0)))</f>
        <v>6.665274452834824</v>
      </c>
      <c r="X207" s="94">
        <f>IF(INDEX(lmic_raw_lb[],MATCH($A207,lmic_raw_lb[[setting]:[setting]],0), MATCH(X$139, lmic_raw_lb[#Headers],0))=0, INDEX(regions_lb[], MATCH($D207, regions_lb[[setting]:[setting]],0), MATCH(X$139, regions_lb[#Headers],0)),INDEX(lmic_raw_lb[],MATCH($A207,lmic_raw_lb[[setting]:[setting]],0), MATCH(X$139, lmic_raw_lb[#Headers],0)))</f>
        <v>1.7134396821809856</v>
      </c>
      <c r="Y207" s="94">
        <f>IF(INDEX(lmic_raw_lb[],MATCH($A207,lmic_raw_lb[[setting]:[setting]],0), MATCH(Y$139, lmic_raw_lb[#Headers],0))=0, INDEX(regions_lb[], MATCH($D207, regions_lb[[setting]:[setting]],0), MATCH(Y$139, regions_lb[#Headers],0)),INDEX(lmic_raw_lb[],MATCH($A207,lmic_raw_lb[[setting]:[setting]],0), MATCH(Y$139, lmic_raw_lb[#Headers],0)))</f>
        <v>6.300704682180986</v>
      </c>
      <c r="Z207" s="94">
        <f>IF(INDEX(lmic_raw_lb[],MATCH($A207,lmic_raw_lb[[setting]:[setting]],0), MATCH(Z$139, lmic_raw_lb[#Headers],0))=0, INDEX(regions_lb[], MATCH($D207, regions_lb[[setting]:[setting]],0), MATCH(Z$139, regions_lb[#Headers],0)),INDEX(lmic_raw_lb[],MATCH($A207,lmic_raw_lb[[setting]:[setting]],0), MATCH(Z$139, lmic_raw_lb[#Headers],0)))</f>
        <v>6.2991356134885219</v>
      </c>
      <c r="AA207" s="94">
        <f>IF(INDEX(lmic_raw_lb[],MATCH($A207,lmic_raw_lb[[setting]:[setting]],0), MATCH(AA$139, lmic_raw_lb[#Headers],0))=0, INDEX(regions_lb[], MATCH($D207, regions_lb[[setting]:[setting]],0), MATCH(AA$139, regions_lb[#Headers],0)),INDEX(lmic_raw_lb[],MATCH($A207,lmic_raw_lb[[setting]:[setting]],0), MATCH(AA$139, lmic_raw_lb[#Headers],0)))</f>
        <v>2.2888951719221087</v>
      </c>
      <c r="AB207" s="94">
        <f>IF(INDEX(lmic_raw_lb[],MATCH($A207,lmic_raw_lb[[setting]:[setting]],0), MATCH(AB$139, lmic_raw_lb[#Headers],0))=0, INDEX(regions_lb[], MATCH($D207, regions_lb[[setting]:[setting]],0), MATCH(AB$139, regions_lb[#Headers],0)),INDEX(lmic_raw_lb[],MATCH($A207,lmic_raw_lb[[setting]:[setting]],0), MATCH(AB$139, lmic_raw_lb[#Headers],0)))</f>
        <v>6.876160171922109</v>
      </c>
      <c r="AC207" s="94">
        <f>IF(INDEX(lmic_raw_lb[],MATCH($A207,lmic_raw_lb[[setting]:[setting]],0), MATCH(AC$139, lmic_raw_lb[#Headers],0))=0, INDEX(regions_lb[], MATCH($D207, regions_lb[[setting]:[setting]],0), MATCH(AC$139, regions_lb[#Headers],0)),INDEX(lmic_raw_lb[],MATCH($A207,lmic_raw_lb[[setting]:[setting]],0), MATCH(AC$139, lmic_raw_lb[#Headers],0)))</f>
        <v>5.9145764999999954E-2</v>
      </c>
      <c r="AD207" s="94">
        <f>IF(INDEX(lmic_raw_lb[],MATCH($A207,lmic_raw_lb[[setting]:[setting]],0), MATCH(AD$139, lmic_raw_lb[#Headers],0))=0, INDEX(regions_lb[], MATCH($D207, regions_lb[[setting]:[setting]],0), MATCH(AD$139, regions_lb[#Headers],0)),INDEX(lmic_raw_lb[],MATCH($A207,lmic_raw_lb[[setting]:[setting]],0), MATCH(AD$139, lmic_raw_lb[#Headers],0)))</f>
        <v>6.2825696170148559E-3</v>
      </c>
      <c r="AE207" s="94">
        <f>IF(INDEX(lmic_raw_lb[],MATCH($A207,lmic_raw_lb[[setting]:[setting]],0), MATCH(AE$139, lmic_raw_lb[#Headers],0))=0, INDEX(regions_lb[], MATCH($D207, regions_lb[[setting]:[setting]],0), MATCH(AE$139, regions_lb[#Headers],0)),INDEX(lmic_raw_lb[],MATCH($A207,lmic_raw_lb[[setting]:[setting]],0), MATCH(AE$139, lmic_raw_lb[#Headers],0)))</f>
        <v>1.6403385869732461E-3</v>
      </c>
      <c r="AF207" s="94">
        <f>IF(INDEX(lmic_raw_lb[],MATCH($A207,lmic_raw_lb[[setting]:[setting]],0), MATCH(AF$139, lmic_raw_lb[#Headers],0))=0, INDEX(regions_lb[], MATCH($D207, regions_lb[[setting]:[setting]],0), MATCH(AF$139, regions_lb[#Headers],0)),INDEX(lmic_raw_lb[],MATCH($A207,lmic_raw_lb[[setting]:[setting]],0), MATCH(AF$139, lmic_raw_lb[#Headers],0)))</f>
        <v>1.3570381908872605E-3</v>
      </c>
      <c r="AG207" s="94">
        <f>IF(INDEX(lmic_raw_lb[],MATCH($A207,lmic_raw_lb[[setting]:[setting]],0), MATCH(AG$139, lmic_raw_lb[#Headers],0))=0, INDEX(regions_lb[], MATCH($D207, regions_lb[[setting]:[setting]],0), MATCH(AG$139, regions_lb[#Headers],0)),INDEX(lmic_raw_lb[],MATCH($A207,lmic_raw_lb[[setting]:[setting]],0), MATCH(AG$139, lmic_raw_lb[#Headers],0)))</f>
        <v>2.0843198656365284E-3</v>
      </c>
      <c r="AH207" s="94">
        <f>IF(INDEX(lmic_raw_lb[],MATCH($A207,lmic_raw_lb[[setting]:[setting]],0), MATCH(AH$139, lmic_raw_lb[#Headers],0))=0, INDEX(regions_lb[], MATCH($D207, regions_lb[[setting]:[setting]],0), MATCH(AH$139, regions_lb[#Headers],0)),INDEX(lmic_raw_lb[],MATCH($A207,lmic_raw_lb[[setting]:[setting]],0), MATCH(AH$139, lmic_raw_lb[#Headers],0)))</f>
        <v>3.8236585680442759E-3</v>
      </c>
      <c r="AI207" s="94">
        <f>IF(INDEX(lmic_raw_lb[],MATCH($A207,lmic_raw_lb[[setting]:[setting]],0), MATCH(AI$139, lmic_raw_lb[#Headers],0))=0, INDEX(regions_lb[], MATCH($D207, regions_lb[[setting]:[setting]],0), MATCH(AI$139, regions_lb[#Headers],0)),INDEX(lmic_raw_lb[],MATCH($A207,lmic_raw_lb[[setting]:[setting]],0), MATCH(AI$139, lmic_raw_lb[#Headers],0)))</f>
        <v>7.0647665568528157E-3</v>
      </c>
      <c r="AJ207" s="94">
        <f>IF(INDEX(lmic_raw_lb[],MATCH($A207,lmic_raw_lb[[setting]:[setting]],0), MATCH(AJ$139, lmic_raw_lb[#Headers],0))=0, INDEX(regions_lb[], MATCH($D207, regions_lb[[setting]:[setting]],0), MATCH(AJ$139, regions_lb[#Headers],0)),INDEX(lmic_raw_lb[],MATCH($A207,lmic_raw_lb[[setting]:[setting]],0), MATCH(AJ$139, lmic_raw_lb[#Headers],0)))</f>
        <v>1.0660175255321086E-2</v>
      </c>
      <c r="AK207" s="94">
        <f>IF(INDEX(lmic_raw_lb[],MATCH($A207,lmic_raw_lb[[setting]:[setting]],0), MATCH(AK$139, lmic_raw_lb[#Headers],0))=0, INDEX(regions_lb[], MATCH($D207, regions_lb[[setting]:[setting]],0), MATCH(AK$139, regions_lb[#Headers],0)),INDEX(lmic_raw_lb[],MATCH($A207,lmic_raw_lb[[setting]:[setting]],0), MATCH(AK$139, lmic_raw_lb[#Headers],0)))</f>
        <v>1.5634498463728712E-2</v>
      </c>
      <c r="AL207" s="94">
        <f>IF(INDEX(lmic_raw_lb[],MATCH($A207,lmic_raw_lb[[setting]:[setting]],0), MATCH(AL$139, lmic_raw_lb[#Headers],0))=0, INDEX(regions_lb[], MATCH($D207, regions_lb[[setting]:[setting]],0), MATCH(AL$139, regions_lb[#Headers],0)),INDEX(lmic_raw_lb[],MATCH($A207,lmic_raw_lb[[setting]:[setting]],0), MATCH(AL$139, lmic_raw_lb[#Headers],0)))</f>
        <v>1.7641642103208021E-2</v>
      </c>
      <c r="AM207" s="94">
        <f>IF(INDEX(lmic_raw_lb[],MATCH($A207,lmic_raw_lb[[setting]:[setting]],0), MATCH(AM$139, lmic_raw_lb[#Headers],0))=0, INDEX(regions_lb[], MATCH($D207, regions_lb[[setting]:[setting]],0), MATCH(AM$139, regions_lb[#Headers],0)),INDEX(lmic_raw_lb[],MATCH($A207,lmic_raw_lb[[setting]:[setting]],0), MATCH(AM$139, lmic_raw_lb[#Headers],0)))</f>
        <v>1.9584920894772404E-2</v>
      </c>
      <c r="AN207" s="94">
        <f>IF(INDEX(lmic_raw_lb[],MATCH($A207,lmic_raw_lb[[setting]:[setting]],0), MATCH(AN$139, lmic_raw_lb[#Headers],0))=0, INDEX(regions_lb[], MATCH($D207, regions_lb[[setting]:[setting]],0), MATCH(AN$139, regions_lb[#Headers],0)),INDEX(lmic_raw_lb[],MATCH($A207,lmic_raw_lb[[setting]:[setting]],0), MATCH(AN$139, lmic_raw_lb[#Headers],0)))</f>
        <v>2.1086391397267919E-2</v>
      </c>
      <c r="AO207" s="94">
        <f>IF(INDEX(lmic_raw_lb[],MATCH($A207,lmic_raw_lb[[setting]:[setting]],0), MATCH(AO$139, lmic_raw_lb[#Headers],0))=0, INDEX(regions_lb[], MATCH($D207, regions_lb[[setting]:[setting]],0), MATCH(AO$139, regions_lb[#Headers],0)),INDEX(lmic_raw_lb[],MATCH($A207,lmic_raw_lb[[setting]:[setting]],0), MATCH(AO$139, lmic_raw_lb[#Headers],0)))</f>
        <v>2.3722252055549231E-2</v>
      </c>
      <c r="AP207" s="94">
        <f>IF(INDEX(lmic_raw_lb[],MATCH($A207,lmic_raw_lb[[setting]:[setting]],0), MATCH(AP$139, lmic_raw_lb[#Headers],0))=0, INDEX(regions_lb[], MATCH($D207, regions_lb[[setting]:[setting]],0), MATCH(AP$139, regions_lb[#Headers],0)),INDEX(lmic_raw_lb[],MATCH($A207,lmic_raw_lb[[setting]:[setting]],0), MATCH(AP$139, lmic_raw_lb[#Headers],0)))</f>
        <v>2.8712471090952599E-2</v>
      </c>
      <c r="AQ207" s="94">
        <f>IF(INDEX(lmic_raw_lb[],MATCH($A207,lmic_raw_lb[[setting]:[setting]],0), MATCH(AQ$139, lmic_raw_lb[#Headers],0))=0, INDEX(regions_lb[], MATCH($D207, regions_lb[[setting]:[setting]],0), MATCH(AQ$139, regions_lb[#Headers],0)),INDEX(lmic_raw_lb[],MATCH($A207,lmic_raw_lb[[setting]:[setting]],0), MATCH(AQ$139, lmic_raw_lb[#Headers],0)))</f>
        <v>3.765965321477123E-2</v>
      </c>
      <c r="AR207" s="94">
        <f>IF(INDEX(lmic_raw_lb[],MATCH($A207,lmic_raw_lb[[setting]:[setting]],0), MATCH(AR$139, lmic_raw_lb[#Headers],0))=0, INDEX(regions_lb[], MATCH($D207, regions_lb[[setting]:[setting]],0), MATCH(AR$139, regions_lb[#Headers],0)),INDEX(lmic_raw_lb[],MATCH($A207,lmic_raw_lb[[setting]:[setting]],0), MATCH(AR$139, lmic_raw_lb[#Headers],0)))</f>
        <v>5.1745341650435463E-2</v>
      </c>
      <c r="AS207" s="94">
        <f>IF(INDEX(lmic_raw_lb[],MATCH($A207,lmic_raw_lb[[setting]:[setting]],0), MATCH(AS$139, lmic_raw_lb[#Headers],0))=0, INDEX(regions_lb[], MATCH($D207, regions_lb[[setting]:[setting]],0), MATCH(AS$139, regions_lb[#Headers],0)),INDEX(lmic_raw_lb[],MATCH($A207,lmic_raw_lb[[setting]:[setting]],0), MATCH(AS$139, lmic_raw_lb[#Headers],0)))</f>
        <v>7.0862512193891225E-2</v>
      </c>
      <c r="AT207" s="94">
        <f>IF(INDEX(lmic_raw_lb[],MATCH($A207,lmic_raw_lb[[setting]:[setting]],0), MATCH(AT$139, lmic_raw_lb[#Headers],0))=0, INDEX(regions_lb[], MATCH($D207, regions_lb[[setting]:[setting]],0), MATCH(AT$139, regions_lb[#Headers],0)),INDEX(lmic_raw_lb[],MATCH($A207,lmic_raw_lb[[setting]:[setting]],0), MATCH(AT$139, lmic_raw_lb[#Headers],0)))</f>
        <v>0.10045394695280414</v>
      </c>
      <c r="AU207" s="94">
        <f>IF(INDEX(lmic_raw_lb[],MATCH($A207,lmic_raw_lb[[setting]:[setting]],0), MATCH(AU$139, lmic_raw_lb[#Headers],0))=0, INDEX(regions_lb[], MATCH($D207, regions_lb[[setting]:[setting]],0), MATCH(AU$139, regions_lb[#Headers],0)),INDEX(lmic_raw_lb[],MATCH($A207,lmic_raw_lb[[setting]:[setting]],0), MATCH(AU$139, lmic_raw_lb[#Headers],0)))</f>
        <v>0.1358674548649042</v>
      </c>
      <c r="AV207" s="94">
        <f>IF(INDEX(lmic_raw_lb[],MATCH($A207,lmic_raw_lb[[setting]:[setting]],0), MATCH(AV$139, lmic_raw_lb[#Headers],0))=0, INDEX(regions_lb[], MATCH($D207, regions_lb[[setting]:[setting]],0), MATCH(AV$139, regions_lb[#Headers],0)),INDEX(lmic_raw_lb[],MATCH($A207,lmic_raw_lb[[setting]:[setting]],0), MATCH(AV$139, lmic_raw_lb[#Headers],0)))</f>
        <v>0.16247283077024666</v>
      </c>
      <c r="AW207" s="94">
        <f>IF(INDEX(lmic_raw_lb[],MATCH($A207,lmic_raw_lb[[setting]:[setting]],0), MATCH(AW$139, lmic_raw_lb[#Headers],0))=0, INDEX(regions_lb[], MATCH($D207, regions_lb[[setting]:[setting]],0), MATCH(AW$139, regions_lb[#Headers],0)),INDEX(lmic_raw_lb[],MATCH($A207,lmic_raw_lb[[setting]:[setting]],0), MATCH(AW$139, lmic_raw_lb[#Headers],0)))</f>
        <v>0.17327074249170982</v>
      </c>
      <c r="AX207" s="94">
        <f>IF(INDEX(lmic_raw_lb[],MATCH($A207,lmic_raw_lb[[setting]:[setting]],0), MATCH(AX$139, lmic_raw_lb[#Headers],0))=0, INDEX(regions_lb[], MATCH($D207, regions_lb[[setting]:[setting]],0), MATCH(AX$139, regions_lb[#Headers],0)),INDEX(lmic_raw_lb[],MATCH($A207,lmic_raw_lb[[setting]:[setting]],0), MATCH(AX$139, lmic_raw_lb[#Headers],0)))</f>
        <v>50.835450000000002</v>
      </c>
      <c r="AY207" s="94" t="str">
        <f>IF(VLOOKUP(lmics_lb[[#This Row],[setting]],lmic_raw_lb[],11,FALSE)=0, "Yes", "No")</f>
        <v>Yes</v>
      </c>
    </row>
    <row r="208" spans="1:51" x14ac:dyDescent="0.25">
      <c r="A208" s="109" t="s">
        <v>146</v>
      </c>
      <c r="B208" s="101" t="s">
        <v>458</v>
      </c>
      <c r="C208" s="102">
        <v>430</v>
      </c>
      <c r="D208" s="82" t="s">
        <v>677</v>
      </c>
      <c r="E208" s="121" t="s">
        <v>591</v>
      </c>
      <c r="F208" s="98" t="s">
        <v>667</v>
      </c>
      <c r="G208" s="98" t="s">
        <v>674</v>
      </c>
      <c r="H208" s="98"/>
      <c r="I208" s="98"/>
      <c r="J208" s="98">
        <f>IF(INDEX(lmic_raw_lb[],MATCH($A208,lmic_raw_lb[[setting]:[setting]],0), MATCH(J$139, lmic_raw_lb[#Headers],0))=0, INDEX(regions_lb[], MATCH($D208, regions_lb[[setting]:[setting]],0), MATCH(J$139, regions_lb[#Headers],0)),INDEX(lmic_raw_lb[],MATCH($A208,lmic_raw_lb[[setting]:[setting]],0), MATCH(J$139, lmic_raw_lb[#Headers],0)))</f>
        <v>0.75809999999999989</v>
      </c>
      <c r="K208" s="98">
        <f>IF(INDEX(lmic_raw_lb[],MATCH($A208,lmic_raw_lb[[setting]:[setting]],0), MATCH(K$139, lmic_raw_lb[#Headers],0))=0, INDEX(regions_lb[], MATCH($D208, regions_lb[[setting]:[setting]],0), MATCH(K$139, regions_lb[#Headers],0)),INDEX(lmic_raw_lb[],MATCH($A208,lmic_raw_lb[[setting]:[setting]],0), MATCH(K$139, lmic_raw_lb[#Headers],0)))</f>
        <v>0.65789974195504752</v>
      </c>
      <c r="L208" s="98">
        <f>IF(INDEX(lmic_raw_lb[],MATCH($A208,lmic_raw_lb[[setting]:[setting]],0), MATCH(L$139, lmic_raw_lb[#Headers],0))=0, INDEX(regions_lb[], MATCH($D208, regions_lb[[setting]:[setting]],0), MATCH(L$139, regions_lb[#Headers],0)),INDEX(lmic_raw_lb[],MATCH($A208,lmic_raw_lb[[setting]:[setting]],0), MATCH(L$139, lmic_raw_lb[#Headers],0)))</f>
        <v>0.70299999999999996</v>
      </c>
      <c r="M208" s="98">
        <f>IF(INDEX(lmic_raw_lb[],MATCH($A208,lmic_raw_lb[[setting]:[setting]],0), MATCH(M$139, lmic_raw_lb[#Headers],0))=0, INDEX(regions_lb[], MATCH($D208, regions_lb[[setting]:[setting]],0), MATCH(M$139, regions_lb[#Headers],0)),INDEX(lmic_raw_lb[],MATCH($A208,lmic_raw_lb[[setting]:[setting]],0), MATCH(M$139, lmic_raw_lb[#Headers],0)))</f>
        <v>0.11939999999999999</v>
      </c>
      <c r="N208" s="98">
        <f>IF(INDEX(lmic_raw_lb[],MATCH($A208,lmic_raw_lb[[setting]:[setting]],0), MATCH(N$139, lmic_raw_lb[#Headers],0))=0, INDEX(regions_lb[], MATCH($D208, regions_lb[[setting]:[setting]],0), MATCH(N$139, regions_lb[#Headers],0)),INDEX(lmic_raw_lb[],MATCH($A208,lmic_raw_lb[[setting]:[setting]],0), MATCH(N$139, lmic_raw_lb[#Headers],0)))</f>
        <v>0.155</v>
      </c>
      <c r="O208" s="98">
        <f>IF(INDEX(lmic_raw_lb[],MATCH($A208,lmic_raw_lb[[setting]:[setting]],0), MATCH(O$139, lmic_raw_lb[#Headers],0))=0, INDEX(regions_lb[], MATCH($D208, regions_lb[[setting]:[setting]],0), MATCH(O$139, regions_lb[#Headers],0)),INDEX(lmic_raw_lb[],MATCH($A208,lmic_raw_lb[[setting]:[setting]],0), MATCH(O$139, lmic_raw_lb[#Headers],0)))</f>
        <v>7.0000000000000007E-2</v>
      </c>
      <c r="P208" s="98">
        <f>IF(INDEX(lmic_raw_lb[],MATCH($A208,lmic_raw_lb[[setting]:[setting]],0), MATCH(P$139, lmic_raw_lb[#Headers],0))=0, INDEX(regions_lb[], MATCH($D208, regions_lb[[setting]:[setting]],0), MATCH(P$139, regions_lb[#Headers],0)),INDEX(lmic_raw_lb[],MATCH($A208,lmic_raw_lb[[setting]:[setting]],0), MATCH(P$139, lmic_raw_lb[#Headers],0)))</f>
        <v>1E-3</v>
      </c>
      <c r="Q208" s="98">
        <f>IF(INDEX(lmic_raw_lb[],MATCH($A208,lmic_raw_lb[[setting]:[setting]],0), MATCH(Q$139, lmic_raw_lb[#Headers],0))=0, INDEX(regions_lb[], MATCH($D208, regions_lb[[setting]:[setting]],0), MATCH(Q$139, regions_lb[#Headers],0)),INDEX(lmic_raw_lb[],MATCH($A208,lmic_raw_lb[[setting]:[setting]],0), MATCH(Q$139, lmic_raw_lb[#Headers],0)))</f>
        <v>2.3336658580450673</v>
      </c>
      <c r="R208" s="98">
        <f>IF(INDEX(lmic_raw_lb[],MATCH($A208,lmic_raw_lb[[setting]:[setting]],0), MATCH(R$139, lmic_raw_lb[#Headers],0))=0, INDEX(regions_lb[], MATCH($D208, regions_lb[[setting]:[setting]],0), MATCH(R$139, regions_lb[#Headers],0)),INDEX(lmic_raw_lb[],MATCH($A208,lmic_raw_lb[[setting]:[setting]],0), MATCH(R$139, lmic_raw_lb[#Headers],0)))</f>
        <v>28.424474999999997</v>
      </c>
      <c r="S208" s="98">
        <f>IF(INDEX(lmic_raw_lb[],MATCH($A208,lmic_raw_lb[[setting]:[setting]],0), MATCH(S$139, lmic_raw_lb[#Headers],0))=0, INDEX(regions_lb[], MATCH($D208, regions_lb[[setting]:[setting]],0), MATCH(S$139, regions_lb[#Headers],0)),INDEX(lmic_raw_lb[],MATCH($A208,lmic_raw_lb[[setting]:[setting]],0), MATCH(S$139, lmic_raw_lb[#Headers],0)))</f>
        <v>73.779375000000002</v>
      </c>
      <c r="T208" s="98">
        <f>IF(INDEX(lmic_raw_lb[],MATCH($A208,lmic_raw_lb[[setting]:[setting]],0), MATCH(T$139, lmic_raw_lb[#Headers],0))=0, INDEX(regions_lb[], MATCH($D208, regions_lb[[setting]:[setting]],0), MATCH(T$139, regions_lb[#Headers],0)),INDEX(lmic_raw_lb[],MATCH($A208,lmic_raw_lb[[setting]:[setting]],0), MATCH(T$139, lmic_raw_lb[#Headers],0)))</f>
        <v>73.779375000000002</v>
      </c>
      <c r="U208" s="98">
        <f>IF(INDEX(lmic_raw_lb[],MATCH($A208,lmic_raw_lb[[setting]:[setting]],0), MATCH(U$139, lmic_raw_lb[#Headers],0))=0, INDEX(regions_lb[], MATCH($D208, regions_lb[[setting]:[setting]],0), MATCH(U$139, regions_lb[#Headers],0)),INDEX(lmic_raw_lb[],MATCH($A208,lmic_raw_lb[[setting]:[setting]],0), MATCH(U$139, lmic_raw_lb[#Headers],0)))</f>
        <v>73.779375000000002</v>
      </c>
      <c r="V208" s="98">
        <f>IF(INDEX(lmic_raw_lb[],MATCH($A208,lmic_raw_lb[[setting]:[setting]],0), MATCH(V$139, lmic_raw_lb[#Headers],0))=0, INDEX(regions_lb[], MATCH($D208, regions_lb[[setting]:[setting]],0), MATCH(V$139, regions_lb[#Headers],0)),INDEX(lmic_raw_lb[],MATCH($A208,lmic_raw_lb[[setting]:[setting]],0), MATCH(V$139, lmic_raw_lb[#Headers],0)))</f>
        <v>1.1913189599615537</v>
      </c>
      <c r="W208" s="98">
        <f>IF(INDEX(lmic_raw_lb[],MATCH($A208,lmic_raw_lb[[setting]:[setting]],0), MATCH(W$139, lmic_raw_lb[#Headers],0))=0, INDEX(regions_lb[], MATCH($D208, regions_lb[[setting]:[setting]],0), MATCH(W$139, regions_lb[#Headers],0)),INDEX(lmic_raw_lb[],MATCH($A208,lmic_raw_lb[[setting]:[setting]],0), MATCH(W$139, lmic_raw_lb[#Headers],0)))</f>
        <v>5.7785839599615541</v>
      </c>
      <c r="X208" s="98">
        <f>IF(INDEX(lmic_raw_lb[],MATCH($A208,lmic_raw_lb[[setting]:[setting]],0), MATCH(X$139, lmic_raw_lb[#Headers],0))=0, INDEX(regions_lb[], MATCH($D208, regions_lb[[setting]:[setting]],0), MATCH(X$139, regions_lb[#Headers],0)),INDEX(lmic_raw_lb[],MATCH($A208,lmic_raw_lb[[setting]:[setting]],0), MATCH(X$139, lmic_raw_lb[#Headers],0)))</f>
        <v>0.82711586284376815</v>
      </c>
      <c r="Y208" s="98">
        <f>IF(INDEX(lmic_raw_lb[],MATCH($A208,lmic_raw_lb[[setting]:[setting]],0), MATCH(Y$139, lmic_raw_lb[#Headers],0))=0, INDEX(regions_lb[], MATCH($D208, regions_lb[[setting]:[setting]],0), MATCH(Y$139, regions_lb[#Headers],0)),INDEX(lmic_raw_lb[],MATCH($A208,lmic_raw_lb[[setting]:[setting]],0), MATCH(Y$139, lmic_raw_lb[#Headers],0)))</f>
        <v>5.4143808628437684</v>
      </c>
      <c r="Z208" s="98">
        <f>IF(INDEX(lmic_raw_lb[],MATCH($A208,lmic_raw_lb[[setting]:[setting]],0), MATCH(Z$139, lmic_raw_lb[#Headers],0))=0, INDEX(regions_lb[], MATCH($D208, regions_lb[[setting]:[setting]],0), MATCH(Z$139, regions_lb[#Headers],0)),INDEX(lmic_raw_lb[],MATCH($A208,lmic_raw_lb[[setting]:[setting]],0), MATCH(Z$139, lmic_raw_lb[#Headers],0)))</f>
        <v>5.4130404659941398</v>
      </c>
      <c r="AA208" s="98">
        <f>IF(INDEX(lmic_raw_lb[],MATCH($A208,lmic_raw_lb[[setting]:[setting]],0), MATCH(AA$139, lmic_raw_lb[#Headers],0))=0, INDEX(regions_lb[], MATCH($D208, regions_lb[[setting]:[setting]],0), MATCH(AA$139, regions_lb[#Headers],0)),INDEX(lmic_raw_lb[],MATCH($A208,lmic_raw_lb[[setting]:[setting]],0), MATCH(AA$139, lmic_raw_lb[#Headers],0)))</f>
        <v>1.4020475332476738</v>
      </c>
      <c r="AB208" s="98">
        <f>IF(INDEX(lmic_raw_lb[],MATCH($A208,lmic_raw_lb[[setting]:[setting]],0), MATCH(AB$139, lmic_raw_lb[#Headers],0))=0, INDEX(regions_lb[], MATCH($D208, regions_lb[[setting]:[setting]],0), MATCH(AB$139, regions_lb[#Headers],0)),INDEX(lmic_raw_lb[],MATCH($A208,lmic_raw_lb[[setting]:[setting]],0), MATCH(AB$139, lmic_raw_lb[#Headers],0)))</f>
        <v>5.9893125332476744</v>
      </c>
      <c r="AC208" s="98">
        <f>IF(INDEX(lmic_raw_lb[],MATCH($A208,lmic_raw_lb[[setting]:[setting]],0), MATCH(AC$139, lmic_raw_lb[#Headers],0))=0, INDEX(regions_lb[], MATCH($D208, regions_lb[[setting]:[setting]],0), MATCH(AC$139, regions_lb[#Headers],0)),INDEX(lmic_raw_lb[],MATCH($A208,lmic_raw_lb[[setting]:[setting]],0), MATCH(AC$139, lmic_raw_lb[#Headers],0)))</f>
        <v>5.1370261999999937E-2</v>
      </c>
      <c r="AD208" s="98">
        <f>IF(INDEX(lmic_raw_lb[],MATCH($A208,lmic_raw_lb[[setting]:[setting]],0), MATCH(AD$139, lmic_raw_lb[#Headers],0))=0, INDEX(regions_lb[], MATCH($D208, regions_lb[[setting]:[setting]],0), MATCH(AD$139, regions_lb[#Headers],0)),INDEX(lmic_raw_lb[],MATCH($A208,lmic_raw_lb[[setting]:[setting]],0), MATCH(AD$139, lmic_raw_lb[#Headers],0)))</f>
        <v>5.030967193798818E-3</v>
      </c>
      <c r="AE208" s="98">
        <f>IF(INDEX(lmic_raw_lb[],MATCH($A208,lmic_raw_lb[[setting]:[setting]],0), MATCH(AE$139, lmic_raw_lb[#Headers],0))=0, INDEX(regions_lb[], MATCH($D208, regions_lb[[setting]:[setting]],0), MATCH(AE$139, regions_lb[#Headers],0)),INDEX(lmic_raw_lb[],MATCH($A208,lmic_raw_lb[[setting]:[setting]],0), MATCH(AE$139, lmic_raw_lb[#Headers],0)))</f>
        <v>1.4482350125820259E-3</v>
      </c>
      <c r="AF208" s="98">
        <f>IF(INDEX(lmic_raw_lb[],MATCH($A208,lmic_raw_lb[[setting]:[setting]],0), MATCH(AF$139, lmic_raw_lb[#Headers],0))=0, INDEX(regions_lb[], MATCH($D208, regions_lb[[setting]:[setting]],0), MATCH(AF$139, regions_lb[#Headers],0)),INDEX(lmic_raw_lb[],MATCH($A208,lmic_raw_lb[[setting]:[setting]],0), MATCH(AF$139, lmic_raw_lb[#Headers],0)))</f>
        <v>1.0289491948835411E-3</v>
      </c>
      <c r="AG208" s="98">
        <f>IF(INDEX(lmic_raw_lb[],MATCH($A208,lmic_raw_lb[[setting]:[setting]],0), MATCH(AG$139, lmic_raw_lb[#Headers],0))=0, INDEX(regions_lb[], MATCH($D208, regions_lb[[setting]:[setting]],0), MATCH(AG$139, regions_lb[#Headers],0)),INDEX(lmic_raw_lb[],MATCH($A208,lmic_raw_lb[[setting]:[setting]],0), MATCH(AG$139, lmic_raw_lb[#Headers],0)))</f>
        <v>1.6172831463998017E-3</v>
      </c>
      <c r="AH208" s="98">
        <f>IF(INDEX(lmic_raw_lb[],MATCH($A208,lmic_raw_lb[[setting]:[setting]],0), MATCH(AH$139, lmic_raw_lb[#Headers],0))=0, INDEX(regions_lb[], MATCH($D208, regions_lb[[setting]:[setting]],0), MATCH(AH$139, regions_lb[#Headers],0)),INDEX(lmic_raw_lb[],MATCH($A208,lmic_raw_lb[[setting]:[setting]],0), MATCH(AH$139, lmic_raw_lb[#Headers],0)))</f>
        <v>2.3798681298810619E-3</v>
      </c>
      <c r="AI208" s="98">
        <f>IF(INDEX(lmic_raw_lb[],MATCH($A208,lmic_raw_lb[[setting]:[setting]],0), MATCH(AI$139, lmic_raw_lb[#Headers],0))=0, INDEX(regions_lb[], MATCH($D208, regions_lb[[setting]:[setting]],0), MATCH(AI$139, regions_lb[#Headers],0)),INDEX(lmic_raw_lb[],MATCH($A208,lmic_raw_lb[[setting]:[setting]],0), MATCH(AI$139, lmic_raw_lb[#Headers],0)))</f>
        <v>2.8924034846330602E-3</v>
      </c>
      <c r="AJ208" s="98">
        <f>IF(INDEX(lmic_raw_lb[],MATCH($A208,lmic_raw_lb[[setting]:[setting]],0), MATCH(AJ$139, lmic_raw_lb[#Headers],0))=0, INDEX(regions_lb[], MATCH($D208, regions_lb[[setting]:[setting]],0), MATCH(AJ$139, regions_lb[#Headers],0)),INDEX(lmic_raw_lb[],MATCH($A208,lmic_raw_lb[[setting]:[setting]],0), MATCH(AJ$139, lmic_raw_lb[#Headers],0)))</f>
        <v>3.4827659108951012E-3</v>
      </c>
      <c r="AK208" s="98">
        <f>IF(INDEX(lmic_raw_lb[],MATCH($A208,lmic_raw_lb[[setting]:[setting]],0), MATCH(AK$139, lmic_raw_lb[#Headers],0))=0, INDEX(regions_lb[], MATCH($D208, regions_lb[[setting]:[setting]],0), MATCH(AK$139, regions_lb[#Headers],0)),INDEX(lmic_raw_lb[],MATCH($A208,lmic_raw_lb[[setting]:[setting]],0), MATCH(AK$139, lmic_raw_lb[#Headers],0)))</f>
        <v>4.3390493914699201E-3</v>
      </c>
      <c r="AL208" s="98">
        <f>IF(INDEX(lmic_raw_lb[],MATCH($A208,lmic_raw_lb[[setting]:[setting]],0), MATCH(AL$139, lmic_raw_lb[#Headers],0))=0, INDEX(regions_lb[], MATCH($D208, regions_lb[[setting]:[setting]],0), MATCH(AL$139, regions_lb[#Headers],0)),INDEX(lmic_raw_lb[],MATCH($A208,lmic_raw_lb[[setting]:[setting]],0), MATCH(AL$139, lmic_raw_lb[#Headers],0)))</f>
        <v>5.4400846282349809E-3</v>
      </c>
      <c r="AM208" s="98">
        <f>IF(INDEX(lmic_raw_lb[],MATCH($A208,lmic_raw_lb[[setting]:[setting]],0), MATCH(AM$139, lmic_raw_lb[#Headers],0))=0, INDEX(regions_lb[], MATCH($D208, regions_lb[[setting]:[setting]],0), MATCH(AM$139, regions_lb[#Headers],0)),INDEX(lmic_raw_lb[],MATCH($A208,lmic_raw_lb[[setting]:[setting]],0), MATCH(AM$139, lmic_raw_lb[#Headers],0)))</f>
        <v>6.7682314171223926E-3</v>
      </c>
      <c r="AN208" s="98">
        <f>IF(INDEX(lmic_raw_lb[],MATCH($A208,lmic_raw_lb[[setting]:[setting]],0), MATCH(AN$139, lmic_raw_lb[#Headers],0))=0, INDEX(regions_lb[], MATCH($D208, regions_lb[[setting]:[setting]],0), MATCH(AN$139, regions_lb[#Headers],0)),INDEX(lmic_raw_lb[],MATCH($A208,lmic_raw_lb[[setting]:[setting]],0), MATCH(AN$139, lmic_raw_lb[#Headers],0)))</f>
        <v>9.3566797810908289E-3</v>
      </c>
      <c r="AO208" s="98">
        <f>IF(INDEX(lmic_raw_lb[],MATCH($A208,lmic_raw_lb[[setting]:[setting]],0), MATCH(AO$139, lmic_raw_lb[#Headers],0))=0, INDEX(regions_lb[], MATCH($D208, regions_lb[[setting]:[setting]],0), MATCH(AO$139, regions_lb[#Headers],0)),INDEX(lmic_raw_lb[],MATCH($A208,lmic_raw_lb[[setting]:[setting]],0), MATCH(AO$139, lmic_raw_lb[#Headers],0)))</f>
        <v>1.2409499545615833E-2</v>
      </c>
      <c r="AP208" s="98">
        <f>IF(INDEX(lmic_raw_lb[],MATCH($A208,lmic_raw_lb[[setting]:[setting]],0), MATCH(AP$139, lmic_raw_lb[#Headers],0))=0, INDEX(regions_lb[], MATCH($D208, regions_lb[[setting]:[setting]],0), MATCH(AP$139, regions_lb[#Headers],0)),INDEX(lmic_raw_lb[],MATCH($A208,lmic_raw_lb[[setting]:[setting]],0), MATCH(AP$139, lmic_raw_lb[#Headers],0)))</f>
        <v>1.842281795731323E-2</v>
      </c>
      <c r="AQ208" s="98">
        <f>IF(INDEX(lmic_raw_lb[],MATCH($A208,lmic_raw_lb[[setting]:[setting]],0), MATCH(AQ$139, lmic_raw_lb[#Headers],0))=0, INDEX(regions_lb[], MATCH($D208, regions_lb[[setting]:[setting]],0), MATCH(AQ$139, regions_lb[#Headers],0)),INDEX(lmic_raw_lb[],MATCH($A208,lmic_raw_lb[[setting]:[setting]],0), MATCH(AQ$139, lmic_raw_lb[#Headers],0)))</f>
        <v>2.8283466633527338E-2</v>
      </c>
      <c r="AR208" s="98">
        <f>IF(INDEX(lmic_raw_lb[],MATCH($A208,lmic_raw_lb[[setting]:[setting]],0), MATCH(AR$139, lmic_raw_lb[#Headers],0))=0, INDEX(regions_lb[], MATCH($D208, regions_lb[[setting]:[setting]],0), MATCH(AR$139, regions_lb[#Headers],0)),INDEX(lmic_raw_lb[],MATCH($A208,lmic_raw_lb[[setting]:[setting]],0), MATCH(AR$139, lmic_raw_lb[#Headers],0)))</f>
        <v>4.3953769461105199E-2</v>
      </c>
      <c r="AS208" s="98">
        <f>IF(INDEX(lmic_raw_lb[],MATCH($A208,lmic_raw_lb[[setting]:[setting]],0), MATCH(AS$139, lmic_raw_lb[#Headers],0))=0, INDEX(regions_lb[], MATCH($D208, regions_lb[[setting]:[setting]],0), MATCH(AS$139, regions_lb[#Headers],0)),INDEX(lmic_raw_lb[],MATCH($A208,lmic_raw_lb[[setting]:[setting]],0), MATCH(AS$139, lmic_raw_lb[#Headers],0)))</f>
        <v>6.7267336478127895E-2</v>
      </c>
      <c r="AT208" s="98">
        <f>IF(INDEX(lmic_raw_lb[],MATCH($A208,lmic_raw_lb[[setting]:[setting]],0), MATCH(AT$139, lmic_raw_lb[#Headers],0))=0, INDEX(regions_lb[], MATCH($D208, regions_lb[[setting]:[setting]],0), MATCH(AT$139, regions_lb[#Headers],0)),INDEX(lmic_raw_lb[],MATCH($A208,lmic_raw_lb[[setting]:[setting]],0), MATCH(AT$139, lmic_raw_lb[#Headers],0)))</f>
        <v>0.1004660498728287</v>
      </c>
      <c r="AU208" s="98">
        <f>IF(INDEX(lmic_raw_lb[],MATCH($A208,lmic_raw_lb[[setting]:[setting]],0), MATCH(AU$139, lmic_raw_lb[#Headers],0))=0, INDEX(regions_lb[], MATCH($D208, regions_lb[[setting]:[setting]],0), MATCH(AU$139, regions_lb[#Headers],0)),INDEX(lmic_raw_lb[],MATCH($A208,lmic_raw_lb[[setting]:[setting]],0), MATCH(AU$139, lmic_raw_lb[#Headers],0)))</f>
        <v>0.13833679232578644</v>
      </c>
      <c r="AV208" s="98">
        <f>IF(INDEX(lmic_raw_lb[],MATCH($A208,lmic_raw_lb[[setting]:[setting]],0), MATCH(AV$139, lmic_raw_lb[#Headers],0))=0, INDEX(regions_lb[], MATCH($D208, regions_lb[[setting]:[setting]],0), MATCH(AV$139, regions_lb[#Headers],0)),INDEX(lmic_raw_lb[],MATCH($A208,lmic_raw_lb[[setting]:[setting]],0), MATCH(AV$139, lmic_raw_lb[#Headers],0)))</f>
        <v>0.16946087051170691</v>
      </c>
      <c r="AW208" s="98">
        <f>IF(INDEX(lmic_raw_lb[],MATCH($A208,lmic_raw_lb[[setting]:[setting]],0), MATCH(AW$139, lmic_raw_lb[#Headers],0))=0, INDEX(regions_lb[], MATCH($D208, regions_lb[[setting]:[setting]],0), MATCH(AW$139, regions_lb[#Headers],0)),INDEX(lmic_raw_lb[],MATCH($A208,lmic_raw_lb[[setting]:[setting]],0), MATCH(AW$139, lmic_raw_lb[#Headers],0)))</f>
        <v>0.17959427908577799</v>
      </c>
      <c r="AX208" s="98">
        <f>IF(INDEX(lmic_raw_lb[],MATCH($A208,lmic_raw_lb[[setting]:[setting]],0), MATCH(AX$139, lmic_raw_lb[#Headers],0))=0, INDEX(regions_lb[], MATCH($D208, regions_lb[[setting]:[setting]],0), MATCH(AX$139, regions_lb[#Headers],0)),INDEX(lmic_raw_lb[],MATCH($A208,lmic_raw_lb[[setting]:[setting]],0), MATCH(AX$139, lmic_raw_lb[#Headers],0)))</f>
        <v>60.416199999999996</v>
      </c>
      <c r="AY208" s="98" t="str">
        <f>IF(VLOOKUP(lmics_lb[[#This Row],[setting]],lmic_raw_lb[],11,FALSE)=0, "Yes", "No")</f>
        <v>Yes</v>
      </c>
    </row>
    <row r="209" spans="1:51" x14ac:dyDescent="0.25">
      <c r="A209" s="110" t="s">
        <v>159</v>
      </c>
      <c r="B209" s="104" t="s">
        <v>459</v>
      </c>
      <c r="C209" s="105">
        <v>434</v>
      </c>
      <c r="D209" s="84" t="s">
        <v>673</v>
      </c>
      <c r="E209" s="122" t="s">
        <v>579</v>
      </c>
      <c r="F209" s="94" t="s">
        <v>579</v>
      </c>
      <c r="G209" s="94" t="s">
        <v>676</v>
      </c>
      <c r="H209" s="94"/>
      <c r="I209" s="94"/>
      <c r="J209" s="94">
        <f>IF(INDEX(lmic_raw_lb[],MATCH($A209,lmic_raw_lb[[setting]:[setting]],0), MATCH(J$139, lmic_raw_lb[#Headers],0))=0, INDEX(regions_lb[], MATCH($D209, regions_lb[[setting]:[setting]],0), MATCH(J$139, regions_lb[#Headers],0)),INDEX(lmic_raw_lb[],MATCH($A209,lmic_raw_lb[[setting]:[setting]],0), MATCH(J$139, lmic_raw_lb[#Headers],0)))</f>
        <v>0.94905000000000006</v>
      </c>
      <c r="K209" s="94">
        <f>IF(INDEX(lmic_raw_lb[],MATCH($A209,lmic_raw_lb[[setting]:[setting]],0), MATCH(K$139, lmic_raw_lb[#Headers],0))=0, INDEX(regions_lb[], MATCH($D209, regions_lb[[setting]:[setting]],0), MATCH(K$139, regions_lb[#Headers],0)),INDEX(lmic_raw_lb[],MATCH($A209,lmic_raw_lb[[setting]:[setting]],0), MATCH(K$139, lmic_raw_lb[#Headers],0)))</f>
        <v>0.67438226776312915</v>
      </c>
      <c r="L209" s="94">
        <f>IF(INDEX(lmic_raw_lb[],MATCH($A209,lmic_raw_lb[[setting]:[setting]],0), MATCH(L$139, lmic_raw_lb[#Headers],0))=0, INDEX(regions_lb[], MATCH($D209, regions_lb[[setting]:[setting]],0), MATCH(L$139, regions_lb[#Headers],0)),INDEX(lmic_raw_lb[],MATCH($A209,lmic_raw_lb[[setting]:[setting]],0), MATCH(L$139, lmic_raw_lb[#Headers],0)))</f>
        <v>0.69350000000000001</v>
      </c>
      <c r="M209" s="94">
        <f>IF(INDEX(lmic_raw_lb[],MATCH($A209,lmic_raw_lb[[setting]:[setting]],0), MATCH(M$139, lmic_raw_lb[#Headers],0))=0, INDEX(regions_lb[], MATCH($D209, regions_lb[[setting]:[setting]],0), MATCH(M$139, regions_lb[#Headers],0)),INDEX(lmic_raw_lb[],MATCH($A209,lmic_raw_lb[[setting]:[setting]],0), MATCH(M$139, lmic_raw_lb[#Headers],0)))</f>
        <v>1.5300000000000001E-2</v>
      </c>
      <c r="N209" s="94">
        <f>IF(INDEX(lmic_raw_lb[],MATCH($A209,lmic_raw_lb[[setting]:[setting]],0), MATCH(N$139, lmic_raw_lb[#Headers],0))=0, INDEX(regions_lb[], MATCH($D209, regions_lb[[setting]:[setting]],0), MATCH(N$139, regions_lb[#Headers],0)),INDEX(lmic_raw_lb[],MATCH($A209,lmic_raw_lb[[setting]:[setting]],0), MATCH(N$139, lmic_raw_lb[#Headers],0)))</f>
        <v>0.14980000000000002</v>
      </c>
      <c r="O209" s="94">
        <f>IF(INDEX(lmic_raw_lb[],MATCH($A209,lmic_raw_lb[[setting]:[setting]],0), MATCH(O$139, lmic_raw_lb[#Headers],0))=0, INDEX(regions_lb[], MATCH($D209, regions_lb[[setting]:[setting]],0), MATCH(O$139, regions_lb[#Headers],0)),INDEX(lmic_raw_lb[],MATCH($A209,lmic_raw_lb[[setting]:[setting]],0), MATCH(O$139, lmic_raw_lb[#Headers],0)))</f>
        <v>0.7</v>
      </c>
      <c r="P209" s="94">
        <f>IF(INDEX(lmic_raw_lb[],MATCH($A209,lmic_raw_lb[[setting]:[setting]],0), MATCH(P$139, lmic_raw_lb[#Headers],0))=0, INDEX(regions_lb[], MATCH($D209, regions_lb[[setting]:[setting]],0), MATCH(P$139, regions_lb[#Headers],0)),INDEX(lmic_raw_lb[],MATCH($A209,lmic_raw_lb[[setting]:[setting]],0), MATCH(P$139, lmic_raw_lb[#Headers],0)))</f>
        <v>0.05</v>
      </c>
      <c r="Q209" s="94">
        <f>IF(INDEX(lmic_raw_lb[],MATCH($A209,lmic_raw_lb[[setting]:[setting]],0), MATCH(Q$139, lmic_raw_lb[#Headers],0))=0, INDEX(regions_lb[], MATCH($D209, regions_lb[[setting]:[setting]],0), MATCH(Q$139, regions_lb[#Headers],0)),INDEX(lmic_raw_lb[],MATCH($A209,lmic_raw_lb[[setting]:[setting]],0), MATCH(Q$139, lmic_raw_lb[#Headers],0)))</f>
        <v>12.323845375797809</v>
      </c>
      <c r="R209" s="94">
        <f>IF(INDEX(lmic_raw_lb[],MATCH($A209,lmic_raw_lb[[setting]:[setting]],0), MATCH(R$139, lmic_raw_lb[#Headers],0))=0, INDEX(regions_lb[], MATCH($D209, regions_lb[[setting]:[setting]],0), MATCH(R$139, regions_lb[#Headers],0)),INDEX(lmic_raw_lb[],MATCH($A209,lmic_raw_lb[[setting]:[setting]],0), MATCH(R$139, lmic_raw_lb[#Headers],0)))</f>
        <v>44.019105000000003</v>
      </c>
      <c r="S209" s="94">
        <f>IF(INDEX(lmic_raw_lb[],MATCH($A209,lmic_raw_lb[[setting]:[setting]],0), MATCH(S$139, lmic_raw_lb[#Headers],0))=0, INDEX(regions_lb[], MATCH($D209, regions_lb[[setting]:[setting]],0), MATCH(S$139, regions_lb[#Headers],0)),INDEX(lmic_raw_lb[],MATCH($A209,lmic_raw_lb[[setting]:[setting]],0), MATCH(S$139, lmic_raw_lb[#Headers],0)))</f>
        <v>89.374005000000011</v>
      </c>
      <c r="T209" s="94">
        <f>IF(INDEX(lmic_raw_lb[],MATCH($A209,lmic_raw_lb[[setting]:[setting]],0), MATCH(T$139, lmic_raw_lb[#Headers],0))=0, INDEX(regions_lb[], MATCH($D209, regions_lb[[setting]:[setting]],0), MATCH(T$139, regions_lb[#Headers],0)),INDEX(lmic_raw_lb[],MATCH($A209,lmic_raw_lb[[setting]:[setting]],0), MATCH(T$139, lmic_raw_lb[#Headers],0)))</f>
        <v>89.374005000000011</v>
      </c>
      <c r="U209" s="94">
        <f>IF(INDEX(lmic_raw_lb[],MATCH($A209,lmic_raw_lb[[setting]:[setting]],0), MATCH(U$139, lmic_raw_lb[#Headers],0))=0, INDEX(regions_lb[], MATCH($D209, regions_lb[[setting]:[setting]],0), MATCH(U$139, regions_lb[#Headers],0)),INDEX(lmic_raw_lb[],MATCH($A209,lmic_raw_lb[[setting]:[setting]],0), MATCH(U$139, lmic_raw_lb[#Headers],0)))</f>
        <v>89.374005000000011</v>
      </c>
      <c r="V209" s="94">
        <f>IF(INDEX(lmic_raw_lb[],MATCH($A209,lmic_raw_lb[[setting]:[setting]],0), MATCH(V$139, lmic_raw_lb[#Headers],0))=0, INDEX(regions_lb[], MATCH($D209, regions_lb[[setting]:[setting]],0), MATCH(V$139, regions_lb[#Headers],0)),INDEX(lmic_raw_lb[],MATCH($A209,lmic_raw_lb[[setting]:[setting]],0), MATCH(V$139, lmic_raw_lb[#Headers],0)))</f>
        <v>2.7853246486619399</v>
      </c>
      <c r="W209" s="94">
        <f>IF(INDEX(lmic_raw_lb[],MATCH($A209,lmic_raw_lb[[setting]:[setting]],0), MATCH(W$139, lmic_raw_lb[#Headers],0))=0, INDEX(regions_lb[], MATCH($D209, regions_lb[[setting]:[setting]],0), MATCH(W$139, regions_lb[#Headers],0)),INDEX(lmic_raw_lb[],MATCH($A209,lmic_raw_lb[[setting]:[setting]],0), MATCH(W$139, lmic_raw_lb[#Headers],0)))</f>
        <v>3.24094464866194</v>
      </c>
      <c r="X209" s="94">
        <f>IF(INDEX(lmic_raw_lb[],MATCH($A209,lmic_raw_lb[[setting]:[setting]],0), MATCH(X$139, lmic_raw_lb[#Headers],0))=0, INDEX(regions_lb[], MATCH($D209, regions_lb[[setting]:[setting]],0), MATCH(X$139, regions_lb[#Headers],0)),INDEX(lmic_raw_lb[],MATCH($A209,lmic_raw_lb[[setting]:[setting]],0), MATCH(X$139, lmic_raw_lb[#Headers],0)))</f>
        <v>2.4136662679616427</v>
      </c>
      <c r="Y209" s="94">
        <f>IF(INDEX(lmic_raw_lb[],MATCH($A209,lmic_raw_lb[[setting]:[setting]],0), MATCH(Y$139, lmic_raw_lb[#Headers],0))=0, INDEX(regions_lb[], MATCH($D209, regions_lb[[setting]:[setting]],0), MATCH(Y$139, regions_lb[#Headers],0)),INDEX(lmic_raw_lb[],MATCH($A209,lmic_raw_lb[[setting]:[setting]],0), MATCH(Y$139, lmic_raw_lb[#Headers],0)))</f>
        <v>2.8692862679616429</v>
      </c>
      <c r="Z209" s="94">
        <f>IF(INDEX(lmic_raw_lb[],MATCH($A209,lmic_raw_lb[[setting]:[setting]],0), MATCH(Z$139, lmic_raw_lb[#Headers],0))=0, INDEX(regions_lb[], MATCH($D209, regions_lb[[setting]:[setting]],0), MATCH(Z$139, regions_lb[#Headers],0)),INDEX(lmic_raw_lb[],MATCH($A209,lmic_raw_lb[[setting]:[setting]],0), MATCH(Z$139, lmic_raw_lb[#Headers],0)))</f>
        <v>2.8632296713321677</v>
      </c>
      <c r="AA209" s="94">
        <f>IF(INDEX(lmic_raw_lb[],MATCH($A209,lmic_raw_lb[[setting]:[setting]],0), MATCH(AA$139, lmic_raw_lb[#Headers],0))=0, INDEX(regions_lb[], MATCH($D209, regions_lb[[setting]:[setting]],0), MATCH(AA$139, regions_lb[#Headers],0)),INDEX(lmic_raw_lb[],MATCH($A209,lmic_raw_lb[[setting]:[setting]],0), MATCH(AA$139, lmic_raw_lb[#Headers],0)))</f>
        <v>2.9992483434834227</v>
      </c>
      <c r="AB209" s="94">
        <f>IF(INDEX(lmic_raw_lb[],MATCH($A209,lmic_raw_lb[[setting]:[setting]],0), MATCH(AB$139, lmic_raw_lb[#Headers],0))=0, INDEX(regions_lb[], MATCH($D209, regions_lb[[setting]:[setting]],0), MATCH(AB$139, regions_lb[#Headers],0)),INDEX(lmic_raw_lb[],MATCH($A209,lmic_raw_lb[[setting]:[setting]],0), MATCH(AB$139, lmic_raw_lb[#Headers],0)))</f>
        <v>3.4548683434834229</v>
      </c>
      <c r="AC209" s="94">
        <f>IF(INDEX(lmic_raw_lb[],MATCH($A209,lmic_raw_lb[[setting]:[setting]],0), MATCH(AC$139, lmic_raw_lb[#Headers],0))=0, INDEX(regions_lb[], MATCH($D209, regions_lb[[setting]:[setting]],0), MATCH(AC$139, regions_lb[#Headers],0)),INDEX(lmic_raw_lb[],MATCH($A209,lmic_raw_lb[[setting]:[setting]],0), MATCH(AC$139, lmic_raw_lb[#Headers],0)))</f>
        <v>1.0004849000000067E-2</v>
      </c>
      <c r="AD209" s="94">
        <f>IF(INDEX(lmic_raw_lb[],MATCH($A209,lmic_raw_lb[[setting]:[setting]],0), MATCH(AD$139, lmic_raw_lb[#Headers],0))=0, INDEX(regions_lb[], MATCH($D209, regions_lb[[setting]:[setting]],0), MATCH(AD$139, regions_lb[#Headers],0)),INDEX(lmic_raw_lb[],MATCH($A209,lmic_raw_lb[[setting]:[setting]],0), MATCH(AD$139, lmic_raw_lb[#Headers],0)))</f>
        <v>5.212444441641328E-4</v>
      </c>
      <c r="AE209" s="94">
        <f>IF(INDEX(lmic_raw_lb[],MATCH($A209,lmic_raw_lb[[setting]:[setting]],0), MATCH(AE$139, lmic_raw_lb[#Headers],0))=0, INDEX(regions_lb[], MATCH($D209, regions_lb[[setting]:[setting]],0), MATCH(AE$139, regions_lb[#Headers],0)),INDEX(lmic_raw_lb[],MATCH($A209,lmic_raw_lb[[setting]:[setting]],0), MATCH(AE$139, lmic_raw_lb[#Headers],0)))</f>
        <v>3.6694379435861898E-4</v>
      </c>
      <c r="AF209" s="94">
        <f>IF(INDEX(lmic_raw_lb[],MATCH($A209,lmic_raw_lb[[setting]:[setting]],0), MATCH(AF$139, lmic_raw_lb[#Headers],0))=0, INDEX(regions_lb[], MATCH($D209, regions_lb[[setting]:[setting]],0), MATCH(AF$139, regions_lb[#Headers],0)),INDEX(lmic_raw_lb[],MATCH($A209,lmic_raw_lb[[setting]:[setting]],0), MATCH(AF$139, lmic_raw_lb[#Headers],0)))</f>
        <v>3.7363887807167568E-4</v>
      </c>
      <c r="AG209" s="94">
        <f>IF(INDEX(lmic_raw_lb[],MATCH($A209,lmic_raw_lb[[setting]:[setting]],0), MATCH(AG$139, lmic_raw_lb[#Headers],0))=0, INDEX(regions_lb[], MATCH($D209, regions_lb[[setting]:[setting]],0), MATCH(AG$139, regions_lb[#Headers],0)),INDEX(lmic_raw_lb[],MATCH($A209,lmic_raw_lb[[setting]:[setting]],0), MATCH(AG$139, lmic_raw_lb[#Headers],0)))</f>
        <v>9.4089420328248086E-4</v>
      </c>
      <c r="AH209" s="94">
        <f>IF(INDEX(lmic_raw_lb[],MATCH($A209,lmic_raw_lb[[setting]:[setting]],0), MATCH(AH$139, lmic_raw_lb[#Headers],0))=0, INDEX(regions_lb[], MATCH($D209, regions_lb[[setting]:[setting]],0), MATCH(AH$139, regions_lb[#Headers],0)),INDEX(lmic_raw_lb[],MATCH($A209,lmic_raw_lb[[setting]:[setting]],0), MATCH(AH$139, lmic_raw_lb[#Headers],0)))</f>
        <v>1.2732191122482193E-3</v>
      </c>
      <c r="AI209" s="94">
        <f>IF(INDEX(lmic_raw_lb[],MATCH($A209,lmic_raw_lb[[setting]:[setting]],0), MATCH(AI$139, lmic_raw_lb[#Headers],0))=0, INDEX(regions_lb[], MATCH($D209, regions_lb[[setting]:[setting]],0), MATCH(AI$139, regions_lb[#Headers],0)),INDEX(lmic_raw_lb[],MATCH($A209,lmic_raw_lb[[setting]:[setting]],0), MATCH(AI$139, lmic_raw_lb[#Headers],0)))</f>
        <v>1.3529884858479106E-3</v>
      </c>
      <c r="AJ209" s="94">
        <f>IF(INDEX(lmic_raw_lb[],MATCH($A209,lmic_raw_lb[[setting]:[setting]],0), MATCH(AJ$139, lmic_raw_lb[#Headers],0))=0, INDEX(regions_lb[], MATCH($D209, regions_lb[[setting]:[setting]],0), MATCH(AJ$139, regions_lb[#Headers],0)),INDEX(lmic_raw_lb[],MATCH($A209,lmic_raw_lb[[setting]:[setting]],0), MATCH(AJ$139, lmic_raw_lb[#Headers],0)))</f>
        <v>1.4910850438849372E-3</v>
      </c>
      <c r="AK209" s="94">
        <f>IF(INDEX(lmic_raw_lb[],MATCH($A209,lmic_raw_lb[[setting]:[setting]],0), MATCH(AK$139, lmic_raw_lb[#Headers],0))=0, INDEX(regions_lb[], MATCH($D209, regions_lb[[setting]:[setting]],0), MATCH(AK$139, regions_lb[#Headers],0)),INDEX(lmic_raw_lb[],MATCH($A209,lmic_raw_lb[[setting]:[setting]],0), MATCH(AK$139, lmic_raw_lb[#Headers],0)))</f>
        <v>1.8718313425406066E-3</v>
      </c>
      <c r="AL209" s="94">
        <f>IF(INDEX(lmic_raw_lb[],MATCH($A209,lmic_raw_lb[[setting]:[setting]],0), MATCH(AL$139, lmic_raw_lb[#Headers],0))=0, INDEX(regions_lb[], MATCH($D209, regions_lb[[setting]:[setting]],0), MATCH(AL$139, regions_lb[#Headers],0)),INDEX(lmic_raw_lb[],MATCH($A209,lmic_raw_lb[[setting]:[setting]],0), MATCH(AL$139, lmic_raw_lb[#Headers],0)))</f>
        <v>2.637260680520827E-3</v>
      </c>
      <c r="AM209" s="94">
        <f>IF(INDEX(lmic_raw_lb[],MATCH($A209,lmic_raw_lb[[setting]:[setting]],0), MATCH(AM$139, lmic_raw_lb[#Headers],0))=0, INDEX(regions_lb[], MATCH($D209, regions_lb[[setting]:[setting]],0), MATCH(AM$139, regions_lb[#Headers],0)),INDEX(lmic_raw_lb[],MATCH($A209,lmic_raw_lb[[setting]:[setting]],0), MATCH(AM$139, lmic_raw_lb[#Headers],0)))</f>
        <v>3.7594967354708428E-3</v>
      </c>
      <c r="AN209" s="94">
        <f>IF(INDEX(lmic_raw_lb[],MATCH($A209,lmic_raw_lb[[setting]:[setting]],0), MATCH(AN$139, lmic_raw_lb[#Headers],0))=0, INDEX(regions_lb[], MATCH($D209, regions_lb[[setting]:[setting]],0), MATCH(AN$139, regions_lb[#Headers],0)),INDEX(lmic_raw_lb[],MATCH($A209,lmic_raw_lb[[setting]:[setting]],0), MATCH(AN$139, lmic_raw_lb[#Headers],0)))</f>
        <v>5.9076461328454229E-3</v>
      </c>
      <c r="AO209" s="94">
        <f>IF(INDEX(lmic_raw_lb[],MATCH($A209,lmic_raw_lb[[setting]:[setting]],0), MATCH(AO$139, lmic_raw_lb[#Headers],0))=0, INDEX(regions_lb[], MATCH($D209, regions_lb[[setting]:[setting]],0), MATCH(AO$139, regions_lb[#Headers],0)),INDEX(lmic_raw_lb[],MATCH($A209,lmic_raw_lb[[setting]:[setting]],0), MATCH(AO$139, lmic_raw_lb[#Headers],0)))</f>
        <v>9.431230676518498E-3</v>
      </c>
      <c r="AP209" s="94">
        <f>IF(INDEX(lmic_raw_lb[],MATCH($A209,lmic_raw_lb[[setting]:[setting]],0), MATCH(AP$139, lmic_raw_lb[#Headers],0))=0, INDEX(regions_lb[], MATCH($D209, regions_lb[[setting]:[setting]],0), MATCH(AP$139, regions_lb[#Headers],0)),INDEX(lmic_raw_lb[],MATCH($A209,lmic_raw_lb[[setting]:[setting]],0), MATCH(AP$139, lmic_raw_lb[#Headers],0)))</f>
        <v>1.486770838024049E-2</v>
      </c>
      <c r="AQ209" s="94">
        <f>IF(INDEX(lmic_raw_lb[],MATCH($A209,lmic_raw_lb[[setting]:[setting]],0), MATCH(AQ$139, lmic_raw_lb[#Headers],0))=0, INDEX(regions_lb[], MATCH($D209, regions_lb[[setting]:[setting]],0), MATCH(AQ$139, regions_lb[#Headers],0)),INDEX(lmic_raw_lb[],MATCH($A209,lmic_raw_lb[[setting]:[setting]],0), MATCH(AQ$139, lmic_raw_lb[#Headers],0)))</f>
        <v>2.3943980951375943E-2</v>
      </c>
      <c r="AR209" s="94">
        <f>IF(INDEX(lmic_raw_lb[],MATCH($A209,lmic_raw_lb[[setting]:[setting]],0), MATCH(AR$139, lmic_raw_lb[#Headers],0))=0, INDEX(regions_lb[], MATCH($D209, regions_lb[[setting]:[setting]],0), MATCH(AR$139, regions_lb[#Headers],0)),INDEX(lmic_raw_lb[],MATCH($A209,lmic_raw_lb[[setting]:[setting]],0), MATCH(AR$139, lmic_raw_lb[#Headers],0)))</f>
        <v>3.6906024800835338E-2</v>
      </c>
      <c r="AS209" s="94">
        <f>IF(INDEX(lmic_raw_lb[],MATCH($A209,lmic_raw_lb[[setting]:[setting]],0), MATCH(AS$139, lmic_raw_lb[#Headers],0))=0, INDEX(regions_lb[], MATCH($D209, regions_lb[[setting]:[setting]],0), MATCH(AS$139, regions_lb[#Headers],0)),INDEX(lmic_raw_lb[],MATCH($A209,lmic_raw_lb[[setting]:[setting]],0), MATCH(AS$139, lmic_raw_lb[#Headers],0)))</f>
        <v>5.7894581415307865E-2</v>
      </c>
      <c r="AT209" s="94">
        <f>IF(INDEX(lmic_raw_lb[],MATCH($A209,lmic_raw_lb[[setting]:[setting]],0), MATCH(AT$139, lmic_raw_lb[#Headers],0))=0, INDEX(regions_lb[], MATCH($D209, regions_lb[[setting]:[setting]],0), MATCH(AT$139, regions_lb[#Headers],0)),INDEX(lmic_raw_lb[],MATCH($A209,lmic_raw_lb[[setting]:[setting]],0), MATCH(AT$139, lmic_raw_lb[#Headers],0)))</f>
        <v>8.7590227523592828E-2</v>
      </c>
      <c r="AU209" s="94">
        <f>IF(INDEX(lmic_raw_lb[],MATCH($A209,lmic_raw_lb[[setting]:[setting]],0), MATCH(AU$139, lmic_raw_lb[#Headers],0))=0, INDEX(regions_lb[], MATCH($D209, regions_lb[[setting]:[setting]],0), MATCH(AU$139, regions_lb[#Headers],0)),INDEX(lmic_raw_lb[],MATCH($A209,lmic_raw_lb[[setting]:[setting]],0), MATCH(AU$139, lmic_raw_lb[#Headers],0)))</f>
        <v>0.12061919792252451</v>
      </c>
      <c r="AV209" s="94">
        <f>IF(INDEX(lmic_raw_lb[],MATCH($A209,lmic_raw_lb[[setting]:[setting]],0), MATCH(AV$139, lmic_raw_lb[#Headers],0))=0, INDEX(regions_lb[], MATCH($D209, regions_lb[[setting]:[setting]],0), MATCH(AV$139, regions_lb[#Headers],0)),INDEX(lmic_raw_lb[],MATCH($A209,lmic_raw_lb[[setting]:[setting]],0), MATCH(AV$139, lmic_raw_lb[#Headers],0)))</f>
        <v>0.14981592306342881</v>
      </c>
      <c r="AW209" s="94">
        <f>IF(INDEX(lmic_raw_lb[],MATCH($A209,lmic_raw_lb[[setting]:[setting]],0), MATCH(AW$139, lmic_raw_lb[#Headers],0))=0, INDEX(regions_lb[], MATCH($D209, regions_lb[[setting]:[setting]],0), MATCH(AW$139, regions_lb[#Headers],0)),INDEX(lmic_raw_lb[],MATCH($A209,lmic_raw_lb[[setting]:[setting]],0), MATCH(AW$139, lmic_raw_lb[#Headers],0)))</f>
        <v>0.16756979371027877</v>
      </c>
      <c r="AX209" s="94">
        <f>IF(INDEX(lmic_raw_lb[],MATCH($A209,lmic_raw_lb[[setting]:[setting]],0), MATCH(AX$139, lmic_raw_lb[#Headers],0))=0, INDEX(regions_lb[], MATCH($D209, regions_lb[[setting]:[setting]],0), MATCH(AX$139, regions_lb[#Headers],0)),INDEX(lmic_raw_lb[],MATCH($A209,lmic_raw_lb[[setting]:[setting]],0), MATCH(AX$139, lmic_raw_lb[#Headers],0)))</f>
        <v>69.065949999999987</v>
      </c>
      <c r="AY209" s="94" t="str">
        <f>IF(VLOOKUP(lmics_lb[[#This Row],[setting]],lmic_raw_lb[],11,FALSE)=0, "Yes", "No")</f>
        <v>Yes</v>
      </c>
    </row>
    <row r="210" spans="1:51" x14ac:dyDescent="0.25">
      <c r="A210" s="109" t="s">
        <v>107</v>
      </c>
      <c r="B210" s="101" t="s">
        <v>461</v>
      </c>
      <c r="C210" s="102">
        <v>450</v>
      </c>
      <c r="D210" s="82" t="s">
        <v>677</v>
      </c>
      <c r="E210" s="121" t="s">
        <v>597</v>
      </c>
      <c r="F210" s="98" t="s">
        <v>667</v>
      </c>
      <c r="G210" s="98" t="s">
        <v>674</v>
      </c>
      <c r="H210" s="98"/>
      <c r="I210" s="98"/>
      <c r="J210" s="98">
        <f>IF(INDEX(lmic_raw_lb[],MATCH($A210,lmic_raw_lb[[setting]:[setting]],0), MATCH(J$139, lmic_raw_lb[#Headers],0))=0, INDEX(regions_lb[], MATCH($D210, regions_lb[[setting]:[setting]],0), MATCH(J$139, regions_lb[#Headers],0)),INDEX(lmic_raw_lb[],MATCH($A210,lmic_raw_lb[[setting]:[setting]],0), MATCH(J$139, lmic_raw_lb[#Headers],0)))</f>
        <v>0.36764999999999998</v>
      </c>
      <c r="K210" s="98">
        <f>IF(INDEX(lmic_raw_lb[],MATCH($A210,lmic_raw_lb[[setting]:[setting]],0), MATCH(K$139, lmic_raw_lb[#Headers],0))=0, INDEX(regions_lb[], MATCH($D210, regions_lb[[setting]:[setting]],0), MATCH(K$139, regions_lb[#Headers],0)),INDEX(lmic_raw_lb[],MATCH($A210,lmic_raw_lb[[setting]:[setting]],0), MATCH(K$139, lmic_raw_lb[#Headers],0)))</f>
        <v>0.65789974195504752</v>
      </c>
      <c r="L210" s="98">
        <f>IF(INDEX(lmic_raw_lb[],MATCH($A210,lmic_raw_lb[[setting]:[setting]],0), MATCH(L$139, lmic_raw_lb[#Headers],0))=0, INDEX(regions_lb[], MATCH($D210, regions_lb[[setting]:[setting]],0), MATCH(L$139, regions_lb[#Headers],0)),INDEX(lmic_raw_lb[],MATCH($A210,lmic_raw_lb[[setting]:[setting]],0), MATCH(L$139, lmic_raw_lb[#Headers],0)))</f>
        <v>0.75049999999999994</v>
      </c>
      <c r="M210" s="98">
        <f>IF(INDEX(lmic_raw_lb[],MATCH($A210,lmic_raw_lb[[setting]:[setting]],0), MATCH(M$139, lmic_raw_lb[#Headers],0))=0, INDEX(regions_lb[], MATCH($D210, regions_lb[[setting]:[setting]],0), MATCH(M$139, regions_lb[#Headers],0)),INDEX(lmic_raw_lb[],MATCH($A210,lmic_raw_lb[[setting]:[setting]],0), MATCH(M$139, lmic_raw_lb[#Headers],0)))</f>
        <v>6.54E-2</v>
      </c>
      <c r="N210" s="98">
        <f>IF(INDEX(lmic_raw_lb[],MATCH($A210,lmic_raw_lb[[setting]:[setting]],0), MATCH(N$139, lmic_raw_lb[#Headers],0))=0, INDEX(regions_lb[], MATCH($D210, regions_lb[[setting]:[setting]],0), MATCH(N$139, regions_lb[#Headers],0)),INDEX(lmic_raw_lb[],MATCH($A210,lmic_raw_lb[[setting]:[setting]],0), MATCH(N$139, lmic_raw_lb[#Headers],0)))</f>
        <v>0.15560000000000002</v>
      </c>
      <c r="O210" s="98">
        <f>IF(INDEX(lmic_raw_lb[],MATCH($A210,lmic_raw_lb[[setting]:[setting]],0), MATCH(O$139, lmic_raw_lb[#Headers],0))=0, INDEX(regions_lb[], MATCH($D210, regions_lb[[setting]:[setting]],0), MATCH(O$139, regions_lb[#Headers],0)),INDEX(lmic_raw_lb[],MATCH($A210,lmic_raw_lb[[setting]:[setting]],0), MATCH(O$139, lmic_raw_lb[#Headers],0)))</f>
        <v>7.0000000000000007E-2</v>
      </c>
      <c r="P210" s="98">
        <f>IF(INDEX(lmic_raw_lb[],MATCH($A210,lmic_raw_lb[[setting]:[setting]],0), MATCH(P$139, lmic_raw_lb[#Headers],0))=0, INDEX(regions_lb[], MATCH($D210, regions_lb[[setting]:[setting]],0), MATCH(P$139, regions_lb[#Headers],0)),INDEX(lmic_raw_lb[],MATCH($A210,lmic_raw_lb[[setting]:[setting]],0), MATCH(P$139, lmic_raw_lb[#Headers],0)))</f>
        <v>1E-3</v>
      </c>
      <c r="Q210" s="98">
        <f>IF(INDEX(lmic_raw_lb[],MATCH($A210,lmic_raw_lb[[setting]:[setting]],0), MATCH(Q$139, lmic_raw_lb[#Headers],0))=0, INDEX(regions_lb[], MATCH($D210, regions_lb[[setting]:[setting]],0), MATCH(Q$139, regions_lb[#Headers],0)),INDEX(lmic_raw_lb[],MATCH($A210,lmic_raw_lb[[setting]:[setting]],0), MATCH(Q$139, lmic_raw_lb[#Headers],0)))</f>
        <v>2.3223902603952329</v>
      </c>
      <c r="R210" s="98">
        <f>IF(INDEX(lmic_raw_lb[],MATCH($A210,lmic_raw_lb[[setting]:[setting]],0), MATCH(R$139, lmic_raw_lb[#Headers],0))=0, INDEX(regions_lb[], MATCH($D210, regions_lb[[setting]:[setting]],0), MATCH(R$139, regions_lb[#Headers],0)),INDEX(lmic_raw_lb[],MATCH($A210,lmic_raw_lb[[setting]:[setting]],0), MATCH(R$139, lmic_raw_lb[#Headers],0)))</f>
        <v>28.424474999999997</v>
      </c>
      <c r="S210" s="98">
        <f>IF(INDEX(lmic_raw_lb[],MATCH($A210,lmic_raw_lb[[setting]:[setting]],0), MATCH(S$139, lmic_raw_lb[#Headers],0))=0, INDEX(regions_lb[], MATCH($D210, regions_lb[[setting]:[setting]],0), MATCH(S$139, regions_lb[#Headers],0)),INDEX(lmic_raw_lb[],MATCH($A210,lmic_raw_lb[[setting]:[setting]],0), MATCH(S$139, lmic_raw_lb[#Headers],0)))</f>
        <v>73.779375000000002</v>
      </c>
      <c r="T210" s="98">
        <f>IF(INDEX(lmic_raw_lb[],MATCH($A210,lmic_raw_lb[[setting]:[setting]],0), MATCH(T$139, lmic_raw_lb[#Headers],0))=0, INDEX(regions_lb[], MATCH($D210, regions_lb[[setting]:[setting]],0), MATCH(T$139, regions_lb[#Headers],0)),INDEX(lmic_raw_lb[],MATCH($A210,lmic_raw_lb[[setting]:[setting]],0), MATCH(T$139, lmic_raw_lb[#Headers],0)))</f>
        <v>73.779375000000002</v>
      </c>
      <c r="U210" s="98">
        <f>IF(INDEX(lmic_raw_lb[],MATCH($A210,lmic_raw_lb[[setting]:[setting]],0), MATCH(U$139, lmic_raw_lb[#Headers],0))=0, INDEX(regions_lb[], MATCH($D210, regions_lb[[setting]:[setting]],0), MATCH(U$139, regions_lb[#Headers],0)),INDEX(lmic_raw_lb[],MATCH($A210,lmic_raw_lb[[setting]:[setting]],0), MATCH(U$139, lmic_raw_lb[#Headers],0)))</f>
        <v>73.779375000000002</v>
      </c>
      <c r="V210" s="98">
        <f>IF(INDEX(lmic_raw_lb[],MATCH($A210,lmic_raw_lb[[setting]:[setting]],0), MATCH(V$139, lmic_raw_lb[#Headers],0))=0, INDEX(regions_lb[], MATCH($D210, regions_lb[[setting]:[setting]],0), MATCH(V$139, regions_lb[#Headers],0)),INDEX(lmic_raw_lb[],MATCH($A210,lmic_raw_lb[[setting]:[setting]],0), MATCH(V$139, lmic_raw_lb[#Headers],0)))</f>
        <v>0.6965476136272154</v>
      </c>
      <c r="W210" s="98">
        <f>IF(INDEX(lmic_raw_lb[],MATCH($A210,lmic_raw_lb[[setting]:[setting]],0), MATCH(W$139, lmic_raw_lb[#Headers],0))=0, INDEX(regions_lb[], MATCH($D210, regions_lb[[setting]:[setting]],0), MATCH(W$139, regions_lb[#Headers],0)),INDEX(lmic_raw_lb[],MATCH($A210,lmic_raw_lb[[setting]:[setting]],0), MATCH(W$139, lmic_raw_lb[#Headers],0)))</f>
        <v>5.2838126136272159</v>
      </c>
      <c r="X210" s="98">
        <f>IF(INDEX(lmic_raw_lb[],MATCH($A210,lmic_raw_lb[[setting]:[setting]],0), MATCH(X$139, lmic_raw_lb[#Headers],0))=0, INDEX(regions_lb[], MATCH($D210, regions_lb[[setting]:[setting]],0), MATCH(X$139, regions_lb[#Headers],0)),INDEX(lmic_raw_lb[],MATCH($A210,lmic_raw_lb[[setting]:[setting]],0), MATCH(X$139, lmic_raw_lb[#Headers],0)))</f>
        <v>0.33249742382356923</v>
      </c>
      <c r="Y210" s="98">
        <f>IF(INDEX(lmic_raw_lb[],MATCH($A210,lmic_raw_lb[[setting]:[setting]],0), MATCH(Y$139, lmic_raw_lb[#Headers],0))=0, INDEX(regions_lb[], MATCH($D210, regions_lb[[setting]:[setting]],0), MATCH(Y$139, regions_lb[#Headers],0)),INDEX(lmic_raw_lb[],MATCH($A210,lmic_raw_lb[[setting]:[setting]],0), MATCH(Y$139, lmic_raw_lb[#Headers],0)))</f>
        <v>4.9197624238235695</v>
      </c>
      <c r="Z210" s="98">
        <f>IF(INDEX(lmic_raw_lb[],MATCH($A210,lmic_raw_lb[[setting]:[setting]],0), MATCH(Z$139, lmic_raw_lb[#Headers],0))=0, INDEX(regions_lb[], MATCH($D210, regions_lb[[setting]:[setting]],0), MATCH(Z$139, regions_lb[#Headers],0)),INDEX(lmic_raw_lb[],MATCH($A210,lmic_raw_lb[[setting]:[setting]],0), MATCH(Z$139, lmic_raw_lb[#Headers],0)))</f>
        <v>4.9183591578229207</v>
      </c>
      <c r="AA210" s="98">
        <f>IF(INDEX(lmic_raw_lb[],MATCH($A210,lmic_raw_lb[[setting]:[setting]],0), MATCH(AA$139, lmic_raw_lb[#Headers],0))=0, INDEX(regions_lb[], MATCH($D210, regions_lb[[setting]:[setting]],0), MATCH(AA$139, regions_lb[#Headers],0)),INDEX(lmic_raw_lb[],MATCH($A210,lmic_raw_lb[[setting]:[setting]],0), MATCH(AA$139, lmic_raw_lb[#Headers],0)))</f>
        <v>0.90721065520727595</v>
      </c>
      <c r="AB210" s="98">
        <f>IF(INDEX(lmic_raw_lb[],MATCH($A210,lmic_raw_lb[[setting]:[setting]],0), MATCH(AB$139, lmic_raw_lb[#Headers],0))=0, INDEX(regions_lb[], MATCH($D210, regions_lb[[setting]:[setting]],0), MATCH(AB$139, regions_lb[#Headers],0)),INDEX(lmic_raw_lb[],MATCH($A210,lmic_raw_lb[[setting]:[setting]],0), MATCH(AB$139, lmic_raw_lb[#Headers],0)))</f>
        <v>5.4944756552072764</v>
      </c>
      <c r="AC210" s="98">
        <f>IF(INDEX(lmic_raw_lb[],MATCH($A210,lmic_raw_lb[[setting]:[setting]],0), MATCH(AC$139, lmic_raw_lb[#Headers],0))=0, INDEX(regions_lb[], MATCH($D210, regions_lb[[setting]:[setting]],0), MATCH(AC$139, regions_lb[#Headers],0)),INDEX(lmic_raw_lb[],MATCH($A210,lmic_raw_lb[[setting]:[setting]],0), MATCH(AC$139, lmic_raw_lb[#Headers],0)))</f>
        <v>2.7590118499999983E-2</v>
      </c>
      <c r="AD210" s="98">
        <f>IF(INDEX(lmic_raw_lb[],MATCH($A210,lmic_raw_lb[[setting]:[setting]],0), MATCH(AD$139, lmic_raw_lb[#Headers],0))=0, INDEX(regions_lb[], MATCH($D210, regions_lb[[setting]:[setting]],0), MATCH(AD$139, regions_lb[#Headers],0)),INDEX(lmic_raw_lb[],MATCH($A210,lmic_raw_lb[[setting]:[setting]],0), MATCH(AD$139, lmic_raw_lb[#Headers],0)))</f>
        <v>3.4617680900787384E-3</v>
      </c>
      <c r="AE210" s="98">
        <f>IF(INDEX(lmic_raw_lb[],MATCH($A210,lmic_raw_lb[[setting]:[setting]],0), MATCH(AE$139, lmic_raw_lb[#Headers],0))=0, INDEX(regions_lb[], MATCH($D210, regions_lb[[setting]:[setting]],0), MATCH(AE$139, regions_lb[#Headers],0)),INDEX(lmic_raw_lb[],MATCH($A210,lmic_raw_lb[[setting]:[setting]],0), MATCH(AE$139, lmic_raw_lb[#Headers],0)))</f>
        <v>1.5992797363710079E-3</v>
      </c>
      <c r="AF210" s="98">
        <f>IF(INDEX(lmic_raw_lb[],MATCH($A210,lmic_raw_lb[[setting]:[setting]],0), MATCH(AF$139, lmic_raw_lb[#Headers],0))=0, INDEX(regions_lb[], MATCH($D210, regions_lb[[setting]:[setting]],0), MATCH(AF$139, regions_lb[#Headers],0)),INDEX(lmic_raw_lb[],MATCH($A210,lmic_raw_lb[[setting]:[setting]],0), MATCH(AF$139, lmic_raw_lb[#Headers],0)))</f>
        <v>1.2573723991004023E-3</v>
      </c>
      <c r="AG210" s="98">
        <f>IF(INDEX(lmic_raw_lb[],MATCH($A210,lmic_raw_lb[[setting]:[setting]],0), MATCH(AG$139, lmic_raw_lb[#Headers],0))=0, INDEX(regions_lb[], MATCH($D210, regions_lb[[setting]:[setting]],0), MATCH(AG$139, regions_lb[#Headers],0)),INDEX(lmic_raw_lb[],MATCH($A210,lmic_raw_lb[[setting]:[setting]],0), MATCH(AG$139, lmic_raw_lb[#Headers],0)))</f>
        <v>1.7485279736519535E-3</v>
      </c>
      <c r="AH210" s="98">
        <f>IF(INDEX(lmic_raw_lb[],MATCH($A210,lmic_raw_lb[[setting]:[setting]],0), MATCH(AH$139, lmic_raw_lb[#Headers],0))=0, INDEX(regions_lb[], MATCH($D210, regions_lb[[setting]:[setting]],0), MATCH(AH$139, regions_lb[#Headers],0)),INDEX(lmic_raw_lb[],MATCH($A210,lmic_raw_lb[[setting]:[setting]],0), MATCH(AH$139, lmic_raw_lb[#Headers],0)))</f>
        <v>2.0232221781811286E-3</v>
      </c>
      <c r="AI210" s="98">
        <f>IF(INDEX(lmic_raw_lb[],MATCH($A210,lmic_raw_lb[[setting]:[setting]],0), MATCH(AI$139, lmic_raw_lb[#Headers],0))=0, INDEX(regions_lb[], MATCH($D210, regions_lb[[setting]:[setting]],0), MATCH(AI$139, regions_lb[#Headers],0)),INDEX(lmic_raw_lb[],MATCH($A210,lmic_raw_lb[[setting]:[setting]],0), MATCH(AI$139, lmic_raw_lb[#Headers],0)))</f>
        <v>2.2417675127433482E-3</v>
      </c>
      <c r="AJ210" s="98">
        <f>IF(INDEX(lmic_raw_lb[],MATCH($A210,lmic_raw_lb[[setting]:[setting]],0), MATCH(AJ$139, lmic_raw_lb[#Headers],0))=0, INDEX(regions_lb[], MATCH($D210, regions_lb[[setting]:[setting]],0), MATCH(AJ$139, regions_lb[#Headers],0)),INDEX(lmic_raw_lb[],MATCH($A210,lmic_raw_lb[[setting]:[setting]],0), MATCH(AJ$139, lmic_raw_lb[#Headers],0)))</f>
        <v>2.8939676803559728E-3</v>
      </c>
      <c r="AK210" s="98">
        <f>IF(INDEX(lmic_raw_lb[],MATCH($A210,lmic_raw_lb[[setting]:[setting]],0), MATCH(AK$139, lmic_raw_lb[#Headers],0))=0, INDEX(regions_lb[], MATCH($D210, regions_lb[[setting]:[setting]],0), MATCH(AK$139, regions_lb[#Headers],0)),INDEX(lmic_raw_lb[],MATCH($A210,lmic_raw_lb[[setting]:[setting]],0), MATCH(AK$139, lmic_raw_lb[#Headers],0)))</f>
        <v>3.7200459373783585E-3</v>
      </c>
      <c r="AL210" s="98">
        <f>IF(INDEX(lmic_raw_lb[],MATCH($A210,lmic_raw_lb[[setting]:[setting]],0), MATCH(AL$139, lmic_raw_lb[#Headers],0))=0, INDEX(regions_lb[], MATCH($D210, regions_lb[[setting]:[setting]],0), MATCH(AL$139, regions_lb[#Headers],0)),INDEX(lmic_raw_lb[],MATCH($A210,lmic_raw_lb[[setting]:[setting]],0), MATCH(AL$139, lmic_raw_lb[#Headers],0)))</f>
        <v>4.8032887001881247E-3</v>
      </c>
      <c r="AM210" s="98">
        <f>IF(INDEX(lmic_raw_lb[],MATCH($A210,lmic_raw_lb[[setting]:[setting]],0), MATCH(AM$139, lmic_raw_lb[#Headers],0))=0, INDEX(regions_lb[], MATCH($D210, regions_lb[[setting]:[setting]],0), MATCH(AM$139, regions_lb[#Headers],0)),INDEX(lmic_raw_lb[],MATCH($A210,lmic_raw_lb[[setting]:[setting]],0), MATCH(AM$139, lmic_raw_lb[#Headers],0)))</f>
        <v>6.3278980997258389E-3</v>
      </c>
      <c r="AN210" s="98">
        <f>IF(INDEX(lmic_raw_lb[],MATCH($A210,lmic_raw_lb[[setting]:[setting]],0), MATCH(AN$139, lmic_raw_lb[#Headers],0))=0, INDEX(regions_lb[], MATCH($D210, regions_lb[[setting]:[setting]],0), MATCH(AN$139, regions_lb[#Headers],0)),INDEX(lmic_raw_lb[],MATCH($A210,lmic_raw_lb[[setting]:[setting]],0), MATCH(AN$139, lmic_raw_lb[#Headers],0)))</f>
        <v>8.4636902708689378E-3</v>
      </c>
      <c r="AO210" s="98">
        <f>IF(INDEX(lmic_raw_lb[],MATCH($A210,lmic_raw_lb[[setting]:[setting]],0), MATCH(AO$139, lmic_raw_lb[#Headers],0))=0, INDEX(regions_lb[], MATCH($D210, regions_lb[[setting]:[setting]],0), MATCH(AO$139, regions_lb[#Headers],0)),INDEX(lmic_raw_lb[],MATCH($A210,lmic_raw_lb[[setting]:[setting]],0), MATCH(AO$139, lmic_raw_lb[#Headers],0)))</f>
        <v>1.1912948115099546E-2</v>
      </c>
      <c r="AP210" s="98">
        <f>IF(INDEX(lmic_raw_lb[],MATCH($A210,lmic_raw_lb[[setting]:[setting]],0), MATCH(AP$139, lmic_raw_lb[#Headers],0))=0, INDEX(regions_lb[], MATCH($D210, regions_lb[[setting]:[setting]],0), MATCH(AP$139, regions_lb[#Headers],0)),INDEX(lmic_raw_lb[],MATCH($A210,lmic_raw_lb[[setting]:[setting]],0), MATCH(AP$139, lmic_raw_lb[#Headers],0)))</f>
        <v>1.8205612353105891E-2</v>
      </c>
      <c r="AQ210" s="98">
        <f>IF(INDEX(lmic_raw_lb[],MATCH($A210,lmic_raw_lb[[setting]:[setting]],0), MATCH(AQ$139, lmic_raw_lb[#Headers],0))=0, INDEX(regions_lb[], MATCH($D210, regions_lb[[setting]:[setting]],0), MATCH(AQ$139, regions_lb[#Headers],0)),INDEX(lmic_raw_lb[],MATCH($A210,lmic_raw_lb[[setting]:[setting]],0), MATCH(AQ$139, lmic_raw_lb[#Headers],0)))</f>
        <v>2.9325298194772514E-2</v>
      </c>
      <c r="AR210" s="98">
        <f>IF(INDEX(lmic_raw_lb[],MATCH($A210,lmic_raw_lb[[setting]:[setting]],0), MATCH(AR$139, lmic_raw_lb[#Headers],0))=0, INDEX(regions_lb[], MATCH($D210, regions_lb[[setting]:[setting]],0), MATCH(AR$139, regions_lb[#Headers],0)),INDEX(lmic_raw_lb[],MATCH($A210,lmic_raw_lb[[setting]:[setting]],0), MATCH(AR$139, lmic_raw_lb[#Headers],0)))</f>
        <v>4.4796108625900229E-2</v>
      </c>
      <c r="AS210" s="98">
        <f>IF(INDEX(lmic_raw_lb[],MATCH($A210,lmic_raw_lb[[setting]:[setting]],0), MATCH(AS$139, lmic_raw_lb[#Headers],0))=0, INDEX(regions_lb[], MATCH($D210, regions_lb[[setting]:[setting]],0), MATCH(AS$139, regions_lb[#Headers],0)),INDEX(lmic_raw_lb[],MATCH($A210,lmic_raw_lb[[setting]:[setting]],0), MATCH(AS$139, lmic_raw_lb[#Headers],0)))</f>
        <v>6.516716339746334E-2</v>
      </c>
      <c r="AT210" s="98">
        <f>IF(INDEX(lmic_raw_lb[],MATCH($A210,lmic_raw_lb[[setting]:[setting]],0), MATCH(AT$139, lmic_raw_lb[#Headers],0))=0, INDEX(regions_lb[], MATCH($D210, regions_lb[[setting]:[setting]],0), MATCH(AT$139, regions_lb[#Headers],0)),INDEX(lmic_raw_lb[],MATCH($A210,lmic_raw_lb[[setting]:[setting]],0), MATCH(AT$139, lmic_raw_lb[#Headers],0)))</f>
        <v>9.0217700418039407E-2</v>
      </c>
      <c r="AU210" s="98">
        <f>IF(INDEX(lmic_raw_lb[],MATCH($A210,lmic_raw_lb[[setting]:[setting]],0), MATCH(AU$139, lmic_raw_lb[#Headers],0))=0, INDEX(regions_lb[], MATCH($D210, regions_lb[[setting]:[setting]],0), MATCH(AU$139, regions_lb[#Headers],0)),INDEX(lmic_raw_lb[],MATCH($A210,lmic_raw_lb[[setting]:[setting]],0), MATCH(AU$139, lmic_raw_lb[#Headers],0)))</f>
        <v>0.11736498573978038</v>
      </c>
      <c r="AV210" s="98">
        <f>IF(INDEX(lmic_raw_lb[],MATCH($A210,lmic_raw_lb[[setting]:[setting]],0), MATCH(AV$139, lmic_raw_lb[#Headers],0))=0, INDEX(regions_lb[], MATCH($D210, regions_lb[[setting]:[setting]],0), MATCH(AV$139, regions_lb[#Headers],0)),INDEX(lmic_raw_lb[],MATCH($A210,lmic_raw_lb[[setting]:[setting]],0), MATCH(AV$139, lmic_raw_lb[#Headers],0)))</f>
        <v>0.14240799063333512</v>
      </c>
      <c r="AW210" s="98">
        <f>IF(INDEX(lmic_raw_lb[],MATCH($A210,lmic_raw_lb[[setting]:[setting]],0), MATCH(AW$139, lmic_raw_lb[#Headers],0))=0, INDEX(regions_lb[], MATCH($D210, regions_lb[[setting]:[setting]],0), MATCH(AW$139, regions_lb[#Headers],0)),INDEX(lmic_raw_lb[],MATCH($A210,lmic_raw_lb[[setting]:[setting]],0), MATCH(AW$139, lmic_raw_lb[#Headers],0)))</f>
        <v>0.16129594414486181</v>
      </c>
      <c r="AX210" s="98">
        <f>IF(INDEX(lmic_raw_lb[],MATCH($A210,lmic_raw_lb[[setting]:[setting]],0), MATCH(AX$139, lmic_raw_lb[#Headers],0))=0, INDEX(regions_lb[], MATCH($D210, regions_lb[[setting]:[setting]],0), MATCH(AX$139, regions_lb[#Headers],0)),INDEX(lmic_raw_lb[],MATCH($A210,lmic_raw_lb[[setting]:[setting]],0), MATCH(AX$139, lmic_raw_lb[#Headers],0)))</f>
        <v>63.162649999999992</v>
      </c>
      <c r="AY210" s="98" t="str">
        <f>IF(VLOOKUP(lmics_lb[[#This Row],[setting]],lmic_raw_lb[],11,FALSE)=0, "Yes", "No")</f>
        <v>Yes</v>
      </c>
    </row>
    <row r="211" spans="1:51" x14ac:dyDescent="0.25">
      <c r="A211" s="110" t="s">
        <v>108</v>
      </c>
      <c r="B211" s="104" t="s">
        <v>462</v>
      </c>
      <c r="C211" s="105">
        <v>454</v>
      </c>
      <c r="D211" s="84" t="s">
        <v>677</v>
      </c>
      <c r="E211" s="122" t="s">
        <v>597</v>
      </c>
      <c r="F211" s="94" t="s">
        <v>667</v>
      </c>
      <c r="G211" s="94" t="s">
        <v>674</v>
      </c>
      <c r="H211" s="94"/>
      <c r="I211" s="94"/>
      <c r="J211" s="94">
        <f>IF(INDEX(lmic_raw_lb[],MATCH($A211,lmic_raw_lb[[setting]:[setting]],0), MATCH(J$139, lmic_raw_lb[#Headers],0))=0, INDEX(regions_lb[], MATCH($D211, regions_lb[[setting]:[setting]],0), MATCH(J$139, regions_lb[#Headers],0)),INDEX(lmic_raw_lb[],MATCH($A211,lmic_raw_lb[[setting]:[setting]],0), MATCH(J$139, lmic_raw_lb[#Headers],0)))</f>
        <v>0.86829999999999996</v>
      </c>
      <c r="K211" s="94">
        <f>IF(INDEX(lmic_raw_lb[],MATCH($A211,lmic_raw_lb[[setting]:[setting]],0), MATCH(K$139, lmic_raw_lb[#Headers],0))=0, INDEX(regions_lb[], MATCH($D211, regions_lb[[setting]:[setting]],0), MATCH(K$139, regions_lb[#Headers],0)),INDEX(lmic_raw_lb[],MATCH($A211,lmic_raw_lb[[setting]:[setting]],0), MATCH(K$139, lmic_raw_lb[#Headers],0)))</f>
        <v>0.65789974195504752</v>
      </c>
      <c r="L211" s="94">
        <f>IF(INDEX(lmic_raw_lb[],MATCH($A211,lmic_raw_lb[[setting]:[setting]],0), MATCH(L$139, lmic_raw_lb[#Headers],0))=0, INDEX(regions_lb[], MATCH($D211, regions_lb[[setting]:[setting]],0), MATCH(L$139, regions_lb[#Headers],0)),INDEX(lmic_raw_lb[],MATCH($A211,lmic_raw_lb[[setting]:[setting]],0), MATCH(L$139, lmic_raw_lb[#Headers],0)))</f>
        <v>0.90249999999999997</v>
      </c>
      <c r="M211" s="94">
        <f>IF(INDEX(lmic_raw_lb[],MATCH($A211,lmic_raw_lb[[setting]:[setting]],0), MATCH(M$139, lmic_raw_lb[#Headers],0))=0, INDEX(regions_lb[], MATCH($D211, regions_lb[[setting]:[setting]],0), MATCH(M$139, regions_lb[#Headers],0)),INDEX(lmic_raw_lb[],MATCH($A211,lmic_raw_lb[[setting]:[setting]],0), MATCH(M$139, lmic_raw_lb[#Headers],0)))</f>
        <v>5.2499999999999998E-2</v>
      </c>
      <c r="N211" s="94">
        <f>IF(INDEX(lmic_raw_lb[],MATCH($A211,lmic_raw_lb[[setting]:[setting]],0), MATCH(N$139, lmic_raw_lb[#Headers],0))=0, INDEX(regions_lb[], MATCH($D211, regions_lb[[setting]:[setting]],0), MATCH(N$139, regions_lb[#Headers],0)),INDEX(lmic_raw_lb[],MATCH($A211,lmic_raw_lb[[setting]:[setting]],0), MATCH(N$139, lmic_raw_lb[#Headers],0)))</f>
        <v>0.15560000000000002</v>
      </c>
      <c r="O211" s="94">
        <f>IF(INDEX(lmic_raw_lb[],MATCH($A211,lmic_raw_lb[[setting]:[setting]],0), MATCH(O$139, lmic_raw_lb[#Headers],0))=0, INDEX(regions_lb[], MATCH($D211, regions_lb[[setting]:[setting]],0), MATCH(O$139, regions_lb[#Headers],0)),INDEX(lmic_raw_lb[],MATCH($A211,lmic_raw_lb[[setting]:[setting]],0), MATCH(O$139, lmic_raw_lb[#Headers],0)))</f>
        <v>7.0000000000000007E-2</v>
      </c>
      <c r="P211" s="94">
        <f>IF(INDEX(lmic_raw_lb[],MATCH($A211,lmic_raw_lb[[setting]:[setting]],0), MATCH(P$139, lmic_raw_lb[#Headers],0))=0, INDEX(regions_lb[], MATCH($D211, regions_lb[[setting]:[setting]],0), MATCH(P$139, regions_lb[#Headers],0)),INDEX(lmic_raw_lb[],MATCH($A211,lmic_raw_lb[[setting]:[setting]],0), MATCH(P$139, lmic_raw_lb[#Headers],0)))</f>
        <v>1E-3</v>
      </c>
      <c r="Q211" s="94">
        <f>IF(INDEX(lmic_raw_lb[],MATCH($A211,lmic_raw_lb[[setting]:[setting]],0), MATCH(Q$139, lmic_raw_lb[#Headers],0))=0, INDEX(regions_lb[], MATCH($D211, regions_lb[[setting]:[setting]],0), MATCH(Q$139, regions_lb[#Headers],0)),INDEX(lmic_raw_lb[],MATCH($A211,lmic_raw_lb[[setting]:[setting]],0), MATCH(Q$139, lmic_raw_lb[#Headers],0)))</f>
        <v>2.6493825922404133</v>
      </c>
      <c r="R211" s="94">
        <f>IF(INDEX(lmic_raw_lb[],MATCH($A211,lmic_raw_lb[[setting]:[setting]],0), MATCH(R$139, lmic_raw_lb[#Headers],0))=0, INDEX(regions_lb[], MATCH($D211, regions_lb[[setting]:[setting]],0), MATCH(R$139, regions_lb[#Headers],0)),INDEX(lmic_raw_lb[],MATCH($A211,lmic_raw_lb[[setting]:[setting]],0), MATCH(R$139, lmic_raw_lb[#Headers],0)))</f>
        <v>28.424474999999997</v>
      </c>
      <c r="S211" s="94">
        <f>IF(INDEX(lmic_raw_lb[],MATCH($A211,lmic_raw_lb[[setting]:[setting]],0), MATCH(S$139, lmic_raw_lb[#Headers],0))=0, INDEX(regions_lb[], MATCH($D211, regions_lb[[setting]:[setting]],0), MATCH(S$139, regions_lb[#Headers],0)),INDEX(lmic_raw_lb[],MATCH($A211,lmic_raw_lb[[setting]:[setting]],0), MATCH(S$139, lmic_raw_lb[#Headers],0)))</f>
        <v>73.779375000000002</v>
      </c>
      <c r="T211" s="94">
        <f>IF(INDEX(lmic_raw_lb[],MATCH($A211,lmic_raw_lb[[setting]:[setting]],0), MATCH(T$139, lmic_raw_lb[#Headers],0))=0, INDEX(regions_lb[], MATCH($D211, regions_lb[[setting]:[setting]],0), MATCH(T$139, regions_lb[#Headers],0)),INDEX(lmic_raw_lb[],MATCH($A211,lmic_raw_lb[[setting]:[setting]],0), MATCH(T$139, lmic_raw_lb[#Headers],0)))</f>
        <v>73.779375000000002</v>
      </c>
      <c r="U211" s="94">
        <f>IF(INDEX(lmic_raw_lb[],MATCH($A211,lmic_raw_lb[[setting]:[setting]],0), MATCH(U$139, lmic_raw_lb[#Headers],0))=0, INDEX(regions_lb[], MATCH($D211, regions_lb[[setting]:[setting]],0), MATCH(U$139, regions_lb[#Headers],0)),INDEX(lmic_raw_lb[],MATCH($A211,lmic_raw_lb[[setting]:[setting]],0), MATCH(U$139, lmic_raw_lb[#Headers],0)))</f>
        <v>73.779375000000002</v>
      </c>
      <c r="V211" s="94">
        <f>IF(INDEX(lmic_raw_lb[],MATCH($A211,lmic_raw_lb[[setting]:[setting]],0), MATCH(V$139, lmic_raw_lb[#Headers],0))=0, INDEX(regions_lb[], MATCH($D211, regions_lb[[setting]:[setting]],0), MATCH(V$139, regions_lb[#Headers],0)),INDEX(lmic_raw_lb[],MATCH($A211,lmic_raw_lb[[setting]:[setting]],0), MATCH(V$139, lmic_raw_lb[#Headers],0)))</f>
        <v>0.90113428081369218</v>
      </c>
      <c r="W211" s="94">
        <f>IF(INDEX(lmic_raw_lb[],MATCH($A211,lmic_raw_lb[[setting]:[setting]],0), MATCH(W$139, lmic_raw_lb[#Headers],0))=0, INDEX(regions_lb[], MATCH($D211, regions_lb[[setting]:[setting]],0), MATCH(W$139, regions_lb[#Headers],0)),INDEX(lmic_raw_lb[],MATCH($A211,lmic_raw_lb[[setting]:[setting]],0), MATCH(W$139, lmic_raw_lb[#Headers],0)))</f>
        <v>5.4883992808136925</v>
      </c>
      <c r="X211" s="94">
        <f>IF(INDEX(lmic_raw_lb[],MATCH($A211,lmic_raw_lb[[setting]:[setting]],0), MATCH(X$139, lmic_raw_lb[#Headers],0))=0, INDEX(regions_lb[], MATCH($D211, regions_lb[[setting]:[setting]],0), MATCH(X$139, regions_lb[#Headers],0)),INDEX(lmic_raw_lb[],MATCH($A211,lmic_raw_lb[[setting]:[setting]],0), MATCH(X$139, lmic_raw_lb[#Headers],0)))</f>
        <v>0.53766605158032021</v>
      </c>
      <c r="Y211" s="94">
        <f>IF(INDEX(lmic_raw_lb[],MATCH($A211,lmic_raw_lb[[setting]:[setting]],0), MATCH(Y$139, lmic_raw_lb[#Headers],0))=0, INDEX(regions_lb[], MATCH($D211, regions_lb[[setting]:[setting]],0), MATCH(Y$139, regions_lb[#Headers],0)),INDEX(lmic_raw_lb[],MATCH($A211,lmic_raw_lb[[setting]:[setting]],0), MATCH(Y$139, lmic_raw_lb[#Headers],0)))</f>
        <v>5.1249310515803206</v>
      </c>
      <c r="Z211" s="94">
        <f>IF(INDEX(lmic_raw_lb[],MATCH($A211,lmic_raw_lb[[setting]:[setting]],0), MATCH(Z$139, lmic_raw_lb[#Headers],0))=0, INDEX(regions_lb[], MATCH($D211, regions_lb[[setting]:[setting]],0), MATCH(Z$139, regions_lb[#Headers],0)),INDEX(lmic_raw_lb[],MATCH($A211,lmic_raw_lb[[setting]:[setting]],0), MATCH(Z$139, lmic_raw_lb[#Headers],0)))</f>
        <v>5.1240399565274446</v>
      </c>
      <c r="AA211" s="94">
        <f>IF(INDEX(lmic_raw_lb[],MATCH($A211,lmic_raw_lb[[setting]:[setting]],0), MATCH(AA$139, lmic_raw_lb[#Headers],0))=0, INDEX(regions_lb[], MATCH($D211, regions_lb[[setting]:[setting]],0), MATCH(AA$139, regions_lb[#Headers],0)),INDEX(lmic_raw_lb[],MATCH($A211,lmic_raw_lb[[setting]:[setting]],0), MATCH(AA$139, lmic_raw_lb[#Headers],0)))</f>
        <v>1.1115479107207777</v>
      </c>
      <c r="AB211" s="94">
        <f>IF(INDEX(lmic_raw_lb[],MATCH($A211,lmic_raw_lb[[setting]:[setting]],0), MATCH(AB$139, lmic_raw_lb[#Headers],0))=0, INDEX(regions_lb[], MATCH($D211, regions_lb[[setting]:[setting]],0), MATCH(AB$139, regions_lb[#Headers],0)),INDEX(lmic_raw_lb[],MATCH($A211,lmic_raw_lb[[setting]:[setting]],0), MATCH(AB$139, lmic_raw_lb[#Headers],0)))</f>
        <v>5.6988129107207781</v>
      </c>
      <c r="AC211" s="94">
        <f>IF(INDEX(lmic_raw_lb[],MATCH($A211,lmic_raw_lb[[setting]:[setting]],0), MATCH(AC$139, lmic_raw_lb[#Headers],0))=0, INDEX(regions_lb[], MATCH($D211, regions_lb[[setting]:[setting]],0), MATCH(AC$139, regions_lb[#Headers],0)),INDEX(lmic_raw_lb[],MATCH($A211,lmic_raw_lb[[setting]:[setting]],0), MATCH(AC$139, lmic_raw_lb[#Headers],0)))</f>
        <v>3.9268696500000054E-2</v>
      </c>
      <c r="AD211" s="94">
        <f>IF(INDEX(lmic_raw_lb[],MATCH($A211,lmic_raw_lb[[setting]:[setting]],0), MATCH(AD$139, lmic_raw_lb[#Headers],0))=0, INDEX(regions_lb[], MATCH($D211, regions_lb[[setting]:[setting]],0), MATCH(AD$139, regions_lb[#Headers],0)),INDEX(lmic_raw_lb[],MATCH($A211,lmic_raw_lb[[setting]:[setting]],0), MATCH(AD$139, lmic_raw_lb[#Headers],0)))</f>
        <v>3.4973670612388034E-3</v>
      </c>
      <c r="AE211" s="94">
        <f>IF(INDEX(lmic_raw_lb[],MATCH($A211,lmic_raw_lb[[setting]:[setting]],0), MATCH(AE$139, lmic_raw_lb[#Headers],0))=0, INDEX(regions_lb[], MATCH($D211, regions_lb[[setting]:[setting]],0), MATCH(AE$139, regions_lb[#Headers],0)),INDEX(lmic_raw_lb[],MATCH($A211,lmic_raw_lb[[setting]:[setting]],0), MATCH(AE$139, lmic_raw_lb[#Headers],0)))</f>
        <v>1.1846171161731017E-3</v>
      </c>
      <c r="AF211" s="94">
        <f>IF(INDEX(lmic_raw_lb[],MATCH($A211,lmic_raw_lb[[setting]:[setting]],0), MATCH(AF$139, lmic_raw_lb[#Headers],0))=0, INDEX(regions_lb[], MATCH($D211, regions_lb[[setting]:[setting]],0), MATCH(AF$139, regions_lb[#Headers],0)),INDEX(lmic_raw_lb[],MATCH($A211,lmic_raw_lb[[setting]:[setting]],0), MATCH(AF$139, lmic_raw_lb[#Headers],0)))</f>
        <v>9.2400528081368186E-4</v>
      </c>
      <c r="AG211" s="94">
        <f>IF(INDEX(lmic_raw_lb[],MATCH($A211,lmic_raw_lb[[setting]:[setting]],0), MATCH(AG$139, lmic_raw_lb[#Headers],0))=0, INDEX(regions_lb[], MATCH($D211, regions_lb[[setting]:[setting]],0), MATCH(AG$139, regions_lb[#Headers],0)),INDEX(lmic_raw_lb[],MATCH($A211,lmic_raw_lb[[setting]:[setting]],0), MATCH(AG$139, lmic_raw_lb[#Headers],0)))</f>
        <v>1.5194186500664185E-3</v>
      </c>
      <c r="AH211" s="94">
        <f>IF(INDEX(lmic_raw_lb[],MATCH($A211,lmic_raw_lb[[setting]:[setting]],0), MATCH(AH$139, lmic_raw_lb[#Headers],0))=0, INDEX(regions_lb[], MATCH($D211, regions_lb[[setting]:[setting]],0), MATCH(AH$139, regions_lb[#Headers],0)),INDEX(lmic_raw_lb[],MATCH($A211,lmic_raw_lb[[setting]:[setting]],0), MATCH(AH$139, lmic_raw_lb[#Headers],0)))</f>
        <v>2.4011463251929384E-3</v>
      </c>
      <c r="AI211" s="94">
        <f>IF(INDEX(lmic_raw_lb[],MATCH($A211,lmic_raw_lb[[setting]:[setting]],0), MATCH(AI$139, lmic_raw_lb[#Headers],0))=0, INDEX(regions_lb[], MATCH($D211, regions_lb[[setting]:[setting]],0), MATCH(AI$139, regions_lb[#Headers],0)),INDEX(lmic_raw_lb[],MATCH($A211,lmic_raw_lb[[setting]:[setting]],0), MATCH(AI$139, lmic_raw_lb[#Headers],0)))</f>
        <v>3.2978673137895645E-3</v>
      </c>
      <c r="AJ211" s="94">
        <f>IF(INDEX(lmic_raw_lb[],MATCH($A211,lmic_raw_lb[[setting]:[setting]],0), MATCH(AJ$139, lmic_raw_lb[#Headers],0))=0, INDEX(regions_lb[], MATCH($D211, regions_lb[[setting]:[setting]],0), MATCH(AJ$139, regions_lb[#Headers],0)),INDEX(lmic_raw_lb[],MATCH($A211,lmic_raw_lb[[setting]:[setting]],0), MATCH(AJ$139, lmic_raw_lb[#Headers],0)))</f>
        <v>4.2998613910693005E-3</v>
      </c>
      <c r="AK211" s="94">
        <f>IF(INDEX(lmic_raw_lb[],MATCH($A211,lmic_raw_lb[[setting]:[setting]],0), MATCH(AK$139, lmic_raw_lb[#Headers],0))=0, INDEX(regions_lb[], MATCH($D211, regions_lb[[setting]:[setting]],0), MATCH(AK$139, regions_lb[#Headers],0)),INDEX(lmic_raw_lb[],MATCH($A211,lmic_raw_lb[[setting]:[setting]],0), MATCH(AK$139, lmic_raw_lb[#Headers],0)))</f>
        <v>5.7363046527028989E-3</v>
      </c>
      <c r="AL211" s="94">
        <f>IF(INDEX(lmic_raw_lb[],MATCH($A211,lmic_raw_lb[[setting]:[setting]],0), MATCH(AL$139, lmic_raw_lb[#Headers],0))=0, INDEX(regions_lb[], MATCH($D211, regions_lb[[setting]:[setting]],0), MATCH(AL$139, regions_lb[#Headers],0)),INDEX(lmic_raw_lb[],MATCH($A211,lmic_raw_lb[[setting]:[setting]],0), MATCH(AL$139, lmic_raw_lb[#Headers],0)))</f>
        <v>7.1231366687273343E-3</v>
      </c>
      <c r="AM211" s="94">
        <f>IF(INDEX(lmic_raw_lb[],MATCH($A211,lmic_raw_lb[[setting]:[setting]],0), MATCH(AM$139, lmic_raw_lb[#Headers],0))=0, INDEX(regions_lb[], MATCH($D211, regions_lb[[setting]:[setting]],0), MATCH(AM$139, regions_lb[#Headers],0)),INDEX(lmic_raw_lb[],MATCH($A211,lmic_raw_lb[[setting]:[setting]],0), MATCH(AM$139, lmic_raw_lb[#Headers],0)))</f>
        <v>8.7728184576895598E-3</v>
      </c>
      <c r="AN211" s="94">
        <f>IF(INDEX(lmic_raw_lb[],MATCH($A211,lmic_raw_lb[[setting]:[setting]],0), MATCH(AN$139, lmic_raw_lb[#Headers],0))=0, INDEX(regions_lb[], MATCH($D211, regions_lb[[setting]:[setting]],0), MATCH(AN$139, regions_lb[#Headers],0)),INDEX(lmic_raw_lb[],MATCH($A211,lmic_raw_lb[[setting]:[setting]],0), MATCH(AN$139, lmic_raw_lb[#Headers],0)))</f>
        <v>1.1495673451895482E-2</v>
      </c>
      <c r="AO211" s="94">
        <f>IF(INDEX(lmic_raw_lb[],MATCH($A211,lmic_raw_lb[[setting]:[setting]],0), MATCH(AO$139, lmic_raw_lb[#Headers],0))=0, INDEX(regions_lb[], MATCH($D211, regions_lb[[setting]:[setting]],0), MATCH(AO$139, regions_lb[#Headers],0)),INDEX(lmic_raw_lb[],MATCH($A211,lmic_raw_lb[[setting]:[setting]],0), MATCH(AO$139, lmic_raw_lb[#Headers],0)))</f>
        <v>1.4687690279240143E-2</v>
      </c>
      <c r="AP211" s="94">
        <f>IF(INDEX(lmic_raw_lb[],MATCH($A211,lmic_raw_lb[[setting]:[setting]],0), MATCH(AP$139, lmic_raw_lb[#Headers],0))=0, INDEX(regions_lb[], MATCH($D211, regions_lb[[setting]:[setting]],0), MATCH(AP$139, regions_lb[#Headers],0)),INDEX(lmic_raw_lb[],MATCH($A211,lmic_raw_lb[[setting]:[setting]],0), MATCH(AP$139, lmic_raw_lb[#Headers],0)))</f>
        <v>2.0709775178139746E-2</v>
      </c>
      <c r="AQ211" s="94">
        <f>IF(INDEX(lmic_raw_lb[],MATCH($A211,lmic_raw_lb[[setting]:[setting]],0), MATCH(AQ$139, lmic_raw_lb[#Headers],0))=0, INDEX(regions_lb[], MATCH($D211, regions_lb[[setting]:[setting]],0), MATCH(AQ$139, regions_lb[#Headers],0)),INDEX(lmic_raw_lb[],MATCH($A211,lmic_raw_lb[[setting]:[setting]],0), MATCH(AQ$139, lmic_raw_lb[#Headers],0)))</f>
        <v>3.0408194965134264E-2</v>
      </c>
      <c r="AR211" s="94">
        <f>IF(INDEX(lmic_raw_lb[],MATCH($A211,lmic_raw_lb[[setting]:[setting]],0), MATCH(AR$139, lmic_raw_lb[#Headers],0))=0, INDEX(regions_lb[], MATCH($D211, regions_lb[[setting]:[setting]],0), MATCH(AR$139, regions_lb[#Headers],0)),INDEX(lmic_raw_lb[],MATCH($A211,lmic_raw_lb[[setting]:[setting]],0), MATCH(AR$139, lmic_raw_lb[#Headers],0)))</f>
        <v>4.5390438167418071E-2</v>
      </c>
      <c r="AS211" s="94">
        <f>IF(INDEX(lmic_raw_lb[],MATCH($A211,lmic_raw_lb[[setting]:[setting]],0), MATCH(AS$139, lmic_raw_lb[#Headers],0))=0, INDEX(regions_lb[], MATCH($D211, regions_lb[[setting]:[setting]],0), MATCH(AS$139, regions_lb[#Headers],0)),INDEX(lmic_raw_lb[],MATCH($A211,lmic_raw_lb[[setting]:[setting]],0), MATCH(AS$139, lmic_raw_lb[#Headers],0)))</f>
        <v>6.7483924337195605E-2</v>
      </c>
      <c r="AT211" s="94">
        <f>IF(INDEX(lmic_raw_lb[],MATCH($A211,lmic_raw_lb[[setting]:[setting]],0), MATCH(AT$139, lmic_raw_lb[#Headers],0))=0, INDEX(regions_lb[], MATCH($D211, regions_lb[[setting]:[setting]],0), MATCH(AT$139, regions_lb[#Headers],0)),INDEX(lmic_raw_lb[],MATCH($A211,lmic_raw_lb[[setting]:[setting]],0), MATCH(AT$139, lmic_raw_lb[#Headers],0)))</f>
        <v>9.9851176084888263E-2</v>
      </c>
      <c r="AU211" s="94">
        <f>IF(INDEX(lmic_raw_lb[],MATCH($A211,lmic_raw_lb[[setting]:[setting]],0), MATCH(AU$139, lmic_raw_lb[#Headers],0))=0, INDEX(regions_lb[], MATCH($D211, regions_lb[[setting]:[setting]],0), MATCH(AU$139, regions_lb[#Headers],0)),INDEX(lmic_raw_lb[],MATCH($A211,lmic_raw_lb[[setting]:[setting]],0), MATCH(AU$139, lmic_raw_lb[#Headers],0)))</f>
        <v>0.13748125082601351</v>
      </c>
      <c r="AV211" s="94">
        <f>IF(INDEX(lmic_raw_lb[],MATCH($A211,lmic_raw_lb[[setting]:[setting]],0), MATCH(AV$139, lmic_raw_lb[#Headers],0))=0, INDEX(regions_lb[], MATCH($D211, regions_lb[[setting]:[setting]],0), MATCH(AV$139, regions_lb[#Headers],0)),INDEX(lmic_raw_lb[],MATCH($A211,lmic_raw_lb[[setting]:[setting]],0), MATCH(AV$139, lmic_raw_lb[#Headers],0)))</f>
        <v>0.16834140552339177</v>
      </c>
      <c r="AW211" s="94">
        <f>IF(INDEX(lmic_raw_lb[],MATCH($A211,lmic_raw_lb[[setting]:[setting]],0), MATCH(AW$139, lmic_raw_lb[#Headers],0))=0, INDEX(regions_lb[], MATCH($D211, regions_lb[[setting]:[setting]],0), MATCH(AW$139, regions_lb[#Headers],0)),INDEX(lmic_raw_lb[],MATCH($A211,lmic_raw_lb[[setting]:[setting]],0), MATCH(AW$139, lmic_raw_lb[#Headers],0)))</f>
        <v>0.17912613461231874</v>
      </c>
      <c r="AX211" s="94">
        <f>IF(INDEX(lmic_raw_lb[],MATCH($A211,lmic_raw_lb[[setting]:[setting]],0), MATCH(AX$139, lmic_raw_lb[#Headers],0))=0, INDEX(regions_lb[], MATCH($D211, regions_lb[[setting]:[setting]],0), MATCH(AX$139, regions_lb[#Headers],0)),INDEX(lmic_raw_lb[],MATCH($A211,lmic_raw_lb[[setting]:[setting]],0), MATCH(AX$139, lmic_raw_lb[#Headers],0)))</f>
        <v>60.260399999999997</v>
      </c>
      <c r="AY211" s="94" t="str">
        <f>IF(VLOOKUP(lmics_lb[[#This Row],[setting]],lmic_raw_lb[],11,FALSE)=0, "Yes", "No")</f>
        <v>Yes</v>
      </c>
    </row>
    <row r="212" spans="1:51" x14ac:dyDescent="0.25">
      <c r="A212" s="109" t="s">
        <v>215</v>
      </c>
      <c r="B212" s="101" t="s">
        <v>463</v>
      </c>
      <c r="C212" s="102">
        <v>458</v>
      </c>
      <c r="D212" s="82" t="s">
        <v>681</v>
      </c>
      <c r="E212" s="121" t="s">
        <v>598</v>
      </c>
      <c r="F212" s="98" t="s">
        <v>666</v>
      </c>
      <c r="G212" s="98" t="s">
        <v>676</v>
      </c>
      <c r="H212" s="98"/>
      <c r="I212" s="98"/>
      <c r="J212" s="98">
        <f>IF(INDEX(lmic_raw_lb[],MATCH($A212,lmic_raw_lb[[setting]:[setting]],0), MATCH(J$139, lmic_raw_lb[#Headers],0))=0, INDEX(regions_lb[], MATCH($D212, regions_lb[[setting]:[setting]],0), MATCH(J$139, regions_lb[#Headers],0)),INDEX(lmic_raw_lb[],MATCH($A212,lmic_raw_lb[[setting]:[setting]],0), MATCH(J$139, lmic_raw_lb[#Headers],0)))</f>
        <v>0.93955000000000011</v>
      </c>
      <c r="K212" s="98">
        <f>IF(INDEX(lmic_raw_lb[],MATCH($A212,lmic_raw_lb[[setting]:[setting]],0), MATCH(K$139, lmic_raw_lb[#Headers],0))=0, INDEX(regions_lb[], MATCH($D212, regions_lb[[setting]:[setting]],0), MATCH(K$139, regions_lb[#Headers],0)),INDEX(lmic_raw_lb[],MATCH($A212,lmic_raw_lb[[setting]:[setting]],0), MATCH(K$139, lmic_raw_lb[#Headers],0)))</f>
        <v>0.9405</v>
      </c>
      <c r="L212" s="98">
        <f>IF(INDEX(lmic_raw_lb[],MATCH($A212,lmic_raw_lb[[setting]:[setting]],0), MATCH(L$139, lmic_raw_lb[#Headers],0))=0, INDEX(regions_lb[], MATCH($D212, regions_lb[[setting]:[setting]],0), MATCH(L$139, regions_lb[#Headers],0)),INDEX(lmic_raw_lb[],MATCH($A212,lmic_raw_lb[[setting]:[setting]],0), MATCH(L$139, lmic_raw_lb[#Headers],0)))</f>
        <v>0.92149999999999999</v>
      </c>
      <c r="M212" s="98">
        <f>IF(INDEX(lmic_raw_lb[],MATCH($A212,lmic_raw_lb[[setting]:[setting]],0), MATCH(M$139, lmic_raw_lb[#Headers],0))=0, INDEX(regions_lb[], MATCH($D212, regions_lb[[setting]:[setting]],0), MATCH(M$139, regions_lb[#Headers],0)),INDEX(lmic_raw_lb[],MATCH($A212,lmic_raw_lb[[setting]:[setting]],0), MATCH(M$139, lmic_raw_lb[#Headers],0)))</f>
        <v>7.9000000000000008E-3</v>
      </c>
      <c r="N212" s="98">
        <f>IF(INDEX(lmic_raw_lb[],MATCH($A212,lmic_raw_lb[[setting]:[setting]],0), MATCH(N$139, lmic_raw_lb[#Headers],0))=0, INDEX(regions_lb[], MATCH($D212, regions_lb[[setting]:[setting]],0), MATCH(N$139, regions_lb[#Headers],0)),INDEX(lmic_raw_lb[],MATCH($A212,lmic_raw_lb[[setting]:[setting]],0), MATCH(N$139, lmic_raw_lb[#Headers],0)))</f>
        <v>0.18100000000000002</v>
      </c>
      <c r="O212" s="98">
        <f>IF(INDEX(lmic_raw_lb[],MATCH($A212,lmic_raw_lb[[setting]:[setting]],0), MATCH(O$139, lmic_raw_lb[#Headers],0))=0, INDEX(regions_lb[], MATCH($D212, regions_lb[[setting]:[setting]],0), MATCH(O$139, regions_lb[#Headers],0)),INDEX(lmic_raw_lb[],MATCH($A212,lmic_raw_lb[[setting]:[setting]],0), MATCH(O$139, lmic_raw_lb[#Headers],0)))</f>
        <v>0.7</v>
      </c>
      <c r="P212" s="98">
        <f>IF(INDEX(lmic_raw_lb[],MATCH($A212,lmic_raw_lb[[setting]:[setting]],0), MATCH(P$139, lmic_raw_lb[#Headers],0))=0, INDEX(regions_lb[], MATCH($D212, regions_lb[[setting]:[setting]],0), MATCH(P$139, regions_lb[#Headers],0)),INDEX(lmic_raw_lb[],MATCH($A212,lmic_raw_lb[[setting]:[setting]],0), MATCH(P$139, lmic_raw_lb[#Headers],0)))</f>
        <v>0.05</v>
      </c>
      <c r="Q212" s="98">
        <f>IF(INDEX(lmic_raw_lb[],MATCH($A212,lmic_raw_lb[[setting]:[setting]],0), MATCH(Q$139, lmic_raw_lb[#Headers],0))=0, INDEX(regions_lb[], MATCH($D212, regions_lb[[setting]:[setting]],0), MATCH(Q$139, regions_lb[#Headers],0)),INDEX(lmic_raw_lb[],MATCH($A212,lmic_raw_lb[[setting]:[setting]],0), MATCH(Q$139, lmic_raw_lb[#Headers],0)))</f>
        <v>11.658585114457617</v>
      </c>
      <c r="R212" s="98">
        <f>IF(INDEX(lmic_raw_lb[],MATCH($A212,lmic_raw_lb[[setting]:[setting]],0), MATCH(R$139, lmic_raw_lb[#Headers],0))=0, INDEX(regions_lb[], MATCH($D212, regions_lb[[setting]:[setting]],0), MATCH(R$139, regions_lb[#Headers],0)),INDEX(lmic_raw_lb[],MATCH($A212,lmic_raw_lb[[setting]:[setting]],0), MATCH(R$139, lmic_raw_lb[#Headers],0)))</f>
        <v>69.430275000000009</v>
      </c>
      <c r="S212" s="98">
        <f>IF(INDEX(lmic_raw_lb[],MATCH($A212,lmic_raw_lb[[setting]:[setting]],0), MATCH(S$139, lmic_raw_lb[#Headers],0))=0, INDEX(regions_lb[], MATCH($D212, regions_lb[[setting]:[setting]],0), MATCH(S$139, regions_lb[#Headers],0)),INDEX(lmic_raw_lb[],MATCH($A212,lmic_raw_lb[[setting]:[setting]],0), MATCH(S$139, lmic_raw_lb[#Headers],0)))</f>
        <v>114.785175</v>
      </c>
      <c r="T212" s="98">
        <f>IF(INDEX(lmic_raw_lb[],MATCH($A212,lmic_raw_lb[[setting]:[setting]],0), MATCH(T$139, lmic_raw_lb[#Headers],0))=0, INDEX(regions_lb[], MATCH($D212, regions_lb[[setting]:[setting]],0), MATCH(T$139, regions_lb[#Headers],0)),INDEX(lmic_raw_lb[],MATCH($A212,lmic_raw_lb[[setting]:[setting]],0), MATCH(T$139, lmic_raw_lb[#Headers],0)))</f>
        <v>114.785175</v>
      </c>
      <c r="U212" s="98">
        <f>IF(INDEX(lmic_raw_lb[],MATCH($A212,lmic_raw_lb[[setting]:[setting]],0), MATCH(U$139, lmic_raw_lb[#Headers],0))=0, INDEX(regions_lb[], MATCH($D212, regions_lb[[setting]:[setting]],0), MATCH(U$139, regions_lb[#Headers],0)),INDEX(lmic_raw_lb[],MATCH($A212,lmic_raw_lb[[setting]:[setting]],0), MATCH(U$139, lmic_raw_lb[#Headers],0)))</f>
        <v>114.785175</v>
      </c>
      <c r="V212" s="98">
        <f>IF(INDEX(lmic_raw_lb[],MATCH($A212,lmic_raw_lb[[setting]:[setting]],0), MATCH(V$139, lmic_raw_lb[#Headers],0))=0, INDEX(regions_lb[], MATCH($D212, regions_lb[[setting]:[setting]],0), MATCH(V$139, regions_lb[#Headers],0)),INDEX(lmic_raw_lb[],MATCH($A212,lmic_raw_lb[[setting]:[setting]],0), MATCH(V$139, lmic_raw_lb[#Headers],0)))</f>
        <v>2.148259052804383</v>
      </c>
      <c r="W212" s="98">
        <f>IF(INDEX(lmic_raw_lb[],MATCH($A212,lmic_raw_lb[[setting]:[setting]],0), MATCH(W$139, lmic_raw_lb[#Headers],0))=0, INDEX(regions_lb[], MATCH($D212, regions_lb[[setting]:[setting]],0), MATCH(W$139, regions_lb[#Headers],0)),INDEX(lmic_raw_lb[],MATCH($A212,lmic_raw_lb[[setting]:[setting]],0), MATCH(W$139, lmic_raw_lb[#Headers],0)))</f>
        <v>2.748849052804383</v>
      </c>
      <c r="X212" s="98">
        <f>IF(INDEX(lmic_raw_lb[],MATCH($A212,lmic_raw_lb[[setting]:[setting]],0), MATCH(X$139, lmic_raw_lb[#Headers],0))=0, INDEX(regions_lb[], MATCH($D212, regions_lb[[setting]:[setting]],0), MATCH(X$139, regions_lb[#Headers],0)),INDEX(lmic_raw_lb[],MATCH($A212,lmic_raw_lb[[setting]:[setting]],0), MATCH(X$139, lmic_raw_lb[#Headers],0)))</f>
        <v>1.7717276821630796</v>
      </c>
      <c r="Y212" s="98">
        <f>IF(INDEX(lmic_raw_lb[],MATCH($A212,lmic_raw_lb[[setting]:[setting]],0), MATCH(Y$139, lmic_raw_lb[#Headers],0))=0, INDEX(regions_lb[], MATCH($D212, regions_lb[[setting]:[setting]],0), MATCH(Y$139, regions_lb[#Headers],0)),INDEX(lmic_raw_lb[],MATCH($A212,lmic_raw_lb[[setting]:[setting]],0), MATCH(Y$139, lmic_raw_lb[#Headers],0)))</f>
        <v>2.3723176821630796</v>
      </c>
      <c r="Z212" s="98">
        <f>IF(INDEX(lmic_raw_lb[],MATCH($A212,lmic_raw_lb[[setting]:[setting]],0), MATCH(Z$139, lmic_raw_lb[#Headers],0))=0, INDEX(regions_lb[], MATCH($D212, regions_lb[[setting]:[setting]],0), MATCH(Z$139, regions_lb[#Headers],0)),INDEX(lmic_raw_lb[],MATCH($A212,lmic_raw_lb[[setting]:[setting]],0), MATCH(Z$139, lmic_raw_lb[#Headers],0)))</f>
        <v>2.363039436010399</v>
      </c>
      <c r="AA212" s="98">
        <f>IF(INDEX(lmic_raw_lb[],MATCH($A212,lmic_raw_lb[[setting]:[setting]],0), MATCH(AA$139, lmic_raw_lb[#Headers],0))=0, INDEX(regions_lb[], MATCH($D212, regions_lb[[setting]:[setting]],0), MATCH(AA$139, regions_lb[#Headers],0)),INDEX(lmic_raw_lb[],MATCH($A212,lmic_raw_lb[[setting]:[setting]],0), MATCH(AA$139, lmic_raw_lb[#Headers],0)))</f>
        <v>2.3642711718862968</v>
      </c>
      <c r="AB212" s="98">
        <f>IF(INDEX(lmic_raw_lb[],MATCH($A212,lmic_raw_lb[[setting]:[setting]],0), MATCH(AB$139, lmic_raw_lb[#Headers],0))=0, INDEX(regions_lb[], MATCH($D212, regions_lb[[setting]:[setting]],0), MATCH(AB$139, regions_lb[#Headers],0)),INDEX(lmic_raw_lb[],MATCH($A212,lmic_raw_lb[[setting]:[setting]],0), MATCH(AB$139, lmic_raw_lb[#Headers],0)))</f>
        <v>2.9648611718862967</v>
      </c>
      <c r="AC212" s="98">
        <f>IF(INDEX(lmic_raw_lb[],MATCH($A212,lmic_raw_lb[[setting]:[setting]],0), MATCH(AC$139, lmic_raw_lb[#Headers],0))=0, INDEX(regions_lb[], MATCH($D212, regions_lb[[setting]:[setting]],0), MATCH(AC$139, regions_lb[#Headers],0)),INDEX(lmic_raw_lb[],MATCH($A212,lmic_raw_lb[[setting]:[setting]],0), MATCH(AC$139, lmic_raw_lb[#Headers],0)))</f>
        <v>5.6030715000000564E-3</v>
      </c>
      <c r="AD212" s="98">
        <f>IF(INDEX(lmic_raw_lb[],MATCH($A212,lmic_raw_lb[[setting]:[setting]],0), MATCH(AD$139, lmic_raw_lb[#Headers],0))=0, INDEX(regions_lb[], MATCH($D212, regions_lb[[setting]:[setting]],0), MATCH(AD$139, regions_lb[#Headers],0)),INDEX(lmic_raw_lb[],MATCH($A212,lmic_raw_lb[[setting]:[setting]],0), MATCH(AD$139, lmic_raw_lb[#Headers],0)))</f>
        <v>2.5564227044179959E-4</v>
      </c>
      <c r="AE212" s="98">
        <f>IF(INDEX(lmic_raw_lb[],MATCH($A212,lmic_raw_lb[[setting]:[setting]],0), MATCH(AE$139, lmic_raw_lb[#Headers],0))=0, INDEX(regions_lb[], MATCH($D212, regions_lb[[setting]:[setting]],0), MATCH(AE$139, regions_lb[#Headers],0)),INDEX(lmic_raw_lb[],MATCH($A212,lmic_raw_lb[[setting]:[setting]],0), MATCH(AE$139, lmic_raw_lb[#Headers],0)))</f>
        <v>1.6530806827277973E-4</v>
      </c>
      <c r="AF212" s="98">
        <f>IF(INDEX(lmic_raw_lb[],MATCH($A212,lmic_raw_lb[[setting]:[setting]],0), MATCH(AF$139, lmic_raw_lb[#Headers],0))=0, INDEX(regions_lb[], MATCH($D212, regions_lb[[setting]:[setting]],0), MATCH(AF$139, regions_lb[#Headers],0)),INDEX(lmic_raw_lb[],MATCH($A212,lmic_raw_lb[[setting]:[setting]],0), MATCH(AF$139, lmic_raw_lb[#Headers],0)))</f>
        <v>2.2946083496484381E-4</v>
      </c>
      <c r="AG212" s="98">
        <f>IF(INDEX(lmic_raw_lb[],MATCH($A212,lmic_raw_lb[[setting]:[setting]],0), MATCH(AG$139, lmic_raw_lb[#Headers],0))=0, INDEX(regions_lb[], MATCH($D212, regions_lb[[setting]:[setting]],0), MATCH(AG$139, regions_lb[#Headers],0)),INDEX(lmic_raw_lb[],MATCH($A212,lmic_raw_lb[[setting]:[setting]],0), MATCH(AG$139, lmic_raw_lb[#Headers],0)))</f>
        <v>5.3639153355413587E-4</v>
      </c>
      <c r="AH212" s="98">
        <f>IF(INDEX(lmic_raw_lb[],MATCH($A212,lmic_raw_lb[[setting]:[setting]],0), MATCH(AH$139, lmic_raw_lb[#Headers],0))=0, INDEX(regions_lb[], MATCH($D212, regions_lb[[setting]:[setting]],0), MATCH(AH$139, regions_lb[#Headers],0)),INDEX(lmic_raw_lb[],MATCH($A212,lmic_raw_lb[[setting]:[setting]],0), MATCH(AH$139, lmic_raw_lb[#Headers],0)))</f>
        <v>5.6242699652660915E-4</v>
      </c>
      <c r="AI212" s="98">
        <f>IF(INDEX(lmic_raw_lb[],MATCH($A212,lmic_raw_lb[[setting]:[setting]],0), MATCH(AI$139, lmic_raw_lb[#Headers],0))=0, INDEX(regions_lb[], MATCH($D212, regions_lb[[setting]:[setting]],0), MATCH(AI$139, regions_lb[#Headers],0)),INDEX(lmic_raw_lb[],MATCH($A212,lmic_raw_lb[[setting]:[setting]],0), MATCH(AI$139, lmic_raw_lb[#Headers],0)))</f>
        <v>5.9130530949175067E-4</v>
      </c>
      <c r="AJ212" s="98">
        <f>IF(INDEX(lmic_raw_lb[],MATCH($A212,lmic_raw_lb[[setting]:[setting]],0), MATCH(AJ$139, lmic_raw_lb[#Headers],0))=0, INDEX(regions_lb[], MATCH($D212, regions_lb[[setting]:[setting]],0), MATCH(AJ$139, regions_lb[#Headers],0)),INDEX(lmic_raw_lb[],MATCH($A212,lmic_raw_lb[[setting]:[setting]],0), MATCH(AJ$139, lmic_raw_lb[#Headers],0)))</f>
        <v>1.022435471937195E-3</v>
      </c>
      <c r="AK212" s="98">
        <f>IF(INDEX(lmic_raw_lb[],MATCH($A212,lmic_raw_lb[[setting]:[setting]],0), MATCH(AK$139, lmic_raw_lb[#Headers],0))=0, INDEX(regions_lb[], MATCH($D212, regions_lb[[setting]:[setting]],0), MATCH(AK$139, regions_lb[#Headers],0)),INDEX(lmic_raw_lb[],MATCH($A212,lmic_raw_lb[[setting]:[setting]],0), MATCH(AK$139, lmic_raw_lb[#Headers],0)))</f>
        <v>1.5222242920445209E-3</v>
      </c>
      <c r="AL212" s="98">
        <f>IF(INDEX(lmic_raw_lb[],MATCH($A212,lmic_raw_lb[[setting]:[setting]],0), MATCH(AL$139, lmic_raw_lb[#Headers],0))=0, INDEX(regions_lb[], MATCH($D212, regions_lb[[setting]:[setting]],0), MATCH(AL$139, regions_lb[#Headers],0)),INDEX(lmic_raw_lb[],MATCH($A212,lmic_raw_lb[[setting]:[setting]],0), MATCH(AL$139, lmic_raw_lb[#Headers],0)))</f>
        <v>2.2612981290101456E-3</v>
      </c>
      <c r="AM212" s="98">
        <f>IF(INDEX(lmic_raw_lb[],MATCH($A212,lmic_raw_lb[[setting]:[setting]],0), MATCH(AM$139, lmic_raw_lb[#Headers],0))=0, INDEX(regions_lb[], MATCH($D212, regions_lb[[setting]:[setting]],0), MATCH(AM$139, regions_lb[#Headers],0)),INDEX(lmic_raw_lb[],MATCH($A212,lmic_raw_lb[[setting]:[setting]],0), MATCH(AM$139, lmic_raw_lb[#Headers],0)))</f>
        <v>3.9489686971579752E-3</v>
      </c>
      <c r="AN212" s="98">
        <f>IF(INDEX(lmic_raw_lb[],MATCH($A212,lmic_raw_lb[[setting]:[setting]],0), MATCH(AN$139, lmic_raw_lb[#Headers],0))=0, INDEX(regions_lb[], MATCH($D212, regions_lb[[setting]:[setting]],0), MATCH(AN$139, regions_lb[#Headers],0)),INDEX(lmic_raw_lb[],MATCH($A212,lmic_raw_lb[[setting]:[setting]],0), MATCH(AN$139, lmic_raw_lb[#Headers],0)))</f>
        <v>5.9861733250361152E-3</v>
      </c>
      <c r="AO212" s="98">
        <f>IF(INDEX(lmic_raw_lb[],MATCH($A212,lmic_raw_lb[[setting]:[setting]],0), MATCH(AO$139, lmic_raw_lb[#Headers],0))=0, INDEX(regions_lb[], MATCH($D212, regions_lb[[setting]:[setting]],0), MATCH(AO$139, regions_lb[#Headers],0)),INDEX(lmic_raw_lb[],MATCH($A212,lmic_raw_lb[[setting]:[setting]],0), MATCH(AO$139, lmic_raw_lb[#Headers],0)))</f>
        <v>8.7120669508740749E-3</v>
      </c>
      <c r="AP212" s="98">
        <f>IF(INDEX(lmic_raw_lb[],MATCH($A212,lmic_raw_lb[[setting]:[setting]],0), MATCH(AP$139, lmic_raw_lb[#Headers],0))=0, INDEX(regions_lb[], MATCH($D212, regions_lb[[setting]:[setting]],0), MATCH(AP$139, regions_lb[#Headers],0)),INDEX(lmic_raw_lb[],MATCH($A212,lmic_raw_lb[[setting]:[setting]],0), MATCH(AP$139, lmic_raw_lb[#Headers],0)))</f>
        <v>1.1995452753091542E-2</v>
      </c>
      <c r="AQ212" s="98">
        <f>IF(INDEX(lmic_raw_lb[],MATCH($A212,lmic_raw_lb[[setting]:[setting]],0), MATCH(AQ$139, lmic_raw_lb[#Headers],0))=0, INDEX(regions_lb[], MATCH($D212, regions_lb[[setting]:[setting]],0), MATCH(AQ$139, regions_lb[#Headers],0)),INDEX(lmic_raw_lb[],MATCH($A212,lmic_raw_lb[[setting]:[setting]],0), MATCH(AQ$139, lmic_raw_lb[#Headers],0)))</f>
        <v>1.9262594686177689E-2</v>
      </c>
      <c r="AR212" s="98">
        <f>IF(INDEX(lmic_raw_lb[],MATCH($A212,lmic_raw_lb[[setting]:[setting]],0), MATCH(AR$139, lmic_raw_lb[#Headers],0))=0, INDEX(regions_lb[], MATCH($D212, regions_lb[[setting]:[setting]],0), MATCH(AR$139, regions_lb[#Headers],0)),INDEX(lmic_raw_lb[],MATCH($A212,lmic_raw_lb[[setting]:[setting]],0), MATCH(AR$139, lmic_raw_lb[#Headers],0)))</f>
        <v>3.2368596829322693E-2</v>
      </c>
      <c r="AS212" s="98">
        <f>IF(INDEX(lmic_raw_lb[],MATCH($A212,lmic_raw_lb[[setting]:[setting]],0), MATCH(AS$139, lmic_raw_lb[#Headers],0))=0, INDEX(regions_lb[], MATCH($D212, regions_lb[[setting]:[setting]],0), MATCH(AS$139, regions_lb[#Headers],0)),INDEX(lmic_raw_lb[],MATCH($A212,lmic_raw_lb[[setting]:[setting]],0), MATCH(AS$139, lmic_raw_lb[#Headers],0)))</f>
        <v>4.5957029309086114E-2</v>
      </c>
      <c r="AT212" s="98">
        <f>IF(INDEX(lmic_raw_lb[],MATCH($A212,lmic_raw_lb[[setting]:[setting]],0), MATCH(AT$139, lmic_raw_lb[#Headers],0))=0, INDEX(regions_lb[], MATCH($D212, regions_lb[[setting]:[setting]],0), MATCH(AT$139, regions_lb[#Headers],0)),INDEX(lmic_raw_lb[],MATCH($A212,lmic_raw_lb[[setting]:[setting]],0), MATCH(AT$139, lmic_raw_lb[#Headers],0)))</f>
        <v>6.6824583168029764E-2</v>
      </c>
      <c r="AU212" s="98">
        <f>IF(INDEX(lmic_raw_lb[],MATCH($A212,lmic_raw_lb[[setting]:[setting]],0), MATCH(AU$139, lmic_raw_lb[#Headers],0))=0, INDEX(regions_lb[], MATCH($D212, regions_lb[[setting]:[setting]],0), MATCH(AU$139, regions_lb[#Headers],0)),INDEX(lmic_raw_lb[],MATCH($A212,lmic_raw_lb[[setting]:[setting]],0), MATCH(AU$139, lmic_raw_lb[#Headers],0)))</f>
        <v>9.1253303884483258E-2</v>
      </c>
      <c r="AV212" s="98">
        <f>IF(INDEX(lmic_raw_lb[],MATCH($A212,lmic_raw_lb[[setting]:[setting]],0), MATCH(AV$139, lmic_raw_lb[#Headers],0))=0, INDEX(regions_lb[], MATCH($D212, regions_lb[[setting]:[setting]],0), MATCH(AV$139, regions_lb[#Headers],0)),INDEX(lmic_raw_lb[],MATCH($A212,lmic_raw_lb[[setting]:[setting]],0), MATCH(AV$139, lmic_raw_lb[#Headers],0)))</f>
        <v>0.11535209519162341</v>
      </c>
      <c r="AW212" s="98">
        <f>IF(INDEX(lmic_raw_lb[],MATCH($A212,lmic_raw_lb[[setting]:[setting]],0), MATCH(AW$139, lmic_raw_lb[#Headers],0))=0, INDEX(regions_lb[], MATCH($D212, regions_lb[[setting]:[setting]],0), MATCH(AW$139, regions_lb[#Headers],0)),INDEX(lmic_raw_lb[],MATCH($A212,lmic_raw_lb[[setting]:[setting]],0), MATCH(AW$139, lmic_raw_lb[#Headers],0)))</f>
        <v>0.13412686171627208</v>
      </c>
      <c r="AX212" s="98">
        <f>IF(INDEX(lmic_raw_lb[],MATCH($A212,lmic_raw_lb[[setting]:[setting]],0), MATCH(AX$139, lmic_raw_lb[#Headers],0))=0, INDEX(regions_lb[], MATCH($D212, regions_lb[[setting]:[setting]],0), MATCH(AX$139, regions_lb[#Headers],0)),INDEX(lmic_raw_lb[],MATCH($A212,lmic_raw_lb[[setting]:[setting]],0), MATCH(AX$139, lmic_raw_lb[#Headers],0)))</f>
        <v>72.130650000000003</v>
      </c>
      <c r="AY212" s="98" t="str">
        <f>IF(VLOOKUP(lmics_lb[[#This Row],[setting]],lmic_raw_lb[],11,FALSE)=0, "Yes", "No")</f>
        <v>No</v>
      </c>
    </row>
    <row r="213" spans="1:51" x14ac:dyDescent="0.25">
      <c r="A213" s="110" t="s">
        <v>196</v>
      </c>
      <c r="B213" s="104" t="s">
        <v>464</v>
      </c>
      <c r="C213" s="105">
        <v>462</v>
      </c>
      <c r="D213" s="84" t="s">
        <v>680</v>
      </c>
      <c r="E213" s="122" t="s">
        <v>598</v>
      </c>
      <c r="F213" s="94" t="s">
        <v>666</v>
      </c>
      <c r="G213" s="94" t="s">
        <v>676</v>
      </c>
      <c r="H213" s="94"/>
      <c r="I213" s="94"/>
      <c r="J213" s="94">
        <f>IF(INDEX(lmic_raw_lb[],MATCH($A213,lmic_raw_lb[[setting]:[setting]],0), MATCH(J$139, lmic_raw_lb[#Headers],0))=0, INDEX(regions_lb[], MATCH($D213, regions_lb[[setting]:[setting]],0), MATCH(J$139, regions_lb[#Headers],0)),INDEX(lmic_raw_lb[],MATCH($A213,lmic_raw_lb[[setting]:[setting]],0), MATCH(J$139, lmic_raw_lb[#Headers],0)))</f>
        <v>0.89774999999999994</v>
      </c>
      <c r="K213" s="94">
        <f>IF(INDEX(lmic_raw_lb[],MATCH($A213,lmic_raw_lb[[setting]:[setting]],0), MATCH(K$139, lmic_raw_lb[#Headers],0))=0, INDEX(regions_lb[], MATCH($D213, regions_lb[[setting]:[setting]],0), MATCH(K$139, regions_lb[#Headers],0)),INDEX(lmic_raw_lb[],MATCH($A213,lmic_raw_lb[[setting]:[setting]],0), MATCH(K$139, lmic_raw_lb[#Headers],0)))</f>
        <v>0.9405</v>
      </c>
      <c r="L213" s="94">
        <f>IF(INDEX(lmic_raw_lb[],MATCH($A213,lmic_raw_lb[[setting]:[setting]],0), MATCH(L$139, lmic_raw_lb[#Headers],0))=0, INDEX(regions_lb[], MATCH($D213, regions_lb[[setting]:[setting]],0), MATCH(L$139, regions_lb[#Headers],0)),INDEX(lmic_raw_lb[],MATCH($A213,lmic_raw_lb[[setting]:[setting]],0), MATCH(L$139, lmic_raw_lb[#Headers],0)))</f>
        <v>0.9405</v>
      </c>
      <c r="M213" s="94">
        <f>IF(INDEX(lmic_raw_lb[],MATCH($A213,lmic_raw_lb[[setting]:[setting]],0), MATCH(M$139, lmic_raw_lb[#Headers],0))=0, INDEX(regions_lb[], MATCH($D213, regions_lb[[setting]:[setting]],0), MATCH(M$139, regions_lb[#Headers],0)),INDEX(lmic_raw_lb[],MATCH($A213,lmic_raw_lb[[setting]:[setting]],0), MATCH(M$139, lmic_raw_lb[#Headers],0)))</f>
        <v>1.1999999999999999E-3</v>
      </c>
      <c r="N213" s="94">
        <f>IF(INDEX(lmic_raw_lb[],MATCH($A213,lmic_raw_lb[[setting]:[setting]],0), MATCH(N$139, lmic_raw_lb[#Headers],0))=0, INDEX(regions_lb[], MATCH($D213, regions_lb[[setting]:[setting]],0), MATCH(N$139, regions_lb[#Headers],0)),INDEX(lmic_raw_lb[],MATCH($A213,lmic_raw_lb[[setting]:[setting]],0), MATCH(N$139, lmic_raw_lb[#Headers],0)))</f>
        <v>0.18100000000000002</v>
      </c>
      <c r="O213" s="94">
        <f>IF(INDEX(lmic_raw_lb[],MATCH($A213,lmic_raw_lb[[setting]:[setting]],0), MATCH(O$139, lmic_raw_lb[#Headers],0))=0, INDEX(regions_lb[], MATCH($D213, regions_lb[[setting]:[setting]],0), MATCH(O$139, regions_lb[#Headers],0)),INDEX(lmic_raw_lb[],MATCH($A213,lmic_raw_lb[[setting]:[setting]],0), MATCH(O$139, lmic_raw_lb[#Headers],0)))</f>
        <v>0.7</v>
      </c>
      <c r="P213" s="94">
        <f>IF(INDEX(lmic_raw_lb[],MATCH($A213,lmic_raw_lb[[setting]:[setting]],0), MATCH(P$139, lmic_raw_lb[#Headers],0))=0, INDEX(regions_lb[], MATCH($D213, regions_lb[[setting]:[setting]],0), MATCH(P$139, regions_lb[#Headers],0)),INDEX(lmic_raw_lb[],MATCH($A213,lmic_raw_lb[[setting]:[setting]],0), MATCH(P$139, lmic_raw_lb[#Headers],0)))</f>
        <v>0.05</v>
      </c>
      <c r="Q213" s="94">
        <f>IF(INDEX(lmic_raw_lb[],MATCH($A213,lmic_raw_lb[[setting]:[setting]],0), MATCH(Q$139, lmic_raw_lb[#Headers],0))=0, INDEX(regions_lb[], MATCH($D213, regions_lb[[setting]:[setting]],0), MATCH(Q$139, regions_lb[#Headers],0)),INDEX(lmic_raw_lb[],MATCH($A213,lmic_raw_lb[[setting]:[setting]],0), MATCH(Q$139, lmic_raw_lb[#Headers],0)))</f>
        <v>3.8631075850141383</v>
      </c>
      <c r="R213" s="94">
        <f>IF(INDEX(lmic_raw_lb[],MATCH($A213,lmic_raw_lb[[setting]:[setting]],0), MATCH(R$139, lmic_raw_lb[#Headers],0))=0, INDEX(regions_lb[], MATCH($D213, regions_lb[[setting]:[setting]],0), MATCH(R$139, regions_lb[#Headers],0)),INDEX(lmic_raw_lb[],MATCH($A213,lmic_raw_lb[[setting]:[setting]],0), MATCH(R$139, lmic_raw_lb[#Headers],0)))</f>
        <v>69.430275000000009</v>
      </c>
      <c r="S213" s="94">
        <f>IF(INDEX(lmic_raw_lb[],MATCH($A213,lmic_raw_lb[[setting]:[setting]],0), MATCH(S$139, lmic_raw_lb[#Headers],0))=0, INDEX(regions_lb[], MATCH($D213, regions_lb[[setting]:[setting]],0), MATCH(S$139, regions_lb[#Headers],0)),INDEX(lmic_raw_lb[],MATCH($A213,lmic_raw_lb[[setting]:[setting]],0), MATCH(S$139, lmic_raw_lb[#Headers],0)))</f>
        <v>114.785175</v>
      </c>
      <c r="T213" s="94">
        <f>IF(INDEX(lmic_raw_lb[],MATCH($A213,lmic_raw_lb[[setting]:[setting]],0), MATCH(T$139, lmic_raw_lb[#Headers],0))=0, INDEX(regions_lb[], MATCH($D213, regions_lb[[setting]:[setting]],0), MATCH(T$139, regions_lb[#Headers],0)),INDEX(lmic_raw_lb[],MATCH($A213,lmic_raw_lb[[setting]:[setting]],0), MATCH(T$139, lmic_raw_lb[#Headers],0)))</f>
        <v>114.785175</v>
      </c>
      <c r="U213" s="94">
        <f>IF(INDEX(lmic_raw_lb[],MATCH($A213,lmic_raw_lb[[setting]:[setting]],0), MATCH(U$139, lmic_raw_lb[#Headers],0))=0, INDEX(regions_lb[], MATCH($D213, regions_lb[[setting]:[setting]],0), MATCH(U$139, regions_lb[#Headers],0)),INDEX(lmic_raw_lb[],MATCH($A213,lmic_raw_lb[[setting]:[setting]],0), MATCH(U$139, lmic_raw_lb[#Headers],0)))</f>
        <v>114.785175</v>
      </c>
      <c r="V213" s="94">
        <f>IF(INDEX(lmic_raw_lb[],MATCH($A213,lmic_raw_lb[[setting]:[setting]],0), MATCH(V$139, lmic_raw_lb[#Headers],0))=0, INDEX(regions_lb[], MATCH($D213, regions_lb[[setting]:[setting]],0), MATCH(V$139, regions_lb[#Headers],0)),INDEX(lmic_raw_lb[],MATCH($A213,lmic_raw_lb[[setting]:[setting]],0), MATCH(V$139, lmic_raw_lb[#Headers],0)))</f>
        <v>5.2674814750491734</v>
      </c>
      <c r="W213" s="94">
        <f>IF(INDEX(lmic_raw_lb[],MATCH($A213,lmic_raw_lb[[setting]:[setting]],0), MATCH(W$139, lmic_raw_lb[#Headers],0))=0, INDEX(regions_lb[], MATCH($D213, regions_lb[[setting]:[setting]],0), MATCH(W$139, regions_lb[#Headers],0)),INDEX(lmic_raw_lb[],MATCH($A213,lmic_raw_lb[[setting]:[setting]],0), MATCH(W$139, lmic_raw_lb[#Headers],0)))</f>
        <v>5.8680714750491738</v>
      </c>
      <c r="X213" s="94">
        <f>IF(INDEX(lmic_raw_lb[],MATCH($A213,lmic_raw_lb[[setting]:[setting]],0), MATCH(X$139, lmic_raw_lb[#Headers],0))=0, INDEX(regions_lb[], MATCH($D213, regions_lb[[setting]:[setting]],0), MATCH(X$139, regions_lb[#Headers],0)),INDEX(lmic_raw_lb[],MATCH($A213,lmic_raw_lb[[setting]:[setting]],0), MATCH(X$139, lmic_raw_lb[#Headers],0)))</f>
        <v>4.8916408717188391</v>
      </c>
      <c r="Y213" s="94">
        <f>IF(INDEX(lmic_raw_lb[],MATCH($A213,lmic_raw_lb[[setting]:[setting]],0), MATCH(Y$139, lmic_raw_lb[#Headers],0))=0, INDEX(regions_lb[], MATCH($D213, regions_lb[[setting]:[setting]],0), MATCH(Y$139, regions_lb[#Headers],0)),INDEX(lmic_raw_lb[],MATCH($A213,lmic_raw_lb[[setting]:[setting]],0), MATCH(Y$139, lmic_raw_lb[#Headers],0)))</f>
        <v>5.4922308717188386</v>
      </c>
      <c r="Z213" s="94">
        <f>IF(INDEX(lmic_raw_lb[],MATCH($A213,lmic_raw_lb[[setting]:[setting]],0), MATCH(Z$139, lmic_raw_lb[#Headers],0))=0, INDEX(regions_lb[], MATCH($D213, regions_lb[[setting]:[setting]],0), MATCH(Z$139, regions_lb[#Headers],0)),INDEX(lmic_raw_lb[],MATCH($A213,lmic_raw_lb[[setting]:[setting]],0), MATCH(Z$139, lmic_raw_lb[#Headers],0)))</f>
        <v>5.4831493112831104</v>
      </c>
      <c r="AA213" s="94">
        <f>IF(INDEX(lmic_raw_lb[],MATCH($A213,lmic_raw_lb[[setting]:[setting]],0), MATCH(AA$139, lmic_raw_lb[#Headers],0))=0, INDEX(regions_lb[], MATCH($D213, regions_lb[[setting]:[setting]],0), MATCH(AA$139, regions_lb[#Headers],0)),INDEX(lmic_raw_lb[],MATCH($A213,lmic_raw_lb[[setting]:[setting]],0), MATCH(AA$139, lmic_raw_lb[#Headers],0)))</f>
        <v>5.483197550997815</v>
      </c>
      <c r="AB213" s="94">
        <f>IF(INDEX(lmic_raw_lb[],MATCH($A213,lmic_raw_lb[[setting]:[setting]],0), MATCH(AB$139, lmic_raw_lb[#Headers],0))=0, INDEX(regions_lb[], MATCH($D213, regions_lb[[setting]:[setting]],0), MATCH(AB$139, regions_lb[#Headers],0)),INDEX(lmic_raw_lb[],MATCH($A213,lmic_raw_lb[[setting]:[setting]],0), MATCH(AB$139, lmic_raw_lb[#Headers],0)))</f>
        <v>6.0837875509978154</v>
      </c>
      <c r="AC213" s="94">
        <f>IF(INDEX(lmic_raw_lb[],MATCH($A213,lmic_raw_lb[[setting]:[setting]],0), MATCH(AC$139, lmic_raw_lb[#Headers],0))=0, INDEX(regions_lb[], MATCH($D213, regions_lb[[setting]:[setting]],0), MATCH(AC$139, regions_lb[#Headers],0)),INDEX(lmic_raw_lb[],MATCH($A213,lmic_raw_lb[[setting]:[setting]],0), MATCH(AC$139, lmic_raw_lb[#Headers],0)))</f>
        <v>6.4266739999999838E-3</v>
      </c>
      <c r="AD213" s="94">
        <f>IF(INDEX(lmic_raw_lb[],MATCH($A213,lmic_raw_lb[[setting]:[setting]],0), MATCH(AD$139, lmic_raw_lb[#Headers],0))=0, INDEX(regions_lb[], MATCH($D213, regions_lb[[setting]:[setting]],0), MATCH(AD$139, regions_lb[#Headers],0)),INDEX(lmic_raw_lb[],MATCH($A213,lmic_raw_lb[[setting]:[setting]],0), MATCH(AD$139, lmic_raw_lb[#Headers],0)))</f>
        <v>2.7666864122438673E-4</v>
      </c>
      <c r="AE213" s="94">
        <f>IF(INDEX(lmic_raw_lb[],MATCH($A213,lmic_raw_lb[[setting]:[setting]],0), MATCH(AE$139, lmic_raw_lb[#Headers],0))=0, INDEX(regions_lb[], MATCH($D213, regions_lb[[setting]:[setting]],0), MATCH(AE$139, regions_lb[#Headers],0)),INDEX(lmic_raw_lb[],MATCH($A213,lmic_raw_lb[[setting]:[setting]],0), MATCH(AE$139, lmic_raw_lb[#Headers],0)))</f>
        <v>2.3997487133171509E-4</v>
      </c>
      <c r="AF213" s="94">
        <f>IF(INDEX(lmic_raw_lb[],MATCH($A213,lmic_raw_lb[[setting]:[setting]],0), MATCH(AF$139, lmic_raw_lb[#Headers],0))=0, INDEX(regions_lb[], MATCH($D213, regions_lb[[setting]:[setting]],0), MATCH(AF$139, regions_lb[#Headers],0)),INDEX(lmic_raw_lb[],MATCH($A213,lmic_raw_lb[[setting]:[setting]],0), MATCH(AF$139, lmic_raw_lb[#Headers],0)))</f>
        <v>3.222152181824975E-4</v>
      </c>
      <c r="AG213" s="94">
        <f>IF(INDEX(lmic_raw_lb[],MATCH($A213,lmic_raw_lb[[setting]:[setting]],0), MATCH(AG$139, lmic_raw_lb[#Headers],0))=0, INDEX(regions_lb[], MATCH($D213, regions_lb[[setting]:[setting]],0), MATCH(AG$139, regions_lb[#Headers],0)),INDEX(lmic_raw_lb[],MATCH($A213,lmic_raw_lb[[setting]:[setting]],0), MATCH(AG$139, lmic_raw_lb[#Headers],0)))</f>
        <v>3.2903608209157914E-4</v>
      </c>
      <c r="AH213" s="94">
        <f>IF(INDEX(lmic_raw_lb[],MATCH($A213,lmic_raw_lb[[setting]:[setting]],0), MATCH(AH$139, lmic_raw_lb[#Headers],0))=0, INDEX(regions_lb[], MATCH($D213, regions_lb[[setting]:[setting]],0), MATCH(AH$139, regions_lb[#Headers],0)),INDEX(lmic_raw_lb[],MATCH($A213,lmic_raw_lb[[setting]:[setting]],0), MATCH(AH$139, lmic_raw_lb[#Headers],0)))</f>
        <v>4.8147307883782337E-4</v>
      </c>
      <c r="AI213" s="94">
        <f>IF(INDEX(lmic_raw_lb[],MATCH($A213,lmic_raw_lb[[setting]:[setting]],0), MATCH(AI$139, lmic_raw_lb[#Headers],0))=0, INDEX(regions_lb[], MATCH($D213, regions_lb[[setting]:[setting]],0), MATCH(AI$139, regions_lb[#Headers],0)),INDEX(lmic_raw_lb[],MATCH($A213,lmic_raw_lb[[setting]:[setting]],0), MATCH(AI$139, lmic_raw_lb[#Headers],0)))</f>
        <v>4.4706823286200405E-4</v>
      </c>
      <c r="AJ213" s="94">
        <f>IF(INDEX(lmic_raw_lb[],MATCH($A213,lmic_raw_lb[[setting]:[setting]],0), MATCH(AJ$139, lmic_raw_lb[#Headers],0))=0, INDEX(regions_lb[], MATCH($D213, regions_lb[[setting]:[setting]],0), MATCH(AJ$139, regions_lb[#Headers],0)),INDEX(lmic_raw_lb[],MATCH($A213,lmic_raw_lb[[setting]:[setting]],0), MATCH(AJ$139, lmic_raw_lb[#Headers],0)))</f>
        <v>4.9983351007145598E-4</v>
      </c>
      <c r="AK213" s="94">
        <f>IF(INDEX(lmic_raw_lb[],MATCH($A213,lmic_raw_lb[[setting]:[setting]],0), MATCH(AK$139, lmic_raw_lb[#Headers],0))=0, INDEX(regions_lb[], MATCH($D213, regions_lb[[setting]:[setting]],0), MATCH(AK$139, regions_lb[#Headers],0)),INDEX(lmic_raw_lb[],MATCH($A213,lmic_raw_lb[[setting]:[setting]],0), MATCH(AK$139, lmic_raw_lb[#Headers],0)))</f>
        <v>5.5668658445061315E-4</v>
      </c>
      <c r="AL213" s="94">
        <f>IF(INDEX(lmic_raw_lb[],MATCH($A213,lmic_raw_lb[[setting]:[setting]],0), MATCH(AL$139, lmic_raw_lb[#Headers],0))=0, INDEX(regions_lb[], MATCH($D213, regions_lb[[setting]:[setting]],0), MATCH(AL$139, regions_lb[#Headers],0)),INDEX(lmic_raw_lb[],MATCH($A213,lmic_raw_lb[[setting]:[setting]],0), MATCH(AL$139, lmic_raw_lb[#Headers],0)))</f>
        <v>8.872811886401473E-4</v>
      </c>
      <c r="AM213" s="94">
        <f>IF(INDEX(lmic_raw_lb[],MATCH($A213,lmic_raw_lb[[setting]:[setting]],0), MATCH(AM$139, lmic_raw_lb[#Headers],0))=0, INDEX(regions_lb[], MATCH($D213, regions_lb[[setting]:[setting]],0), MATCH(AM$139, regions_lb[#Headers],0)),INDEX(lmic_raw_lb[],MATCH($A213,lmic_raw_lb[[setting]:[setting]],0), MATCH(AM$139, lmic_raw_lb[#Headers],0)))</f>
        <v>1.5628921221263888E-3</v>
      </c>
      <c r="AN213" s="94">
        <f>IF(INDEX(lmic_raw_lb[],MATCH($A213,lmic_raw_lb[[setting]:[setting]],0), MATCH(AN$139, lmic_raw_lb[#Headers],0))=0, INDEX(regions_lb[], MATCH($D213, regions_lb[[setting]:[setting]],0), MATCH(AN$139, regions_lb[#Headers],0)),INDEX(lmic_raw_lb[],MATCH($A213,lmic_raw_lb[[setting]:[setting]],0), MATCH(AN$139, lmic_raw_lb[#Headers],0)))</f>
        <v>2.2723878829196452E-3</v>
      </c>
      <c r="AO213" s="94">
        <f>IF(INDEX(lmic_raw_lb[],MATCH($A213,lmic_raw_lb[[setting]:[setting]],0), MATCH(AO$139, lmic_raw_lb[#Headers],0))=0, INDEX(regions_lb[], MATCH($D213, regions_lb[[setting]:[setting]],0), MATCH(AO$139, regions_lb[#Headers],0)),INDEX(lmic_raw_lb[],MATCH($A213,lmic_raw_lb[[setting]:[setting]],0), MATCH(AO$139, lmic_raw_lb[#Headers],0)))</f>
        <v>4.3759788253286067E-3</v>
      </c>
      <c r="AP213" s="94">
        <f>IF(INDEX(lmic_raw_lb[],MATCH($A213,lmic_raw_lb[[setting]:[setting]],0), MATCH(AP$139, lmic_raw_lb[#Headers],0))=0, INDEX(regions_lb[], MATCH($D213, regions_lb[[setting]:[setting]],0), MATCH(AP$139, regions_lb[#Headers],0)),INDEX(lmic_raw_lb[],MATCH($A213,lmic_raw_lb[[setting]:[setting]],0), MATCH(AP$139, lmic_raw_lb[#Headers],0)))</f>
        <v>8.1702140757710234E-3</v>
      </c>
      <c r="AQ213" s="94">
        <f>IF(INDEX(lmic_raw_lb[],MATCH($A213,lmic_raw_lb[[setting]:[setting]],0), MATCH(AQ$139, lmic_raw_lb[#Headers],0))=0, INDEX(regions_lb[], MATCH($D213, regions_lb[[setting]:[setting]],0), MATCH(AQ$139, regions_lb[#Headers],0)),INDEX(lmic_raw_lb[],MATCH($A213,lmic_raw_lb[[setting]:[setting]],0), MATCH(AQ$139, lmic_raw_lb[#Headers],0)))</f>
        <v>1.530261081775925E-2</v>
      </c>
      <c r="AR213" s="94">
        <f>IF(INDEX(lmic_raw_lb[],MATCH($A213,lmic_raw_lb[[setting]:[setting]],0), MATCH(AR$139, lmic_raw_lb[#Headers],0))=0, INDEX(regions_lb[], MATCH($D213, regions_lb[[setting]:[setting]],0), MATCH(AR$139, regions_lb[#Headers],0)),INDEX(lmic_raw_lb[],MATCH($A213,lmic_raw_lb[[setting]:[setting]],0), MATCH(AR$139, lmic_raw_lb[#Headers],0)))</f>
        <v>2.8225627597170649E-2</v>
      </c>
      <c r="AS213" s="94">
        <f>IF(INDEX(lmic_raw_lb[],MATCH($A213,lmic_raw_lb[[setting]:[setting]],0), MATCH(AS$139, lmic_raw_lb[#Headers],0))=0, INDEX(regions_lb[], MATCH($D213, regions_lb[[setting]:[setting]],0), MATCH(AS$139, regions_lb[#Headers],0)),INDEX(lmic_raw_lb[],MATCH($A213,lmic_raw_lb[[setting]:[setting]],0), MATCH(AS$139, lmic_raw_lb[#Headers],0)))</f>
        <v>5.0530930055292939E-2</v>
      </c>
      <c r="AT213" s="94">
        <f>IF(INDEX(lmic_raw_lb[],MATCH($A213,lmic_raw_lb[[setting]:[setting]],0), MATCH(AT$139, lmic_raw_lb[#Headers],0))=0, INDEX(regions_lb[], MATCH($D213, regions_lb[[setting]:[setting]],0), MATCH(AT$139, regions_lb[#Headers],0)),INDEX(lmic_raw_lb[],MATCH($A213,lmic_raw_lb[[setting]:[setting]],0), MATCH(AT$139, lmic_raw_lb[#Headers],0)))</f>
        <v>6.8852287780459556E-2</v>
      </c>
      <c r="AU213" s="94">
        <f>IF(INDEX(lmic_raw_lb[],MATCH($A213,lmic_raw_lb[[setting]:[setting]],0), MATCH(AU$139, lmic_raw_lb[#Headers],0))=0, INDEX(regions_lb[], MATCH($D213, regions_lb[[setting]:[setting]],0), MATCH(AU$139, regions_lb[#Headers],0)),INDEX(lmic_raw_lb[],MATCH($A213,lmic_raw_lb[[setting]:[setting]],0), MATCH(AU$139, lmic_raw_lb[#Headers],0)))</f>
        <v>9.3330233296054277E-2</v>
      </c>
      <c r="AV213" s="94">
        <f>IF(INDEX(lmic_raw_lb[],MATCH($A213,lmic_raw_lb[[setting]:[setting]],0), MATCH(AV$139, lmic_raw_lb[#Headers],0))=0, INDEX(regions_lb[], MATCH($D213, regions_lb[[setting]:[setting]],0), MATCH(AV$139, regions_lb[#Headers],0)),INDEX(lmic_raw_lb[],MATCH($A213,lmic_raw_lb[[setting]:[setting]],0), MATCH(AV$139, lmic_raw_lb[#Headers],0)))</f>
        <v>0.11814213132546875</v>
      </c>
      <c r="AW213" s="94">
        <f>IF(INDEX(lmic_raw_lb[],MATCH($A213,lmic_raw_lb[[setting]:[setting]],0), MATCH(AW$139, lmic_raw_lb[#Headers],0))=0, INDEX(regions_lb[], MATCH($D213, regions_lb[[setting]:[setting]],0), MATCH(AW$139, regions_lb[#Headers],0)),INDEX(lmic_raw_lb[],MATCH($A213,lmic_raw_lb[[setting]:[setting]],0), MATCH(AW$139, lmic_raw_lb[#Headers],0)))</f>
        <v>0.14006579850125997</v>
      </c>
      <c r="AX213" s="94">
        <f>IF(INDEX(lmic_raw_lb[],MATCH($A213,lmic_raw_lb[[setting]:[setting]],0), MATCH(AX$139, lmic_raw_lb[#Headers],0))=0, INDEX(regions_lb[], MATCH($D213, regions_lb[[setting]:[setting]],0), MATCH(AX$139, regions_lb[#Headers],0)),INDEX(lmic_raw_lb[],MATCH($A213,lmic_raw_lb[[setting]:[setting]],0), MATCH(AX$139, lmic_raw_lb[#Headers],0)))</f>
        <v>74.542699999999996</v>
      </c>
      <c r="AY213" s="94" t="str">
        <f>IF(VLOOKUP(lmics_lb[[#This Row],[setting]],lmic_raw_lb[],11,FALSE)=0, "Yes", "No")</f>
        <v>No</v>
      </c>
    </row>
    <row r="214" spans="1:51" x14ac:dyDescent="0.25">
      <c r="A214" s="109" t="s">
        <v>147</v>
      </c>
      <c r="B214" s="101" t="s">
        <v>465</v>
      </c>
      <c r="C214" s="102">
        <v>466</v>
      </c>
      <c r="D214" s="82" t="s">
        <v>677</v>
      </c>
      <c r="E214" s="121" t="s">
        <v>591</v>
      </c>
      <c r="F214" s="98" t="s">
        <v>667</v>
      </c>
      <c r="G214" s="98" t="s">
        <v>674</v>
      </c>
      <c r="H214" s="98"/>
      <c r="I214" s="98"/>
      <c r="J214" s="98">
        <f>IF(INDEX(lmic_raw_lb[],MATCH($A214,lmic_raw_lb[[setting]:[setting]],0), MATCH(J$139, lmic_raw_lb[#Headers],0))=0, INDEX(regions_lb[], MATCH($D214, regions_lb[[setting]:[setting]],0), MATCH(J$139, regions_lb[#Headers],0)),INDEX(lmic_raw_lb[],MATCH($A214,lmic_raw_lb[[setting]:[setting]],0), MATCH(J$139, lmic_raw_lb[#Headers],0)))</f>
        <v>0.63459999999999994</v>
      </c>
      <c r="K214" s="98">
        <f>IF(INDEX(lmic_raw_lb[],MATCH($A214,lmic_raw_lb[[setting]:[setting]],0), MATCH(K$139, lmic_raw_lb[#Headers],0))=0, INDEX(regions_lb[], MATCH($D214, regions_lb[[setting]:[setting]],0), MATCH(K$139, regions_lb[#Headers],0)),INDEX(lmic_raw_lb[],MATCH($A214,lmic_raw_lb[[setting]:[setting]],0), MATCH(K$139, lmic_raw_lb[#Headers],0)))</f>
        <v>0.65789974195504752</v>
      </c>
      <c r="L214" s="98">
        <f>IF(INDEX(lmic_raw_lb[],MATCH($A214,lmic_raw_lb[[setting]:[setting]],0), MATCH(L$139, lmic_raw_lb[#Headers],0))=0, INDEX(regions_lb[], MATCH($D214, regions_lb[[setting]:[setting]],0), MATCH(L$139, regions_lb[#Headers],0)),INDEX(lmic_raw_lb[],MATCH($A214,lmic_raw_lb[[setting]:[setting]],0), MATCH(L$139, lmic_raw_lb[#Headers],0)))</f>
        <v>0.73149999999999993</v>
      </c>
      <c r="M214" s="98">
        <f>IF(INDEX(lmic_raw_lb[],MATCH($A214,lmic_raw_lb[[setting]:[setting]],0), MATCH(M$139, lmic_raw_lb[#Headers],0))=0, INDEX(regions_lb[], MATCH($D214, regions_lb[[setting]:[setting]],0), MATCH(M$139, regions_lb[#Headers],0)),INDEX(lmic_raw_lb[],MATCH($A214,lmic_raw_lb[[setting]:[setting]],0), MATCH(M$139, lmic_raw_lb[#Headers],0)))</f>
        <v>6.480000000000001E-2</v>
      </c>
      <c r="N214" s="98">
        <f>IF(INDEX(lmic_raw_lb[],MATCH($A214,lmic_raw_lb[[setting]:[setting]],0), MATCH(N$139, lmic_raw_lb[#Headers],0))=0, INDEX(regions_lb[], MATCH($D214, regions_lb[[setting]:[setting]],0), MATCH(N$139, regions_lb[#Headers],0)),INDEX(lmic_raw_lb[],MATCH($A214,lmic_raw_lb[[setting]:[setting]],0), MATCH(N$139, lmic_raw_lb[#Headers],0)))</f>
        <v>0.155</v>
      </c>
      <c r="O214" s="98">
        <f>IF(INDEX(lmic_raw_lb[],MATCH($A214,lmic_raw_lb[[setting]:[setting]],0), MATCH(O$139, lmic_raw_lb[#Headers],0))=0, INDEX(regions_lb[], MATCH($D214, regions_lb[[setting]:[setting]],0), MATCH(O$139, regions_lb[#Headers],0)),INDEX(lmic_raw_lb[],MATCH($A214,lmic_raw_lb[[setting]:[setting]],0), MATCH(O$139, lmic_raw_lb[#Headers],0)))</f>
        <v>7.0000000000000007E-2</v>
      </c>
      <c r="P214" s="98">
        <f>IF(INDEX(lmic_raw_lb[],MATCH($A214,lmic_raw_lb[[setting]:[setting]],0), MATCH(P$139, lmic_raw_lb[#Headers],0))=0, INDEX(regions_lb[], MATCH($D214, regions_lb[[setting]:[setting]],0), MATCH(P$139, regions_lb[#Headers],0)),INDEX(lmic_raw_lb[],MATCH($A214,lmic_raw_lb[[setting]:[setting]],0), MATCH(P$139, lmic_raw_lb[#Headers],0)))</f>
        <v>1E-3</v>
      </c>
      <c r="Q214" s="98">
        <f>IF(INDEX(lmic_raw_lb[],MATCH($A214,lmic_raw_lb[[setting]:[setting]],0), MATCH(Q$139, lmic_raw_lb[#Headers],0))=0, INDEX(regions_lb[], MATCH($D214, regions_lb[[setting]:[setting]],0), MATCH(Q$139, regions_lb[#Headers],0)),INDEX(lmic_raw_lb[],MATCH($A214,lmic_raw_lb[[setting]:[setting]],0), MATCH(Q$139, lmic_raw_lb[#Headers],0)))</f>
        <v>2.7621385687387514</v>
      </c>
      <c r="R214" s="98">
        <f>IF(INDEX(lmic_raw_lb[],MATCH($A214,lmic_raw_lb[[setting]:[setting]],0), MATCH(R$139, lmic_raw_lb[#Headers],0))=0, INDEX(regions_lb[], MATCH($D214, regions_lb[[setting]:[setting]],0), MATCH(R$139, regions_lb[#Headers],0)),INDEX(lmic_raw_lb[],MATCH($A214,lmic_raw_lb[[setting]:[setting]],0), MATCH(R$139, lmic_raw_lb[#Headers],0)))</f>
        <v>28.424474999999997</v>
      </c>
      <c r="S214" s="98">
        <f>IF(INDEX(lmic_raw_lb[],MATCH($A214,lmic_raw_lb[[setting]:[setting]],0), MATCH(S$139, lmic_raw_lb[#Headers],0))=0, INDEX(regions_lb[], MATCH($D214, regions_lb[[setting]:[setting]],0), MATCH(S$139, regions_lb[#Headers],0)),INDEX(lmic_raw_lb[],MATCH($A214,lmic_raw_lb[[setting]:[setting]],0), MATCH(S$139, lmic_raw_lb[#Headers],0)))</f>
        <v>73.779375000000002</v>
      </c>
      <c r="T214" s="98">
        <f>IF(INDEX(lmic_raw_lb[],MATCH($A214,lmic_raw_lb[[setting]:[setting]],0), MATCH(T$139, lmic_raw_lb[#Headers],0))=0, INDEX(regions_lb[], MATCH($D214, regions_lb[[setting]:[setting]],0), MATCH(T$139, regions_lb[#Headers],0)),INDEX(lmic_raw_lb[],MATCH($A214,lmic_raw_lb[[setting]:[setting]],0), MATCH(T$139, lmic_raw_lb[#Headers],0)))</f>
        <v>73.779375000000002</v>
      </c>
      <c r="U214" s="98">
        <f>IF(INDEX(lmic_raw_lb[],MATCH($A214,lmic_raw_lb[[setting]:[setting]],0), MATCH(U$139, lmic_raw_lb[#Headers],0))=0, INDEX(regions_lb[], MATCH($D214, regions_lb[[setting]:[setting]],0), MATCH(U$139, regions_lb[#Headers],0)),INDEX(lmic_raw_lb[],MATCH($A214,lmic_raw_lb[[setting]:[setting]],0), MATCH(U$139, lmic_raw_lb[#Headers],0)))</f>
        <v>73.779375000000002</v>
      </c>
      <c r="V214" s="98">
        <f>IF(INDEX(lmic_raw_lb[],MATCH($A214,lmic_raw_lb[[setting]:[setting]],0), MATCH(V$139, lmic_raw_lb[#Headers],0))=0, INDEX(regions_lb[], MATCH($D214, regions_lb[[setting]:[setting]],0), MATCH(V$139, regions_lb[#Headers],0)),INDEX(lmic_raw_lb[],MATCH($A214,lmic_raw_lb[[setting]:[setting]],0), MATCH(V$139, lmic_raw_lb[#Headers],0)))</f>
        <v>0.74062803145813028</v>
      </c>
      <c r="W214" s="98">
        <f>IF(INDEX(lmic_raw_lb[],MATCH($A214,lmic_raw_lb[[setting]:[setting]],0), MATCH(W$139, lmic_raw_lb[#Headers],0))=0, INDEX(regions_lb[], MATCH($D214, regions_lb[[setting]:[setting]],0), MATCH(W$139, regions_lb[#Headers],0)),INDEX(lmic_raw_lb[],MATCH($A214,lmic_raw_lb[[setting]:[setting]],0), MATCH(W$139, lmic_raw_lb[#Headers],0)))</f>
        <v>5.3278930314581308</v>
      </c>
      <c r="X214" s="98">
        <f>IF(INDEX(lmic_raw_lb[],MATCH($A214,lmic_raw_lb[[setting]:[setting]],0), MATCH(X$139, lmic_raw_lb[#Headers],0))=0, INDEX(regions_lb[], MATCH($D214, regions_lb[[setting]:[setting]],0), MATCH(X$139, regions_lb[#Headers],0)),INDEX(lmic_raw_lb[],MATCH($A214,lmic_raw_lb[[setting]:[setting]],0), MATCH(X$139, lmic_raw_lb[#Headers],0)))</f>
        <v>0.37539178725351913</v>
      </c>
      <c r="Y214" s="98">
        <f>IF(INDEX(lmic_raw_lb[],MATCH($A214,lmic_raw_lb[[setting]:[setting]],0), MATCH(Y$139, lmic_raw_lb[#Headers],0))=0, INDEX(regions_lb[], MATCH($D214, regions_lb[[setting]:[setting]],0), MATCH(Y$139, regions_lb[#Headers],0)),INDEX(lmic_raw_lb[],MATCH($A214,lmic_raw_lb[[setting]:[setting]],0), MATCH(Y$139, lmic_raw_lb[#Headers],0)))</f>
        <v>4.9626567872535192</v>
      </c>
      <c r="Z214" s="98">
        <f>IF(INDEX(lmic_raw_lb[],MATCH($A214,lmic_raw_lb[[setting]:[setting]],0), MATCH(Z$139, lmic_raw_lb[#Headers],0))=0, INDEX(regions_lb[], MATCH($D214, regions_lb[[setting]:[setting]],0), MATCH(Z$139, regions_lb[#Headers],0)),INDEX(lmic_raw_lb[],MATCH($A214,lmic_raw_lb[[setting]:[setting]],0), MATCH(Z$139, lmic_raw_lb[#Headers],0)))</f>
        <v>4.9605745136100721</v>
      </c>
      <c r="AA214" s="98">
        <f>IF(INDEX(lmic_raw_lb[],MATCH($A214,lmic_raw_lb[[setting]:[setting]],0), MATCH(AA$139, lmic_raw_lb[#Headers],0))=0, INDEX(regions_lb[], MATCH($D214, regions_lb[[setting]:[setting]],0), MATCH(AA$139, regions_lb[#Headers],0)),INDEX(lmic_raw_lb[],MATCH($A214,lmic_raw_lb[[setting]:[setting]],0), MATCH(AA$139, lmic_raw_lb[#Headers],0)))</f>
        <v>0.95179938206717574</v>
      </c>
      <c r="AB214" s="98">
        <f>IF(INDEX(lmic_raw_lb[],MATCH($A214,lmic_raw_lb[[setting]:[setting]],0), MATCH(AB$139, lmic_raw_lb[#Headers],0))=0, INDEX(regions_lb[], MATCH($D214, regions_lb[[setting]:[setting]],0), MATCH(AB$139, regions_lb[#Headers],0)),INDEX(lmic_raw_lb[],MATCH($A214,lmic_raw_lb[[setting]:[setting]],0), MATCH(AB$139, lmic_raw_lb[#Headers],0)))</f>
        <v>5.5390643820671759</v>
      </c>
      <c r="AC214" s="98">
        <f>IF(INDEX(lmic_raw_lb[],MATCH($A214,lmic_raw_lb[[setting]:[setting]],0), MATCH(AC$139, lmic_raw_lb[#Headers],0))=0, INDEX(regions_lb[], MATCH($D214, regions_lb[[setting]:[setting]],0), MATCH(AC$139, regions_lb[#Headers],0)),INDEX(lmic_raw_lb[],MATCH($A214,lmic_raw_lb[[setting]:[setting]],0), MATCH(AC$139, lmic_raw_lb[#Headers],0)))</f>
        <v>6.2529199499999938E-2</v>
      </c>
      <c r="AD214" s="98">
        <f>IF(INDEX(lmic_raw_lb[],MATCH($A214,lmic_raw_lb[[setting]:[setting]],0), MATCH(AD$139, lmic_raw_lb[#Headers],0))=0, INDEX(regions_lb[], MATCH($D214, regions_lb[[setting]:[setting]],0), MATCH(AD$139, regions_lb[#Headers],0)),INDEX(lmic_raw_lb[],MATCH($A214,lmic_raw_lb[[setting]:[setting]],0), MATCH(AD$139, lmic_raw_lb[#Headers],0)))</f>
        <v>1.0076756745080092E-2</v>
      </c>
      <c r="AE214" s="98">
        <f>IF(INDEX(lmic_raw_lb[],MATCH($A214,lmic_raw_lb[[setting]:[setting]],0), MATCH(AE$139, lmic_raw_lb[#Headers],0))=0, INDEX(regions_lb[], MATCH($D214, regions_lb[[setting]:[setting]],0), MATCH(AE$139, regions_lb[#Headers],0)),INDEX(lmic_raw_lb[],MATCH($A214,lmic_raw_lb[[setting]:[setting]],0), MATCH(AE$139, lmic_raw_lb[#Headers],0)))</f>
        <v>3.2967871149634765E-3</v>
      </c>
      <c r="AF214" s="98">
        <f>IF(INDEX(lmic_raw_lb[],MATCH($A214,lmic_raw_lb[[setting]:[setting]],0), MATCH(AF$139, lmic_raw_lb[#Headers],0))=0, INDEX(regions_lb[], MATCH($D214, regions_lb[[setting]:[setting]],0), MATCH(AF$139, regions_lb[#Headers],0)),INDEX(lmic_raw_lb[],MATCH($A214,lmic_raw_lb[[setting]:[setting]],0), MATCH(AF$139, lmic_raw_lb[#Headers],0)))</f>
        <v>1.8671165680324471E-3</v>
      </c>
      <c r="AG214" s="98">
        <f>IF(INDEX(lmic_raw_lb[],MATCH($A214,lmic_raw_lb[[setting]:[setting]],0), MATCH(AG$139, lmic_raw_lb[#Headers],0))=0, INDEX(regions_lb[], MATCH($D214, regions_lb[[setting]:[setting]],0), MATCH(AG$139, regions_lb[#Headers],0)),INDEX(lmic_raw_lb[],MATCH($A214,lmic_raw_lb[[setting]:[setting]],0), MATCH(AG$139, lmic_raw_lb[#Headers],0)))</f>
        <v>2.8206605448414528E-3</v>
      </c>
      <c r="AH214" s="98">
        <f>IF(INDEX(lmic_raw_lb[],MATCH($A214,lmic_raw_lb[[setting]:[setting]],0), MATCH(AH$139, lmic_raw_lb[#Headers],0))=0, INDEX(regions_lb[], MATCH($D214, regions_lb[[setting]:[setting]],0), MATCH(AH$139, regions_lb[#Headers],0)),INDEX(lmic_raw_lb[],MATCH($A214,lmic_raw_lb[[setting]:[setting]],0), MATCH(AH$139, lmic_raw_lb[#Headers],0)))</f>
        <v>3.6329197235775304E-3</v>
      </c>
      <c r="AI214" s="98">
        <f>IF(INDEX(lmic_raw_lb[],MATCH($A214,lmic_raw_lb[[setting]:[setting]],0), MATCH(AI$139, lmic_raw_lb[#Headers],0))=0, INDEX(regions_lb[], MATCH($D214, regions_lb[[setting]:[setting]],0), MATCH(AI$139, regions_lb[#Headers],0)),INDEX(lmic_raw_lb[],MATCH($A214,lmic_raw_lb[[setting]:[setting]],0), MATCH(AI$139, lmic_raw_lb[#Headers],0)))</f>
        <v>4.079202454613593E-3</v>
      </c>
      <c r="AJ214" s="98">
        <f>IF(INDEX(lmic_raw_lb[],MATCH($A214,lmic_raw_lb[[setting]:[setting]],0), MATCH(AJ$139, lmic_raw_lb[#Headers],0))=0, INDEX(regions_lb[], MATCH($D214, regions_lb[[setting]:[setting]],0), MATCH(AJ$139, regions_lb[#Headers],0)),INDEX(lmic_raw_lb[],MATCH($A214,lmic_raw_lb[[setting]:[setting]],0), MATCH(AJ$139, lmic_raw_lb[#Headers],0)))</f>
        <v>4.3301449205382135E-3</v>
      </c>
      <c r="AK214" s="98">
        <f>IF(INDEX(lmic_raw_lb[],MATCH($A214,lmic_raw_lb[[setting]:[setting]],0), MATCH(AK$139, lmic_raw_lb[#Headers],0))=0, INDEX(regions_lb[], MATCH($D214, regions_lb[[setting]:[setting]],0), MATCH(AK$139, regions_lb[#Headers],0)),INDEX(lmic_raw_lb[],MATCH($A214,lmic_raw_lb[[setting]:[setting]],0), MATCH(AK$139, lmic_raw_lb[#Headers],0)))</f>
        <v>4.8594510093226588E-3</v>
      </c>
      <c r="AL214" s="98">
        <f>IF(INDEX(lmic_raw_lb[],MATCH($A214,lmic_raw_lb[[setting]:[setting]],0), MATCH(AL$139, lmic_raw_lb[#Headers],0))=0, INDEX(regions_lb[], MATCH($D214, regions_lb[[setting]:[setting]],0), MATCH(AL$139, regions_lb[#Headers],0)),INDEX(lmic_raw_lb[],MATCH($A214,lmic_raw_lb[[setting]:[setting]],0), MATCH(AL$139, lmic_raw_lb[#Headers],0)))</f>
        <v>5.7754165967564804E-3</v>
      </c>
      <c r="AM214" s="98">
        <f>IF(INDEX(lmic_raw_lb[],MATCH($A214,lmic_raw_lb[[setting]:[setting]],0), MATCH(AM$139, lmic_raw_lb[#Headers],0))=0, INDEX(regions_lb[], MATCH($D214, regions_lb[[setting]:[setting]],0), MATCH(AM$139, regions_lb[#Headers],0)),INDEX(lmic_raw_lb[],MATCH($A214,lmic_raw_lb[[setting]:[setting]],0), MATCH(AM$139, lmic_raw_lb[#Headers],0)))</f>
        <v>6.7510639095889188E-3</v>
      </c>
      <c r="AN214" s="98">
        <f>IF(INDEX(lmic_raw_lb[],MATCH($A214,lmic_raw_lb[[setting]:[setting]],0), MATCH(AN$139, lmic_raw_lb[#Headers],0))=0, INDEX(regions_lb[], MATCH($D214, regions_lb[[setting]:[setting]],0), MATCH(AN$139, regions_lb[#Headers],0)),INDEX(lmic_raw_lb[],MATCH($A214,lmic_raw_lb[[setting]:[setting]],0), MATCH(AN$139, lmic_raw_lb[#Headers],0)))</f>
        <v>9.5116052570416564E-3</v>
      </c>
      <c r="AO214" s="98">
        <f>IF(INDEX(lmic_raw_lb[],MATCH($A214,lmic_raw_lb[[setting]:[setting]],0), MATCH(AO$139, lmic_raw_lb[#Headers],0))=0, INDEX(regions_lb[], MATCH($D214, regions_lb[[setting]:[setting]],0), MATCH(AO$139, regions_lb[#Headers],0)),INDEX(lmic_raw_lb[],MATCH($A214,lmic_raw_lb[[setting]:[setting]],0), MATCH(AO$139, lmic_raw_lb[#Headers],0)))</f>
        <v>1.3588202027475222E-2</v>
      </c>
      <c r="AP214" s="98">
        <f>IF(INDEX(lmic_raw_lb[],MATCH($A214,lmic_raw_lb[[setting]:[setting]],0), MATCH(AP$139, lmic_raw_lb[#Headers],0))=0, INDEX(regions_lb[], MATCH($D214, regions_lb[[setting]:[setting]],0), MATCH(AP$139, regions_lb[#Headers],0)),INDEX(lmic_raw_lb[],MATCH($A214,lmic_raw_lb[[setting]:[setting]],0), MATCH(AP$139, lmic_raw_lb[#Headers],0)))</f>
        <v>2.1265903032231692E-2</v>
      </c>
      <c r="AQ214" s="98">
        <f>IF(INDEX(lmic_raw_lb[],MATCH($A214,lmic_raw_lb[[setting]:[setting]],0), MATCH(AQ$139, lmic_raw_lb[#Headers],0))=0, INDEX(regions_lb[], MATCH($D214, regions_lb[[setting]:[setting]],0), MATCH(AQ$139, regions_lb[#Headers],0)),INDEX(lmic_raw_lb[],MATCH($A214,lmic_raw_lb[[setting]:[setting]],0), MATCH(AQ$139, lmic_raw_lb[#Headers],0)))</f>
        <v>3.2883552086836097E-2</v>
      </c>
      <c r="AR214" s="98">
        <f>IF(INDEX(lmic_raw_lb[],MATCH($A214,lmic_raw_lb[[setting]:[setting]],0), MATCH(AR$139, lmic_raw_lb[#Headers],0))=0, INDEX(regions_lb[], MATCH($D214, regions_lb[[setting]:[setting]],0), MATCH(AR$139, regions_lb[#Headers],0)),INDEX(lmic_raw_lb[],MATCH($A214,lmic_raw_lb[[setting]:[setting]],0), MATCH(AR$139, lmic_raw_lb[#Headers],0)))</f>
        <v>5.2730089744085065E-2</v>
      </c>
      <c r="AS214" s="98">
        <f>IF(INDEX(lmic_raw_lb[],MATCH($A214,lmic_raw_lb[[setting]:[setting]],0), MATCH(AS$139, lmic_raw_lb[#Headers],0))=0, INDEX(regions_lb[], MATCH($D214, regions_lb[[setting]:[setting]],0), MATCH(AS$139, regions_lb[#Headers],0)),INDEX(lmic_raw_lb[],MATCH($A214,lmic_raw_lb[[setting]:[setting]],0), MATCH(AS$139, lmic_raw_lb[#Headers],0)))</f>
        <v>8.1038455824475025E-2</v>
      </c>
      <c r="AT214" s="98">
        <f>IF(INDEX(lmic_raw_lb[],MATCH($A214,lmic_raw_lb[[setting]:[setting]],0), MATCH(AT$139, lmic_raw_lb[#Headers],0))=0, INDEX(regions_lb[], MATCH($D214, regions_lb[[setting]:[setting]],0), MATCH(AT$139, regions_lb[#Headers],0)),INDEX(lmic_raw_lb[],MATCH($A214,lmic_raw_lb[[setting]:[setting]],0), MATCH(AT$139, lmic_raw_lb[#Headers],0)))</f>
        <v>0.11558826376136665</v>
      </c>
      <c r="AU214" s="98">
        <f>IF(INDEX(lmic_raw_lb[],MATCH($A214,lmic_raw_lb[[setting]:[setting]],0), MATCH(AU$139, lmic_raw_lb[#Headers],0))=0, INDEX(regions_lb[], MATCH($D214, regions_lb[[setting]:[setting]],0), MATCH(AU$139, regions_lb[#Headers],0)),INDEX(lmic_raw_lb[],MATCH($A214,lmic_raw_lb[[setting]:[setting]],0), MATCH(AU$139, lmic_raw_lb[#Headers],0)))</f>
        <v>0.14704748639536355</v>
      </c>
      <c r="AV214" s="98">
        <f>IF(INDEX(lmic_raw_lb[],MATCH($A214,lmic_raw_lb[[setting]:[setting]],0), MATCH(AV$139, lmic_raw_lb[#Headers],0))=0, INDEX(regions_lb[], MATCH($D214, regions_lb[[setting]:[setting]],0), MATCH(AV$139, regions_lb[#Headers],0)),INDEX(lmic_raw_lb[],MATCH($A214,lmic_raw_lb[[setting]:[setting]],0), MATCH(AV$139, lmic_raw_lb[#Headers],0)))</f>
        <v>0.16862114773887582</v>
      </c>
      <c r="AW214" s="98">
        <f>IF(INDEX(lmic_raw_lb[],MATCH($A214,lmic_raw_lb[[setting]:[setting]],0), MATCH(AW$139, lmic_raw_lb[#Headers],0))=0, INDEX(regions_lb[], MATCH($D214, regions_lb[[setting]:[setting]],0), MATCH(AW$139, regions_lb[#Headers],0)),INDEX(lmic_raw_lb[],MATCH($A214,lmic_raw_lb[[setting]:[setting]],0), MATCH(AW$139, lmic_raw_lb[#Headers],0)))</f>
        <v>0.17859081359848822</v>
      </c>
      <c r="AX214" s="98">
        <f>IF(INDEX(lmic_raw_lb[],MATCH($A214,lmic_raw_lb[[setting]:[setting]],0), MATCH(AX$139, lmic_raw_lb[#Headers],0))=0, INDEX(regions_lb[], MATCH($D214, regions_lb[[setting]:[setting]],0), MATCH(AX$139, regions_lb[#Headers],0)),INDEX(lmic_raw_lb[],MATCH($A214,lmic_raw_lb[[setting]:[setting]],0), MATCH(AX$139, lmic_raw_lb[#Headers],0)))</f>
        <v>55.774499999999996</v>
      </c>
      <c r="AY214" s="98" t="str">
        <f>IF(VLOOKUP(lmics_lb[[#This Row],[setting]],lmic_raw_lb[],11,FALSE)=0, "Yes", "No")</f>
        <v>Yes</v>
      </c>
    </row>
    <row r="215" spans="1:51" x14ac:dyDescent="0.25">
      <c r="A215" s="110" t="s">
        <v>682</v>
      </c>
      <c r="B215" s="104" t="s">
        <v>467</v>
      </c>
      <c r="C215" s="105">
        <v>584</v>
      </c>
      <c r="D215" s="84" t="s">
        <v>681</v>
      </c>
      <c r="E215" s="122" t="s">
        <v>98</v>
      </c>
      <c r="F215" s="94" t="s">
        <v>666</v>
      </c>
      <c r="G215" s="94" t="s">
        <v>676</v>
      </c>
      <c r="H215" s="94"/>
      <c r="I215" s="94"/>
      <c r="J215" s="94">
        <f>IF(INDEX(lmic_raw_lb[],MATCH($A215,lmic_raw_lb[[setting]:[setting]],0), MATCH(J$139, lmic_raw_lb[#Headers],0))=0, INDEX(regions_lb[], MATCH($D215, regions_lb[[setting]:[setting]],0), MATCH(J$139, regions_lb[#Headers],0)),INDEX(lmic_raw_lb[],MATCH($A215,lmic_raw_lb[[setting]:[setting]],0), MATCH(J$139, lmic_raw_lb[#Headers],0)))</f>
        <v>0.80844999999999989</v>
      </c>
      <c r="K215" s="94">
        <f>IF(INDEX(lmic_raw_lb[],MATCH($A215,lmic_raw_lb[[setting]:[setting]],0), MATCH(K$139, lmic_raw_lb[#Headers],0))=0, INDEX(regions_lb[], MATCH($D215, regions_lb[[setting]:[setting]],0), MATCH(K$139, regions_lb[#Headers],0)),INDEX(lmic_raw_lb[],MATCH($A215,lmic_raw_lb[[setting]:[setting]],0), MATCH(K$139, lmic_raw_lb[#Headers],0)))</f>
        <v>0.93099999999999994</v>
      </c>
      <c r="L215" s="94">
        <f>IF(INDEX(lmic_raw_lb[],MATCH($A215,lmic_raw_lb[[setting]:[setting]],0), MATCH(L$139, lmic_raw_lb[#Headers],0))=0, INDEX(regions_lb[], MATCH($D215, regions_lb[[setting]:[setting]],0), MATCH(L$139, regions_lb[#Headers],0)),INDEX(lmic_raw_lb[],MATCH($A215,lmic_raw_lb[[setting]:[setting]],0), MATCH(L$139, lmic_raw_lb[#Headers],0)))</f>
        <v>0.77899999999999991</v>
      </c>
      <c r="M215" s="94">
        <f>IF(INDEX(lmic_raw_lb[],MATCH($A215,lmic_raw_lb[[setting]:[setting]],0), MATCH(M$139, lmic_raw_lb[#Headers],0))=0, INDEX(regions_lb[], MATCH($D215, regions_lb[[setting]:[setting]],0), MATCH(M$139, regions_lb[#Headers],0)),INDEX(lmic_raw_lb[],MATCH($A215,lmic_raw_lb[[setting]:[setting]],0), MATCH(M$139, lmic_raw_lb[#Headers],0)))</f>
        <v>6.4299999999999996E-2</v>
      </c>
      <c r="N215" s="94">
        <f>IF(INDEX(lmic_raw_lb[],MATCH($A215,lmic_raw_lb[[setting]:[setting]],0), MATCH(N$139, lmic_raw_lb[#Headers],0))=0, INDEX(regions_lb[], MATCH($D215, regions_lb[[setting]:[setting]],0), MATCH(N$139, regions_lb[#Headers],0)),INDEX(lmic_raw_lb[],MATCH($A215,lmic_raw_lb[[setting]:[setting]],0), MATCH(N$139, lmic_raw_lb[#Headers],0)))</f>
        <v>0.18307877472872686</v>
      </c>
      <c r="O215" s="94">
        <f>IF(INDEX(lmic_raw_lb[],MATCH($A215,lmic_raw_lb[[setting]:[setting]],0), MATCH(O$139, lmic_raw_lb[#Headers],0))=0, INDEX(regions_lb[], MATCH($D215, regions_lb[[setting]:[setting]],0), MATCH(O$139, regions_lb[#Headers],0)),INDEX(lmic_raw_lb[],MATCH($A215,lmic_raw_lb[[setting]:[setting]],0), MATCH(O$139, lmic_raw_lb[#Headers],0)))</f>
        <v>0.7</v>
      </c>
      <c r="P215" s="94">
        <f>IF(INDEX(lmic_raw_lb[],MATCH($A215,lmic_raw_lb[[setting]:[setting]],0), MATCH(P$139, lmic_raw_lb[#Headers],0))=0, INDEX(regions_lb[], MATCH($D215, regions_lb[[setting]:[setting]],0), MATCH(P$139, regions_lb[#Headers],0)),INDEX(lmic_raw_lb[],MATCH($A215,lmic_raw_lb[[setting]:[setting]],0), MATCH(P$139, lmic_raw_lb[#Headers],0)))</f>
        <v>0.05</v>
      </c>
      <c r="Q215" s="94">
        <f>IF(INDEX(lmic_raw_lb[],MATCH($A215,lmic_raw_lb[[setting]:[setting]],0), MATCH(Q$139, lmic_raw_lb[#Headers],0))=0, INDEX(regions_lb[], MATCH($D215, regions_lb[[setting]:[setting]],0), MATCH(Q$139, regions_lb[#Headers],0)),INDEX(lmic_raw_lb[],MATCH($A215,lmic_raw_lb[[setting]:[setting]],0), MATCH(Q$139, lmic_raw_lb[#Headers],0)))</f>
        <v>6.0207862895407178</v>
      </c>
      <c r="R215" s="94">
        <f>IF(INDEX(lmic_raw_lb[],MATCH($A215,lmic_raw_lb[[setting]:[setting]],0), MATCH(R$139, lmic_raw_lb[#Headers],0))=0, INDEX(regions_lb[], MATCH($D215, regions_lb[[setting]:[setting]],0), MATCH(R$139, regions_lb[#Headers],0)),INDEX(lmic_raw_lb[],MATCH($A215,lmic_raw_lb[[setting]:[setting]],0), MATCH(R$139, lmic_raw_lb[#Headers],0)))</f>
        <v>69.430275000000009</v>
      </c>
      <c r="S215" s="94">
        <f>IF(INDEX(lmic_raw_lb[],MATCH($A215,lmic_raw_lb[[setting]:[setting]],0), MATCH(S$139, lmic_raw_lb[#Headers],0))=0, INDEX(regions_lb[], MATCH($D215, regions_lb[[setting]:[setting]],0), MATCH(S$139, regions_lb[#Headers],0)),INDEX(lmic_raw_lb[],MATCH($A215,lmic_raw_lb[[setting]:[setting]],0), MATCH(S$139, lmic_raw_lb[#Headers],0)))</f>
        <v>114.785175</v>
      </c>
      <c r="T215" s="94">
        <f>IF(INDEX(lmic_raw_lb[],MATCH($A215,lmic_raw_lb[[setting]:[setting]],0), MATCH(T$139, lmic_raw_lb[#Headers],0))=0, INDEX(regions_lb[], MATCH($D215, regions_lb[[setting]:[setting]],0), MATCH(T$139, regions_lb[#Headers],0)),INDEX(lmic_raw_lb[],MATCH($A215,lmic_raw_lb[[setting]:[setting]],0), MATCH(T$139, lmic_raw_lb[#Headers],0)))</f>
        <v>114.785175</v>
      </c>
      <c r="U215" s="94">
        <f>IF(INDEX(lmic_raw_lb[],MATCH($A215,lmic_raw_lb[[setting]:[setting]],0), MATCH(U$139, lmic_raw_lb[#Headers],0))=0, INDEX(regions_lb[], MATCH($D215, regions_lb[[setting]:[setting]],0), MATCH(U$139, regions_lb[#Headers],0)),INDEX(lmic_raw_lb[],MATCH($A215,lmic_raw_lb[[setting]:[setting]],0), MATCH(U$139, lmic_raw_lb[#Headers],0)))</f>
        <v>114.785175</v>
      </c>
      <c r="V215" s="94">
        <f>IF(INDEX(lmic_raw_lb[],MATCH($A215,lmic_raw_lb[[setting]:[setting]],0), MATCH(V$139, lmic_raw_lb[#Headers],0))=0, INDEX(regions_lb[], MATCH($D215, regions_lb[[setting]:[setting]],0), MATCH(V$139, regions_lb[#Headers],0)),INDEX(lmic_raw_lb[],MATCH($A215,lmic_raw_lb[[setting]:[setting]],0), MATCH(V$139, lmic_raw_lb[#Headers],0)))</f>
        <v>2.9482332449821462</v>
      </c>
      <c r="W215" s="94">
        <f>IF(INDEX(lmic_raw_lb[],MATCH($A215,lmic_raw_lb[[setting]:[setting]],0), MATCH(W$139, lmic_raw_lb[#Headers],0))=0, INDEX(regions_lb[], MATCH($D215, regions_lb[[setting]:[setting]],0), MATCH(W$139, regions_lb[#Headers],0)),INDEX(lmic_raw_lb[],MATCH($A215,lmic_raw_lb[[setting]:[setting]],0), MATCH(W$139, lmic_raw_lb[#Headers],0)))</f>
        <v>3.5488232449821462</v>
      </c>
      <c r="X215" s="94">
        <f>IF(INDEX(lmic_raw_lb[],MATCH($A215,lmic_raw_lb[[setting]:[setting]],0), MATCH(X$139, lmic_raw_lb[#Headers],0))=0, INDEX(regions_lb[], MATCH($D215, regions_lb[[setting]:[setting]],0), MATCH(X$139, regions_lb[#Headers],0)),INDEX(lmic_raw_lb[],MATCH($A215,lmic_raw_lb[[setting]:[setting]],0), MATCH(X$139, lmic_raw_lb[#Headers],0)))</f>
        <v>2.5815948540323519</v>
      </c>
      <c r="Y215" s="94">
        <f>IF(INDEX(lmic_raw_lb[],MATCH($A215,lmic_raw_lb[[setting]:[setting]],0), MATCH(Y$139, lmic_raw_lb[#Headers],0))=0, INDEX(regions_lb[], MATCH($D215, regions_lb[[setting]:[setting]],0), MATCH(Y$139, regions_lb[#Headers],0)),INDEX(lmic_raw_lb[],MATCH($A215,lmic_raw_lb[[setting]:[setting]],0), MATCH(Y$139, lmic_raw_lb[#Headers],0)))</f>
        <v>3.1821848540323519</v>
      </c>
      <c r="Z215" s="94">
        <f>IF(INDEX(lmic_raw_lb[],MATCH($A215,lmic_raw_lb[[setting]:[setting]],0), MATCH(Z$139, lmic_raw_lb[#Headers],0))=0, INDEX(regions_lb[], MATCH($D215, regions_lb[[setting]:[setting]],0), MATCH(Z$139, regions_lb[#Headers],0)),INDEX(lmic_raw_lb[],MATCH($A215,lmic_raw_lb[[setting]:[setting]],0), MATCH(Z$139, lmic_raw_lb[#Headers],0)))</f>
        <v>3.1793898554566642</v>
      </c>
      <c r="AA215" s="94">
        <f>IF(INDEX(lmic_raw_lb[],MATCH($A215,lmic_raw_lb[[setting]:[setting]],0), MATCH(AA$139, lmic_raw_lb[#Headers],0))=0, INDEX(regions_lb[], MATCH($D215, regions_lb[[setting]:[setting]],0), MATCH(AA$139, regions_lb[#Headers],0)),INDEX(lmic_raw_lb[],MATCH($A215,lmic_raw_lb[[setting]:[setting]],0), MATCH(AA$139, lmic_raw_lb[#Headers],0)))</f>
        <v>3.160005515624841</v>
      </c>
      <c r="AB215" s="94">
        <f>IF(INDEX(lmic_raw_lb[],MATCH($A215,lmic_raw_lb[[setting]:[setting]],0), MATCH(AB$139, lmic_raw_lb[#Headers],0))=0, INDEX(regions_lb[], MATCH($D215, regions_lb[[setting]:[setting]],0), MATCH(AB$139, regions_lb[#Headers],0)),INDEX(lmic_raw_lb[],MATCH($A215,lmic_raw_lb[[setting]:[setting]],0), MATCH(AB$139, lmic_raw_lb[#Headers],0)))</f>
        <v>3.760595515624841</v>
      </c>
      <c r="AC215" s="94">
        <f>IF(INDEX(lmic_raw_lb[],MATCH($A215,lmic_raw_lb[[setting]:[setting]],0), MATCH(AC$139, lmic_raw_lb[#Headers],0))=0, INDEX(regions_lb[], MATCH($D215, regions_lb[[setting]:[setting]],0), MATCH(AC$139, regions_lb[#Headers],0)),INDEX(lmic_raw_lb[],MATCH($A215,lmic_raw_lb[[setting]:[setting]],0), MATCH(AC$139, lmic_raw_lb[#Headers],0)))</f>
        <v>1.1507390868381481E-2</v>
      </c>
      <c r="AD215" s="94">
        <f>IF(INDEX(lmic_raw_lb[],MATCH($A215,lmic_raw_lb[[setting]:[setting]],0), MATCH(AD$139, lmic_raw_lb[#Headers],0))=0, INDEX(regions_lb[], MATCH($D215, regions_lb[[setting]:[setting]],0), MATCH(AD$139, regions_lb[#Headers],0)),INDEX(lmic_raw_lb[],MATCH($A215,lmic_raw_lb[[setting]:[setting]],0), MATCH(AD$139, lmic_raw_lb[#Headers],0)))</f>
        <v>6.4229433698983389E-4</v>
      </c>
      <c r="AE215" s="94">
        <f>IF(INDEX(lmic_raw_lb[],MATCH($A215,lmic_raw_lb[[setting]:[setting]],0), MATCH(AE$139, lmic_raw_lb[#Headers],0))=0, INDEX(regions_lb[], MATCH($D215, regions_lb[[setting]:[setting]],0), MATCH(AE$139, regions_lb[#Headers],0)),INDEX(lmic_raw_lb[],MATCH($A215,lmic_raw_lb[[setting]:[setting]],0), MATCH(AE$139, lmic_raw_lb[#Headers],0)))</f>
        <v>3.71274097649877E-4</v>
      </c>
      <c r="AF215" s="94">
        <f>IF(INDEX(lmic_raw_lb[],MATCH($A215,lmic_raw_lb[[setting]:[setting]],0), MATCH(AF$139, lmic_raw_lb[#Headers],0))=0, INDEX(regions_lb[], MATCH($D215, regions_lb[[setting]:[setting]],0), MATCH(AF$139, regions_lb[#Headers],0)),INDEX(lmic_raw_lb[],MATCH($A215,lmic_raw_lb[[setting]:[setting]],0), MATCH(AF$139, lmic_raw_lb[#Headers],0)))</f>
        <v>2.9243063494576338E-4</v>
      </c>
      <c r="AG215" s="94">
        <f>IF(INDEX(lmic_raw_lb[],MATCH($A215,lmic_raw_lb[[setting]:[setting]],0), MATCH(AG$139, lmic_raw_lb[#Headers],0))=0, INDEX(regions_lb[], MATCH($D215, regions_lb[[setting]:[setting]],0), MATCH(AG$139, regions_lb[#Headers],0)),INDEX(lmic_raw_lb[],MATCH($A215,lmic_raw_lb[[setting]:[setting]],0), MATCH(AG$139, lmic_raw_lb[#Headers],0)))</f>
        <v>4.6497132841182947E-4</v>
      </c>
      <c r="AH215" s="94">
        <f>IF(INDEX(lmic_raw_lb[],MATCH($A215,lmic_raw_lb[[setting]:[setting]],0), MATCH(AH$139, lmic_raw_lb[#Headers],0))=0, INDEX(regions_lb[], MATCH($D215, regions_lb[[setting]:[setting]],0), MATCH(AH$139, regions_lb[#Headers],0)),INDEX(lmic_raw_lb[],MATCH($A215,lmic_raw_lb[[setting]:[setting]],0), MATCH(AH$139, lmic_raw_lb[#Headers],0)))</f>
        <v>6.469164862597487E-4</v>
      </c>
      <c r="AI215" s="94">
        <f>IF(INDEX(lmic_raw_lb[],MATCH($A215,lmic_raw_lb[[setting]:[setting]],0), MATCH(AI$139, lmic_raw_lb[#Headers],0))=0, INDEX(regions_lb[], MATCH($D215, regions_lb[[setting]:[setting]],0), MATCH(AI$139, regions_lb[#Headers],0)),INDEX(lmic_raw_lb[],MATCH($A215,lmic_raw_lb[[setting]:[setting]],0), MATCH(AI$139, lmic_raw_lb[#Headers],0)))</f>
        <v>8.0772691414096294E-4</v>
      </c>
      <c r="AJ215" s="94">
        <f>IF(INDEX(lmic_raw_lb[],MATCH($A215,lmic_raw_lb[[setting]:[setting]],0), MATCH(AJ$139, lmic_raw_lb[#Headers],0))=0, INDEX(regions_lb[], MATCH($D215, regions_lb[[setting]:[setting]],0), MATCH(AJ$139, regions_lb[#Headers],0)),INDEX(lmic_raw_lb[],MATCH($A215,lmic_raw_lb[[setting]:[setting]],0), MATCH(AJ$139, lmic_raw_lb[#Headers],0)))</f>
        <v>1.0054909339798793E-3</v>
      </c>
      <c r="AK215" s="94">
        <f>IF(INDEX(lmic_raw_lb[],MATCH($A215,lmic_raw_lb[[setting]:[setting]],0), MATCH(AK$139, lmic_raw_lb[#Headers],0))=0, INDEX(regions_lb[], MATCH($D215, regions_lb[[setting]:[setting]],0), MATCH(AK$139, regions_lb[#Headers],0)),INDEX(lmic_raw_lb[],MATCH($A215,lmic_raw_lb[[setting]:[setting]],0), MATCH(AK$139, lmic_raw_lb[#Headers],0)))</f>
        <v>1.2915528273650496E-3</v>
      </c>
      <c r="AL215" s="94">
        <f>IF(INDEX(lmic_raw_lb[],MATCH($A215,lmic_raw_lb[[setting]:[setting]],0), MATCH(AL$139, lmic_raw_lb[#Headers],0))=0, INDEX(regions_lb[], MATCH($D215, regions_lb[[setting]:[setting]],0), MATCH(AL$139, regions_lb[#Headers],0)),INDEX(lmic_raw_lb[],MATCH($A215,lmic_raw_lb[[setting]:[setting]],0), MATCH(AL$139, lmic_raw_lb[#Headers],0)))</f>
        <v>1.8179999544319203E-3</v>
      </c>
      <c r="AM215" s="94">
        <f>IF(INDEX(lmic_raw_lb[],MATCH($A215,lmic_raw_lb[[setting]:[setting]],0), MATCH(AM$139, lmic_raw_lb[#Headers],0))=0, INDEX(regions_lb[], MATCH($D215, regions_lb[[setting]:[setting]],0), MATCH(AM$139, regions_lb[#Headers],0)),INDEX(lmic_raw_lb[],MATCH($A215,lmic_raw_lb[[setting]:[setting]],0), MATCH(AM$139, lmic_raw_lb[#Headers],0)))</f>
        <v>2.6646480782829374E-3</v>
      </c>
      <c r="AN215" s="94">
        <f>IF(INDEX(lmic_raw_lb[],MATCH($A215,lmic_raw_lb[[setting]:[setting]],0), MATCH(AN$139, lmic_raw_lb[#Headers],0))=0, INDEX(regions_lb[], MATCH($D215, regions_lb[[setting]:[setting]],0), MATCH(AN$139, regions_lb[#Headers],0)),INDEX(lmic_raw_lb[],MATCH($A215,lmic_raw_lb[[setting]:[setting]],0), MATCH(AN$139, lmic_raw_lb[#Headers],0)))</f>
        <v>4.2438289474617894E-3</v>
      </c>
      <c r="AO215" s="94">
        <f>IF(INDEX(lmic_raw_lb[],MATCH($A215,lmic_raw_lb[[setting]:[setting]],0), MATCH(AO$139, lmic_raw_lb[#Headers],0))=0, INDEX(regions_lb[], MATCH($D215, regions_lb[[setting]:[setting]],0), MATCH(AO$139, regions_lb[#Headers],0)),INDEX(lmic_raw_lb[],MATCH($A215,lmic_raw_lb[[setting]:[setting]],0), MATCH(AO$139, lmic_raw_lb[#Headers],0)))</f>
        <v>6.7918976984977465E-3</v>
      </c>
      <c r="AP215" s="94">
        <f>IF(INDEX(lmic_raw_lb[],MATCH($A215,lmic_raw_lb[[setting]:[setting]],0), MATCH(AP$139, lmic_raw_lb[#Headers],0))=0, INDEX(regions_lb[], MATCH($D215, regions_lb[[setting]:[setting]],0), MATCH(AP$139, regions_lb[#Headers],0)),INDEX(lmic_raw_lb[],MATCH($A215,lmic_raw_lb[[setting]:[setting]],0), MATCH(AP$139, lmic_raw_lb[#Headers],0)))</f>
        <v>1.1516697256113893E-2</v>
      </c>
      <c r="AQ215" s="94">
        <f>IF(INDEX(lmic_raw_lb[],MATCH($A215,lmic_raw_lb[[setting]:[setting]],0), MATCH(AQ$139, lmic_raw_lb[#Headers],0))=0, INDEX(regions_lb[], MATCH($D215, regions_lb[[setting]:[setting]],0), MATCH(AQ$139, regions_lb[#Headers],0)),INDEX(lmic_raw_lb[],MATCH($A215,lmic_raw_lb[[setting]:[setting]],0), MATCH(AQ$139, lmic_raw_lb[#Headers],0)))</f>
        <v>1.9364389154973488E-2</v>
      </c>
      <c r="AR215" s="94">
        <f>IF(INDEX(lmic_raw_lb[],MATCH($A215,lmic_raw_lb[[setting]:[setting]],0), MATCH(AR$139, lmic_raw_lb[#Headers],0))=0, INDEX(regions_lb[], MATCH($D215, regions_lb[[setting]:[setting]],0), MATCH(AR$139, regions_lb[#Headers],0)),INDEX(lmic_raw_lb[],MATCH($A215,lmic_raw_lb[[setting]:[setting]],0), MATCH(AR$139, lmic_raw_lb[#Headers],0)))</f>
        <v>3.2698337226517778E-2</v>
      </c>
      <c r="AS215" s="94">
        <f>IF(INDEX(lmic_raw_lb[],MATCH($A215,lmic_raw_lb[[setting]:[setting]],0), MATCH(AS$139, lmic_raw_lb[#Headers],0))=0, INDEX(regions_lb[], MATCH($D215, regions_lb[[setting]:[setting]],0), MATCH(AS$139, regions_lb[#Headers],0)),INDEX(lmic_raw_lb[],MATCH($A215,lmic_raw_lb[[setting]:[setting]],0), MATCH(AS$139, lmic_raw_lb[#Headers],0)))</f>
        <v>5.1171751447892391E-2</v>
      </c>
      <c r="AT215" s="94">
        <f>IF(INDEX(lmic_raw_lb[],MATCH($A215,lmic_raw_lb[[setting]:[setting]],0), MATCH(AT$139, lmic_raw_lb[#Headers],0))=0, INDEX(regions_lb[], MATCH($D215, regions_lb[[setting]:[setting]],0), MATCH(AT$139, regions_lb[#Headers],0)),INDEX(lmic_raw_lb[],MATCH($A215,lmic_raw_lb[[setting]:[setting]],0), MATCH(AT$139, lmic_raw_lb[#Headers],0)))</f>
        <v>7.2980537448630436E-2</v>
      </c>
      <c r="AU215" s="94">
        <f>IF(INDEX(lmic_raw_lb[],MATCH($A215,lmic_raw_lb[[setting]:[setting]],0), MATCH(AU$139, lmic_raw_lb[#Headers],0))=0, INDEX(regions_lb[], MATCH($D215, regions_lb[[setting]:[setting]],0), MATCH(AU$139, regions_lb[#Headers],0)),INDEX(lmic_raw_lb[],MATCH($A215,lmic_raw_lb[[setting]:[setting]],0), MATCH(AU$139, lmic_raw_lb[#Headers],0)))</f>
        <v>0.10060939502198542</v>
      </c>
      <c r="AV215" s="94">
        <f>IF(INDEX(lmic_raw_lb[],MATCH($A215,lmic_raw_lb[[setting]:[setting]],0), MATCH(AV$139, lmic_raw_lb[#Headers],0))=0, INDEX(regions_lb[], MATCH($D215, regions_lb[[setting]:[setting]],0), MATCH(AV$139, regions_lb[#Headers],0)),INDEX(lmic_raw_lb[],MATCH($A215,lmic_raw_lb[[setting]:[setting]],0), MATCH(AV$139, lmic_raw_lb[#Headers],0)))</f>
        <v>0.12550463857200858</v>
      </c>
      <c r="AW215" s="94">
        <f>IF(INDEX(lmic_raw_lb[],MATCH($A215,lmic_raw_lb[[setting]:[setting]],0), MATCH(AW$139, lmic_raw_lb[#Headers],0))=0, INDEX(regions_lb[], MATCH($D215, regions_lb[[setting]:[setting]],0), MATCH(AW$139, regions_lb[#Headers],0)),INDEX(lmic_raw_lb[],MATCH($A215,lmic_raw_lb[[setting]:[setting]],0), MATCH(AW$139, lmic_raw_lb[#Headers],0)))</f>
        <v>0.14642284490897409</v>
      </c>
      <c r="AX215" s="94">
        <f>IF(INDEX(lmic_raw_lb[],MATCH($A215,lmic_raw_lb[[setting]:[setting]],0), MATCH(AX$139, lmic_raw_lb[#Headers],0))=0, INDEX(regions_lb[], MATCH($D215, regions_lb[[setting]:[setting]],0), MATCH(AX$139, regions_lb[#Headers],0)),INDEX(lmic_raw_lb[],MATCH($A215,lmic_raw_lb[[setting]:[setting]],0), MATCH(AX$139, lmic_raw_lb[#Headers],0)))</f>
        <v>71.808590600984175</v>
      </c>
      <c r="AY215" s="94" t="str">
        <f>IF(VLOOKUP(lmics_lb[[#This Row],[setting]],lmic_raw_lb[],11,FALSE)=0, "Yes", "No")</f>
        <v>No</v>
      </c>
    </row>
    <row r="216" spans="1:51" x14ac:dyDescent="0.25">
      <c r="A216" s="109" t="s">
        <v>148</v>
      </c>
      <c r="B216" s="101" t="s">
        <v>468</v>
      </c>
      <c r="C216" s="102">
        <v>478</v>
      </c>
      <c r="D216" s="82" t="s">
        <v>677</v>
      </c>
      <c r="E216" s="121" t="s">
        <v>591</v>
      </c>
      <c r="F216" s="98" t="s">
        <v>667</v>
      </c>
      <c r="G216" s="98" t="s">
        <v>678</v>
      </c>
      <c r="H216" s="98"/>
      <c r="I216" s="98"/>
      <c r="J216" s="98">
        <f>IF(INDEX(lmic_raw_lb[],MATCH($A216,lmic_raw_lb[[setting]:[setting]],0), MATCH(J$139, lmic_raw_lb[#Headers],0))=0, INDEX(regions_lb[], MATCH($D216, regions_lb[[setting]:[setting]],0), MATCH(J$139, regions_lb[#Headers],0)),INDEX(lmic_raw_lb[],MATCH($A216,lmic_raw_lb[[setting]:[setting]],0), MATCH(J$139, lmic_raw_lb[#Headers],0)))</f>
        <v>0.65834999999999988</v>
      </c>
      <c r="K216" s="98">
        <f>IF(INDEX(lmic_raw_lb[],MATCH($A216,lmic_raw_lb[[setting]:[setting]],0), MATCH(K$139, lmic_raw_lb[#Headers],0))=0, INDEX(regions_lb[], MATCH($D216, regions_lb[[setting]:[setting]],0), MATCH(K$139, regions_lb[#Headers],0)),INDEX(lmic_raw_lb[],MATCH($A216,lmic_raw_lb[[setting]:[setting]],0), MATCH(K$139, lmic_raw_lb[#Headers],0)))</f>
        <v>0.65789974195504752</v>
      </c>
      <c r="L216" s="98">
        <f>IF(INDEX(lmic_raw_lb[],MATCH($A216,lmic_raw_lb[[setting]:[setting]],0), MATCH(L$139, lmic_raw_lb[#Headers],0))=0, INDEX(regions_lb[], MATCH($D216, regions_lb[[setting]:[setting]],0), MATCH(L$139, regions_lb[#Headers],0)),INDEX(lmic_raw_lb[],MATCH($A216,lmic_raw_lb[[setting]:[setting]],0), MATCH(L$139, lmic_raw_lb[#Headers],0)))</f>
        <v>0.76949999999999996</v>
      </c>
      <c r="M216" s="98">
        <f>IF(INDEX(lmic_raw_lb[],MATCH($A216,lmic_raw_lb[[setting]:[setting]],0), MATCH(M$139, lmic_raw_lb[#Headers],0))=0, INDEX(regions_lb[], MATCH($D216, regions_lb[[setting]:[setting]],0), MATCH(M$139, regions_lb[#Headers],0)),INDEX(lmic_raw_lb[],MATCH($A216,lmic_raw_lb[[setting]:[setting]],0), MATCH(M$139, lmic_raw_lb[#Headers],0)))</f>
        <v>7.9199999999999993E-2</v>
      </c>
      <c r="N216" s="98">
        <f>IF(INDEX(lmic_raw_lb[],MATCH($A216,lmic_raw_lb[[setting]:[setting]],0), MATCH(N$139, lmic_raw_lb[#Headers],0))=0, INDEX(regions_lb[], MATCH($D216, regions_lb[[setting]:[setting]],0), MATCH(N$139, regions_lb[#Headers],0)),INDEX(lmic_raw_lb[],MATCH($A216,lmic_raw_lb[[setting]:[setting]],0), MATCH(N$139, lmic_raw_lb[#Headers],0)))</f>
        <v>0.155</v>
      </c>
      <c r="O216" s="98">
        <f>IF(INDEX(lmic_raw_lb[],MATCH($A216,lmic_raw_lb[[setting]:[setting]],0), MATCH(O$139, lmic_raw_lb[#Headers],0))=0, INDEX(regions_lb[], MATCH($D216, regions_lb[[setting]:[setting]],0), MATCH(O$139, regions_lb[#Headers],0)),INDEX(lmic_raw_lb[],MATCH($A216,lmic_raw_lb[[setting]:[setting]],0), MATCH(O$139, lmic_raw_lb[#Headers],0)))</f>
        <v>7.0000000000000007E-2</v>
      </c>
      <c r="P216" s="98">
        <f>IF(INDEX(lmic_raw_lb[],MATCH($A216,lmic_raw_lb[[setting]:[setting]],0), MATCH(P$139, lmic_raw_lb[#Headers],0))=0, INDEX(regions_lb[], MATCH($D216, regions_lb[[setting]:[setting]],0), MATCH(P$139, regions_lb[#Headers],0)),INDEX(lmic_raw_lb[],MATCH($A216,lmic_raw_lb[[setting]:[setting]],0), MATCH(P$139, lmic_raw_lb[#Headers],0)))</f>
        <v>1E-3</v>
      </c>
      <c r="Q216" s="98">
        <f>IF(INDEX(lmic_raw_lb[],MATCH($A216,lmic_raw_lb[[setting]:[setting]],0), MATCH(Q$139, lmic_raw_lb[#Headers],0))=0, INDEX(regions_lb[], MATCH($D216, regions_lb[[setting]:[setting]],0), MATCH(Q$139, regions_lb[#Headers],0)),INDEX(lmic_raw_lb[],MATCH($A216,lmic_raw_lb[[setting]:[setting]],0), MATCH(Q$139, lmic_raw_lb[#Headers],0)))</f>
        <v>3.3146428535806072</v>
      </c>
      <c r="R216" s="98">
        <f>IF(INDEX(lmic_raw_lb[],MATCH($A216,lmic_raw_lb[[setting]:[setting]],0), MATCH(R$139, lmic_raw_lb[#Headers],0))=0, INDEX(regions_lb[], MATCH($D216, regions_lb[[setting]:[setting]],0), MATCH(R$139, regions_lb[#Headers],0)),INDEX(lmic_raw_lb[],MATCH($A216,lmic_raw_lb[[setting]:[setting]],0), MATCH(R$139, lmic_raw_lb[#Headers],0)))</f>
        <v>28.424474999999997</v>
      </c>
      <c r="S216" s="98">
        <f>IF(INDEX(lmic_raw_lb[],MATCH($A216,lmic_raw_lb[[setting]:[setting]],0), MATCH(S$139, lmic_raw_lb[#Headers],0))=0, INDEX(regions_lb[], MATCH($D216, regions_lb[[setting]:[setting]],0), MATCH(S$139, regions_lb[#Headers],0)),INDEX(lmic_raw_lb[],MATCH($A216,lmic_raw_lb[[setting]:[setting]],0), MATCH(S$139, lmic_raw_lb[#Headers],0)))</f>
        <v>73.779375000000002</v>
      </c>
      <c r="T216" s="98">
        <f>IF(INDEX(lmic_raw_lb[],MATCH($A216,lmic_raw_lb[[setting]:[setting]],0), MATCH(T$139, lmic_raw_lb[#Headers],0))=0, INDEX(regions_lb[], MATCH($D216, regions_lb[[setting]:[setting]],0), MATCH(T$139, regions_lb[#Headers],0)),INDEX(lmic_raw_lb[],MATCH($A216,lmic_raw_lb[[setting]:[setting]],0), MATCH(T$139, lmic_raw_lb[#Headers],0)))</f>
        <v>73.779375000000002</v>
      </c>
      <c r="U216" s="98">
        <f>IF(INDEX(lmic_raw_lb[],MATCH($A216,lmic_raw_lb[[setting]:[setting]],0), MATCH(U$139, lmic_raw_lb[#Headers],0))=0, INDEX(regions_lb[], MATCH($D216, regions_lb[[setting]:[setting]],0), MATCH(U$139, regions_lb[#Headers],0)),INDEX(lmic_raw_lb[],MATCH($A216,lmic_raw_lb[[setting]:[setting]],0), MATCH(U$139, lmic_raw_lb[#Headers],0)))</f>
        <v>73.779375000000002</v>
      </c>
      <c r="V216" s="98">
        <f>IF(INDEX(lmic_raw_lb[],MATCH($A216,lmic_raw_lb[[setting]:[setting]],0), MATCH(V$139, lmic_raw_lb[#Headers],0))=0, INDEX(regions_lb[], MATCH($D216, regions_lb[[setting]:[setting]],0), MATCH(V$139, regions_lb[#Headers],0)),INDEX(lmic_raw_lb[],MATCH($A216,lmic_raw_lb[[setting]:[setting]],0), MATCH(V$139, lmic_raw_lb[#Headers],0)))</f>
        <v>1.1853079083129909</v>
      </c>
      <c r="W216" s="98">
        <f>IF(INDEX(lmic_raw_lb[],MATCH($A216,lmic_raw_lb[[setting]:[setting]],0), MATCH(W$139, lmic_raw_lb[#Headers],0))=0, INDEX(regions_lb[], MATCH($D216, regions_lb[[setting]:[setting]],0), MATCH(W$139, regions_lb[#Headers],0)),INDEX(lmic_raw_lb[],MATCH($A216,lmic_raw_lb[[setting]:[setting]],0), MATCH(W$139, lmic_raw_lb[#Headers],0)))</f>
        <v>5.7725729083129913</v>
      </c>
      <c r="X216" s="98">
        <f>IF(INDEX(lmic_raw_lb[],MATCH($A216,lmic_raw_lb[[setting]:[setting]],0), MATCH(X$139, lmic_raw_lb[#Headers],0))=0, INDEX(regions_lb[], MATCH($D216, regions_lb[[setting]:[setting]],0), MATCH(X$139, regions_lb[#Headers],0)),INDEX(lmic_raw_lb[],MATCH($A216,lmic_raw_lb[[setting]:[setting]],0), MATCH(X$139, lmic_raw_lb[#Headers],0)))</f>
        <v>0.81933877363873131</v>
      </c>
      <c r="Y216" s="98">
        <f>IF(INDEX(lmic_raw_lb[],MATCH($A216,lmic_raw_lb[[setting]:[setting]],0), MATCH(Y$139, lmic_raw_lb[#Headers],0))=0, INDEX(regions_lb[], MATCH($D216, regions_lb[[setting]:[setting]],0), MATCH(Y$139, regions_lb[#Headers],0)),INDEX(lmic_raw_lb[],MATCH($A216,lmic_raw_lb[[setting]:[setting]],0), MATCH(Y$139, lmic_raw_lb[#Headers],0)))</f>
        <v>5.4066037736387313</v>
      </c>
      <c r="Z216" s="98">
        <f>IF(INDEX(lmic_raw_lb[],MATCH($A216,lmic_raw_lb[[setting]:[setting]],0), MATCH(Z$139, lmic_raw_lb[#Headers],0))=0, INDEX(regions_lb[], MATCH($D216, regions_lb[[setting]:[setting]],0), MATCH(Z$139, regions_lb[#Headers],0)),INDEX(lmic_raw_lb[],MATCH($A216,lmic_raw_lb[[setting]:[setting]],0), MATCH(Z$139, lmic_raw_lb[#Headers],0)))</f>
        <v>5.4040750830981565</v>
      </c>
      <c r="AA216" s="98">
        <f>IF(INDEX(lmic_raw_lb[],MATCH($A216,lmic_raw_lb[[setting]:[setting]],0), MATCH(AA$139, lmic_raw_lb[#Headers],0))=0, INDEX(regions_lb[], MATCH($D216, regions_lb[[setting]:[setting]],0), MATCH(AA$139, regions_lb[#Headers],0)),INDEX(lmic_raw_lb[],MATCH($A216,lmic_raw_lb[[setting]:[setting]],0), MATCH(AA$139, lmic_raw_lb[#Headers],0)))</f>
        <v>1.3967933548376001</v>
      </c>
      <c r="AB216" s="98">
        <f>IF(INDEX(lmic_raw_lb[],MATCH($A216,lmic_raw_lb[[setting]:[setting]],0), MATCH(AB$139, lmic_raw_lb[#Headers],0))=0, INDEX(regions_lb[], MATCH($D216, regions_lb[[setting]:[setting]],0), MATCH(AB$139, regions_lb[#Headers],0)),INDEX(lmic_raw_lb[],MATCH($A216,lmic_raw_lb[[setting]:[setting]],0), MATCH(AB$139, lmic_raw_lb[#Headers],0)))</f>
        <v>5.9840583548376003</v>
      </c>
      <c r="AC216" s="98">
        <f>IF(INDEX(lmic_raw_lb[],MATCH($A216,lmic_raw_lb[[setting]:[setting]],0), MATCH(AC$139, lmic_raw_lb[#Headers],0))=0, INDEX(regions_lb[], MATCH($D216, regions_lb[[setting]:[setting]],0), MATCH(AC$139, regions_lb[#Headers],0)),INDEX(lmic_raw_lb[],MATCH($A216,lmic_raw_lb[[setting]:[setting]],0), MATCH(AC$139, lmic_raw_lb[#Headers],0)))</f>
        <v>5.0788538999999966E-2</v>
      </c>
      <c r="AD216" s="98">
        <f>IF(INDEX(lmic_raw_lb[],MATCH($A216,lmic_raw_lb[[setting]:[setting]],0), MATCH(AD$139, lmic_raw_lb[#Headers],0))=0, INDEX(regions_lb[], MATCH($D216, regions_lb[[setting]:[setting]],0), MATCH(AD$139, regions_lb[#Headers],0)),INDEX(lmic_raw_lb[],MATCH($A216,lmic_raw_lb[[setting]:[setting]],0), MATCH(AD$139, lmic_raw_lb[#Headers],0)))</f>
        <v>6.3701566438330928E-3</v>
      </c>
      <c r="AE216" s="98">
        <f>IF(INDEX(lmic_raw_lb[],MATCH($A216,lmic_raw_lb[[setting]:[setting]],0), MATCH(AE$139, lmic_raw_lb[#Headers],0))=0, INDEX(regions_lb[], MATCH($D216, regions_lb[[setting]:[setting]],0), MATCH(AE$139, regions_lb[#Headers],0)),INDEX(lmic_raw_lb[],MATCH($A216,lmic_raw_lb[[setting]:[setting]],0), MATCH(AE$139, lmic_raw_lb[#Headers],0)))</f>
        <v>1.0309950403332392E-3</v>
      </c>
      <c r="AF216" s="98">
        <f>IF(INDEX(lmic_raw_lb[],MATCH($A216,lmic_raw_lb[[setting]:[setting]],0), MATCH(AF$139, lmic_raw_lb[#Headers],0))=0, INDEX(regions_lb[], MATCH($D216, regions_lb[[setting]:[setting]],0), MATCH(AF$139, regions_lb[#Headers],0)),INDEX(lmic_raw_lb[],MATCH($A216,lmic_raw_lb[[setting]:[setting]],0), MATCH(AF$139, lmic_raw_lb[#Headers],0)))</f>
        <v>8.1349629941935967E-4</v>
      </c>
      <c r="AG216" s="98">
        <f>IF(INDEX(lmic_raw_lb[],MATCH($A216,lmic_raw_lb[[setting]:[setting]],0), MATCH(AG$139, lmic_raw_lb[#Headers],0))=0, INDEX(regions_lb[], MATCH($D216, regions_lb[[setting]:[setting]],0), MATCH(AG$139, regions_lb[#Headers],0)),INDEX(lmic_raw_lb[],MATCH($A216,lmic_raw_lb[[setting]:[setting]],0), MATCH(AG$139, lmic_raw_lb[#Headers],0)))</f>
        <v>1.3397897706916107E-3</v>
      </c>
      <c r="AH216" s="98">
        <f>IF(INDEX(lmic_raw_lb[],MATCH($A216,lmic_raw_lb[[setting]:[setting]],0), MATCH(AH$139, lmic_raw_lb[#Headers],0))=0, INDEX(regions_lb[], MATCH($D216, regions_lb[[setting]:[setting]],0), MATCH(AH$139, regions_lb[#Headers],0)),INDEX(lmic_raw_lb[],MATCH($A216,lmic_raw_lb[[setting]:[setting]],0), MATCH(AH$139, lmic_raw_lb[#Headers],0)))</f>
        <v>1.8756972036780776E-3</v>
      </c>
      <c r="AI216" s="98">
        <f>IF(INDEX(lmic_raw_lb[],MATCH($A216,lmic_raw_lb[[setting]:[setting]],0), MATCH(AI$139, lmic_raw_lb[#Headers],0))=0, INDEX(regions_lb[], MATCH($D216, regions_lb[[setting]:[setting]],0), MATCH(AI$139, regions_lb[#Headers],0)),INDEX(lmic_raw_lb[],MATCH($A216,lmic_raw_lb[[setting]:[setting]],0), MATCH(AI$139, lmic_raw_lb[#Headers],0)))</f>
        <v>2.0353033922800921E-3</v>
      </c>
      <c r="AJ216" s="98">
        <f>IF(INDEX(lmic_raw_lb[],MATCH($A216,lmic_raw_lb[[setting]:[setting]],0), MATCH(AJ$139, lmic_raw_lb[#Headers],0))=0, INDEX(regions_lb[], MATCH($D216, regions_lb[[setting]:[setting]],0), MATCH(AJ$139, regions_lb[#Headers],0)),INDEX(lmic_raw_lb[],MATCH($A216,lmic_raw_lb[[setting]:[setting]],0), MATCH(AJ$139, lmic_raw_lb[#Headers],0)))</f>
        <v>2.3353861273031043E-3</v>
      </c>
      <c r="AK216" s="98">
        <f>IF(INDEX(lmic_raw_lb[],MATCH($A216,lmic_raw_lb[[setting]:[setting]],0), MATCH(AK$139, lmic_raw_lb[#Headers],0))=0, INDEX(regions_lb[], MATCH($D216, regions_lb[[setting]:[setting]],0), MATCH(AK$139, regions_lb[#Headers],0)),INDEX(lmic_raw_lb[],MATCH($A216,lmic_raw_lb[[setting]:[setting]],0), MATCH(AK$139, lmic_raw_lb[#Headers],0)))</f>
        <v>2.9359694318449297E-3</v>
      </c>
      <c r="AL216" s="98">
        <f>IF(INDEX(lmic_raw_lb[],MATCH($A216,lmic_raw_lb[[setting]:[setting]],0), MATCH(AL$139, lmic_raw_lb[#Headers],0))=0, INDEX(regions_lb[], MATCH($D216, regions_lb[[setting]:[setting]],0), MATCH(AL$139, regions_lb[#Headers],0)),INDEX(lmic_raw_lb[],MATCH($A216,lmic_raw_lb[[setting]:[setting]],0), MATCH(AL$139, lmic_raw_lb[#Headers],0)))</f>
        <v>3.960813254597303E-3</v>
      </c>
      <c r="AM216" s="98">
        <f>IF(INDEX(lmic_raw_lb[],MATCH($A216,lmic_raw_lb[[setting]:[setting]],0), MATCH(AM$139, lmic_raw_lb[#Headers],0))=0, INDEX(regions_lb[], MATCH($D216, regions_lb[[setting]:[setting]],0), MATCH(AM$139, regions_lb[#Headers],0)),INDEX(lmic_raw_lb[],MATCH($A216,lmic_raw_lb[[setting]:[setting]],0), MATCH(AM$139, lmic_raw_lb[#Headers],0)))</f>
        <v>5.7058892267120472E-3</v>
      </c>
      <c r="AN216" s="98">
        <f>IF(INDEX(lmic_raw_lb[],MATCH($A216,lmic_raw_lb[[setting]:[setting]],0), MATCH(AN$139, lmic_raw_lb[#Headers],0))=0, INDEX(regions_lb[], MATCH($D216, regions_lb[[setting]:[setting]],0), MATCH(AN$139, regions_lb[#Headers],0)),INDEX(lmic_raw_lb[],MATCH($A216,lmic_raw_lb[[setting]:[setting]],0), MATCH(AN$139, lmic_raw_lb[#Headers],0)))</f>
        <v>8.4430735574909099E-3</v>
      </c>
      <c r="AO216" s="98">
        <f>IF(INDEX(lmic_raw_lb[],MATCH($A216,lmic_raw_lb[[setting]:[setting]],0), MATCH(AO$139, lmic_raw_lb[#Headers],0))=0, INDEX(regions_lb[], MATCH($D216, regions_lb[[setting]:[setting]],0), MATCH(AO$139, regions_lb[#Headers],0)),INDEX(lmic_raw_lb[],MATCH($A216,lmic_raw_lb[[setting]:[setting]],0), MATCH(AO$139, lmic_raw_lb[#Headers],0)))</f>
        <v>1.2645849474961805E-2</v>
      </c>
      <c r="AP216" s="98">
        <f>IF(INDEX(lmic_raw_lb[],MATCH($A216,lmic_raw_lb[[setting]:[setting]],0), MATCH(AP$139, lmic_raw_lb[#Headers],0))=0, INDEX(regions_lb[], MATCH($D216, regions_lb[[setting]:[setting]],0), MATCH(AP$139, regions_lb[#Headers],0)),INDEX(lmic_raw_lb[],MATCH($A216,lmic_raw_lb[[setting]:[setting]],0), MATCH(AP$139, lmic_raw_lb[#Headers],0)))</f>
        <v>1.9247844416728156E-2</v>
      </c>
      <c r="AQ216" s="98">
        <f>IF(INDEX(lmic_raw_lb[],MATCH($A216,lmic_raw_lb[[setting]:[setting]],0), MATCH(AQ$139, lmic_raw_lb[#Headers],0))=0, INDEX(regions_lb[], MATCH($D216, regions_lb[[setting]:[setting]],0), MATCH(AQ$139, regions_lb[#Headers],0)),INDEX(lmic_raw_lb[],MATCH($A216,lmic_raw_lb[[setting]:[setting]],0), MATCH(AQ$139, lmic_raw_lb[#Headers],0)))</f>
        <v>2.9395890883833334E-2</v>
      </c>
      <c r="AR216" s="98">
        <f>IF(INDEX(lmic_raw_lb[],MATCH($A216,lmic_raw_lb[[setting]:[setting]],0), MATCH(AR$139, lmic_raw_lb[#Headers],0))=0, INDEX(regions_lb[], MATCH($D216, regions_lb[[setting]:[setting]],0), MATCH(AR$139, regions_lb[#Headers],0)),INDEX(lmic_raw_lb[],MATCH($A216,lmic_raw_lb[[setting]:[setting]],0), MATCH(AR$139, lmic_raw_lb[#Headers],0)))</f>
        <v>4.5204664221939167E-2</v>
      </c>
      <c r="AS216" s="98">
        <f>IF(INDEX(lmic_raw_lb[],MATCH($A216,lmic_raw_lb[[setting]:[setting]],0), MATCH(AS$139, lmic_raw_lb[#Headers],0))=0, INDEX(regions_lb[], MATCH($D216, regions_lb[[setting]:[setting]],0), MATCH(AS$139, regions_lb[#Headers],0)),INDEX(lmic_raw_lb[],MATCH($A216,lmic_raw_lb[[setting]:[setting]],0), MATCH(AS$139, lmic_raw_lb[#Headers],0)))</f>
        <v>6.7948878119314951E-2</v>
      </c>
      <c r="AT216" s="98">
        <f>IF(INDEX(lmic_raw_lb[],MATCH($A216,lmic_raw_lb[[setting]:[setting]],0), MATCH(AT$139, lmic_raw_lb[#Headers],0))=0, INDEX(regions_lb[], MATCH($D216, regions_lb[[setting]:[setting]],0), MATCH(AT$139, regions_lb[#Headers],0)),INDEX(lmic_raw_lb[],MATCH($A216,lmic_raw_lb[[setting]:[setting]],0), MATCH(AT$139, lmic_raw_lb[#Headers],0)))</f>
        <v>9.7808108107710359E-2</v>
      </c>
      <c r="AU216" s="98">
        <f>IF(INDEX(lmic_raw_lb[],MATCH($A216,lmic_raw_lb[[setting]:[setting]],0), MATCH(AU$139, lmic_raw_lb[#Headers],0))=0, INDEX(regions_lb[], MATCH($D216, regions_lb[[setting]:[setting]],0), MATCH(AU$139, regions_lb[#Headers],0)),INDEX(lmic_raw_lb[],MATCH($A216,lmic_raw_lb[[setting]:[setting]],0), MATCH(AU$139, lmic_raw_lb[#Headers],0)))</f>
        <v>0.12919281889273748</v>
      </c>
      <c r="AV216" s="98">
        <f>IF(INDEX(lmic_raw_lb[],MATCH($A216,lmic_raw_lb[[setting]:[setting]],0), MATCH(AV$139, lmic_raw_lb[#Headers],0))=0, INDEX(regions_lb[], MATCH($D216, regions_lb[[setting]:[setting]],0), MATCH(AV$139, regions_lb[#Headers],0)),INDEX(lmic_raw_lb[],MATCH($A216,lmic_raw_lb[[setting]:[setting]],0), MATCH(AV$139, lmic_raw_lb[#Headers],0)))</f>
        <v>0.15450957696918016</v>
      </c>
      <c r="AW216" s="98">
        <f>IF(INDEX(lmic_raw_lb[],MATCH($A216,lmic_raw_lb[[setting]:[setting]],0), MATCH(AW$139, lmic_raw_lb[#Headers],0))=0, INDEX(regions_lb[], MATCH($D216, regions_lb[[setting]:[setting]],0), MATCH(AW$139, regions_lb[#Headers],0)),INDEX(lmic_raw_lb[],MATCH($A216,lmic_raw_lb[[setting]:[setting]],0), MATCH(AW$139, lmic_raw_lb[#Headers],0)))</f>
        <v>0.17076640927830899</v>
      </c>
      <c r="AX216" s="98">
        <f>IF(INDEX(lmic_raw_lb[],MATCH($A216,lmic_raw_lb[[setting]:[setting]],0), MATCH(AX$139, lmic_raw_lb[#Headers],0))=0, INDEX(regions_lb[], MATCH($D216, regions_lb[[setting]:[setting]],0), MATCH(AX$139, regions_lb[#Headers],0)),INDEX(lmic_raw_lb[],MATCH($A216,lmic_raw_lb[[setting]:[setting]],0), MATCH(AX$139, lmic_raw_lb[#Headers],0)))</f>
        <v>61.376649999999998</v>
      </c>
      <c r="AY216" s="98" t="str">
        <f>IF(VLOOKUP(lmics_lb[[#This Row],[setting]],lmic_raw_lb[],11,FALSE)=0, "Yes", "No")</f>
        <v>Yes</v>
      </c>
    </row>
    <row r="217" spans="1:51" x14ac:dyDescent="0.25">
      <c r="A217" s="110" t="s">
        <v>109</v>
      </c>
      <c r="B217" s="104" t="s">
        <v>469</v>
      </c>
      <c r="C217" s="105">
        <v>480</v>
      </c>
      <c r="D217" s="84" t="s">
        <v>677</v>
      </c>
      <c r="E217" s="122" t="s">
        <v>598</v>
      </c>
      <c r="F217" s="94" t="s">
        <v>666</v>
      </c>
      <c r="G217" s="94" t="s">
        <v>676</v>
      </c>
      <c r="H217" s="94"/>
      <c r="I217" s="94"/>
      <c r="J217" s="94">
        <f>IF(INDEX(lmic_raw_lb[],MATCH($A217,lmic_raw_lb[[setting]:[setting]],0), MATCH(J$139, lmic_raw_lb[#Headers],0))=0, INDEX(regions_lb[], MATCH($D217, regions_lb[[setting]:[setting]],0), MATCH(J$139, regions_lb[#Headers],0)),INDEX(lmic_raw_lb[],MATCH($A217,lmic_raw_lb[[setting]:[setting]],0), MATCH(J$139, lmic_raw_lb[#Headers],0)))</f>
        <v>0.93480000000000008</v>
      </c>
      <c r="K217" s="94">
        <f>IF(INDEX(lmic_raw_lb[],MATCH($A217,lmic_raw_lb[[setting]:[setting]],0), MATCH(K$139, lmic_raw_lb[#Headers],0))=0, INDEX(regions_lb[], MATCH($D217, regions_lb[[setting]:[setting]],0), MATCH(K$139, regions_lb[#Headers],0)),INDEX(lmic_raw_lb[],MATCH($A217,lmic_raw_lb[[setting]:[setting]],0), MATCH(K$139, lmic_raw_lb[#Headers],0)))</f>
        <v>0.65789974195504752</v>
      </c>
      <c r="L217" s="94">
        <f>IF(INDEX(lmic_raw_lb[],MATCH($A217,lmic_raw_lb[[setting]:[setting]],0), MATCH(L$139, lmic_raw_lb[#Headers],0))=0, INDEX(regions_lb[], MATCH($D217, regions_lb[[setting]:[setting]],0), MATCH(L$139, regions_lb[#Headers],0)),INDEX(lmic_raw_lb[],MATCH($A217,lmic_raw_lb[[setting]:[setting]],0), MATCH(L$139, lmic_raw_lb[#Headers],0)))</f>
        <v>0.92149999999999999</v>
      </c>
      <c r="M217" s="94">
        <f>IF(INDEX(lmic_raw_lb[],MATCH($A217,lmic_raw_lb[[setting]:[setting]],0), MATCH(M$139, lmic_raw_lb[#Headers],0))=0, INDEX(regions_lb[], MATCH($D217, regions_lb[[setting]:[setting]],0), MATCH(M$139, regions_lb[#Headers],0)),INDEX(lmic_raw_lb[],MATCH($A217,lmic_raw_lb[[setting]:[setting]],0), MATCH(M$139, lmic_raw_lb[#Headers],0)))</f>
        <v>2.0999999999999999E-3</v>
      </c>
      <c r="N217" s="94">
        <f>IF(INDEX(lmic_raw_lb[],MATCH($A217,lmic_raw_lb[[setting]:[setting]],0), MATCH(N$139, lmic_raw_lb[#Headers],0))=0, INDEX(regions_lb[], MATCH($D217, regions_lb[[setting]:[setting]],0), MATCH(N$139, regions_lb[#Headers],0)),INDEX(lmic_raw_lb[],MATCH($A217,lmic_raw_lb[[setting]:[setting]],0), MATCH(N$139, lmic_raw_lb[#Headers],0)))</f>
        <v>0.18100000000000002</v>
      </c>
      <c r="O217" s="94">
        <f>IF(INDEX(lmic_raw_lb[],MATCH($A217,lmic_raw_lb[[setting]:[setting]],0), MATCH(O$139, lmic_raw_lb[#Headers],0))=0, INDEX(regions_lb[], MATCH($D217, regions_lb[[setting]:[setting]],0), MATCH(O$139, regions_lb[#Headers],0)),INDEX(lmic_raw_lb[],MATCH($A217,lmic_raw_lb[[setting]:[setting]],0), MATCH(O$139, lmic_raw_lb[#Headers],0)))</f>
        <v>0.7</v>
      </c>
      <c r="P217" s="94">
        <f>IF(INDEX(lmic_raw_lb[],MATCH($A217,lmic_raw_lb[[setting]:[setting]],0), MATCH(P$139, lmic_raw_lb[#Headers],0))=0, INDEX(regions_lb[], MATCH($D217, regions_lb[[setting]:[setting]],0), MATCH(P$139, regions_lb[#Headers],0)),INDEX(lmic_raw_lb[],MATCH($A217,lmic_raw_lb[[setting]:[setting]],0), MATCH(P$139, lmic_raw_lb[#Headers],0)))</f>
        <v>0.05</v>
      </c>
      <c r="Q217" s="94">
        <f>IF(INDEX(lmic_raw_lb[],MATCH($A217,lmic_raw_lb[[setting]:[setting]],0), MATCH(Q$139, lmic_raw_lb[#Headers],0))=0, INDEX(regions_lb[], MATCH($D217, regions_lb[[setting]:[setting]],0), MATCH(Q$139, regions_lb[#Headers],0)),INDEX(lmic_raw_lb[],MATCH($A217,lmic_raw_lb[[setting]:[setting]],0), MATCH(Q$139, lmic_raw_lb[#Headers],0)))</f>
        <v>4.4249775953899046</v>
      </c>
      <c r="R217" s="94">
        <f>IF(INDEX(lmic_raw_lb[],MATCH($A217,lmic_raw_lb[[setting]:[setting]],0), MATCH(R$139, lmic_raw_lb[#Headers],0))=0, INDEX(regions_lb[], MATCH($D217, regions_lb[[setting]:[setting]],0), MATCH(R$139, regions_lb[#Headers],0)),INDEX(lmic_raw_lb[],MATCH($A217,lmic_raw_lb[[setting]:[setting]],0), MATCH(R$139, lmic_raw_lb[#Headers],0)))</f>
        <v>69.430275000000009</v>
      </c>
      <c r="S217" s="94">
        <f>IF(INDEX(lmic_raw_lb[],MATCH($A217,lmic_raw_lb[[setting]:[setting]],0), MATCH(S$139, lmic_raw_lb[#Headers],0))=0, INDEX(regions_lb[], MATCH($D217, regions_lb[[setting]:[setting]],0), MATCH(S$139, regions_lb[#Headers],0)),INDEX(lmic_raw_lb[],MATCH($A217,lmic_raw_lb[[setting]:[setting]],0), MATCH(S$139, lmic_raw_lb[#Headers],0)))</f>
        <v>114.785175</v>
      </c>
      <c r="T217" s="94">
        <f>IF(INDEX(lmic_raw_lb[],MATCH($A217,lmic_raw_lb[[setting]:[setting]],0), MATCH(T$139, lmic_raw_lb[#Headers],0))=0, INDEX(regions_lb[], MATCH($D217, regions_lb[[setting]:[setting]],0), MATCH(T$139, regions_lb[#Headers],0)),INDEX(lmic_raw_lb[],MATCH($A217,lmic_raw_lb[[setting]:[setting]],0), MATCH(T$139, lmic_raw_lb[#Headers],0)))</f>
        <v>114.785175</v>
      </c>
      <c r="U217" s="94">
        <f>IF(INDEX(lmic_raw_lb[],MATCH($A217,lmic_raw_lb[[setting]:[setting]],0), MATCH(U$139, lmic_raw_lb[#Headers],0))=0, INDEX(regions_lb[], MATCH($D217, regions_lb[[setting]:[setting]],0), MATCH(U$139, regions_lb[#Headers],0)),INDEX(lmic_raw_lb[],MATCH($A217,lmic_raw_lb[[setting]:[setting]],0), MATCH(U$139, lmic_raw_lb[#Headers],0)))</f>
        <v>114.785175</v>
      </c>
      <c r="V217" s="94">
        <f>IF(INDEX(lmic_raw_lb[],MATCH($A217,lmic_raw_lb[[setting]:[setting]],0), MATCH(V$139, lmic_raw_lb[#Headers],0))=0, INDEX(regions_lb[], MATCH($D217, regions_lb[[setting]:[setting]],0), MATCH(V$139, regions_lb[#Headers],0)),INDEX(lmic_raw_lb[],MATCH($A217,lmic_raw_lb[[setting]:[setting]],0), MATCH(V$139, lmic_raw_lb[#Headers],0)))</f>
        <v>4.1772010197199005</v>
      </c>
      <c r="W217" s="94">
        <f>IF(INDEX(lmic_raw_lb[],MATCH($A217,lmic_raw_lb[[setting]:[setting]],0), MATCH(W$139, lmic_raw_lb[#Headers],0))=0, INDEX(regions_lb[], MATCH($D217, regions_lb[[setting]:[setting]],0), MATCH(W$139, regions_lb[#Headers],0)),INDEX(lmic_raw_lb[],MATCH($A217,lmic_raw_lb[[setting]:[setting]],0), MATCH(W$139, lmic_raw_lb[#Headers],0)))</f>
        <v>4.7777910197199009</v>
      </c>
      <c r="X217" s="94">
        <f>IF(INDEX(lmic_raw_lb[],MATCH($A217,lmic_raw_lb[[setting]:[setting]],0), MATCH(X$139, lmic_raw_lb[#Headers],0))=0, INDEX(regions_lb[], MATCH($D217, regions_lb[[setting]:[setting]],0), MATCH(X$139, regions_lb[#Headers],0)),INDEX(lmic_raw_lb[],MATCH($A217,lmic_raw_lb[[setting]:[setting]],0), MATCH(X$139, lmic_raw_lb[#Headers],0)))</f>
        <v>3.8007347215251488</v>
      </c>
      <c r="Y217" s="94">
        <f>IF(INDEX(lmic_raw_lb[],MATCH($A217,lmic_raw_lb[[setting]:[setting]],0), MATCH(Y$139, lmic_raw_lb[#Headers],0))=0, INDEX(regions_lb[], MATCH($D217, regions_lb[[setting]:[setting]],0), MATCH(Y$139, regions_lb[#Headers],0)),INDEX(lmic_raw_lb[],MATCH($A217,lmic_raw_lb[[setting]:[setting]],0), MATCH(Y$139, lmic_raw_lb[#Headers],0)))</f>
        <v>4.4013247215251488</v>
      </c>
      <c r="Z217" s="94">
        <f>IF(INDEX(lmic_raw_lb[],MATCH($A217,lmic_raw_lb[[setting]:[setting]],0), MATCH(Z$139, lmic_raw_lb[#Headers],0))=0, INDEX(regions_lb[], MATCH($D217, regions_lb[[setting]:[setting]],0), MATCH(Z$139, regions_lb[#Headers],0)),INDEX(lmic_raw_lb[],MATCH($A217,lmic_raw_lb[[setting]:[setting]],0), MATCH(Z$139, lmic_raw_lb[#Headers],0)))</f>
        <v>4.3918234971980237</v>
      </c>
      <c r="AA217" s="94">
        <f>IF(INDEX(lmic_raw_lb[],MATCH($A217,lmic_raw_lb[[setting]:[setting]],0), MATCH(AA$139, lmic_raw_lb[#Headers],0))=0, INDEX(regions_lb[], MATCH($D217, regions_lb[[setting]:[setting]],0), MATCH(AA$139, regions_lb[#Headers],0)),INDEX(lmic_raw_lb[],MATCH($A217,lmic_raw_lb[[setting]:[setting]],0), MATCH(AA$139, lmic_raw_lb[#Headers],0)))</f>
        <v>4.3931852506104354</v>
      </c>
      <c r="AB217" s="94">
        <f>IF(INDEX(lmic_raw_lb[],MATCH($A217,lmic_raw_lb[[setting]:[setting]],0), MATCH(AB$139, lmic_raw_lb[#Headers],0))=0, INDEX(regions_lb[], MATCH($D217, regions_lb[[setting]:[setting]],0), MATCH(AB$139, regions_lb[#Headers],0)),INDEX(lmic_raw_lb[],MATCH($A217,lmic_raw_lb[[setting]:[setting]],0), MATCH(AB$139, lmic_raw_lb[#Headers],0)))</f>
        <v>4.9937752506104349</v>
      </c>
      <c r="AC217" s="94">
        <f>IF(INDEX(lmic_raw_lb[],MATCH($A217,lmic_raw_lb[[setting]:[setting]],0), MATCH(AC$139, lmic_raw_lb[#Headers],0))=0, INDEX(regions_lb[], MATCH($D217, regions_lb[[setting]:[setting]],0), MATCH(AC$139, regions_lb[#Headers],0)),INDEX(lmic_raw_lb[],MATCH($A217,lmic_raw_lb[[setting]:[setting]],0), MATCH(AC$139, lmic_raw_lb[#Headers],0)))</f>
        <v>1.0658762500000054E-2</v>
      </c>
      <c r="AD217" s="94">
        <f>IF(INDEX(lmic_raw_lb[],MATCH($A217,lmic_raw_lb[[setting]:[setting]],0), MATCH(AD$139, lmic_raw_lb[#Headers],0))=0, INDEX(regions_lb[], MATCH($D217, regions_lb[[setting]:[setting]],0), MATCH(AD$139, regions_lb[#Headers],0)),INDEX(lmic_raw_lb[],MATCH($A217,lmic_raw_lb[[setting]:[setting]],0), MATCH(AD$139, lmic_raw_lb[#Headers],0)))</f>
        <v>4.7073641994770777E-4</v>
      </c>
      <c r="AE217" s="94">
        <f>IF(INDEX(lmic_raw_lb[],MATCH($A217,lmic_raw_lb[[setting]:[setting]],0), MATCH(AE$139, lmic_raw_lb[#Headers],0))=0, INDEX(regions_lb[], MATCH($D217, regions_lb[[setting]:[setting]],0), MATCH(AE$139, regions_lb[#Headers],0)),INDEX(lmic_raw_lb[],MATCH($A217,lmic_raw_lb[[setting]:[setting]],0), MATCH(AE$139, lmic_raw_lb[#Headers],0)))</f>
        <v>1.3664775731640619E-4</v>
      </c>
      <c r="AF217" s="94">
        <f>IF(INDEX(lmic_raw_lb[],MATCH($A217,lmic_raw_lb[[setting]:[setting]],0), MATCH(AF$139, lmic_raw_lb[#Headers],0))=0, INDEX(regions_lb[], MATCH($D217, regions_lb[[setting]:[setting]],0), MATCH(AF$139, regions_lb[#Headers],0)),INDEX(lmic_raw_lb[],MATCH($A217,lmic_raw_lb[[setting]:[setting]],0), MATCH(AF$139, lmic_raw_lb[#Headers],0)))</f>
        <v>1.8406350962293339E-4</v>
      </c>
      <c r="AG217" s="94">
        <f>IF(INDEX(lmic_raw_lb[],MATCH($A217,lmic_raw_lb[[setting]:[setting]],0), MATCH(AG$139, lmic_raw_lb[#Headers],0))=0, INDEX(regions_lb[], MATCH($D217, regions_lb[[setting]:[setting]],0), MATCH(AG$139, regions_lb[#Headers],0)),INDEX(lmic_raw_lb[],MATCH($A217,lmic_raw_lb[[setting]:[setting]],0), MATCH(AG$139, lmic_raw_lb[#Headers],0)))</f>
        <v>5.2348795888471523E-4</v>
      </c>
      <c r="AH217" s="94">
        <f>IF(INDEX(lmic_raw_lb[],MATCH($A217,lmic_raw_lb[[setting]:[setting]],0), MATCH(AH$139, lmic_raw_lb[#Headers],0))=0, INDEX(regions_lb[], MATCH($D217, regions_lb[[setting]:[setting]],0), MATCH(AH$139, regions_lb[#Headers],0)),INDEX(lmic_raw_lb[],MATCH($A217,lmic_raw_lb[[setting]:[setting]],0), MATCH(AH$139, lmic_raw_lb[#Headers],0)))</f>
        <v>8.3950028476004472E-4</v>
      </c>
      <c r="AI217" s="94">
        <f>IF(INDEX(lmic_raw_lb[],MATCH($A217,lmic_raw_lb[[setting]:[setting]],0), MATCH(AI$139, lmic_raw_lb[#Headers],0))=0, INDEX(regions_lb[], MATCH($D217, regions_lb[[setting]:[setting]],0), MATCH(AI$139, regions_lb[#Headers],0)),INDEX(lmic_raw_lb[],MATCH($A217,lmic_raw_lb[[setting]:[setting]],0), MATCH(AI$139, lmic_raw_lb[#Headers],0)))</f>
        <v>1.1556837505455123E-3</v>
      </c>
      <c r="AJ217" s="94">
        <f>IF(INDEX(lmic_raw_lb[],MATCH($A217,lmic_raw_lb[[setting]:[setting]],0), MATCH(AJ$139, lmic_raw_lb[#Headers],0))=0, INDEX(regions_lb[], MATCH($D217, regions_lb[[setting]:[setting]],0), MATCH(AJ$139, regions_lb[#Headers],0)),INDEX(lmic_raw_lb[],MATCH($A217,lmic_raw_lb[[setting]:[setting]],0), MATCH(AJ$139, lmic_raw_lb[#Headers],0)))</f>
        <v>1.4347150659546808E-3</v>
      </c>
      <c r="AK217" s="94">
        <f>IF(INDEX(lmic_raw_lb[],MATCH($A217,lmic_raw_lb[[setting]:[setting]],0), MATCH(AK$139, lmic_raw_lb[#Headers],0))=0, INDEX(regions_lb[], MATCH($D217, regions_lb[[setting]:[setting]],0), MATCH(AK$139, regions_lb[#Headers],0)),INDEX(lmic_raw_lb[],MATCH($A217,lmic_raw_lb[[setting]:[setting]],0), MATCH(AK$139, lmic_raw_lb[#Headers],0)))</f>
        <v>2.1142379210167929E-3</v>
      </c>
      <c r="AL217" s="94">
        <f>IF(INDEX(lmic_raw_lb[],MATCH($A217,lmic_raw_lb[[setting]:[setting]],0), MATCH(AL$139, lmic_raw_lb[#Headers],0))=0, INDEX(regions_lb[], MATCH($D217, regions_lb[[setting]:[setting]],0), MATCH(AL$139, regions_lb[#Headers],0)),INDEX(lmic_raw_lb[],MATCH($A217,lmic_raw_lb[[setting]:[setting]],0), MATCH(AL$139, lmic_raw_lb[#Headers],0)))</f>
        <v>3.0230336089929039E-3</v>
      </c>
      <c r="AM217" s="94">
        <f>IF(INDEX(lmic_raw_lb[],MATCH($A217,lmic_raw_lb[[setting]:[setting]],0), MATCH(AM$139, lmic_raw_lb[#Headers],0))=0, INDEX(regions_lb[], MATCH($D217, regions_lb[[setting]:[setting]],0), MATCH(AM$139, regions_lb[#Headers],0)),INDEX(lmic_raw_lb[],MATCH($A217,lmic_raw_lb[[setting]:[setting]],0), MATCH(AM$139, lmic_raw_lb[#Headers],0)))</f>
        <v>4.3969258216251311E-3</v>
      </c>
      <c r="AN217" s="94">
        <f>IF(INDEX(lmic_raw_lb[],MATCH($A217,lmic_raw_lb[[setting]:[setting]],0), MATCH(AN$139, lmic_raw_lb[#Headers],0))=0, INDEX(regions_lb[], MATCH($D217, regions_lb[[setting]:[setting]],0), MATCH(AN$139, regions_lb[#Headers],0)),INDEX(lmic_raw_lb[],MATCH($A217,lmic_raw_lb[[setting]:[setting]],0), MATCH(AN$139, lmic_raw_lb[#Headers],0)))</f>
        <v>6.4932344345328781E-3</v>
      </c>
      <c r="AO217" s="94">
        <f>IF(INDEX(lmic_raw_lb[],MATCH($A217,lmic_raw_lb[[setting]:[setting]],0), MATCH(AO$139, lmic_raw_lb[#Headers],0))=0, INDEX(regions_lb[], MATCH($D217, regions_lb[[setting]:[setting]],0), MATCH(AO$139, regions_lb[#Headers],0)),INDEX(lmic_raw_lb[],MATCH($A217,lmic_raw_lb[[setting]:[setting]],0), MATCH(AO$139, lmic_raw_lb[#Headers],0)))</f>
        <v>9.0343615262566991E-3</v>
      </c>
      <c r="AP217" s="94">
        <f>IF(INDEX(lmic_raw_lb[],MATCH($A217,lmic_raw_lb[[setting]:[setting]],0), MATCH(AP$139, lmic_raw_lb[#Headers],0))=0, INDEX(regions_lb[], MATCH($D217, regions_lb[[setting]:[setting]],0), MATCH(AP$139, regions_lb[#Headers],0)),INDEX(lmic_raw_lb[],MATCH($A217,lmic_raw_lb[[setting]:[setting]],0), MATCH(AP$139, lmic_raw_lb[#Headers],0)))</f>
        <v>1.4013320339807114E-2</v>
      </c>
      <c r="AQ217" s="94">
        <f>IF(INDEX(lmic_raw_lb[],MATCH($A217,lmic_raw_lb[[setting]:[setting]],0), MATCH(AQ$139, lmic_raw_lb[#Headers],0))=0, INDEX(regions_lb[], MATCH($D217, regions_lb[[setting]:[setting]],0), MATCH(AQ$139, regions_lb[#Headers],0)),INDEX(lmic_raw_lb[],MATCH($A217,lmic_raw_lb[[setting]:[setting]],0), MATCH(AQ$139, lmic_raw_lb[#Headers],0)))</f>
        <v>2.0068139306526202E-2</v>
      </c>
      <c r="AR217" s="94">
        <f>IF(INDEX(lmic_raw_lb[],MATCH($A217,lmic_raw_lb[[setting]:[setting]],0), MATCH(AR$139, lmic_raw_lb[#Headers],0))=0, INDEX(regions_lb[], MATCH($D217, regions_lb[[setting]:[setting]],0), MATCH(AR$139, regions_lb[#Headers],0)),INDEX(lmic_raw_lb[],MATCH($A217,lmic_raw_lb[[setting]:[setting]],0), MATCH(AR$139, lmic_raw_lb[#Headers],0)))</f>
        <v>3.0323985068246982E-2</v>
      </c>
      <c r="AS217" s="94">
        <f>IF(INDEX(lmic_raw_lb[],MATCH($A217,lmic_raw_lb[[setting]:[setting]],0), MATCH(AS$139, lmic_raw_lb[#Headers],0))=0, INDEX(regions_lb[], MATCH($D217, regions_lb[[setting]:[setting]],0), MATCH(AS$139, regions_lb[#Headers],0)),INDEX(lmic_raw_lb[],MATCH($A217,lmic_raw_lb[[setting]:[setting]],0), MATCH(AS$139, lmic_raw_lb[#Headers],0)))</f>
        <v>4.2939351201416932E-2</v>
      </c>
      <c r="AT217" s="94">
        <f>IF(INDEX(lmic_raw_lb[],MATCH($A217,lmic_raw_lb[[setting]:[setting]],0), MATCH(AT$139, lmic_raw_lb[#Headers],0))=0, INDEX(regions_lb[], MATCH($D217, regions_lb[[setting]:[setting]],0), MATCH(AT$139, regions_lb[#Headers],0)),INDEX(lmic_raw_lb[],MATCH($A217,lmic_raw_lb[[setting]:[setting]],0), MATCH(AT$139, lmic_raw_lb[#Headers],0)))</f>
        <v>6.4188418248803364E-2</v>
      </c>
      <c r="AU217" s="94">
        <f>IF(INDEX(lmic_raw_lb[],MATCH($A217,lmic_raw_lb[[setting]:[setting]],0), MATCH(AU$139, lmic_raw_lb[#Headers],0))=0, INDEX(regions_lb[], MATCH($D217, regions_lb[[setting]:[setting]],0), MATCH(AU$139, regions_lb[#Headers],0)),INDEX(lmic_raw_lb[],MATCH($A217,lmic_raw_lb[[setting]:[setting]],0), MATCH(AU$139, lmic_raw_lb[#Headers],0)))</f>
        <v>8.9982162846982072E-2</v>
      </c>
      <c r="AV217" s="94">
        <f>IF(INDEX(lmic_raw_lb[],MATCH($A217,lmic_raw_lb[[setting]:[setting]],0), MATCH(AV$139, lmic_raw_lb[#Headers],0))=0, INDEX(regions_lb[], MATCH($D217, regions_lb[[setting]:[setting]],0), MATCH(AV$139, regions_lb[#Headers],0)),INDEX(lmic_raw_lb[],MATCH($A217,lmic_raw_lb[[setting]:[setting]],0), MATCH(AV$139, lmic_raw_lb[#Headers],0)))</f>
        <v>0.11623266703021869</v>
      </c>
      <c r="AW217" s="94">
        <f>IF(INDEX(lmic_raw_lb[],MATCH($A217,lmic_raw_lb[[setting]:[setting]],0), MATCH(AW$139, lmic_raw_lb[#Headers],0))=0, INDEX(regions_lb[], MATCH($D217, regions_lb[[setting]:[setting]],0), MATCH(AW$139, regions_lb[#Headers],0)),INDEX(lmic_raw_lb[],MATCH($A217,lmic_raw_lb[[setting]:[setting]],0), MATCH(AW$139, lmic_raw_lb[#Headers],0)))</f>
        <v>0.14035236841560361</v>
      </c>
      <c r="AX217" s="94">
        <f>IF(INDEX(lmic_raw_lb[],MATCH($A217,lmic_raw_lb[[setting]:[setting]],0), MATCH(AX$139, lmic_raw_lb[#Headers],0))=0, INDEX(regions_lb[], MATCH($D217, regions_lb[[setting]:[setting]],0), MATCH(AX$139, regions_lb[#Headers],0)),INDEX(lmic_raw_lb[],MATCH($A217,lmic_raw_lb[[setting]:[setting]],0), MATCH(AX$139, lmic_raw_lb[#Headers],0)))</f>
        <v>71.024850000000001</v>
      </c>
      <c r="AY217" s="94" t="str">
        <f>IF(VLOOKUP(lmics_lb[[#This Row],[setting]],lmic_raw_lb[],11,FALSE)=0, "Yes", "No")</f>
        <v>Yes</v>
      </c>
    </row>
    <row r="218" spans="1:51" x14ac:dyDescent="0.25">
      <c r="A218" s="109" t="s">
        <v>258</v>
      </c>
      <c r="B218" s="101" t="s">
        <v>470</v>
      </c>
      <c r="C218" s="102">
        <v>484</v>
      </c>
      <c r="D218" s="82" t="s">
        <v>679</v>
      </c>
      <c r="E218" s="121" t="s">
        <v>604</v>
      </c>
      <c r="F218" s="98" t="s">
        <v>665</v>
      </c>
      <c r="G218" s="98" t="s">
        <v>676</v>
      </c>
      <c r="H218" s="98"/>
      <c r="I218" s="98"/>
      <c r="J218" s="98">
        <f>IF(INDEX(lmic_raw_lb[],MATCH($A218,lmic_raw_lb[[setting]:[setting]],0), MATCH(J$139, lmic_raw_lb[#Headers],0))=0, INDEX(regions_lb[], MATCH($D218, regions_lb[[setting]:[setting]],0), MATCH(J$139, regions_lb[#Headers],0)),INDEX(lmic_raw_lb[],MATCH($A218,lmic_raw_lb[[setting]:[setting]],0), MATCH(J$139, lmic_raw_lb[#Headers],0)))</f>
        <v>0.92055000000000009</v>
      </c>
      <c r="K218" s="98">
        <f>IF(INDEX(lmic_raw_lb[],MATCH($A218,lmic_raw_lb[[setting]:[setting]],0), MATCH(K$139, lmic_raw_lb[#Headers],0))=0, INDEX(regions_lb[], MATCH($D218, regions_lb[[setting]:[setting]],0), MATCH(K$139, regions_lb[#Headers],0)),INDEX(lmic_raw_lb[],MATCH($A218,lmic_raw_lb[[setting]:[setting]],0), MATCH(K$139, lmic_raw_lb[#Headers],0)))</f>
        <v>0.70839362529601158</v>
      </c>
      <c r="L218" s="98">
        <f>IF(INDEX(lmic_raw_lb[],MATCH($A218,lmic_raw_lb[[setting]:[setting]],0), MATCH(L$139, lmic_raw_lb[#Headers],0))=0, INDEX(regions_lb[], MATCH($D218, regions_lb[[setting]:[setting]],0), MATCH(L$139, regions_lb[#Headers],0)),INDEX(lmic_raw_lb[],MATCH($A218,lmic_raw_lb[[setting]:[setting]],0), MATCH(L$139, lmic_raw_lb[#Headers],0)))</f>
        <v>0.53200000000000003</v>
      </c>
      <c r="M218" s="98">
        <f>IF(INDEX(lmic_raw_lb[],MATCH($A218,lmic_raw_lb[[setting]:[setting]],0), MATCH(M$139, lmic_raw_lb[#Headers],0))=0, INDEX(regions_lb[], MATCH($D218, regions_lb[[setting]:[setting]],0), MATCH(M$139, regions_lb[#Headers],0)),INDEX(lmic_raw_lb[],MATCH($A218,lmic_raw_lb[[setting]:[setting]],0), MATCH(M$139, lmic_raw_lb[#Headers],0)))</f>
        <v>2E-3</v>
      </c>
      <c r="N218" s="98">
        <f>IF(INDEX(lmic_raw_lb[],MATCH($A218,lmic_raw_lb[[setting]:[setting]],0), MATCH(N$139, lmic_raw_lb[#Headers],0))=0, INDEX(regions_lb[], MATCH($D218, regions_lb[[setting]:[setting]],0), MATCH(N$139, regions_lb[#Headers],0)),INDEX(lmic_raw_lb[],MATCH($A218,lmic_raw_lb[[setting]:[setting]],0), MATCH(N$139, lmic_raw_lb[#Headers],0)))</f>
        <v>0.16440000000000002</v>
      </c>
      <c r="O218" s="98">
        <f>IF(INDEX(lmic_raw_lb[],MATCH($A218,lmic_raw_lb[[setting]:[setting]],0), MATCH(O$139, lmic_raw_lb[#Headers],0))=0, INDEX(regions_lb[], MATCH($D218, regions_lb[[setting]:[setting]],0), MATCH(O$139, regions_lb[#Headers],0)),INDEX(lmic_raw_lb[],MATCH($A218,lmic_raw_lb[[setting]:[setting]],0), MATCH(O$139, lmic_raw_lb[#Headers],0)))</f>
        <v>0.7</v>
      </c>
      <c r="P218" s="98">
        <f>IF(INDEX(lmic_raw_lb[],MATCH($A218,lmic_raw_lb[[setting]:[setting]],0), MATCH(P$139, lmic_raw_lb[#Headers],0))=0, INDEX(regions_lb[], MATCH($D218, regions_lb[[setting]:[setting]],0), MATCH(P$139, regions_lb[#Headers],0)),INDEX(lmic_raw_lb[],MATCH($A218,lmic_raw_lb[[setting]:[setting]],0), MATCH(P$139, lmic_raw_lb[#Headers],0)))</f>
        <v>0.05</v>
      </c>
      <c r="Q218" s="98">
        <f>IF(INDEX(lmic_raw_lb[],MATCH($A218,lmic_raw_lb[[setting]:[setting]],0), MATCH(Q$139, lmic_raw_lb[#Headers],0))=0, INDEX(regions_lb[], MATCH($D218, regions_lb[[setting]:[setting]],0), MATCH(Q$139, regions_lb[#Headers],0)),INDEX(lmic_raw_lb[],MATCH($A218,lmic_raw_lb[[setting]:[setting]],0), MATCH(Q$139, lmic_raw_lb[#Headers],0)))</f>
        <v>15.819280647246286</v>
      </c>
      <c r="R218" s="98">
        <f>IF(INDEX(lmic_raw_lb[],MATCH($A218,lmic_raw_lb[[setting]:[setting]],0), MATCH(R$139, lmic_raw_lb[#Headers],0))=0, INDEX(regions_lb[], MATCH($D218, regions_lb[[setting]:[setting]],0), MATCH(R$139, regions_lb[#Headers],0)),INDEX(lmic_raw_lb[],MATCH($A218,lmic_raw_lb[[setting]:[setting]],0), MATCH(R$139, lmic_raw_lb[#Headers],0)))</f>
        <v>82.539704999999998</v>
      </c>
      <c r="S218" s="98">
        <f>IF(INDEX(lmic_raw_lb[],MATCH($A218,lmic_raw_lb[[setting]:[setting]],0), MATCH(S$139, lmic_raw_lb[#Headers],0))=0, INDEX(regions_lb[], MATCH($D218, regions_lb[[setting]:[setting]],0), MATCH(S$139, regions_lb[#Headers],0)),INDEX(lmic_raw_lb[],MATCH($A218,lmic_raw_lb[[setting]:[setting]],0), MATCH(S$139, lmic_raw_lb[#Headers],0)))</f>
        <v>127.894605</v>
      </c>
      <c r="T218" s="98">
        <f>IF(INDEX(lmic_raw_lb[],MATCH($A218,lmic_raw_lb[[setting]:[setting]],0), MATCH(T$139, lmic_raw_lb[#Headers],0))=0, INDEX(regions_lb[], MATCH($D218, regions_lb[[setting]:[setting]],0), MATCH(T$139, regions_lb[#Headers],0)),INDEX(lmic_raw_lb[],MATCH($A218,lmic_raw_lb[[setting]:[setting]],0), MATCH(T$139, lmic_raw_lb[#Headers],0)))</f>
        <v>127.894605</v>
      </c>
      <c r="U218" s="98">
        <f>IF(INDEX(lmic_raw_lb[],MATCH($A218,lmic_raw_lb[[setting]:[setting]],0), MATCH(U$139, lmic_raw_lb[#Headers],0))=0, INDEX(regions_lb[], MATCH($D218, regions_lb[[setting]:[setting]],0), MATCH(U$139, regions_lb[#Headers],0)),INDEX(lmic_raw_lb[],MATCH($A218,lmic_raw_lb[[setting]:[setting]],0), MATCH(U$139, lmic_raw_lb[#Headers],0)))</f>
        <v>127.894605</v>
      </c>
      <c r="V218" s="98">
        <f>IF(INDEX(lmic_raw_lb[],MATCH($A218,lmic_raw_lb[[setting]:[setting]],0), MATCH(V$139, lmic_raw_lb[#Headers],0))=0, INDEX(regions_lb[], MATCH($D218, regions_lb[[setting]:[setting]],0), MATCH(V$139, regions_lb[#Headers],0)),INDEX(lmic_raw_lb[],MATCH($A218,lmic_raw_lb[[setting]:[setting]],0), MATCH(V$139, lmic_raw_lb[#Headers],0)))</f>
        <v>1.1355770334752677</v>
      </c>
      <c r="W218" s="98">
        <f>IF(INDEX(lmic_raw_lb[],MATCH($A218,lmic_raw_lb[[setting]:[setting]],0), MATCH(W$139, lmic_raw_lb[#Headers],0))=0, INDEX(regions_lb[], MATCH($D218, regions_lb[[setting]:[setting]],0), MATCH(W$139, regions_lb[#Headers],0)),INDEX(lmic_raw_lb[],MATCH($A218,lmic_raw_lb[[setting]:[setting]],0), MATCH(W$139, lmic_raw_lb[#Headers],0)))</f>
        <v>1.1562870334752677</v>
      </c>
      <c r="X218" s="98">
        <f>IF(INDEX(lmic_raw_lb[],MATCH($A218,lmic_raw_lb[[setting]:[setting]],0), MATCH(X$139, lmic_raw_lb[#Headers],0))=0, INDEX(regions_lb[], MATCH($D218, regions_lb[[setting]:[setting]],0), MATCH(X$139, regions_lb[#Headers],0)),INDEX(lmic_raw_lb[],MATCH($A218,lmic_raw_lb[[setting]:[setting]],0), MATCH(X$139, lmic_raw_lb[#Headers],0)))</f>
        <v>0.76039708255771765</v>
      </c>
      <c r="Y218" s="98">
        <f>IF(INDEX(lmic_raw_lb[],MATCH($A218,lmic_raw_lb[[setting]:[setting]],0), MATCH(Y$139, lmic_raw_lb[#Headers],0))=0, INDEX(regions_lb[], MATCH($D218, regions_lb[[setting]:[setting]],0), MATCH(Y$139, regions_lb[#Headers],0)),INDEX(lmic_raw_lb[],MATCH($A218,lmic_raw_lb[[setting]:[setting]],0), MATCH(Y$139, lmic_raw_lb[#Headers],0)))</f>
        <v>0.78110708255771766</v>
      </c>
      <c r="Z218" s="98">
        <f>IF(INDEX(lmic_raw_lb[],MATCH($A218,lmic_raw_lb[[setting]:[setting]],0), MATCH(Z$139, lmic_raw_lb[#Headers],0))=0, INDEX(regions_lb[], MATCH($D218, regions_lb[[setting]:[setting]],0), MATCH(Z$139, regions_lb[#Headers],0)),INDEX(lmic_raw_lb[],MATCH($A218,lmic_raw_lb[[setting]:[setting]],0), MATCH(Z$139, lmic_raw_lb[#Headers],0)))</f>
        <v>0.77228673146406612</v>
      </c>
      <c r="AA218" s="98">
        <f>IF(INDEX(lmic_raw_lb[],MATCH($A218,lmic_raw_lb[[setting]:[setting]],0), MATCH(AA$139, lmic_raw_lb[#Headers],0))=0, INDEX(regions_lb[], MATCH($D218, regions_lb[[setting]:[setting]],0), MATCH(AA$139, regions_lb[#Headers],0)),INDEX(lmic_raw_lb[],MATCH($A218,lmic_raw_lb[[setting]:[setting]],0), MATCH(AA$139, lmic_raw_lb[#Headers],0)))</f>
        <v>1.3510099726755727</v>
      </c>
      <c r="AB218" s="98">
        <f>IF(INDEX(lmic_raw_lb[],MATCH($A218,lmic_raw_lb[[setting]:[setting]],0), MATCH(AB$139, lmic_raw_lb[#Headers],0))=0, INDEX(regions_lb[], MATCH($D218, regions_lb[[setting]:[setting]],0), MATCH(AB$139, regions_lb[#Headers],0)),INDEX(lmic_raw_lb[],MATCH($A218,lmic_raw_lb[[setting]:[setting]],0), MATCH(AB$139, lmic_raw_lb[#Headers],0)))</f>
        <v>1.3717199726755727</v>
      </c>
      <c r="AC218" s="98">
        <f>IF(INDEX(lmic_raw_lb[],MATCH($A218,lmic_raw_lb[[setting]:[setting]],0), MATCH(AC$139, lmic_raw_lb[#Headers],0))=0, INDEX(regions_lb[], MATCH($D218, regions_lb[[setting]:[setting]],0), MATCH(AC$139, regions_lb[#Headers],0)),INDEX(lmic_raw_lb[],MATCH($A218,lmic_raw_lb[[setting]:[setting]],0), MATCH(AC$139, lmic_raw_lb[#Headers],0)))</f>
        <v>1.2837302499999982E-2</v>
      </c>
      <c r="AD218" s="98">
        <f>IF(INDEX(lmic_raw_lb[],MATCH($A218,lmic_raw_lb[[setting]:[setting]],0), MATCH(AD$139, lmic_raw_lb[#Headers],0))=0, INDEX(regions_lb[], MATCH($D218, regions_lb[[setting]:[setting]],0), MATCH(AD$139, regions_lb[#Headers],0)),INDEX(lmic_raw_lb[],MATCH($A218,lmic_raw_lb[[setting]:[setting]],0), MATCH(AD$139, lmic_raw_lb[#Headers],0)))</f>
        <v>4.9445910111036025E-4</v>
      </c>
      <c r="AE218" s="98">
        <f>IF(INDEX(lmic_raw_lb[],MATCH($A218,lmic_raw_lb[[setting]:[setting]],0), MATCH(AE$139, lmic_raw_lb[#Headers],0))=0, INDEX(regions_lb[], MATCH($D218, regions_lb[[setting]:[setting]],0), MATCH(AE$139, regions_lb[#Headers],0)),INDEX(lmic_raw_lb[],MATCH($A218,lmic_raw_lb[[setting]:[setting]],0), MATCH(AE$139, lmic_raw_lb[#Headers],0)))</f>
        <v>2.4236534066681965E-4</v>
      </c>
      <c r="AF218" s="98">
        <f>IF(INDEX(lmic_raw_lb[],MATCH($A218,lmic_raw_lb[[setting]:[setting]],0), MATCH(AF$139, lmic_raw_lb[#Headers],0))=0, INDEX(regions_lb[], MATCH($D218, regions_lb[[setting]:[setting]],0), MATCH(AF$139, regions_lb[#Headers],0)),INDEX(lmic_raw_lb[],MATCH($A218,lmic_raw_lb[[setting]:[setting]],0), MATCH(AF$139, lmic_raw_lb[#Headers],0)))</f>
        <v>3.4426499792763814E-4</v>
      </c>
      <c r="AG218" s="98">
        <f>IF(INDEX(lmic_raw_lb[],MATCH($A218,lmic_raw_lb[[setting]:[setting]],0), MATCH(AG$139, lmic_raw_lb[#Headers],0))=0, INDEX(regions_lb[], MATCH($D218, regions_lb[[setting]:[setting]],0), MATCH(AG$139, regions_lb[#Headers],0)),INDEX(lmic_raw_lb[],MATCH($A218,lmic_raw_lb[[setting]:[setting]],0), MATCH(AG$139, lmic_raw_lb[#Headers],0)))</f>
        <v>7.2822332300784623E-4</v>
      </c>
      <c r="AH218" s="98">
        <f>IF(INDEX(lmic_raw_lb[],MATCH($A218,lmic_raw_lb[[setting]:[setting]],0), MATCH(AH$139, lmic_raw_lb[#Headers],0))=0, INDEX(regions_lb[], MATCH($D218, regions_lb[[setting]:[setting]],0), MATCH(AH$139, regions_lb[#Headers],0)),INDEX(lmic_raw_lb[],MATCH($A218,lmic_raw_lb[[setting]:[setting]],0), MATCH(AH$139, lmic_raw_lb[#Headers],0)))</f>
        <v>1.1858351659624526E-3</v>
      </c>
      <c r="AI218" s="98">
        <f>IF(INDEX(lmic_raw_lb[],MATCH($A218,lmic_raw_lb[[setting]:[setting]],0), MATCH(AI$139, lmic_raw_lb[#Headers],0))=0, INDEX(regions_lb[], MATCH($D218, regions_lb[[setting]:[setting]],0), MATCH(AI$139, regions_lb[#Headers],0)),INDEX(lmic_raw_lb[],MATCH($A218,lmic_raw_lb[[setting]:[setting]],0), MATCH(AI$139, lmic_raw_lb[#Headers],0)))</f>
        <v>1.489130950328223E-3</v>
      </c>
      <c r="AJ218" s="98">
        <f>IF(INDEX(lmic_raw_lb[],MATCH($A218,lmic_raw_lb[[setting]:[setting]],0), MATCH(AJ$139, lmic_raw_lb[#Headers],0))=0, INDEX(regions_lb[], MATCH($D218, regions_lb[[setting]:[setting]],0), MATCH(AJ$139, regions_lb[#Headers],0)),INDEX(lmic_raw_lb[],MATCH($A218,lmic_raw_lb[[setting]:[setting]],0), MATCH(AJ$139, lmic_raw_lb[#Headers],0)))</f>
        <v>1.7155907178629667E-3</v>
      </c>
      <c r="AK218" s="98">
        <f>IF(INDEX(lmic_raw_lb[],MATCH($A218,lmic_raw_lb[[setting]:[setting]],0), MATCH(AK$139, lmic_raw_lb[#Headers],0))=0, INDEX(regions_lb[], MATCH($D218, regions_lb[[setting]:[setting]],0), MATCH(AK$139, regions_lb[#Headers],0)),INDEX(lmic_raw_lb[],MATCH($A218,lmic_raw_lb[[setting]:[setting]],0), MATCH(AK$139, lmic_raw_lb[#Headers],0)))</f>
        <v>2.0774520782972281E-3</v>
      </c>
      <c r="AL218" s="98">
        <f>IF(INDEX(lmic_raw_lb[],MATCH($A218,lmic_raw_lb[[setting]:[setting]],0), MATCH(AL$139, lmic_raw_lb[#Headers],0))=0, INDEX(regions_lb[], MATCH($D218, regions_lb[[setting]:[setting]],0), MATCH(AL$139, regions_lb[#Headers],0)),INDEX(lmic_raw_lb[],MATCH($A218,lmic_raw_lb[[setting]:[setting]],0), MATCH(AL$139, lmic_raw_lb[#Headers],0)))</f>
        <v>2.7558679507215167E-3</v>
      </c>
      <c r="AM218" s="98">
        <f>IF(INDEX(lmic_raw_lb[],MATCH($A218,lmic_raw_lb[[setting]:[setting]],0), MATCH(AM$139, lmic_raw_lb[#Headers],0))=0, INDEX(regions_lb[], MATCH($D218, regions_lb[[setting]:[setting]],0), MATCH(AM$139, regions_lb[#Headers],0)),INDEX(lmic_raw_lb[],MATCH($A218,lmic_raw_lb[[setting]:[setting]],0), MATCH(AM$139, lmic_raw_lb[#Headers],0)))</f>
        <v>3.9164624583357139E-3</v>
      </c>
      <c r="AN218" s="98">
        <f>IF(INDEX(lmic_raw_lb[],MATCH($A218,lmic_raw_lb[[setting]:[setting]],0), MATCH(AN$139, lmic_raw_lb[#Headers],0))=0, INDEX(regions_lb[], MATCH($D218, regions_lb[[setting]:[setting]],0), MATCH(AN$139, regions_lb[#Headers],0)),INDEX(lmic_raw_lb[],MATCH($A218,lmic_raw_lb[[setting]:[setting]],0), MATCH(AN$139, lmic_raw_lb[#Headers],0)))</f>
        <v>5.7745617330110487E-3</v>
      </c>
      <c r="AO218" s="98">
        <f>IF(INDEX(lmic_raw_lb[],MATCH($A218,lmic_raw_lb[[setting]:[setting]],0), MATCH(AO$139, lmic_raw_lb[#Headers],0))=0, INDEX(regions_lb[], MATCH($D218, regions_lb[[setting]:[setting]],0), MATCH(AO$139, regions_lb[#Headers],0)),INDEX(lmic_raw_lb[],MATCH($A218,lmic_raw_lb[[setting]:[setting]],0), MATCH(AO$139, lmic_raw_lb[#Headers],0)))</f>
        <v>8.634338074562653E-3</v>
      </c>
      <c r="AP218" s="98">
        <f>IF(INDEX(lmic_raw_lb[],MATCH($A218,lmic_raw_lb[[setting]:[setting]],0), MATCH(AP$139, lmic_raw_lb[#Headers],0))=0, INDEX(regions_lb[], MATCH($D218, regions_lb[[setting]:[setting]],0), MATCH(AP$139, regions_lb[#Headers],0)),INDEX(lmic_raw_lb[],MATCH($A218,lmic_raw_lb[[setting]:[setting]],0), MATCH(AP$139, lmic_raw_lb[#Headers],0)))</f>
        <v>1.2922402733861582E-2</v>
      </c>
      <c r="AQ218" s="98">
        <f>IF(INDEX(lmic_raw_lb[],MATCH($A218,lmic_raw_lb[[setting]:[setting]],0), MATCH(AQ$139, lmic_raw_lb[#Headers],0))=0, INDEX(regions_lb[], MATCH($D218, regions_lb[[setting]:[setting]],0), MATCH(AQ$139, regions_lb[#Headers],0)),INDEX(lmic_raw_lb[],MATCH($A218,lmic_raw_lb[[setting]:[setting]],0), MATCH(AQ$139, lmic_raw_lb[#Headers],0)))</f>
        <v>1.9275278055675662E-2</v>
      </c>
      <c r="AR218" s="98">
        <f>IF(INDEX(lmic_raw_lb[],MATCH($A218,lmic_raw_lb[[setting]:[setting]],0), MATCH(AR$139, lmic_raw_lb[#Headers],0))=0, INDEX(regions_lb[], MATCH($D218, regions_lb[[setting]:[setting]],0), MATCH(AR$139, regions_lb[#Headers],0)),INDEX(lmic_raw_lb[],MATCH($A218,lmic_raw_lb[[setting]:[setting]],0), MATCH(AR$139, lmic_raw_lb[#Headers],0)))</f>
        <v>2.8491125987073776E-2</v>
      </c>
      <c r="AS218" s="98">
        <f>IF(INDEX(lmic_raw_lb[],MATCH($A218,lmic_raw_lb[[setting]:[setting]],0), MATCH(AS$139, lmic_raw_lb[#Headers],0))=0, INDEX(regions_lb[], MATCH($D218, regions_lb[[setting]:[setting]],0), MATCH(AS$139, regions_lb[#Headers],0)),INDEX(lmic_raw_lb[],MATCH($A218,lmic_raw_lb[[setting]:[setting]],0), MATCH(AS$139, lmic_raw_lb[#Headers],0)))</f>
        <v>4.1450669254957828E-2</v>
      </c>
      <c r="AT218" s="98">
        <f>IF(INDEX(lmic_raw_lb[],MATCH($A218,lmic_raw_lb[[setting]:[setting]],0), MATCH(AT$139, lmic_raw_lb[#Headers],0))=0, INDEX(regions_lb[], MATCH($D218, regions_lb[[setting]:[setting]],0), MATCH(AT$139, regions_lb[#Headers],0)),INDEX(lmic_raw_lb[],MATCH($A218,lmic_raw_lb[[setting]:[setting]],0), MATCH(AT$139, lmic_raw_lb[#Headers],0)))</f>
        <v>5.8981685553913532E-2</v>
      </c>
      <c r="AU218" s="98">
        <f>IF(INDEX(lmic_raw_lb[],MATCH($A218,lmic_raw_lb[[setting]:[setting]],0), MATCH(AU$139, lmic_raw_lb[#Headers],0))=0, INDEX(regions_lb[], MATCH($D218, regions_lb[[setting]:[setting]],0), MATCH(AU$139, regions_lb[#Headers],0)),INDEX(lmic_raw_lb[],MATCH($A218,lmic_raw_lb[[setting]:[setting]],0), MATCH(AU$139, lmic_raw_lb[#Headers],0)))</f>
        <v>8.1945657136716088E-2</v>
      </c>
      <c r="AV218" s="98">
        <f>IF(INDEX(lmic_raw_lb[],MATCH($A218,lmic_raw_lb[[setting]:[setting]],0), MATCH(AV$139, lmic_raw_lb[#Headers],0))=0, INDEX(regions_lb[], MATCH($D218, regions_lb[[setting]:[setting]],0), MATCH(AV$139, regions_lb[#Headers],0)),INDEX(lmic_raw_lb[],MATCH($A218,lmic_raw_lb[[setting]:[setting]],0), MATCH(AV$139, lmic_raw_lb[#Headers],0)))</f>
        <v>0.11087861754099526</v>
      </c>
      <c r="AW218" s="98">
        <f>IF(INDEX(lmic_raw_lb[],MATCH($A218,lmic_raw_lb[[setting]:[setting]],0), MATCH(AW$139, lmic_raw_lb[#Headers],0))=0, INDEX(regions_lb[], MATCH($D218, regions_lb[[setting]:[setting]],0), MATCH(AW$139, regions_lb[#Headers],0)),INDEX(lmic_raw_lb[],MATCH($A218,lmic_raw_lb[[setting]:[setting]],0), MATCH(AW$139, lmic_raw_lb[#Headers],0)))</f>
        <v>0.14263497998635119</v>
      </c>
      <c r="AX218" s="98">
        <f>IF(INDEX(lmic_raw_lb[],MATCH($A218,lmic_raw_lb[[setting]:[setting]],0), MATCH(AX$139, lmic_raw_lb[#Headers],0))=0, INDEX(regions_lb[], MATCH($D218, regions_lb[[setting]:[setting]],0), MATCH(AX$139, regions_lb[#Headers],0)),INDEX(lmic_raw_lb[],MATCH($A218,lmic_raw_lb[[setting]:[setting]],0), MATCH(AX$139, lmic_raw_lb[#Headers],0)))</f>
        <v>71.228149999999999</v>
      </c>
      <c r="AY218" s="98" t="str">
        <f>IF(VLOOKUP(lmics_lb[[#This Row],[setting]],lmic_raw_lb[],11,FALSE)=0, "Yes", "No")</f>
        <v>Yes</v>
      </c>
    </row>
    <row r="219" spans="1:51" x14ac:dyDescent="0.25">
      <c r="A219" s="82" t="s">
        <v>472</v>
      </c>
      <c r="B219" s="104" t="s">
        <v>471</v>
      </c>
      <c r="C219" s="105">
        <v>583</v>
      </c>
      <c r="D219" s="84" t="s">
        <v>681</v>
      </c>
      <c r="E219" s="122" t="s">
        <v>98</v>
      </c>
      <c r="F219" s="94" t="s">
        <v>666</v>
      </c>
      <c r="G219" s="94" t="s">
        <v>678</v>
      </c>
      <c r="H219" s="94"/>
      <c r="I219" s="94"/>
      <c r="J219" s="94">
        <f>IF(INDEX(lmic_raw_lb[],MATCH($A219,lmic_raw_lb[[setting]:[setting]],0), MATCH(J$139, lmic_raw_lb[#Headers],0))=0, INDEX(regions_lb[], MATCH($D219, regions_lb[[setting]:[setting]],0), MATCH(J$139, regions_lb[#Headers],0)),INDEX(lmic_raw_lb[],MATCH($A219,lmic_raw_lb[[setting]:[setting]],0), MATCH(J$139, lmic_raw_lb[#Headers],0)))</f>
        <v>0.82650000000000001</v>
      </c>
      <c r="K219" s="94">
        <f>IF(INDEX(lmic_raw_lb[],MATCH($A219,lmic_raw_lb[[setting]:[setting]],0), MATCH(K$139, lmic_raw_lb[#Headers],0))=0, INDEX(regions_lb[], MATCH($D219, regions_lb[[setting]:[setting]],0), MATCH(K$139, regions_lb[#Headers],0)),INDEX(lmic_raw_lb[],MATCH($A219,lmic_raw_lb[[setting]:[setting]],0), MATCH(K$139, lmic_raw_lb[#Headers],0)))</f>
        <v>0.66499999999999992</v>
      </c>
      <c r="L219" s="94">
        <f>IF(INDEX(lmic_raw_lb[],MATCH($A219,lmic_raw_lb[[setting]:[setting]],0), MATCH(L$139, lmic_raw_lb[#Headers],0))=0, INDEX(regions_lb[], MATCH($D219, regions_lb[[setting]:[setting]],0), MATCH(L$139, regions_lb[#Headers],0)),INDEX(lmic_raw_lb[],MATCH($A219,lmic_raw_lb[[setting]:[setting]],0), MATCH(L$139, lmic_raw_lb[#Headers],0)))</f>
        <v>0.79799999999999993</v>
      </c>
      <c r="M219" s="94">
        <f>IF(INDEX(lmic_raw_lb[],MATCH($A219,lmic_raw_lb[[setting]:[setting]],0), MATCH(M$139, lmic_raw_lb[#Headers],0))=0, INDEX(regions_lb[], MATCH($D219, regions_lb[[setting]:[setting]],0), MATCH(M$139, regions_lb[#Headers],0)),INDEX(lmic_raw_lb[],MATCH($A219,lmic_raw_lb[[setting]:[setting]],0), MATCH(M$139, lmic_raw_lb[#Headers],0)))</f>
        <v>2.5000000000000001E-2</v>
      </c>
      <c r="N219" s="94">
        <f>IF(INDEX(lmic_raw_lb[],MATCH($A219,lmic_raw_lb[[setting]:[setting]],0), MATCH(N$139, lmic_raw_lb[#Headers],0))=0, INDEX(regions_lb[], MATCH($D219, regions_lb[[setting]:[setting]],0), MATCH(N$139, regions_lb[#Headers],0)),INDEX(lmic_raw_lb[],MATCH($A219,lmic_raw_lb[[setting]:[setting]],0), MATCH(N$139, lmic_raw_lb[#Headers],0)))</f>
        <v>0.1832</v>
      </c>
      <c r="O219" s="94">
        <f>IF(INDEX(lmic_raw_lb[],MATCH($A219,lmic_raw_lb[[setting]:[setting]],0), MATCH(O$139, lmic_raw_lb[#Headers],0))=0, INDEX(regions_lb[], MATCH($D219, regions_lb[[setting]:[setting]],0), MATCH(O$139, regions_lb[#Headers],0)),INDEX(lmic_raw_lb[],MATCH($A219,lmic_raw_lb[[setting]:[setting]],0), MATCH(O$139, lmic_raw_lb[#Headers],0)))</f>
        <v>0.7</v>
      </c>
      <c r="P219" s="94">
        <f>IF(INDEX(lmic_raw_lb[],MATCH($A219,lmic_raw_lb[[setting]:[setting]],0), MATCH(P$139, lmic_raw_lb[#Headers],0))=0, INDEX(regions_lb[], MATCH($D219, regions_lb[[setting]:[setting]],0), MATCH(P$139, regions_lb[#Headers],0)),INDEX(lmic_raw_lb[],MATCH($A219,lmic_raw_lb[[setting]:[setting]],0), MATCH(P$139, lmic_raw_lb[#Headers],0)))</f>
        <v>0.05</v>
      </c>
      <c r="Q219" s="94">
        <f>IF(INDEX(lmic_raw_lb[],MATCH($A219,lmic_raw_lb[[setting]:[setting]],0), MATCH(Q$139, lmic_raw_lb[#Headers],0))=0, INDEX(regions_lb[], MATCH($D219, regions_lb[[setting]:[setting]],0), MATCH(Q$139, regions_lb[#Headers],0)),INDEX(lmic_raw_lb[],MATCH($A219,lmic_raw_lb[[setting]:[setting]],0), MATCH(Q$139, lmic_raw_lb[#Headers],0)))</f>
        <v>7.2611020310224363</v>
      </c>
      <c r="R219" s="94">
        <f>IF(INDEX(lmic_raw_lb[],MATCH($A219,lmic_raw_lb[[setting]:[setting]],0), MATCH(R$139, lmic_raw_lb[#Headers],0))=0, INDEX(regions_lb[], MATCH($D219, regions_lb[[setting]:[setting]],0), MATCH(R$139, regions_lb[#Headers],0)),INDEX(lmic_raw_lb[],MATCH($A219,lmic_raw_lb[[setting]:[setting]],0), MATCH(R$139, lmic_raw_lb[#Headers],0)))</f>
        <v>69.430275000000009</v>
      </c>
      <c r="S219" s="94">
        <f>IF(INDEX(lmic_raw_lb[],MATCH($A219,lmic_raw_lb[[setting]:[setting]],0), MATCH(S$139, lmic_raw_lb[#Headers],0))=0, INDEX(regions_lb[], MATCH($D219, regions_lb[[setting]:[setting]],0), MATCH(S$139, regions_lb[#Headers],0)),INDEX(lmic_raw_lb[],MATCH($A219,lmic_raw_lb[[setting]:[setting]],0), MATCH(S$139, lmic_raw_lb[#Headers],0)))</f>
        <v>114.785175</v>
      </c>
      <c r="T219" s="94">
        <f>IF(INDEX(lmic_raw_lb[],MATCH($A219,lmic_raw_lb[[setting]:[setting]],0), MATCH(T$139, lmic_raw_lb[#Headers],0))=0, INDEX(regions_lb[], MATCH($D219, regions_lb[[setting]:[setting]],0), MATCH(T$139, regions_lb[#Headers],0)),INDEX(lmic_raw_lb[],MATCH($A219,lmic_raw_lb[[setting]:[setting]],0), MATCH(T$139, lmic_raw_lb[#Headers],0)))</f>
        <v>114.785175</v>
      </c>
      <c r="U219" s="94">
        <f>IF(INDEX(lmic_raw_lb[],MATCH($A219,lmic_raw_lb[[setting]:[setting]],0), MATCH(U$139, lmic_raw_lb[#Headers],0))=0, INDEX(regions_lb[], MATCH($D219, regions_lb[[setting]:[setting]],0), MATCH(U$139, regions_lb[#Headers],0)),INDEX(lmic_raw_lb[],MATCH($A219,lmic_raw_lb[[setting]:[setting]],0), MATCH(U$139, lmic_raw_lb[#Headers],0)))</f>
        <v>114.785175</v>
      </c>
      <c r="V219" s="94">
        <f>IF(INDEX(lmic_raw_lb[],MATCH($A219,lmic_raw_lb[[setting]:[setting]],0), MATCH(V$139, lmic_raw_lb[#Headers],0))=0, INDEX(regions_lb[], MATCH($D219, regions_lb[[setting]:[setting]],0), MATCH(V$139, regions_lb[#Headers],0)),INDEX(lmic_raw_lb[],MATCH($A219,lmic_raw_lb[[setting]:[setting]],0), MATCH(V$139, lmic_raw_lb[#Headers],0)))</f>
        <v>2.1433459610092056</v>
      </c>
      <c r="W219" s="94">
        <f>IF(INDEX(lmic_raw_lb[],MATCH($A219,lmic_raw_lb[[setting]:[setting]],0), MATCH(W$139, lmic_raw_lb[#Headers],0))=0, INDEX(regions_lb[], MATCH($D219, regions_lb[[setting]:[setting]],0), MATCH(W$139, regions_lb[#Headers],0)),INDEX(lmic_raw_lb[],MATCH($A219,lmic_raw_lb[[setting]:[setting]],0), MATCH(W$139, lmic_raw_lb[#Headers],0)))</f>
        <v>2.7439359610092056</v>
      </c>
      <c r="X219" s="94">
        <f>IF(INDEX(lmic_raw_lb[],MATCH($A219,lmic_raw_lb[[setting]:[setting]],0), MATCH(X$139, lmic_raw_lb[#Headers],0))=0, INDEX(regions_lb[], MATCH($D219, regions_lb[[setting]:[setting]],0), MATCH(X$139, regions_lb[#Headers],0)),INDEX(lmic_raw_lb[],MATCH($A219,lmic_raw_lb[[setting]:[setting]],0), MATCH(X$139, lmic_raw_lb[#Headers],0)))</f>
        <v>1.7730788046365045</v>
      </c>
      <c r="Y219" s="94">
        <f>IF(INDEX(lmic_raw_lb[],MATCH($A219,lmic_raw_lb[[setting]:[setting]],0), MATCH(Y$139, lmic_raw_lb[#Headers],0))=0, INDEX(regions_lb[], MATCH($D219, regions_lb[[setting]:[setting]],0), MATCH(Y$139, regions_lb[#Headers],0)),INDEX(lmic_raw_lb[],MATCH($A219,lmic_raw_lb[[setting]:[setting]],0), MATCH(Y$139, lmic_raw_lb[#Headers],0)))</f>
        <v>2.3736688046365044</v>
      </c>
      <c r="Z219" s="94">
        <f>IF(INDEX(lmic_raw_lb[],MATCH($A219,lmic_raw_lb[[setting]:[setting]],0), MATCH(Z$139, lmic_raw_lb[#Headers],0))=0, INDEX(regions_lb[], MATCH($D219, regions_lb[[setting]:[setting]],0), MATCH(Z$139, regions_lb[#Headers],0)),INDEX(lmic_raw_lb[],MATCH($A219,lmic_raw_lb[[setting]:[setting]],0), MATCH(Z$139, lmic_raw_lb[#Headers],0)))</f>
        <v>2.3684979463252316</v>
      </c>
      <c r="AA219" s="94">
        <f>IF(INDEX(lmic_raw_lb[],MATCH($A219,lmic_raw_lb[[setting]:[setting]],0), MATCH(AA$139, lmic_raw_lb[#Headers],0))=0, INDEX(regions_lb[], MATCH($D219, regions_lb[[setting]:[setting]],0), MATCH(AA$139, regions_lb[#Headers],0)),INDEX(lmic_raw_lb[],MATCH($A219,lmic_raw_lb[[setting]:[setting]],0), MATCH(AA$139, lmic_raw_lb[#Headers],0)))</f>
        <v>2.3566734168331465</v>
      </c>
      <c r="AB219" s="94">
        <f>IF(INDEX(lmic_raw_lb[],MATCH($A219,lmic_raw_lb[[setting]:[setting]],0), MATCH(AB$139, lmic_raw_lb[#Headers],0))=0, INDEX(regions_lb[], MATCH($D219, regions_lb[[setting]:[setting]],0), MATCH(AB$139, regions_lb[#Headers],0)),INDEX(lmic_raw_lb[],MATCH($A219,lmic_raw_lb[[setting]:[setting]],0), MATCH(AB$139, lmic_raw_lb[#Headers],0)))</f>
        <v>2.9572634168331464</v>
      </c>
      <c r="AC219" s="94">
        <f>IF(INDEX(lmic_raw_lb[],MATCH($A219,lmic_raw_lb[[setting]:[setting]],0), MATCH(AC$139, lmic_raw_lb[#Headers],0))=0, INDEX(regions_lb[], MATCH($D219, regions_lb[[setting]:[setting]],0), MATCH(AC$139, regions_lb[#Headers],0)),INDEX(lmic_raw_lb[],MATCH($A219,lmic_raw_lb[[setting]:[setting]],0), MATCH(AC$139, lmic_raw_lb[#Headers],0)))</f>
        <v>2.2268826499999995E-2</v>
      </c>
      <c r="AD219" s="94">
        <f>IF(INDEX(lmic_raw_lb[],MATCH($A219,lmic_raw_lb[[setting]:[setting]],0), MATCH(AD$139, lmic_raw_lb[#Headers],0))=0, INDEX(regions_lb[], MATCH($D219, regions_lb[[setting]:[setting]],0), MATCH(AD$139, regions_lb[#Headers],0)),INDEX(lmic_raw_lb[],MATCH($A219,lmic_raw_lb[[setting]:[setting]],0), MATCH(AD$139, lmic_raw_lb[#Headers],0)))</f>
        <v>2.0566424892264393E-3</v>
      </c>
      <c r="AE219" s="94">
        <f>IF(INDEX(lmic_raw_lb[],MATCH($A219,lmic_raw_lb[[setting]:[setting]],0), MATCH(AE$139, lmic_raw_lb[#Headers],0))=0, INDEX(regions_lb[], MATCH($D219, regions_lb[[setting]:[setting]],0), MATCH(AE$139, regions_lb[#Headers],0)),INDEX(lmic_raw_lb[],MATCH($A219,lmic_raw_lb[[setting]:[setting]],0), MATCH(AE$139, lmic_raw_lb[#Headers],0)))</f>
        <v>6.0817698273438431E-4</v>
      </c>
      <c r="AF219" s="94">
        <f>IF(INDEX(lmic_raw_lb[],MATCH($A219,lmic_raw_lb[[setting]:[setting]],0), MATCH(AF$139, lmic_raw_lb[#Headers],0))=0, INDEX(regions_lb[], MATCH($D219, regions_lb[[setting]:[setting]],0), MATCH(AF$139, regions_lb[#Headers],0)),INDEX(lmic_raw_lb[],MATCH($A219,lmic_raw_lb[[setting]:[setting]],0), MATCH(AF$139, lmic_raw_lb[#Headers],0)))</f>
        <v>5.2006244037974846E-4</v>
      </c>
      <c r="AG219" s="94">
        <f>IF(INDEX(lmic_raw_lb[],MATCH($A219,lmic_raw_lb[[setting]:[setting]],0), MATCH(AG$139, lmic_raw_lb[#Headers],0))=0, INDEX(regions_lb[], MATCH($D219, regions_lb[[setting]:[setting]],0), MATCH(AG$139, regions_lb[#Headers],0)),INDEX(lmic_raw_lb[],MATCH($A219,lmic_raw_lb[[setting]:[setting]],0), MATCH(AG$139, lmic_raw_lb[#Headers],0)))</f>
        <v>1.0209858997394673E-3</v>
      </c>
      <c r="AH219" s="94">
        <f>IF(INDEX(lmic_raw_lb[],MATCH($A219,lmic_raw_lb[[setting]:[setting]],0), MATCH(AH$139, lmic_raw_lb[#Headers],0))=0, INDEX(regions_lb[], MATCH($D219, regions_lb[[setting]:[setting]],0), MATCH(AH$139, regions_lb[#Headers],0)),INDEX(lmic_raw_lb[],MATCH($A219,lmic_raw_lb[[setting]:[setting]],0), MATCH(AH$139, lmic_raw_lb[#Headers],0)))</f>
        <v>1.3211932623687611E-3</v>
      </c>
      <c r="AI219" s="94">
        <f>IF(INDEX(lmic_raw_lb[],MATCH($A219,lmic_raw_lb[[setting]:[setting]],0), MATCH(AI$139, lmic_raw_lb[#Headers],0))=0, INDEX(regions_lb[], MATCH($D219, regions_lb[[setting]:[setting]],0), MATCH(AI$139, regions_lb[#Headers],0)),INDEX(lmic_raw_lb[],MATCH($A219,lmic_raw_lb[[setting]:[setting]],0), MATCH(AI$139, lmic_raw_lb[#Headers],0)))</f>
        <v>1.4028519285606894E-3</v>
      </c>
      <c r="AJ219" s="94">
        <f>IF(INDEX(lmic_raw_lb[],MATCH($A219,lmic_raw_lb[[setting]:[setting]],0), MATCH(AJ$139, lmic_raw_lb[#Headers],0))=0, INDEX(regions_lb[], MATCH($D219, regions_lb[[setting]:[setting]],0), MATCH(AJ$139, regions_lb[#Headers],0)),INDEX(lmic_raw_lb[],MATCH($A219,lmic_raw_lb[[setting]:[setting]],0), MATCH(AJ$139, lmic_raw_lb[#Headers],0)))</f>
        <v>1.6514360602495643E-3</v>
      </c>
      <c r="AK219" s="94">
        <f>IF(INDEX(lmic_raw_lb[],MATCH($A219,lmic_raw_lb[[setting]:[setting]],0), MATCH(AK$139, lmic_raw_lb[#Headers],0))=0, INDEX(regions_lb[], MATCH($D219, regions_lb[[setting]:[setting]],0), MATCH(AK$139, regions_lb[#Headers],0)),INDEX(lmic_raw_lb[],MATCH($A219,lmic_raw_lb[[setting]:[setting]],0), MATCH(AK$139, lmic_raw_lb[#Headers],0)))</f>
        <v>2.186388687741788E-3</v>
      </c>
      <c r="AL219" s="94">
        <f>IF(INDEX(lmic_raw_lb[],MATCH($A219,lmic_raw_lb[[setting]:[setting]],0), MATCH(AL$139, lmic_raw_lb[#Headers],0))=0, INDEX(regions_lb[], MATCH($D219, regions_lb[[setting]:[setting]],0), MATCH(AL$139, regions_lb[#Headers],0)),INDEX(lmic_raw_lb[],MATCH($A219,lmic_raw_lb[[setting]:[setting]],0), MATCH(AL$139, lmic_raw_lb[#Headers],0)))</f>
        <v>3.0708404370362687E-3</v>
      </c>
      <c r="AM219" s="94">
        <f>IF(INDEX(lmic_raw_lb[],MATCH($A219,lmic_raw_lb[[setting]:[setting]],0), MATCH(AM$139, lmic_raw_lb[#Headers],0))=0, INDEX(regions_lb[], MATCH($D219, regions_lb[[setting]:[setting]],0), MATCH(AM$139, regions_lb[#Headers],0)),INDEX(lmic_raw_lb[],MATCH($A219,lmic_raw_lb[[setting]:[setting]],0), MATCH(AM$139, lmic_raw_lb[#Headers],0)))</f>
        <v>4.615029120718866E-3</v>
      </c>
      <c r="AN219" s="94">
        <f>IF(INDEX(lmic_raw_lb[],MATCH($A219,lmic_raw_lb[[setting]:[setting]],0), MATCH(AN$139, lmic_raw_lb[#Headers],0))=0, INDEX(regions_lb[], MATCH($D219, regions_lb[[setting]:[setting]],0), MATCH(AN$139, regions_lb[#Headers],0)),INDEX(lmic_raw_lb[],MATCH($A219,lmic_raw_lb[[setting]:[setting]],0), MATCH(AN$139, lmic_raw_lb[#Headers],0)))</f>
        <v>7.0759433398840657E-3</v>
      </c>
      <c r="AO219" s="94">
        <f>IF(INDEX(lmic_raw_lb[],MATCH($A219,lmic_raw_lb[[setting]:[setting]],0), MATCH(AO$139, lmic_raw_lb[#Headers],0))=0, INDEX(regions_lb[], MATCH($D219, regions_lb[[setting]:[setting]],0), MATCH(AO$139, regions_lb[#Headers],0)),INDEX(lmic_raw_lb[],MATCH($A219,lmic_raw_lb[[setting]:[setting]],0), MATCH(AO$139, lmic_raw_lb[#Headers],0)))</f>
        <v>1.0969510089321472E-2</v>
      </c>
      <c r="AP219" s="94">
        <f>IF(INDEX(lmic_raw_lb[],MATCH($A219,lmic_raw_lb[[setting]:[setting]],0), MATCH(AP$139, lmic_raw_lb[#Headers],0))=0, INDEX(regions_lb[], MATCH($D219, regions_lb[[setting]:[setting]],0), MATCH(AP$139, regions_lb[#Headers],0)),INDEX(lmic_raw_lb[],MATCH($A219,lmic_raw_lb[[setting]:[setting]],0), MATCH(AP$139, lmic_raw_lb[#Headers],0)))</f>
        <v>2.0804818467542251E-2</v>
      </c>
      <c r="AQ219" s="94">
        <f>IF(INDEX(lmic_raw_lb[],MATCH($A219,lmic_raw_lb[[setting]:[setting]],0), MATCH(AQ$139, lmic_raw_lb[#Headers],0))=0, INDEX(regions_lb[], MATCH($D219, regions_lb[[setting]:[setting]],0), MATCH(AQ$139, regions_lb[#Headers],0)),INDEX(lmic_raw_lb[],MATCH($A219,lmic_raw_lb[[setting]:[setting]],0), MATCH(AQ$139, lmic_raw_lb[#Headers],0)))</f>
        <v>3.846332129457454E-2</v>
      </c>
      <c r="AR219" s="94">
        <f>IF(INDEX(lmic_raw_lb[],MATCH($A219,lmic_raw_lb[[setting]:[setting]],0), MATCH(AR$139, lmic_raw_lb[#Headers],0))=0, INDEX(regions_lb[], MATCH($D219, regions_lb[[setting]:[setting]],0), MATCH(AR$139, regions_lb[#Headers],0)),INDEX(lmic_raw_lb[],MATCH($A219,lmic_raw_lb[[setting]:[setting]],0), MATCH(AR$139, lmic_raw_lb[#Headers],0)))</f>
        <v>6.0833631878848035E-2</v>
      </c>
      <c r="AS219" s="94">
        <f>IF(INDEX(lmic_raw_lb[],MATCH($A219,lmic_raw_lb[[setting]:[setting]],0), MATCH(AS$139, lmic_raw_lb[#Headers],0))=0, INDEX(regions_lb[], MATCH($D219, regions_lb[[setting]:[setting]],0), MATCH(AS$139, regions_lb[#Headers],0)),INDEX(lmic_raw_lb[],MATCH($A219,lmic_raw_lb[[setting]:[setting]],0), MATCH(AS$139, lmic_raw_lb[#Headers],0)))</f>
        <v>8.6802476440788007E-2</v>
      </c>
      <c r="AT219" s="94">
        <f>IF(INDEX(lmic_raw_lb[],MATCH($A219,lmic_raw_lb[[setting]:[setting]],0), MATCH(AT$139, lmic_raw_lb[#Headers],0))=0, INDEX(regions_lb[], MATCH($D219, regions_lb[[setting]:[setting]],0), MATCH(AT$139, regions_lb[#Headers],0)),INDEX(lmic_raw_lb[],MATCH($A219,lmic_raw_lb[[setting]:[setting]],0), MATCH(AT$139, lmic_raw_lb[#Headers],0)))</f>
        <v>0.118263570156922</v>
      </c>
      <c r="AU219" s="94">
        <f>IF(INDEX(lmic_raw_lb[],MATCH($A219,lmic_raw_lb[[setting]:[setting]],0), MATCH(AU$139, lmic_raw_lb[#Headers],0))=0, INDEX(regions_lb[], MATCH($D219, regions_lb[[setting]:[setting]],0), MATCH(AU$139, regions_lb[#Headers],0)),INDEX(lmic_raw_lb[],MATCH($A219,lmic_raw_lb[[setting]:[setting]],0), MATCH(AU$139, lmic_raw_lb[#Headers],0)))</f>
        <v>0.14966755659005301</v>
      </c>
      <c r="AV219" s="94">
        <f>IF(INDEX(lmic_raw_lb[],MATCH($A219,lmic_raw_lb[[setting]:[setting]],0), MATCH(AV$139, lmic_raw_lb[#Headers],0))=0, INDEX(regions_lb[], MATCH($D219, regions_lb[[setting]:[setting]],0), MATCH(AV$139, regions_lb[#Headers],0)),INDEX(lmic_raw_lb[],MATCH($A219,lmic_raw_lb[[setting]:[setting]],0), MATCH(AV$139, lmic_raw_lb[#Headers],0)))</f>
        <v>0.17032987991889367</v>
      </c>
      <c r="AW219" s="94">
        <f>IF(INDEX(lmic_raw_lb[],MATCH($A219,lmic_raw_lb[[setting]:[setting]],0), MATCH(AW$139, lmic_raw_lb[#Headers],0))=0, INDEX(regions_lb[], MATCH($D219, regions_lb[[setting]:[setting]],0), MATCH(AW$139, regions_lb[#Headers],0)),INDEX(lmic_raw_lb[],MATCH($A219,lmic_raw_lb[[setting]:[setting]],0), MATCH(AW$139, lmic_raw_lb[#Headers],0)))</f>
        <v>0.17982245974531211</v>
      </c>
      <c r="AX219" s="94">
        <f>IF(INDEX(lmic_raw_lb[],MATCH($A219,lmic_raw_lb[[setting]:[setting]],0), MATCH(AX$139, lmic_raw_lb[#Headers],0))=0, INDEX(regions_lb[], MATCH($D219, regions_lb[[setting]:[setting]],0), MATCH(AX$139, regions_lb[#Headers],0)),INDEX(lmic_raw_lb[],MATCH($A219,lmic_raw_lb[[setting]:[setting]],0), MATCH(AX$139, lmic_raw_lb[#Headers],0)))</f>
        <v>64.311199999999999</v>
      </c>
      <c r="AY219" s="94" t="str">
        <f>IF(VLOOKUP(lmics_lb[[#This Row],[setting]],lmic_raw_lb[],11,FALSE)=0, "Yes", "No")</f>
        <v>No</v>
      </c>
    </row>
    <row r="220" spans="1:51" x14ac:dyDescent="0.25">
      <c r="A220" s="82" t="s">
        <v>639</v>
      </c>
      <c r="B220" s="101" t="s">
        <v>499</v>
      </c>
      <c r="C220" s="102">
        <v>498</v>
      </c>
      <c r="D220" s="82" t="s">
        <v>675</v>
      </c>
      <c r="E220" s="121" t="s">
        <v>306</v>
      </c>
      <c r="F220" s="98" t="s">
        <v>663</v>
      </c>
      <c r="G220" s="98" t="s">
        <v>678</v>
      </c>
      <c r="H220" s="98"/>
      <c r="I220" s="98"/>
      <c r="J220" s="98">
        <f>IF(INDEX(lmic_raw_lb[],MATCH($A220,lmic_raw_lb[[setting]:[setting]],0), MATCH(J$139, lmic_raw_lb[#Headers],0))=0, INDEX(regions_lb[], MATCH($D220, regions_lb[[setting]:[setting]],0), MATCH(J$139, regions_lb[#Headers],0)),INDEX(lmic_raw_lb[],MATCH($A220,lmic_raw_lb[[setting]:[setting]],0), MATCH(J$139, lmic_raw_lb[#Headers],0)))</f>
        <v>0.94430000000000003</v>
      </c>
      <c r="K220" s="98">
        <f>IF(INDEX(lmic_raw_lb[],MATCH($A220,lmic_raw_lb[[setting]:[setting]],0), MATCH(K$139, lmic_raw_lb[#Headers],0))=0, INDEX(regions_lb[], MATCH($D220, regions_lb[[setting]:[setting]],0), MATCH(K$139, regions_lb[#Headers],0)),INDEX(lmic_raw_lb[],MATCH($A220,lmic_raw_lb[[setting]:[setting]],0), MATCH(K$139, lmic_raw_lb[#Headers],0)))</f>
        <v>0.88349999999999995</v>
      </c>
      <c r="L220" s="98">
        <f>IF(INDEX(lmic_raw_lb[],MATCH($A220,lmic_raw_lb[[setting]:[setting]],0), MATCH(L$139, lmic_raw_lb[#Headers],0))=0, INDEX(regions_lb[], MATCH($D220, regions_lb[[setting]:[setting]],0), MATCH(L$139, regions_lb[#Headers],0)),INDEX(lmic_raw_lb[],MATCH($A220,lmic_raw_lb[[setting]:[setting]],0), MATCH(L$139, lmic_raw_lb[#Headers],0)))</f>
        <v>0.8929999999999999</v>
      </c>
      <c r="M220" s="98">
        <f>IF(INDEX(lmic_raw_lb[],MATCH($A220,lmic_raw_lb[[setting]:[setting]],0), MATCH(M$139, lmic_raw_lb[#Headers],0))=0, INDEX(regions_lb[], MATCH($D220, regions_lb[[setting]:[setting]],0), MATCH(M$139, regions_lb[#Headers],0)),INDEX(lmic_raw_lb[],MATCH($A220,lmic_raw_lb[[setting]:[setting]],0), MATCH(M$139, lmic_raw_lb[#Headers],0)))</f>
        <v>3.6299999999999999E-2</v>
      </c>
      <c r="N220" s="98">
        <f>IF(INDEX(lmic_raw_lb[],MATCH($A220,lmic_raw_lb[[setting]:[setting]],0), MATCH(N$139, lmic_raw_lb[#Headers],0))=0, INDEX(regions_lb[], MATCH($D220, regions_lb[[setting]:[setting]],0), MATCH(N$139, regions_lb[#Headers],0)),INDEX(lmic_raw_lb[],MATCH($A220,lmic_raw_lb[[setting]:[setting]],0), MATCH(N$139, lmic_raw_lb[#Headers],0)))</f>
        <v>0.16339999999999999</v>
      </c>
      <c r="O220" s="98">
        <f>IF(INDEX(lmic_raw_lb[],MATCH($A220,lmic_raw_lb[[setting]:[setting]],0), MATCH(O$139, lmic_raw_lb[#Headers],0))=0, INDEX(regions_lb[], MATCH($D220, regions_lb[[setting]:[setting]],0), MATCH(O$139, regions_lb[#Headers],0)),INDEX(lmic_raw_lb[],MATCH($A220,lmic_raw_lb[[setting]:[setting]],0), MATCH(O$139, lmic_raw_lb[#Headers],0)))</f>
        <v>0.7</v>
      </c>
      <c r="P220" s="98">
        <f>IF(INDEX(lmic_raw_lb[],MATCH($A220,lmic_raw_lb[[setting]:[setting]],0), MATCH(P$139, lmic_raw_lb[#Headers],0))=0, INDEX(regions_lb[], MATCH($D220, regions_lb[[setting]:[setting]],0), MATCH(P$139, regions_lb[#Headers],0)),INDEX(lmic_raw_lb[],MATCH($A220,lmic_raw_lb[[setting]:[setting]],0), MATCH(P$139, lmic_raw_lb[#Headers],0)))</f>
        <v>0.05</v>
      </c>
      <c r="Q220" s="98">
        <f>IF(INDEX(lmic_raw_lb[],MATCH($A220,lmic_raw_lb[[setting]:[setting]],0), MATCH(Q$139, lmic_raw_lb[#Headers],0))=0, INDEX(regions_lb[], MATCH($D220, regions_lb[[setting]:[setting]],0), MATCH(Q$139, regions_lb[#Headers],0)),INDEX(lmic_raw_lb[],MATCH($A220,lmic_raw_lb[[setting]:[setting]],0), MATCH(Q$139, lmic_raw_lb[#Headers],0)))</f>
        <v>9.8128573059501871</v>
      </c>
      <c r="R220" s="98">
        <f>IF(INDEX(lmic_raw_lb[],MATCH($A220,lmic_raw_lb[[setting]:[setting]],0), MATCH(R$139, lmic_raw_lb[#Headers],0))=0, INDEX(regions_lb[], MATCH($D220, regions_lb[[setting]:[setting]],0), MATCH(R$139, regions_lb[#Headers],0)),INDEX(lmic_raw_lb[],MATCH($A220,lmic_raw_lb[[setting]:[setting]],0), MATCH(R$139, lmic_raw_lb[#Headers],0)))</f>
        <v>42.31053</v>
      </c>
      <c r="S220" s="98">
        <f>IF(INDEX(lmic_raw_lb[],MATCH($A220,lmic_raw_lb[[setting]:[setting]],0), MATCH(S$139, lmic_raw_lb[#Headers],0))=0, INDEX(regions_lb[], MATCH($D220, regions_lb[[setting]:[setting]],0), MATCH(S$139, regions_lb[#Headers],0)),INDEX(lmic_raw_lb[],MATCH($A220,lmic_raw_lb[[setting]:[setting]],0), MATCH(S$139, lmic_raw_lb[#Headers],0)))</f>
        <v>87.665430000000001</v>
      </c>
      <c r="T220" s="98">
        <f>IF(INDEX(lmic_raw_lb[],MATCH($A220,lmic_raw_lb[[setting]:[setting]],0), MATCH(T$139, lmic_raw_lb[#Headers],0))=0, INDEX(regions_lb[], MATCH($D220, regions_lb[[setting]:[setting]],0), MATCH(T$139, regions_lb[#Headers],0)),INDEX(lmic_raw_lb[],MATCH($A220,lmic_raw_lb[[setting]:[setting]],0), MATCH(T$139, lmic_raw_lb[#Headers],0)))</f>
        <v>87.665430000000001</v>
      </c>
      <c r="U220" s="98">
        <f>IF(INDEX(lmic_raw_lb[],MATCH($A220,lmic_raw_lb[[setting]:[setting]],0), MATCH(U$139, lmic_raw_lb[#Headers],0))=0, INDEX(regions_lb[], MATCH($D220, regions_lb[[setting]:[setting]],0), MATCH(U$139, regions_lb[#Headers],0)),INDEX(lmic_raw_lb[],MATCH($A220,lmic_raw_lb[[setting]:[setting]],0), MATCH(U$139, lmic_raw_lb[#Headers],0)))</f>
        <v>87.665430000000001</v>
      </c>
      <c r="V220" s="98">
        <f>IF(INDEX(lmic_raw_lb[],MATCH($A220,lmic_raw_lb[[setting]:[setting]],0), MATCH(V$139, lmic_raw_lb[#Headers],0))=0, INDEX(regions_lb[], MATCH($D220, regions_lb[[setting]:[setting]],0), MATCH(V$139, regions_lb[#Headers],0)),INDEX(lmic_raw_lb[],MATCH($A220,lmic_raw_lb[[setting]:[setting]],0), MATCH(V$139, lmic_raw_lb[#Headers],0)))</f>
        <v>2.4283300106832124</v>
      </c>
      <c r="W220" s="98">
        <f>IF(INDEX(lmic_raw_lb[],MATCH($A220,lmic_raw_lb[[setting]:[setting]],0), MATCH(W$139, lmic_raw_lb[#Headers],0))=0, INDEX(regions_lb[], MATCH($D220, regions_lb[[setting]:[setting]],0), MATCH(W$139, regions_lb[#Headers],0)),INDEX(lmic_raw_lb[],MATCH($A220,lmic_raw_lb[[setting]:[setting]],0), MATCH(W$139, lmic_raw_lb[#Headers],0)))</f>
        <v>6.2907450106832128</v>
      </c>
      <c r="X220" s="98">
        <f>IF(INDEX(lmic_raw_lb[],MATCH($A220,lmic_raw_lb[[setting]:[setting]],0), MATCH(X$139, lmic_raw_lb[#Headers],0))=0, INDEX(regions_lb[], MATCH($D220, regions_lb[[setting]:[setting]],0), MATCH(X$139, regions_lb[#Headers],0)),INDEX(lmic_raw_lb[],MATCH($A220,lmic_raw_lb[[setting]:[setting]],0), MATCH(X$139, lmic_raw_lb[#Headers],0)))</f>
        <v>2.0552282456212145</v>
      </c>
      <c r="Y220" s="98">
        <f>IF(INDEX(lmic_raw_lb[],MATCH($A220,lmic_raw_lb[[setting]:[setting]],0), MATCH(Y$139, lmic_raw_lb[#Headers],0))=0, INDEX(regions_lb[], MATCH($D220, regions_lb[[setting]:[setting]],0), MATCH(Y$139, regions_lb[#Headers],0)),INDEX(lmic_raw_lb[],MATCH($A220,lmic_raw_lb[[setting]:[setting]],0), MATCH(Y$139, lmic_raw_lb[#Headers],0)))</f>
        <v>5.9176432456212149</v>
      </c>
      <c r="Z220" s="98">
        <f>IF(INDEX(lmic_raw_lb[],MATCH($A220,lmic_raw_lb[[setting]:[setting]],0), MATCH(Z$139, lmic_raw_lb[#Headers],0))=0, INDEX(regions_lb[], MATCH($D220, regions_lb[[setting]:[setting]],0), MATCH(Z$139, regions_lb[#Headers],0)),INDEX(lmic_raw_lb[],MATCH($A220,lmic_raw_lb[[setting]:[setting]],0), MATCH(Z$139, lmic_raw_lb[#Headers],0)))</f>
        <v>5.9101548462692381</v>
      </c>
      <c r="AA220" s="98">
        <f>IF(INDEX(lmic_raw_lb[],MATCH($A220,lmic_raw_lb[[setting]:[setting]],0), MATCH(AA$139, lmic_raw_lb[#Headers],0))=0, INDEX(regions_lb[], MATCH($D220, regions_lb[[setting]:[setting]],0), MATCH(AA$139, regions_lb[#Headers],0)),INDEX(lmic_raw_lb[],MATCH($A220,lmic_raw_lb[[setting]:[setting]],0), MATCH(AA$139, lmic_raw_lb[#Headers],0)))</f>
        <v>2.6428722988025668</v>
      </c>
      <c r="AB220" s="98">
        <f>IF(INDEX(lmic_raw_lb[],MATCH($A220,lmic_raw_lb[[setting]:[setting]],0), MATCH(AB$139, lmic_raw_lb[#Headers],0))=0, INDEX(regions_lb[], MATCH($D220, regions_lb[[setting]:[setting]],0), MATCH(AB$139, regions_lb[#Headers],0)),INDEX(lmic_raw_lb[],MATCH($A220,lmic_raw_lb[[setting]:[setting]],0), MATCH(AB$139, lmic_raw_lb[#Headers],0)))</f>
        <v>6.5052872988025676</v>
      </c>
      <c r="AC220" s="98">
        <f>IF(INDEX(lmic_raw_lb[],MATCH($A220,lmic_raw_lb[[setting]:[setting]],0), MATCH(AC$139, lmic_raw_lb[#Headers],0))=0, INDEX(regions_lb[], MATCH($D220, regions_lb[[setting]:[setting]],0), MATCH(AC$139, regions_lb[#Headers],0)),INDEX(lmic_raw_lb[],MATCH($A220,lmic_raw_lb[[setting]:[setting]],0), MATCH(AC$139, lmic_raw_lb[#Headers],0)))</f>
        <v>1.1738266500000035E-2</v>
      </c>
      <c r="AD220" s="98">
        <f>IF(INDEX(lmic_raw_lb[],MATCH($A220,lmic_raw_lb[[setting]:[setting]],0), MATCH(AD$139, lmic_raw_lb[#Headers],0))=0, INDEX(regions_lb[], MATCH($D220, regions_lb[[setting]:[setting]],0), MATCH(AD$139, regions_lb[#Headers],0)),INDEX(lmic_raw_lb[],MATCH($A220,lmic_raw_lb[[setting]:[setting]],0), MATCH(AD$139, lmic_raw_lb[#Headers],0)))</f>
        <v>4.9070569390326181E-4</v>
      </c>
      <c r="AE220" s="98">
        <f>IF(INDEX(lmic_raw_lb[],MATCH($A220,lmic_raw_lb[[setting]:[setting]],0), MATCH(AE$139, lmic_raw_lb[#Headers],0))=0, INDEX(regions_lb[], MATCH($D220, regions_lb[[setting]:[setting]],0), MATCH(AE$139, regions_lb[#Headers],0)),INDEX(lmic_raw_lb[],MATCH($A220,lmic_raw_lb[[setting]:[setting]],0), MATCH(AE$139, lmic_raw_lb[#Headers],0)))</f>
        <v>2.1444712448363674E-4</v>
      </c>
      <c r="AF220" s="98">
        <f>IF(INDEX(lmic_raw_lb[],MATCH($A220,lmic_raw_lb[[setting]:[setting]],0), MATCH(AF$139, lmic_raw_lb[#Headers],0))=0, INDEX(regions_lb[], MATCH($D220, regions_lb[[setting]:[setting]],0), MATCH(AF$139, regions_lb[#Headers],0)),INDEX(lmic_raw_lb[],MATCH($A220,lmic_raw_lb[[setting]:[setting]],0), MATCH(AF$139, lmic_raw_lb[#Headers],0)))</f>
        <v>1.6767244707217139E-4</v>
      </c>
      <c r="AG220" s="98">
        <f>IF(INDEX(lmic_raw_lb[],MATCH($A220,lmic_raw_lb[[setting]:[setting]],0), MATCH(AG$139, lmic_raw_lb[#Headers],0))=0, INDEX(regions_lb[], MATCH($D220, regions_lb[[setting]:[setting]],0), MATCH(AG$139, regions_lb[#Headers],0)),INDEX(lmic_raw_lb[],MATCH($A220,lmic_raw_lb[[setting]:[setting]],0), MATCH(AG$139, lmic_raw_lb[#Headers],0)))</f>
        <v>3.916121812267729E-4</v>
      </c>
      <c r="AH220" s="98">
        <f>IF(INDEX(lmic_raw_lb[],MATCH($A220,lmic_raw_lb[[setting]:[setting]],0), MATCH(AH$139, lmic_raw_lb[#Headers],0))=0, INDEX(regions_lb[], MATCH($D220, regions_lb[[setting]:[setting]],0), MATCH(AH$139, regions_lb[#Headers],0)),INDEX(lmic_raw_lb[],MATCH($A220,lmic_raw_lb[[setting]:[setting]],0), MATCH(AH$139, lmic_raw_lb[#Headers],0)))</f>
        <v>5.3046595858423969E-4</v>
      </c>
      <c r="AI220" s="98">
        <f>IF(INDEX(lmic_raw_lb[],MATCH($A220,lmic_raw_lb[[setting]:[setting]],0), MATCH(AI$139, lmic_raw_lb[#Headers],0))=0, INDEX(regions_lb[], MATCH($D220, regions_lb[[setting]:[setting]],0), MATCH(AI$139, regions_lb[#Headers],0)),INDEX(lmic_raw_lb[],MATCH($A220,lmic_raw_lb[[setting]:[setting]],0), MATCH(AI$139, lmic_raw_lb[#Headers],0)))</f>
        <v>7.9779275812687635E-4</v>
      </c>
      <c r="AJ220" s="98">
        <f>IF(INDEX(lmic_raw_lb[],MATCH($A220,lmic_raw_lb[[setting]:[setting]],0), MATCH(AJ$139, lmic_raw_lb[#Headers],0))=0, INDEX(regions_lb[], MATCH($D220, regions_lb[[setting]:[setting]],0), MATCH(AJ$139, regions_lb[#Headers],0)),INDEX(lmic_raw_lb[],MATCH($A220,lmic_raw_lb[[setting]:[setting]],0), MATCH(AJ$139, lmic_raw_lb[#Headers],0)))</f>
        <v>1.2265838923937525E-3</v>
      </c>
      <c r="AK220" s="98">
        <f>IF(INDEX(lmic_raw_lb[],MATCH($A220,lmic_raw_lb[[setting]:[setting]],0), MATCH(AK$139, lmic_raw_lb[#Headers],0))=0, INDEX(regions_lb[], MATCH($D220, regions_lb[[setting]:[setting]],0), MATCH(AK$139, regions_lb[#Headers],0)),INDEX(lmic_raw_lb[],MATCH($A220,lmic_raw_lb[[setting]:[setting]],0), MATCH(AK$139, lmic_raw_lb[#Headers],0)))</f>
        <v>2.1935378834641124E-3</v>
      </c>
      <c r="AL220" s="98">
        <f>IF(INDEX(lmic_raw_lb[],MATCH($A220,lmic_raw_lb[[setting]:[setting]],0), MATCH(AL$139, lmic_raw_lb[#Headers],0))=0, INDEX(regions_lb[], MATCH($D220, regions_lb[[setting]:[setting]],0), MATCH(AL$139, regions_lb[#Headers],0)),INDEX(lmic_raw_lb[],MATCH($A220,lmic_raw_lb[[setting]:[setting]],0), MATCH(AL$139, lmic_raw_lb[#Headers],0)))</f>
        <v>3.0848464685099795E-3</v>
      </c>
      <c r="AM220" s="98">
        <f>IF(INDEX(lmic_raw_lb[],MATCH($A220,lmic_raw_lb[[setting]:[setting]],0), MATCH(AM$139, lmic_raw_lb[#Headers],0))=0, INDEX(regions_lb[], MATCH($D220, regions_lb[[setting]:[setting]],0), MATCH(AM$139, regions_lb[#Headers],0)),INDEX(lmic_raw_lb[],MATCH($A220,lmic_raw_lb[[setting]:[setting]],0), MATCH(AM$139, lmic_raw_lb[#Headers],0)))</f>
        <v>5.4709328944127266E-3</v>
      </c>
      <c r="AN220" s="98">
        <f>IF(INDEX(lmic_raw_lb[],MATCH($A220,lmic_raw_lb[[setting]:[setting]],0), MATCH(AN$139, lmic_raw_lb[#Headers],0))=0, INDEX(regions_lb[], MATCH($D220, regions_lb[[setting]:[setting]],0), MATCH(AN$139, regions_lb[#Headers],0)),INDEX(lmic_raw_lb[],MATCH($A220,lmic_raw_lb[[setting]:[setting]],0), MATCH(AN$139, lmic_raw_lb[#Headers],0)))</f>
        <v>8.1243798531169704E-3</v>
      </c>
      <c r="AO220" s="98">
        <f>IF(INDEX(lmic_raw_lb[],MATCH($A220,lmic_raw_lb[[setting]:[setting]],0), MATCH(AO$139, lmic_raw_lb[#Headers],0))=0, INDEX(regions_lb[], MATCH($D220, regions_lb[[setting]:[setting]],0), MATCH(AO$139, regions_lb[#Headers],0)),INDEX(lmic_raw_lb[],MATCH($A220,lmic_raw_lb[[setting]:[setting]],0), MATCH(AO$139, lmic_raw_lb[#Headers],0)))</f>
        <v>1.2180832134898763E-2</v>
      </c>
      <c r="AP220" s="98">
        <f>IF(INDEX(lmic_raw_lb[],MATCH($A220,lmic_raw_lb[[setting]:[setting]],0), MATCH(AP$139, lmic_raw_lb[#Headers],0))=0, INDEX(regions_lb[], MATCH($D220, regions_lb[[setting]:[setting]],0), MATCH(AP$139, regions_lb[#Headers],0)),INDEX(lmic_raw_lb[],MATCH($A220,lmic_raw_lb[[setting]:[setting]],0), MATCH(AP$139, lmic_raw_lb[#Headers],0)))</f>
        <v>2.0037179311686134E-2</v>
      </c>
      <c r="AQ220" s="98">
        <f>IF(INDEX(lmic_raw_lb[],MATCH($A220,lmic_raw_lb[[setting]:[setting]],0), MATCH(AQ$139, lmic_raw_lb[#Headers],0))=0, INDEX(regions_lb[], MATCH($D220, regions_lb[[setting]:[setting]],0), MATCH(AQ$139, regions_lb[#Headers],0)),INDEX(lmic_raw_lb[],MATCH($A220,lmic_raw_lb[[setting]:[setting]],0), MATCH(AQ$139, lmic_raw_lb[#Headers],0)))</f>
        <v>2.600372432669678E-2</v>
      </c>
      <c r="AR220" s="98">
        <f>IF(INDEX(lmic_raw_lb[],MATCH($A220,lmic_raw_lb[[setting]:[setting]],0), MATCH(AR$139, lmic_raw_lb[#Headers],0))=0, INDEX(regions_lb[], MATCH($D220, regions_lb[[setting]:[setting]],0), MATCH(AR$139, regions_lb[#Headers],0)),INDEX(lmic_raw_lb[],MATCH($A220,lmic_raw_lb[[setting]:[setting]],0), MATCH(AR$139, lmic_raw_lb[#Headers],0)))</f>
        <v>4.0310558335660829E-2</v>
      </c>
      <c r="AS220" s="98">
        <f>IF(INDEX(lmic_raw_lb[],MATCH($A220,lmic_raw_lb[[setting]:[setting]],0), MATCH(AS$139, lmic_raw_lb[#Headers],0))=0, INDEX(regions_lb[], MATCH($D220, regions_lb[[setting]:[setting]],0), MATCH(AS$139, regions_lb[#Headers],0)),INDEX(lmic_raw_lb[],MATCH($A220,lmic_raw_lb[[setting]:[setting]],0), MATCH(AS$139, lmic_raw_lb[#Headers],0)))</f>
        <v>6.0562429311274202E-2</v>
      </c>
      <c r="AT220" s="98">
        <f>IF(INDEX(lmic_raw_lb[],MATCH($A220,lmic_raw_lb[[setting]:[setting]],0), MATCH(AT$139, lmic_raw_lb[#Headers],0))=0, INDEX(regions_lb[], MATCH($D220, regions_lb[[setting]:[setting]],0), MATCH(AT$139, regions_lb[#Headers],0)),INDEX(lmic_raw_lb[],MATCH($A220,lmic_raw_lb[[setting]:[setting]],0), MATCH(AT$139, lmic_raw_lb[#Headers],0)))</f>
        <v>8.7519550326657244E-2</v>
      </c>
      <c r="AU220" s="98">
        <f>IF(INDEX(lmic_raw_lb[],MATCH($A220,lmic_raw_lb[[setting]:[setting]],0), MATCH(AU$139, lmic_raw_lb[#Headers],0))=0, INDEX(regions_lb[], MATCH($D220, regions_lb[[setting]:[setting]],0), MATCH(AU$139, regions_lb[#Headers],0)),INDEX(lmic_raw_lb[],MATCH($A220,lmic_raw_lb[[setting]:[setting]],0), MATCH(AU$139, lmic_raw_lb[#Headers],0)))</f>
        <v>0.11769538150225735</v>
      </c>
      <c r="AV220" s="98">
        <f>IF(INDEX(lmic_raw_lb[],MATCH($A220,lmic_raw_lb[[setting]:[setting]],0), MATCH(AV$139, lmic_raw_lb[#Headers],0))=0, INDEX(regions_lb[], MATCH($D220, regions_lb[[setting]:[setting]],0), MATCH(AV$139, regions_lb[#Headers],0)),INDEX(lmic_raw_lb[],MATCH($A220,lmic_raw_lb[[setting]:[setting]],0), MATCH(AV$139, lmic_raw_lb[#Headers],0)))</f>
        <v>0.14262414438552201</v>
      </c>
      <c r="AW220" s="98">
        <f>IF(INDEX(lmic_raw_lb[],MATCH($A220,lmic_raw_lb[[setting]:[setting]],0), MATCH(AW$139, lmic_raw_lb[#Headers],0))=0, INDEX(regions_lb[], MATCH($D220, regions_lb[[setting]:[setting]],0), MATCH(AW$139, regions_lb[#Headers],0)),INDEX(lmic_raw_lb[],MATCH($A220,lmic_raw_lb[[setting]:[setting]],0), MATCH(AW$139, lmic_raw_lb[#Headers],0)))</f>
        <v>0.16449709277903463</v>
      </c>
      <c r="AX220" s="98">
        <f>IF(INDEX(lmic_raw_lb[],MATCH($A220,lmic_raw_lb[[setting]:[setting]],0), MATCH(AX$139, lmic_raw_lb[#Headers],0))=0, INDEX(regions_lb[], MATCH($D220, regions_lb[[setting]:[setting]],0), MATCH(AX$139, regions_lb[#Headers],0)),INDEX(lmic_raw_lb[],MATCH($A220,lmic_raw_lb[[setting]:[setting]],0), MATCH(AX$139, lmic_raw_lb[#Headers],0)))</f>
        <v>68.099799999999988</v>
      </c>
      <c r="AY220" s="98" t="str">
        <f>IF(VLOOKUP(lmics_lb[[#This Row],[setting]],lmic_raw_lb[],11,FALSE)=0, "Yes", "No")</f>
        <v>No</v>
      </c>
    </row>
    <row r="221" spans="1:51" x14ac:dyDescent="0.25">
      <c r="A221" s="110" t="s">
        <v>208</v>
      </c>
      <c r="B221" s="104" t="s">
        <v>473</v>
      </c>
      <c r="C221" s="105">
        <v>496</v>
      </c>
      <c r="D221" s="84" t="s">
        <v>681</v>
      </c>
      <c r="E221" s="122" t="s">
        <v>184</v>
      </c>
      <c r="F221" s="94" t="s">
        <v>663</v>
      </c>
      <c r="G221" s="94" t="s">
        <v>678</v>
      </c>
      <c r="H221" s="94"/>
      <c r="I221" s="94"/>
      <c r="J221" s="94">
        <f>IF(INDEX(lmic_raw_lb[],MATCH($A221,lmic_raw_lb[[setting]:[setting]],0), MATCH(J$139, lmic_raw_lb[#Headers],0))=0, INDEX(regions_lb[], MATCH($D221, regions_lb[[setting]:[setting]],0), MATCH(J$139, regions_lb[#Headers],0)),INDEX(lmic_raw_lb[],MATCH($A221,lmic_raw_lb[[setting]:[setting]],0), MATCH(J$139, lmic_raw_lb[#Headers],0)))</f>
        <v>0.93480000000000008</v>
      </c>
      <c r="K221" s="94">
        <f>IF(INDEX(lmic_raw_lb[],MATCH($A221,lmic_raw_lb[[setting]:[setting]],0), MATCH(K$139, lmic_raw_lb[#Headers],0))=0, INDEX(regions_lb[], MATCH($D221, regions_lb[[setting]:[setting]],0), MATCH(K$139, regions_lb[#Headers],0)),INDEX(lmic_raw_lb[],MATCH($A221,lmic_raw_lb[[setting]:[setting]],0), MATCH(K$139, lmic_raw_lb[#Headers],0)))</f>
        <v>0.93099999999999994</v>
      </c>
      <c r="L221" s="94">
        <f>IF(INDEX(lmic_raw_lb[],MATCH($A221,lmic_raw_lb[[setting]:[setting]],0), MATCH(L$139, lmic_raw_lb[#Headers],0))=0, INDEX(regions_lb[], MATCH($D221, regions_lb[[setting]:[setting]],0), MATCH(L$139, regions_lb[#Headers],0)),INDEX(lmic_raw_lb[],MATCH($A221,lmic_raw_lb[[setting]:[setting]],0), MATCH(L$139, lmic_raw_lb[#Headers],0)))</f>
        <v>0.93099999999999994</v>
      </c>
      <c r="M221" s="94">
        <f>IF(INDEX(lmic_raw_lb[],MATCH($A221,lmic_raw_lb[[setting]:[setting]],0), MATCH(M$139, lmic_raw_lb[#Headers],0))=0, INDEX(regions_lb[], MATCH($D221, regions_lb[[setting]:[setting]],0), MATCH(M$139, regions_lb[#Headers],0)),INDEX(lmic_raw_lb[],MATCH($A221,lmic_raw_lb[[setting]:[setting]],0), MATCH(M$139, lmic_raw_lb[#Headers],0)))</f>
        <v>8.8000000000000009E-2</v>
      </c>
      <c r="N221" s="94">
        <f>IF(INDEX(lmic_raw_lb[],MATCH($A221,lmic_raw_lb[[setting]:[setting]],0), MATCH(N$139, lmic_raw_lb[#Headers],0))=0, INDEX(regions_lb[], MATCH($D221, regions_lb[[setting]:[setting]],0), MATCH(N$139, regions_lb[#Headers],0)),INDEX(lmic_raw_lb[],MATCH($A221,lmic_raw_lb[[setting]:[setting]],0), MATCH(N$139, lmic_raw_lb[#Headers],0)))</f>
        <v>0.16309999999999999</v>
      </c>
      <c r="O221" s="94">
        <f>IF(INDEX(lmic_raw_lb[],MATCH($A221,lmic_raw_lb[[setting]:[setting]],0), MATCH(O$139, lmic_raw_lb[#Headers],0))=0, INDEX(regions_lb[], MATCH($D221, regions_lb[[setting]:[setting]],0), MATCH(O$139, regions_lb[#Headers],0)),INDEX(lmic_raw_lb[],MATCH($A221,lmic_raw_lb[[setting]:[setting]],0), MATCH(O$139, lmic_raw_lb[#Headers],0)))</f>
        <v>0.7</v>
      </c>
      <c r="P221" s="94">
        <f>IF(INDEX(lmic_raw_lb[],MATCH($A221,lmic_raw_lb[[setting]:[setting]],0), MATCH(P$139, lmic_raw_lb[#Headers],0))=0, INDEX(regions_lb[], MATCH($D221, regions_lb[[setting]:[setting]],0), MATCH(P$139, regions_lb[#Headers],0)),INDEX(lmic_raw_lb[],MATCH($A221,lmic_raw_lb[[setting]:[setting]],0), MATCH(P$139, lmic_raw_lb[#Headers],0)))</f>
        <v>0.05</v>
      </c>
      <c r="Q221" s="94">
        <f>IF(INDEX(lmic_raw_lb[],MATCH($A221,lmic_raw_lb[[setting]:[setting]],0), MATCH(Q$139, lmic_raw_lb[#Headers],0))=0, INDEX(regions_lb[], MATCH($D221, regions_lb[[setting]:[setting]],0), MATCH(Q$139, regions_lb[#Headers],0)),INDEX(lmic_raw_lb[],MATCH($A221,lmic_raw_lb[[setting]:[setting]],0), MATCH(Q$139, lmic_raw_lb[#Headers],0)))</f>
        <v>4.3181710444158155</v>
      </c>
      <c r="R221" s="94">
        <f>IF(INDEX(lmic_raw_lb[],MATCH($A221,lmic_raw_lb[[setting]:[setting]],0), MATCH(R$139, lmic_raw_lb[#Headers],0))=0, INDEX(regions_lb[], MATCH($D221, regions_lb[[setting]:[setting]],0), MATCH(R$139, regions_lb[#Headers],0)),INDEX(lmic_raw_lb[],MATCH($A221,lmic_raw_lb[[setting]:[setting]],0), MATCH(R$139, lmic_raw_lb[#Headers],0)))</f>
        <v>42.31053</v>
      </c>
      <c r="S221" s="94">
        <f>IF(INDEX(lmic_raw_lb[],MATCH($A221,lmic_raw_lb[[setting]:[setting]],0), MATCH(S$139, lmic_raw_lb[#Headers],0))=0, INDEX(regions_lb[], MATCH($D221, regions_lb[[setting]:[setting]],0), MATCH(S$139, regions_lb[#Headers],0)),INDEX(lmic_raw_lb[],MATCH($A221,lmic_raw_lb[[setting]:[setting]],0), MATCH(S$139, lmic_raw_lb[#Headers],0)))</f>
        <v>87.665430000000001</v>
      </c>
      <c r="T221" s="94">
        <f>IF(INDEX(lmic_raw_lb[],MATCH($A221,lmic_raw_lb[[setting]:[setting]],0), MATCH(T$139, lmic_raw_lb[#Headers],0))=0, INDEX(regions_lb[], MATCH($D221, regions_lb[[setting]:[setting]],0), MATCH(T$139, regions_lb[#Headers],0)),INDEX(lmic_raw_lb[],MATCH($A221,lmic_raw_lb[[setting]:[setting]],0), MATCH(T$139, lmic_raw_lb[#Headers],0)))</f>
        <v>87.665430000000001</v>
      </c>
      <c r="U221" s="94">
        <f>IF(INDEX(lmic_raw_lb[],MATCH($A221,lmic_raw_lb[[setting]:[setting]],0), MATCH(U$139, lmic_raw_lb[#Headers],0))=0, INDEX(regions_lb[], MATCH($D221, regions_lb[[setting]:[setting]],0), MATCH(U$139, regions_lb[#Headers],0)),INDEX(lmic_raw_lb[],MATCH($A221,lmic_raw_lb[[setting]:[setting]],0), MATCH(U$139, lmic_raw_lb[#Headers],0)))</f>
        <v>87.665430000000001</v>
      </c>
      <c r="V221" s="94">
        <f>IF(INDEX(lmic_raw_lb[],MATCH($A221,lmic_raw_lb[[setting]:[setting]],0), MATCH(V$139, lmic_raw_lb[#Headers],0))=0, INDEX(regions_lb[], MATCH($D221, regions_lb[[setting]:[setting]],0), MATCH(V$139, regions_lb[#Headers],0)),INDEX(lmic_raw_lb[],MATCH($A221,lmic_raw_lb[[setting]:[setting]],0), MATCH(V$139, lmic_raw_lb[#Headers],0)))</f>
        <v>3.1382004064418103</v>
      </c>
      <c r="W221" s="94">
        <f>IF(INDEX(lmic_raw_lb[],MATCH($A221,lmic_raw_lb[[setting]:[setting]],0), MATCH(W$139, lmic_raw_lb[#Headers],0))=0, INDEX(regions_lb[], MATCH($D221, regions_lb[[setting]:[setting]],0), MATCH(W$139, regions_lb[#Headers],0)),INDEX(lmic_raw_lb[],MATCH($A221,lmic_raw_lb[[setting]:[setting]],0), MATCH(W$139, lmic_raw_lb[#Headers],0)))</f>
        <v>7.0006154064418107</v>
      </c>
      <c r="X221" s="94">
        <f>IF(INDEX(lmic_raw_lb[],MATCH($A221,lmic_raw_lb[[setting]:[setting]],0), MATCH(X$139, lmic_raw_lb[#Headers],0))=0, INDEX(regions_lb[], MATCH($D221, regions_lb[[setting]:[setting]],0), MATCH(X$139, regions_lb[#Headers],0)),INDEX(lmic_raw_lb[],MATCH($A221,lmic_raw_lb[[setting]:[setting]],0), MATCH(X$139, lmic_raw_lb[#Headers],0)))</f>
        <v>2.7654402431262723</v>
      </c>
      <c r="Y221" s="94">
        <f>IF(INDEX(lmic_raw_lb[],MATCH($A221,lmic_raw_lb[[setting]:[setting]],0), MATCH(Y$139, lmic_raw_lb[#Headers],0))=0, INDEX(regions_lb[], MATCH($D221, regions_lb[[setting]:[setting]],0), MATCH(Y$139, regions_lb[#Headers],0)),INDEX(lmic_raw_lb[],MATCH($A221,lmic_raw_lb[[setting]:[setting]],0), MATCH(Y$139, lmic_raw_lb[#Headers],0)))</f>
        <v>6.6278552431262732</v>
      </c>
      <c r="Z221" s="94">
        <f>IF(INDEX(lmic_raw_lb[],MATCH($A221,lmic_raw_lb[[setting]:[setting]],0), MATCH(Z$139, lmic_raw_lb[#Headers],0))=0, INDEX(regions_lb[], MATCH($D221, regions_lb[[setting]:[setting]],0), MATCH(Z$139, regions_lb[#Headers],0)),INDEX(lmic_raw_lb[],MATCH($A221,lmic_raw_lb[[setting]:[setting]],0), MATCH(Z$139, lmic_raw_lb[#Headers],0)))</f>
        <v>6.620551746813427</v>
      </c>
      <c r="AA221" s="94">
        <f>IF(INDEX(lmic_raw_lb[],MATCH($A221,lmic_raw_lb[[setting]:[setting]],0), MATCH(AA$139, lmic_raw_lb[#Headers],0))=0, INDEX(regions_lb[], MATCH($D221, regions_lb[[setting]:[setting]],0), MATCH(AA$139, regions_lb[#Headers],0)),INDEX(lmic_raw_lb[],MATCH($A221,lmic_raw_lb[[setting]:[setting]],0), MATCH(AA$139, lmic_raw_lb[#Headers],0)))</f>
        <v>3.3525962938126814</v>
      </c>
      <c r="AB221" s="94">
        <f>IF(INDEX(lmic_raw_lb[],MATCH($A221,lmic_raw_lb[[setting]:[setting]],0), MATCH(AB$139, lmic_raw_lb[#Headers],0))=0, INDEX(regions_lb[], MATCH($D221, regions_lb[[setting]:[setting]],0), MATCH(AB$139, regions_lb[#Headers],0)),INDEX(lmic_raw_lb[],MATCH($A221,lmic_raw_lb[[setting]:[setting]],0), MATCH(AB$139, lmic_raw_lb[#Headers],0)))</f>
        <v>7.2150112938126814</v>
      </c>
      <c r="AC221" s="94">
        <f>IF(INDEX(lmic_raw_lb[],MATCH($A221,lmic_raw_lb[[setting]:[setting]],0), MATCH(AC$139, lmic_raw_lb[#Headers],0))=0, INDEX(regions_lb[], MATCH($D221, regions_lb[[setting]:[setting]],0), MATCH(AC$139, regions_lb[#Headers],0)),INDEX(lmic_raw_lb[],MATCH($A221,lmic_raw_lb[[setting]:[setting]],0), MATCH(AC$139, lmic_raw_lb[#Headers],0)))</f>
        <v>1.7187076999999974E-2</v>
      </c>
      <c r="AD221" s="94">
        <f>IF(INDEX(lmic_raw_lb[],MATCH($A221,lmic_raw_lb[[setting]:[setting]],0), MATCH(AD$139, lmic_raw_lb[#Headers],0))=0, INDEX(regions_lb[], MATCH($D221, regions_lb[[setting]:[setting]],0), MATCH(AD$139, regions_lb[#Headers],0)),INDEX(lmic_raw_lb[],MATCH($A221,lmic_raw_lb[[setting]:[setting]],0), MATCH(AD$139, lmic_raw_lb[#Headers],0)))</f>
        <v>1.0346775341576111E-3</v>
      </c>
      <c r="AE221" s="94">
        <f>IF(INDEX(lmic_raw_lb[],MATCH($A221,lmic_raw_lb[[setting]:[setting]],0), MATCH(AE$139, lmic_raw_lb[#Headers],0))=0, INDEX(regions_lb[], MATCH($D221, regions_lb[[setting]:[setting]],0), MATCH(AE$139, regions_lb[#Headers],0)),INDEX(lmic_raw_lb[],MATCH($A221,lmic_raw_lb[[setting]:[setting]],0), MATCH(AE$139, lmic_raw_lb[#Headers],0)))</f>
        <v>3.4269282604917109E-4</v>
      </c>
      <c r="AF221" s="94">
        <f>IF(INDEX(lmic_raw_lb[],MATCH($A221,lmic_raw_lb[[setting]:[setting]],0), MATCH(AF$139, lmic_raw_lb[#Headers],0))=0, INDEX(regions_lb[], MATCH($D221, regions_lb[[setting]:[setting]],0), MATCH(AF$139, regions_lb[#Headers],0)),INDEX(lmic_raw_lb[],MATCH($A221,lmic_raw_lb[[setting]:[setting]],0), MATCH(AF$139, lmic_raw_lb[#Headers],0)))</f>
        <v>3.1910321579373618E-4</v>
      </c>
      <c r="AG221" s="94">
        <f>IF(INDEX(lmic_raw_lb[],MATCH($A221,lmic_raw_lb[[setting]:[setting]],0), MATCH(AG$139, lmic_raw_lb[#Headers],0))=0, INDEX(regions_lb[], MATCH($D221, regions_lb[[setting]:[setting]],0), MATCH(AG$139, regions_lb[#Headers],0)),INDEX(lmic_raw_lb[],MATCH($A221,lmic_raw_lb[[setting]:[setting]],0), MATCH(AG$139, lmic_raw_lb[#Headers],0)))</f>
        <v>4.9493929739430397E-4</v>
      </c>
      <c r="AH221" s="94">
        <f>IF(INDEX(lmic_raw_lb[],MATCH($A221,lmic_raw_lb[[setting]:[setting]],0), MATCH(AH$139, lmic_raw_lb[#Headers],0))=0, INDEX(regions_lb[], MATCH($D221, regions_lb[[setting]:[setting]],0), MATCH(AH$139, regions_lb[#Headers],0)),INDEX(lmic_raw_lb[],MATCH($A221,lmic_raw_lb[[setting]:[setting]],0), MATCH(AH$139, lmic_raw_lb[#Headers],0)))</f>
        <v>8.5619521564759291E-4</v>
      </c>
      <c r="AI221" s="94">
        <f>IF(INDEX(lmic_raw_lb[],MATCH($A221,lmic_raw_lb[[setting]:[setting]],0), MATCH(AI$139, lmic_raw_lb[#Headers],0))=0, INDEX(regions_lb[], MATCH($D221, regions_lb[[setting]:[setting]],0), MATCH(AI$139, regions_lb[#Headers],0)),INDEX(lmic_raw_lb[],MATCH($A221,lmic_raw_lb[[setting]:[setting]],0), MATCH(AI$139, lmic_raw_lb[#Headers],0)))</f>
        <v>1.2240992648668591E-3</v>
      </c>
      <c r="AJ221" s="94">
        <f>IF(INDEX(lmic_raw_lb[],MATCH($A221,lmic_raw_lb[[setting]:[setting]],0), MATCH(AJ$139, lmic_raw_lb[#Headers],0))=0, INDEX(regions_lb[], MATCH($D221, regions_lb[[setting]:[setting]],0), MATCH(AJ$139, regions_lb[#Headers],0)),INDEX(lmic_raw_lb[],MATCH($A221,lmic_raw_lb[[setting]:[setting]],0), MATCH(AJ$139, lmic_raw_lb[#Headers],0)))</f>
        <v>1.8498156968859254E-3</v>
      </c>
      <c r="AK221" s="94">
        <f>IF(INDEX(lmic_raw_lb[],MATCH($A221,lmic_raw_lb[[setting]:[setting]],0), MATCH(AK$139, lmic_raw_lb[#Headers],0))=0, INDEX(regions_lb[], MATCH($D221, regions_lb[[setting]:[setting]],0), MATCH(AK$139, regions_lb[#Headers],0)),INDEX(lmic_raw_lb[],MATCH($A221,lmic_raw_lb[[setting]:[setting]],0), MATCH(AK$139, lmic_raw_lb[#Headers],0)))</f>
        <v>2.6932097931661628E-3</v>
      </c>
      <c r="AL221" s="94">
        <f>IF(INDEX(lmic_raw_lb[],MATCH($A221,lmic_raw_lb[[setting]:[setting]],0), MATCH(AL$139, lmic_raw_lb[#Headers],0))=0, INDEX(regions_lb[], MATCH($D221, regions_lb[[setting]:[setting]],0), MATCH(AL$139, regions_lb[#Headers],0)),INDEX(lmic_raw_lb[],MATCH($A221,lmic_raw_lb[[setting]:[setting]],0), MATCH(AL$139, lmic_raw_lb[#Headers],0)))</f>
        <v>4.128238358177304E-3</v>
      </c>
      <c r="AM221" s="94">
        <f>IF(INDEX(lmic_raw_lb[],MATCH($A221,lmic_raw_lb[[setting]:[setting]],0), MATCH(AM$139, lmic_raw_lb[#Headers],0))=0, INDEX(regions_lb[], MATCH($D221, regions_lb[[setting]:[setting]],0), MATCH(AM$139, regions_lb[#Headers],0)),INDEX(lmic_raw_lb[],MATCH($A221,lmic_raw_lb[[setting]:[setting]],0), MATCH(AM$139, lmic_raw_lb[#Headers],0)))</f>
        <v>7.1013024209583067E-3</v>
      </c>
      <c r="AN221" s="94">
        <f>IF(INDEX(lmic_raw_lb[],MATCH($A221,lmic_raw_lb[[setting]:[setting]],0), MATCH(AN$139, lmic_raw_lb[#Headers],0))=0, INDEX(regions_lb[], MATCH($D221, regions_lb[[setting]:[setting]],0), MATCH(AN$139, regions_lb[#Headers],0)),INDEX(lmic_raw_lb[],MATCH($A221,lmic_raw_lb[[setting]:[setting]],0), MATCH(AN$139, lmic_raw_lb[#Headers],0)))</f>
        <v>1.0618014587171522E-2</v>
      </c>
      <c r="AO221" s="94">
        <f>IF(INDEX(lmic_raw_lb[],MATCH($A221,lmic_raw_lb[[setting]:[setting]],0), MATCH(AO$139, lmic_raw_lb[#Headers],0))=0, INDEX(regions_lb[], MATCH($D221, regions_lb[[setting]:[setting]],0), MATCH(AO$139, regions_lb[#Headers],0)),INDEX(lmic_raw_lb[],MATCH($A221,lmic_raw_lb[[setting]:[setting]],0), MATCH(AO$139, lmic_raw_lb[#Headers],0)))</f>
        <v>1.4397549207143971E-2</v>
      </c>
      <c r="AP221" s="94">
        <f>IF(INDEX(lmic_raw_lb[],MATCH($A221,lmic_raw_lb[[setting]:[setting]],0), MATCH(AP$139, lmic_raw_lb[#Headers],0))=0, INDEX(regions_lb[], MATCH($D221, regions_lb[[setting]:[setting]],0), MATCH(AP$139, regions_lb[#Headers],0)),INDEX(lmic_raw_lb[],MATCH($A221,lmic_raw_lb[[setting]:[setting]],0), MATCH(AP$139, lmic_raw_lb[#Headers],0)))</f>
        <v>2.0216557051855641E-2</v>
      </c>
      <c r="AQ221" s="94">
        <f>IF(INDEX(lmic_raw_lb[],MATCH($A221,lmic_raw_lb[[setting]:[setting]],0), MATCH(AQ$139, lmic_raw_lb[#Headers],0))=0, INDEX(regions_lb[], MATCH($D221, regions_lb[[setting]:[setting]],0), MATCH(AQ$139, regions_lb[#Headers],0)),INDEX(lmic_raw_lb[],MATCH($A221,lmic_raw_lb[[setting]:[setting]],0), MATCH(AQ$139, lmic_raw_lb[#Headers],0)))</f>
        <v>2.7565094646609514E-2</v>
      </c>
      <c r="AR221" s="94">
        <f>IF(INDEX(lmic_raw_lb[],MATCH($A221,lmic_raw_lb[[setting]:[setting]],0), MATCH(AR$139, lmic_raw_lb[#Headers],0))=0, INDEX(regions_lb[], MATCH($D221, regions_lb[[setting]:[setting]],0), MATCH(AR$139, regions_lb[#Headers],0)),INDEX(lmic_raw_lb[],MATCH($A221,lmic_raw_lb[[setting]:[setting]],0), MATCH(AR$139, lmic_raw_lb[#Headers],0)))</f>
        <v>4.3845330982583142E-2</v>
      </c>
      <c r="AS221" s="94">
        <f>IF(INDEX(lmic_raw_lb[],MATCH($A221,lmic_raw_lb[[setting]:[setting]],0), MATCH(AS$139, lmic_raw_lb[#Headers],0))=0, INDEX(regions_lb[], MATCH($D221, regions_lb[[setting]:[setting]],0), MATCH(AS$139, regions_lb[#Headers],0)),INDEX(lmic_raw_lb[],MATCH($A221,lmic_raw_lb[[setting]:[setting]],0), MATCH(AS$139, lmic_raw_lb[#Headers],0)))</f>
        <v>6.2588998745244345E-2</v>
      </c>
      <c r="AT221" s="94">
        <f>IF(INDEX(lmic_raw_lb[],MATCH($A221,lmic_raw_lb[[setting]:[setting]],0), MATCH(AT$139, lmic_raw_lb[#Headers],0))=0, INDEX(regions_lb[], MATCH($D221, regions_lb[[setting]:[setting]],0), MATCH(AT$139, regions_lb[#Headers],0)),INDEX(lmic_raw_lb[],MATCH($A221,lmic_raw_lb[[setting]:[setting]],0), MATCH(AT$139, lmic_raw_lb[#Headers],0)))</f>
        <v>8.5520990892157769E-2</v>
      </c>
      <c r="AU221" s="94">
        <f>IF(INDEX(lmic_raw_lb[],MATCH($A221,lmic_raw_lb[[setting]:[setting]],0), MATCH(AU$139, lmic_raw_lb[#Headers],0))=0, INDEX(regions_lb[], MATCH($D221, regions_lb[[setting]:[setting]],0), MATCH(AU$139, regions_lb[#Headers],0)),INDEX(lmic_raw_lb[],MATCH($A221,lmic_raw_lb[[setting]:[setting]],0), MATCH(AU$139, lmic_raw_lb[#Headers],0)))</f>
        <v>0.11148821121680133</v>
      </c>
      <c r="AV221" s="94">
        <f>IF(INDEX(lmic_raw_lb[],MATCH($A221,lmic_raw_lb[[setting]:[setting]],0), MATCH(AV$139, lmic_raw_lb[#Headers],0))=0, INDEX(regions_lb[], MATCH($D221, regions_lb[[setting]:[setting]],0), MATCH(AV$139, regions_lb[#Headers],0)),INDEX(lmic_raw_lb[],MATCH($A221,lmic_raw_lb[[setting]:[setting]],0), MATCH(AV$139, lmic_raw_lb[#Headers],0)))</f>
        <v>0.13643041704868589</v>
      </c>
      <c r="AW221" s="94">
        <f>IF(INDEX(lmic_raw_lb[],MATCH($A221,lmic_raw_lb[[setting]:[setting]],0), MATCH(AW$139, lmic_raw_lb[#Headers],0))=0, INDEX(regions_lb[], MATCH($D221, regions_lb[[setting]:[setting]],0), MATCH(AW$139, regions_lb[#Headers],0)),INDEX(lmic_raw_lb[],MATCH($A221,lmic_raw_lb[[setting]:[setting]],0), MATCH(AW$139, lmic_raw_lb[#Headers],0)))</f>
        <v>0.15685835251538757</v>
      </c>
      <c r="AX221" s="94">
        <f>IF(INDEX(lmic_raw_lb[],MATCH($A221,lmic_raw_lb[[setting]:[setting]],0), MATCH(AX$139, lmic_raw_lb[#Headers],0))=0, INDEX(regions_lb[], MATCH($D221, regions_lb[[setting]:[setting]],0), MATCH(AX$139, regions_lb[#Headers],0)),INDEX(lmic_raw_lb[],MATCH($A221,lmic_raw_lb[[setting]:[setting]],0), MATCH(AX$139, lmic_raw_lb[#Headers],0)))</f>
        <v>66.071550000000002</v>
      </c>
      <c r="AY221" s="94" t="str">
        <f>IF(VLOOKUP(lmics_lb[[#This Row],[setting]],lmic_raw_lb[],11,FALSE)=0, "Yes", "No")</f>
        <v>No</v>
      </c>
    </row>
    <row r="222" spans="1:51" x14ac:dyDescent="0.25">
      <c r="A222" s="109" t="s">
        <v>341</v>
      </c>
      <c r="B222" s="101" t="s">
        <v>474</v>
      </c>
      <c r="C222" s="102">
        <v>499</v>
      </c>
      <c r="D222" s="82" t="s">
        <v>675</v>
      </c>
      <c r="E222" s="121" t="s">
        <v>580</v>
      </c>
      <c r="F222" s="98" t="s">
        <v>663</v>
      </c>
      <c r="G222" s="98" t="s">
        <v>676</v>
      </c>
      <c r="H222" s="98"/>
      <c r="I222" s="98"/>
      <c r="J222" s="98">
        <f>IF(INDEX(lmic_raw_lb[],MATCH($A222,lmic_raw_lb[[setting]:[setting]],0), MATCH(J$139, lmic_raw_lb[#Headers],0))=0, INDEX(regions_lb[], MATCH($D222, regions_lb[[setting]:[setting]],0), MATCH(J$139, regions_lb[#Headers],0)),INDEX(lmic_raw_lb[],MATCH($A222,lmic_raw_lb[[setting]:[setting]],0), MATCH(J$139, lmic_raw_lb[#Headers],0)))</f>
        <v>0.93669999999999998</v>
      </c>
      <c r="K222" s="98">
        <f>IF(INDEX(lmic_raw_lb[],MATCH($A222,lmic_raw_lb[[setting]:[setting]],0), MATCH(K$139, lmic_raw_lb[#Headers],0))=0, INDEX(regions_lb[], MATCH($D222, regions_lb[[setting]:[setting]],0), MATCH(K$139, regions_lb[#Headers],0)),INDEX(lmic_raw_lb[],MATCH($A222,lmic_raw_lb[[setting]:[setting]],0), MATCH(K$139, lmic_raw_lb[#Headers],0)))</f>
        <v>0.89520609099924997</v>
      </c>
      <c r="L222" s="98">
        <f>IF(INDEX(lmic_raw_lb[],MATCH($A222,lmic_raw_lb[[setting]:[setting]],0), MATCH(L$139, lmic_raw_lb[#Headers],0))=0, INDEX(regions_lb[], MATCH($D222, regions_lb[[setting]:[setting]],0), MATCH(L$139, regions_lb[#Headers],0)),INDEX(lmic_raw_lb[],MATCH($A222,lmic_raw_lb[[setting]:[setting]],0), MATCH(L$139, lmic_raw_lb[#Headers],0)))</f>
        <v>0.68399999999999994</v>
      </c>
      <c r="M222" s="98">
        <f>IF(INDEX(lmic_raw_lb[],MATCH($A222,lmic_raw_lb[[setting]:[setting]],0), MATCH(M$139, lmic_raw_lb[#Headers],0))=0, INDEX(regions_lb[], MATCH($D222, regions_lb[[setting]:[setting]],0), MATCH(M$139, regions_lb[#Headers],0)),INDEX(lmic_raw_lb[],MATCH($A222,lmic_raw_lb[[setting]:[setting]],0), MATCH(M$139, lmic_raw_lb[#Headers],0)))</f>
        <v>3.0999999999999999E-3</v>
      </c>
      <c r="N222" s="98">
        <f>IF(INDEX(lmic_raw_lb[],MATCH($A222,lmic_raw_lb[[setting]:[setting]],0), MATCH(N$139, lmic_raw_lb[#Headers],0))=0, INDEX(regions_lb[], MATCH($D222, regions_lb[[setting]:[setting]],0), MATCH(N$139, regions_lb[#Headers],0)),INDEX(lmic_raw_lb[],MATCH($A222,lmic_raw_lb[[setting]:[setting]],0), MATCH(N$139, lmic_raw_lb[#Headers],0)))</f>
        <v>0.16329999999999997</v>
      </c>
      <c r="O222" s="98">
        <f>IF(INDEX(lmic_raw_lb[],MATCH($A222,lmic_raw_lb[[setting]:[setting]],0), MATCH(O$139, lmic_raw_lb[#Headers],0))=0, INDEX(regions_lb[], MATCH($D222, regions_lb[[setting]:[setting]],0), MATCH(O$139, regions_lb[#Headers],0)),INDEX(lmic_raw_lb[],MATCH($A222,lmic_raw_lb[[setting]:[setting]],0), MATCH(O$139, lmic_raw_lb[#Headers],0)))</f>
        <v>0.7</v>
      </c>
      <c r="P222" s="98">
        <f>IF(INDEX(lmic_raw_lb[],MATCH($A222,lmic_raw_lb[[setting]:[setting]],0), MATCH(P$139, lmic_raw_lb[#Headers],0))=0, INDEX(regions_lb[], MATCH($D222, regions_lb[[setting]:[setting]],0), MATCH(P$139, regions_lb[#Headers],0)),INDEX(lmic_raw_lb[],MATCH($A222,lmic_raw_lb[[setting]:[setting]],0), MATCH(P$139, lmic_raw_lb[#Headers],0)))</f>
        <v>0.05</v>
      </c>
      <c r="Q222" s="98">
        <f>IF(INDEX(lmic_raw_lb[],MATCH($A222,lmic_raw_lb[[setting]:[setting]],0), MATCH(Q$139, lmic_raw_lb[#Headers],0))=0, INDEX(regions_lb[], MATCH($D222, regions_lb[[setting]:[setting]],0), MATCH(Q$139, regions_lb[#Headers],0)),INDEX(lmic_raw_lb[],MATCH($A222,lmic_raw_lb[[setting]:[setting]],0), MATCH(Q$139, lmic_raw_lb[#Headers],0)))</f>
        <v>9.8128573059501871</v>
      </c>
      <c r="R222" s="98">
        <f>IF(INDEX(lmic_raw_lb[],MATCH($A222,lmic_raw_lb[[setting]:[setting]],0), MATCH(R$139, lmic_raw_lb[#Headers],0))=0, INDEX(regions_lb[], MATCH($D222, regions_lb[[setting]:[setting]],0), MATCH(R$139, regions_lb[#Headers],0)),INDEX(lmic_raw_lb[],MATCH($A222,lmic_raw_lb[[setting]:[setting]],0), MATCH(R$139, lmic_raw_lb[#Headers],0)))</f>
        <v>42.31053</v>
      </c>
      <c r="S222" s="98">
        <f>IF(INDEX(lmic_raw_lb[],MATCH($A222,lmic_raw_lb[[setting]:[setting]],0), MATCH(S$139, lmic_raw_lb[#Headers],0))=0, INDEX(regions_lb[], MATCH($D222, regions_lb[[setting]:[setting]],0), MATCH(S$139, regions_lb[#Headers],0)),INDEX(lmic_raw_lb[],MATCH($A222,lmic_raw_lb[[setting]:[setting]],0), MATCH(S$139, lmic_raw_lb[#Headers],0)))</f>
        <v>87.665430000000001</v>
      </c>
      <c r="T222" s="98">
        <f>IF(INDEX(lmic_raw_lb[],MATCH($A222,lmic_raw_lb[[setting]:[setting]],0), MATCH(T$139, lmic_raw_lb[#Headers],0))=0, INDEX(regions_lb[], MATCH($D222, regions_lb[[setting]:[setting]],0), MATCH(T$139, regions_lb[#Headers],0)),INDEX(lmic_raw_lb[],MATCH($A222,lmic_raw_lb[[setting]:[setting]],0), MATCH(T$139, lmic_raw_lb[#Headers],0)))</f>
        <v>87.665430000000001</v>
      </c>
      <c r="U222" s="98">
        <f>IF(INDEX(lmic_raw_lb[],MATCH($A222,lmic_raw_lb[[setting]:[setting]],0), MATCH(U$139, lmic_raw_lb[#Headers],0))=0, INDEX(regions_lb[], MATCH($D222, regions_lb[[setting]:[setting]],0), MATCH(U$139, regions_lb[#Headers],0)),INDEX(lmic_raw_lb[],MATCH($A222,lmic_raw_lb[[setting]:[setting]],0), MATCH(U$139, lmic_raw_lb[#Headers],0)))</f>
        <v>87.665430000000001</v>
      </c>
      <c r="V222" s="98">
        <f>IF(INDEX(lmic_raw_lb[],MATCH($A222,lmic_raw_lb[[setting]:[setting]],0), MATCH(V$139, lmic_raw_lb[#Headers],0))=0, INDEX(regions_lb[], MATCH($D222, regions_lb[[setting]:[setting]],0), MATCH(V$139, regions_lb[#Headers],0)),INDEX(lmic_raw_lb[],MATCH($A222,lmic_raw_lb[[setting]:[setting]],0), MATCH(V$139, lmic_raw_lb[#Headers],0)))</f>
        <v>2.9750481316810728</v>
      </c>
      <c r="W222" s="98">
        <f>IF(INDEX(lmic_raw_lb[],MATCH($A222,lmic_raw_lb[[setting]:[setting]],0), MATCH(W$139, lmic_raw_lb[#Headers],0))=0, INDEX(regions_lb[], MATCH($D222, regions_lb[[setting]:[setting]],0), MATCH(W$139, regions_lb[#Headers],0)),INDEX(lmic_raw_lb[],MATCH($A222,lmic_raw_lb[[setting]:[setting]],0), MATCH(W$139, lmic_raw_lb[#Headers],0)))</f>
        <v>6.8374631316810728</v>
      </c>
      <c r="X222" s="98">
        <f>IF(INDEX(lmic_raw_lb[],MATCH($A222,lmic_raw_lb[[setting]:[setting]],0), MATCH(X$139, lmic_raw_lb[#Headers],0))=0, INDEX(regions_lb[], MATCH($D222, regions_lb[[setting]:[setting]],0), MATCH(X$139, regions_lb[#Headers],0)),INDEX(lmic_raw_lb[],MATCH($A222,lmic_raw_lb[[setting]:[setting]],0), MATCH(X$139, lmic_raw_lb[#Headers],0)))</f>
        <v>2.6016094932670146</v>
      </c>
      <c r="Y222" s="98">
        <f>IF(INDEX(lmic_raw_lb[],MATCH($A222,lmic_raw_lb[[setting]:[setting]],0), MATCH(Y$139, lmic_raw_lb[#Headers],0))=0, INDEX(regions_lb[], MATCH($D222, regions_lb[[setting]:[setting]],0), MATCH(Y$139, regions_lb[#Headers],0)),INDEX(lmic_raw_lb[],MATCH($A222,lmic_raw_lb[[setting]:[setting]],0), MATCH(Y$139, lmic_raw_lb[#Headers],0)))</f>
        <v>6.464024493267015</v>
      </c>
      <c r="Z222" s="98">
        <f>IF(INDEX(lmic_raw_lb[],MATCH($A222,lmic_raw_lb[[setting]:[setting]],0), MATCH(Z$139, lmic_raw_lb[#Headers],0))=0, INDEX(regions_lb[], MATCH($D222, regions_lb[[setting]:[setting]],0), MATCH(Z$139, regions_lb[#Headers],0)),INDEX(lmic_raw_lb[],MATCH($A222,lmic_raw_lb[[setting]:[setting]],0), MATCH(Z$139, lmic_raw_lb[#Headers],0)))</f>
        <v>6.45665143150479</v>
      </c>
      <c r="AA222" s="98">
        <f>IF(INDEX(lmic_raw_lb[],MATCH($A222,lmic_raw_lb[[setting]:[setting]],0), MATCH(AA$139, lmic_raw_lb[#Headers],0))=0, INDEX(regions_lb[], MATCH($D222, regions_lb[[setting]:[setting]],0), MATCH(AA$139, regions_lb[#Headers],0)),INDEX(lmic_raw_lb[],MATCH($A222,lmic_raw_lb[[setting]:[setting]],0), MATCH(AA$139, lmic_raw_lb[#Headers],0)))</f>
        <v>3.1897347940941669</v>
      </c>
      <c r="AB222" s="98">
        <f>IF(INDEX(lmic_raw_lb[],MATCH($A222,lmic_raw_lb[[setting]:[setting]],0), MATCH(AB$139, lmic_raw_lb[#Headers],0))=0, INDEX(regions_lb[], MATCH($D222, regions_lb[[setting]:[setting]],0), MATCH(AB$139, regions_lb[#Headers],0)),INDEX(lmic_raw_lb[],MATCH($A222,lmic_raw_lb[[setting]:[setting]],0), MATCH(AB$139, lmic_raw_lb[#Headers],0)))</f>
        <v>7.0521497940941673</v>
      </c>
      <c r="AC222" s="98">
        <f>IF(INDEX(lmic_raw_lb[],MATCH($A222,lmic_raw_lb[[setting]:[setting]],0), MATCH(AC$139, lmic_raw_lb[#Headers],0))=0, INDEX(regions_lb[], MATCH($D222, regions_lb[[setting]:[setting]],0), MATCH(AC$139, regions_lb[#Headers],0)),INDEX(lmic_raw_lb[],MATCH($A222,lmic_raw_lb[[setting]:[setting]],0), MATCH(AC$139, lmic_raw_lb[#Headers],0)))</f>
        <v>2.6210405000000464E-3</v>
      </c>
      <c r="AD222" s="98">
        <f>IF(INDEX(lmic_raw_lb[],MATCH($A222,lmic_raw_lb[[setting]:[setting]],0), MATCH(AD$139, lmic_raw_lb[#Headers],0))=0, INDEX(regions_lb[], MATCH($D222, regions_lb[[setting]:[setting]],0), MATCH(AD$139, regions_lb[#Headers],0)),INDEX(lmic_raw_lb[],MATCH($A222,lmic_raw_lb[[setting]:[setting]],0), MATCH(AD$139, lmic_raw_lb[#Headers],0)))</f>
        <v>1.0429374540062592E-4</v>
      </c>
      <c r="AE222" s="98">
        <f>IF(INDEX(lmic_raw_lb[],MATCH($A222,lmic_raw_lb[[setting]:[setting]],0), MATCH(AE$139, lmic_raw_lb[#Headers],0))=0, INDEX(regions_lb[], MATCH($D222, regions_lb[[setting]:[setting]],0), MATCH(AE$139, regions_lb[#Headers],0)),INDEX(lmic_raw_lb[],MATCH($A222,lmic_raw_lb[[setting]:[setting]],0), MATCH(AE$139, lmic_raw_lb[#Headers],0)))</f>
        <v>1.2314889593689613E-4</v>
      </c>
      <c r="AF222" s="98">
        <f>IF(INDEX(lmic_raw_lb[],MATCH($A222,lmic_raw_lb[[setting]:[setting]],0), MATCH(AF$139, lmic_raw_lb[#Headers],0))=0, INDEX(regions_lb[], MATCH($D222, regions_lb[[setting]:[setting]],0), MATCH(AF$139, regions_lb[#Headers],0)),INDEX(lmic_raw_lb[],MATCH($A222,lmic_raw_lb[[setting]:[setting]],0), MATCH(AF$139, lmic_raw_lb[#Headers],0)))</f>
        <v>1.3386213083016766E-4</v>
      </c>
      <c r="AG222" s="98">
        <f>IF(INDEX(lmic_raw_lb[],MATCH($A222,lmic_raw_lb[[setting]:[setting]],0), MATCH(AG$139, lmic_raw_lb[#Headers],0))=0, INDEX(regions_lb[], MATCH($D222, regions_lb[[setting]:[setting]],0), MATCH(AG$139, regions_lb[#Headers],0)),INDEX(lmic_raw_lb[],MATCH($A222,lmic_raw_lb[[setting]:[setting]],0), MATCH(AG$139, lmic_raw_lb[#Headers],0)))</f>
        <v>2.4685270109297164E-4</v>
      </c>
      <c r="AH222" s="98">
        <f>IF(INDEX(lmic_raw_lb[],MATCH($A222,lmic_raw_lb[[setting]:[setting]],0), MATCH(AH$139, lmic_raw_lb[#Headers],0))=0, INDEX(regions_lb[], MATCH($D222, regions_lb[[setting]:[setting]],0), MATCH(AH$139, regions_lb[#Headers],0)),INDEX(lmic_raw_lb[],MATCH($A222,lmic_raw_lb[[setting]:[setting]],0), MATCH(AH$139, lmic_raw_lb[#Headers],0)))</f>
        <v>3.6586245624027012E-4</v>
      </c>
      <c r="AI222" s="98">
        <f>IF(INDEX(lmic_raw_lb[],MATCH($A222,lmic_raw_lb[[setting]:[setting]],0), MATCH(AI$139, lmic_raw_lb[#Headers],0))=0, INDEX(regions_lb[], MATCH($D222, regions_lb[[setting]:[setting]],0), MATCH(AI$139, regions_lb[#Headers],0)),INDEX(lmic_raw_lb[],MATCH($A222,lmic_raw_lb[[setting]:[setting]],0), MATCH(AI$139, lmic_raw_lb[#Headers],0)))</f>
        <v>5.5664347295768441E-4</v>
      </c>
      <c r="AJ222" s="98">
        <f>IF(INDEX(lmic_raw_lb[],MATCH($A222,lmic_raw_lb[[setting]:[setting]],0), MATCH(AJ$139, lmic_raw_lb[#Headers],0))=0, INDEX(regions_lb[], MATCH($D222, regions_lb[[setting]:[setting]],0), MATCH(AJ$139, regions_lb[#Headers],0)),INDEX(lmic_raw_lb[],MATCH($A222,lmic_raw_lb[[setting]:[setting]],0), MATCH(AJ$139, lmic_raw_lb[#Headers],0)))</f>
        <v>5.5427680249059462E-4</v>
      </c>
      <c r="AK222" s="98">
        <f>IF(INDEX(lmic_raw_lb[],MATCH($A222,lmic_raw_lb[[setting]:[setting]],0), MATCH(AK$139, lmic_raw_lb[#Headers],0))=0, INDEX(regions_lb[], MATCH($D222, regions_lb[[setting]:[setting]],0), MATCH(AK$139, regions_lb[#Headers],0)),INDEX(lmic_raw_lb[],MATCH($A222,lmic_raw_lb[[setting]:[setting]],0), MATCH(AK$139, lmic_raw_lb[#Headers],0)))</f>
        <v>9.2242188556577553E-4</v>
      </c>
      <c r="AL222" s="98">
        <f>IF(INDEX(lmic_raw_lb[],MATCH($A222,lmic_raw_lb[[setting]:[setting]],0), MATCH(AL$139, lmic_raw_lb[#Headers],0))=0, INDEX(regions_lb[], MATCH($D222, regions_lb[[setting]:[setting]],0), MATCH(AL$139, regions_lb[#Headers],0)),INDEX(lmic_raw_lb[],MATCH($A222,lmic_raw_lb[[setting]:[setting]],0), MATCH(AL$139, lmic_raw_lb[#Headers],0)))</f>
        <v>1.4316426674477287E-3</v>
      </c>
      <c r="AM222" s="98">
        <f>IF(INDEX(lmic_raw_lb[],MATCH($A222,lmic_raw_lb[[setting]:[setting]],0), MATCH(AM$139, lmic_raw_lb[#Headers],0))=0, INDEX(regions_lb[], MATCH($D222, regions_lb[[setting]:[setting]],0), MATCH(AM$139, regions_lb[#Headers],0)),INDEX(lmic_raw_lb[],MATCH($A222,lmic_raw_lb[[setting]:[setting]],0), MATCH(AM$139, lmic_raw_lb[#Headers],0)))</f>
        <v>2.4329816400606614E-3</v>
      </c>
      <c r="AN222" s="98">
        <f>IF(INDEX(lmic_raw_lb[],MATCH($A222,lmic_raw_lb[[setting]:[setting]],0), MATCH(AN$139, lmic_raw_lb[#Headers],0))=0, INDEX(regions_lb[], MATCH($D222, regions_lb[[setting]:[setting]],0), MATCH(AN$139, regions_lb[#Headers],0)),INDEX(lmic_raw_lb[],MATCH($A222,lmic_raw_lb[[setting]:[setting]],0), MATCH(AN$139, lmic_raw_lb[#Headers],0)))</f>
        <v>4.5430094714786892E-3</v>
      </c>
      <c r="AO222" s="98">
        <f>IF(INDEX(lmic_raw_lb[],MATCH($A222,lmic_raw_lb[[setting]:[setting]],0), MATCH(AO$139, lmic_raw_lb[#Headers],0))=0, INDEX(regions_lb[], MATCH($D222, regions_lb[[setting]:[setting]],0), MATCH(AO$139, regions_lb[#Headers],0)),INDEX(lmic_raw_lb[],MATCH($A222,lmic_raw_lb[[setting]:[setting]],0), MATCH(AO$139, lmic_raw_lb[#Headers],0)))</f>
        <v>8.1042670430410205E-3</v>
      </c>
      <c r="AP222" s="98">
        <f>IF(INDEX(lmic_raw_lb[],MATCH($A222,lmic_raw_lb[[setting]:[setting]],0), MATCH(AP$139, lmic_raw_lb[#Headers],0))=0, INDEX(regions_lb[], MATCH($D222, regions_lb[[setting]:[setting]],0), MATCH(AP$139, regions_lb[#Headers],0)),INDEX(lmic_raw_lb[],MATCH($A222,lmic_raw_lb[[setting]:[setting]],0), MATCH(AP$139, lmic_raw_lb[#Headers],0)))</f>
        <v>1.2155327883148249E-2</v>
      </c>
      <c r="AQ222" s="98">
        <f>IF(INDEX(lmic_raw_lb[],MATCH($A222,lmic_raw_lb[[setting]:[setting]],0), MATCH(AQ$139, lmic_raw_lb[#Headers],0))=0, INDEX(regions_lb[], MATCH($D222, regions_lb[[setting]:[setting]],0), MATCH(AQ$139, regions_lb[#Headers],0)),INDEX(lmic_raw_lb[],MATCH($A222,lmic_raw_lb[[setting]:[setting]],0), MATCH(AQ$139, lmic_raw_lb[#Headers],0)))</f>
        <v>2.0126847256531098E-2</v>
      </c>
      <c r="AR222" s="98">
        <f>IF(INDEX(lmic_raw_lb[],MATCH($A222,lmic_raw_lb[[setting]:[setting]],0), MATCH(AR$139, lmic_raw_lb[#Headers],0))=0, INDEX(regions_lb[], MATCH($D222, regions_lb[[setting]:[setting]],0), MATCH(AR$139, regions_lb[#Headers],0)),INDEX(lmic_raw_lb[],MATCH($A222,lmic_raw_lb[[setting]:[setting]],0), MATCH(AR$139, lmic_raw_lb[#Headers],0)))</f>
        <v>2.9426599249038326E-2</v>
      </c>
      <c r="AS222" s="98">
        <f>IF(INDEX(lmic_raw_lb[],MATCH($A222,lmic_raw_lb[[setting]:[setting]],0), MATCH(AS$139, lmic_raw_lb[#Headers],0))=0, INDEX(regions_lb[], MATCH($D222, regions_lb[[setting]:[setting]],0), MATCH(AS$139, regions_lb[#Headers],0)),INDEX(lmic_raw_lb[],MATCH($A222,lmic_raw_lb[[setting]:[setting]],0), MATCH(AS$139, lmic_raw_lb[#Headers],0)))</f>
        <v>4.887883261272255E-2</v>
      </c>
      <c r="AT222" s="98">
        <f>IF(INDEX(lmic_raw_lb[],MATCH($A222,lmic_raw_lb[[setting]:[setting]],0), MATCH(AT$139, lmic_raw_lb[#Headers],0))=0, INDEX(regions_lb[], MATCH($D222, regions_lb[[setting]:[setting]],0), MATCH(AT$139, regions_lb[#Headers],0)),INDEX(lmic_raw_lb[],MATCH($A222,lmic_raw_lb[[setting]:[setting]],0), MATCH(AT$139, lmic_raw_lb[#Headers],0)))</f>
        <v>7.7063946051068116E-2</v>
      </c>
      <c r="AU222" s="98">
        <f>IF(INDEX(lmic_raw_lb[],MATCH($A222,lmic_raw_lb[[setting]:[setting]],0), MATCH(AU$139, lmic_raw_lb[#Headers],0))=0, INDEX(regions_lb[], MATCH($D222, regions_lb[[setting]:[setting]],0), MATCH(AU$139, regions_lb[#Headers],0)),INDEX(lmic_raw_lb[],MATCH($A222,lmic_raw_lb[[setting]:[setting]],0), MATCH(AU$139, lmic_raw_lb[#Headers],0)))</f>
        <v>0.1117260127560994</v>
      </c>
      <c r="AV222" s="98">
        <f>IF(INDEX(lmic_raw_lb[],MATCH($A222,lmic_raw_lb[[setting]:[setting]],0), MATCH(AV$139, lmic_raw_lb[#Headers],0))=0, INDEX(regions_lb[], MATCH($D222, regions_lb[[setting]:[setting]],0), MATCH(AV$139, regions_lb[#Headers],0)),INDEX(lmic_raw_lb[],MATCH($A222,lmic_raw_lb[[setting]:[setting]],0), MATCH(AV$139, lmic_raw_lb[#Headers],0)))</f>
        <v>0.1479933124985566</v>
      </c>
      <c r="AW222" s="98">
        <f>IF(INDEX(lmic_raw_lb[],MATCH($A222,lmic_raw_lb[[setting]:[setting]],0), MATCH(AW$139, lmic_raw_lb[#Headers],0))=0, INDEX(regions_lb[], MATCH($D222, regions_lb[[setting]:[setting]],0), MATCH(AW$139, regions_lb[#Headers],0)),INDEX(lmic_raw_lb[],MATCH($A222,lmic_raw_lb[[setting]:[setting]],0), MATCH(AW$139, lmic_raw_lb[#Headers],0)))</f>
        <v>0.17016617947094131</v>
      </c>
      <c r="AX222" s="98">
        <f>IF(INDEX(lmic_raw_lb[],MATCH($A222,lmic_raw_lb[[setting]:[setting]],0), MATCH(AX$139, lmic_raw_lb[#Headers],0))=0, INDEX(regions_lb[], MATCH($D222, regions_lb[[setting]:[setting]],0), MATCH(AX$139, regions_lb[#Headers],0)),INDEX(lmic_raw_lb[],MATCH($A222,lmic_raw_lb[[setting]:[setting]],0), MATCH(AX$139, lmic_raw_lb[#Headers],0)))</f>
        <v>72.819400000000002</v>
      </c>
      <c r="AY222" s="98" t="str">
        <f>IF(VLOOKUP(lmics_lb[[#This Row],[setting]],lmic_raw_lb[],11,FALSE)=0, "Yes", "No")</f>
        <v>Yes</v>
      </c>
    </row>
    <row r="223" spans="1:51" x14ac:dyDescent="0.25">
      <c r="A223" s="110" t="s">
        <v>160</v>
      </c>
      <c r="B223" s="104" t="s">
        <v>475</v>
      </c>
      <c r="C223" s="105">
        <v>504</v>
      </c>
      <c r="D223" s="84" t="s">
        <v>673</v>
      </c>
      <c r="E223" s="122" t="s">
        <v>579</v>
      </c>
      <c r="F223" s="94" t="s">
        <v>579</v>
      </c>
      <c r="G223" s="94" t="s">
        <v>678</v>
      </c>
      <c r="H223" s="94"/>
      <c r="I223" s="94"/>
      <c r="J223" s="94">
        <f>IF(INDEX(lmic_raw_lb[],MATCH($A223,lmic_raw_lb[[setting]:[setting]],0), MATCH(J$139, lmic_raw_lb[#Headers],0))=0, INDEX(regions_lb[], MATCH($D223, regions_lb[[setting]:[setting]],0), MATCH(J$139, regions_lb[#Headers],0)),INDEX(lmic_raw_lb[],MATCH($A223,lmic_raw_lb[[setting]:[setting]],0), MATCH(J$139, lmic_raw_lb[#Headers],0)))</f>
        <v>0.81794999999999995</v>
      </c>
      <c r="K223" s="94">
        <f>IF(INDEX(lmic_raw_lb[],MATCH($A223,lmic_raw_lb[[setting]:[setting]],0), MATCH(K$139, lmic_raw_lb[#Headers],0))=0, INDEX(regions_lb[], MATCH($D223, regions_lb[[setting]:[setting]],0), MATCH(K$139, regions_lb[#Headers],0)),INDEX(lmic_raw_lb[],MATCH($A223,lmic_raw_lb[[setting]:[setting]],0), MATCH(K$139, lmic_raw_lb[#Headers],0)))</f>
        <v>0.38949999999999996</v>
      </c>
      <c r="L223" s="94">
        <f>IF(INDEX(lmic_raw_lb[],MATCH($A223,lmic_raw_lb[[setting]:[setting]],0), MATCH(L$139, lmic_raw_lb[#Headers],0))=0, INDEX(regions_lb[], MATCH($D223, regions_lb[[setting]:[setting]],0), MATCH(L$139, regions_lb[#Headers],0)),INDEX(lmic_raw_lb[],MATCH($A223,lmic_raw_lb[[setting]:[setting]],0), MATCH(L$139, lmic_raw_lb[#Headers],0)))</f>
        <v>0.9405</v>
      </c>
      <c r="M223" s="94">
        <f>IF(INDEX(lmic_raw_lb[],MATCH($A223,lmic_raw_lb[[setting]:[setting]],0), MATCH(M$139, lmic_raw_lb[#Headers],0))=0, INDEX(regions_lb[], MATCH($D223, regions_lb[[setting]:[setting]],0), MATCH(M$139, regions_lb[#Headers],0)),INDEX(lmic_raw_lb[],MATCH($A223,lmic_raw_lb[[setting]:[setting]],0), MATCH(M$139, lmic_raw_lb[#Headers],0)))</f>
        <v>1.23E-2</v>
      </c>
      <c r="N223" s="94">
        <f>IF(INDEX(lmic_raw_lb[],MATCH($A223,lmic_raw_lb[[setting]:[setting]],0), MATCH(N$139, lmic_raw_lb[#Headers],0))=0, INDEX(regions_lb[], MATCH($D223, regions_lb[[setting]:[setting]],0), MATCH(N$139, regions_lb[#Headers],0)),INDEX(lmic_raw_lb[],MATCH($A223,lmic_raw_lb[[setting]:[setting]],0), MATCH(N$139, lmic_raw_lb[#Headers],0)))</f>
        <v>0.14980000000000002</v>
      </c>
      <c r="O223" s="94">
        <f>IF(INDEX(lmic_raw_lb[],MATCH($A223,lmic_raw_lb[[setting]:[setting]],0), MATCH(O$139, lmic_raw_lb[#Headers],0))=0, INDEX(regions_lb[], MATCH($D223, regions_lb[[setting]:[setting]],0), MATCH(O$139, regions_lb[#Headers],0)),INDEX(lmic_raw_lb[],MATCH($A223,lmic_raw_lb[[setting]:[setting]],0), MATCH(O$139, lmic_raw_lb[#Headers],0)))</f>
        <v>0.7</v>
      </c>
      <c r="P223" s="94">
        <f>IF(INDEX(lmic_raw_lb[],MATCH($A223,lmic_raw_lb[[setting]:[setting]],0), MATCH(P$139, lmic_raw_lb[#Headers],0))=0, INDEX(regions_lb[], MATCH($D223, regions_lb[[setting]:[setting]],0), MATCH(P$139, regions_lb[#Headers],0)),INDEX(lmic_raw_lb[],MATCH($A223,lmic_raw_lb[[setting]:[setting]],0), MATCH(P$139, lmic_raw_lb[#Headers],0)))</f>
        <v>0.05</v>
      </c>
      <c r="Q223" s="94">
        <f>IF(INDEX(lmic_raw_lb[],MATCH($A223,lmic_raw_lb[[setting]:[setting]],0), MATCH(Q$139, lmic_raw_lb[#Headers],0))=0, INDEX(regions_lb[], MATCH($D223, regions_lb[[setting]:[setting]],0), MATCH(Q$139, regions_lb[#Headers],0)),INDEX(lmic_raw_lb[],MATCH($A223,lmic_raw_lb[[setting]:[setting]],0), MATCH(Q$139, lmic_raw_lb[#Headers],0)))</f>
        <v>6.6973221485307457</v>
      </c>
      <c r="R223" s="94">
        <f>IF(INDEX(lmic_raw_lb[],MATCH($A223,lmic_raw_lb[[setting]:[setting]],0), MATCH(R$139, lmic_raw_lb[#Headers],0))=0, INDEX(regions_lb[], MATCH($D223, regions_lb[[setting]:[setting]],0), MATCH(R$139, regions_lb[#Headers],0)),INDEX(lmic_raw_lb[],MATCH($A223,lmic_raw_lb[[setting]:[setting]],0), MATCH(R$139, lmic_raw_lb[#Headers],0)))</f>
        <v>44.019105000000003</v>
      </c>
      <c r="S223" s="94">
        <f>IF(INDEX(lmic_raw_lb[],MATCH($A223,lmic_raw_lb[[setting]:[setting]],0), MATCH(S$139, lmic_raw_lb[#Headers],0))=0, INDEX(regions_lb[], MATCH($D223, regions_lb[[setting]:[setting]],0), MATCH(S$139, regions_lb[#Headers],0)),INDEX(lmic_raw_lb[],MATCH($A223,lmic_raw_lb[[setting]:[setting]],0), MATCH(S$139, lmic_raw_lb[#Headers],0)))</f>
        <v>89.374005000000011</v>
      </c>
      <c r="T223" s="94">
        <f>IF(INDEX(lmic_raw_lb[],MATCH($A223,lmic_raw_lb[[setting]:[setting]],0), MATCH(T$139, lmic_raw_lb[#Headers],0))=0, INDEX(regions_lb[], MATCH($D223, regions_lb[[setting]:[setting]],0), MATCH(T$139, regions_lb[#Headers],0)),INDEX(lmic_raw_lb[],MATCH($A223,lmic_raw_lb[[setting]:[setting]],0), MATCH(T$139, lmic_raw_lb[#Headers],0)))</f>
        <v>89.374005000000011</v>
      </c>
      <c r="U223" s="94">
        <f>IF(INDEX(lmic_raw_lb[],MATCH($A223,lmic_raw_lb[[setting]:[setting]],0), MATCH(U$139, lmic_raw_lb[#Headers],0))=0, INDEX(regions_lb[], MATCH($D223, regions_lb[[setting]:[setting]],0), MATCH(U$139, regions_lb[#Headers],0)),INDEX(lmic_raw_lb[],MATCH($A223,lmic_raw_lb[[setting]:[setting]],0), MATCH(U$139, lmic_raw_lb[#Headers],0)))</f>
        <v>89.374005000000011</v>
      </c>
      <c r="V223" s="94">
        <f>IF(INDEX(lmic_raw_lb[],MATCH($A223,lmic_raw_lb[[setting]:[setting]],0), MATCH(V$139, lmic_raw_lb[#Headers],0))=0, INDEX(regions_lb[], MATCH($D223, regions_lb[[setting]:[setting]],0), MATCH(V$139, regions_lb[#Headers],0)),INDEX(lmic_raw_lb[],MATCH($A223,lmic_raw_lb[[setting]:[setting]],0), MATCH(V$139, lmic_raw_lb[#Headers],0)))</f>
        <v>1.7405784706842822</v>
      </c>
      <c r="W223" s="94">
        <f>IF(INDEX(lmic_raw_lb[],MATCH($A223,lmic_raw_lb[[setting]:[setting]],0), MATCH(W$139, lmic_raw_lb[#Headers],0))=0, INDEX(regions_lb[], MATCH($D223, regions_lb[[setting]:[setting]],0), MATCH(W$139, regions_lb[#Headers],0)),INDEX(lmic_raw_lb[],MATCH($A223,lmic_raw_lb[[setting]:[setting]],0), MATCH(W$139, lmic_raw_lb[#Headers],0)))</f>
        <v>2.1961984706842821</v>
      </c>
      <c r="X223" s="94">
        <f>IF(INDEX(lmic_raw_lb[],MATCH($A223,lmic_raw_lb[[setting]:[setting]],0), MATCH(X$139, lmic_raw_lb[#Headers],0))=0, INDEX(regions_lb[], MATCH($D223, regions_lb[[setting]:[setting]],0), MATCH(X$139, regions_lb[#Headers],0)),INDEX(lmic_raw_lb[],MATCH($A223,lmic_raw_lb[[setting]:[setting]],0), MATCH(X$139, lmic_raw_lb[#Headers],0)))</f>
        <v>1.3707508691512555</v>
      </c>
      <c r="Y223" s="94">
        <f>IF(INDEX(lmic_raw_lb[],MATCH($A223,lmic_raw_lb[[setting]:[setting]],0), MATCH(Y$139, lmic_raw_lb[#Headers],0))=0, INDEX(regions_lb[], MATCH($D223, regions_lb[[setting]:[setting]],0), MATCH(Y$139, regions_lb[#Headers],0)),INDEX(lmic_raw_lb[],MATCH($A223,lmic_raw_lb[[setting]:[setting]],0), MATCH(Y$139, lmic_raw_lb[#Headers],0)))</f>
        <v>1.8263708691512557</v>
      </c>
      <c r="Z223" s="94">
        <f>IF(INDEX(lmic_raw_lb[],MATCH($A223,lmic_raw_lb[[setting]:[setting]],0), MATCH(Z$139, lmic_raw_lb[#Headers],0))=0, INDEX(regions_lb[], MATCH($D223, regions_lb[[setting]:[setting]],0), MATCH(Z$139, regions_lb[#Headers],0)),INDEX(lmic_raw_lb[],MATCH($A223,lmic_raw_lb[[setting]:[setting]],0), MATCH(Z$139, lmic_raw_lb[#Headers],0)))</f>
        <v>1.821153509265061</v>
      </c>
      <c r="AA223" s="94">
        <f>IF(INDEX(lmic_raw_lb[],MATCH($A223,lmic_raw_lb[[setting]:[setting]],0), MATCH(AA$139, lmic_raw_lb[#Headers],0))=0, INDEX(regions_lb[], MATCH($D223, regions_lb[[setting]:[setting]],0), MATCH(AA$139, regions_lb[#Headers],0)),INDEX(lmic_raw_lb[],MATCH($A223,lmic_raw_lb[[setting]:[setting]],0), MATCH(AA$139, lmic_raw_lb[#Headers],0)))</f>
        <v>1.9537175458626486</v>
      </c>
      <c r="AB223" s="94">
        <f>IF(INDEX(lmic_raw_lb[],MATCH($A223,lmic_raw_lb[[setting]:[setting]],0), MATCH(AB$139, lmic_raw_lb[#Headers],0))=0, INDEX(regions_lb[], MATCH($D223, regions_lb[[setting]:[setting]],0), MATCH(AB$139, regions_lb[#Headers],0)),INDEX(lmic_raw_lb[],MATCH($A223,lmic_raw_lb[[setting]:[setting]],0), MATCH(AB$139, lmic_raw_lb[#Headers],0)))</f>
        <v>2.4093375458626487</v>
      </c>
      <c r="AC223" s="94">
        <f>IF(INDEX(lmic_raw_lb[],MATCH($A223,lmic_raw_lb[[setting]:[setting]],0), MATCH(AC$139, lmic_raw_lb[#Headers],0))=0, INDEX(regions_lb[], MATCH($D223, regions_lb[[setting]:[setting]],0), MATCH(AC$139, regions_lb[#Headers],0)),INDEX(lmic_raw_lb[],MATCH($A223,lmic_raw_lb[[setting]:[setting]],0), MATCH(AC$139, lmic_raw_lb[#Headers],0)))</f>
        <v>1.8875293500000064E-2</v>
      </c>
      <c r="AD223" s="94">
        <f>IF(INDEX(lmic_raw_lb[],MATCH($A223,lmic_raw_lb[[setting]:[setting]],0), MATCH(AD$139, lmic_raw_lb[#Headers],0))=0, INDEX(regions_lb[], MATCH($D223, regions_lb[[setting]:[setting]],0), MATCH(AD$139, regions_lb[#Headers],0)),INDEX(lmic_raw_lb[],MATCH($A223,lmic_raw_lb[[setting]:[setting]],0), MATCH(AD$139, lmic_raw_lb[#Headers],0)))</f>
        <v>8.5650414969413698E-4</v>
      </c>
      <c r="AE223" s="94">
        <f>IF(INDEX(lmic_raw_lb[],MATCH($A223,lmic_raw_lb[[setting]:[setting]],0), MATCH(AE$139, lmic_raw_lb[#Headers],0))=0, INDEX(regions_lb[], MATCH($D223, regions_lb[[setting]:[setting]],0), MATCH(AE$139, regions_lb[#Headers],0)),INDEX(lmic_raw_lb[],MATCH($A223,lmic_raw_lb[[setting]:[setting]],0), MATCH(AE$139, lmic_raw_lb[#Headers],0)))</f>
        <v>3.9984769965251197E-4</v>
      </c>
      <c r="AF223" s="94">
        <f>IF(INDEX(lmic_raw_lb[],MATCH($A223,lmic_raw_lb[[setting]:[setting]],0), MATCH(AF$139, lmic_raw_lb[#Headers],0))=0, INDEX(regions_lb[], MATCH($D223, regions_lb[[setting]:[setting]],0), MATCH(AF$139, regions_lb[#Headers],0)),INDEX(lmic_raw_lb[],MATCH($A223,lmic_raw_lb[[setting]:[setting]],0), MATCH(AF$139, lmic_raw_lb[#Headers],0)))</f>
        <v>2.4296351582322627E-4</v>
      </c>
      <c r="AG223" s="94">
        <f>IF(INDEX(lmic_raw_lb[],MATCH($A223,lmic_raw_lb[[setting]:[setting]],0), MATCH(AG$139, lmic_raw_lb[#Headers],0))=0, INDEX(regions_lb[], MATCH($D223, regions_lb[[setting]:[setting]],0), MATCH(AG$139, regions_lb[#Headers],0)),INDEX(lmic_raw_lb[],MATCH($A223,lmic_raw_lb[[setting]:[setting]],0), MATCH(AG$139, lmic_raw_lb[#Headers],0)))</f>
        <v>3.9420558930539746E-4</v>
      </c>
      <c r="AH223" s="94">
        <f>IF(INDEX(lmic_raw_lb[],MATCH($A223,lmic_raw_lb[[setting]:[setting]],0), MATCH(AH$139, lmic_raw_lb[#Headers],0))=0, INDEX(regions_lb[], MATCH($D223, regions_lb[[setting]:[setting]],0), MATCH(AH$139, regions_lb[#Headers],0)),INDEX(lmic_raw_lb[],MATCH($A223,lmic_raw_lb[[setting]:[setting]],0), MATCH(AH$139, lmic_raw_lb[#Headers],0)))</f>
        <v>5.7432954523667845E-4</v>
      </c>
      <c r="AI223" s="94">
        <f>IF(INDEX(lmic_raw_lb[],MATCH($A223,lmic_raw_lb[[setting]:[setting]],0), MATCH(AI$139, lmic_raw_lb[#Headers],0))=0, INDEX(regions_lb[], MATCH($D223, regions_lb[[setting]:[setting]],0), MATCH(AI$139, regions_lb[#Headers],0)),INDEX(lmic_raw_lb[],MATCH($A223,lmic_raw_lb[[setting]:[setting]],0), MATCH(AI$139, lmic_raw_lb[#Headers],0)))</f>
        <v>6.3552315196445071E-4</v>
      </c>
      <c r="AJ223" s="94">
        <f>IF(INDEX(lmic_raw_lb[],MATCH($A223,lmic_raw_lb[[setting]:[setting]],0), MATCH(AJ$139, lmic_raw_lb[#Headers],0))=0, INDEX(regions_lb[], MATCH($D223, regions_lb[[setting]:[setting]],0), MATCH(AJ$139, regions_lb[#Headers],0)),INDEX(lmic_raw_lb[],MATCH($A223,lmic_raw_lb[[setting]:[setting]],0), MATCH(AJ$139, lmic_raw_lb[#Headers],0)))</f>
        <v>7.0574568938854671E-4</v>
      </c>
      <c r="AK223" s="94">
        <f>IF(INDEX(lmic_raw_lb[],MATCH($A223,lmic_raw_lb[[setting]:[setting]],0), MATCH(AK$139, lmic_raw_lb[#Headers],0))=0, INDEX(regions_lb[], MATCH($D223, regions_lb[[setting]:[setting]],0), MATCH(AK$139, regions_lb[#Headers],0)),INDEX(lmic_raw_lb[],MATCH($A223,lmic_raw_lb[[setting]:[setting]],0), MATCH(AK$139, lmic_raw_lb[#Headers],0)))</f>
        <v>9.5137129687938382E-4</v>
      </c>
      <c r="AL223" s="94">
        <f>IF(INDEX(lmic_raw_lb[],MATCH($A223,lmic_raw_lb[[setting]:[setting]],0), MATCH(AL$139, lmic_raw_lb[#Headers],0))=0, INDEX(regions_lb[], MATCH($D223, regions_lb[[setting]:[setting]],0), MATCH(AL$139, regions_lb[#Headers],0)),INDEX(lmic_raw_lb[],MATCH($A223,lmic_raw_lb[[setting]:[setting]],0), MATCH(AL$139, lmic_raw_lb[#Headers],0)))</f>
        <v>1.2642595670064691E-3</v>
      </c>
      <c r="AM223" s="94">
        <f>IF(INDEX(lmic_raw_lb[],MATCH($A223,lmic_raw_lb[[setting]:[setting]],0), MATCH(AM$139, lmic_raw_lb[#Headers],0))=0, INDEX(regions_lb[], MATCH($D223, regions_lb[[setting]:[setting]],0), MATCH(AM$139, regions_lb[#Headers],0)),INDEX(lmic_raw_lb[],MATCH($A223,lmic_raw_lb[[setting]:[setting]],0), MATCH(AM$139, lmic_raw_lb[#Headers],0)))</f>
        <v>1.8054080828093112E-3</v>
      </c>
      <c r="AN223" s="94">
        <f>IF(INDEX(lmic_raw_lb[],MATCH($A223,lmic_raw_lb[[setting]:[setting]],0), MATCH(AN$139, lmic_raw_lb[#Headers],0))=0, INDEX(regions_lb[], MATCH($D223, regions_lb[[setting]:[setting]],0), MATCH(AN$139, regions_lb[#Headers],0)),INDEX(lmic_raw_lb[],MATCH($A223,lmic_raw_lb[[setting]:[setting]],0), MATCH(AN$139, lmic_raw_lb[#Headers],0)))</f>
        <v>2.7577877378462635E-3</v>
      </c>
      <c r="AO223" s="94">
        <f>IF(INDEX(lmic_raw_lb[],MATCH($A223,lmic_raw_lb[[setting]:[setting]],0), MATCH(AO$139, lmic_raw_lb[#Headers],0))=0, INDEX(regions_lb[], MATCH($D223, regions_lb[[setting]:[setting]],0), MATCH(AO$139, regions_lb[#Headers],0)),INDEX(lmic_raw_lb[],MATCH($A223,lmic_raw_lb[[setting]:[setting]],0), MATCH(AO$139, lmic_raw_lb[#Headers],0)))</f>
        <v>4.283856273541534E-3</v>
      </c>
      <c r="AP223" s="94">
        <f>IF(INDEX(lmic_raw_lb[],MATCH($A223,lmic_raw_lb[[setting]:[setting]],0), MATCH(AP$139, lmic_raw_lb[#Headers],0))=0, INDEX(regions_lb[], MATCH($D223, regions_lb[[setting]:[setting]],0), MATCH(AP$139, regions_lb[#Headers],0)),INDEX(lmic_raw_lb[],MATCH($A223,lmic_raw_lb[[setting]:[setting]],0), MATCH(AP$139, lmic_raw_lb[#Headers],0)))</f>
        <v>7.4320729215778588E-3</v>
      </c>
      <c r="AQ223" s="94">
        <f>IF(INDEX(lmic_raw_lb[],MATCH($A223,lmic_raw_lb[[setting]:[setting]],0), MATCH(AQ$139, lmic_raw_lb[#Headers],0))=0, INDEX(regions_lb[], MATCH($D223, regions_lb[[setting]:[setting]],0), MATCH(AQ$139, regions_lb[#Headers],0)),INDEX(lmic_raw_lb[],MATCH($A223,lmic_raw_lb[[setting]:[setting]],0), MATCH(AQ$139, lmic_raw_lb[#Headers],0)))</f>
        <v>1.3213399071246024E-2</v>
      </c>
      <c r="AR223" s="94">
        <f>IF(INDEX(lmic_raw_lb[],MATCH($A223,lmic_raw_lb[[setting]:[setting]],0), MATCH(AR$139, lmic_raw_lb[#Headers],0))=0, INDEX(regions_lb[], MATCH($D223, regions_lb[[setting]:[setting]],0), MATCH(AR$139, regions_lb[#Headers],0)),INDEX(lmic_raw_lb[],MATCH($A223,lmic_raw_lb[[setting]:[setting]],0), MATCH(AR$139, lmic_raw_lb[#Headers],0)))</f>
        <v>2.6343554368299809E-2</v>
      </c>
      <c r="AS223" s="94">
        <f>IF(INDEX(lmic_raw_lb[],MATCH($A223,lmic_raw_lb[[setting]:[setting]],0), MATCH(AS$139, lmic_raw_lb[#Headers],0))=0, INDEX(regions_lb[], MATCH($D223, regions_lb[[setting]:[setting]],0), MATCH(AS$139, regions_lb[#Headers],0)),INDEX(lmic_raw_lb[],MATCH($A223,lmic_raw_lb[[setting]:[setting]],0), MATCH(AS$139, lmic_raw_lb[#Headers],0)))</f>
        <v>4.467083794193033E-2</v>
      </c>
      <c r="AT223" s="94">
        <f>IF(INDEX(lmic_raw_lb[],MATCH($A223,lmic_raw_lb[[setting]:[setting]],0), MATCH(AT$139, lmic_raw_lb[#Headers],0))=0, INDEX(regions_lb[], MATCH($D223, regions_lb[[setting]:[setting]],0), MATCH(AT$139, regions_lb[#Headers],0)),INDEX(lmic_raw_lb[],MATCH($A223,lmic_raw_lb[[setting]:[setting]],0), MATCH(AT$139, lmic_raw_lb[#Headers],0)))</f>
        <v>8.7399132494828988E-2</v>
      </c>
      <c r="AU223" s="94">
        <f>IF(INDEX(lmic_raw_lb[],MATCH($A223,lmic_raw_lb[[setting]:[setting]],0), MATCH(AU$139, lmic_raw_lb[#Headers],0))=0, INDEX(regions_lb[], MATCH($D223, regions_lb[[setting]:[setting]],0), MATCH(AU$139, regions_lb[#Headers],0)),INDEX(lmic_raw_lb[],MATCH($A223,lmic_raw_lb[[setting]:[setting]],0), MATCH(AU$139, lmic_raw_lb[#Headers],0)))</f>
        <v>0.13239106888338972</v>
      </c>
      <c r="AV223" s="94">
        <f>IF(INDEX(lmic_raw_lb[],MATCH($A223,lmic_raw_lb[[setting]:[setting]],0), MATCH(AV$139, lmic_raw_lb[#Headers],0))=0, INDEX(regions_lb[], MATCH($D223, regions_lb[[setting]:[setting]],0), MATCH(AV$139, regions_lb[#Headers],0)),INDEX(lmic_raw_lb[],MATCH($A223,lmic_raw_lb[[setting]:[setting]],0), MATCH(AV$139, lmic_raw_lb[#Headers],0)))</f>
        <v>0.16455770580630139</v>
      </c>
      <c r="AW223" s="94">
        <f>IF(INDEX(lmic_raw_lb[],MATCH($A223,lmic_raw_lb[[setting]:[setting]],0), MATCH(AW$139, lmic_raw_lb[#Headers],0))=0, INDEX(regions_lb[], MATCH($D223, regions_lb[[setting]:[setting]],0), MATCH(AW$139, regions_lb[#Headers],0)),INDEX(lmic_raw_lb[],MATCH($A223,lmic_raw_lb[[setting]:[setting]],0), MATCH(AW$139, lmic_raw_lb[#Headers],0)))</f>
        <v>0.17516608604530076</v>
      </c>
      <c r="AX223" s="94">
        <f>IF(INDEX(lmic_raw_lb[],MATCH($A223,lmic_raw_lb[[setting]:[setting]],0), MATCH(AX$139, lmic_raw_lb[#Headers],0))=0, INDEX(regions_lb[], MATCH($D223, regions_lb[[setting]:[setting]],0), MATCH(AX$139, regions_lb[#Headers],0)),INDEX(lmic_raw_lb[],MATCH($A223,lmic_raw_lb[[setting]:[setting]],0), MATCH(AX$139, lmic_raw_lb[#Headers],0)))</f>
        <v>72.513499999999993</v>
      </c>
      <c r="AY223" s="94" t="str">
        <f>IF(VLOOKUP(lmics_lb[[#This Row],[setting]],lmic_raw_lb[],11,FALSE)=0, "Yes", "No")</f>
        <v>No</v>
      </c>
    </row>
    <row r="224" spans="1:51" x14ac:dyDescent="0.25">
      <c r="A224" s="109" t="s">
        <v>111</v>
      </c>
      <c r="B224" s="101" t="s">
        <v>476</v>
      </c>
      <c r="C224" s="102">
        <v>508</v>
      </c>
      <c r="D224" s="82" t="s">
        <v>677</v>
      </c>
      <c r="E224" s="121" t="s">
        <v>597</v>
      </c>
      <c r="F224" s="98" t="s">
        <v>667</v>
      </c>
      <c r="G224" s="98" t="s">
        <v>674</v>
      </c>
      <c r="H224" s="98"/>
      <c r="I224" s="98"/>
      <c r="J224" s="98">
        <f>IF(INDEX(lmic_raw_lb[],MATCH($A224,lmic_raw_lb[[setting]:[setting]],0), MATCH(J$139, lmic_raw_lb[#Headers],0))=0, INDEX(regions_lb[], MATCH($D224, regions_lb[[setting]:[setting]],0), MATCH(J$139, regions_lb[#Headers],0)),INDEX(lmic_raw_lb[],MATCH($A224,lmic_raw_lb[[setting]:[setting]],0), MATCH(J$139, lmic_raw_lb[#Headers],0)))</f>
        <v>0.52059999999999995</v>
      </c>
      <c r="K224" s="98">
        <f>IF(INDEX(lmic_raw_lb[],MATCH($A224,lmic_raw_lb[[setting]:[setting]],0), MATCH(K$139, lmic_raw_lb[#Headers],0))=0, INDEX(regions_lb[], MATCH($D224, regions_lb[[setting]:[setting]],0), MATCH(K$139, regions_lb[#Headers],0)),INDEX(lmic_raw_lb[],MATCH($A224,lmic_raw_lb[[setting]:[setting]],0), MATCH(K$139, lmic_raw_lb[#Headers],0)))</f>
        <v>0.65789974195504752</v>
      </c>
      <c r="L224" s="98">
        <f>IF(INDEX(lmic_raw_lb[],MATCH($A224,lmic_raw_lb[[setting]:[setting]],0), MATCH(L$139, lmic_raw_lb[#Headers],0))=0, INDEX(regions_lb[], MATCH($D224, regions_lb[[setting]:[setting]],0), MATCH(L$139, regions_lb[#Headers],0)),INDEX(lmic_raw_lb[],MATCH($A224,lmic_raw_lb[[setting]:[setting]],0), MATCH(L$139, lmic_raw_lb[#Headers],0)))</f>
        <v>0.83599999999999997</v>
      </c>
      <c r="M224" s="98">
        <f>IF(INDEX(lmic_raw_lb[],MATCH($A224,lmic_raw_lb[[setting]:[setting]],0), MATCH(M$139, lmic_raw_lb[#Headers],0))=0, INDEX(regions_lb[], MATCH($D224, regions_lb[[setting]:[setting]],0), MATCH(M$139, regions_lb[#Headers],0)),INDEX(lmic_raw_lb[],MATCH($A224,lmic_raw_lb[[setting]:[setting]],0), MATCH(M$139, lmic_raw_lb[#Headers],0)))</f>
        <v>5.2000000000000005E-2</v>
      </c>
      <c r="N224" s="98">
        <f>IF(INDEX(lmic_raw_lb[],MATCH($A224,lmic_raw_lb[[setting]:[setting]],0), MATCH(N$139, lmic_raw_lb[#Headers],0))=0, INDEX(regions_lb[], MATCH($D224, regions_lb[[setting]:[setting]],0), MATCH(N$139, regions_lb[#Headers],0)),INDEX(lmic_raw_lb[],MATCH($A224,lmic_raw_lb[[setting]:[setting]],0), MATCH(N$139, lmic_raw_lb[#Headers],0)))</f>
        <v>0.15560000000000002</v>
      </c>
      <c r="O224" s="98">
        <f>IF(INDEX(lmic_raw_lb[],MATCH($A224,lmic_raw_lb[[setting]:[setting]],0), MATCH(O$139, lmic_raw_lb[#Headers],0))=0, INDEX(regions_lb[], MATCH($D224, regions_lb[[setting]:[setting]],0), MATCH(O$139, regions_lb[#Headers],0)),INDEX(lmic_raw_lb[],MATCH($A224,lmic_raw_lb[[setting]:[setting]],0), MATCH(O$139, lmic_raw_lb[#Headers],0)))</f>
        <v>7.0000000000000007E-2</v>
      </c>
      <c r="P224" s="98">
        <f>IF(INDEX(lmic_raw_lb[],MATCH($A224,lmic_raw_lb[[setting]:[setting]],0), MATCH(P$139, lmic_raw_lb[#Headers],0))=0, INDEX(regions_lb[], MATCH($D224, regions_lb[[setting]:[setting]],0), MATCH(P$139, regions_lb[#Headers],0)),INDEX(lmic_raw_lb[],MATCH($A224,lmic_raw_lb[[setting]:[setting]],0), MATCH(P$139, lmic_raw_lb[#Headers],0)))</f>
        <v>1E-3</v>
      </c>
      <c r="Q224" s="98">
        <f>IF(INDEX(lmic_raw_lb[],MATCH($A224,lmic_raw_lb[[setting]:[setting]],0), MATCH(Q$139, lmic_raw_lb[#Headers],0))=0, INDEX(regions_lb[], MATCH($D224, regions_lb[[setting]:[setting]],0), MATCH(Q$139, regions_lb[#Headers],0)),INDEX(lmic_raw_lb[],MATCH($A224,lmic_raw_lb[[setting]:[setting]],0), MATCH(Q$139, lmic_raw_lb[#Headers],0)))</f>
        <v>2.5817290063414107</v>
      </c>
      <c r="R224" s="98">
        <f>IF(INDEX(lmic_raw_lb[],MATCH($A224,lmic_raw_lb[[setting]:[setting]],0), MATCH(R$139, lmic_raw_lb[#Headers],0))=0, INDEX(regions_lb[], MATCH($D224, regions_lb[[setting]:[setting]],0), MATCH(R$139, regions_lb[#Headers],0)),INDEX(lmic_raw_lb[],MATCH($A224,lmic_raw_lb[[setting]:[setting]],0), MATCH(R$139, lmic_raw_lb[#Headers],0)))</f>
        <v>28.424474999999997</v>
      </c>
      <c r="S224" s="98">
        <f>IF(INDEX(lmic_raw_lb[],MATCH($A224,lmic_raw_lb[[setting]:[setting]],0), MATCH(S$139, lmic_raw_lb[#Headers],0))=0, INDEX(regions_lb[], MATCH($D224, regions_lb[[setting]:[setting]],0), MATCH(S$139, regions_lb[#Headers],0)),INDEX(lmic_raw_lb[],MATCH($A224,lmic_raw_lb[[setting]:[setting]],0), MATCH(S$139, lmic_raw_lb[#Headers],0)))</f>
        <v>73.779375000000002</v>
      </c>
      <c r="T224" s="98">
        <f>IF(INDEX(lmic_raw_lb[],MATCH($A224,lmic_raw_lb[[setting]:[setting]],0), MATCH(T$139, lmic_raw_lb[#Headers],0))=0, INDEX(regions_lb[], MATCH($D224, regions_lb[[setting]:[setting]],0), MATCH(T$139, regions_lb[#Headers],0)),INDEX(lmic_raw_lb[],MATCH($A224,lmic_raw_lb[[setting]:[setting]],0), MATCH(T$139, lmic_raw_lb[#Headers],0)))</f>
        <v>73.779375000000002</v>
      </c>
      <c r="U224" s="98">
        <f>IF(INDEX(lmic_raw_lb[],MATCH($A224,lmic_raw_lb[[setting]:[setting]],0), MATCH(U$139, lmic_raw_lb[#Headers],0))=0, INDEX(regions_lb[], MATCH($D224, regions_lb[[setting]:[setting]],0), MATCH(U$139, regions_lb[#Headers],0)),INDEX(lmic_raw_lb[],MATCH($A224,lmic_raw_lb[[setting]:[setting]],0), MATCH(U$139, lmic_raw_lb[#Headers],0)))</f>
        <v>73.779375000000002</v>
      </c>
      <c r="V224" s="98">
        <f>IF(INDEX(lmic_raw_lb[],MATCH($A224,lmic_raw_lb[[setting]:[setting]],0), MATCH(V$139, lmic_raw_lb[#Headers],0))=0, INDEX(regions_lb[], MATCH($D224, regions_lb[[setting]:[setting]],0), MATCH(V$139, regions_lb[#Headers],0)),INDEX(lmic_raw_lb[],MATCH($A224,lmic_raw_lb[[setting]:[setting]],0), MATCH(V$139, lmic_raw_lb[#Headers],0)))</f>
        <v>0.76805051574353089</v>
      </c>
      <c r="W224" s="98">
        <f>IF(INDEX(lmic_raw_lb[],MATCH($A224,lmic_raw_lb[[setting]:[setting]],0), MATCH(W$139, lmic_raw_lb[#Headers],0))=0, INDEX(regions_lb[], MATCH($D224, regions_lb[[setting]:[setting]],0), MATCH(W$139, regions_lb[#Headers],0)),INDEX(lmic_raw_lb[],MATCH($A224,lmic_raw_lb[[setting]:[setting]],0), MATCH(W$139, lmic_raw_lb[#Headers],0)))</f>
        <v>5.3553155157435315</v>
      </c>
      <c r="X224" s="98">
        <f>IF(INDEX(lmic_raw_lb[],MATCH($A224,lmic_raw_lb[[setting]:[setting]],0), MATCH(X$139, lmic_raw_lb[#Headers],0))=0, INDEX(regions_lb[], MATCH($D224, regions_lb[[setting]:[setting]],0), MATCH(X$139, regions_lb[#Headers],0)),INDEX(lmic_raw_lb[],MATCH($A224,lmic_raw_lb[[setting]:[setting]],0), MATCH(X$139, lmic_raw_lb[#Headers],0)))</f>
        <v>0.40424618977434307</v>
      </c>
      <c r="Y224" s="98">
        <f>IF(INDEX(lmic_raw_lb[],MATCH($A224,lmic_raw_lb[[setting]:[setting]],0), MATCH(Y$139, lmic_raw_lb[#Headers],0))=0, INDEX(regions_lb[], MATCH($D224, regions_lb[[setting]:[setting]],0), MATCH(Y$139, regions_lb[#Headers],0)),INDEX(lmic_raw_lb[],MATCH($A224,lmic_raw_lb[[setting]:[setting]],0), MATCH(Y$139, lmic_raw_lb[#Headers],0)))</f>
        <v>4.9915111897743438</v>
      </c>
      <c r="Z224" s="98">
        <f>IF(INDEX(lmic_raw_lb[],MATCH($A224,lmic_raw_lb[[setting]:[setting]],0), MATCH(Z$139, lmic_raw_lb[#Headers],0))=0, INDEX(regions_lb[], MATCH($D224, regions_lb[[setting]:[setting]],0), MATCH(Z$139, regions_lb[#Headers],0)),INDEX(lmic_raw_lb[],MATCH($A224,lmic_raw_lb[[setting]:[setting]],0), MATCH(Z$139, lmic_raw_lb[#Headers],0)))</f>
        <v>4.9904026634713725</v>
      </c>
      <c r="AA224" s="98">
        <f>IF(INDEX(lmic_raw_lb[],MATCH($A224,lmic_raw_lb[[setting]:[setting]],0), MATCH(AA$139, lmic_raw_lb[#Headers],0))=0, INDEX(regions_lb[], MATCH($D224, regions_lb[[setting]:[setting]],0), MATCH(AA$139, regions_lb[#Headers],0)),INDEX(lmic_raw_lb[],MATCH($A224,lmic_raw_lb[[setting]:[setting]],0), MATCH(AA$139, lmic_raw_lb[#Headers],0)))</f>
        <v>0.97860818710882369</v>
      </c>
      <c r="AB224" s="98">
        <f>IF(INDEX(lmic_raw_lb[],MATCH($A224,lmic_raw_lb[[setting]:[setting]],0), MATCH(AB$139, lmic_raw_lb[#Headers],0))=0, INDEX(regions_lb[], MATCH($D224, regions_lb[[setting]:[setting]],0), MATCH(AB$139, regions_lb[#Headers],0)),INDEX(lmic_raw_lb[],MATCH($A224,lmic_raw_lb[[setting]:[setting]],0), MATCH(AB$139, lmic_raw_lb[#Headers],0)))</f>
        <v>5.5658731871088243</v>
      </c>
      <c r="AC224" s="98">
        <f>IF(INDEX(lmic_raw_lb[],MATCH($A224,lmic_raw_lb[[setting]:[setting]],0), MATCH(AC$139, lmic_raw_lb[#Headers],0))=0, INDEX(regions_lb[], MATCH($D224, regions_lb[[setting]:[setting]],0), MATCH(AC$139, regions_lb[#Headers],0)),INDEX(lmic_raw_lb[],MATCH($A224,lmic_raw_lb[[setting]:[setting]],0), MATCH(AC$139, lmic_raw_lb[#Headers],0)))</f>
        <v>5.1220019500000054E-2</v>
      </c>
      <c r="AD224" s="98">
        <f>IF(INDEX(lmic_raw_lb[],MATCH($A224,lmic_raw_lb[[setting]:[setting]],0), MATCH(AD$139, lmic_raw_lb[#Headers],0))=0, INDEX(regions_lb[], MATCH($D224, regions_lb[[setting]:[setting]],0), MATCH(AD$139, regions_lb[#Headers],0)),INDEX(lmic_raw_lb[],MATCH($A224,lmic_raw_lb[[setting]:[setting]],0), MATCH(AD$139, lmic_raw_lb[#Headers],0)))</f>
        <v>4.856362466008444E-3</v>
      </c>
      <c r="AE224" s="98">
        <f>IF(INDEX(lmic_raw_lb[],MATCH($A224,lmic_raw_lb[[setting]:[setting]],0), MATCH(AE$139, lmic_raw_lb[#Headers],0))=0, INDEX(regions_lb[], MATCH($D224, regions_lb[[setting]:[setting]],0), MATCH(AE$139, regions_lb[#Headers],0)),INDEX(lmic_raw_lb[],MATCH($A224,lmic_raw_lb[[setting]:[setting]],0), MATCH(AE$139, lmic_raw_lb[#Headers],0)))</f>
        <v>1.3312215768755706E-3</v>
      </c>
      <c r="AF224" s="98">
        <f>IF(INDEX(lmic_raw_lb[],MATCH($A224,lmic_raw_lb[[setting]:[setting]],0), MATCH(AF$139, lmic_raw_lb[#Headers],0))=0, INDEX(regions_lb[], MATCH($D224, regions_lb[[setting]:[setting]],0), MATCH(AF$139, regions_lb[#Headers],0)),INDEX(lmic_raw_lb[],MATCH($A224,lmic_raw_lb[[setting]:[setting]],0), MATCH(AF$139, lmic_raw_lb[#Headers],0)))</f>
        <v>1.0401581021276709E-3</v>
      </c>
      <c r="AG224" s="98">
        <f>IF(INDEX(lmic_raw_lb[],MATCH($A224,lmic_raw_lb[[setting]:[setting]],0), MATCH(AG$139, lmic_raw_lb[#Headers],0))=0, INDEX(regions_lb[], MATCH($D224, regions_lb[[setting]:[setting]],0), MATCH(AG$139, regions_lb[#Headers],0)),INDEX(lmic_raw_lb[],MATCH($A224,lmic_raw_lb[[setting]:[setting]],0), MATCH(AG$139, lmic_raw_lb[#Headers],0)))</f>
        <v>1.6399982963431706E-3</v>
      </c>
      <c r="AH224" s="98">
        <f>IF(INDEX(lmic_raw_lb[],MATCH($A224,lmic_raw_lb[[setting]:[setting]],0), MATCH(AH$139, lmic_raw_lb[#Headers],0))=0, INDEX(regions_lb[], MATCH($D224, regions_lb[[setting]:[setting]],0), MATCH(AH$139, regions_lb[#Headers],0)),INDEX(lmic_raw_lb[],MATCH($A224,lmic_raw_lb[[setting]:[setting]],0), MATCH(AH$139, lmic_raw_lb[#Headers],0)))</f>
        <v>2.7221837874036228E-3</v>
      </c>
      <c r="AI224" s="98">
        <f>IF(INDEX(lmic_raw_lb[],MATCH($A224,lmic_raw_lb[[setting]:[setting]],0), MATCH(AI$139, lmic_raw_lb[#Headers],0))=0, INDEX(regions_lb[], MATCH($D224, regions_lb[[setting]:[setting]],0), MATCH(AI$139, regions_lb[#Headers],0)),INDEX(lmic_raw_lb[],MATCH($A224,lmic_raw_lb[[setting]:[setting]],0), MATCH(AI$139, lmic_raw_lb[#Headers],0)))</f>
        <v>4.1707275307711475E-3</v>
      </c>
      <c r="AJ224" s="98">
        <f>IF(INDEX(lmic_raw_lb[],MATCH($A224,lmic_raw_lb[[setting]:[setting]],0), MATCH(AJ$139, lmic_raw_lb[#Headers],0))=0, INDEX(regions_lb[], MATCH($D224, regions_lb[[setting]:[setting]],0), MATCH(AJ$139, regions_lb[#Headers],0)),INDEX(lmic_raw_lb[],MATCH($A224,lmic_raw_lb[[setting]:[setting]],0), MATCH(AJ$139, lmic_raw_lb[#Headers],0)))</f>
        <v>5.7643347459793888E-3</v>
      </c>
      <c r="AK224" s="98">
        <f>IF(INDEX(lmic_raw_lb[],MATCH($A224,lmic_raw_lb[[setting]:[setting]],0), MATCH(AK$139, lmic_raw_lb[#Headers],0))=0, INDEX(regions_lb[], MATCH($D224, regions_lb[[setting]:[setting]],0), MATCH(AK$139, regions_lb[#Headers],0)),INDEX(lmic_raw_lb[],MATCH($A224,lmic_raw_lb[[setting]:[setting]],0), MATCH(AK$139, lmic_raw_lb[#Headers],0)))</f>
        <v>7.9949510529019642E-3</v>
      </c>
      <c r="AL224" s="98">
        <f>IF(INDEX(lmic_raw_lb[],MATCH($A224,lmic_raw_lb[[setting]:[setting]],0), MATCH(AL$139, lmic_raw_lb[#Headers],0))=0, INDEX(regions_lb[], MATCH($D224, regions_lb[[setting]:[setting]],0), MATCH(AL$139, regions_lb[#Headers],0)),INDEX(lmic_raw_lb[],MATCH($A224,lmic_raw_lb[[setting]:[setting]],0), MATCH(AL$139, lmic_raw_lb[#Headers],0)))</f>
        <v>9.5782106750065647E-3</v>
      </c>
      <c r="AM224" s="98">
        <f>IF(INDEX(lmic_raw_lb[],MATCH($A224,lmic_raw_lb[[setting]:[setting]],0), MATCH(AM$139, lmic_raw_lb[#Headers],0))=0, INDEX(regions_lb[], MATCH($D224, regions_lb[[setting]:[setting]],0), MATCH(AM$139, regions_lb[#Headers],0)),INDEX(lmic_raw_lb[],MATCH($A224,lmic_raw_lb[[setting]:[setting]],0), MATCH(AM$139, lmic_raw_lb[#Headers],0)))</f>
        <v>1.1270090558925644E-2</v>
      </c>
      <c r="AN224" s="98">
        <f>IF(INDEX(lmic_raw_lb[],MATCH($A224,lmic_raw_lb[[setting]:[setting]],0), MATCH(AN$139, lmic_raw_lb[#Headers],0))=0, INDEX(regions_lb[], MATCH($D224, regions_lb[[setting]:[setting]],0), MATCH(AN$139, regions_lb[#Headers],0)),INDEX(lmic_raw_lb[],MATCH($A224,lmic_raw_lb[[setting]:[setting]],0), MATCH(AN$139, lmic_raw_lb[#Headers],0)))</f>
        <v>1.379266152660532E-2</v>
      </c>
      <c r="AO224" s="98">
        <f>IF(INDEX(lmic_raw_lb[],MATCH($A224,lmic_raw_lb[[setting]:[setting]],0), MATCH(AO$139, lmic_raw_lb[#Headers],0))=0, INDEX(regions_lb[], MATCH($D224, regions_lb[[setting]:[setting]],0), MATCH(AO$139, regions_lb[#Headers],0)),INDEX(lmic_raw_lb[],MATCH($A224,lmic_raw_lb[[setting]:[setting]],0), MATCH(AO$139, lmic_raw_lb[#Headers],0)))</f>
        <v>1.7059467830708774E-2</v>
      </c>
      <c r="AP224" s="98">
        <f>IF(INDEX(lmic_raw_lb[],MATCH($A224,lmic_raw_lb[[setting]:[setting]],0), MATCH(AP$139, lmic_raw_lb[#Headers],0))=0, INDEX(regions_lb[], MATCH($D224, regions_lb[[setting]:[setting]],0), MATCH(AP$139, regions_lb[#Headers],0)),INDEX(lmic_raw_lb[],MATCH($A224,lmic_raw_lb[[setting]:[setting]],0), MATCH(AP$139, lmic_raw_lb[#Headers],0)))</f>
        <v>2.2998261987161421E-2</v>
      </c>
      <c r="AQ224" s="98">
        <f>IF(INDEX(lmic_raw_lb[],MATCH($A224,lmic_raw_lb[[setting]:[setting]],0), MATCH(AQ$139, lmic_raw_lb[#Headers],0))=0, INDEX(regions_lb[], MATCH($D224, regions_lb[[setting]:[setting]],0), MATCH(AQ$139, regions_lb[#Headers],0)),INDEX(lmic_raw_lb[],MATCH($A224,lmic_raw_lb[[setting]:[setting]],0), MATCH(AQ$139, lmic_raw_lb[#Headers],0)))</f>
        <v>3.2626727217979108E-2</v>
      </c>
      <c r="AR224" s="98">
        <f>IF(INDEX(lmic_raw_lb[],MATCH($A224,lmic_raw_lb[[setting]:[setting]],0), MATCH(AR$139, lmic_raw_lb[#Headers],0))=0, INDEX(regions_lb[], MATCH($D224, regions_lb[[setting]:[setting]],0), MATCH(AR$139, regions_lb[#Headers],0)),INDEX(lmic_raw_lb[],MATCH($A224,lmic_raw_lb[[setting]:[setting]],0), MATCH(AR$139, lmic_raw_lb[#Headers],0)))</f>
        <v>4.7760692695172038E-2</v>
      </c>
      <c r="AS224" s="98">
        <f>IF(INDEX(lmic_raw_lb[],MATCH($A224,lmic_raw_lb[[setting]:[setting]],0), MATCH(AS$139, lmic_raw_lb[#Headers],0))=0, INDEX(regions_lb[], MATCH($D224, regions_lb[[setting]:[setting]],0), MATCH(AS$139, regions_lb[#Headers],0)),INDEX(lmic_raw_lb[],MATCH($A224,lmic_raw_lb[[setting]:[setting]],0), MATCH(AS$139, lmic_raw_lb[#Headers],0)))</f>
        <v>6.9878922432894036E-2</v>
      </c>
      <c r="AT224" s="98">
        <f>IF(INDEX(lmic_raw_lb[],MATCH($A224,lmic_raw_lb[[setting]:[setting]],0), MATCH(AT$139, lmic_raw_lb[#Headers],0))=0, INDEX(regions_lb[], MATCH($D224, regions_lb[[setting]:[setting]],0), MATCH(AT$139, regions_lb[#Headers],0)),INDEX(lmic_raw_lb[],MATCH($A224,lmic_raw_lb[[setting]:[setting]],0), MATCH(AT$139, lmic_raw_lb[#Headers],0)))</f>
        <v>0.10290583556713905</v>
      </c>
      <c r="AU224" s="98">
        <f>IF(INDEX(lmic_raw_lb[],MATCH($A224,lmic_raw_lb[[setting]:[setting]],0), MATCH(AU$139, lmic_raw_lb[#Headers],0))=0, INDEX(regions_lb[], MATCH($D224, regions_lb[[setting]:[setting]],0), MATCH(AU$139, regions_lb[#Headers],0)),INDEX(lmic_raw_lb[],MATCH($A224,lmic_raw_lb[[setting]:[setting]],0), MATCH(AU$139, lmic_raw_lb[#Headers],0)))</f>
        <v>0.14062568220594418</v>
      </c>
      <c r="AV224" s="98">
        <f>IF(INDEX(lmic_raw_lb[],MATCH($A224,lmic_raw_lb[[setting]:[setting]],0), MATCH(AV$139, lmic_raw_lb[#Headers],0))=0, INDEX(regions_lb[], MATCH($D224, regions_lb[[setting]:[setting]],0), MATCH(AV$139, regions_lb[#Headers],0)),INDEX(lmic_raw_lb[],MATCH($A224,lmic_raw_lb[[setting]:[setting]],0), MATCH(AV$139, lmic_raw_lb[#Headers],0)))</f>
        <v>0.16924857029673171</v>
      </c>
      <c r="AW224" s="98">
        <f>IF(INDEX(lmic_raw_lb[],MATCH($A224,lmic_raw_lb[[setting]:[setting]],0), MATCH(AW$139, lmic_raw_lb[#Headers],0))=0, INDEX(regions_lb[], MATCH($D224, regions_lb[[setting]:[setting]],0), MATCH(AW$139, regions_lb[#Headers],0)),INDEX(lmic_raw_lb[],MATCH($A224,lmic_raw_lb[[setting]:[setting]],0), MATCH(AW$139, lmic_raw_lb[#Headers],0)))</f>
        <v>0.1787038569630241</v>
      </c>
      <c r="AX224" s="98">
        <f>IF(INDEX(lmic_raw_lb[],MATCH($A224,lmic_raw_lb[[setting]:[setting]],0), MATCH(AX$139, lmic_raw_lb[#Headers],0))=0, INDEX(regions_lb[], MATCH($D224, regions_lb[[setting]:[setting]],0), MATCH(AX$139, regions_lb[#Headers],0)),INDEX(lmic_raw_lb[],MATCH($A224,lmic_raw_lb[[setting]:[setting]],0), MATCH(AX$139, lmic_raw_lb[#Headers],0)))</f>
        <v>57.051299999999998</v>
      </c>
      <c r="AY224" s="98" t="str">
        <f>IF(VLOOKUP(lmics_lb[[#This Row],[setting]],lmic_raw_lb[],11,FALSE)=0, "Yes", "No")</f>
        <v>Yes</v>
      </c>
    </row>
    <row r="225" spans="1:51" x14ac:dyDescent="0.25">
      <c r="A225" s="110" t="s">
        <v>216</v>
      </c>
      <c r="B225" s="104" t="s">
        <v>477</v>
      </c>
      <c r="C225" s="105">
        <v>104</v>
      </c>
      <c r="D225" s="84" t="s">
        <v>680</v>
      </c>
      <c r="E225" s="122" t="s">
        <v>598</v>
      </c>
      <c r="F225" s="94" t="s">
        <v>666</v>
      </c>
      <c r="G225" s="94" t="s">
        <v>678</v>
      </c>
      <c r="H225" s="94"/>
      <c r="I225" s="94"/>
      <c r="J225" s="94">
        <f>IF(INDEX(lmic_raw_lb[],MATCH($A225,lmic_raw_lb[[setting]:[setting]],0), MATCH(J$139, lmic_raw_lb[#Headers],0))=0, INDEX(regions_lb[], MATCH($D225, regions_lb[[setting]:[setting]],0), MATCH(J$139, regions_lb[#Headers],0)),INDEX(lmic_raw_lb[],MATCH($A225,lmic_raw_lb[[setting]:[setting]],0), MATCH(J$139, lmic_raw_lb[#Headers],0)))</f>
        <v>0.35244999999999999</v>
      </c>
      <c r="K225" s="94">
        <f>IF(INDEX(lmic_raw_lb[],MATCH($A225,lmic_raw_lb[[setting]:[setting]],0), MATCH(K$139, lmic_raw_lb[#Headers],0))=0, INDEX(regions_lb[], MATCH($D225, regions_lb[[setting]:[setting]],0), MATCH(K$139, regions_lb[#Headers],0)),INDEX(lmic_raw_lb[],MATCH($A225,lmic_raw_lb[[setting]:[setting]],0), MATCH(K$139, lmic_raw_lb[#Headers],0)))</f>
        <v>0.1615</v>
      </c>
      <c r="L225" s="94">
        <f>IF(INDEX(lmic_raw_lb[],MATCH($A225,lmic_raw_lb[[setting]:[setting]],0), MATCH(L$139, lmic_raw_lb[#Headers],0))=0, INDEX(regions_lb[], MATCH($D225, regions_lb[[setting]:[setting]],0), MATCH(L$139, regions_lb[#Headers],0)),INDEX(lmic_raw_lb[],MATCH($A225,lmic_raw_lb[[setting]:[setting]],0), MATCH(L$139, lmic_raw_lb[#Headers],0)))</f>
        <v>0.85499999999999998</v>
      </c>
      <c r="M225" s="94">
        <f>IF(INDEX(lmic_raw_lb[],MATCH($A225,lmic_raw_lb[[setting]:[setting]],0), MATCH(M$139, lmic_raw_lb[#Headers],0))=0, INDEX(regions_lb[], MATCH($D225, regions_lb[[setting]:[setting]],0), MATCH(M$139, regions_lb[#Headers],0)),INDEX(lmic_raw_lb[],MATCH($A225,lmic_raw_lb[[setting]:[setting]],0), MATCH(M$139, lmic_raw_lb[#Headers],0)))</f>
        <v>2.8000000000000004E-3</v>
      </c>
      <c r="N225" s="94">
        <f>IF(INDEX(lmic_raw_lb[],MATCH($A225,lmic_raw_lb[[setting]:[setting]],0), MATCH(N$139, lmic_raw_lb[#Headers],0))=0, INDEX(regions_lb[], MATCH($D225, regions_lb[[setting]:[setting]],0), MATCH(N$139, regions_lb[#Headers],0)),INDEX(lmic_raw_lb[],MATCH($A225,lmic_raw_lb[[setting]:[setting]],0), MATCH(N$139, lmic_raw_lb[#Headers],0)))</f>
        <v>0.18100000000000002</v>
      </c>
      <c r="O225" s="94">
        <f>IF(INDEX(lmic_raw_lb[],MATCH($A225,lmic_raw_lb[[setting]:[setting]],0), MATCH(O$139, lmic_raw_lb[#Headers],0))=0, INDEX(regions_lb[], MATCH($D225, regions_lb[[setting]:[setting]],0), MATCH(O$139, regions_lb[#Headers],0)),INDEX(lmic_raw_lb[],MATCH($A225,lmic_raw_lb[[setting]:[setting]],0), MATCH(O$139, lmic_raw_lb[#Headers],0)))</f>
        <v>0.7</v>
      </c>
      <c r="P225" s="94">
        <f>IF(INDEX(lmic_raw_lb[],MATCH($A225,lmic_raw_lb[[setting]:[setting]],0), MATCH(P$139, lmic_raw_lb[#Headers],0))=0, INDEX(regions_lb[], MATCH($D225, regions_lb[[setting]:[setting]],0), MATCH(P$139, regions_lb[#Headers],0)),INDEX(lmic_raw_lb[],MATCH($A225,lmic_raw_lb[[setting]:[setting]],0), MATCH(P$139, lmic_raw_lb[#Headers],0)))</f>
        <v>0.05</v>
      </c>
      <c r="Q225" s="94">
        <f>IF(INDEX(lmic_raw_lb[],MATCH($A225,lmic_raw_lb[[setting]:[setting]],0), MATCH(Q$139, lmic_raw_lb[#Headers],0))=0, INDEX(regions_lb[], MATCH($D225, regions_lb[[setting]:[setting]],0), MATCH(Q$139, regions_lb[#Headers],0)),INDEX(lmic_raw_lb[],MATCH($A225,lmic_raw_lb[[setting]:[setting]],0), MATCH(Q$139, lmic_raw_lb[#Headers],0)))</f>
        <v>2.9199969358364246</v>
      </c>
      <c r="R225" s="94">
        <f>IF(INDEX(lmic_raw_lb[],MATCH($A225,lmic_raw_lb[[setting]:[setting]],0), MATCH(R$139, lmic_raw_lb[#Headers],0))=0, INDEX(regions_lb[], MATCH($D225, regions_lb[[setting]:[setting]],0), MATCH(R$139, regions_lb[#Headers],0)),INDEX(lmic_raw_lb[],MATCH($A225,lmic_raw_lb[[setting]:[setting]],0), MATCH(R$139, lmic_raw_lb[#Headers],0)))</f>
        <v>69.430275000000009</v>
      </c>
      <c r="S225" s="94">
        <f>IF(INDEX(lmic_raw_lb[],MATCH($A225,lmic_raw_lb[[setting]:[setting]],0), MATCH(S$139, lmic_raw_lb[#Headers],0))=0, INDEX(regions_lb[], MATCH($D225, regions_lb[[setting]:[setting]],0), MATCH(S$139, regions_lb[#Headers],0)),INDEX(lmic_raw_lb[],MATCH($A225,lmic_raw_lb[[setting]:[setting]],0), MATCH(S$139, lmic_raw_lb[#Headers],0)))</f>
        <v>114.785175</v>
      </c>
      <c r="T225" s="94">
        <f>IF(INDEX(lmic_raw_lb[],MATCH($A225,lmic_raw_lb[[setting]:[setting]],0), MATCH(T$139, lmic_raw_lb[#Headers],0))=0, INDEX(regions_lb[], MATCH($D225, regions_lb[[setting]:[setting]],0), MATCH(T$139, regions_lb[#Headers],0)),INDEX(lmic_raw_lb[],MATCH($A225,lmic_raw_lb[[setting]:[setting]],0), MATCH(T$139, lmic_raw_lb[#Headers],0)))</f>
        <v>114.785175</v>
      </c>
      <c r="U225" s="94">
        <f>IF(INDEX(lmic_raw_lb[],MATCH($A225,lmic_raw_lb[[setting]:[setting]],0), MATCH(U$139, lmic_raw_lb[#Headers],0))=0, INDEX(regions_lb[], MATCH($D225, regions_lb[[setting]:[setting]],0), MATCH(U$139, regions_lb[#Headers],0)),INDEX(lmic_raw_lb[],MATCH($A225,lmic_raw_lb[[setting]:[setting]],0), MATCH(U$139, lmic_raw_lb[#Headers],0)))</f>
        <v>114.785175</v>
      </c>
      <c r="V225" s="94">
        <f>IF(INDEX(lmic_raw_lb[],MATCH($A225,lmic_raw_lb[[setting]:[setting]],0), MATCH(V$139, lmic_raw_lb[#Headers],0))=0, INDEX(regions_lb[], MATCH($D225, regions_lb[[setting]:[setting]],0), MATCH(V$139, regions_lb[#Headers],0)),INDEX(lmic_raw_lb[],MATCH($A225,lmic_raw_lb[[setting]:[setting]],0), MATCH(V$139, lmic_raw_lb[#Headers],0)))</f>
        <v>1.0708493462489881</v>
      </c>
      <c r="W225" s="94">
        <f>IF(INDEX(lmic_raw_lb[],MATCH($A225,lmic_raw_lb[[setting]:[setting]],0), MATCH(W$139, lmic_raw_lb[#Headers],0))=0, INDEX(regions_lb[], MATCH($D225, regions_lb[[setting]:[setting]],0), MATCH(W$139, regions_lb[#Headers],0)),INDEX(lmic_raw_lb[],MATCH($A225,lmic_raw_lb[[setting]:[setting]],0), MATCH(W$139, lmic_raw_lb[#Headers],0)))</f>
        <v>1.671439346248988</v>
      </c>
      <c r="X225" s="94">
        <f>IF(INDEX(lmic_raw_lb[],MATCH($A225,lmic_raw_lb[[setting]:[setting]],0), MATCH(X$139, lmic_raw_lb[#Headers],0))=0, INDEX(regions_lb[], MATCH($D225, regions_lb[[setting]:[setting]],0), MATCH(X$139, regions_lb[#Headers],0)),INDEX(lmic_raw_lb[],MATCH($A225,lmic_raw_lb[[setting]:[setting]],0), MATCH(X$139, lmic_raw_lb[#Headers],0)))</f>
        <v>0.70535726654225905</v>
      </c>
      <c r="Y225" s="94">
        <f>IF(INDEX(lmic_raw_lb[],MATCH($A225,lmic_raw_lb[[setting]:[setting]],0), MATCH(Y$139, lmic_raw_lb[#Headers],0))=0, INDEX(regions_lb[], MATCH($D225, regions_lb[[setting]:[setting]],0), MATCH(Y$139, regions_lb[#Headers],0)),INDEX(lmic_raw_lb[],MATCH($A225,lmic_raw_lb[[setting]:[setting]],0), MATCH(Y$139, lmic_raw_lb[#Headers],0)))</f>
        <v>1.3059472665422591</v>
      </c>
      <c r="Z225" s="94">
        <f>IF(INDEX(lmic_raw_lb[],MATCH($A225,lmic_raw_lb[[setting]:[setting]],0), MATCH(Z$139, lmic_raw_lb[#Headers],0))=0, INDEX(regions_lb[], MATCH($D225, regions_lb[[setting]:[setting]],0), MATCH(Z$139, regions_lb[#Headers],0)),INDEX(lmic_raw_lb[],MATCH($A225,lmic_raw_lb[[setting]:[setting]],0), MATCH(Z$139, lmic_raw_lb[#Headers],0)))</f>
        <v>1.3035970613766859</v>
      </c>
      <c r="AA225" s="94">
        <f>IF(INDEX(lmic_raw_lb[],MATCH($A225,lmic_raw_lb[[setting]:[setting]],0), MATCH(AA$139, lmic_raw_lb[#Headers],0))=0, INDEX(regions_lb[], MATCH($D225, regions_lb[[setting]:[setting]],0), MATCH(AA$139, regions_lb[#Headers],0)),INDEX(lmic_raw_lb[],MATCH($A225,lmic_raw_lb[[setting]:[setting]],0), MATCH(AA$139, lmic_raw_lb[#Headers],0)))</f>
        <v>1.2821303406446556</v>
      </c>
      <c r="AB225" s="94">
        <f>IF(INDEX(lmic_raw_lb[],MATCH($A225,lmic_raw_lb[[setting]:[setting]],0), MATCH(AB$139, lmic_raw_lb[#Headers],0))=0, INDEX(regions_lb[], MATCH($D225, regions_lb[[setting]:[setting]],0), MATCH(AB$139, regions_lb[#Headers],0)),INDEX(lmic_raw_lb[],MATCH($A225,lmic_raw_lb[[setting]:[setting]],0), MATCH(AB$139, lmic_raw_lb[#Headers],0)))</f>
        <v>1.8827203406446555</v>
      </c>
      <c r="AC225" s="94">
        <f>IF(INDEX(lmic_raw_lb[],MATCH($A225,lmic_raw_lb[[setting]:[setting]],0), MATCH(AC$139, lmic_raw_lb[#Headers],0))=0, INDEX(regions_lb[], MATCH($D225, regions_lb[[setting]:[setting]],0), MATCH(AC$139, regions_lb[#Headers],0)),INDEX(lmic_raw_lb[],MATCH($A225,lmic_raw_lb[[setting]:[setting]],0), MATCH(AC$139, lmic_raw_lb[#Headers],0)))</f>
        <v>3.6499465499999988E-2</v>
      </c>
      <c r="AD225" s="94">
        <f>IF(INDEX(lmic_raw_lb[],MATCH($A225,lmic_raw_lb[[setting]:[setting]],0), MATCH(AD$139, lmic_raw_lb[#Headers],0))=0, INDEX(regions_lb[], MATCH($D225, regions_lb[[setting]:[setting]],0), MATCH(AD$139, regions_lb[#Headers],0)),INDEX(lmic_raw_lb[],MATCH($A225,lmic_raw_lb[[setting]:[setting]],0), MATCH(AD$139, lmic_raw_lb[#Headers],0)))</f>
        <v>2.3865035092105751E-3</v>
      </c>
      <c r="AE225" s="94">
        <f>IF(INDEX(lmic_raw_lb[],MATCH($A225,lmic_raw_lb[[setting]:[setting]],0), MATCH(AE$139, lmic_raw_lb[#Headers],0))=0, INDEX(regions_lb[], MATCH($D225, regions_lb[[setting]:[setting]],0), MATCH(AE$139, regions_lb[#Headers],0)),INDEX(lmic_raw_lb[],MATCH($A225,lmic_raw_lb[[setting]:[setting]],0), MATCH(AE$139, lmic_raw_lb[#Headers],0)))</f>
        <v>1.0192950197325081E-3</v>
      </c>
      <c r="AF225" s="94">
        <f>IF(INDEX(lmic_raw_lb[],MATCH($A225,lmic_raw_lb[[setting]:[setting]],0), MATCH(AF$139, lmic_raw_lb[#Headers],0))=0, INDEX(regions_lb[], MATCH($D225, regions_lb[[setting]:[setting]],0), MATCH(AF$139, regions_lb[#Headers],0)),INDEX(lmic_raw_lb[],MATCH($A225,lmic_raw_lb[[setting]:[setting]],0), MATCH(AF$139, lmic_raw_lb[#Headers],0)))</f>
        <v>8.2756855707476261E-4</v>
      </c>
      <c r="AG225" s="94">
        <f>IF(INDEX(lmic_raw_lb[],MATCH($A225,lmic_raw_lb[[setting]:[setting]],0), MATCH(AG$139, lmic_raw_lb[#Headers],0))=0, INDEX(regions_lb[], MATCH($D225, regions_lb[[setting]:[setting]],0), MATCH(AG$139, regions_lb[#Headers],0)),INDEX(lmic_raw_lb[],MATCH($A225,lmic_raw_lb[[setting]:[setting]],0), MATCH(AG$139, lmic_raw_lb[#Headers],0)))</f>
        <v>1.3413161150521613E-3</v>
      </c>
      <c r="AH225" s="94">
        <f>IF(INDEX(lmic_raw_lb[],MATCH($A225,lmic_raw_lb[[setting]:[setting]],0), MATCH(AH$139, lmic_raw_lb[#Headers],0))=0, INDEX(regions_lb[], MATCH($D225, regions_lb[[setting]:[setting]],0), MATCH(AH$139, regions_lb[#Headers],0)),INDEX(lmic_raw_lb[],MATCH($A225,lmic_raw_lb[[setting]:[setting]],0), MATCH(AH$139, lmic_raw_lb[#Headers],0)))</f>
        <v>1.8954846475889907E-3</v>
      </c>
      <c r="AI225" s="94">
        <f>IF(INDEX(lmic_raw_lb[],MATCH($A225,lmic_raw_lb[[setting]:[setting]],0), MATCH(AI$139, lmic_raw_lb[#Headers],0))=0, INDEX(regions_lb[], MATCH($D225, regions_lb[[setting]:[setting]],0), MATCH(AI$139, regions_lb[#Headers],0)),INDEX(lmic_raw_lb[],MATCH($A225,lmic_raw_lb[[setting]:[setting]],0), MATCH(AI$139, lmic_raw_lb[#Headers],0)))</f>
        <v>2.0536486819303086E-3</v>
      </c>
      <c r="AJ225" s="94">
        <f>IF(INDEX(lmic_raw_lb[],MATCH($A225,lmic_raw_lb[[setting]:[setting]],0), MATCH(AJ$139, lmic_raw_lb[#Headers],0))=0, INDEX(regions_lb[], MATCH($D225, regions_lb[[setting]:[setting]],0), MATCH(AJ$139, regions_lb[#Headers],0)),INDEX(lmic_raw_lb[],MATCH($A225,lmic_raw_lb[[setting]:[setting]],0), MATCH(AJ$139, lmic_raw_lb[#Headers],0)))</f>
        <v>2.3638667828369954E-3</v>
      </c>
      <c r="AK225" s="94">
        <f>IF(INDEX(lmic_raw_lb[],MATCH($A225,lmic_raw_lb[[setting]:[setting]],0), MATCH(AK$139, lmic_raw_lb[#Headers],0))=0, INDEX(regions_lb[], MATCH($D225, regions_lb[[setting]:[setting]],0), MATCH(AK$139, regions_lb[#Headers],0)),INDEX(lmic_raw_lb[],MATCH($A225,lmic_raw_lb[[setting]:[setting]],0), MATCH(AK$139, lmic_raw_lb[#Headers],0)))</f>
        <v>2.9882626590387214E-3</v>
      </c>
      <c r="AL225" s="94">
        <f>IF(INDEX(lmic_raw_lb[],MATCH($A225,lmic_raw_lb[[setting]:[setting]],0), MATCH(AL$139, lmic_raw_lb[#Headers],0))=0, INDEX(regions_lb[], MATCH($D225, regions_lb[[setting]:[setting]],0), MATCH(AL$139, regions_lb[#Headers],0)),INDEX(lmic_raw_lb[],MATCH($A225,lmic_raw_lb[[setting]:[setting]],0), MATCH(AL$139, lmic_raw_lb[#Headers],0)))</f>
        <v>4.0336526595469123E-3</v>
      </c>
      <c r="AM225" s="94">
        <f>IF(INDEX(lmic_raw_lb[],MATCH($A225,lmic_raw_lb[[setting]:[setting]],0), MATCH(AM$139, lmic_raw_lb[#Headers],0))=0, INDEX(regions_lb[], MATCH($D225, regions_lb[[setting]:[setting]],0), MATCH(AM$139, regions_lb[#Headers],0)),INDEX(lmic_raw_lb[],MATCH($A225,lmic_raw_lb[[setting]:[setting]],0), MATCH(AM$139, lmic_raw_lb[#Headers],0)))</f>
        <v>5.7659155863809446E-3</v>
      </c>
      <c r="AN225" s="94">
        <f>IF(INDEX(lmic_raw_lb[],MATCH($A225,lmic_raw_lb[[setting]:[setting]],0), MATCH(AN$139, lmic_raw_lb[#Headers],0))=0, INDEX(regions_lb[], MATCH($D225, regions_lb[[setting]:[setting]],0), MATCH(AN$139, regions_lb[#Headers],0)),INDEX(lmic_raw_lb[],MATCH($A225,lmic_raw_lb[[setting]:[setting]],0), MATCH(AN$139, lmic_raw_lb[#Headers],0)))</f>
        <v>8.4519508108738158E-3</v>
      </c>
      <c r="AO225" s="94">
        <f>IF(INDEX(lmic_raw_lb[],MATCH($A225,lmic_raw_lb[[setting]:[setting]],0), MATCH(AO$139, lmic_raw_lb[#Headers],0))=0, INDEX(regions_lb[], MATCH($D225, regions_lb[[setting]:[setting]],0), MATCH(AO$139, regions_lb[#Headers],0)),INDEX(lmic_raw_lb[],MATCH($A225,lmic_raw_lb[[setting]:[setting]],0), MATCH(AO$139, lmic_raw_lb[#Headers],0)))</f>
        <v>1.2520934020103108E-2</v>
      </c>
      <c r="AP225" s="94">
        <f>IF(INDEX(lmic_raw_lb[],MATCH($A225,lmic_raw_lb[[setting]:[setting]],0), MATCH(AP$139, lmic_raw_lb[#Headers],0))=0, INDEX(regions_lb[], MATCH($D225, regions_lb[[setting]:[setting]],0), MATCH(AP$139, regions_lb[#Headers],0)),INDEX(lmic_raw_lb[],MATCH($A225,lmic_raw_lb[[setting]:[setting]],0), MATCH(AP$139, lmic_raw_lb[#Headers],0)))</f>
        <v>1.891476914136217E-2</v>
      </c>
      <c r="AQ225" s="94">
        <f>IF(INDEX(lmic_raw_lb[],MATCH($A225,lmic_raw_lb[[setting]:[setting]],0), MATCH(AQ$139, lmic_raw_lb[#Headers],0))=0, INDEX(regions_lb[], MATCH($D225, regions_lb[[setting]:[setting]],0), MATCH(AQ$139, regions_lb[#Headers],0)),INDEX(lmic_raw_lb[],MATCH($A225,lmic_raw_lb[[setting]:[setting]],0), MATCH(AQ$139, lmic_raw_lb[#Headers],0)))</f>
        <v>2.8989960993456389E-2</v>
      </c>
      <c r="AR225" s="94">
        <f>IF(INDEX(lmic_raw_lb[],MATCH($A225,lmic_raw_lb[[setting]:[setting]],0), MATCH(AR$139, lmic_raw_lb[#Headers],0))=0, INDEX(regions_lb[], MATCH($D225, regions_lb[[setting]:[setting]],0), MATCH(AR$139, regions_lb[#Headers],0)),INDEX(lmic_raw_lb[],MATCH($A225,lmic_raw_lb[[setting]:[setting]],0), MATCH(AR$139, lmic_raw_lb[#Headers],0)))</f>
        <v>4.482126722495669E-2</v>
      </c>
      <c r="AS225" s="94">
        <f>IF(INDEX(lmic_raw_lb[],MATCH($A225,lmic_raw_lb[[setting]:[setting]],0), MATCH(AS$139, lmic_raw_lb[#Headers],0))=0, INDEX(regions_lb[], MATCH($D225, regions_lb[[setting]:[setting]],0), MATCH(AS$139, regions_lb[#Headers],0)),INDEX(lmic_raw_lb[],MATCH($A225,lmic_raw_lb[[setting]:[setting]],0), MATCH(AS$139, lmic_raw_lb[#Headers],0)))</f>
        <v>6.7378635027513234E-2</v>
      </c>
      <c r="AT225" s="94">
        <f>IF(INDEX(lmic_raw_lb[],MATCH($A225,lmic_raw_lb[[setting]:[setting]],0), MATCH(AT$139, lmic_raw_lb[#Headers],0))=0, INDEX(regions_lb[], MATCH($D225, regions_lb[[setting]:[setting]],0), MATCH(AT$139, regions_lb[#Headers],0)),INDEX(lmic_raw_lb[],MATCH($A225,lmic_raw_lb[[setting]:[setting]],0), MATCH(AT$139, lmic_raw_lb[#Headers],0)))</f>
        <v>9.7036107213252967E-2</v>
      </c>
      <c r="AU225" s="94">
        <f>IF(INDEX(lmic_raw_lb[],MATCH($A225,lmic_raw_lb[[setting]:[setting]],0), MATCH(AU$139, lmic_raw_lb[#Headers],0))=0, INDEX(regions_lb[], MATCH($D225, regions_lb[[setting]:[setting]],0), MATCH(AU$139, regions_lb[#Headers],0)),INDEX(lmic_raw_lb[],MATCH($A225,lmic_raw_lb[[setting]:[setting]],0), MATCH(AU$139, lmic_raw_lb[#Headers],0)))</f>
        <v>0.12844851345922201</v>
      </c>
      <c r="AV225" s="94">
        <f>IF(INDEX(lmic_raw_lb[],MATCH($A225,lmic_raw_lb[[setting]:[setting]],0), MATCH(AV$139, lmic_raw_lb[#Headers],0))=0, INDEX(regions_lb[], MATCH($D225, regions_lb[[setting]:[setting]],0), MATCH(AV$139, regions_lb[#Headers],0)),INDEX(lmic_raw_lb[],MATCH($A225,lmic_raw_lb[[setting]:[setting]],0), MATCH(AV$139, lmic_raw_lb[#Headers],0)))</f>
        <v>0.15398833038853049</v>
      </c>
      <c r="AW225" s="94">
        <f>IF(INDEX(lmic_raw_lb[],MATCH($A225,lmic_raw_lb[[setting]:[setting]],0), MATCH(AW$139, lmic_raw_lb[#Headers],0))=0, INDEX(regions_lb[], MATCH($D225, regions_lb[[setting]:[setting]],0), MATCH(AW$139, regions_lb[#Headers],0)),INDEX(lmic_raw_lb[],MATCH($A225,lmic_raw_lb[[setting]:[setting]],0), MATCH(AW$139, lmic_raw_lb[#Headers],0)))</f>
        <v>0.17052376186149343</v>
      </c>
      <c r="AX225" s="94">
        <f>IF(INDEX(lmic_raw_lb[],MATCH($A225,lmic_raw_lb[[setting]:[setting]],0), MATCH(AX$139, lmic_raw_lb[#Headers],0))=0, INDEX(regions_lb[], MATCH($D225, regions_lb[[setting]:[setting]],0), MATCH(AX$139, regions_lb[#Headers],0)),INDEX(lmic_raw_lb[],MATCH($A225,lmic_raw_lb[[setting]:[setting]],0), MATCH(AX$139, lmic_raw_lb[#Headers],0)))</f>
        <v>63.421049999999994</v>
      </c>
      <c r="AY225" s="94" t="str">
        <f>IF(VLOOKUP(lmics_lb[[#This Row],[setting]],lmic_raw_lb[],11,FALSE)=0, "Yes", "No")</f>
        <v>No</v>
      </c>
    </row>
    <row r="226" spans="1:51" x14ac:dyDescent="0.25">
      <c r="A226" s="109" t="s">
        <v>135</v>
      </c>
      <c r="B226" s="101" t="s">
        <v>478</v>
      </c>
      <c r="C226" s="102">
        <v>516</v>
      </c>
      <c r="D226" s="82" t="s">
        <v>677</v>
      </c>
      <c r="E226" s="121" t="s">
        <v>594</v>
      </c>
      <c r="F226" s="98" t="s">
        <v>667</v>
      </c>
      <c r="G226" s="98" t="s">
        <v>676</v>
      </c>
      <c r="H226" s="98"/>
      <c r="I226" s="98"/>
      <c r="J226" s="98">
        <f>IF(INDEX(lmic_raw_lb[],MATCH($A226,lmic_raw_lb[[setting]:[setting]],0), MATCH(J$139, lmic_raw_lb[#Headers],0))=0, INDEX(regions_lb[], MATCH($D226, regions_lb[[setting]:[setting]],0), MATCH(J$139, regions_lb[#Headers],0)),INDEX(lmic_raw_lb[],MATCH($A226,lmic_raw_lb[[setting]:[setting]],0), MATCH(J$139, lmic_raw_lb[#Headers],0)))</f>
        <v>0.83030000000000004</v>
      </c>
      <c r="K226" s="98">
        <f>IF(INDEX(lmic_raw_lb[],MATCH($A226,lmic_raw_lb[[setting]:[setting]],0), MATCH(K$139, lmic_raw_lb[#Headers],0))=0, INDEX(regions_lb[], MATCH($D226, regions_lb[[setting]:[setting]],0), MATCH(K$139, regions_lb[#Headers],0)),INDEX(lmic_raw_lb[],MATCH($A226,lmic_raw_lb[[setting]:[setting]],0), MATCH(K$139, lmic_raw_lb[#Headers],0)))</f>
        <v>0.76949999999999996</v>
      </c>
      <c r="L226" s="98">
        <f>IF(INDEX(lmic_raw_lb[],MATCH($A226,lmic_raw_lb[[setting]:[setting]],0), MATCH(L$139, lmic_raw_lb[#Headers],0))=0, INDEX(regions_lb[], MATCH($D226, regions_lb[[setting]:[setting]],0), MATCH(L$139, regions_lb[#Headers],0)),INDEX(lmic_raw_lb[],MATCH($A226,lmic_raw_lb[[setting]:[setting]],0), MATCH(L$139, lmic_raw_lb[#Headers],0)))</f>
        <v>0.82650000000000001</v>
      </c>
      <c r="M226" s="98">
        <f>IF(INDEX(lmic_raw_lb[],MATCH($A226,lmic_raw_lb[[setting]:[setting]],0), MATCH(M$139, lmic_raw_lb[#Headers],0))=0, INDEX(regions_lb[], MATCH($D226, regions_lb[[setting]:[setting]],0), MATCH(M$139, regions_lb[#Headers],0)),INDEX(lmic_raw_lb[],MATCH($A226,lmic_raw_lb[[setting]:[setting]],0), MATCH(M$139, lmic_raw_lb[#Headers],0)))</f>
        <v>1.8200000000000001E-2</v>
      </c>
      <c r="N226" s="98">
        <f>IF(INDEX(lmic_raw_lb[],MATCH($A226,lmic_raw_lb[[setting]:[setting]],0), MATCH(N$139, lmic_raw_lb[#Headers],0))=0, INDEX(regions_lb[], MATCH($D226, regions_lb[[setting]:[setting]],0), MATCH(N$139, regions_lb[#Headers],0)),INDEX(lmic_raw_lb[],MATCH($A226,lmic_raw_lb[[setting]:[setting]],0), MATCH(N$139, lmic_raw_lb[#Headers],0)))</f>
        <v>0.15109999999999998</v>
      </c>
      <c r="O226" s="98">
        <f>IF(INDEX(lmic_raw_lb[],MATCH($A226,lmic_raw_lb[[setting]:[setting]],0), MATCH(O$139, lmic_raw_lb[#Headers],0))=0, INDEX(regions_lb[], MATCH($D226, regions_lb[[setting]:[setting]],0), MATCH(O$139, regions_lb[#Headers],0)),INDEX(lmic_raw_lb[],MATCH($A226,lmic_raw_lb[[setting]:[setting]],0), MATCH(O$139, lmic_raw_lb[#Headers],0)))</f>
        <v>7.0000000000000007E-2</v>
      </c>
      <c r="P226" s="98">
        <f>IF(INDEX(lmic_raw_lb[],MATCH($A226,lmic_raw_lb[[setting]:[setting]],0), MATCH(P$139, lmic_raw_lb[#Headers],0))=0, INDEX(regions_lb[], MATCH($D226, regions_lb[[setting]:[setting]],0), MATCH(P$139, regions_lb[#Headers],0)),INDEX(lmic_raw_lb[],MATCH($A226,lmic_raw_lb[[setting]:[setting]],0), MATCH(P$139, lmic_raw_lb[#Headers],0)))</f>
        <v>1E-3</v>
      </c>
      <c r="Q226" s="98">
        <f>IF(INDEX(lmic_raw_lb[],MATCH($A226,lmic_raw_lb[[setting]:[setting]],0), MATCH(Q$139, lmic_raw_lb[#Headers],0))=0, INDEX(regions_lb[], MATCH($D226, regions_lb[[setting]:[setting]],0), MATCH(Q$139, regions_lb[#Headers],0)),INDEX(lmic_raw_lb[],MATCH($A226,lmic_raw_lb[[setting]:[setting]],0), MATCH(Q$139, lmic_raw_lb[#Headers],0)))</f>
        <v>8.6705517372516603</v>
      </c>
      <c r="R226" s="98">
        <f>IF(INDEX(lmic_raw_lb[],MATCH($A226,lmic_raw_lb[[setting]:[setting]],0), MATCH(R$139, lmic_raw_lb[#Headers],0))=0, INDEX(regions_lb[], MATCH($D226, regions_lb[[setting]:[setting]],0), MATCH(R$139, regions_lb[#Headers],0)),INDEX(lmic_raw_lb[],MATCH($A226,lmic_raw_lb[[setting]:[setting]],0), MATCH(R$139, lmic_raw_lb[#Headers],0)))</f>
        <v>28.424474999999997</v>
      </c>
      <c r="S226" s="98">
        <f>IF(INDEX(lmic_raw_lb[],MATCH($A226,lmic_raw_lb[[setting]:[setting]],0), MATCH(S$139, lmic_raw_lb[#Headers],0))=0, INDEX(regions_lb[], MATCH($D226, regions_lb[[setting]:[setting]],0), MATCH(S$139, regions_lb[#Headers],0)),INDEX(lmic_raw_lb[],MATCH($A226,lmic_raw_lb[[setting]:[setting]],0), MATCH(S$139, lmic_raw_lb[#Headers],0)))</f>
        <v>73.779375000000002</v>
      </c>
      <c r="T226" s="98">
        <f>IF(INDEX(lmic_raw_lb[],MATCH($A226,lmic_raw_lb[[setting]:[setting]],0), MATCH(T$139, lmic_raw_lb[#Headers],0))=0, INDEX(regions_lb[], MATCH($D226, regions_lb[[setting]:[setting]],0), MATCH(T$139, regions_lb[#Headers],0)),INDEX(lmic_raw_lb[],MATCH($A226,lmic_raw_lb[[setting]:[setting]],0), MATCH(T$139, lmic_raw_lb[#Headers],0)))</f>
        <v>73.779375000000002</v>
      </c>
      <c r="U226" s="98">
        <f>IF(INDEX(lmic_raw_lb[],MATCH($A226,lmic_raw_lb[[setting]:[setting]],0), MATCH(U$139, lmic_raw_lb[#Headers],0))=0, INDEX(regions_lb[], MATCH($D226, regions_lb[[setting]:[setting]],0), MATCH(U$139, regions_lb[#Headers],0)),INDEX(lmic_raw_lb[],MATCH($A226,lmic_raw_lb[[setting]:[setting]],0), MATCH(U$139, lmic_raw_lb[#Headers],0)))</f>
        <v>73.779375000000002</v>
      </c>
      <c r="V226" s="98">
        <f>IF(INDEX(lmic_raw_lb[],MATCH($A226,lmic_raw_lb[[setting]:[setting]],0), MATCH(V$139, lmic_raw_lb[#Headers],0))=0, INDEX(regions_lb[], MATCH($D226, regions_lb[[setting]:[setting]],0), MATCH(V$139, regions_lb[#Headers],0)),INDEX(lmic_raw_lb[],MATCH($A226,lmic_raw_lb[[setting]:[setting]],0), MATCH(V$139, lmic_raw_lb[#Headers],0)))</f>
        <v>2.5605012118688131</v>
      </c>
      <c r="W226" s="98">
        <f>IF(INDEX(lmic_raw_lb[],MATCH($A226,lmic_raw_lb[[setting]:[setting]],0), MATCH(W$139, lmic_raw_lb[#Headers],0))=0, INDEX(regions_lb[], MATCH($D226, regions_lb[[setting]:[setting]],0), MATCH(W$139, regions_lb[#Headers],0)),INDEX(lmic_raw_lb[],MATCH($A226,lmic_raw_lb[[setting]:[setting]],0), MATCH(W$139, lmic_raw_lb[#Headers],0)))</f>
        <v>7.147766211868813</v>
      </c>
      <c r="X226" s="98">
        <f>IF(INDEX(lmic_raw_lb[],MATCH($A226,lmic_raw_lb[[setting]:[setting]],0), MATCH(X$139, lmic_raw_lb[#Headers],0))=0, INDEX(regions_lb[], MATCH($D226, regions_lb[[setting]:[setting]],0), MATCH(X$139, regions_lb[#Headers],0)),INDEX(lmic_raw_lb[],MATCH($A226,lmic_raw_lb[[setting]:[setting]],0), MATCH(X$139, lmic_raw_lb[#Headers],0)))</f>
        <v>2.1923524816127444</v>
      </c>
      <c r="Y226" s="98">
        <f>IF(INDEX(lmic_raw_lb[],MATCH($A226,lmic_raw_lb[[setting]:[setting]],0), MATCH(Y$139, lmic_raw_lb[#Headers],0))=0, INDEX(regions_lb[], MATCH($D226, regions_lb[[setting]:[setting]],0), MATCH(Y$139, regions_lb[#Headers],0)),INDEX(lmic_raw_lb[],MATCH($A226,lmic_raw_lb[[setting]:[setting]],0), MATCH(Y$139, lmic_raw_lb[#Headers],0)))</f>
        <v>6.7796174816127444</v>
      </c>
      <c r="Z226" s="98">
        <f>IF(INDEX(lmic_raw_lb[],MATCH($A226,lmic_raw_lb[[setting]:[setting]],0), MATCH(Z$139, lmic_raw_lb[#Headers],0))=0, INDEX(regions_lb[], MATCH($D226, regions_lb[[setting]:[setting]],0), MATCH(Z$139, regions_lb[#Headers],0)),INDEX(lmic_raw_lb[],MATCH($A226,lmic_raw_lb[[setting]:[setting]],0), MATCH(Z$139, lmic_raw_lb[#Headers],0)))</f>
        <v>6.7758377590192467</v>
      </c>
      <c r="AA226" s="98">
        <f>IF(INDEX(lmic_raw_lb[],MATCH($A226,lmic_raw_lb[[setting]:[setting]],0), MATCH(AA$139, lmic_raw_lb[#Headers],0))=0, INDEX(regions_lb[], MATCH($D226, regions_lb[[setting]:[setting]],0), MATCH(AA$139, regions_lb[#Headers],0)),INDEX(lmic_raw_lb[],MATCH($A226,lmic_raw_lb[[setting]:[setting]],0), MATCH(AA$139, lmic_raw_lb[#Headers],0)))</f>
        <v>2.772920770785626</v>
      </c>
      <c r="AB226" s="98">
        <f>IF(INDEX(lmic_raw_lb[],MATCH($A226,lmic_raw_lb[[setting]:[setting]],0), MATCH(AB$139, lmic_raw_lb[#Headers],0))=0, INDEX(regions_lb[], MATCH($D226, regions_lb[[setting]:[setting]],0), MATCH(AB$139, regions_lb[#Headers],0)),INDEX(lmic_raw_lb[],MATCH($A226,lmic_raw_lb[[setting]:[setting]],0), MATCH(AB$139, lmic_raw_lb[#Headers],0)))</f>
        <v>7.3601857707856269</v>
      </c>
      <c r="AC226" s="98">
        <f>IF(INDEX(lmic_raw_lb[],MATCH($A226,lmic_raw_lb[[setting]:[setting]],0), MATCH(AC$139, lmic_raw_lb[#Headers],0))=0, INDEX(regions_lb[], MATCH($D226, regions_lb[[setting]:[setting]],0), MATCH(AC$139, regions_lb[#Headers],0)),INDEX(lmic_raw_lb[],MATCH($A226,lmic_raw_lb[[setting]:[setting]],0), MATCH(AC$139, lmic_raw_lb[#Headers],0)))</f>
        <v>3.1724204999999998E-2</v>
      </c>
      <c r="AD226" s="98">
        <f>IF(INDEX(lmic_raw_lb[],MATCH($A226,lmic_raw_lb[[setting]:[setting]],0), MATCH(AD$139, lmic_raw_lb[#Headers],0))=0, INDEX(regions_lb[], MATCH($D226, regions_lb[[setting]:[setting]],0), MATCH(AD$139, regions_lb[#Headers],0)),INDEX(lmic_raw_lb[],MATCH($A226,lmic_raw_lb[[setting]:[setting]],0), MATCH(AD$139, lmic_raw_lb[#Headers],0)))</f>
        <v>2.7445204928874503E-3</v>
      </c>
      <c r="AE226" s="98">
        <f>IF(INDEX(lmic_raw_lb[],MATCH($A226,lmic_raw_lb[[setting]:[setting]],0), MATCH(AE$139, lmic_raw_lb[#Headers],0))=0, INDEX(regions_lb[], MATCH($D226, regions_lb[[setting]:[setting]],0), MATCH(AE$139, regions_lb[#Headers],0)),INDEX(lmic_raw_lb[],MATCH($A226,lmic_raw_lb[[setting]:[setting]],0), MATCH(AE$139, lmic_raw_lb[#Headers],0)))</f>
        <v>1.1635121142374067E-3</v>
      </c>
      <c r="AF226" s="98">
        <f>IF(INDEX(lmic_raw_lb[],MATCH($A226,lmic_raw_lb[[setting]:[setting]],0), MATCH(AF$139, lmic_raw_lb[#Headers],0))=0, INDEX(regions_lb[], MATCH($D226, regions_lb[[setting]:[setting]],0), MATCH(AF$139, regions_lb[#Headers],0)),INDEX(lmic_raw_lb[],MATCH($A226,lmic_raw_lb[[setting]:[setting]],0), MATCH(AF$139, lmic_raw_lb[#Headers],0)))</f>
        <v>9.3902794006062856E-4</v>
      </c>
      <c r="AG226" s="98">
        <f>IF(INDEX(lmic_raw_lb[],MATCH($A226,lmic_raw_lb[[setting]:[setting]],0), MATCH(AG$139, lmic_raw_lb[#Headers],0))=0, INDEX(regions_lb[], MATCH($D226, regions_lb[[setting]:[setting]],0), MATCH(AG$139, regions_lb[#Headers],0)),INDEX(lmic_raw_lb[],MATCH($A226,lmic_raw_lb[[setting]:[setting]],0), MATCH(AG$139, lmic_raw_lb[#Headers],0)))</f>
        <v>1.5819636691246455E-3</v>
      </c>
      <c r="AH226" s="98">
        <f>IF(INDEX(lmic_raw_lb[],MATCH($A226,lmic_raw_lb[[setting]:[setting]],0), MATCH(AH$139, lmic_raw_lb[#Headers],0))=0, INDEX(regions_lb[], MATCH($D226, regions_lb[[setting]:[setting]],0), MATCH(AH$139, regions_lb[#Headers],0)),INDEX(lmic_raw_lb[],MATCH($A226,lmic_raw_lb[[setting]:[setting]],0), MATCH(AH$139, lmic_raw_lb[#Headers],0)))</f>
        <v>2.585918502122185E-3</v>
      </c>
      <c r="AI226" s="98">
        <f>IF(INDEX(lmic_raw_lb[],MATCH($A226,lmic_raw_lb[[setting]:[setting]],0), MATCH(AI$139, lmic_raw_lb[#Headers],0))=0, INDEX(regions_lb[], MATCH($D226, regions_lb[[setting]:[setting]],0), MATCH(AI$139, regions_lb[#Headers],0)),INDEX(lmic_raw_lb[],MATCH($A226,lmic_raw_lb[[setting]:[setting]],0), MATCH(AI$139, lmic_raw_lb[#Headers],0)))</f>
        <v>3.7259428067210752E-3</v>
      </c>
      <c r="AJ226" s="98">
        <f>IF(INDEX(lmic_raw_lb[],MATCH($A226,lmic_raw_lb[[setting]:[setting]],0), MATCH(AJ$139, lmic_raw_lb[#Headers],0))=0, INDEX(regions_lb[], MATCH($D226, regions_lb[[setting]:[setting]],0), MATCH(AJ$139, regions_lb[#Headers],0)),INDEX(lmic_raw_lb[],MATCH($A226,lmic_raw_lb[[setting]:[setting]],0), MATCH(AJ$139, lmic_raw_lb[#Headers],0)))</f>
        <v>4.9597843819352413E-3</v>
      </c>
      <c r="AK226" s="98">
        <f>IF(INDEX(lmic_raw_lb[],MATCH($A226,lmic_raw_lb[[setting]:[setting]],0), MATCH(AK$139, lmic_raw_lb[#Headers],0))=0, INDEX(regions_lb[], MATCH($D226, regions_lb[[setting]:[setting]],0), MATCH(AK$139, regions_lb[#Headers],0)),INDEX(lmic_raw_lb[],MATCH($A226,lmic_raw_lb[[setting]:[setting]],0), MATCH(AK$139, lmic_raw_lb[#Headers],0)))</f>
        <v>6.6948018620077987E-3</v>
      </c>
      <c r="AL226" s="98">
        <f>IF(INDEX(lmic_raw_lb[],MATCH($A226,lmic_raw_lb[[setting]:[setting]],0), MATCH(AL$139, lmic_raw_lb[#Headers],0))=0, INDEX(regions_lb[], MATCH($D226, regions_lb[[setting]:[setting]],0), MATCH(AL$139, regions_lb[#Headers],0)),INDEX(lmic_raw_lb[],MATCH($A226,lmic_raw_lb[[setting]:[setting]],0), MATCH(AL$139, lmic_raw_lb[#Headers],0)))</f>
        <v>8.1939252537602415E-3</v>
      </c>
      <c r="AM226" s="98">
        <f>IF(INDEX(lmic_raw_lb[],MATCH($A226,lmic_raw_lb[[setting]:[setting]],0), MATCH(AM$139, lmic_raw_lb[#Headers],0))=0, INDEX(regions_lb[], MATCH($D226, regions_lb[[setting]:[setting]],0), MATCH(AM$139, regions_lb[#Headers],0)),INDEX(lmic_raw_lb[],MATCH($A226,lmic_raw_lb[[setting]:[setting]],0), MATCH(AM$139, lmic_raw_lb[#Headers],0)))</f>
        <v>9.9918977995677189E-3</v>
      </c>
      <c r="AN226" s="98">
        <f>IF(INDEX(lmic_raw_lb[],MATCH($A226,lmic_raw_lb[[setting]:[setting]],0), MATCH(AN$139, lmic_raw_lb[#Headers],0))=0, INDEX(regions_lb[], MATCH($D226, regions_lb[[setting]:[setting]],0), MATCH(AN$139, regions_lb[#Headers],0)),INDEX(lmic_raw_lb[],MATCH($A226,lmic_raw_lb[[setting]:[setting]],0), MATCH(AN$139, lmic_raw_lb[#Headers],0)))</f>
        <v>1.2786166821256759E-2</v>
      </c>
      <c r="AO226" s="98">
        <f>IF(INDEX(lmic_raw_lb[],MATCH($A226,lmic_raw_lb[[setting]:[setting]],0), MATCH(AO$139, lmic_raw_lb[#Headers],0))=0, INDEX(regions_lb[], MATCH($D226, regions_lb[[setting]:[setting]],0), MATCH(AO$139, regions_lb[#Headers],0)),INDEX(lmic_raw_lb[],MATCH($A226,lmic_raw_lb[[setting]:[setting]],0), MATCH(AO$139, lmic_raw_lb[#Headers],0)))</f>
        <v>1.5992361336201653E-2</v>
      </c>
      <c r="AP226" s="98">
        <f>IF(INDEX(lmic_raw_lb[],MATCH($A226,lmic_raw_lb[[setting]:[setting]],0), MATCH(AP$139, lmic_raw_lb[#Headers],0))=0, INDEX(regions_lb[], MATCH($D226, regions_lb[[setting]:[setting]],0), MATCH(AP$139, regions_lb[#Headers],0)),INDEX(lmic_raw_lb[],MATCH($A226,lmic_raw_lb[[setting]:[setting]],0), MATCH(AP$139, lmic_raw_lb[#Headers],0)))</f>
        <v>2.1914537153476174E-2</v>
      </c>
      <c r="AQ226" s="98">
        <f>IF(INDEX(lmic_raw_lb[],MATCH($A226,lmic_raw_lb[[setting]:[setting]],0), MATCH(AQ$139, lmic_raw_lb[#Headers],0))=0, INDEX(regions_lb[], MATCH($D226, regions_lb[[setting]:[setting]],0), MATCH(AQ$139, regions_lb[#Headers],0)),INDEX(lmic_raw_lb[],MATCH($A226,lmic_raw_lb[[setting]:[setting]],0), MATCH(AQ$139, lmic_raw_lb[#Headers],0)))</f>
        <v>3.1774691806230659E-2</v>
      </c>
      <c r="AR226" s="98">
        <f>IF(INDEX(lmic_raw_lb[],MATCH($A226,lmic_raw_lb[[setting]:[setting]],0), MATCH(AR$139, lmic_raw_lb[#Headers],0))=0, INDEX(regions_lb[], MATCH($D226, regions_lb[[setting]:[setting]],0), MATCH(AR$139, regions_lb[#Headers],0)),INDEX(lmic_raw_lb[],MATCH($A226,lmic_raw_lb[[setting]:[setting]],0), MATCH(AR$139, lmic_raw_lb[#Headers],0)))</f>
        <v>4.7257267440035083E-2</v>
      </c>
      <c r="AS226" s="98">
        <f>IF(INDEX(lmic_raw_lb[],MATCH($A226,lmic_raw_lb[[setting]:[setting]],0), MATCH(AS$139, lmic_raw_lb[#Headers],0))=0, INDEX(regions_lb[], MATCH($D226, regions_lb[[setting]:[setting]],0), MATCH(AS$139, regions_lb[#Headers],0)),INDEX(lmic_raw_lb[],MATCH($A226,lmic_raw_lb[[setting]:[setting]],0), MATCH(AS$139, lmic_raw_lb[#Headers],0)))</f>
        <v>6.9551744124068476E-2</v>
      </c>
      <c r="AT226" s="98">
        <f>IF(INDEX(lmic_raw_lb[],MATCH($A226,lmic_raw_lb[[setting]:[setting]],0), MATCH(AT$139, lmic_raw_lb[#Headers],0))=0, INDEX(regions_lb[], MATCH($D226, regions_lb[[setting]:[setting]],0), MATCH(AT$139, regions_lb[#Headers],0)),INDEX(lmic_raw_lb[],MATCH($A226,lmic_raw_lb[[setting]:[setting]],0), MATCH(AT$139, lmic_raw_lb[#Headers],0)))</f>
        <v>0.10197397665093527</v>
      </c>
      <c r="AU226" s="98">
        <f>IF(INDEX(lmic_raw_lb[],MATCH($A226,lmic_raw_lb[[setting]:[setting]],0), MATCH(AU$139, lmic_raw_lb[#Headers],0))=0, INDEX(regions_lb[], MATCH($D226, regions_lb[[setting]:[setting]],0), MATCH(AU$139, regions_lb[#Headers],0)),INDEX(lmic_raw_lb[],MATCH($A226,lmic_raw_lb[[setting]:[setting]],0), MATCH(AU$139, lmic_raw_lb[#Headers],0)))</f>
        <v>0.13949468516599511</v>
      </c>
      <c r="AV226" s="98">
        <f>IF(INDEX(lmic_raw_lb[],MATCH($A226,lmic_raw_lb[[setting]:[setting]],0), MATCH(AV$139, lmic_raw_lb[#Headers],0))=0, INDEX(regions_lb[], MATCH($D226, regions_lb[[setting]:[setting]],0), MATCH(AV$139, regions_lb[#Headers],0)),INDEX(lmic_raw_lb[],MATCH($A226,lmic_raw_lb[[setting]:[setting]],0), MATCH(AV$139, lmic_raw_lb[#Headers],0)))</f>
        <v>0.16911516525652456</v>
      </c>
      <c r="AW226" s="98">
        <f>IF(INDEX(lmic_raw_lb[],MATCH($A226,lmic_raw_lb[[setting]:[setting]],0), MATCH(AW$139, lmic_raw_lb[#Headers],0))=0, INDEX(regions_lb[], MATCH($D226, regions_lb[[setting]:[setting]],0), MATCH(AW$139, regions_lb[#Headers],0)),INDEX(lmic_raw_lb[],MATCH($A226,lmic_raw_lb[[setting]:[setting]],0), MATCH(AW$139, lmic_raw_lb[#Headers],0)))</f>
        <v>0.17910810637073443</v>
      </c>
      <c r="AX226" s="98">
        <f>IF(INDEX(lmic_raw_lb[],MATCH($A226,lmic_raw_lb[[setting]:[setting]],0), MATCH(AX$139, lmic_raw_lb[#Headers],0))=0, INDEX(regions_lb[], MATCH($D226, regions_lb[[setting]:[setting]],0), MATCH(AX$139, regions_lb[#Headers],0)),INDEX(lmic_raw_lb[],MATCH($A226,lmic_raw_lb[[setting]:[setting]],0), MATCH(AX$139, lmic_raw_lb[#Headers],0)))</f>
        <v>59.872799999999998</v>
      </c>
      <c r="AY226" s="98" t="str">
        <f>IF(VLOOKUP(lmics_lb[[#This Row],[setting]],lmic_raw_lb[],11,FALSE)=0, "Yes", "No")</f>
        <v>No</v>
      </c>
    </row>
    <row r="227" spans="1:51" x14ac:dyDescent="0.25">
      <c r="A227" s="110" t="s">
        <v>291</v>
      </c>
      <c r="B227" s="104" t="s">
        <v>479</v>
      </c>
      <c r="C227" s="105">
        <v>520</v>
      </c>
      <c r="D227" s="84" t="s">
        <v>681</v>
      </c>
      <c r="E227" s="122" t="s">
        <v>98</v>
      </c>
      <c r="F227" s="94" t="s">
        <v>666</v>
      </c>
      <c r="G227" s="94" t="s">
        <v>676</v>
      </c>
      <c r="H227" s="94"/>
      <c r="I227" s="94"/>
      <c r="J227" s="94">
        <f>IF(INDEX(lmic_raw_lb[],MATCH($A227,lmic_raw_lb[[setting]:[setting]],0), MATCH(J$139, lmic_raw_lb[#Headers],0))=0, INDEX(regions_lb[], MATCH($D227, regions_lb[[setting]:[setting]],0), MATCH(J$139, regions_lb[#Headers],0)),INDEX(lmic_raw_lb[],MATCH($A227,lmic_raw_lb[[setting]:[setting]],0), MATCH(J$139, lmic_raw_lb[#Headers],0)))</f>
        <v>0.93764999999999998</v>
      </c>
      <c r="K227" s="94">
        <f>IF(INDEX(lmic_raw_lb[],MATCH($A227,lmic_raw_lb[[setting]:[setting]],0), MATCH(K$139, lmic_raw_lb[#Headers],0))=0, INDEX(regions_lb[], MATCH($D227, regions_lb[[setting]:[setting]],0), MATCH(K$139, regions_lb[#Headers],0)),INDEX(lmic_raw_lb[],MATCH($A227,lmic_raw_lb[[setting]:[setting]],0), MATCH(K$139, lmic_raw_lb[#Headers],0)))</f>
        <v>0.9405</v>
      </c>
      <c r="L227" s="94">
        <f>IF(INDEX(lmic_raw_lb[],MATCH($A227,lmic_raw_lb[[setting]:[setting]],0), MATCH(L$139, lmic_raw_lb[#Headers],0))=0, INDEX(regions_lb[], MATCH($D227, regions_lb[[setting]:[setting]],0), MATCH(L$139, regions_lb[#Headers],0)),INDEX(lmic_raw_lb[],MATCH($A227,lmic_raw_lb[[setting]:[setting]],0), MATCH(L$139, lmic_raw_lb[#Headers],0)))</f>
        <v>0.91199999999999992</v>
      </c>
      <c r="M227" s="94">
        <f>IF(INDEX(lmic_raw_lb[],MATCH($A227,lmic_raw_lb[[setting]:[setting]],0), MATCH(M$139, lmic_raw_lb[#Headers],0))=0, INDEX(regions_lb[], MATCH($D227, regions_lb[[setting]:[setting]],0), MATCH(M$139, regions_lb[#Headers],0)),INDEX(lmic_raw_lb[],MATCH($A227,lmic_raw_lb[[setting]:[setting]],0), MATCH(M$139, lmic_raw_lb[#Headers],0)))</f>
        <v>9.9600000000000008E-2</v>
      </c>
      <c r="N227" s="94">
        <f>IF(INDEX(lmic_raw_lb[],MATCH($A227,lmic_raw_lb[[setting]:[setting]],0), MATCH(N$139, lmic_raw_lb[#Headers],0))=0, INDEX(regions_lb[], MATCH($D227, regions_lb[[setting]:[setting]],0), MATCH(N$139, regions_lb[#Headers],0)),INDEX(lmic_raw_lb[],MATCH($A227,lmic_raw_lb[[setting]:[setting]],0), MATCH(N$139, lmic_raw_lb[#Headers],0)))</f>
        <v>0.18307877472872686</v>
      </c>
      <c r="O227" s="94">
        <f>IF(INDEX(lmic_raw_lb[],MATCH($A227,lmic_raw_lb[[setting]:[setting]],0), MATCH(O$139, lmic_raw_lb[#Headers],0))=0, INDEX(regions_lb[], MATCH($D227, regions_lb[[setting]:[setting]],0), MATCH(O$139, regions_lb[#Headers],0)),INDEX(lmic_raw_lb[],MATCH($A227,lmic_raw_lb[[setting]:[setting]],0), MATCH(O$139, lmic_raw_lb[#Headers],0)))</f>
        <v>0.7</v>
      </c>
      <c r="P227" s="94">
        <f>IF(INDEX(lmic_raw_lb[],MATCH($A227,lmic_raw_lb[[setting]:[setting]],0), MATCH(P$139, lmic_raw_lb[#Headers],0))=0, INDEX(regions_lb[], MATCH($D227, regions_lb[[setting]:[setting]],0), MATCH(P$139, regions_lb[#Headers],0)),INDEX(lmic_raw_lb[],MATCH($A227,lmic_raw_lb[[setting]:[setting]],0), MATCH(P$139, lmic_raw_lb[#Headers],0)))</f>
        <v>0.05</v>
      </c>
      <c r="Q227" s="94">
        <f>IF(INDEX(lmic_raw_lb[],MATCH($A227,lmic_raw_lb[[setting]:[setting]],0), MATCH(Q$139, lmic_raw_lb[#Headers],0))=0, INDEX(regions_lb[], MATCH($D227, regions_lb[[setting]:[setting]],0), MATCH(Q$139, regions_lb[#Headers],0)),INDEX(lmic_raw_lb[],MATCH($A227,lmic_raw_lb[[setting]:[setting]],0), MATCH(Q$139, lmic_raw_lb[#Headers],0)))</f>
        <v>5.7727231412443754</v>
      </c>
      <c r="R227" s="94">
        <f>IF(INDEX(lmic_raw_lb[],MATCH($A227,lmic_raw_lb[[setting]:[setting]],0), MATCH(R$139, lmic_raw_lb[#Headers],0))=0, INDEX(regions_lb[], MATCH($D227, regions_lb[[setting]:[setting]],0), MATCH(R$139, regions_lb[#Headers],0)),INDEX(lmic_raw_lb[],MATCH($A227,lmic_raw_lb[[setting]:[setting]],0), MATCH(R$139, lmic_raw_lb[#Headers],0)))</f>
        <v>69.430275000000009</v>
      </c>
      <c r="S227" s="94">
        <f>IF(INDEX(lmic_raw_lb[],MATCH($A227,lmic_raw_lb[[setting]:[setting]],0), MATCH(S$139, lmic_raw_lb[#Headers],0))=0, INDEX(regions_lb[], MATCH($D227, regions_lb[[setting]:[setting]],0), MATCH(S$139, regions_lb[#Headers],0)),INDEX(lmic_raw_lb[],MATCH($A227,lmic_raw_lb[[setting]:[setting]],0), MATCH(S$139, lmic_raw_lb[#Headers],0)))</f>
        <v>114.785175</v>
      </c>
      <c r="T227" s="94">
        <f>IF(INDEX(lmic_raw_lb[],MATCH($A227,lmic_raw_lb[[setting]:[setting]],0), MATCH(T$139, lmic_raw_lb[#Headers],0))=0, INDEX(regions_lb[], MATCH($D227, regions_lb[[setting]:[setting]],0), MATCH(T$139, regions_lb[#Headers],0)),INDEX(lmic_raw_lb[],MATCH($A227,lmic_raw_lb[[setting]:[setting]],0), MATCH(T$139, lmic_raw_lb[#Headers],0)))</f>
        <v>114.785175</v>
      </c>
      <c r="U227" s="94">
        <f>IF(INDEX(lmic_raw_lb[],MATCH($A227,lmic_raw_lb[[setting]:[setting]],0), MATCH(U$139, lmic_raw_lb[#Headers],0))=0, INDEX(regions_lb[], MATCH($D227, regions_lb[[setting]:[setting]],0), MATCH(U$139, regions_lb[#Headers],0)),INDEX(lmic_raw_lb[],MATCH($A227,lmic_raw_lb[[setting]:[setting]],0), MATCH(U$139, lmic_raw_lb[#Headers],0)))</f>
        <v>114.785175</v>
      </c>
      <c r="V227" s="94">
        <f>IF(INDEX(lmic_raw_lb[],MATCH($A227,lmic_raw_lb[[setting]:[setting]],0), MATCH(V$139, lmic_raw_lb[#Headers],0))=0, INDEX(regions_lb[], MATCH($D227, regions_lb[[setting]:[setting]],0), MATCH(V$139, regions_lb[#Headers],0)),INDEX(lmic_raw_lb[],MATCH($A227,lmic_raw_lb[[setting]:[setting]],0), MATCH(V$139, lmic_raw_lb[#Headers],0)))</f>
        <v>0.39006053630933185</v>
      </c>
      <c r="W227" s="94">
        <f>IF(INDEX(lmic_raw_lb[],MATCH($A227,lmic_raw_lb[[setting]:[setting]],0), MATCH(W$139, lmic_raw_lb[#Headers],0))=0, INDEX(regions_lb[], MATCH($D227, regions_lb[[setting]:[setting]],0), MATCH(W$139, regions_lb[#Headers],0)),INDEX(lmic_raw_lb[],MATCH($A227,lmic_raw_lb[[setting]:[setting]],0), MATCH(W$139, lmic_raw_lb[#Headers],0)))</f>
        <v>0.99065053630933186</v>
      </c>
      <c r="X227" s="94">
        <f>IF(INDEX(lmic_raw_lb[],MATCH($A227,lmic_raw_lb[[setting]:[setting]],0), MATCH(X$139, lmic_raw_lb[#Headers],0))=0, INDEX(regions_lb[], MATCH($D227, regions_lb[[setting]:[setting]],0), MATCH(X$139, regions_lb[#Headers],0)),INDEX(lmic_raw_lb[],MATCH($A227,lmic_raw_lb[[setting]:[setting]],0), MATCH(X$139, lmic_raw_lb[#Headers],0)))</f>
        <v>1.6493260695402381E-2</v>
      </c>
      <c r="Y227" s="94">
        <f>IF(INDEX(lmic_raw_lb[],MATCH($A227,lmic_raw_lb[[setting]:[setting]],0), MATCH(Y$139, lmic_raw_lb[#Headers],0))=0, INDEX(regions_lb[], MATCH($D227, regions_lb[[setting]:[setting]],0), MATCH(Y$139, regions_lb[#Headers],0)),INDEX(lmic_raw_lb[],MATCH($A227,lmic_raw_lb[[setting]:[setting]],0), MATCH(Y$139, lmic_raw_lb[#Headers],0)))</f>
        <v>0.61708326069540231</v>
      </c>
      <c r="Z227" s="94">
        <f>IF(INDEX(lmic_raw_lb[],MATCH($A227,lmic_raw_lb[[setting]:[setting]],0), MATCH(Z$139, lmic_raw_lb[#Headers],0))=0, INDEX(regions_lb[], MATCH($D227, regions_lb[[setting]:[setting]],0), MATCH(Z$139, regions_lb[#Headers],0)),INDEX(lmic_raw_lb[],MATCH($A227,lmic_raw_lb[[setting]:[setting]],0), MATCH(Z$139, lmic_raw_lb[#Headers],0)))</f>
        <v>0.61001598499757248</v>
      </c>
      <c r="AA227" s="94">
        <f>IF(INDEX(lmic_raw_lb[],MATCH($A227,lmic_raw_lb[[setting]:[setting]],0), MATCH(AA$139, lmic_raw_lb[#Headers],0))=0, INDEX(regions_lb[], MATCH($D227, regions_lb[[setting]:[setting]],0), MATCH(AA$139, regions_lb[#Headers],0)),INDEX(lmic_raw_lb[],MATCH($A227,lmic_raw_lb[[setting]:[setting]],0), MATCH(AA$139, lmic_raw_lb[#Headers],0)))</f>
        <v>0.60480232895094221</v>
      </c>
      <c r="AB227" s="94">
        <f>IF(INDEX(lmic_raw_lb[],MATCH($A227,lmic_raw_lb[[setting]:[setting]],0), MATCH(AB$139, lmic_raw_lb[#Headers],0))=0, INDEX(regions_lb[], MATCH($D227, regions_lb[[setting]:[setting]],0), MATCH(AB$139, regions_lb[#Headers],0)),INDEX(lmic_raw_lb[],MATCH($A227,lmic_raw_lb[[setting]:[setting]],0), MATCH(AB$139, lmic_raw_lb[#Headers],0)))</f>
        <v>1.2053923289509423</v>
      </c>
      <c r="AC227" s="94">
        <f>IF(INDEX(lmic_raw_lb[],MATCH($A227,lmic_raw_lb[[setting]:[setting]],0), MATCH(AC$139, lmic_raw_lb[#Headers],0))=0, INDEX(regions_lb[], MATCH($D227, regions_lb[[setting]:[setting]],0), MATCH(AC$139, regions_lb[#Headers],0)),INDEX(lmic_raw_lb[],MATCH($A227,lmic_raw_lb[[setting]:[setting]],0), MATCH(AC$139, lmic_raw_lb[#Headers],0)))</f>
        <v>1.1507390868381481E-2</v>
      </c>
      <c r="AD227" s="94">
        <f>IF(INDEX(lmic_raw_lb[],MATCH($A227,lmic_raw_lb[[setting]:[setting]],0), MATCH(AD$139, lmic_raw_lb[#Headers],0))=0, INDEX(regions_lb[], MATCH($D227, regions_lb[[setting]:[setting]],0), MATCH(AD$139, regions_lb[#Headers],0)),INDEX(lmic_raw_lb[],MATCH($A227,lmic_raw_lb[[setting]:[setting]],0), MATCH(AD$139, lmic_raw_lb[#Headers],0)))</f>
        <v>6.4229433698983389E-4</v>
      </c>
      <c r="AE227" s="94">
        <f>IF(INDEX(lmic_raw_lb[],MATCH($A227,lmic_raw_lb[[setting]:[setting]],0), MATCH(AE$139, lmic_raw_lb[#Headers],0))=0, INDEX(regions_lb[], MATCH($D227, regions_lb[[setting]:[setting]],0), MATCH(AE$139, regions_lb[#Headers],0)),INDEX(lmic_raw_lb[],MATCH($A227,lmic_raw_lb[[setting]:[setting]],0), MATCH(AE$139, lmic_raw_lb[#Headers],0)))</f>
        <v>3.71274097649877E-4</v>
      </c>
      <c r="AF227" s="94">
        <f>IF(INDEX(lmic_raw_lb[],MATCH($A227,lmic_raw_lb[[setting]:[setting]],0), MATCH(AF$139, lmic_raw_lb[#Headers],0))=0, INDEX(regions_lb[], MATCH($D227, regions_lb[[setting]:[setting]],0), MATCH(AF$139, regions_lb[#Headers],0)),INDEX(lmic_raw_lb[],MATCH($A227,lmic_raw_lb[[setting]:[setting]],0), MATCH(AF$139, lmic_raw_lb[#Headers],0)))</f>
        <v>2.9243063494576338E-4</v>
      </c>
      <c r="AG227" s="94">
        <f>IF(INDEX(lmic_raw_lb[],MATCH($A227,lmic_raw_lb[[setting]:[setting]],0), MATCH(AG$139, lmic_raw_lb[#Headers],0))=0, INDEX(regions_lb[], MATCH($D227, regions_lb[[setting]:[setting]],0), MATCH(AG$139, regions_lb[#Headers],0)),INDEX(lmic_raw_lb[],MATCH($A227,lmic_raw_lb[[setting]:[setting]],0), MATCH(AG$139, lmic_raw_lb[#Headers],0)))</f>
        <v>4.6497132841182947E-4</v>
      </c>
      <c r="AH227" s="94">
        <f>IF(INDEX(lmic_raw_lb[],MATCH($A227,lmic_raw_lb[[setting]:[setting]],0), MATCH(AH$139, lmic_raw_lb[#Headers],0))=0, INDEX(regions_lb[], MATCH($D227, regions_lb[[setting]:[setting]],0), MATCH(AH$139, regions_lb[#Headers],0)),INDEX(lmic_raw_lb[],MATCH($A227,lmic_raw_lb[[setting]:[setting]],0), MATCH(AH$139, lmic_raw_lb[#Headers],0)))</f>
        <v>6.469164862597487E-4</v>
      </c>
      <c r="AI227" s="94">
        <f>IF(INDEX(lmic_raw_lb[],MATCH($A227,lmic_raw_lb[[setting]:[setting]],0), MATCH(AI$139, lmic_raw_lb[#Headers],0))=0, INDEX(regions_lb[], MATCH($D227, regions_lb[[setting]:[setting]],0), MATCH(AI$139, regions_lb[#Headers],0)),INDEX(lmic_raw_lb[],MATCH($A227,lmic_raw_lb[[setting]:[setting]],0), MATCH(AI$139, lmic_raw_lb[#Headers],0)))</f>
        <v>8.0772691414096294E-4</v>
      </c>
      <c r="AJ227" s="94">
        <f>IF(INDEX(lmic_raw_lb[],MATCH($A227,lmic_raw_lb[[setting]:[setting]],0), MATCH(AJ$139, lmic_raw_lb[#Headers],0))=0, INDEX(regions_lb[], MATCH($D227, regions_lb[[setting]:[setting]],0), MATCH(AJ$139, regions_lb[#Headers],0)),INDEX(lmic_raw_lb[],MATCH($A227,lmic_raw_lb[[setting]:[setting]],0), MATCH(AJ$139, lmic_raw_lb[#Headers],0)))</f>
        <v>1.0054909339798793E-3</v>
      </c>
      <c r="AK227" s="94">
        <f>IF(INDEX(lmic_raw_lb[],MATCH($A227,lmic_raw_lb[[setting]:[setting]],0), MATCH(AK$139, lmic_raw_lb[#Headers],0))=0, INDEX(regions_lb[], MATCH($D227, regions_lb[[setting]:[setting]],0), MATCH(AK$139, regions_lb[#Headers],0)),INDEX(lmic_raw_lb[],MATCH($A227,lmic_raw_lb[[setting]:[setting]],0), MATCH(AK$139, lmic_raw_lb[#Headers],0)))</f>
        <v>1.2915528273650496E-3</v>
      </c>
      <c r="AL227" s="94">
        <f>IF(INDEX(lmic_raw_lb[],MATCH($A227,lmic_raw_lb[[setting]:[setting]],0), MATCH(AL$139, lmic_raw_lb[#Headers],0))=0, INDEX(regions_lb[], MATCH($D227, regions_lb[[setting]:[setting]],0), MATCH(AL$139, regions_lb[#Headers],0)),INDEX(lmic_raw_lb[],MATCH($A227,lmic_raw_lb[[setting]:[setting]],0), MATCH(AL$139, lmic_raw_lb[#Headers],0)))</f>
        <v>1.8179999544319203E-3</v>
      </c>
      <c r="AM227" s="94">
        <f>IF(INDEX(lmic_raw_lb[],MATCH($A227,lmic_raw_lb[[setting]:[setting]],0), MATCH(AM$139, lmic_raw_lb[#Headers],0))=0, INDEX(regions_lb[], MATCH($D227, regions_lb[[setting]:[setting]],0), MATCH(AM$139, regions_lb[#Headers],0)),INDEX(lmic_raw_lb[],MATCH($A227,lmic_raw_lb[[setting]:[setting]],0), MATCH(AM$139, lmic_raw_lb[#Headers],0)))</f>
        <v>2.6646480782829374E-3</v>
      </c>
      <c r="AN227" s="94">
        <f>IF(INDEX(lmic_raw_lb[],MATCH($A227,lmic_raw_lb[[setting]:[setting]],0), MATCH(AN$139, lmic_raw_lb[#Headers],0))=0, INDEX(regions_lb[], MATCH($D227, regions_lb[[setting]:[setting]],0), MATCH(AN$139, regions_lb[#Headers],0)),INDEX(lmic_raw_lb[],MATCH($A227,lmic_raw_lb[[setting]:[setting]],0), MATCH(AN$139, lmic_raw_lb[#Headers],0)))</f>
        <v>4.2438289474617894E-3</v>
      </c>
      <c r="AO227" s="94">
        <f>IF(INDEX(lmic_raw_lb[],MATCH($A227,lmic_raw_lb[[setting]:[setting]],0), MATCH(AO$139, lmic_raw_lb[#Headers],0))=0, INDEX(regions_lb[], MATCH($D227, regions_lb[[setting]:[setting]],0), MATCH(AO$139, regions_lb[#Headers],0)),INDEX(lmic_raw_lb[],MATCH($A227,lmic_raw_lb[[setting]:[setting]],0), MATCH(AO$139, lmic_raw_lb[#Headers],0)))</f>
        <v>6.7918976984977465E-3</v>
      </c>
      <c r="AP227" s="94">
        <f>IF(INDEX(lmic_raw_lb[],MATCH($A227,lmic_raw_lb[[setting]:[setting]],0), MATCH(AP$139, lmic_raw_lb[#Headers],0))=0, INDEX(regions_lb[], MATCH($D227, regions_lb[[setting]:[setting]],0), MATCH(AP$139, regions_lb[#Headers],0)),INDEX(lmic_raw_lb[],MATCH($A227,lmic_raw_lb[[setting]:[setting]],0), MATCH(AP$139, lmic_raw_lb[#Headers],0)))</f>
        <v>1.1516697256113893E-2</v>
      </c>
      <c r="AQ227" s="94">
        <f>IF(INDEX(lmic_raw_lb[],MATCH($A227,lmic_raw_lb[[setting]:[setting]],0), MATCH(AQ$139, lmic_raw_lb[#Headers],0))=0, INDEX(regions_lb[], MATCH($D227, regions_lb[[setting]:[setting]],0), MATCH(AQ$139, regions_lb[#Headers],0)),INDEX(lmic_raw_lb[],MATCH($A227,lmic_raw_lb[[setting]:[setting]],0), MATCH(AQ$139, lmic_raw_lb[#Headers],0)))</f>
        <v>1.9364389154973488E-2</v>
      </c>
      <c r="AR227" s="94">
        <f>IF(INDEX(lmic_raw_lb[],MATCH($A227,lmic_raw_lb[[setting]:[setting]],0), MATCH(AR$139, lmic_raw_lb[#Headers],0))=0, INDEX(regions_lb[], MATCH($D227, regions_lb[[setting]:[setting]],0), MATCH(AR$139, regions_lb[#Headers],0)),INDEX(lmic_raw_lb[],MATCH($A227,lmic_raw_lb[[setting]:[setting]],0), MATCH(AR$139, lmic_raw_lb[#Headers],0)))</f>
        <v>3.2698337226517778E-2</v>
      </c>
      <c r="AS227" s="94">
        <f>IF(INDEX(lmic_raw_lb[],MATCH($A227,lmic_raw_lb[[setting]:[setting]],0), MATCH(AS$139, lmic_raw_lb[#Headers],0))=0, INDEX(regions_lb[], MATCH($D227, regions_lb[[setting]:[setting]],0), MATCH(AS$139, regions_lb[#Headers],0)),INDEX(lmic_raw_lb[],MATCH($A227,lmic_raw_lb[[setting]:[setting]],0), MATCH(AS$139, lmic_raw_lb[#Headers],0)))</f>
        <v>5.1171751447892391E-2</v>
      </c>
      <c r="AT227" s="94">
        <f>IF(INDEX(lmic_raw_lb[],MATCH($A227,lmic_raw_lb[[setting]:[setting]],0), MATCH(AT$139, lmic_raw_lb[#Headers],0))=0, INDEX(regions_lb[], MATCH($D227, regions_lb[[setting]:[setting]],0), MATCH(AT$139, regions_lb[#Headers],0)),INDEX(lmic_raw_lb[],MATCH($A227,lmic_raw_lb[[setting]:[setting]],0), MATCH(AT$139, lmic_raw_lb[#Headers],0)))</f>
        <v>7.2980537448630436E-2</v>
      </c>
      <c r="AU227" s="94">
        <f>IF(INDEX(lmic_raw_lb[],MATCH($A227,lmic_raw_lb[[setting]:[setting]],0), MATCH(AU$139, lmic_raw_lb[#Headers],0))=0, INDEX(regions_lb[], MATCH($D227, regions_lb[[setting]:[setting]],0), MATCH(AU$139, regions_lb[#Headers],0)),INDEX(lmic_raw_lb[],MATCH($A227,lmic_raw_lb[[setting]:[setting]],0), MATCH(AU$139, lmic_raw_lb[#Headers],0)))</f>
        <v>0.10060939502198542</v>
      </c>
      <c r="AV227" s="94">
        <f>IF(INDEX(lmic_raw_lb[],MATCH($A227,lmic_raw_lb[[setting]:[setting]],0), MATCH(AV$139, lmic_raw_lb[#Headers],0))=0, INDEX(regions_lb[], MATCH($D227, regions_lb[[setting]:[setting]],0), MATCH(AV$139, regions_lb[#Headers],0)),INDEX(lmic_raw_lb[],MATCH($A227,lmic_raw_lb[[setting]:[setting]],0), MATCH(AV$139, lmic_raw_lb[#Headers],0)))</f>
        <v>0.12550463857200858</v>
      </c>
      <c r="AW227" s="94">
        <f>IF(INDEX(lmic_raw_lb[],MATCH($A227,lmic_raw_lb[[setting]:[setting]],0), MATCH(AW$139, lmic_raw_lb[#Headers],0))=0, INDEX(regions_lb[], MATCH($D227, regions_lb[[setting]:[setting]],0), MATCH(AW$139, regions_lb[#Headers],0)),INDEX(lmic_raw_lb[],MATCH($A227,lmic_raw_lb[[setting]:[setting]],0), MATCH(AW$139, lmic_raw_lb[#Headers],0)))</f>
        <v>0.14642284490897409</v>
      </c>
      <c r="AX227" s="94">
        <f>IF(INDEX(lmic_raw_lb[],MATCH($A227,lmic_raw_lb[[setting]:[setting]],0), MATCH(AX$139, lmic_raw_lb[#Headers],0))=0, INDEX(regions_lb[], MATCH($D227, regions_lb[[setting]:[setting]],0), MATCH(AX$139, regions_lb[#Headers],0)),INDEX(lmic_raw_lb[],MATCH($A227,lmic_raw_lb[[setting]:[setting]],0), MATCH(AX$139, lmic_raw_lb[#Headers],0)))</f>
        <v>71.808590600984175</v>
      </c>
      <c r="AY227" s="94" t="str">
        <f>IF(VLOOKUP(lmics_lb[[#This Row],[setting]],lmic_raw_lb[],11,FALSE)=0, "Yes", "No")</f>
        <v>No</v>
      </c>
    </row>
    <row r="228" spans="1:51" x14ac:dyDescent="0.25">
      <c r="A228" s="109" t="s">
        <v>197</v>
      </c>
      <c r="B228" s="101" t="s">
        <v>480</v>
      </c>
      <c r="C228" s="102">
        <v>524</v>
      </c>
      <c r="D228" s="82" t="s">
        <v>680</v>
      </c>
      <c r="E228" s="121" t="s">
        <v>589</v>
      </c>
      <c r="F228" s="98" t="s">
        <v>589</v>
      </c>
      <c r="G228" s="98" t="s">
        <v>674</v>
      </c>
      <c r="H228" s="98"/>
      <c r="I228" s="98"/>
      <c r="J228" s="98">
        <f>IF(INDEX(lmic_raw_lb[],MATCH($A228,lmic_raw_lb[[setting]:[setting]],0), MATCH(J$139, lmic_raw_lb[#Headers],0))=0, INDEX(regions_lb[], MATCH($D228, regions_lb[[setting]:[setting]],0), MATCH(J$139, regions_lb[#Headers],0)),INDEX(lmic_raw_lb[],MATCH($A228,lmic_raw_lb[[setting]:[setting]],0), MATCH(J$139, lmic_raw_lb[#Headers],0)))</f>
        <v>0.5452999999999999</v>
      </c>
      <c r="K228" s="98">
        <f>IF(INDEX(lmic_raw_lb[],MATCH($A228,lmic_raw_lb[[setting]:[setting]],0), MATCH(K$139, lmic_raw_lb[#Headers],0))=0, INDEX(regions_lb[], MATCH($D228, regions_lb[[setting]:[setting]],0), MATCH(K$139, regions_lb[#Headers],0)),INDEX(lmic_raw_lb[],MATCH($A228,lmic_raw_lb[[setting]:[setting]],0), MATCH(K$139, lmic_raw_lb[#Headers],0)))</f>
        <v>0.57649863203958862</v>
      </c>
      <c r="L228" s="98">
        <f>IF(INDEX(lmic_raw_lb[],MATCH($A228,lmic_raw_lb[[setting]:[setting]],0), MATCH(L$139, lmic_raw_lb[#Headers],0))=0, INDEX(regions_lb[], MATCH($D228, regions_lb[[setting]:[setting]],0), MATCH(L$139, regions_lb[#Headers],0)),INDEX(lmic_raw_lb[],MATCH($A228,lmic_raw_lb[[setting]:[setting]],0), MATCH(L$139, lmic_raw_lb[#Headers],0)))</f>
        <v>0.88349999999999995</v>
      </c>
      <c r="M228" s="98">
        <f>IF(INDEX(lmic_raw_lb[],MATCH($A228,lmic_raw_lb[[setting]:[setting]],0), MATCH(M$139, lmic_raw_lb[#Headers],0))=0, INDEX(regions_lb[], MATCH($D228, regions_lb[[setting]:[setting]],0), MATCH(M$139, regions_lb[#Headers],0)),INDEX(lmic_raw_lb[],MATCH($A228,lmic_raw_lb[[setting]:[setting]],0), MATCH(M$139, lmic_raw_lb[#Headers],0)))</f>
        <v>6.6E-3</v>
      </c>
      <c r="N228" s="98">
        <f>IF(INDEX(lmic_raw_lb[],MATCH($A228,lmic_raw_lb[[setting]:[setting]],0), MATCH(N$139, lmic_raw_lb[#Headers],0))=0, INDEX(regions_lb[], MATCH($D228, regions_lb[[setting]:[setting]],0), MATCH(N$139, regions_lb[#Headers],0)),INDEX(lmic_raw_lb[],MATCH($A228,lmic_raw_lb[[setting]:[setting]],0), MATCH(N$139, lmic_raw_lb[#Headers],0)))</f>
        <v>0.1482</v>
      </c>
      <c r="O228" s="98">
        <f>IF(INDEX(lmic_raw_lb[],MATCH($A228,lmic_raw_lb[[setting]:[setting]],0), MATCH(O$139, lmic_raw_lb[#Headers],0))=0, INDEX(regions_lb[], MATCH($D228, regions_lb[[setting]:[setting]],0), MATCH(O$139, regions_lb[#Headers],0)),INDEX(lmic_raw_lb[],MATCH($A228,lmic_raw_lb[[setting]:[setting]],0), MATCH(O$139, lmic_raw_lb[#Headers],0)))</f>
        <v>0.7</v>
      </c>
      <c r="P228" s="98">
        <f>IF(INDEX(lmic_raw_lb[],MATCH($A228,lmic_raw_lb[[setting]:[setting]],0), MATCH(P$139, lmic_raw_lb[#Headers],0))=0, INDEX(regions_lb[], MATCH($D228, regions_lb[[setting]:[setting]],0), MATCH(P$139, regions_lb[#Headers],0)),INDEX(lmic_raw_lb[],MATCH($A228,lmic_raw_lb[[setting]:[setting]],0), MATCH(P$139, lmic_raw_lb[#Headers],0)))</f>
        <v>0.05</v>
      </c>
      <c r="Q228" s="98">
        <f>IF(INDEX(lmic_raw_lb[],MATCH($A228,lmic_raw_lb[[setting]:[setting]],0), MATCH(Q$139, lmic_raw_lb[#Headers],0))=0, INDEX(regions_lb[], MATCH($D228, regions_lb[[setting]:[setting]],0), MATCH(Q$139, regions_lb[#Headers],0)),INDEX(lmic_raw_lb[],MATCH($A228,lmic_raw_lb[[setting]:[setting]],0), MATCH(Q$139, lmic_raw_lb[#Headers],0)))</f>
        <v>2.5704534086915767</v>
      </c>
      <c r="R228" s="98">
        <f>IF(INDEX(lmic_raw_lb[],MATCH($A228,lmic_raw_lb[[setting]:[setting]],0), MATCH(R$139, lmic_raw_lb[#Headers],0))=0, INDEX(regions_lb[], MATCH($D228, regions_lb[[setting]:[setting]],0), MATCH(R$139, regions_lb[#Headers],0)),INDEX(lmic_raw_lb[],MATCH($A228,lmic_raw_lb[[setting]:[setting]],0), MATCH(R$139, lmic_raw_lb[#Headers],0)))</f>
        <v>43.604905000000002</v>
      </c>
      <c r="S228" s="98">
        <f>IF(INDEX(lmic_raw_lb[],MATCH($A228,lmic_raw_lb[[setting]:[setting]],0), MATCH(S$139, lmic_raw_lb[#Headers],0))=0, INDEX(regions_lb[], MATCH($D228, regions_lb[[setting]:[setting]],0), MATCH(S$139, regions_lb[#Headers],0)),INDEX(lmic_raw_lb[],MATCH($A228,lmic_raw_lb[[setting]:[setting]],0), MATCH(S$139, lmic_raw_lb[#Headers],0)))</f>
        <v>88.959805000000003</v>
      </c>
      <c r="T228" s="98">
        <f>IF(INDEX(lmic_raw_lb[],MATCH($A228,lmic_raw_lb[[setting]:[setting]],0), MATCH(T$139, lmic_raw_lb[#Headers],0))=0, INDEX(regions_lb[], MATCH($D228, regions_lb[[setting]:[setting]],0), MATCH(T$139, regions_lb[#Headers],0)),INDEX(lmic_raw_lb[],MATCH($A228,lmic_raw_lb[[setting]:[setting]],0), MATCH(T$139, lmic_raw_lb[#Headers],0)))</f>
        <v>88.959805000000003</v>
      </c>
      <c r="U228" s="98">
        <f>IF(INDEX(lmic_raw_lb[],MATCH($A228,lmic_raw_lb[[setting]:[setting]],0), MATCH(U$139, lmic_raw_lb[#Headers],0))=0, INDEX(regions_lb[], MATCH($D228, regions_lb[[setting]:[setting]],0), MATCH(U$139, regions_lb[#Headers],0)),INDEX(lmic_raw_lb[],MATCH($A228,lmic_raw_lb[[setting]:[setting]],0), MATCH(U$139, lmic_raw_lb[#Headers],0)))</f>
        <v>88.959805000000003</v>
      </c>
      <c r="V228" s="98">
        <f>IF(INDEX(lmic_raw_lb[],MATCH($A228,lmic_raw_lb[[setting]:[setting]],0), MATCH(V$139, lmic_raw_lb[#Headers],0))=0, INDEX(regions_lb[], MATCH($D228, regions_lb[[setting]:[setting]],0), MATCH(V$139, regions_lb[#Headers],0)),INDEX(lmic_raw_lb[],MATCH($A228,lmic_raw_lb[[setting]:[setting]],0), MATCH(V$139, lmic_raw_lb[#Headers],0)))</f>
        <v>1.1850954871253119</v>
      </c>
      <c r="W228" s="98">
        <f>IF(INDEX(lmic_raw_lb[],MATCH($A228,lmic_raw_lb[[setting]:[setting]],0), MATCH(W$139, lmic_raw_lb[#Headers],0))=0, INDEX(regions_lb[], MATCH($D228, regions_lb[[setting]:[setting]],0), MATCH(W$139, regions_lb[#Headers],0)),INDEX(lmic_raw_lb[],MATCH($A228,lmic_raw_lb[[setting]:[setting]],0), MATCH(W$139, lmic_raw_lb[#Headers],0)))</f>
        <v>3.5125954871253118</v>
      </c>
      <c r="X228" s="98">
        <f>IF(INDEX(lmic_raw_lb[],MATCH($A228,lmic_raw_lb[[setting]:[setting]],0), MATCH(X$139, lmic_raw_lb[#Headers],0))=0, INDEX(regions_lb[], MATCH($D228, regions_lb[[setting]:[setting]],0), MATCH(X$139, regions_lb[#Headers],0)),INDEX(lmic_raw_lb[],MATCH($A228,lmic_raw_lb[[setting]:[setting]],0), MATCH(X$139, lmic_raw_lb[#Headers],0)))</f>
        <v>0.81921381999892007</v>
      </c>
      <c r="Y228" s="98">
        <f>IF(INDEX(lmic_raw_lb[],MATCH($A228,lmic_raw_lb[[setting]:[setting]],0), MATCH(Y$139, lmic_raw_lb[#Headers],0))=0, INDEX(regions_lb[], MATCH($D228, regions_lb[[setting]:[setting]],0), MATCH(Y$139, regions_lb[#Headers],0)),INDEX(lmic_raw_lb[],MATCH($A228,lmic_raw_lb[[setting]:[setting]],0), MATCH(Y$139, lmic_raw_lb[#Headers],0)))</f>
        <v>3.1467138199989204</v>
      </c>
      <c r="Z228" s="98">
        <f>IF(INDEX(lmic_raw_lb[],MATCH($A228,lmic_raw_lb[[setting]:[setting]],0), MATCH(Z$139, lmic_raw_lb[#Headers],0))=0, INDEX(regions_lb[], MATCH($D228, regions_lb[[setting]:[setting]],0), MATCH(Z$139, regions_lb[#Headers],0)),INDEX(lmic_raw_lb[],MATCH($A228,lmic_raw_lb[[setting]:[setting]],0), MATCH(Z$139, lmic_raw_lb[#Headers],0)))</f>
        <v>3.1442577838071375</v>
      </c>
      <c r="AA228" s="98">
        <f>IF(INDEX(lmic_raw_lb[],MATCH($A228,lmic_raw_lb[[setting]:[setting]],0), MATCH(AA$139, lmic_raw_lb[#Headers],0))=0, INDEX(regions_lb[], MATCH($D228, regions_lb[[setting]:[setting]],0), MATCH(AA$139, regions_lb[#Headers],0)),INDEX(lmic_raw_lb[],MATCH($A228,lmic_raw_lb[[setting]:[setting]],0), MATCH(AA$139, lmic_raw_lb[#Headers],0)))</f>
        <v>1.3965434475579777</v>
      </c>
      <c r="AB228" s="98">
        <f>IF(INDEX(lmic_raw_lb[],MATCH($A228,lmic_raw_lb[[setting]:[setting]],0), MATCH(AB$139, lmic_raw_lb[#Headers],0))=0, INDEX(regions_lb[], MATCH($D228, regions_lb[[setting]:[setting]],0), MATCH(AB$139, regions_lb[#Headers],0)),INDEX(lmic_raw_lb[],MATCH($A228,lmic_raw_lb[[setting]:[setting]],0), MATCH(AB$139, lmic_raw_lb[#Headers],0)))</f>
        <v>3.7240434475579778</v>
      </c>
      <c r="AC228" s="98">
        <f>IF(INDEX(lmic_raw_lb[],MATCH($A228,lmic_raw_lb[[setting]:[setting]],0), MATCH(AC$139, lmic_raw_lb[#Headers],0))=0, INDEX(regions_lb[], MATCH($D228, regions_lb[[setting]:[setting]],0), MATCH(AC$139, regions_lb[#Headers],0)),INDEX(lmic_raw_lb[],MATCH($A228,lmic_raw_lb[[setting]:[setting]],0), MATCH(AC$139, lmic_raw_lb[#Headers],0)))</f>
        <v>2.6545451000000015E-2</v>
      </c>
      <c r="AD228" s="98">
        <f>IF(INDEX(lmic_raw_lb[],MATCH($A228,lmic_raw_lb[[setting]:[setting]],0), MATCH(AD$139, lmic_raw_lb[#Headers],0))=0, INDEX(regions_lb[], MATCH($D228, regions_lb[[setting]:[setting]],0), MATCH(AD$139, regions_lb[#Headers],0)),INDEX(lmic_raw_lb[],MATCH($A228,lmic_raw_lb[[setting]:[setting]],0), MATCH(AD$139, lmic_raw_lb[#Headers],0)))</f>
        <v>1.3909836725489043E-3</v>
      </c>
      <c r="AE228" s="98">
        <f>IF(INDEX(lmic_raw_lb[],MATCH($A228,lmic_raw_lb[[setting]:[setting]],0), MATCH(AE$139, lmic_raw_lb[#Headers],0))=0, INDEX(regions_lb[], MATCH($D228, regions_lb[[setting]:[setting]],0), MATCH(AE$139, regions_lb[#Headers],0)),INDEX(lmic_raw_lb[],MATCH($A228,lmic_raw_lb[[setting]:[setting]],0), MATCH(AE$139, lmic_raw_lb[#Headers],0)))</f>
        <v>5.6747491603321857E-4</v>
      </c>
      <c r="AF228" s="98">
        <f>IF(INDEX(lmic_raw_lb[],MATCH($A228,lmic_raw_lb[[setting]:[setting]],0), MATCH(AF$139, lmic_raw_lb[#Headers],0))=0, INDEX(regions_lb[], MATCH($D228, regions_lb[[setting]:[setting]],0), MATCH(AF$139, regions_lb[#Headers],0)),INDEX(lmic_raw_lb[],MATCH($A228,lmic_raw_lb[[setting]:[setting]],0), MATCH(AF$139, lmic_raw_lb[#Headers],0)))</f>
        <v>4.6501464148559899E-4</v>
      </c>
      <c r="AG228" s="98">
        <f>IF(INDEX(lmic_raw_lb[],MATCH($A228,lmic_raw_lb[[setting]:[setting]],0), MATCH(AG$139, lmic_raw_lb[#Headers],0))=0, INDEX(regions_lb[], MATCH($D228, regions_lb[[setting]:[setting]],0), MATCH(AG$139, regions_lb[#Headers],0)),INDEX(lmic_raw_lb[],MATCH($A228,lmic_raw_lb[[setting]:[setting]],0), MATCH(AG$139, lmic_raw_lb[#Headers],0)))</f>
        <v>8.1649669985534642E-4</v>
      </c>
      <c r="AH228" s="98">
        <f>IF(INDEX(lmic_raw_lb[],MATCH($A228,lmic_raw_lb[[setting]:[setting]],0), MATCH(AH$139, lmic_raw_lb[#Headers],0))=0, INDEX(regions_lb[], MATCH($D228, regions_lb[[setting]:[setting]],0), MATCH(AH$139, regions_lb[#Headers],0)),INDEX(lmic_raw_lb[],MATCH($A228,lmic_raw_lb[[setting]:[setting]],0), MATCH(AH$139, lmic_raw_lb[#Headers],0)))</f>
        <v>1.127915250751052E-3</v>
      </c>
      <c r="AI228" s="98">
        <f>IF(INDEX(lmic_raw_lb[],MATCH($A228,lmic_raw_lb[[setting]:[setting]],0), MATCH(AI$139, lmic_raw_lb[#Headers],0))=0, INDEX(regions_lb[], MATCH($D228, regions_lb[[setting]:[setting]],0), MATCH(AI$139, regions_lb[#Headers],0)),INDEX(lmic_raw_lb[],MATCH($A228,lmic_raw_lb[[setting]:[setting]],0), MATCH(AI$139, lmic_raw_lb[#Headers],0)))</f>
        <v>1.2255917151599524E-3</v>
      </c>
      <c r="AJ228" s="98">
        <f>IF(INDEX(lmic_raw_lb[],MATCH($A228,lmic_raw_lb[[setting]:[setting]],0), MATCH(AJ$139, lmic_raw_lb[#Headers],0))=0, INDEX(regions_lb[], MATCH($D228, regions_lb[[setting]:[setting]],0), MATCH(AJ$139, regions_lb[#Headers],0)),INDEX(lmic_raw_lb[],MATCH($A228,lmic_raw_lb[[setting]:[setting]],0), MATCH(AJ$139, lmic_raw_lb[#Headers],0)))</f>
        <v>1.4428965725559679E-3</v>
      </c>
      <c r="AK228" s="98">
        <f>IF(INDEX(lmic_raw_lb[],MATCH($A228,lmic_raw_lb[[setting]:[setting]],0), MATCH(AK$139, lmic_raw_lb[#Headers],0))=0, INDEX(regions_lb[], MATCH($D228, regions_lb[[setting]:[setting]],0), MATCH(AK$139, regions_lb[#Headers],0)),INDEX(lmic_raw_lb[],MATCH($A228,lmic_raw_lb[[setting]:[setting]],0), MATCH(AK$139, lmic_raw_lb[#Headers],0)))</f>
        <v>1.884744347575717E-3</v>
      </c>
      <c r="AL228" s="98">
        <f>IF(INDEX(lmic_raw_lb[],MATCH($A228,lmic_raw_lb[[setting]:[setting]],0), MATCH(AL$139, lmic_raw_lb[#Headers],0))=0, INDEX(regions_lb[], MATCH($D228, regions_lb[[setting]:[setting]],0), MATCH(AL$139, regions_lb[#Headers],0)),INDEX(lmic_raw_lb[],MATCH($A228,lmic_raw_lb[[setting]:[setting]],0), MATCH(AL$139, lmic_raw_lb[#Headers],0)))</f>
        <v>2.7077414869851909E-3</v>
      </c>
      <c r="AM228" s="98">
        <f>IF(INDEX(lmic_raw_lb[],MATCH($A228,lmic_raw_lb[[setting]:[setting]],0), MATCH(AM$139, lmic_raw_lb[#Headers],0))=0, INDEX(regions_lb[], MATCH($D228, regions_lb[[setting]:[setting]],0), MATCH(AM$139, regions_lb[#Headers],0)),INDEX(lmic_raw_lb[],MATCH($A228,lmic_raw_lb[[setting]:[setting]],0), MATCH(AM$139, lmic_raw_lb[#Headers],0)))</f>
        <v>4.2316656620476041E-3</v>
      </c>
      <c r="AN228" s="98">
        <f>IF(INDEX(lmic_raw_lb[],MATCH($A228,lmic_raw_lb[[setting]:[setting]],0), MATCH(AN$139, lmic_raw_lb[#Headers],0))=0, INDEX(regions_lb[], MATCH($D228, regions_lb[[setting]:[setting]],0), MATCH(AN$139, regions_lb[#Headers],0)),INDEX(lmic_raw_lb[],MATCH($A228,lmic_raw_lb[[setting]:[setting]],0), MATCH(AN$139, lmic_raw_lb[#Headers],0)))</f>
        <v>6.6046061303757803E-3</v>
      </c>
      <c r="AO228" s="98">
        <f>IF(INDEX(lmic_raw_lb[],MATCH($A228,lmic_raw_lb[[setting]:[setting]],0), MATCH(AO$139, lmic_raw_lb[#Headers],0))=0, INDEX(regions_lb[], MATCH($D228, regions_lb[[setting]:[setting]],0), MATCH(AO$139, regions_lb[#Headers],0)),INDEX(lmic_raw_lb[],MATCH($A228,lmic_raw_lb[[setting]:[setting]],0), MATCH(AO$139, lmic_raw_lb[#Headers],0)))</f>
        <v>1.0404027703424728E-2</v>
      </c>
      <c r="AP228" s="98">
        <f>IF(INDEX(lmic_raw_lb[],MATCH($A228,lmic_raw_lb[[setting]:[setting]],0), MATCH(AP$139, lmic_raw_lb[#Headers],0))=0, INDEX(regions_lb[], MATCH($D228, regions_lb[[setting]:[setting]],0), MATCH(AP$139, regions_lb[#Headers],0)),INDEX(lmic_raw_lb[],MATCH($A228,lmic_raw_lb[[setting]:[setting]],0), MATCH(AP$139, lmic_raw_lb[#Headers],0)))</f>
        <v>1.6321855280767666E-2</v>
      </c>
      <c r="AQ228" s="98">
        <f>IF(INDEX(lmic_raw_lb[],MATCH($A228,lmic_raw_lb[[setting]:[setting]],0), MATCH(AQ$139, lmic_raw_lb[#Headers],0))=0, INDEX(regions_lb[], MATCH($D228, regions_lb[[setting]:[setting]],0), MATCH(AQ$139, regions_lb[#Headers],0)),INDEX(lmic_raw_lb[],MATCH($A228,lmic_raw_lb[[setting]:[setting]],0), MATCH(AQ$139, lmic_raw_lb[#Headers],0)))</f>
        <v>2.5898110847068209E-2</v>
      </c>
      <c r="AR228" s="98">
        <f>IF(INDEX(lmic_raw_lb[],MATCH($A228,lmic_raw_lb[[setting]:[setting]],0), MATCH(AR$139, lmic_raw_lb[#Headers],0))=0, INDEX(regions_lb[], MATCH($D228, regions_lb[[setting]:[setting]],0), MATCH(AR$139, regions_lb[#Headers],0)),INDEX(lmic_raw_lb[],MATCH($A228,lmic_raw_lb[[setting]:[setting]],0), MATCH(AR$139, lmic_raw_lb[#Headers],0)))</f>
        <v>4.1048853815573716E-2</v>
      </c>
      <c r="AS228" s="98">
        <f>IF(INDEX(lmic_raw_lb[],MATCH($A228,lmic_raw_lb[[setting]:[setting]],0), MATCH(AS$139, lmic_raw_lb[#Headers],0))=0, INDEX(regions_lb[], MATCH($D228, regions_lb[[setting]:[setting]],0), MATCH(AS$139, regions_lb[#Headers],0)),INDEX(lmic_raw_lb[],MATCH($A228,lmic_raw_lb[[setting]:[setting]],0), MATCH(AS$139, lmic_raw_lb[#Headers],0)))</f>
        <v>6.3434359263953521E-2</v>
      </c>
      <c r="AT228" s="98">
        <f>IF(INDEX(lmic_raw_lb[],MATCH($A228,lmic_raw_lb[[setting]:[setting]],0), MATCH(AT$139, lmic_raw_lb[#Headers],0))=0, INDEX(regions_lb[], MATCH($D228, regions_lb[[setting]:[setting]],0), MATCH(AT$139, regions_lb[#Headers],0)),INDEX(lmic_raw_lb[],MATCH($A228,lmic_raw_lb[[setting]:[setting]],0), MATCH(AT$139, lmic_raw_lb[#Headers],0)))</f>
        <v>9.3705080727038773E-2</v>
      </c>
      <c r="AU228" s="98">
        <f>IF(INDEX(lmic_raw_lb[],MATCH($A228,lmic_raw_lb[[setting]:[setting]],0), MATCH(AU$139, lmic_raw_lb[#Headers],0))=0, INDEX(regions_lb[], MATCH($D228, regions_lb[[setting]:[setting]],0), MATCH(AU$139, regions_lb[#Headers],0)),INDEX(lmic_raw_lb[],MATCH($A228,lmic_raw_lb[[setting]:[setting]],0), MATCH(AU$139, lmic_raw_lb[#Headers],0)))</f>
        <v>0.12635839879288988</v>
      </c>
      <c r="AV228" s="98">
        <f>IF(INDEX(lmic_raw_lb[],MATCH($A228,lmic_raw_lb[[setting]:[setting]],0), MATCH(AV$139, lmic_raw_lb[#Headers],0))=0, INDEX(regions_lb[], MATCH($D228, regions_lb[[setting]:[setting]],0), MATCH(AV$139, regions_lb[#Headers],0)),INDEX(lmic_raw_lb[],MATCH($A228,lmic_raw_lb[[setting]:[setting]],0), MATCH(AV$139, lmic_raw_lb[#Headers],0)))</f>
        <v>0.15313669618889267</v>
      </c>
      <c r="AW228" s="98">
        <f>IF(INDEX(lmic_raw_lb[],MATCH($A228,lmic_raw_lb[[setting]:[setting]],0), MATCH(AW$139, lmic_raw_lb[#Headers],0))=0, INDEX(regions_lb[], MATCH($D228, regions_lb[[setting]:[setting]],0), MATCH(AW$139, regions_lb[#Headers],0)),INDEX(lmic_raw_lb[],MATCH($A228,lmic_raw_lb[[setting]:[setting]],0), MATCH(AW$139, lmic_raw_lb[#Headers],0)))</f>
        <v>0.17039284856014719</v>
      </c>
      <c r="AX228" s="98">
        <f>IF(INDEX(lmic_raw_lb[],MATCH($A228,lmic_raw_lb[[setting]:[setting]],0), MATCH(AX$139, lmic_raw_lb[#Headers],0))=0, INDEX(regions_lb[], MATCH($D228, regions_lb[[setting]:[setting]],0), MATCH(AX$139, regions_lb[#Headers],0)),INDEX(lmic_raw_lb[],MATCH($A228,lmic_raw_lb[[setting]:[setting]],0), MATCH(AX$139, lmic_raw_lb[#Headers],0)))</f>
        <v>66.790700000000001</v>
      </c>
      <c r="AY228" s="98" t="str">
        <f>IF(VLOOKUP(lmics_lb[[#This Row],[setting]],lmic_raw_lb[],11,FALSE)=0, "Yes", "No")</f>
        <v>Yes</v>
      </c>
    </row>
    <row r="229" spans="1:51" x14ac:dyDescent="0.25">
      <c r="A229" s="110" t="s">
        <v>259</v>
      </c>
      <c r="B229" s="104" t="s">
        <v>482</v>
      </c>
      <c r="C229" s="105">
        <v>558</v>
      </c>
      <c r="D229" s="84" t="s">
        <v>679</v>
      </c>
      <c r="E229" s="122" t="s">
        <v>604</v>
      </c>
      <c r="F229" s="94" t="s">
        <v>665</v>
      </c>
      <c r="G229" s="94" t="s">
        <v>678</v>
      </c>
      <c r="H229" s="94"/>
      <c r="I229" s="94"/>
      <c r="J229" s="94">
        <f>IF(INDEX(lmic_raw_lb[],MATCH($A229,lmic_raw_lb[[setting]:[setting]],0), MATCH(J$139, lmic_raw_lb[#Headers],0))=0, INDEX(regions_lb[], MATCH($D229, regions_lb[[setting]:[setting]],0), MATCH(J$139, regions_lb[#Headers],0)),INDEX(lmic_raw_lb[],MATCH($A229,lmic_raw_lb[[setting]:[setting]],0), MATCH(J$139, lmic_raw_lb[#Headers],0)))</f>
        <v>0.67449999999999999</v>
      </c>
      <c r="K229" s="94">
        <f>IF(INDEX(lmic_raw_lb[],MATCH($A229,lmic_raw_lb[[setting]:[setting]],0), MATCH(K$139, lmic_raw_lb[#Headers],0))=0, INDEX(regions_lb[], MATCH($D229, regions_lb[[setting]:[setting]],0), MATCH(K$139, regions_lb[#Headers],0)),INDEX(lmic_raw_lb[],MATCH($A229,lmic_raw_lb[[setting]:[setting]],0), MATCH(K$139, lmic_raw_lb[#Headers],0)))</f>
        <v>0.70839362529601158</v>
      </c>
      <c r="L229" s="94">
        <f>IF(INDEX(lmic_raw_lb[],MATCH($A229,lmic_raw_lb[[setting]:[setting]],0), MATCH(L$139, lmic_raw_lb[#Headers],0))=0, INDEX(regions_lb[], MATCH($D229, regions_lb[[setting]:[setting]],0), MATCH(L$139, regions_lb[#Headers],0)),INDEX(lmic_raw_lb[],MATCH($A229,lmic_raw_lb[[setting]:[setting]],0), MATCH(L$139, lmic_raw_lb[#Headers],0)))</f>
        <v>0.93099999999999994</v>
      </c>
      <c r="M229" s="94">
        <f>IF(INDEX(lmic_raw_lb[],MATCH($A229,lmic_raw_lb[[setting]:[setting]],0), MATCH(M$139, lmic_raw_lb[#Headers],0))=0, INDEX(regions_lb[], MATCH($D229, regions_lb[[setting]:[setting]],0), MATCH(M$139, regions_lb[#Headers],0)),INDEX(lmic_raw_lb[],MATCH($A229,lmic_raw_lb[[setting]:[setting]],0), MATCH(M$139, lmic_raw_lb[#Headers],0)))</f>
        <v>1.9E-3</v>
      </c>
      <c r="N229" s="94">
        <f>IF(INDEX(lmic_raw_lb[],MATCH($A229,lmic_raw_lb[[setting]:[setting]],0), MATCH(N$139, lmic_raw_lb[#Headers],0))=0, INDEX(regions_lb[], MATCH($D229, regions_lb[[setting]:[setting]],0), MATCH(N$139, regions_lb[#Headers],0)),INDEX(lmic_raw_lb[],MATCH($A229,lmic_raw_lb[[setting]:[setting]],0), MATCH(N$139, lmic_raw_lb[#Headers],0)))</f>
        <v>0.16440000000000002</v>
      </c>
      <c r="O229" s="94">
        <f>IF(INDEX(lmic_raw_lb[],MATCH($A229,lmic_raw_lb[[setting]:[setting]],0), MATCH(O$139, lmic_raw_lb[#Headers],0))=0, INDEX(regions_lb[], MATCH($D229, regions_lb[[setting]:[setting]],0), MATCH(O$139, regions_lb[#Headers],0)),INDEX(lmic_raw_lb[],MATCH($A229,lmic_raw_lb[[setting]:[setting]],0), MATCH(O$139, lmic_raw_lb[#Headers],0)))</f>
        <v>0.7</v>
      </c>
      <c r="P229" s="94">
        <f>IF(INDEX(lmic_raw_lb[],MATCH($A229,lmic_raw_lb[[setting]:[setting]],0), MATCH(P$139, lmic_raw_lb[#Headers],0))=0, INDEX(regions_lb[], MATCH($D229, regions_lb[[setting]:[setting]],0), MATCH(P$139, regions_lb[#Headers],0)),INDEX(lmic_raw_lb[],MATCH($A229,lmic_raw_lb[[setting]:[setting]],0), MATCH(P$139, lmic_raw_lb[#Headers],0)))</f>
        <v>0.05</v>
      </c>
      <c r="Q229" s="94">
        <f>IF(INDEX(lmic_raw_lb[],MATCH($A229,lmic_raw_lb[[setting]:[setting]],0), MATCH(Q$139, lmic_raw_lb[#Headers],0))=0, INDEX(regions_lb[], MATCH($D229, regions_lb[[setting]:[setting]],0), MATCH(Q$139, regions_lb[#Headers],0)),INDEX(lmic_raw_lb[],MATCH($A229,lmic_raw_lb[[setting]:[setting]],0), MATCH(Q$139, lmic_raw_lb[#Headers],0)))</f>
        <v>9.1998664909058991</v>
      </c>
      <c r="R229" s="94">
        <f>IF(INDEX(lmic_raw_lb[],MATCH($A229,lmic_raw_lb[[setting]:[setting]],0), MATCH(R$139, lmic_raw_lb[#Headers],0))=0, INDEX(regions_lb[], MATCH($D229, regions_lb[[setting]:[setting]],0), MATCH(R$139, regions_lb[#Headers],0)),INDEX(lmic_raw_lb[],MATCH($A229,lmic_raw_lb[[setting]:[setting]],0), MATCH(R$139, lmic_raw_lb[#Headers],0)))</f>
        <v>82.539704999999998</v>
      </c>
      <c r="S229" s="94">
        <f>IF(INDEX(lmic_raw_lb[],MATCH($A229,lmic_raw_lb[[setting]:[setting]],0), MATCH(S$139, lmic_raw_lb[#Headers],0))=0, INDEX(regions_lb[], MATCH($D229, regions_lb[[setting]:[setting]],0), MATCH(S$139, regions_lb[#Headers],0)),INDEX(lmic_raw_lb[],MATCH($A229,lmic_raw_lb[[setting]:[setting]],0), MATCH(S$139, lmic_raw_lb[#Headers],0)))</f>
        <v>127.894605</v>
      </c>
      <c r="T229" s="94">
        <f>IF(INDEX(lmic_raw_lb[],MATCH($A229,lmic_raw_lb[[setting]:[setting]],0), MATCH(T$139, lmic_raw_lb[#Headers],0))=0, INDEX(regions_lb[], MATCH($D229, regions_lb[[setting]:[setting]],0), MATCH(T$139, regions_lb[#Headers],0)),INDEX(lmic_raw_lb[],MATCH($A229,lmic_raw_lb[[setting]:[setting]],0), MATCH(T$139, lmic_raw_lb[#Headers],0)))</f>
        <v>127.894605</v>
      </c>
      <c r="U229" s="94">
        <f>IF(INDEX(lmic_raw_lb[],MATCH($A229,lmic_raw_lb[[setting]:[setting]],0), MATCH(U$139, lmic_raw_lb[#Headers],0))=0, INDEX(regions_lb[], MATCH($D229, regions_lb[[setting]:[setting]],0), MATCH(U$139, regions_lb[#Headers],0)),INDEX(lmic_raw_lb[],MATCH($A229,lmic_raw_lb[[setting]:[setting]],0), MATCH(U$139, lmic_raw_lb[#Headers],0)))</f>
        <v>127.894605</v>
      </c>
      <c r="V229" s="94">
        <f>IF(INDEX(lmic_raw_lb[],MATCH($A229,lmic_raw_lb[[setting]:[setting]],0), MATCH(V$139, lmic_raw_lb[#Headers],0))=0, INDEX(regions_lb[], MATCH($D229, regions_lb[[setting]:[setting]],0), MATCH(V$139, regions_lb[#Headers],0)),INDEX(lmic_raw_lb[],MATCH($A229,lmic_raw_lb[[setting]:[setting]],0), MATCH(V$139, lmic_raw_lb[#Headers],0)))</f>
        <v>1.9802402483921091</v>
      </c>
      <c r="W229" s="94">
        <f>IF(INDEX(lmic_raw_lb[],MATCH($A229,lmic_raw_lb[[setting]:[setting]],0), MATCH(W$139, lmic_raw_lb[#Headers],0))=0, INDEX(regions_lb[], MATCH($D229, regions_lb[[setting]:[setting]],0), MATCH(W$139, regions_lb[#Headers],0)),INDEX(lmic_raw_lb[],MATCH($A229,lmic_raw_lb[[setting]:[setting]],0), MATCH(W$139, lmic_raw_lb[#Headers],0)))</f>
        <v>2.0009502483921091</v>
      </c>
      <c r="X229" s="94">
        <f>IF(INDEX(lmic_raw_lb[],MATCH($A229,lmic_raw_lb[[setting]:[setting]],0), MATCH(X$139, lmic_raw_lb[#Headers],0))=0, INDEX(regions_lb[], MATCH($D229, regions_lb[[setting]:[setting]],0), MATCH(X$139, regions_lb[#Headers],0)),INDEX(lmic_raw_lb[],MATCH($A229,lmic_raw_lb[[setting]:[setting]],0), MATCH(X$139, lmic_raw_lb[#Headers],0)))</f>
        <v>1.6135166207440947</v>
      </c>
      <c r="Y229" s="94">
        <f>IF(INDEX(lmic_raw_lb[],MATCH($A229,lmic_raw_lb[[setting]:[setting]],0), MATCH(Y$139, lmic_raw_lb[#Headers],0))=0, INDEX(regions_lb[], MATCH($D229, regions_lb[[setting]:[setting]],0), MATCH(Y$139, regions_lb[#Headers],0)),INDEX(lmic_raw_lb[],MATCH($A229,lmic_raw_lb[[setting]:[setting]],0), MATCH(Y$139, lmic_raw_lb[#Headers],0)))</f>
        <v>1.6342266207440947</v>
      </c>
      <c r="Z229" s="94">
        <f>IF(INDEX(lmic_raw_lb[],MATCH($A229,lmic_raw_lb[[setting]:[setting]],0), MATCH(Z$139, lmic_raw_lb[#Headers],0))=0, INDEX(regions_lb[], MATCH($D229, regions_lb[[setting]:[setting]],0), MATCH(Z$139, regions_lb[#Headers],0)),INDEX(lmic_raw_lb[],MATCH($A229,lmic_raw_lb[[setting]:[setting]],0), MATCH(Z$139, lmic_raw_lb[#Headers],0)))</f>
        <v>1.6310524143432938</v>
      </c>
      <c r="AA229" s="94">
        <f>IF(INDEX(lmic_raw_lb[],MATCH($A229,lmic_raw_lb[[setting]:[setting]],0), MATCH(AA$139, lmic_raw_lb[#Headers],0))=0, INDEX(regions_lb[], MATCH($D229, regions_lb[[setting]:[setting]],0), MATCH(AA$139, regions_lb[#Headers],0)),INDEX(lmic_raw_lb[],MATCH($A229,lmic_raw_lb[[setting]:[setting]],0), MATCH(AA$139, lmic_raw_lb[#Headers],0)))</f>
        <v>2.1920490490483271</v>
      </c>
      <c r="AB229" s="94">
        <f>IF(INDEX(lmic_raw_lb[],MATCH($A229,lmic_raw_lb[[setting]:[setting]],0), MATCH(AB$139, lmic_raw_lb[#Headers],0))=0, INDEX(regions_lb[], MATCH($D229, regions_lb[[setting]:[setting]],0), MATCH(AB$139, regions_lb[#Headers],0)),INDEX(lmic_raw_lb[],MATCH($A229,lmic_raw_lb[[setting]:[setting]],0), MATCH(AB$139, lmic_raw_lb[#Headers],0)))</f>
        <v>2.2127590490483269</v>
      </c>
      <c r="AC229" s="94">
        <f>IF(INDEX(lmic_raw_lb[],MATCH($A229,lmic_raw_lb[[setting]:[setting]],0), MATCH(AC$139, lmic_raw_lb[#Headers],0))=0, INDEX(regions_lb[], MATCH($D229, regions_lb[[setting]:[setting]],0), MATCH(AC$139, regions_lb[#Headers],0)),INDEX(lmic_raw_lb[],MATCH($A229,lmic_raw_lb[[setting]:[setting]],0), MATCH(AC$139, lmic_raw_lb[#Headers],0)))</f>
        <v>1.5944828500000053E-2</v>
      </c>
      <c r="AD229" s="94">
        <f>IF(INDEX(lmic_raw_lb[],MATCH($A229,lmic_raw_lb[[setting]:[setting]],0), MATCH(AD$139, lmic_raw_lb[#Headers],0))=0, INDEX(regions_lb[], MATCH($D229, regions_lb[[setting]:[setting]],0), MATCH(AD$139, regions_lb[#Headers],0)),INDEX(lmic_raw_lb[],MATCH($A229,lmic_raw_lb[[setting]:[setting]],0), MATCH(AD$139, lmic_raw_lb[#Headers],0)))</f>
        <v>8.3740337842558505E-4</v>
      </c>
      <c r="AE229" s="94">
        <f>IF(INDEX(lmic_raw_lb[],MATCH($A229,lmic_raw_lb[[setting]:[setting]],0), MATCH(AE$139, lmic_raw_lb[#Headers],0))=0, INDEX(regions_lb[], MATCH($D229, regions_lb[[setting]:[setting]],0), MATCH(AE$139, regions_lb[#Headers],0)),INDEX(lmic_raw_lb[],MATCH($A229,lmic_raw_lb[[setting]:[setting]],0), MATCH(AE$139, lmic_raw_lb[#Headers],0)))</f>
        <v>4.3792634123399331E-4</v>
      </c>
      <c r="AF229" s="94">
        <f>IF(INDEX(lmic_raw_lb[],MATCH($A229,lmic_raw_lb[[setting]:[setting]],0), MATCH(AF$139, lmic_raw_lb[#Headers],0))=0, INDEX(regions_lb[], MATCH($D229, regions_lb[[setting]:[setting]],0), MATCH(AF$139, regions_lb[#Headers],0)),INDEX(lmic_raw_lb[],MATCH($A229,lmic_raw_lb[[setting]:[setting]],0), MATCH(AF$139, lmic_raw_lb[#Headers],0)))</f>
        <v>4.3765516254758364E-4</v>
      </c>
      <c r="AG229" s="94">
        <f>IF(INDEX(lmic_raw_lb[],MATCH($A229,lmic_raw_lb[[setting]:[setting]],0), MATCH(AG$139, lmic_raw_lb[#Headers],0))=0, INDEX(regions_lb[], MATCH($D229, regions_lb[[setting]:[setting]],0), MATCH(AG$139, regions_lb[#Headers],0)),INDEX(lmic_raw_lb[],MATCH($A229,lmic_raw_lb[[setting]:[setting]],0), MATCH(AG$139, lmic_raw_lb[#Headers],0)))</f>
        <v>1.0747365795624585E-3</v>
      </c>
      <c r="AH229" s="94">
        <f>IF(INDEX(lmic_raw_lb[],MATCH($A229,lmic_raw_lb[[setting]:[setting]],0), MATCH(AH$139, lmic_raw_lb[#Headers],0))=0, INDEX(regions_lb[], MATCH($D229, regions_lb[[setting]:[setting]],0), MATCH(AH$139, regions_lb[#Headers],0)),INDEX(lmic_raw_lb[],MATCH($A229,lmic_raw_lb[[setting]:[setting]],0), MATCH(AH$139, lmic_raw_lb[#Headers],0)))</f>
        <v>1.4323156347979295E-3</v>
      </c>
      <c r="AI229" s="94">
        <f>IF(INDEX(lmic_raw_lb[],MATCH($A229,lmic_raw_lb[[setting]:[setting]],0), MATCH(AI$139, lmic_raw_lb[#Headers],0))=0, INDEX(regions_lb[], MATCH($D229, regions_lb[[setting]:[setting]],0), MATCH(AI$139, regions_lb[#Headers],0)),INDEX(lmic_raw_lb[],MATCH($A229,lmic_raw_lb[[setting]:[setting]],0), MATCH(AI$139, lmic_raw_lb[#Headers],0)))</f>
        <v>1.6805103980700605E-3</v>
      </c>
      <c r="AJ229" s="94">
        <f>IF(INDEX(lmic_raw_lb[],MATCH($A229,lmic_raw_lb[[setting]:[setting]],0), MATCH(AJ$139, lmic_raw_lb[#Headers],0))=0, INDEX(regions_lb[], MATCH($D229, regions_lb[[setting]:[setting]],0), MATCH(AJ$139, regions_lb[#Headers],0)),INDEX(lmic_raw_lb[],MATCH($A229,lmic_raw_lb[[setting]:[setting]],0), MATCH(AJ$139, lmic_raw_lb[#Headers],0)))</f>
        <v>2.0210303090451697E-3</v>
      </c>
      <c r="AK229" s="94">
        <f>IF(INDEX(lmic_raw_lb[],MATCH($A229,lmic_raw_lb[[setting]:[setting]],0), MATCH(AK$139, lmic_raw_lb[#Headers],0))=0, INDEX(regions_lb[], MATCH($D229, regions_lb[[setting]:[setting]],0), MATCH(AK$139, regions_lb[#Headers],0)),INDEX(lmic_raw_lb[],MATCH($A229,lmic_raw_lb[[setting]:[setting]],0), MATCH(AK$139, lmic_raw_lb[#Headers],0)))</f>
        <v>2.5642519566147345E-3</v>
      </c>
      <c r="AL229" s="94">
        <f>IF(INDEX(lmic_raw_lb[],MATCH($A229,lmic_raw_lb[[setting]:[setting]],0), MATCH(AL$139, lmic_raw_lb[#Headers],0))=0, INDEX(regions_lb[], MATCH($D229, regions_lb[[setting]:[setting]],0), MATCH(AL$139, regions_lb[#Headers],0)),INDEX(lmic_raw_lb[],MATCH($A229,lmic_raw_lb[[setting]:[setting]],0), MATCH(AL$139, lmic_raw_lb[#Headers],0)))</f>
        <v>3.2632799243072874E-3</v>
      </c>
      <c r="AM229" s="94">
        <f>IF(INDEX(lmic_raw_lb[],MATCH($A229,lmic_raw_lb[[setting]:[setting]],0), MATCH(AM$139, lmic_raw_lb[#Headers],0))=0, INDEX(regions_lb[], MATCH($D229, regions_lb[[setting]:[setting]],0), MATCH(AM$139, regions_lb[#Headers],0)),INDEX(lmic_raw_lb[],MATCH($A229,lmic_raw_lb[[setting]:[setting]],0), MATCH(AM$139, lmic_raw_lb[#Headers],0)))</f>
        <v>4.2917538458424583E-3</v>
      </c>
      <c r="AN229" s="94">
        <f>IF(INDEX(lmic_raw_lb[],MATCH($A229,lmic_raw_lb[[setting]:[setting]],0), MATCH(AN$139, lmic_raw_lb[#Headers],0))=0, INDEX(regions_lb[], MATCH($D229, regions_lb[[setting]:[setting]],0), MATCH(AN$139, regions_lb[#Headers],0)),INDEX(lmic_raw_lb[],MATCH($A229,lmic_raw_lb[[setting]:[setting]],0), MATCH(AN$139, lmic_raw_lb[#Headers],0)))</f>
        <v>6.0380138750979473E-3</v>
      </c>
      <c r="AO229" s="94">
        <f>IF(INDEX(lmic_raw_lb[],MATCH($A229,lmic_raw_lb[[setting]:[setting]],0), MATCH(AO$139, lmic_raw_lb[#Headers],0))=0, INDEX(regions_lb[], MATCH($D229, regions_lb[[setting]:[setting]],0), MATCH(AO$139, regions_lb[#Headers],0)),INDEX(lmic_raw_lb[],MATCH($A229,lmic_raw_lb[[setting]:[setting]],0), MATCH(AO$139, lmic_raw_lb[#Headers],0)))</f>
        <v>8.5906702972358834E-3</v>
      </c>
      <c r="AP229" s="94">
        <f>IF(INDEX(lmic_raw_lb[],MATCH($A229,lmic_raw_lb[[setting]:[setting]],0), MATCH(AP$139, lmic_raw_lb[#Headers],0))=0, INDEX(regions_lb[], MATCH($D229, regions_lb[[setting]:[setting]],0), MATCH(AP$139, regions_lb[#Headers],0)),INDEX(lmic_raw_lb[],MATCH($A229,lmic_raw_lb[[setting]:[setting]],0), MATCH(AP$139, lmic_raw_lb[#Headers],0)))</f>
        <v>1.2374345894257649E-2</v>
      </c>
      <c r="AQ229" s="94">
        <f>IF(INDEX(lmic_raw_lb[],MATCH($A229,lmic_raw_lb[[setting]:[setting]],0), MATCH(AQ$139, lmic_raw_lb[#Headers],0))=0, INDEX(regions_lb[], MATCH($D229, regions_lb[[setting]:[setting]],0), MATCH(AQ$139, regions_lb[#Headers],0)),INDEX(lmic_raw_lb[],MATCH($A229,lmic_raw_lb[[setting]:[setting]],0), MATCH(AQ$139, lmic_raw_lb[#Headers],0)))</f>
        <v>1.8074151782531259E-2</v>
      </c>
      <c r="AR229" s="94">
        <f>IF(INDEX(lmic_raw_lb[],MATCH($A229,lmic_raw_lb[[setting]:[setting]],0), MATCH(AR$139, lmic_raw_lb[#Headers],0))=0, INDEX(regions_lb[], MATCH($D229, regions_lb[[setting]:[setting]],0), MATCH(AR$139, regions_lb[#Headers],0)),INDEX(lmic_raw_lb[],MATCH($A229,lmic_raw_lb[[setting]:[setting]],0), MATCH(AR$139, lmic_raw_lb[#Headers],0)))</f>
        <v>2.6154771693124083E-2</v>
      </c>
      <c r="AS229" s="94">
        <f>IF(INDEX(lmic_raw_lb[],MATCH($A229,lmic_raw_lb[[setting]:[setting]],0), MATCH(AS$139, lmic_raw_lb[#Headers],0))=0, INDEX(regions_lb[], MATCH($D229, regions_lb[[setting]:[setting]],0), MATCH(AS$139, regions_lb[#Headers],0)),INDEX(lmic_raw_lb[],MATCH($A229,lmic_raw_lb[[setting]:[setting]],0), MATCH(AS$139, lmic_raw_lb[#Headers],0)))</f>
        <v>3.8368944009701887E-2</v>
      </c>
      <c r="AT229" s="94">
        <f>IF(INDEX(lmic_raw_lb[],MATCH($A229,lmic_raw_lb[[setting]:[setting]],0), MATCH(AT$139, lmic_raw_lb[#Headers],0))=0, INDEX(regions_lb[], MATCH($D229, regions_lb[[setting]:[setting]],0), MATCH(AT$139, regions_lb[#Headers],0)),INDEX(lmic_raw_lb[],MATCH($A229,lmic_raw_lb[[setting]:[setting]],0), MATCH(AT$139, lmic_raw_lb[#Headers],0)))</f>
        <v>6.2466379812237072E-2</v>
      </c>
      <c r="AU229" s="94">
        <f>IF(INDEX(lmic_raw_lb[],MATCH($A229,lmic_raw_lb[[setting]:[setting]],0), MATCH(AU$139, lmic_raw_lb[#Headers],0))=0, INDEX(regions_lb[], MATCH($D229, regions_lb[[setting]:[setting]],0), MATCH(AU$139, regions_lb[#Headers],0)),INDEX(lmic_raw_lb[],MATCH($A229,lmic_raw_lb[[setting]:[setting]],0), MATCH(AU$139, lmic_raw_lb[#Headers],0)))</f>
        <v>8.8087652571535807E-2</v>
      </c>
      <c r="AV229" s="94">
        <f>IF(INDEX(lmic_raw_lb[],MATCH($A229,lmic_raw_lb[[setting]:[setting]],0), MATCH(AV$139, lmic_raw_lb[#Headers],0))=0, INDEX(regions_lb[], MATCH($D229, regions_lb[[setting]:[setting]],0), MATCH(AV$139, regions_lb[#Headers],0)),INDEX(lmic_raw_lb[],MATCH($A229,lmic_raw_lb[[setting]:[setting]],0), MATCH(AV$139, lmic_raw_lb[#Headers],0)))</f>
        <v>0.11497718618628529</v>
      </c>
      <c r="AW229" s="94">
        <f>IF(INDEX(lmic_raw_lb[],MATCH($A229,lmic_raw_lb[[setting]:[setting]],0), MATCH(AW$139, lmic_raw_lb[#Headers],0))=0, INDEX(regions_lb[], MATCH($D229, regions_lb[[setting]:[setting]],0), MATCH(AW$139, regions_lb[#Headers],0)),INDEX(lmic_raw_lb[],MATCH($A229,lmic_raw_lb[[setting]:[setting]],0), MATCH(AW$139, lmic_raw_lb[#Headers],0)))</f>
        <v>0.13816143670701386</v>
      </c>
      <c r="AX229" s="94">
        <f>IF(INDEX(lmic_raw_lb[],MATCH($A229,lmic_raw_lb[[setting]:[setting]],0), MATCH(AX$139, lmic_raw_lb[#Headers],0))=0, INDEX(regions_lb[], MATCH($D229, regions_lb[[setting]:[setting]],0), MATCH(AX$139, regions_lb[#Headers],0)),INDEX(lmic_raw_lb[],MATCH($A229,lmic_raw_lb[[setting]:[setting]],0), MATCH(AX$139, lmic_raw_lb[#Headers],0)))</f>
        <v>70.446299999999994</v>
      </c>
      <c r="AY229" s="94" t="str">
        <f>IF(VLOOKUP(lmics_lb[[#This Row],[setting]],lmic_raw_lb[],11,FALSE)=0, "Yes", "No")</f>
        <v>Yes</v>
      </c>
    </row>
    <row r="230" spans="1:51" x14ac:dyDescent="0.25">
      <c r="A230" s="109" t="s">
        <v>633</v>
      </c>
      <c r="B230" s="101" t="s">
        <v>483</v>
      </c>
      <c r="C230" s="102">
        <v>562</v>
      </c>
      <c r="D230" s="82" t="s">
        <v>677</v>
      </c>
      <c r="E230" s="121" t="s">
        <v>591</v>
      </c>
      <c r="F230" s="98" t="s">
        <v>667</v>
      </c>
      <c r="G230" s="98" t="s">
        <v>674</v>
      </c>
      <c r="H230" s="98"/>
      <c r="I230" s="98"/>
      <c r="J230" s="98">
        <f>IF(INDEX(lmic_raw_lb[],MATCH($A230,lmic_raw_lb[[setting]:[setting]],0), MATCH(J$139, lmic_raw_lb[#Headers],0))=0, INDEX(regions_lb[], MATCH($D230, regions_lb[[setting]:[setting]],0), MATCH(J$139, regions_lb[#Headers],0)),INDEX(lmic_raw_lb[],MATCH($A230,lmic_raw_lb[[setting]:[setting]],0), MATCH(J$139, lmic_raw_lb[#Headers],0)))</f>
        <v>0.55859999999999999</v>
      </c>
      <c r="K230" s="98">
        <f>IF(INDEX(lmic_raw_lb[],MATCH($A230,lmic_raw_lb[[setting]:[setting]],0), MATCH(K$139, lmic_raw_lb[#Headers],0))=0, INDEX(regions_lb[], MATCH($D230, regions_lb[[setting]:[setting]],0), MATCH(K$139, regions_lb[#Headers],0)),INDEX(lmic_raw_lb[],MATCH($A230,lmic_raw_lb[[setting]:[setting]],0), MATCH(K$139, lmic_raw_lb[#Headers],0)))</f>
        <v>0.65789974195504752</v>
      </c>
      <c r="L230" s="98">
        <f>IF(INDEX(lmic_raw_lb[],MATCH($A230,lmic_raw_lb[[setting]:[setting]],0), MATCH(L$139, lmic_raw_lb[#Headers],0))=0, INDEX(regions_lb[], MATCH($D230, regions_lb[[setting]:[setting]],0), MATCH(L$139, regions_lb[#Headers],0)),INDEX(lmic_raw_lb[],MATCH($A230,lmic_raw_lb[[setting]:[setting]],0), MATCH(L$139, lmic_raw_lb[#Headers],0)))</f>
        <v>0.76949999999999996</v>
      </c>
      <c r="M230" s="98">
        <f>IF(INDEX(lmic_raw_lb[],MATCH($A230,lmic_raw_lb[[setting]:[setting]],0), MATCH(M$139, lmic_raw_lb[#Headers],0))=0, INDEX(regions_lb[], MATCH($D230, regions_lb[[setting]:[setting]],0), MATCH(M$139, regions_lb[#Headers],0)),INDEX(lmic_raw_lb[],MATCH($A230,lmic_raw_lb[[setting]:[setting]],0), MATCH(M$139, lmic_raw_lb[#Headers],0)))</f>
        <v>8.1799999999999998E-2</v>
      </c>
      <c r="N230" s="98">
        <f>IF(INDEX(lmic_raw_lb[],MATCH($A230,lmic_raw_lb[[setting]:[setting]],0), MATCH(N$139, lmic_raw_lb[#Headers],0))=0, INDEX(regions_lb[], MATCH($D230, regions_lb[[setting]:[setting]],0), MATCH(N$139, regions_lb[#Headers],0)),INDEX(lmic_raw_lb[],MATCH($A230,lmic_raw_lb[[setting]:[setting]],0), MATCH(N$139, lmic_raw_lb[#Headers],0)))</f>
        <v>0.155</v>
      </c>
      <c r="O230" s="98">
        <f>IF(INDEX(lmic_raw_lb[],MATCH($A230,lmic_raw_lb[[setting]:[setting]],0), MATCH(O$139, lmic_raw_lb[#Headers],0))=0, INDEX(regions_lb[], MATCH($D230, regions_lb[[setting]:[setting]],0), MATCH(O$139, regions_lb[#Headers],0)),INDEX(lmic_raw_lb[],MATCH($A230,lmic_raw_lb[[setting]:[setting]],0), MATCH(O$139, lmic_raw_lb[#Headers],0)))</f>
        <v>7.0000000000000007E-2</v>
      </c>
      <c r="P230" s="98">
        <f>IF(INDEX(lmic_raw_lb[],MATCH($A230,lmic_raw_lb[[setting]:[setting]],0), MATCH(P$139, lmic_raw_lb[#Headers],0))=0, INDEX(regions_lb[], MATCH($D230, regions_lb[[setting]:[setting]],0), MATCH(P$139, regions_lb[#Headers],0)),INDEX(lmic_raw_lb[],MATCH($A230,lmic_raw_lb[[setting]:[setting]],0), MATCH(P$139, lmic_raw_lb[#Headers],0)))</f>
        <v>1E-3</v>
      </c>
      <c r="Q230" s="98">
        <f>IF(INDEX(lmic_raw_lb[],MATCH($A230,lmic_raw_lb[[setting]:[setting]],0), MATCH(Q$139, lmic_raw_lb[#Headers],0))=0, INDEX(regions_lb[], MATCH($D230, regions_lb[[setting]:[setting]],0), MATCH(Q$139, regions_lb[#Headers],0)),INDEX(lmic_raw_lb[],MATCH($A230,lmic_raw_lb[[setting]:[setting]],0), MATCH(Q$139, lmic_raw_lb[#Headers],0)))</f>
        <v>2.3336658580450673</v>
      </c>
      <c r="R230" s="98">
        <f>IF(INDEX(lmic_raw_lb[],MATCH($A230,lmic_raw_lb[[setting]:[setting]],0), MATCH(R$139, lmic_raw_lb[#Headers],0))=0, INDEX(regions_lb[], MATCH($D230, regions_lb[[setting]:[setting]],0), MATCH(R$139, regions_lb[#Headers],0)),INDEX(lmic_raw_lb[],MATCH($A230,lmic_raw_lb[[setting]:[setting]],0), MATCH(R$139, lmic_raw_lb[#Headers],0)))</f>
        <v>28.424474999999997</v>
      </c>
      <c r="S230" s="98">
        <f>IF(INDEX(lmic_raw_lb[],MATCH($A230,lmic_raw_lb[[setting]:[setting]],0), MATCH(S$139, lmic_raw_lb[#Headers],0))=0, INDEX(regions_lb[], MATCH($D230, regions_lb[[setting]:[setting]],0), MATCH(S$139, regions_lb[#Headers],0)),INDEX(lmic_raw_lb[],MATCH($A230,lmic_raw_lb[[setting]:[setting]],0), MATCH(S$139, lmic_raw_lb[#Headers],0)))</f>
        <v>73.779375000000002</v>
      </c>
      <c r="T230" s="98">
        <f>IF(INDEX(lmic_raw_lb[],MATCH($A230,lmic_raw_lb[[setting]:[setting]],0), MATCH(T$139, lmic_raw_lb[#Headers],0))=0, INDEX(regions_lb[], MATCH($D230, regions_lb[[setting]:[setting]],0), MATCH(T$139, regions_lb[#Headers],0)),INDEX(lmic_raw_lb[],MATCH($A230,lmic_raw_lb[[setting]:[setting]],0), MATCH(T$139, lmic_raw_lb[#Headers],0)))</f>
        <v>73.779375000000002</v>
      </c>
      <c r="U230" s="98">
        <f>IF(INDEX(lmic_raw_lb[],MATCH($A230,lmic_raw_lb[[setting]:[setting]],0), MATCH(U$139, lmic_raw_lb[#Headers],0))=0, INDEX(regions_lb[], MATCH($D230, regions_lb[[setting]:[setting]],0), MATCH(U$139, regions_lb[#Headers],0)),INDEX(lmic_raw_lb[],MATCH($A230,lmic_raw_lb[[setting]:[setting]],0), MATCH(U$139, lmic_raw_lb[#Headers],0)))</f>
        <v>73.779375000000002</v>
      </c>
      <c r="V230" s="98">
        <f>IF(INDEX(lmic_raw_lb[],MATCH($A230,lmic_raw_lb[[setting]:[setting]],0), MATCH(V$139, lmic_raw_lb[#Headers],0))=0, INDEX(regions_lb[], MATCH($D230, regions_lb[[setting]:[setting]],0), MATCH(V$139, regions_lb[#Headers],0)),INDEX(lmic_raw_lb[],MATCH($A230,lmic_raw_lb[[setting]:[setting]],0), MATCH(V$139, lmic_raw_lb[#Headers],0)))</f>
        <v>0.74791171717318472</v>
      </c>
      <c r="W230" s="98">
        <f>IF(INDEX(lmic_raw_lb[],MATCH($A230,lmic_raw_lb[[setting]:[setting]],0), MATCH(W$139, lmic_raw_lb[#Headers],0))=0, INDEX(regions_lb[], MATCH($D230, regions_lb[[setting]:[setting]],0), MATCH(W$139, regions_lb[#Headers],0)),INDEX(lmic_raw_lb[],MATCH($A230,lmic_raw_lb[[setting]:[setting]],0), MATCH(W$139, lmic_raw_lb[#Headers],0)))</f>
        <v>5.3351767171731854</v>
      </c>
      <c r="X230" s="98">
        <f>IF(INDEX(lmic_raw_lb[],MATCH($A230,lmic_raw_lb[[setting]:[setting]],0), MATCH(X$139, lmic_raw_lb[#Headers],0))=0, INDEX(regions_lb[], MATCH($D230, regions_lb[[setting]:[setting]],0), MATCH(X$139, regions_lb[#Headers],0)),INDEX(lmic_raw_lb[],MATCH($A230,lmic_raw_lb[[setting]:[setting]],0), MATCH(X$139, lmic_raw_lb[#Headers],0)))</f>
        <v>0.38391748473296289</v>
      </c>
      <c r="Y230" s="98">
        <f>IF(INDEX(lmic_raw_lb[],MATCH($A230,lmic_raw_lb[[setting]:[setting]],0), MATCH(Y$139, lmic_raw_lb[#Headers],0))=0, INDEX(regions_lb[], MATCH($D230, regions_lb[[setting]:[setting]],0), MATCH(Y$139, regions_lb[#Headers],0)),INDEX(lmic_raw_lb[],MATCH($A230,lmic_raw_lb[[setting]:[setting]],0), MATCH(Y$139, lmic_raw_lb[#Headers],0)))</f>
        <v>4.9711824847329629</v>
      </c>
      <c r="Z230" s="98">
        <f>IF(INDEX(lmic_raw_lb[],MATCH($A230,lmic_raw_lb[[setting]:[setting]],0), MATCH(Z$139, lmic_raw_lb[#Headers],0))=0, INDEX(regions_lb[], MATCH($D230, regions_lb[[setting]:[setting]],0), MATCH(Z$139, regions_lb[#Headers],0)),INDEX(lmic_raw_lb[],MATCH($A230,lmic_raw_lb[[setting]:[setting]],0), MATCH(Z$139, lmic_raw_lb[#Headers],0)))</f>
        <v>4.9699463361777863</v>
      </c>
      <c r="AA230" s="98">
        <f>IF(INDEX(lmic_raw_lb[],MATCH($A230,lmic_raw_lb[[setting]:[setting]],0), MATCH(AA$139, lmic_raw_lb[#Headers],0))=0, INDEX(regions_lb[], MATCH($D230, regions_lb[[setting]:[setting]],0), MATCH(AA$139, regions_lb[#Headers],0)),INDEX(lmic_raw_lb[],MATCH($A230,lmic_raw_lb[[setting]:[setting]],0), MATCH(AA$139, lmic_raw_lb[#Headers],0)))</f>
        <v>0.95855077702606328</v>
      </c>
      <c r="AB230" s="98">
        <f>IF(INDEX(lmic_raw_lb[],MATCH($A230,lmic_raw_lb[[setting]:[setting]],0), MATCH(AB$139, lmic_raw_lb[#Headers],0))=0, INDEX(regions_lb[], MATCH($D230, regions_lb[[setting]:[setting]],0), MATCH(AB$139, regions_lb[#Headers],0)),INDEX(lmic_raw_lb[],MATCH($A230,lmic_raw_lb[[setting]:[setting]],0), MATCH(AB$139, lmic_raw_lb[#Headers],0)))</f>
        <v>5.5458157770260641</v>
      </c>
      <c r="AC230" s="98">
        <f>IF(INDEX(lmic_raw_lb[],MATCH($A230,lmic_raw_lb[[setting]:[setting]],0), MATCH(AC$139, lmic_raw_lb[#Headers],0))=0, INDEX(regions_lb[], MATCH($D230, regions_lb[[setting]:[setting]],0), MATCH(AC$139, regions_lb[#Headers],0)),INDEX(lmic_raw_lb[],MATCH($A230,lmic_raw_lb[[setting]:[setting]],0), MATCH(AC$139, lmic_raw_lb[#Headers],0)))</f>
        <v>4.4002232999999988E-2</v>
      </c>
      <c r="AD230" s="98">
        <f>IF(INDEX(lmic_raw_lb[],MATCH($A230,lmic_raw_lb[[setting]:[setting]],0), MATCH(AD$139, lmic_raw_lb[#Headers],0))=0, INDEX(regions_lb[], MATCH($D230, regions_lb[[setting]:[setting]],0), MATCH(AD$139, regions_lb[#Headers],0)),INDEX(lmic_raw_lb[],MATCH($A230,lmic_raw_lb[[setting]:[setting]],0), MATCH(AD$139, lmic_raw_lb[#Headers],0)))</f>
        <v>9.5474699235655065E-3</v>
      </c>
      <c r="AE230" s="98">
        <f>IF(INDEX(lmic_raw_lb[],MATCH($A230,lmic_raw_lb[[setting]:[setting]],0), MATCH(AE$139, lmic_raw_lb[#Headers],0))=0, INDEX(regions_lb[], MATCH($D230, regions_lb[[setting]:[setting]],0), MATCH(AE$139, regions_lb[#Headers],0)),INDEX(lmic_raw_lb[],MATCH($A230,lmic_raw_lb[[setting]:[setting]],0), MATCH(AE$139, lmic_raw_lb[#Headers],0)))</f>
        <v>2.1129401223891676E-3</v>
      </c>
      <c r="AF230" s="98">
        <f>IF(INDEX(lmic_raw_lb[],MATCH($A230,lmic_raw_lb[[setting]:[setting]],0), MATCH(AF$139, lmic_raw_lb[#Headers],0))=0, INDEX(regions_lb[], MATCH($D230, regions_lb[[setting]:[setting]],0), MATCH(AF$139, regions_lb[#Headers],0)),INDEX(lmic_raw_lb[],MATCH($A230,lmic_raw_lb[[setting]:[setting]],0), MATCH(AF$139, lmic_raw_lb[#Headers],0)))</f>
        <v>1.2644162304743935E-3</v>
      </c>
      <c r="AG230" s="98">
        <f>IF(INDEX(lmic_raw_lb[],MATCH($A230,lmic_raw_lb[[setting]:[setting]],0), MATCH(AG$139, lmic_raw_lb[#Headers],0))=0, INDEX(regions_lb[], MATCH($D230, regions_lb[[setting]:[setting]],0), MATCH(AG$139, regions_lb[#Headers],0)),INDEX(lmic_raw_lb[],MATCH($A230,lmic_raw_lb[[setting]:[setting]],0), MATCH(AG$139, lmic_raw_lb[#Headers],0)))</f>
        <v>2.1081601042844374E-3</v>
      </c>
      <c r="AH230" s="98">
        <f>IF(INDEX(lmic_raw_lb[],MATCH($A230,lmic_raw_lb[[setting]:[setting]],0), MATCH(AH$139, lmic_raw_lb[#Headers],0))=0, INDEX(regions_lb[], MATCH($D230, regions_lb[[setting]:[setting]],0), MATCH(AH$139, regions_lb[#Headers],0)),INDEX(lmic_raw_lb[],MATCH($A230,lmic_raw_lb[[setting]:[setting]],0), MATCH(AH$139, lmic_raw_lb[#Headers],0)))</f>
        <v>2.7555545488676474E-3</v>
      </c>
      <c r="AI230" s="98">
        <f>IF(INDEX(lmic_raw_lb[],MATCH($A230,lmic_raw_lb[[setting]:[setting]],0), MATCH(AI$139, lmic_raw_lb[#Headers],0))=0, INDEX(regions_lb[], MATCH($D230, regions_lb[[setting]:[setting]],0), MATCH(AI$139, regions_lb[#Headers],0)),INDEX(lmic_raw_lb[],MATCH($A230,lmic_raw_lb[[setting]:[setting]],0), MATCH(AI$139, lmic_raw_lb[#Headers],0)))</f>
        <v>3.4556613717438519E-3</v>
      </c>
      <c r="AJ230" s="98">
        <f>IF(INDEX(lmic_raw_lb[],MATCH($A230,lmic_raw_lb[[setting]:[setting]],0), MATCH(AJ$139, lmic_raw_lb[#Headers],0))=0, INDEX(regions_lb[], MATCH($D230, regions_lb[[setting]:[setting]],0), MATCH(AJ$139, regions_lb[#Headers],0)),INDEX(lmic_raw_lb[],MATCH($A230,lmic_raw_lb[[setting]:[setting]],0), MATCH(AJ$139, lmic_raw_lb[#Headers],0)))</f>
        <v>3.6963985796733818E-3</v>
      </c>
      <c r="AK230" s="98">
        <f>IF(INDEX(lmic_raw_lb[],MATCH($A230,lmic_raw_lb[[setting]:[setting]],0), MATCH(AK$139, lmic_raw_lb[#Headers],0))=0, INDEX(regions_lb[], MATCH($D230, regions_lb[[setting]:[setting]],0), MATCH(AK$139, regions_lb[#Headers],0)),INDEX(lmic_raw_lb[],MATCH($A230,lmic_raw_lb[[setting]:[setting]],0), MATCH(AK$139, lmic_raw_lb[#Headers],0)))</f>
        <v>4.2495114001263453E-3</v>
      </c>
      <c r="AL230" s="98">
        <f>IF(INDEX(lmic_raw_lb[],MATCH($A230,lmic_raw_lb[[setting]:[setting]],0), MATCH(AL$139, lmic_raw_lb[#Headers],0))=0, INDEX(regions_lb[], MATCH($D230, regions_lb[[setting]:[setting]],0), MATCH(AL$139, regions_lb[#Headers],0)),INDEX(lmic_raw_lb[],MATCH($A230,lmic_raw_lb[[setting]:[setting]],0), MATCH(AL$139, lmic_raw_lb[#Headers],0)))</f>
        <v>5.1419717999589797E-3</v>
      </c>
      <c r="AM230" s="98">
        <f>IF(INDEX(lmic_raw_lb[],MATCH($A230,lmic_raw_lb[[setting]:[setting]],0), MATCH(AM$139, lmic_raw_lb[#Headers],0))=0, INDEX(regions_lb[], MATCH($D230, regions_lb[[setting]:[setting]],0), MATCH(AM$139, regions_lb[#Headers],0)),INDEX(lmic_raw_lb[],MATCH($A230,lmic_raw_lb[[setting]:[setting]],0), MATCH(AM$139, lmic_raw_lb[#Headers],0)))</f>
        <v>6.6147089865430629E-3</v>
      </c>
      <c r="AN230" s="98">
        <f>IF(INDEX(lmic_raw_lb[],MATCH($A230,lmic_raw_lb[[setting]:[setting]],0), MATCH(AN$139, lmic_raw_lb[#Headers],0))=0, INDEX(regions_lb[], MATCH($D230, regions_lb[[setting]:[setting]],0), MATCH(AN$139, regions_lb[#Headers],0)),INDEX(lmic_raw_lb[],MATCH($A230,lmic_raw_lb[[setting]:[setting]],0), MATCH(AN$139, lmic_raw_lb[#Headers],0)))</f>
        <v>9.55414793217489E-3</v>
      </c>
      <c r="AO230" s="98">
        <f>IF(INDEX(lmic_raw_lb[],MATCH($A230,lmic_raw_lb[[setting]:[setting]],0), MATCH(AO$139, lmic_raw_lb[#Headers],0))=0, INDEX(regions_lb[], MATCH($D230, regions_lb[[setting]:[setting]],0), MATCH(AO$139, regions_lb[#Headers],0)),INDEX(lmic_raw_lb[],MATCH($A230,lmic_raw_lb[[setting]:[setting]],0), MATCH(AO$139, lmic_raw_lb[#Headers],0)))</f>
        <v>1.375634296577782E-2</v>
      </c>
      <c r="AP230" s="98">
        <f>IF(INDEX(lmic_raw_lb[],MATCH($A230,lmic_raw_lb[[setting]:[setting]],0), MATCH(AP$139, lmic_raw_lb[#Headers],0))=0, INDEX(regions_lb[], MATCH($D230, regions_lb[[setting]:[setting]],0), MATCH(AP$139, regions_lb[#Headers],0)),INDEX(lmic_raw_lb[],MATCH($A230,lmic_raw_lb[[setting]:[setting]],0), MATCH(AP$139, lmic_raw_lb[#Headers],0)))</f>
        <v>1.9495724055795961E-2</v>
      </c>
      <c r="AQ230" s="98">
        <f>IF(INDEX(lmic_raw_lb[],MATCH($A230,lmic_raw_lb[[setting]:[setting]],0), MATCH(AQ$139, lmic_raw_lb[#Headers],0))=0, INDEX(regions_lb[], MATCH($D230, regions_lb[[setting]:[setting]],0), MATCH(AQ$139, regions_lb[#Headers],0)),INDEX(lmic_raw_lb[],MATCH($A230,lmic_raw_lb[[setting]:[setting]],0), MATCH(AQ$139, lmic_raw_lb[#Headers],0)))</f>
        <v>2.9484359242459145E-2</v>
      </c>
      <c r="AR230" s="98">
        <f>IF(INDEX(lmic_raw_lb[],MATCH($A230,lmic_raw_lb[[setting]:[setting]],0), MATCH(AR$139, lmic_raw_lb[#Headers],0))=0, INDEX(regions_lb[], MATCH($D230, regions_lb[[setting]:[setting]],0), MATCH(AR$139, regions_lb[#Headers],0)),INDEX(lmic_raw_lb[],MATCH($A230,lmic_raw_lb[[setting]:[setting]],0), MATCH(AR$139, lmic_raw_lb[#Headers],0)))</f>
        <v>4.796525179671271E-2</v>
      </c>
      <c r="AS230" s="98">
        <f>IF(INDEX(lmic_raw_lb[],MATCH($A230,lmic_raw_lb[[setting]:[setting]],0), MATCH(AS$139, lmic_raw_lb[#Headers],0))=0, INDEX(regions_lb[], MATCH($D230, regions_lb[[setting]:[setting]],0), MATCH(AS$139, regions_lb[#Headers],0)),INDEX(lmic_raw_lb[],MATCH($A230,lmic_raw_lb[[setting]:[setting]],0), MATCH(AS$139, lmic_raw_lb[#Headers],0)))</f>
        <v>7.5419863307138832E-2</v>
      </c>
      <c r="AT230" s="98">
        <f>IF(INDEX(lmic_raw_lb[],MATCH($A230,lmic_raw_lb[[setting]:[setting]],0), MATCH(AT$139, lmic_raw_lb[#Headers],0))=0, INDEX(regions_lb[], MATCH($D230, regions_lb[[setting]:[setting]],0), MATCH(AT$139, regions_lb[#Headers],0)),INDEX(lmic_raw_lb[],MATCH($A230,lmic_raw_lb[[setting]:[setting]],0), MATCH(AT$139, lmic_raw_lb[#Headers],0)))</f>
        <v>0.1104036325038866</v>
      </c>
      <c r="AU230" s="98">
        <f>IF(INDEX(lmic_raw_lb[],MATCH($A230,lmic_raw_lb[[setting]:[setting]],0), MATCH(AU$139, lmic_raw_lb[#Headers],0))=0, INDEX(regions_lb[], MATCH($D230, regions_lb[[setting]:[setting]],0), MATCH(AU$139, regions_lb[#Headers],0)),INDEX(lmic_raw_lb[],MATCH($A230,lmic_raw_lb[[setting]:[setting]],0), MATCH(AU$139, lmic_raw_lb[#Headers],0)))</f>
        <v>0.14358583382082996</v>
      </c>
      <c r="AV230" s="98">
        <f>IF(INDEX(lmic_raw_lb[],MATCH($A230,lmic_raw_lb[[setting]:[setting]],0), MATCH(AV$139, lmic_raw_lb[#Headers],0))=0, INDEX(regions_lb[], MATCH($D230, regions_lb[[setting]:[setting]],0), MATCH(AV$139, regions_lb[#Headers],0)),INDEX(lmic_raw_lb[],MATCH($A230,lmic_raw_lb[[setting]:[setting]],0), MATCH(AV$139, lmic_raw_lb[#Headers],0)))</f>
        <v>0.16647381207051634</v>
      </c>
      <c r="AW230" s="98">
        <f>IF(INDEX(lmic_raw_lb[],MATCH($A230,lmic_raw_lb[[setting]:[setting]],0), MATCH(AW$139, lmic_raw_lb[#Headers],0))=0, INDEX(regions_lb[], MATCH($D230, regions_lb[[setting]:[setting]],0), MATCH(AW$139, regions_lb[#Headers],0)),INDEX(lmic_raw_lb[],MATCH($A230,lmic_raw_lb[[setting]:[setting]],0), MATCH(AW$139, lmic_raw_lb[#Headers],0)))</f>
        <v>0.17697206575818969</v>
      </c>
      <c r="AX230" s="98">
        <f>IF(INDEX(lmic_raw_lb[],MATCH($A230,lmic_raw_lb[[setting]:[setting]],0), MATCH(AX$139, lmic_raw_lb[#Headers],0))=0, INDEX(regions_lb[], MATCH($D230, regions_lb[[setting]:[setting]],0), MATCH(AX$139, regions_lb[#Headers],0)),INDEX(lmic_raw_lb[],MATCH($A230,lmic_raw_lb[[setting]:[setting]],0), MATCH(AX$139, lmic_raw_lb[#Headers],0)))</f>
        <v>58.709049999999998</v>
      </c>
      <c r="AY230" s="98" t="str">
        <f>IF(VLOOKUP(lmics_lb[[#This Row],[setting]],lmic_raw_lb[],11,FALSE)=0, "Yes", "No")</f>
        <v>Yes</v>
      </c>
    </row>
    <row r="231" spans="1:51" x14ac:dyDescent="0.25">
      <c r="A231" s="110" t="s">
        <v>150</v>
      </c>
      <c r="B231" s="104" t="s">
        <v>484</v>
      </c>
      <c r="C231" s="105">
        <v>566</v>
      </c>
      <c r="D231" s="84" t="s">
        <v>677</v>
      </c>
      <c r="E231" s="122" t="s">
        <v>591</v>
      </c>
      <c r="F231" s="94" t="s">
        <v>667</v>
      </c>
      <c r="G231" s="94" t="s">
        <v>678</v>
      </c>
      <c r="H231" s="94"/>
      <c r="I231" s="94"/>
      <c r="J231" s="94">
        <f>IF(INDEX(lmic_raw_lb[],MATCH($A231,lmic_raw_lb[[setting]:[setting]],0), MATCH(J$139, lmic_raw_lb[#Headers],0))=0, INDEX(regions_lb[], MATCH($D231, regions_lb[[setting]:[setting]],0), MATCH(J$139, regions_lb[#Headers],0)),INDEX(lmic_raw_lb[],MATCH($A231,lmic_raw_lb[[setting]:[setting]],0), MATCH(J$139, lmic_raw_lb[#Headers],0)))</f>
        <v>0.37429999999999997</v>
      </c>
      <c r="K231" s="94">
        <f>IF(INDEX(lmic_raw_lb[],MATCH($A231,lmic_raw_lb[[setting]:[setting]],0), MATCH(K$139, lmic_raw_lb[#Headers],0))=0, INDEX(regions_lb[], MATCH($D231, regions_lb[[setting]:[setting]],0), MATCH(K$139, regions_lb[#Headers],0)),INDEX(lmic_raw_lb[],MATCH($A231,lmic_raw_lb[[setting]:[setting]],0), MATCH(K$139, lmic_raw_lb[#Headers],0)))</f>
        <v>0.65789974195504752</v>
      </c>
      <c r="L231" s="94">
        <f>IF(INDEX(lmic_raw_lb[],MATCH($A231,lmic_raw_lb[[setting]:[setting]],0), MATCH(L$139, lmic_raw_lb[#Headers],0))=0, INDEX(regions_lb[], MATCH($D231, regions_lb[[setting]:[setting]],0), MATCH(L$139, regions_lb[#Headers],0)),INDEX(lmic_raw_lb[],MATCH($A231,lmic_raw_lb[[setting]:[setting]],0), MATCH(L$139, lmic_raw_lb[#Headers],0)))</f>
        <v>0.54149999999999998</v>
      </c>
      <c r="M231" s="94">
        <f>IF(INDEX(lmic_raw_lb[],MATCH($A231,lmic_raw_lb[[setting]:[setting]],0), MATCH(M$139, lmic_raw_lb[#Headers],0))=0, INDEX(regions_lb[], MATCH($D231, regions_lb[[setting]:[setting]],0), MATCH(M$139, regions_lb[#Headers],0)),INDEX(lmic_raw_lb[],MATCH($A231,lmic_raw_lb[[setting]:[setting]],0), MATCH(M$139, lmic_raw_lb[#Headers],0)))</f>
        <v>4.3899999999999995E-2</v>
      </c>
      <c r="N231" s="94">
        <f>IF(INDEX(lmic_raw_lb[],MATCH($A231,lmic_raw_lb[[setting]:[setting]],0), MATCH(N$139, lmic_raw_lb[#Headers],0))=0, INDEX(regions_lb[], MATCH($D231, regions_lb[[setting]:[setting]],0), MATCH(N$139, regions_lb[#Headers],0)),INDEX(lmic_raw_lb[],MATCH($A231,lmic_raw_lb[[setting]:[setting]],0), MATCH(N$139, lmic_raw_lb[#Headers],0)))</f>
        <v>0.155</v>
      </c>
      <c r="O231" s="94">
        <f>IF(INDEX(lmic_raw_lb[],MATCH($A231,lmic_raw_lb[[setting]:[setting]],0), MATCH(O$139, lmic_raw_lb[#Headers],0))=0, INDEX(regions_lb[], MATCH($D231, regions_lb[[setting]:[setting]],0), MATCH(O$139, regions_lb[#Headers],0)),INDEX(lmic_raw_lb[],MATCH($A231,lmic_raw_lb[[setting]:[setting]],0), MATCH(O$139, lmic_raw_lb[#Headers],0)))</f>
        <v>7.0000000000000007E-2</v>
      </c>
      <c r="P231" s="94">
        <f>IF(INDEX(lmic_raw_lb[],MATCH($A231,lmic_raw_lb[[setting]:[setting]],0), MATCH(P$139, lmic_raw_lb[#Headers],0))=0, INDEX(regions_lb[], MATCH($D231, regions_lb[[setting]:[setting]],0), MATCH(P$139, regions_lb[#Headers],0)),INDEX(lmic_raw_lb[],MATCH($A231,lmic_raw_lb[[setting]:[setting]],0), MATCH(P$139, lmic_raw_lb[#Headers],0)))</f>
        <v>1E-3</v>
      </c>
      <c r="Q231" s="94">
        <f>IF(INDEX(lmic_raw_lb[],MATCH($A231,lmic_raw_lb[[setting]:[setting]],0), MATCH(Q$139, lmic_raw_lb[#Headers],0))=0, INDEX(regions_lb[], MATCH($D231, regions_lb[[setting]:[setting]],0), MATCH(Q$139, regions_lb[#Headers],0)),INDEX(lmic_raw_lb[],MATCH($A231,lmic_raw_lb[[setting]:[setting]],0), MATCH(Q$139, lmic_raw_lb[#Headers],0)))</f>
        <v>3.7882179548736268</v>
      </c>
      <c r="R231" s="94">
        <f>IF(INDEX(lmic_raw_lb[],MATCH($A231,lmic_raw_lb[[setting]:[setting]],0), MATCH(R$139, lmic_raw_lb[#Headers],0))=0, INDEX(regions_lb[], MATCH($D231, regions_lb[[setting]:[setting]],0), MATCH(R$139, regions_lb[#Headers],0)),INDEX(lmic_raw_lb[],MATCH($A231,lmic_raw_lb[[setting]:[setting]],0), MATCH(R$139, lmic_raw_lb[#Headers],0)))</f>
        <v>28.424474999999997</v>
      </c>
      <c r="S231" s="94">
        <f>IF(INDEX(lmic_raw_lb[],MATCH($A231,lmic_raw_lb[[setting]:[setting]],0), MATCH(S$139, lmic_raw_lb[#Headers],0))=0, INDEX(regions_lb[], MATCH($D231, regions_lb[[setting]:[setting]],0), MATCH(S$139, regions_lb[#Headers],0)),INDEX(lmic_raw_lb[],MATCH($A231,lmic_raw_lb[[setting]:[setting]],0), MATCH(S$139, lmic_raw_lb[#Headers],0)))</f>
        <v>73.779375000000002</v>
      </c>
      <c r="T231" s="94">
        <f>IF(INDEX(lmic_raw_lb[],MATCH($A231,lmic_raw_lb[[setting]:[setting]],0), MATCH(T$139, lmic_raw_lb[#Headers],0))=0, INDEX(regions_lb[], MATCH($D231, regions_lb[[setting]:[setting]],0), MATCH(T$139, regions_lb[#Headers],0)),INDEX(lmic_raw_lb[],MATCH($A231,lmic_raw_lb[[setting]:[setting]],0), MATCH(T$139, lmic_raw_lb[#Headers],0)))</f>
        <v>73.779375000000002</v>
      </c>
      <c r="U231" s="94">
        <f>IF(INDEX(lmic_raw_lb[],MATCH($A231,lmic_raw_lb[[setting]:[setting]],0), MATCH(U$139, lmic_raw_lb[#Headers],0))=0, INDEX(regions_lb[], MATCH($D231, regions_lb[[setting]:[setting]],0), MATCH(U$139, regions_lb[#Headers],0)),INDEX(lmic_raw_lb[],MATCH($A231,lmic_raw_lb[[setting]:[setting]],0), MATCH(U$139, lmic_raw_lb[#Headers],0)))</f>
        <v>73.779375000000002</v>
      </c>
      <c r="V231" s="94">
        <f>IF(INDEX(lmic_raw_lb[],MATCH($A231,lmic_raw_lb[[setting]:[setting]],0), MATCH(V$139, lmic_raw_lb[#Headers],0))=0, INDEX(regions_lb[], MATCH($D231, regions_lb[[setting]:[setting]],0), MATCH(V$139, regions_lb[#Headers],0)),INDEX(lmic_raw_lb[],MATCH($A231,lmic_raw_lb[[setting]:[setting]],0), MATCH(V$139, lmic_raw_lb[#Headers],0)))</f>
        <v>0.4882497934753855</v>
      </c>
      <c r="W231" s="94">
        <f>IF(INDEX(lmic_raw_lb[],MATCH($A231,lmic_raw_lb[[setting]:[setting]],0), MATCH(W$139, lmic_raw_lb[#Headers],0))=0, INDEX(regions_lb[], MATCH($D231, regions_lb[[setting]:[setting]],0), MATCH(W$139, regions_lb[#Headers],0)),INDEX(lmic_raw_lb[],MATCH($A231,lmic_raw_lb[[setting]:[setting]],0), MATCH(W$139, lmic_raw_lb[#Headers],0)))</f>
        <v>5.0755147934753859</v>
      </c>
      <c r="X231" s="94">
        <f>IF(INDEX(lmic_raw_lb[],MATCH($A231,lmic_raw_lb[[setting]:[setting]],0), MATCH(X$139, lmic_raw_lb[#Headers],0))=0, INDEX(regions_lb[], MATCH($D231, regions_lb[[setting]:[setting]],0), MATCH(X$139, regions_lb[#Headers],0)),INDEX(lmic_raw_lb[],MATCH($A231,lmic_raw_lb[[setting]:[setting]],0), MATCH(X$139, lmic_raw_lb[#Headers],0)))</f>
        <v>0.12090458844013983</v>
      </c>
      <c r="Y231" s="94">
        <f>IF(INDEX(lmic_raw_lb[],MATCH($A231,lmic_raw_lb[[setting]:[setting]],0), MATCH(Y$139, lmic_raw_lb[#Headers],0))=0, INDEX(regions_lb[], MATCH($D231, regions_lb[[setting]:[setting]],0), MATCH(Y$139, regions_lb[#Headers],0)),INDEX(lmic_raw_lb[],MATCH($A231,lmic_raw_lb[[setting]:[setting]],0), MATCH(Y$139, lmic_raw_lb[#Headers],0)))</f>
        <v>4.70816958844014</v>
      </c>
      <c r="Z231" s="94">
        <f>IF(INDEX(lmic_raw_lb[],MATCH($A231,lmic_raw_lb[[setting]:[setting]],0), MATCH(Z$139, lmic_raw_lb[#Headers],0))=0, INDEX(regions_lb[], MATCH($D231, regions_lb[[setting]:[setting]],0), MATCH(Z$139, regions_lb[#Headers],0)),INDEX(lmic_raw_lb[],MATCH($A231,lmic_raw_lb[[setting]:[setting]],0), MATCH(Z$139, lmic_raw_lb[#Headers],0)))</f>
        <v>4.7046943679560087</v>
      </c>
      <c r="AA231" s="94">
        <f>IF(INDEX(lmic_raw_lb[],MATCH($A231,lmic_raw_lb[[setting]:[setting]],0), MATCH(AA$139, lmic_raw_lb[#Headers],0))=0, INDEX(regions_lb[], MATCH($D231, regions_lb[[setting]:[setting]],0), MATCH(AA$139, regions_lb[#Headers],0)),INDEX(lmic_raw_lb[],MATCH($A231,lmic_raw_lb[[setting]:[setting]],0), MATCH(AA$139, lmic_raw_lb[#Headers],0)))</f>
        <v>0.70032498444041713</v>
      </c>
      <c r="AB231" s="94">
        <f>IF(INDEX(lmic_raw_lb[],MATCH($A231,lmic_raw_lb[[setting]:[setting]],0), MATCH(AB$139, lmic_raw_lb[#Headers],0))=0, INDEX(regions_lb[], MATCH($D231, regions_lb[[setting]:[setting]],0), MATCH(AB$139, regions_lb[#Headers],0)),INDEX(lmic_raw_lb[],MATCH($A231,lmic_raw_lb[[setting]:[setting]],0), MATCH(AB$139, lmic_raw_lb[#Headers],0)))</f>
        <v>5.2875899844404177</v>
      </c>
      <c r="AC231" s="94">
        <f>IF(INDEX(lmic_raw_lb[],MATCH($A231,lmic_raw_lb[[setting]:[setting]],0), MATCH(AC$139, lmic_raw_lb[#Headers],0))=0, INDEX(regions_lb[], MATCH($D231, regions_lb[[setting]:[setting]],0), MATCH(AC$139, regions_lb[#Headers],0)),INDEX(lmic_raw_lb[],MATCH($A231,lmic_raw_lb[[setting]:[setting]],0), MATCH(AC$139, lmic_raw_lb[#Headers],0)))</f>
        <v>5.9048665500000048E-2</v>
      </c>
      <c r="AD231" s="94">
        <f>IF(INDEX(lmic_raw_lb[],MATCH($A231,lmic_raw_lb[[setting]:[setting]],0), MATCH(AD$139, lmic_raw_lb[#Headers],0))=0, INDEX(regions_lb[], MATCH($D231, regions_lb[[setting]:[setting]],0), MATCH(AD$139, regions_lb[#Headers],0)),INDEX(lmic_raw_lb[],MATCH($A231,lmic_raw_lb[[setting]:[setting]],0), MATCH(AD$139, lmic_raw_lb[#Headers],0)))</f>
        <v>1.0027517677229533E-2</v>
      </c>
      <c r="AE231" s="94">
        <f>IF(INDEX(lmic_raw_lb[],MATCH($A231,lmic_raw_lb[[setting]:[setting]],0), MATCH(AE$139, lmic_raw_lb[#Headers],0))=0, INDEX(regions_lb[], MATCH($D231, regions_lb[[setting]:[setting]],0), MATCH(AE$139, regions_lb[#Headers],0)),INDEX(lmic_raw_lb[],MATCH($A231,lmic_raw_lb[[setting]:[setting]],0), MATCH(AE$139, lmic_raw_lb[#Headers],0)))</f>
        <v>5.6146480694000784E-3</v>
      </c>
      <c r="AF231" s="94">
        <f>IF(INDEX(lmic_raw_lb[],MATCH($A231,lmic_raw_lb[[setting]:[setting]],0), MATCH(AF$139, lmic_raw_lb[#Headers],0))=0, INDEX(regions_lb[], MATCH($D231, regions_lb[[setting]:[setting]],0), MATCH(AF$139, regions_lb[#Headers],0)),INDEX(lmic_raw_lb[],MATCH($A231,lmic_raw_lb[[setting]:[setting]],0), MATCH(AF$139, lmic_raw_lb[#Headers],0)))</f>
        <v>3.0550994782269922E-3</v>
      </c>
      <c r="AG231" s="94">
        <f>IF(INDEX(lmic_raw_lb[],MATCH($A231,lmic_raw_lb[[setting]:[setting]],0), MATCH(AG$139, lmic_raw_lb[#Headers],0))=0, INDEX(regions_lb[], MATCH($D231, regions_lb[[setting]:[setting]],0), MATCH(AG$139, regions_lb[#Headers],0)),INDEX(lmic_raw_lb[],MATCH($A231,lmic_raw_lb[[setting]:[setting]],0), MATCH(AG$139, lmic_raw_lb[#Headers],0)))</f>
        <v>4.8095114123836618E-3</v>
      </c>
      <c r="AH231" s="94">
        <f>IF(INDEX(lmic_raw_lb[],MATCH($A231,lmic_raw_lb[[setting]:[setting]],0), MATCH(AH$139, lmic_raw_lb[#Headers],0))=0, INDEX(regions_lb[], MATCH($D231, regions_lb[[setting]:[setting]],0), MATCH(AH$139, regions_lb[#Headers],0)),INDEX(lmic_raw_lb[],MATCH($A231,lmic_raw_lb[[setting]:[setting]],0), MATCH(AH$139, lmic_raw_lb[#Headers],0)))</f>
        <v>5.8008155239096778E-3</v>
      </c>
      <c r="AI231" s="94">
        <f>IF(INDEX(lmic_raw_lb[],MATCH($A231,lmic_raw_lb[[setting]:[setting]],0), MATCH(AI$139, lmic_raw_lb[#Headers],0))=0, INDEX(regions_lb[], MATCH($D231, regions_lb[[setting]:[setting]],0), MATCH(AI$139, regions_lb[#Headers],0)),INDEX(lmic_raw_lb[],MATCH($A231,lmic_raw_lb[[setting]:[setting]],0), MATCH(AI$139, lmic_raw_lb[#Headers],0)))</f>
        <v>6.3789270107266474E-3</v>
      </c>
      <c r="AJ231" s="94">
        <f>IF(INDEX(lmic_raw_lb[],MATCH($A231,lmic_raw_lb[[setting]:[setting]],0), MATCH(AJ$139, lmic_raw_lb[#Headers],0))=0, INDEX(regions_lb[], MATCH($D231, regions_lb[[setting]:[setting]],0), MATCH(AJ$139, regions_lb[#Headers],0)),INDEX(lmic_raw_lb[],MATCH($A231,lmic_raw_lb[[setting]:[setting]],0), MATCH(AJ$139, lmic_raw_lb[#Headers],0)))</f>
        <v>6.6826422520068745E-3</v>
      </c>
      <c r="AK231" s="94">
        <f>IF(INDEX(lmic_raw_lb[],MATCH($A231,lmic_raw_lb[[setting]:[setting]],0), MATCH(AK$139, lmic_raw_lb[#Headers],0))=0, INDEX(regions_lb[], MATCH($D231, regions_lb[[setting]:[setting]],0), MATCH(AK$139, regions_lb[#Headers],0)),INDEX(lmic_raw_lb[],MATCH($A231,lmic_raw_lb[[setting]:[setting]],0), MATCH(AK$139, lmic_raw_lb[#Headers],0)))</f>
        <v>7.3168459852606497E-3</v>
      </c>
      <c r="AL231" s="94">
        <f>IF(INDEX(lmic_raw_lb[],MATCH($A231,lmic_raw_lb[[setting]:[setting]],0), MATCH(AL$139, lmic_raw_lb[#Headers],0))=0, INDEX(regions_lb[], MATCH($D231, regions_lb[[setting]:[setting]],0), MATCH(AL$139, regions_lb[#Headers],0)),INDEX(lmic_raw_lb[],MATCH($A231,lmic_raw_lb[[setting]:[setting]],0), MATCH(AL$139, lmic_raw_lb[#Headers],0)))</f>
        <v>8.3127819725202241E-3</v>
      </c>
      <c r="AM231" s="94">
        <f>IF(INDEX(lmic_raw_lb[],MATCH($A231,lmic_raw_lb[[setting]:[setting]],0), MATCH(AM$139, lmic_raw_lb[#Headers],0))=0, INDEX(regions_lb[], MATCH($D231, regions_lb[[setting]:[setting]],0), MATCH(AM$139, regions_lb[#Headers],0)),INDEX(lmic_raw_lb[],MATCH($A231,lmic_raw_lb[[setting]:[setting]],0), MATCH(AM$139, lmic_raw_lb[#Headers],0)))</f>
        <v>9.6256285964555904E-3</v>
      </c>
      <c r="AN231" s="94">
        <f>IF(INDEX(lmic_raw_lb[],MATCH($A231,lmic_raw_lb[[setting]:[setting]],0), MATCH(AN$139, lmic_raw_lb[#Headers],0))=0, INDEX(regions_lb[], MATCH($D231, regions_lb[[setting]:[setting]],0), MATCH(AN$139, regions_lb[#Headers],0)),INDEX(lmic_raw_lb[],MATCH($A231,lmic_raw_lb[[setting]:[setting]],0), MATCH(AN$139, lmic_raw_lb[#Headers],0)))</f>
        <v>1.2711681050821559E-2</v>
      </c>
      <c r="AO231" s="94">
        <f>IF(INDEX(lmic_raw_lb[],MATCH($A231,lmic_raw_lb[[setting]:[setting]],0), MATCH(AO$139, lmic_raw_lb[#Headers],0))=0, INDEX(regions_lb[], MATCH($D231, regions_lb[[setting]:[setting]],0), MATCH(AO$139, regions_lb[#Headers],0)),INDEX(lmic_raw_lb[],MATCH($A231,lmic_raw_lb[[setting]:[setting]],0), MATCH(AO$139, lmic_raw_lb[#Headers],0)))</f>
        <v>1.7397701428286914E-2</v>
      </c>
      <c r="AP231" s="94">
        <f>IF(INDEX(lmic_raw_lb[],MATCH($A231,lmic_raw_lb[[setting]:[setting]],0), MATCH(AP$139, lmic_raw_lb[#Headers],0))=0, INDEX(regions_lb[], MATCH($D231, regions_lb[[setting]:[setting]],0), MATCH(AP$139, regions_lb[#Headers],0)),INDEX(lmic_raw_lb[],MATCH($A231,lmic_raw_lb[[setting]:[setting]],0), MATCH(AP$139, lmic_raw_lb[#Headers],0)))</f>
        <v>2.6774142736731121E-2</v>
      </c>
      <c r="AQ231" s="94">
        <f>IF(INDEX(lmic_raw_lb[],MATCH($A231,lmic_raw_lb[[setting]:[setting]],0), MATCH(AQ$139, lmic_raw_lb[#Headers],0))=0, INDEX(regions_lb[], MATCH($D231, regions_lb[[setting]:[setting]],0), MATCH(AQ$139, regions_lb[#Headers],0)),INDEX(lmic_raw_lb[],MATCH($A231,lmic_raw_lb[[setting]:[setting]],0), MATCH(AQ$139, lmic_raw_lb[#Headers],0)))</f>
        <v>4.0290624259295887E-2</v>
      </c>
      <c r="AR231" s="94">
        <f>IF(INDEX(lmic_raw_lb[],MATCH($A231,lmic_raw_lb[[setting]:[setting]],0), MATCH(AR$139, lmic_raw_lb[#Headers],0))=0, INDEX(regions_lb[], MATCH($D231, regions_lb[[setting]:[setting]],0), MATCH(AR$139, regions_lb[#Headers],0)),INDEX(lmic_raw_lb[],MATCH($A231,lmic_raw_lb[[setting]:[setting]],0), MATCH(AR$139, lmic_raw_lb[#Headers],0)))</f>
        <v>6.2423389304718906E-2</v>
      </c>
      <c r="AS231" s="94">
        <f>IF(INDEX(lmic_raw_lb[],MATCH($A231,lmic_raw_lb[[setting]:[setting]],0), MATCH(AS$139, lmic_raw_lb[#Headers],0))=0, INDEX(regions_lb[], MATCH($D231, regions_lb[[setting]:[setting]],0), MATCH(AS$139, regions_lb[#Headers],0)),INDEX(lmic_raw_lb[],MATCH($A231,lmic_raw_lb[[setting]:[setting]],0), MATCH(AS$139, lmic_raw_lb[#Headers],0)))</f>
        <v>9.2059244265893445E-2</v>
      </c>
      <c r="AT231" s="94">
        <f>IF(INDEX(lmic_raw_lb[],MATCH($A231,lmic_raw_lb[[setting]:[setting]],0), MATCH(AT$139, lmic_raw_lb[#Headers],0))=0, INDEX(regions_lb[], MATCH($D231, regions_lb[[setting]:[setting]],0), MATCH(AT$139, regions_lb[#Headers],0)),INDEX(lmic_raw_lb[],MATCH($A231,lmic_raw_lb[[setting]:[setting]],0), MATCH(AT$139, lmic_raw_lb[#Headers],0)))</f>
        <v>0.12599400336954539</v>
      </c>
      <c r="AU231" s="94">
        <f>IF(INDEX(lmic_raw_lb[],MATCH($A231,lmic_raw_lb[[setting]:[setting]],0), MATCH(AU$139, lmic_raw_lb[#Headers],0))=0, INDEX(regions_lb[], MATCH($D231, regions_lb[[setting]:[setting]],0), MATCH(AU$139, regions_lb[#Headers],0)),INDEX(lmic_raw_lb[],MATCH($A231,lmic_raw_lb[[setting]:[setting]],0), MATCH(AU$139, lmic_raw_lb[#Headers],0)))</f>
        <v>0.15441394223615879</v>
      </c>
      <c r="AV231" s="94">
        <f>IF(INDEX(lmic_raw_lb[],MATCH($A231,lmic_raw_lb[[setting]:[setting]],0), MATCH(AV$139, lmic_raw_lb[#Headers],0))=0, INDEX(regions_lb[], MATCH($D231, regions_lb[[setting]:[setting]],0), MATCH(AV$139, regions_lb[#Headers],0)),INDEX(lmic_raw_lb[],MATCH($A231,lmic_raw_lb[[setting]:[setting]],0), MATCH(AV$139, lmic_raw_lb[#Headers],0)))</f>
        <v>0.17181653055795049</v>
      </c>
      <c r="AW231" s="94">
        <f>IF(INDEX(lmic_raw_lb[],MATCH($A231,lmic_raw_lb[[setting]:[setting]],0), MATCH(AW$139, lmic_raw_lb[#Headers],0))=0, INDEX(regions_lb[], MATCH($D231, regions_lb[[setting]:[setting]],0), MATCH(AW$139, regions_lb[#Headers],0)),INDEX(lmic_raw_lb[],MATCH($A231,lmic_raw_lb[[setting]:[setting]],0), MATCH(AW$139, lmic_raw_lb[#Headers],0)))</f>
        <v>0.1770889043157382</v>
      </c>
      <c r="AX231" s="94">
        <f>IF(INDEX(lmic_raw_lb[],MATCH($A231,lmic_raw_lb[[setting]:[setting]],0), MATCH(AX$139, lmic_raw_lb[#Headers],0))=0, INDEX(regions_lb[], MATCH($D231, regions_lb[[setting]:[setting]],0), MATCH(AX$139, regions_lb[#Headers],0)),INDEX(lmic_raw_lb[],MATCH($A231,lmic_raw_lb[[setting]:[setting]],0), MATCH(AX$139, lmic_raw_lb[#Headers],0)))</f>
        <v>51.467199999999998</v>
      </c>
      <c r="AY231" s="94" t="str">
        <f>IF(VLOOKUP(lmics_lb[[#This Row],[setting]],lmic_raw_lb[],11,FALSE)=0, "Yes", "No")</f>
        <v>Yes</v>
      </c>
    </row>
    <row r="232" spans="1:51" x14ac:dyDescent="0.25">
      <c r="A232" s="109" t="s">
        <v>342</v>
      </c>
      <c r="B232" s="101" t="s">
        <v>485</v>
      </c>
      <c r="C232" s="102">
        <v>807</v>
      </c>
      <c r="D232" s="82" t="s">
        <v>675</v>
      </c>
      <c r="E232" s="121" t="s">
        <v>580</v>
      </c>
      <c r="F232" s="98" t="s">
        <v>663</v>
      </c>
      <c r="G232" s="98" t="s">
        <v>676</v>
      </c>
      <c r="H232" s="98"/>
      <c r="I232" s="98"/>
      <c r="J232" s="98">
        <f>IF(INDEX(lmic_raw_lb[],MATCH($A232,lmic_raw_lb[[setting]:[setting]],0), MATCH(J$139, lmic_raw_lb[#Headers],0))=0, INDEX(regions_lb[], MATCH($D232, regions_lb[[setting]:[setting]],0), MATCH(J$139, regions_lb[#Headers],0)),INDEX(lmic_raw_lb[],MATCH($A232,lmic_raw_lb[[setting]:[setting]],0), MATCH(J$139, lmic_raw_lb[#Headers],0)))</f>
        <v>0.9414499999999999</v>
      </c>
      <c r="K232" s="98">
        <f>IF(INDEX(lmic_raw_lb[],MATCH($A232,lmic_raw_lb[[setting]:[setting]],0), MATCH(K$139, lmic_raw_lb[#Headers],0))=0, INDEX(regions_lb[], MATCH($D232, regions_lb[[setting]:[setting]],0), MATCH(K$139, regions_lb[#Headers],0)),INDEX(lmic_raw_lb[],MATCH($A232,lmic_raw_lb[[setting]:[setting]],0), MATCH(K$139, lmic_raw_lb[#Headers],0)))</f>
        <v>0.93099999999999994</v>
      </c>
      <c r="L232" s="98">
        <f>IF(INDEX(lmic_raw_lb[],MATCH($A232,lmic_raw_lb[[setting]:[setting]],0), MATCH(L$139, lmic_raw_lb[#Headers],0))=0, INDEX(regions_lb[], MATCH($D232, regions_lb[[setting]:[setting]],0), MATCH(L$139, regions_lb[#Headers],0)),INDEX(lmic_raw_lb[],MATCH($A232,lmic_raw_lb[[setting]:[setting]],0), MATCH(L$139, lmic_raw_lb[#Headers],0)))</f>
        <v>0.874</v>
      </c>
      <c r="M232" s="98">
        <f>IF(INDEX(lmic_raw_lb[],MATCH($A232,lmic_raw_lb[[setting]:[setting]],0), MATCH(M$139, lmic_raw_lb[#Headers],0))=0, INDEX(regions_lb[], MATCH($D232, regions_lb[[setting]:[setting]],0), MATCH(M$139, regions_lb[#Headers],0)),INDEX(lmic_raw_lb[],MATCH($A232,lmic_raw_lb[[setting]:[setting]],0), MATCH(M$139, lmic_raw_lb[#Headers],0)))</f>
        <v>3.0000000000000001E-3</v>
      </c>
      <c r="N232" s="98">
        <f>IF(INDEX(lmic_raw_lb[],MATCH($A232,lmic_raw_lb[[setting]:[setting]],0), MATCH(N$139, lmic_raw_lb[#Headers],0))=0, INDEX(regions_lb[], MATCH($D232, regions_lb[[setting]:[setting]],0), MATCH(N$139, regions_lb[#Headers],0)),INDEX(lmic_raw_lb[],MATCH($A232,lmic_raw_lb[[setting]:[setting]],0), MATCH(N$139, lmic_raw_lb[#Headers],0)))</f>
        <v>0.16329999999999997</v>
      </c>
      <c r="O232" s="98">
        <f>IF(INDEX(lmic_raw_lb[],MATCH($A232,lmic_raw_lb[[setting]:[setting]],0), MATCH(O$139, lmic_raw_lb[#Headers],0))=0, INDEX(regions_lb[], MATCH($D232, regions_lb[[setting]:[setting]],0), MATCH(O$139, regions_lb[#Headers],0)),INDEX(lmic_raw_lb[],MATCH($A232,lmic_raw_lb[[setting]:[setting]],0), MATCH(O$139, lmic_raw_lb[#Headers],0)))</f>
        <v>0.7</v>
      </c>
      <c r="P232" s="98">
        <f>IF(INDEX(lmic_raw_lb[],MATCH($A232,lmic_raw_lb[[setting]:[setting]],0), MATCH(P$139, lmic_raw_lb[#Headers],0))=0, INDEX(regions_lb[], MATCH($D232, regions_lb[[setting]:[setting]],0), MATCH(P$139, regions_lb[#Headers],0)),INDEX(lmic_raw_lb[],MATCH($A232,lmic_raw_lb[[setting]:[setting]],0), MATCH(P$139, lmic_raw_lb[#Headers],0)))</f>
        <v>0.05</v>
      </c>
      <c r="Q232" s="98">
        <f>IF(INDEX(lmic_raw_lb[],MATCH($A232,lmic_raw_lb[[setting]:[setting]],0), MATCH(Q$139, lmic_raw_lb[#Headers],0))=0, INDEX(regions_lb[], MATCH($D232, regions_lb[[setting]:[setting]],0), MATCH(Q$139, regions_lb[#Headers],0)),INDEX(lmic_raw_lb[],MATCH($A232,lmic_raw_lb[[setting]:[setting]],0), MATCH(Q$139, lmic_raw_lb[#Headers],0)))</f>
        <v>8.467590979554652</v>
      </c>
      <c r="R232" s="98">
        <f>IF(INDEX(lmic_raw_lb[],MATCH($A232,lmic_raw_lb[[setting]:[setting]],0), MATCH(R$139, lmic_raw_lb[#Headers],0))=0, INDEX(regions_lb[], MATCH($D232, regions_lb[[setting]:[setting]],0), MATCH(R$139, regions_lb[#Headers],0)),INDEX(lmic_raw_lb[],MATCH($A232,lmic_raw_lb[[setting]:[setting]],0), MATCH(R$139, lmic_raw_lb[#Headers],0)))</f>
        <v>42.31053</v>
      </c>
      <c r="S232" s="98">
        <f>IF(INDEX(lmic_raw_lb[],MATCH($A232,lmic_raw_lb[[setting]:[setting]],0), MATCH(S$139, lmic_raw_lb[#Headers],0))=0, INDEX(regions_lb[], MATCH($D232, regions_lb[[setting]:[setting]],0), MATCH(S$139, regions_lb[#Headers],0)),INDEX(lmic_raw_lb[],MATCH($A232,lmic_raw_lb[[setting]:[setting]],0), MATCH(S$139, lmic_raw_lb[#Headers],0)))</f>
        <v>87.665430000000001</v>
      </c>
      <c r="T232" s="98">
        <f>IF(INDEX(lmic_raw_lb[],MATCH($A232,lmic_raw_lb[[setting]:[setting]],0), MATCH(T$139, lmic_raw_lb[#Headers],0))=0, INDEX(regions_lb[], MATCH($D232, regions_lb[[setting]:[setting]],0), MATCH(T$139, regions_lb[#Headers],0)),INDEX(lmic_raw_lb[],MATCH($A232,lmic_raw_lb[[setting]:[setting]],0), MATCH(T$139, lmic_raw_lb[#Headers],0)))</f>
        <v>87.665430000000001</v>
      </c>
      <c r="U232" s="98">
        <f>IF(INDEX(lmic_raw_lb[],MATCH($A232,lmic_raw_lb[[setting]:[setting]],0), MATCH(U$139, lmic_raw_lb[#Headers],0))=0, INDEX(regions_lb[], MATCH($D232, regions_lb[[setting]:[setting]],0), MATCH(U$139, regions_lb[#Headers],0)),INDEX(lmic_raw_lb[],MATCH($A232,lmic_raw_lb[[setting]:[setting]],0), MATCH(U$139, lmic_raw_lb[#Headers],0)))</f>
        <v>87.665430000000001</v>
      </c>
      <c r="V232" s="98">
        <f>IF(INDEX(lmic_raw_lb[],MATCH($A232,lmic_raw_lb[[setting]:[setting]],0), MATCH(V$139, lmic_raw_lb[#Headers],0))=0, INDEX(regions_lb[], MATCH($D232, regions_lb[[setting]:[setting]],0), MATCH(V$139, regions_lb[#Headers],0)),INDEX(lmic_raw_lb[],MATCH($A232,lmic_raw_lb[[setting]:[setting]],0), MATCH(V$139, lmic_raw_lb[#Headers],0)))</f>
        <v>2.9046038295421059</v>
      </c>
      <c r="W232" s="98">
        <f>IF(INDEX(lmic_raw_lb[],MATCH($A232,lmic_raw_lb[[setting]:[setting]],0), MATCH(W$139, lmic_raw_lb[#Headers],0))=0, INDEX(regions_lb[], MATCH($D232, regions_lb[[setting]:[setting]],0), MATCH(W$139, regions_lb[#Headers],0)),INDEX(lmic_raw_lb[],MATCH($A232,lmic_raw_lb[[setting]:[setting]],0), MATCH(W$139, lmic_raw_lb[#Headers],0)))</f>
        <v>6.7670188295421063</v>
      </c>
      <c r="X232" s="98">
        <f>IF(INDEX(lmic_raw_lb[],MATCH($A232,lmic_raw_lb[[setting]:[setting]],0), MATCH(X$139, lmic_raw_lb[#Headers],0))=0, INDEX(regions_lb[], MATCH($D232, regions_lb[[setting]:[setting]],0), MATCH(X$139, regions_lb[#Headers],0)),INDEX(lmic_raw_lb[],MATCH($A232,lmic_raw_lb[[setting]:[setting]],0), MATCH(X$139, lmic_raw_lb[#Headers],0)))</f>
        <v>2.534724609655858</v>
      </c>
      <c r="Y232" s="98">
        <f>IF(INDEX(lmic_raw_lb[],MATCH($A232,lmic_raw_lb[[setting]:[setting]],0), MATCH(Y$139, lmic_raw_lb[#Headers],0))=0, INDEX(regions_lb[], MATCH($D232, regions_lb[[setting]:[setting]],0), MATCH(Y$139, regions_lb[#Headers],0)),INDEX(lmic_raw_lb[],MATCH($A232,lmic_raw_lb[[setting]:[setting]],0), MATCH(Y$139, lmic_raw_lb[#Headers],0)))</f>
        <v>6.3971396096558584</v>
      </c>
      <c r="Z232" s="98">
        <f>IF(INDEX(lmic_raw_lb[],MATCH($A232,lmic_raw_lb[[setting]:[setting]],0), MATCH(Z$139, lmic_raw_lb[#Headers],0))=0, INDEX(regions_lb[], MATCH($D232, regions_lb[[setting]:[setting]],0), MATCH(Z$139, regions_lb[#Headers],0)),INDEX(lmic_raw_lb[],MATCH($A232,lmic_raw_lb[[setting]:[setting]],0), MATCH(Z$139, lmic_raw_lb[#Headers],0)))</f>
        <v>6.3919558032663701</v>
      </c>
      <c r="AA232" s="98">
        <f>IF(INDEX(lmic_raw_lb[],MATCH($A232,lmic_raw_lb[[setting]:[setting]],0), MATCH(AA$139, lmic_raw_lb[#Headers],0))=0, INDEX(regions_lb[], MATCH($D232, regions_lb[[setting]:[setting]],0), MATCH(AA$139, regions_lb[#Headers],0)),INDEX(lmic_raw_lb[],MATCH($A232,lmic_raw_lb[[setting]:[setting]],0), MATCH(AA$139, lmic_raw_lb[#Headers],0)))</f>
        <v>3.1177650268718526</v>
      </c>
      <c r="AB232" s="98">
        <f>IF(INDEX(lmic_raw_lb[],MATCH($A232,lmic_raw_lb[[setting]:[setting]],0), MATCH(AB$139, lmic_raw_lb[#Headers],0))=0, INDEX(regions_lb[], MATCH($D232, regions_lb[[setting]:[setting]],0), MATCH(AB$139, regions_lb[#Headers],0)),INDEX(lmic_raw_lb[],MATCH($A232,lmic_raw_lb[[setting]:[setting]],0), MATCH(AB$139, lmic_raw_lb[#Headers],0)))</f>
        <v>6.980180026871853</v>
      </c>
      <c r="AC232" s="98">
        <f>IF(INDEX(lmic_raw_lb[],MATCH($A232,lmic_raw_lb[[setting]:[setting]],0), MATCH(AC$139, lmic_raw_lb[#Headers],0))=0, INDEX(regions_lb[], MATCH($D232, regions_lb[[setting]:[setting]],0), MATCH(AC$139, regions_lb[#Headers],0)),INDEX(lmic_raw_lb[],MATCH($A232,lmic_raw_lb[[setting]:[setting]],0), MATCH(AC$139, lmic_raw_lb[#Headers],0)))</f>
        <v>1.0154834999999933E-2</v>
      </c>
      <c r="AD232" s="98">
        <f>IF(INDEX(lmic_raw_lb[],MATCH($A232,lmic_raw_lb[[setting]:[setting]],0), MATCH(AD$139, lmic_raw_lb[#Headers],0))=0, INDEX(regions_lb[], MATCH($D232, regions_lb[[setting]:[setting]],0), MATCH(AD$139, regions_lb[#Headers],0)),INDEX(lmic_raw_lb[],MATCH($A232,lmic_raw_lb[[setting]:[setting]],0), MATCH(AD$139, lmic_raw_lb[#Headers],0)))</f>
        <v>2.7047291614255099E-4</v>
      </c>
      <c r="AE232" s="98">
        <f>IF(INDEX(lmic_raw_lb[],MATCH($A232,lmic_raw_lb[[setting]:[setting]],0), MATCH(AE$139, lmic_raw_lb[#Headers],0))=0, INDEX(regions_lb[], MATCH($D232, regions_lb[[setting]:[setting]],0), MATCH(AE$139, regions_lb[#Headers],0)),INDEX(lmic_raw_lb[],MATCH($A232,lmic_raw_lb[[setting]:[setting]],0), MATCH(AE$139, lmic_raw_lb[#Headers],0)))</f>
        <v>1.3250031846294633E-4</v>
      </c>
      <c r="AF232" s="98">
        <f>IF(INDEX(lmic_raw_lb[],MATCH($A232,lmic_raw_lb[[setting]:[setting]],0), MATCH(AF$139, lmic_raw_lb[#Headers],0))=0, INDEX(regions_lb[], MATCH($D232, regions_lb[[setting]:[setting]],0), MATCH(AF$139, regions_lb[#Headers],0)),INDEX(lmic_raw_lb[],MATCH($A232,lmic_raw_lb[[setting]:[setting]],0), MATCH(AF$139, lmic_raw_lb[#Headers],0)))</f>
        <v>1.759380207843138E-4</v>
      </c>
      <c r="AG232" s="98">
        <f>IF(INDEX(lmic_raw_lb[],MATCH($A232,lmic_raw_lb[[setting]:[setting]],0), MATCH(AG$139, lmic_raw_lb[#Headers],0))=0, INDEX(regions_lb[], MATCH($D232, regions_lb[[setting]:[setting]],0), MATCH(AG$139, regions_lb[#Headers],0)),INDEX(lmic_raw_lb[],MATCH($A232,lmic_raw_lb[[setting]:[setting]],0), MATCH(AG$139, lmic_raw_lb[#Headers],0)))</f>
        <v>2.7696716081456271E-4</v>
      </c>
      <c r="AH232" s="98">
        <f>IF(INDEX(lmic_raw_lb[],MATCH($A232,lmic_raw_lb[[setting]:[setting]],0), MATCH(AH$139, lmic_raw_lb[#Headers],0))=0, INDEX(regions_lb[], MATCH($D232, regions_lb[[setting]:[setting]],0), MATCH(AH$139, regions_lb[#Headers],0)),INDEX(lmic_raw_lb[],MATCH($A232,lmic_raw_lb[[setting]:[setting]],0), MATCH(AH$139, lmic_raw_lb[#Headers],0)))</f>
        <v>2.9802353231511865E-4</v>
      </c>
      <c r="AI232" s="98">
        <f>IF(INDEX(lmic_raw_lb[],MATCH($A232,lmic_raw_lb[[setting]:[setting]],0), MATCH(AI$139, lmic_raw_lb[#Headers],0))=0, INDEX(regions_lb[], MATCH($D232, regions_lb[[setting]:[setting]],0), MATCH(AI$139, regions_lb[#Headers],0)),INDEX(lmic_raw_lb[],MATCH($A232,lmic_raw_lb[[setting]:[setting]],0), MATCH(AI$139, lmic_raw_lb[#Headers],0)))</f>
        <v>4.4430692201107307E-4</v>
      </c>
      <c r="AJ232" s="98">
        <f>IF(INDEX(lmic_raw_lb[],MATCH($A232,lmic_raw_lb[[setting]:[setting]],0), MATCH(AJ$139, lmic_raw_lb[#Headers],0))=0, INDEX(regions_lb[], MATCH($D232, regions_lb[[setting]:[setting]],0), MATCH(AJ$139, regions_lb[#Headers],0)),INDEX(lmic_raw_lb[],MATCH($A232,lmic_raw_lb[[setting]:[setting]],0), MATCH(AJ$139, lmic_raw_lb[#Headers],0)))</f>
        <v>5.3079149329916591E-4</v>
      </c>
      <c r="AK232" s="98">
        <f>IF(INDEX(lmic_raw_lb[],MATCH($A232,lmic_raw_lb[[setting]:[setting]],0), MATCH(AK$139, lmic_raw_lb[#Headers],0))=0, INDEX(regions_lb[], MATCH($D232, regions_lb[[setting]:[setting]],0), MATCH(AK$139, regions_lb[#Headers],0)),INDEX(lmic_raw_lb[],MATCH($A232,lmic_raw_lb[[setting]:[setting]],0), MATCH(AK$139, lmic_raw_lb[#Headers],0)))</f>
        <v>8.4651888102711594E-4</v>
      </c>
      <c r="AL232" s="98">
        <f>IF(INDEX(lmic_raw_lb[],MATCH($A232,lmic_raw_lb[[setting]:[setting]],0), MATCH(AL$139, lmic_raw_lb[#Headers],0))=0, INDEX(regions_lb[], MATCH($D232, regions_lb[[setting]:[setting]],0), MATCH(AL$139, regions_lb[#Headers],0)),INDEX(lmic_raw_lb[],MATCH($A232,lmic_raw_lb[[setting]:[setting]],0), MATCH(AL$139, lmic_raw_lb[#Headers],0)))</f>
        <v>1.5460707338922123E-3</v>
      </c>
      <c r="AM232" s="98">
        <f>IF(INDEX(lmic_raw_lb[],MATCH($A232,lmic_raw_lb[[setting]:[setting]],0), MATCH(AM$139, lmic_raw_lb[#Headers],0))=0, INDEX(regions_lb[], MATCH($D232, regions_lb[[setting]:[setting]],0), MATCH(AM$139, regions_lb[#Headers],0)),INDEX(lmic_raw_lb[],MATCH($A232,lmic_raw_lb[[setting]:[setting]],0), MATCH(AM$139, lmic_raw_lb[#Headers],0)))</f>
        <v>2.3879528108412418E-3</v>
      </c>
      <c r="AN232" s="98">
        <f>IF(INDEX(lmic_raw_lb[],MATCH($A232,lmic_raw_lb[[setting]:[setting]],0), MATCH(AN$139, lmic_raw_lb[#Headers],0))=0, INDEX(regions_lb[], MATCH($D232, regions_lb[[setting]:[setting]],0), MATCH(AN$139, regions_lb[#Headers],0)),INDEX(lmic_raw_lb[],MATCH($A232,lmic_raw_lb[[setting]:[setting]],0), MATCH(AN$139, lmic_raw_lb[#Headers],0)))</f>
        <v>4.4545012750539636E-3</v>
      </c>
      <c r="AO232" s="98">
        <f>IF(INDEX(lmic_raw_lb[],MATCH($A232,lmic_raw_lb[[setting]:[setting]],0), MATCH(AO$139, lmic_raw_lb[#Headers],0))=0, INDEX(regions_lb[], MATCH($D232, regions_lb[[setting]:[setting]],0), MATCH(AO$139, regions_lb[#Headers],0)),INDEX(lmic_raw_lb[],MATCH($A232,lmic_raw_lb[[setting]:[setting]],0), MATCH(AO$139, lmic_raw_lb[#Headers],0)))</f>
        <v>7.5720767705574916E-3</v>
      </c>
      <c r="AP232" s="98">
        <f>IF(INDEX(lmic_raw_lb[],MATCH($A232,lmic_raw_lb[[setting]:[setting]],0), MATCH(AP$139, lmic_raw_lb[#Headers],0))=0, INDEX(regions_lb[], MATCH($D232, regions_lb[[setting]:[setting]],0), MATCH(AP$139, regions_lb[#Headers],0)),INDEX(lmic_raw_lb[],MATCH($A232,lmic_raw_lb[[setting]:[setting]],0), MATCH(AP$139, lmic_raw_lb[#Headers],0)))</f>
        <v>1.2511948372376555E-2</v>
      </c>
      <c r="AQ232" s="98">
        <f>IF(INDEX(lmic_raw_lb[],MATCH($A232,lmic_raw_lb[[setting]:[setting]],0), MATCH(AQ$139, lmic_raw_lb[#Headers],0))=0, INDEX(regions_lb[], MATCH($D232, regions_lb[[setting]:[setting]],0), MATCH(AQ$139, regions_lb[#Headers],0)),INDEX(lmic_raw_lb[],MATCH($A232,lmic_raw_lb[[setting]:[setting]],0), MATCH(AQ$139, lmic_raw_lb[#Headers],0)))</f>
        <v>1.9364195228316873E-2</v>
      </c>
      <c r="AR232" s="98">
        <f>IF(INDEX(lmic_raw_lb[],MATCH($A232,lmic_raw_lb[[setting]:[setting]],0), MATCH(AR$139, lmic_raw_lb[#Headers],0))=0, INDEX(regions_lb[], MATCH($D232, regions_lb[[setting]:[setting]],0), MATCH(AR$139, regions_lb[#Headers],0)),INDEX(lmic_raw_lb[],MATCH($A232,lmic_raw_lb[[setting]:[setting]],0), MATCH(AR$139, lmic_raw_lb[#Headers],0)))</f>
        <v>3.0417303977783351E-2</v>
      </c>
      <c r="AS232" s="98">
        <f>IF(INDEX(lmic_raw_lb[],MATCH($A232,lmic_raw_lb[[setting]:[setting]],0), MATCH(AS$139, lmic_raw_lb[#Headers],0))=0, INDEX(regions_lb[], MATCH($D232, regions_lb[[setting]:[setting]],0), MATCH(AS$139, regions_lb[#Headers],0)),INDEX(lmic_raw_lb[],MATCH($A232,lmic_raw_lb[[setting]:[setting]],0), MATCH(AS$139, lmic_raw_lb[#Headers],0)))</f>
        <v>5.3976580421549812E-2</v>
      </c>
      <c r="AT232" s="98">
        <f>IF(INDEX(lmic_raw_lb[],MATCH($A232,lmic_raw_lb[[setting]:[setting]],0), MATCH(AT$139, lmic_raw_lb[#Headers],0))=0, INDEX(regions_lb[], MATCH($D232, regions_lb[[setting]:[setting]],0), MATCH(AT$139, regions_lb[#Headers],0)),INDEX(lmic_raw_lb[],MATCH($A232,lmic_raw_lb[[setting]:[setting]],0), MATCH(AT$139, lmic_raw_lb[#Headers],0)))</f>
        <v>8.6952502476853016E-2</v>
      </c>
      <c r="AU232" s="98">
        <f>IF(INDEX(lmic_raw_lb[],MATCH($A232,lmic_raw_lb[[setting]:[setting]],0), MATCH(AU$139, lmic_raw_lb[#Headers],0))=0, INDEX(regions_lb[], MATCH($D232, regions_lb[[setting]:[setting]],0), MATCH(AU$139, regions_lb[#Headers],0)),INDEX(lmic_raw_lb[],MATCH($A232,lmic_raw_lb[[setting]:[setting]],0), MATCH(AU$139, lmic_raw_lb[#Headers],0)))</f>
        <v>0.12323479313347013</v>
      </c>
      <c r="AV232" s="98">
        <f>IF(INDEX(lmic_raw_lb[],MATCH($A232,lmic_raw_lb[[setting]:[setting]],0), MATCH(AV$139, lmic_raw_lb[#Headers],0))=0, INDEX(regions_lb[], MATCH($D232, regions_lb[[setting]:[setting]],0), MATCH(AV$139, regions_lb[#Headers],0)),INDEX(lmic_raw_lb[],MATCH($A232,lmic_raw_lb[[setting]:[setting]],0), MATCH(AV$139, lmic_raw_lb[#Headers],0)))</f>
        <v>0.1584157010486904</v>
      </c>
      <c r="AW232" s="98">
        <f>IF(INDEX(lmic_raw_lb[],MATCH($A232,lmic_raw_lb[[setting]:[setting]],0), MATCH(AW$139, lmic_raw_lb[#Headers],0))=0, INDEX(regions_lb[], MATCH($D232, regions_lb[[setting]:[setting]],0), MATCH(AW$139, regions_lb[#Headers],0)),INDEX(lmic_raw_lb[],MATCH($A232,lmic_raw_lb[[setting]:[setting]],0), MATCH(AW$139, lmic_raw_lb[#Headers],0)))</f>
        <v>0.17693515833224979</v>
      </c>
      <c r="AX232" s="98">
        <f>IF(INDEX(lmic_raw_lb[],MATCH($A232,lmic_raw_lb[[setting]:[setting]],0), MATCH(AX$139, lmic_raw_lb[#Headers],0))=0, INDEX(regions_lb[], MATCH($D232, regions_lb[[setting]:[setting]],0), MATCH(AX$139, regions_lb[#Headers],0)),INDEX(lmic_raw_lb[],MATCH($A232,lmic_raw_lb[[setting]:[setting]],0), MATCH(AX$139, lmic_raw_lb[#Headers],0)))</f>
        <v>71.822849999999988</v>
      </c>
      <c r="AY232" s="98" t="str">
        <f>IF(VLOOKUP(lmics_lb[[#This Row],[setting]],lmic_raw_lb[],11,FALSE)=0, "Yes", "No")</f>
        <v>No</v>
      </c>
    </row>
    <row r="233" spans="1:51" x14ac:dyDescent="0.25">
      <c r="A233" s="110" t="s">
        <v>198</v>
      </c>
      <c r="B233" s="104" t="s">
        <v>488</v>
      </c>
      <c r="C233" s="105">
        <v>586</v>
      </c>
      <c r="D233" s="84" t="s">
        <v>673</v>
      </c>
      <c r="E233" s="122" t="s">
        <v>589</v>
      </c>
      <c r="F233" s="94" t="s">
        <v>589</v>
      </c>
      <c r="G233" s="94" t="s">
        <v>678</v>
      </c>
      <c r="H233" s="94"/>
      <c r="I233" s="94"/>
      <c r="J233" s="94">
        <f>IF(INDEX(lmic_raw_lb[],MATCH($A233,lmic_raw_lb[[setting]:[setting]],0), MATCH(J$139, lmic_raw_lb[#Headers],0))=0, INDEX(regions_lb[], MATCH($D233, regions_lb[[setting]:[setting]],0), MATCH(J$139, regions_lb[#Headers],0)),INDEX(lmic_raw_lb[],MATCH($A233,lmic_raw_lb[[setting]:[setting]],0), MATCH(J$139, lmic_raw_lb[#Headers],0)))</f>
        <v>0.62890000000000001</v>
      </c>
      <c r="K233" s="94">
        <f>IF(INDEX(lmic_raw_lb[],MATCH($A233,lmic_raw_lb[[setting]:[setting]],0), MATCH(K$139, lmic_raw_lb[#Headers],0))=0, INDEX(regions_lb[], MATCH($D233, regions_lb[[setting]:[setting]],0), MATCH(K$139, regions_lb[#Headers],0)),INDEX(lmic_raw_lb[],MATCH($A233,lmic_raw_lb[[setting]:[setting]],0), MATCH(K$139, lmic_raw_lb[#Headers],0)))</f>
        <v>0.67438226776312915</v>
      </c>
      <c r="L233" s="94">
        <f>IF(INDEX(lmic_raw_lb[],MATCH($A233,lmic_raw_lb[[setting]:[setting]],0), MATCH(L$139, lmic_raw_lb[#Headers],0))=0, INDEX(regions_lb[], MATCH($D233, regions_lb[[setting]:[setting]],0), MATCH(L$139, regions_lb[#Headers],0)),INDEX(lmic_raw_lb[],MATCH($A233,lmic_raw_lb[[setting]:[setting]],0), MATCH(L$139, lmic_raw_lb[#Headers],0)))</f>
        <v>0.71249999999999991</v>
      </c>
      <c r="M233" s="94">
        <f>IF(INDEX(lmic_raw_lb[],MATCH($A233,lmic_raw_lb[[setting]:[setting]],0), MATCH(M$139, lmic_raw_lb[#Headers],0))=0, INDEX(regions_lb[], MATCH($D233, regions_lb[[setting]:[setting]],0), MATCH(M$139, regions_lb[#Headers],0)),INDEX(lmic_raw_lb[],MATCH($A233,lmic_raw_lb[[setting]:[setting]],0), MATCH(M$139, lmic_raw_lb[#Headers],0)))</f>
        <v>4.4400000000000002E-2</v>
      </c>
      <c r="N233" s="94">
        <f>IF(INDEX(lmic_raw_lb[],MATCH($A233,lmic_raw_lb[[setting]:[setting]],0), MATCH(N$139, lmic_raw_lb[#Headers],0))=0, INDEX(regions_lb[], MATCH($D233, regions_lb[[setting]:[setting]],0), MATCH(N$139, regions_lb[#Headers],0)),INDEX(lmic_raw_lb[],MATCH($A233,lmic_raw_lb[[setting]:[setting]],0), MATCH(N$139, lmic_raw_lb[#Headers],0)))</f>
        <v>0.1482</v>
      </c>
      <c r="O233" s="94">
        <f>IF(INDEX(lmic_raw_lb[],MATCH($A233,lmic_raw_lb[[setting]:[setting]],0), MATCH(O$139, lmic_raw_lb[#Headers],0))=0, INDEX(regions_lb[], MATCH($D233, regions_lb[[setting]:[setting]],0), MATCH(O$139, regions_lb[#Headers],0)),INDEX(lmic_raw_lb[],MATCH($A233,lmic_raw_lb[[setting]:[setting]],0), MATCH(O$139, lmic_raw_lb[#Headers],0)))</f>
        <v>0.7</v>
      </c>
      <c r="P233" s="94">
        <f>IF(INDEX(lmic_raw_lb[],MATCH($A233,lmic_raw_lb[[setting]:[setting]],0), MATCH(P$139, lmic_raw_lb[#Headers],0))=0, INDEX(regions_lb[], MATCH($D233, regions_lb[[setting]:[setting]],0), MATCH(P$139, regions_lb[#Headers],0)),INDEX(lmic_raw_lb[],MATCH($A233,lmic_raw_lb[[setting]:[setting]],0), MATCH(P$139, lmic_raw_lb[#Headers],0)))</f>
        <v>0.05</v>
      </c>
      <c r="Q233" s="94">
        <f>IF(INDEX(lmic_raw_lb[],MATCH($A233,lmic_raw_lb[[setting]:[setting]],0), MATCH(Q$139, lmic_raw_lb[#Headers],0))=0, INDEX(regions_lb[], MATCH($D233, regions_lb[[setting]:[setting]],0), MATCH(Q$139, regions_lb[#Headers],0)),INDEX(lmic_raw_lb[],MATCH($A233,lmic_raw_lb[[setting]:[setting]],0), MATCH(Q$139, lmic_raw_lb[#Headers],0)))</f>
        <v>2.9312725334862586</v>
      </c>
      <c r="R233" s="94">
        <f>IF(INDEX(lmic_raw_lb[],MATCH($A233,lmic_raw_lb[[setting]:[setting]],0), MATCH(R$139, lmic_raw_lb[#Headers],0))=0, INDEX(regions_lb[], MATCH($D233, regions_lb[[setting]:[setting]],0), MATCH(R$139, regions_lb[#Headers],0)),INDEX(lmic_raw_lb[],MATCH($A233,lmic_raw_lb[[setting]:[setting]],0), MATCH(R$139, lmic_raw_lb[#Headers],0)))</f>
        <v>43.604905000000002</v>
      </c>
      <c r="S233" s="94">
        <f>IF(INDEX(lmic_raw_lb[],MATCH($A233,lmic_raw_lb[[setting]:[setting]],0), MATCH(S$139, lmic_raw_lb[#Headers],0))=0, INDEX(regions_lb[], MATCH($D233, regions_lb[[setting]:[setting]],0), MATCH(S$139, regions_lb[#Headers],0)),INDEX(lmic_raw_lb[],MATCH($A233,lmic_raw_lb[[setting]:[setting]],0), MATCH(S$139, lmic_raw_lb[#Headers],0)))</f>
        <v>88.959805000000003</v>
      </c>
      <c r="T233" s="94">
        <f>IF(INDEX(lmic_raw_lb[],MATCH($A233,lmic_raw_lb[[setting]:[setting]],0), MATCH(T$139, lmic_raw_lb[#Headers],0))=0, INDEX(regions_lb[], MATCH($D233, regions_lb[[setting]:[setting]],0), MATCH(T$139, regions_lb[#Headers],0)),INDEX(lmic_raw_lb[],MATCH($A233,lmic_raw_lb[[setting]:[setting]],0), MATCH(T$139, lmic_raw_lb[#Headers],0)))</f>
        <v>88.959805000000003</v>
      </c>
      <c r="U233" s="94">
        <f>IF(INDEX(lmic_raw_lb[],MATCH($A233,lmic_raw_lb[[setting]:[setting]],0), MATCH(U$139, lmic_raw_lb[#Headers],0))=0, INDEX(regions_lb[], MATCH($D233, regions_lb[[setting]:[setting]],0), MATCH(U$139, regions_lb[#Headers],0)),INDEX(lmic_raw_lb[],MATCH($A233,lmic_raw_lb[[setting]:[setting]],0), MATCH(U$139, lmic_raw_lb[#Headers],0)))</f>
        <v>88.959805000000003</v>
      </c>
      <c r="V233" s="94">
        <f>IF(INDEX(lmic_raw_lb[],MATCH($A233,lmic_raw_lb[[setting]:[setting]],0), MATCH(V$139, lmic_raw_lb[#Headers],0))=0, INDEX(regions_lb[], MATCH($D233, regions_lb[[setting]:[setting]],0), MATCH(V$139, regions_lb[#Headers],0)),INDEX(lmic_raw_lb[],MATCH($A233,lmic_raw_lb[[setting]:[setting]],0), MATCH(V$139, lmic_raw_lb[#Headers],0)))</f>
        <v>0.61720164833905322</v>
      </c>
      <c r="W233" s="94">
        <f>IF(INDEX(lmic_raw_lb[],MATCH($A233,lmic_raw_lb[[setting]:[setting]],0), MATCH(W$139, lmic_raw_lb[#Headers],0))=0, INDEX(regions_lb[], MATCH($D233, regions_lb[[setting]:[setting]],0), MATCH(W$139, regions_lb[#Headers],0)),INDEX(lmic_raw_lb[],MATCH($A233,lmic_raw_lb[[setting]:[setting]],0), MATCH(W$139, lmic_raw_lb[#Headers],0)))</f>
        <v>2.9447016483390533</v>
      </c>
      <c r="X233" s="94">
        <f>IF(INDEX(lmic_raw_lb[],MATCH($A233,lmic_raw_lb[[setting]:[setting]],0), MATCH(X$139, lmic_raw_lb[#Headers],0))=0, INDEX(regions_lb[], MATCH($D233, regions_lb[[setting]:[setting]],0), MATCH(X$139, regions_lb[#Headers],0)),INDEX(lmic_raw_lb[],MATCH($A233,lmic_raw_lb[[setting]:[setting]],0), MATCH(X$139, lmic_raw_lb[#Headers],0)))</f>
        <v>0.25189391483053264</v>
      </c>
      <c r="Y233" s="94">
        <f>IF(INDEX(lmic_raw_lb[],MATCH($A233,lmic_raw_lb[[setting]:[setting]],0), MATCH(Y$139, lmic_raw_lb[#Headers],0))=0, INDEX(regions_lb[], MATCH($D233, regions_lb[[setting]:[setting]],0), MATCH(Y$139, regions_lb[#Headers],0)),INDEX(lmic_raw_lb[],MATCH($A233,lmic_raw_lb[[setting]:[setting]],0), MATCH(Y$139, lmic_raw_lb[#Headers],0)))</f>
        <v>2.5793939148305327</v>
      </c>
      <c r="Z233" s="94">
        <f>IF(INDEX(lmic_raw_lb[],MATCH($A233,lmic_raw_lb[[setting]:[setting]],0), MATCH(Z$139, lmic_raw_lb[#Headers],0))=0, INDEX(regions_lb[], MATCH($D233, regions_lb[[setting]:[setting]],0), MATCH(Z$139, regions_lb[#Headers],0)),INDEX(lmic_raw_lb[],MATCH($A233,lmic_raw_lb[[setting]:[setting]],0), MATCH(Z$139, lmic_raw_lb[#Headers],0)))</f>
        <v>2.5770790778535195</v>
      </c>
      <c r="AA233" s="94">
        <f>IF(INDEX(lmic_raw_lb[],MATCH($A233,lmic_raw_lb[[setting]:[setting]],0), MATCH(AA$139, lmic_raw_lb[#Headers],0))=0, INDEX(regions_lb[], MATCH($D233, regions_lb[[setting]:[setting]],0), MATCH(AA$139, regions_lb[#Headers],0)),INDEX(lmic_raw_lb[],MATCH($A233,lmic_raw_lb[[setting]:[setting]],0), MATCH(AA$139, lmic_raw_lb[#Headers],0)))</f>
        <v>0.8284036372212028</v>
      </c>
      <c r="AB233" s="94">
        <f>IF(INDEX(lmic_raw_lb[],MATCH($A233,lmic_raw_lb[[setting]:[setting]],0), MATCH(AB$139, lmic_raw_lb[#Headers],0))=0, INDEX(regions_lb[], MATCH($D233, regions_lb[[setting]:[setting]],0), MATCH(AB$139, regions_lb[#Headers],0)),INDEX(lmic_raw_lb[],MATCH($A233,lmic_raw_lb[[setting]:[setting]],0), MATCH(AB$139, lmic_raw_lb[#Headers],0)))</f>
        <v>3.1559036372212028</v>
      </c>
      <c r="AC233" s="94">
        <f>IF(INDEX(lmic_raw_lb[],MATCH($A233,lmic_raw_lb[[setting]:[setting]],0), MATCH(AC$139, lmic_raw_lb[#Headers],0))=0, INDEX(regions_lb[], MATCH($D233, regions_lb[[setting]:[setting]],0), MATCH(AC$139, regions_lb[#Headers],0)),INDEX(lmic_raw_lb[],MATCH($A233,lmic_raw_lb[[setting]:[setting]],0), MATCH(AC$139, lmic_raw_lb[#Headers],0)))</f>
        <v>5.8266872499999955E-2</v>
      </c>
      <c r="AD233" s="94">
        <f>IF(INDEX(lmic_raw_lb[],MATCH($A233,lmic_raw_lb[[setting]:[setting]],0), MATCH(AD$139, lmic_raw_lb[#Headers],0))=0, INDEX(regions_lb[], MATCH($D233, regions_lb[[setting]:[setting]],0), MATCH(AD$139, regions_lb[#Headers],0)),INDEX(lmic_raw_lb[],MATCH($A233,lmic_raw_lb[[setting]:[setting]],0), MATCH(AD$139, lmic_raw_lb[#Headers],0)))</f>
        <v>3.4323076104403444E-3</v>
      </c>
      <c r="AE233" s="94">
        <f>IF(INDEX(lmic_raw_lb[],MATCH($A233,lmic_raw_lb[[setting]:[setting]],0), MATCH(AE$139, lmic_raw_lb[#Headers],0))=0, INDEX(regions_lb[], MATCH($D233, regions_lb[[setting]:[setting]],0), MATCH(AE$139, regions_lb[#Headers],0)),INDEX(lmic_raw_lb[],MATCH($A233,lmic_raw_lb[[setting]:[setting]],0), MATCH(AE$139, lmic_raw_lb[#Headers],0)))</f>
        <v>1.0088719933404821E-3</v>
      </c>
      <c r="AF233" s="94">
        <f>IF(INDEX(lmic_raw_lb[],MATCH($A233,lmic_raw_lb[[setting]:[setting]],0), MATCH(AF$139, lmic_raw_lb[#Headers],0))=0, INDEX(regions_lb[], MATCH($D233, regions_lb[[setting]:[setting]],0), MATCH(AF$139, regions_lb[#Headers],0)),INDEX(lmic_raw_lb[],MATCH($A233,lmic_raw_lb[[setting]:[setting]],0), MATCH(AF$139, lmic_raw_lb[#Headers],0)))</f>
        <v>6.4999906649596385E-4</v>
      </c>
      <c r="AG233" s="94">
        <f>IF(INDEX(lmic_raw_lb[],MATCH($A233,lmic_raw_lb[[setting]:[setting]],0), MATCH(AG$139, lmic_raw_lb[#Headers],0))=0, INDEX(regions_lb[], MATCH($D233, regions_lb[[setting]:[setting]],0), MATCH(AG$139, regions_lb[#Headers],0)),INDEX(lmic_raw_lb[],MATCH($A233,lmic_raw_lb[[setting]:[setting]],0), MATCH(AG$139, lmic_raw_lb[#Headers],0)))</f>
        <v>8.5628998969895689E-4</v>
      </c>
      <c r="AH233" s="94">
        <f>IF(INDEX(lmic_raw_lb[],MATCH($A233,lmic_raw_lb[[setting]:[setting]],0), MATCH(AH$139, lmic_raw_lb[#Headers],0))=0, INDEX(regions_lb[], MATCH($D233, regions_lb[[setting]:[setting]],0), MATCH(AH$139, regions_lb[#Headers],0)),INDEX(lmic_raw_lb[],MATCH($A233,lmic_raw_lb[[setting]:[setting]],0), MATCH(AH$139, lmic_raw_lb[#Headers],0)))</f>
        <v>1.1473223685621403E-3</v>
      </c>
      <c r="AI233" s="94">
        <f>IF(INDEX(lmic_raw_lb[],MATCH($A233,lmic_raw_lb[[setting]:[setting]],0), MATCH(AI$139, lmic_raw_lb[#Headers],0))=0, INDEX(regions_lb[], MATCH($D233, regions_lb[[setting]:[setting]],0), MATCH(AI$139, regions_lb[#Headers],0)),INDEX(lmic_raw_lb[],MATCH($A233,lmic_raw_lb[[setting]:[setting]],0), MATCH(AI$139, lmic_raw_lb[#Headers],0)))</f>
        <v>1.2803164036631562E-3</v>
      </c>
      <c r="AJ233" s="94">
        <f>IF(INDEX(lmic_raw_lb[],MATCH($A233,lmic_raw_lb[[setting]:[setting]],0), MATCH(AJ$139, lmic_raw_lb[#Headers],0))=0, INDEX(regions_lb[], MATCH($D233, regions_lb[[setting]:[setting]],0), MATCH(AJ$139, regions_lb[#Headers],0)),INDEX(lmic_raw_lb[],MATCH($A233,lmic_raw_lb[[setting]:[setting]],0), MATCH(AJ$139, lmic_raw_lb[#Headers],0)))</f>
        <v>1.6089883062195734E-3</v>
      </c>
      <c r="AK233" s="94">
        <f>IF(INDEX(lmic_raw_lb[],MATCH($A233,lmic_raw_lb[[setting]:[setting]],0), MATCH(AK$139, lmic_raw_lb[#Headers],0))=0, INDEX(regions_lb[], MATCH($D233, regions_lb[[setting]:[setting]],0), MATCH(AK$139, regions_lb[#Headers],0)),INDEX(lmic_raw_lb[],MATCH($A233,lmic_raw_lb[[setting]:[setting]],0), MATCH(AK$139, lmic_raw_lb[#Headers],0)))</f>
        <v>2.1461096922397063E-3</v>
      </c>
      <c r="AL233" s="94">
        <f>IF(INDEX(lmic_raw_lb[],MATCH($A233,lmic_raw_lb[[setting]:[setting]],0), MATCH(AL$139, lmic_raw_lb[#Headers],0))=0, INDEX(regions_lb[], MATCH($D233, regions_lb[[setting]:[setting]],0), MATCH(AL$139, regions_lb[#Headers],0)),INDEX(lmic_raw_lb[],MATCH($A233,lmic_raw_lb[[setting]:[setting]],0), MATCH(AL$139, lmic_raw_lb[#Headers],0)))</f>
        <v>3.0249491935646806E-3</v>
      </c>
      <c r="AM233" s="94">
        <f>IF(INDEX(lmic_raw_lb[],MATCH($A233,lmic_raw_lb[[setting]:[setting]],0), MATCH(AM$139, lmic_raw_lb[#Headers],0))=0, INDEX(regions_lb[], MATCH($D233, regions_lb[[setting]:[setting]],0), MATCH(AM$139, regions_lb[#Headers],0)),INDEX(lmic_raw_lb[],MATCH($A233,lmic_raw_lb[[setting]:[setting]],0), MATCH(AM$139, lmic_raw_lb[#Headers],0)))</f>
        <v>4.4601539023797019E-3</v>
      </c>
      <c r="AN233" s="94">
        <f>IF(INDEX(lmic_raw_lb[],MATCH($A233,lmic_raw_lb[[setting]:[setting]],0), MATCH(AN$139, lmic_raw_lb[#Headers],0))=0, INDEX(regions_lb[], MATCH($D233, regions_lb[[setting]:[setting]],0), MATCH(AN$139, regions_lb[#Headers],0)),INDEX(lmic_raw_lb[],MATCH($A233,lmic_raw_lb[[setting]:[setting]],0), MATCH(AN$139, lmic_raw_lb[#Headers],0)))</f>
        <v>6.7972543118157624E-3</v>
      </c>
      <c r="AO233" s="94">
        <f>IF(INDEX(lmic_raw_lb[],MATCH($A233,lmic_raw_lb[[setting]:[setting]],0), MATCH(AO$139, lmic_raw_lb[#Headers],0))=0, INDEX(regions_lb[], MATCH($D233, regions_lb[[setting]:[setting]],0), MATCH(AO$139, regions_lb[#Headers],0)),INDEX(lmic_raw_lb[],MATCH($A233,lmic_raw_lb[[setting]:[setting]],0), MATCH(AO$139, lmic_raw_lb[#Headers],0)))</f>
        <v>1.0528797442182205E-2</v>
      </c>
      <c r="AP233" s="94">
        <f>IF(INDEX(lmic_raw_lb[],MATCH($A233,lmic_raw_lb[[setting]:[setting]],0), MATCH(AP$139, lmic_raw_lb[#Headers],0))=0, INDEX(regions_lb[], MATCH($D233, regions_lb[[setting]:[setting]],0), MATCH(AP$139, regions_lb[#Headers],0)),INDEX(lmic_raw_lb[],MATCH($A233,lmic_raw_lb[[setting]:[setting]],0), MATCH(AP$139, lmic_raw_lb[#Headers],0)))</f>
        <v>1.6854380775617295E-2</v>
      </c>
      <c r="AQ233" s="94">
        <f>IF(INDEX(lmic_raw_lb[],MATCH($A233,lmic_raw_lb[[setting]:[setting]],0), MATCH(AQ$139, lmic_raw_lb[#Headers],0))=0, INDEX(regions_lb[], MATCH($D233, regions_lb[[setting]:[setting]],0), MATCH(AQ$139, regions_lb[#Headers],0)),INDEX(lmic_raw_lb[],MATCH($A233,lmic_raw_lb[[setting]:[setting]],0), MATCH(AQ$139, lmic_raw_lb[#Headers],0)))</f>
        <v>2.6257311158854057E-2</v>
      </c>
      <c r="AR233" s="94">
        <f>IF(INDEX(lmic_raw_lb[],MATCH($A233,lmic_raw_lb[[setting]:[setting]],0), MATCH(AR$139, lmic_raw_lb[#Headers],0))=0, INDEX(regions_lb[], MATCH($D233, regions_lb[[setting]:[setting]],0), MATCH(AR$139, regions_lb[#Headers],0)),INDEX(lmic_raw_lb[],MATCH($A233,lmic_raw_lb[[setting]:[setting]],0), MATCH(AR$139, lmic_raw_lb[#Headers],0)))</f>
        <v>4.006087254055244E-2</v>
      </c>
      <c r="AS233" s="94">
        <f>IF(INDEX(lmic_raw_lb[],MATCH($A233,lmic_raw_lb[[setting]:[setting]],0), MATCH(AS$139, lmic_raw_lb[#Headers],0))=0, INDEX(regions_lb[], MATCH($D233, regions_lb[[setting]:[setting]],0), MATCH(AS$139, regions_lb[#Headers],0)),INDEX(lmic_raw_lb[],MATCH($A233,lmic_raw_lb[[setting]:[setting]],0), MATCH(AS$139, lmic_raw_lb[#Headers],0)))</f>
        <v>6.0671704320405917E-2</v>
      </c>
      <c r="AT233" s="94">
        <f>IF(INDEX(lmic_raw_lb[],MATCH($A233,lmic_raw_lb[[setting]:[setting]],0), MATCH(AT$139, lmic_raw_lb[#Headers],0))=0, INDEX(regions_lb[], MATCH($D233, regions_lb[[setting]:[setting]],0), MATCH(AT$139, regions_lb[#Headers],0)),INDEX(lmic_raw_lb[],MATCH($A233,lmic_raw_lb[[setting]:[setting]],0), MATCH(AT$139, lmic_raw_lb[#Headers],0)))</f>
        <v>8.969681302552375E-2</v>
      </c>
      <c r="AU233" s="94">
        <f>IF(INDEX(lmic_raw_lb[],MATCH($A233,lmic_raw_lb[[setting]:[setting]],0), MATCH(AU$139, lmic_raw_lb[#Headers],0))=0, INDEX(regions_lb[], MATCH($D233, regions_lb[[setting]:[setting]],0), MATCH(AU$139, regions_lb[#Headers],0)),INDEX(lmic_raw_lb[],MATCH($A233,lmic_raw_lb[[setting]:[setting]],0), MATCH(AU$139, lmic_raw_lb[#Headers],0)))</f>
        <v>0.12542884675011584</v>
      </c>
      <c r="AV233" s="94">
        <f>IF(INDEX(lmic_raw_lb[],MATCH($A233,lmic_raw_lb[[setting]:[setting]],0), MATCH(AV$139, lmic_raw_lb[#Headers],0))=0, INDEX(regions_lb[], MATCH($D233, regions_lb[[setting]:[setting]],0), MATCH(AV$139, regions_lb[#Headers],0)),INDEX(lmic_raw_lb[],MATCH($A233,lmic_raw_lb[[setting]:[setting]],0), MATCH(AV$139, lmic_raw_lb[#Headers],0)))</f>
        <v>0.1554211436704761</v>
      </c>
      <c r="AW233" s="94">
        <f>IF(INDEX(lmic_raw_lb[],MATCH($A233,lmic_raw_lb[[setting]:[setting]],0), MATCH(AW$139, lmic_raw_lb[#Headers],0))=0, INDEX(regions_lb[], MATCH($D233, regions_lb[[setting]:[setting]],0), MATCH(AW$139, regions_lb[#Headers],0)),INDEX(lmic_raw_lb[],MATCH($A233,lmic_raw_lb[[setting]:[setting]],0), MATCH(AW$139, lmic_raw_lb[#Headers],0)))</f>
        <v>0.17211953083261053</v>
      </c>
      <c r="AX233" s="94">
        <f>IF(INDEX(lmic_raw_lb[],MATCH($A233,lmic_raw_lb[[setting]:[setting]],0), MATCH(AX$139, lmic_raw_lb[#Headers],0))=0, INDEX(regions_lb[], MATCH($D233, regions_lb[[setting]:[setting]],0), MATCH(AX$139, regions_lb[#Headers],0)),INDEX(lmic_raw_lb[],MATCH($A233,lmic_raw_lb[[setting]:[setting]],0), MATCH(AX$139, lmic_raw_lb[#Headers],0)))</f>
        <v>63.666149999999995</v>
      </c>
      <c r="AY233" s="94" t="str">
        <f>IF(VLOOKUP(lmics_lb[[#This Row],[setting]],lmic_raw_lb[],11,FALSE)=0, "Yes", "No")</f>
        <v>Yes</v>
      </c>
    </row>
    <row r="234" spans="1:51" x14ac:dyDescent="0.25">
      <c r="A234" s="82" t="s">
        <v>683</v>
      </c>
      <c r="B234" s="101" t="s">
        <v>517</v>
      </c>
      <c r="C234" s="106">
        <v>275</v>
      </c>
      <c r="D234" s="82" t="s">
        <v>673</v>
      </c>
      <c r="E234" s="121" t="s">
        <v>579</v>
      </c>
      <c r="F234" s="98" t="s">
        <v>579</v>
      </c>
      <c r="G234" s="98" t="s">
        <v>678</v>
      </c>
      <c r="H234" s="98"/>
      <c r="I234" s="98"/>
      <c r="J234" s="98">
        <f>IF(INDEX(lmic_raw_lb[],MATCH($A234,lmic_raw_lb[[setting]:[setting]],0), MATCH(J$139, lmic_raw_lb[#Headers],0))=0, INDEX(regions_lb[], MATCH($D234, regions_lb[[setting]:[setting]],0), MATCH(J$139, regions_lb[#Headers],0)),INDEX(lmic_raw_lb[],MATCH($A234,lmic_raw_lb[[setting]:[setting]],0), MATCH(J$139, lmic_raw_lb[#Headers],0)))</f>
        <v>0.94334999999999991</v>
      </c>
      <c r="K234" s="98">
        <f>IF(INDEX(lmic_raw_lb[],MATCH($A234,lmic_raw_lb[[setting]:[setting]],0), MATCH(K$139, lmic_raw_lb[#Headers],0))=0, INDEX(regions_lb[], MATCH($D234, regions_lb[[setting]:[setting]],0), MATCH(K$139, regions_lb[#Headers],0)),INDEX(lmic_raw_lb[],MATCH($A234,lmic_raw_lb[[setting]:[setting]],0), MATCH(K$139, lmic_raw_lb[#Headers],0)))</f>
        <v>0.9405</v>
      </c>
      <c r="L234" s="98">
        <f>IF(INDEX(lmic_raw_lb[],MATCH($A234,lmic_raw_lb[[setting]:[setting]],0), MATCH(L$139, lmic_raw_lb[#Headers],0))=0, INDEX(regions_lb[], MATCH($D234, regions_lb[[setting]:[setting]],0), MATCH(L$139, regions_lb[#Headers],0)),INDEX(lmic_raw_lb[],MATCH($A234,lmic_raw_lb[[setting]:[setting]],0), MATCH(L$139, lmic_raw_lb[#Headers],0)))</f>
        <v>0.9405</v>
      </c>
      <c r="M234" s="98">
        <f>IF(INDEX(lmic_raw_lb[],MATCH($A234,lmic_raw_lb[[setting]:[setting]],0), MATCH(M$139, lmic_raw_lb[#Headers],0))=0, INDEX(regions_lb[], MATCH($D234, regions_lb[[setting]:[setting]],0), MATCH(M$139, regions_lb[#Headers],0)),INDEX(lmic_raw_lb[],MATCH($A234,lmic_raw_lb[[setting]:[setting]],0), MATCH(M$139, lmic_raw_lb[#Headers],0)))</f>
        <v>9.3667766580783646E-3</v>
      </c>
      <c r="N234" s="98">
        <f>IF(INDEX(lmic_raw_lb[],MATCH($A234,lmic_raw_lb[[setting]:[setting]],0), MATCH(N$139, lmic_raw_lb[#Headers],0))=0, INDEX(regions_lb[], MATCH($D234, regions_lb[[setting]:[setting]],0), MATCH(N$139, regions_lb[#Headers],0)),INDEX(lmic_raw_lb[],MATCH($A234,lmic_raw_lb[[setting]:[setting]],0), MATCH(N$139, lmic_raw_lb[#Headers],0)))</f>
        <v>0.14981783244482347</v>
      </c>
      <c r="O234" s="98">
        <f>IF(INDEX(lmic_raw_lb[],MATCH($A234,lmic_raw_lb[[setting]:[setting]],0), MATCH(O$139, lmic_raw_lb[#Headers],0))=0, INDEX(regions_lb[], MATCH($D234, regions_lb[[setting]:[setting]],0), MATCH(O$139, regions_lb[#Headers],0)),INDEX(lmic_raw_lb[],MATCH($A234,lmic_raw_lb[[setting]:[setting]],0), MATCH(O$139, lmic_raw_lb[#Headers],0)))</f>
        <v>0.7</v>
      </c>
      <c r="P234" s="98">
        <f>IF(INDEX(lmic_raw_lb[],MATCH($A234,lmic_raw_lb[[setting]:[setting]],0), MATCH(P$139, lmic_raw_lb[#Headers],0))=0, INDEX(regions_lb[], MATCH($D234, regions_lb[[setting]:[setting]],0), MATCH(P$139, regions_lb[#Headers],0)),INDEX(lmic_raw_lb[],MATCH($A234,lmic_raw_lb[[setting]:[setting]],0), MATCH(P$139, lmic_raw_lb[#Headers],0)))</f>
        <v>0.05</v>
      </c>
      <c r="Q234" s="98">
        <f>IF(INDEX(lmic_raw_lb[],MATCH($A234,lmic_raw_lb[[setting]:[setting]],0), MATCH(Q$139, lmic_raw_lb[#Headers],0))=0, INDEX(regions_lb[], MATCH($D234, regions_lb[[setting]:[setting]],0), MATCH(Q$139, regions_lb[#Headers],0)),INDEX(lmic_raw_lb[],MATCH($A234,lmic_raw_lb[[setting]:[setting]],0), MATCH(Q$139, lmic_raw_lb[#Headers],0)))</f>
        <v>6.2315096077367231</v>
      </c>
      <c r="R234" s="98">
        <f>IF(INDEX(lmic_raw_lb[],MATCH($A234,lmic_raw_lb[[setting]:[setting]],0), MATCH(R$139, lmic_raw_lb[#Headers],0))=0, INDEX(regions_lb[], MATCH($D234, regions_lb[[setting]:[setting]],0), MATCH(R$139, regions_lb[#Headers],0)),INDEX(lmic_raw_lb[],MATCH($A234,lmic_raw_lb[[setting]:[setting]],0), MATCH(R$139, lmic_raw_lb[#Headers],0)))</f>
        <v>44.019105000000003</v>
      </c>
      <c r="S234" s="98">
        <f>IF(INDEX(lmic_raw_lb[],MATCH($A234,lmic_raw_lb[[setting]:[setting]],0), MATCH(S$139, lmic_raw_lb[#Headers],0))=0, INDEX(regions_lb[], MATCH($D234, regions_lb[[setting]:[setting]],0), MATCH(S$139, regions_lb[#Headers],0)),INDEX(lmic_raw_lb[],MATCH($A234,lmic_raw_lb[[setting]:[setting]],0), MATCH(S$139, lmic_raw_lb[#Headers],0)))</f>
        <v>89.374005000000011</v>
      </c>
      <c r="T234" s="98">
        <f>IF(INDEX(lmic_raw_lb[],MATCH($A234,lmic_raw_lb[[setting]:[setting]],0), MATCH(T$139, lmic_raw_lb[#Headers],0))=0, INDEX(regions_lb[], MATCH($D234, regions_lb[[setting]:[setting]],0), MATCH(T$139, regions_lb[#Headers],0)),INDEX(lmic_raw_lb[],MATCH($A234,lmic_raw_lb[[setting]:[setting]],0), MATCH(T$139, lmic_raw_lb[#Headers],0)))</f>
        <v>89.374005000000011</v>
      </c>
      <c r="U234" s="98">
        <f>IF(INDEX(lmic_raw_lb[],MATCH($A234,lmic_raw_lb[[setting]:[setting]],0), MATCH(U$139, lmic_raw_lb[#Headers],0))=0, INDEX(regions_lb[], MATCH($D234, regions_lb[[setting]:[setting]],0), MATCH(U$139, regions_lb[#Headers],0)),INDEX(lmic_raw_lb[],MATCH($A234,lmic_raw_lb[[setting]:[setting]],0), MATCH(U$139, lmic_raw_lb[#Headers],0)))</f>
        <v>89.374005000000011</v>
      </c>
      <c r="V234" s="98">
        <f>IF(INDEX(lmic_raw_lb[],MATCH($A234,lmic_raw_lb[[setting]:[setting]],0), MATCH(V$139, lmic_raw_lb[#Headers],0))=0, INDEX(regions_lb[], MATCH($D234, regions_lb[[setting]:[setting]],0), MATCH(V$139, regions_lb[#Headers],0)),INDEX(lmic_raw_lb[],MATCH($A234,lmic_raw_lb[[setting]:[setting]],0), MATCH(V$139, lmic_raw_lb[#Headers],0)))</f>
        <v>0.36202199312714778</v>
      </c>
      <c r="W234" s="98">
        <f>IF(INDEX(lmic_raw_lb[],MATCH($A234,lmic_raw_lb[[setting]:[setting]],0), MATCH(W$139, lmic_raw_lb[#Headers],0))=0, INDEX(regions_lb[], MATCH($D234, regions_lb[[setting]:[setting]],0), MATCH(W$139, regions_lb[#Headers],0)),INDEX(lmic_raw_lb[],MATCH($A234,lmic_raw_lb[[setting]:[setting]],0), MATCH(W$139, lmic_raw_lb[#Headers],0)))</f>
        <v>0.8176419931271478</v>
      </c>
      <c r="X234" s="98">
        <f>IF(INDEX(lmic_raw_lb[],MATCH($A234,lmic_raw_lb[[setting]:[setting]],0), MATCH(X$139, lmic_raw_lb[#Headers],0))=0, INDEX(regions_lb[], MATCH($D234, regions_lb[[setting]:[setting]],0), MATCH(X$139, regions_lb[#Headers],0)),INDEX(lmic_raw_lb[],MATCH($A234,lmic_raw_lb[[setting]:[setting]],0), MATCH(X$139, lmic_raw_lb[#Headers],0)))</f>
        <v>0.90319860280556907</v>
      </c>
      <c r="Y234" s="98">
        <f>IF(INDEX(lmic_raw_lb[],MATCH($A234,lmic_raw_lb[[setting]:[setting]],0), MATCH(Y$139, lmic_raw_lb[#Headers],0))=0, INDEX(regions_lb[], MATCH($D234, regions_lb[[setting]:[setting]],0), MATCH(Y$139, regions_lb[#Headers],0)),INDEX(lmic_raw_lb[],MATCH($A234,lmic_raw_lb[[setting]:[setting]],0), MATCH(Y$139, lmic_raw_lb[#Headers],0)))</f>
        <v>0.45562000000000002</v>
      </c>
      <c r="Z234" s="98">
        <f>IF(INDEX(lmic_raw_lb[],MATCH($A234,lmic_raw_lb[[setting]:[setting]],0), MATCH(Z$139, lmic_raw_lb[#Headers],0))=0, INDEX(regions_lb[], MATCH($D234, regions_lb[[setting]:[setting]],0), MATCH(Z$139, regions_lb[#Headers],0)),INDEX(lmic_raw_lb[],MATCH($A234,lmic_raw_lb[[setting]:[setting]],0), MATCH(Z$139, lmic_raw_lb[#Headers],0)))</f>
        <v>0.45562000000000002</v>
      </c>
      <c r="AA234" s="98">
        <f>IF(INDEX(lmic_raw_lb[],MATCH($A234,lmic_raw_lb[[setting]:[setting]],0), MATCH(AA$139, lmic_raw_lb[#Headers],0))=0, INDEX(regions_lb[], MATCH($D234, regions_lb[[setting]:[setting]],0), MATCH(AA$139, regions_lb[#Headers],0)),INDEX(lmic_raw_lb[],MATCH($A234,lmic_raw_lb[[setting]:[setting]],0), MATCH(AA$139, lmic_raw_lb[#Headers],0)))</f>
        <v>0.5718158075601375</v>
      </c>
      <c r="AB234" s="98">
        <f>IF(INDEX(lmic_raw_lb[],MATCH($A234,lmic_raw_lb[[setting]:[setting]],0), MATCH(AB$139, lmic_raw_lb[#Headers],0))=0, INDEX(regions_lb[], MATCH($D234, regions_lb[[setting]:[setting]],0), MATCH(AB$139, regions_lb[#Headers],0)),INDEX(lmic_raw_lb[],MATCH($A234,lmic_raw_lb[[setting]:[setting]],0), MATCH(AB$139, lmic_raw_lb[#Headers],0)))</f>
        <v>1.0274358075601375</v>
      </c>
      <c r="AC234" s="98">
        <f>IF(INDEX(lmic_raw_lb[],MATCH($A234,lmic_raw_lb[[setting]:[setting]],0), MATCH(AC$139, lmic_raw_lb[#Headers],0))=0, INDEX(regions_lb[], MATCH($D234, regions_lb[[setting]:[setting]],0), MATCH(AC$139, regions_lb[#Headers],0)),INDEX(lmic_raw_lb[],MATCH($A234,lmic_raw_lb[[setting]:[setting]],0), MATCH(AC$139, lmic_raw_lb[#Headers],0)))</f>
        <v>1.6587446500000054E-2</v>
      </c>
      <c r="AD234" s="98">
        <f>IF(INDEX(lmic_raw_lb[],MATCH($A234,lmic_raw_lb[[setting]:[setting]],0), MATCH(AD$139, lmic_raw_lb[#Headers],0))=0, INDEX(regions_lb[], MATCH($D234, regions_lb[[setting]:[setting]],0), MATCH(AD$139, regions_lb[#Headers],0)),INDEX(lmic_raw_lb[],MATCH($A234,lmic_raw_lb[[setting]:[setting]],0), MATCH(AD$139, lmic_raw_lb[#Headers],0)))</f>
        <v>7.037017126425159E-4</v>
      </c>
      <c r="AE234" s="98">
        <f>IF(INDEX(lmic_raw_lb[],MATCH($A234,lmic_raw_lb[[setting]:[setting]],0), MATCH(AE$139, lmic_raw_lb[#Headers],0))=0, INDEX(regions_lb[], MATCH($D234, regions_lb[[setting]:[setting]],0), MATCH(AE$139, regions_lb[#Headers],0)),INDEX(lmic_raw_lb[],MATCH($A234,lmic_raw_lb[[setting]:[setting]],0), MATCH(AE$139, lmic_raw_lb[#Headers],0)))</f>
        <v>3.284659056045653E-4</v>
      </c>
      <c r="AF234" s="98">
        <f>IF(INDEX(lmic_raw_lb[],MATCH($A234,lmic_raw_lb[[setting]:[setting]],0), MATCH(AF$139, lmic_raw_lb[#Headers],0))=0, INDEX(regions_lb[], MATCH($D234, regions_lb[[setting]:[setting]],0), MATCH(AF$139, regions_lb[#Headers],0)),INDEX(lmic_raw_lb[],MATCH($A234,lmic_raw_lb[[setting]:[setting]],0), MATCH(AF$139, lmic_raw_lb[#Headers],0)))</f>
        <v>2.7539792122736835E-4</v>
      </c>
      <c r="AG234" s="98">
        <f>IF(INDEX(lmic_raw_lb[],MATCH($A234,lmic_raw_lb[[setting]:[setting]],0), MATCH(AG$139, lmic_raw_lb[#Headers],0))=0, INDEX(regions_lb[], MATCH($D234, regions_lb[[setting]:[setting]],0), MATCH(AG$139, regions_lb[#Headers],0)),INDEX(lmic_raw_lb[],MATCH($A234,lmic_raw_lb[[setting]:[setting]],0), MATCH(AG$139, lmic_raw_lb[#Headers],0)))</f>
        <v>5.0865787034511025E-4</v>
      </c>
      <c r="AH234" s="98">
        <f>IF(INDEX(lmic_raw_lb[],MATCH($A234,lmic_raw_lb[[setting]:[setting]],0), MATCH(AH$139, lmic_raw_lb[#Headers],0))=0, INDEX(regions_lb[], MATCH($D234, regions_lb[[setting]:[setting]],0), MATCH(AH$139, regions_lb[#Headers],0)),INDEX(lmic_raw_lb[],MATCH($A234,lmic_raw_lb[[setting]:[setting]],0), MATCH(AH$139, lmic_raw_lb[#Headers],0)))</f>
        <v>7.1103169412148001E-4</v>
      </c>
      <c r="AI234" s="98">
        <f>IF(INDEX(lmic_raw_lb[],MATCH($A234,lmic_raw_lb[[setting]:[setting]],0), MATCH(AI$139, lmic_raw_lb[#Headers],0))=0, INDEX(regions_lb[], MATCH($D234, regions_lb[[setting]:[setting]],0), MATCH(AI$139, regions_lb[#Headers],0)),INDEX(lmic_raw_lb[],MATCH($A234,lmic_raw_lb[[setting]:[setting]],0), MATCH(AI$139, lmic_raw_lb[#Headers],0)))</f>
        <v>7.6648695611900106E-4</v>
      </c>
      <c r="AJ234" s="98">
        <f>IF(INDEX(lmic_raw_lb[],MATCH($A234,lmic_raw_lb[[setting]:[setting]],0), MATCH(AJ$139, lmic_raw_lb[#Headers],0))=0, INDEX(regions_lb[], MATCH($D234, regions_lb[[setting]:[setting]],0), MATCH(AJ$139, regions_lb[#Headers],0)),INDEX(lmic_raw_lb[],MATCH($A234,lmic_raw_lb[[setting]:[setting]],0), MATCH(AJ$139, lmic_raw_lb[#Headers],0)))</f>
        <v>9.0415255027702184E-4</v>
      </c>
      <c r="AK234" s="98">
        <f>IF(INDEX(lmic_raw_lb[],MATCH($A234,lmic_raw_lb[[setting]:[setting]],0), MATCH(AK$139, lmic_raw_lb[#Headers],0))=0, INDEX(regions_lb[], MATCH($D234, regions_lb[[setting]:[setting]],0), MATCH(AK$139, regions_lb[#Headers],0)),INDEX(lmic_raw_lb[],MATCH($A234,lmic_raw_lb[[setting]:[setting]],0), MATCH(AK$139, lmic_raw_lb[#Headers],0)))</f>
        <v>1.2084903650569003E-3</v>
      </c>
      <c r="AL234" s="98">
        <f>IF(INDEX(lmic_raw_lb[],MATCH($A234,lmic_raw_lb[[setting]:[setting]],0), MATCH(AL$139, lmic_raw_lb[#Headers],0))=0, INDEX(regions_lb[], MATCH($D234, regions_lb[[setting]:[setting]],0), MATCH(AL$139, regions_lb[#Headers],0)),INDEX(lmic_raw_lb[],MATCH($A234,lmic_raw_lb[[setting]:[setting]],0), MATCH(AL$139, lmic_raw_lb[#Headers],0)))</f>
        <v>1.8284269934887866E-3</v>
      </c>
      <c r="AM234" s="98">
        <f>IF(INDEX(lmic_raw_lb[],MATCH($A234,lmic_raw_lb[[setting]:[setting]],0), MATCH(AM$139, lmic_raw_lb[#Headers],0))=0, INDEX(regions_lb[], MATCH($D234, regions_lb[[setting]:[setting]],0), MATCH(AM$139, regions_lb[#Headers],0)),INDEX(lmic_raw_lb[],MATCH($A234,lmic_raw_lb[[setting]:[setting]],0), MATCH(AM$139, lmic_raw_lb[#Headers],0)))</f>
        <v>3.052307083836297E-3</v>
      </c>
      <c r="AN234" s="98">
        <f>IF(INDEX(lmic_raw_lb[],MATCH($A234,lmic_raw_lb[[setting]:[setting]],0), MATCH(AN$139, lmic_raw_lb[#Headers],0))=0, INDEX(regions_lb[], MATCH($D234, regions_lb[[setting]:[setting]],0), MATCH(AN$139, regions_lb[#Headers],0)),INDEX(lmic_raw_lb[],MATCH($A234,lmic_raw_lb[[setting]:[setting]],0), MATCH(AN$139, lmic_raw_lb[#Headers],0)))</f>
        <v>4.9580530766036796E-3</v>
      </c>
      <c r="AO234" s="98">
        <f>IF(INDEX(lmic_raw_lb[],MATCH($A234,lmic_raw_lb[[setting]:[setting]],0), MATCH(AO$139, lmic_raw_lb[#Headers],0))=0, INDEX(regions_lb[], MATCH($D234, regions_lb[[setting]:[setting]],0), MATCH(AO$139, regions_lb[#Headers],0)),INDEX(lmic_raw_lb[],MATCH($A234,lmic_raw_lb[[setting]:[setting]],0), MATCH(AO$139, lmic_raw_lb[#Headers],0)))</f>
        <v>8.1694915889647373E-3</v>
      </c>
      <c r="AP234" s="98">
        <f>IF(INDEX(lmic_raw_lb[],MATCH($A234,lmic_raw_lb[[setting]:[setting]],0), MATCH(AP$139, lmic_raw_lb[#Headers],0))=0, INDEX(regions_lb[], MATCH($D234, regions_lb[[setting]:[setting]],0), MATCH(AP$139, regions_lb[#Headers],0)),INDEX(lmic_raw_lb[],MATCH($A234,lmic_raw_lb[[setting]:[setting]],0), MATCH(AP$139, lmic_raw_lb[#Headers],0)))</f>
        <v>1.3050382256843272E-2</v>
      </c>
      <c r="AQ234" s="98">
        <f>IF(INDEX(lmic_raw_lb[],MATCH($A234,lmic_raw_lb[[setting]:[setting]],0), MATCH(AQ$139, lmic_raw_lb[#Headers],0))=0, INDEX(regions_lb[], MATCH($D234, regions_lb[[setting]:[setting]],0), MATCH(AQ$139, regions_lb[#Headers],0)),INDEX(lmic_raw_lb[],MATCH($A234,lmic_raw_lb[[setting]:[setting]],0), MATCH(AQ$139, lmic_raw_lb[#Headers],0)))</f>
        <v>2.158403305455003E-2</v>
      </c>
      <c r="AR234" s="98">
        <f>IF(INDEX(lmic_raw_lb[],MATCH($A234,lmic_raw_lb[[setting]:[setting]],0), MATCH(AR$139, lmic_raw_lb[#Headers],0))=0, INDEX(regions_lb[], MATCH($D234, regions_lb[[setting]:[setting]],0), MATCH(AR$139, regions_lb[#Headers],0)),INDEX(lmic_raw_lb[],MATCH($A234,lmic_raw_lb[[setting]:[setting]],0), MATCH(AR$139, lmic_raw_lb[#Headers],0)))</f>
        <v>3.5282204541545667E-2</v>
      </c>
      <c r="AS234" s="98">
        <f>IF(INDEX(lmic_raw_lb[],MATCH($A234,lmic_raw_lb[[setting]:[setting]],0), MATCH(AS$139, lmic_raw_lb[#Headers],0))=0, INDEX(regions_lb[], MATCH($D234, regions_lb[[setting]:[setting]],0), MATCH(AS$139, regions_lb[#Headers],0)),INDEX(lmic_raw_lb[],MATCH($A234,lmic_raw_lb[[setting]:[setting]],0), MATCH(AS$139, lmic_raw_lb[#Headers],0)))</f>
        <v>5.5575733509615727E-2</v>
      </c>
      <c r="AT234" s="98">
        <f>IF(INDEX(lmic_raw_lb[],MATCH($A234,lmic_raw_lb[[setting]:[setting]],0), MATCH(AT$139, lmic_raw_lb[#Headers],0))=0, INDEX(regions_lb[], MATCH($D234, regions_lb[[setting]:[setting]],0), MATCH(AT$139, regions_lb[#Headers],0)),INDEX(lmic_raw_lb[],MATCH($A234,lmic_raw_lb[[setting]:[setting]],0), MATCH(AT$139, lmic_raw_lb[#Headers],0)))</f>
        <v>8.4928227488228827E-2</v>
      </c>
      <c r="AU234" s="98">
        <f>IF(INDEX(lmic_raw_lb[],MATCH($A234,lmic_raw_lb[[setting]:[setting]],0), MATCH(AU$139, lmic_raw_lb[#Headers],0))=0, INDEX(regions_lb[], MATCH($D234, regions_lb[[setting]:[setting]],0), MATCH(AU$139, regions_lb[#Headers],0)),INDEX(lmic_raw_lb[],MATCH($A234,lmic_raw_lb[[setting]:[setting]],0), MATCH(AU$139, lmic_raw_lb[#Headers],0)))</f>
        <v>0.11839358477080038</v>
      </c>
      <c r="AV234" s="98">
        <f>IF(INDEX(lmic_raw_lb[],MATCH($A234,lmic_raw_lb[[setting]:[setting]],0), MATCH(AV$139, lmic_raw_lb[#Headers],0))=0, INDEX(regions_lb[], MATCH($D234, regions_lb[[setting]:[setting]],0), MATCH(AV$139, regions_lb[#Headers],0)),INDEX(lmic_raw_lb[],MATCH($A234,lmic_raw_lb[[setting]:[setting]],0), MATCH(AV$139, lmic_raw_lb[#Headers],0)))</f>
        <v>0.14717919673425997</v>
      </c>
      <c r="AW234" s="98">
        <f>IF(INDEX(lmic_raw_lb[],MATCH($A234,lmic_raw_lb[[setting]:[setting]],0), MATCH(AW$139, lmic_raw_lb[#Headers],0))=0, INDEX(regions_lb[], MATCH($D234, regions_lb[[setting]:[setting]],0), MATCH(AW$139, regions_lb[#Headers],0)),INDEX(lmic_raw_lb[],MATCH($A234,lmic_raw_lb[[setting]:[setting]],0), MATCH(AW$139, lmic_raw_lb[#Headers],0)))</f>
        <v>0.16723153367903548</v>
      </c>
      <c r="AX234" s="98">
        <f>IF(INDEX(lmic_raw_lb[],MATCH($A234,lmic_raw_lb[[setting]:[setting]],0), MATCH(AX$139, lmic_raw_lb[#Headers],0))=0, INDEX(regions_lb[], MATCH($D234, regions_lb[[setting]:[setting]],0), MATCH(AX$139, regions_lb[#Headers],0)),INDEX(lmic_raw_lb[],MATCH($A234,lmic_raw_lb[[setting]:[setting]],0), MATCH(AX$139, lmic_raw_lb[#Headers],0)))</f>
        <v>70.125199999999992</v>
      </c>
      <c r="AY234" s="98" t="str">
        <f>IF(VLOOKUP(lmics_lb[[#This Row],[setting]],lmic_raw_lb[],11,FALSE)=0, "Yes", "No")</f>
        <v>No</v>
      </c>
    </row>
    <row r="235" spans="1:51" x14ac:dyDescent="0.25">
      <c r="A235" s="110" t="s">
        <v>283</v>
      </c>
      <c r="B235" s="104" t="s">
        <v>491</v>
      </c>
      <c r="C235" s="105">
        <v>598</v>
      </c>
      <c r="D235" s="84" t="s">
        <v>681</v>
      </c>
      <c r="E235" s="122" t="s">
        <v>98</v>
      </c>
      <c r="F235" s="94" t="s">
        <v>666</v>
      </c>
      <c r="G235" s="94" t="s">
        <v>678</v>
      </c>
      <c r="H235" s="94"/>
      <c r="I235" s="94"/>
      <c r="J235" s="94">
        <f>IF(INDEX(lmic_raw_lb[],MATCH($A235,lmic_raw_lb[[setting]:[setting]],0), MATCH(J$139, lmic_raw_lb[#Headers],0))=0, INDEX(regions_lb[], MATCH($D235, regions_lb[[setting]:[setting]],0), MATCH(J$139, regions_lb[#Headers],0)),INDEX(lmic_raw_lb[],MATCH($A235,lmic_raw_lb[[setting]:[setting]],0), MATCH(J$139, lmic_raw_lb[#Headers],0)))</f>
        <v>0.51965000000000006</v>
      </c>
      <c r="K235" s="94">
        <f>IF(INDEX(lmic_raw_lb[],MATCH($A235,lmic_raw_lb[[setting]:[setting]],0), MATCH(K$139, lmic_raw_lb[#Headers],0))=0, INDEX(regions_lb[], MATCH($D235, regions_lb[[setting]:[setting]],0), MATCH(K$139, regions_lb[#Headers],0)),INDEX(lmic_raw_lb[],MATCH($A235,lmic_raw_lb[[setting]:[setting]],0), MATCH(K$139, lmic_raw_lb[#Headers],0)))</f>
        <v>0.23749999999999999</v>
      </c>
      <c r="L235" s="94">
        <f>IF(INDEX(lmic_raw_lb[],MATCH($A235,lmic_raw_lb[[setting]:[setting]],0), MATCH(L$139, lmic_raw_lb[#Headers],0))=0, INDEX(regions_lb[], MATCH($D235, regions_lb[[setting]:[setting]],0), MATCH(L$139, regions_lb[#Headers],0)),INDEX(lmic_raw_lb[],MATCH($A235,lmic_raw_lb[[setting]:[setting]],0), MATCH(L$139, lmic_raw_lb[#Headers],0)))</f>
        <v>0.33249999999999996</v>
      </c>
      <c r="M235" s="94">
        <f>IF(INDEX(lmic_raw_lb[],MATCH($A235,lmic_raw_lb[[setting]:[setting]],0), MATCH(M$139, lmic_raw_lb[#Headers],0))=0, INDEX(regions_lb[], MATCH($D235, regions_lb[[setting]:[setting]],0), MATCH(M$139, regions_lb[#Headers],0)),INDEX(lmic_raw_lb[],MATCH($A235,lmic_raw_lb[[setting]:[setting]],0), MATCH(M$139, lmic_raw_lb[#Headers],0)))</f>
        <v>4.3400000000000001E-2</v>
      </c>
      <c r="N235" s="94">
        <f>IF(INDEX(lmic_raw_lb[],MATCH($A235,lmic_raw_lb[[setting]:[setting]],0), MATCH(N$139, lmic_raw_lb[#Headers],0))=0, INDEX(regions_lb[], MATCH($D235, regions_lb[[setting]:[setting]],0), MATCH(N$139, regions_lb[#Headers],0)),INDEX(lmic_raw_lb[],MATCH($A235,lmic_raw_lb[[setting]:[setting]],0), MATCH(N$139, lmic_raw_lb[#Headers],0)))</f>
        <v>0.1832</v>
      </c>
      <c r="O235" s="94">
        <f>IF(INDEX(lmic_raw_lb[],MATCH($A235,lmic_raw_lb[[setting]:[setting]],0), MATCH(O$139, lmic_raw_lb[#Headers],0))=0, INDEX(regions_lb[], MATCH($D235, regions_lb[[setting]:[setting]],0), MATCH(O$139, regions_lb[#Headers],0)),INDEX(lmic_raw_lb[],MATCH($A235,lmic_raw_lb[[setting]:[setting]],0), MATCH(O$139, lmic_raw_lb[#Headers],0)))</f>
        <v>0.7</v>
      </c>
      <c r="P235" s="94">
        <f>IF(INDEX(lmic_raw_lb[],MATCH($A235,lmic_raw_lb[[setting]:[setting]],0), MATCH(P$139, lmic_raw_lb[#Headers],0))=0, INDEX(regions_lb[], MATCH($D235, regions_lb[[setting]:[setting]],0), MATCH(P$139, regions_lb[#Headers],0)),INDEX(lmic_raw_lb[],MATCH($A235,lmic_raw_lb[[setting]:[setting]],0), MATCH(P$139, lmic_raw_lb[#Headers],0)))</f>
        <v>0.05</v>
      </c>
      <c r="Q235" s="94">
        <f>IF(INDEX(lmic_raw_lb[],MATCH($A235,lmic_raw_lb[[setting]:[setting]],0), MATCH(Q$139, lmic_raw_lb[#Headers],0))=0, INDEX(regions_lb[], MATCH($D235, regions_lb[[setting]:[setting]],0), MATCH(Q$139, regions_lb[#Headers],0)),INDEX(lmic_raw_lb[],MATCH($A235,lmic_raw_lb[[setting]:[setting]],0), MATCH(Q$139, lmic_raw_lb[#Headers],0)))</f>
        <v>4.8368485363081692</v>
      </c>
      <c r="R235" s="94">
        <f>IF(INDEX(lmic_raw_lb[],MATCH($A235,lmic_raw_lb[[setting]:[setting]],0), MATCH(R$139, lmic_raw_lb[#Headers],0))=0, INDEX(regions_lb[], MATCH($D235, regions_lb[[setting]:[setting]],0), MATCH(R$139, regions_lb[#Headers],0)),INDEX(lmic_raw_lb[],MATCH($A235,lmic_raw_lb[[setting]:[setting]],0), MATCH(R$139, lmic_raw_lb[#Headers],0)))</f>
        <v>69.430275000000009</v>
      </c>
      <c r="S235" s="94">
        <f>IF(INDEX(lmic_raw_lb[],MATCH($A235,lmic_raw_lb[[setting]:[setting]],0), MATCH(S$139, lmic_raw_lb[#Headers],0))=0, INDEX(regions_lb[], MATCH($D235, regions_lb[[setting]:[setting]],0), MATCH(S$139, regions_lb[#Headers],0)),INDEX(lmic_raw_lb[],MATCH($A235,lmic_raw_lb[[setting]:[setting]],0), MATCH(S$139, lmic_raw_lb[#Headers],0)))</f>
        <v>114.785175</v>
      </c>
      <c r="T235" s="94">
        <f>IF(INDEX(lmic_raw_lb[],MATCH($A235,lmic_raw_lb[[setting]:[setting]],0), MATCH(T$139, lmic_raw_lb[#Headers],0))=0, INDEX(regions_lb[], MATCH($D235, regions_lb[[setting]:[setting]],0), MATCH(T$139, regions_lb[#Headers],0)),INDEX(lmic_raw_lb[],MATCH($A235,lmic_raw_lb[[setting]:[setting]],0), MATCH(T$139, lmic_raw_lb[#Headers],0)))</f>
        <v>114.785175</v>
      </c>
      <c r="U235" s="94">
        <f>IF(INDEX(lmic_raw_lb[],MATCH($A235,lmic_raw_lb[[setting]:[setting]],0), MATCH(U$139, lmic_raw_lb[#Headers],0))=0, INDEX(regions_lb[], MATCH($D235, regions_lb[[setting]:[setting]],0), MATCH(U$139, regions_lb[#Headers],0)),INDEX(lmic_raw_lb[],MATCH($A235,lmic_raw_lb[[setting]:[setting]],0), MATCH(U$139, lmic_raw_lb[#Headers],0)))</f>
        <v>114.785175</v>
      </c>
      <c r="V235" s="94">
        <f>IF(INDEX(lmic_raw_lb[],MATCH($A235,lmic_raw_lb[[setting]:[setting]],0), MATCH(V$139, lmic_raw_lb[#Headers],0))=0, INDEX(regions_lb[], MATCH($D235, regions_lb[[setting]:[setting]],0), MATCH(V$139, regions_lb[#Headers],0)),INDEX(lmic_raw_lb[],MATCH($A235,lmic_raw_lb[[setting]:[setting]],0), MATCH(V$139, lmic_raw_lb[#Headers],0)))</f>
        <v>0.73855395821130188</v>
      </c>
      <c r="W235" s="94">
        <f>IF(INDEX(lmic_raw_lb[],MATCH($A235,lmic_raw_lb[[setting]:[setting]],0), MATCH(W$139, lmic_raw_lb[#Headers],0))=0, INDEX(regions_lb[], MATCH($D235, regions_lb[[setting]:[setting]],0), MATCH(W$139, regions_lb[#Headers],0)),INDEX(lmic_raw_lb[],MATCH($A235,lmic_raw_lb[[setting]:[setting]],0), MATCH(W$139, lmic_raw_lb[#Headers],0)))</f>
        <v>1.3391439582113018</v>
      </c>
      <c r="X235" s="94">
        <f>IF(INDEX(lmic_raw_lb[],MATCH($A235,lmic_raw_lb[[setting]:[setting]],0), MATCH(X$139, lmic_raw_lb[#Headers],0))=0, INDEX(regions_lb[], MATCH($D235, regions_lb[[setting]:[setting]],0), MATCH(X$139, regions_lb[#Headers],0)),INDEX(lmic_raw_lb[],MATCH($A235,lmic_raw_lb[[setting]:[setting]],0), MATCH(X$139, lmic_raw_lb[#Headers],0)))</f>
        <v>0.36993056769656124</v>
      </c>
      <c r="Y235" s="94">
        <f>IF(INDEX(lmic_raw_lb[],MATCH($A235,lmic_raw_lb[[setting]:[setting]],0), MATCH(Y$139, lmic_raw_lb[#Headers],0))=0, INDEX(regions_lb[], MATCH($D235, regions_lb[[setting]:[setting]],0), MATCH(Y$139, regions_lb[#Headers],0)),INDEX(lmic_raw_lb[],MATCH($A235,lmic_raw_lb[[setting]:[setting]],0), MATCH(Y$139, lmic_raw_lb[#Headers],0)))</f>
        <v>0.97052056769656114</v>
      </c>
      <c r="Z235" s="94">
        <f>IF(INDEX(lmic_raw_lb[],MATCH($A235,lmic_raw_lb[[setting]:[setting]],0), MATCH(Z$139, lmic_raw_lb[#Headers],0))=0, INDEX(regions_lb[], MATCH($D235, regions_lb[[setting]:[setting]],0), MATCH(Z$139, regions_lb[#Headers],0)),INDEX(lmic_raw_lb[],MATCH($A235,lmic_raw_lb[[setting]:[setting]],0), MATCH(Z$139, lmic_raw_lb[#Headers],0)))</f>
        <v>0.96632920427586733</v>
      </c>
      <c r="AA235" s="94">
        <f>IF(INDEX(lmic_raw_lb[],MATCH($A235,lmic_raw_lb[[setting]:[setting]],0), MATCH(AA$139, lmic_raw_lb[#Headers],0))=0, INDEX(regions_lb[], MATCH($D235, regions_lb[[setting]:[setting]],0), MATCH(AA$139, regions_lb[#Headers],0)),INDEX(lmic_raw_lb[],MATCH($A235,lmic_raw_lb[[setting]:[setting]],0), MATCH(AA$139, lmic_raw_lb[#Headers],0)))</f>
        <v>0.95117694295325994</v>
      </c>
      <c r="AB235" s="94">
        <f>IF(INDEX(lmic_raw_lb[],MATCH($A235,lmic_raw_lb[[setting]:[setting]],0), MATCH(AB$139, lmic_raw_lb[#Headers],0))=0, INDEX(regions_lb[], MATCH($D235, regions_lb[[setting]:[setting]],0), MATCH(AB$139, regions_lb[#Headers],0)),INDEX(lmic_raw_lb[],MATCH($A235,lmic_raw_lb[[setting]:[setting]],0), MATCH(AB$139, lmic_raw_lb[#Headers],0)))</f>
        <v>1.5517669429532599</v>
      </c>
      <c r="AC235" s="94">
        <f>IF(INDEX(lmic_raw_lb[],MATCH($A235,lmic_raw_lb[[setting]:[setting]],0), MATCH(AC$139, lmic_raw_lb[#Headers],0))=0, INDEX(regions_lb[], MATCH($D235, regions_lb[[setting]:[setting]],0), MATCH(AC$139, regions_lb[#Headers],0)),INDEX(lmic_raw_lb[],MATCH($A235,lmic_raw_lb[[setting]:[setting]],0), MATCH(AC$139, lmic_raw_lb[#Headers],0)))</f>
        <v>3.9862427499999985E-2</v>
      </c>
      <c r="AD235" s="94">
        <f>IF(INDEX(lmic_raw_lb[],MATCH($A235,lmic_raw_lb[[setting]:[setting]],0), MATCH(AD$139, lmic_raw_lb[#Headers],0))=0, INDEX(regions_lb[], MATCH($D235, regions_lb[[setting]:[setting]],0), MATCH(AD$139, regions_lb[#Headers],0)),INDEX(lmic_raw_lb[],MATCH($A235,lmic_raw_lb[[setting]:[setting]],0), MATCH(AD$139, lmic_raw_lb[#Headers],0)))</f>
        <v>2.7425085164803392E-3</v>
      </c>
      <c r="AE235" s="94">
        <f>IF(INDEX(lmic_raw_lb[],MATCH($A235,lmic_raw_lb[[setting]:[setting]],0), MATCH(AE$139, lmic_raw_lb[#Headers],0))=0, INDEX(regions_lb[], MATCH($D235, regions_lb[[setting]:[setting]],0), MATCH(AE$139, regions_lb[#Headers],0)),INDEX(lmic_raw_lb[],MATCH($A235,lmic_raw_lb[[setting]:[setting]],0), MATCH(AE$139, lmic_raw_lb[#Headers],0)))</f>
        <v>1.1126690046897427E-3</v>
      </c>
      <c r="AF235" s="94">
        <f>IF(INDEX(lmic_raw_lb[],MATCH($A235,lmic_raw_lb[[setting]:[setting]],0), MATCH(AF$139, lmic_raw_lb[#Headers],0))=0, INDEX(regions_lb[], MATCH($D235, regions_lb[[setting]:[setting]],0), MATCH(AF$139, regions_lb[#Headers],0)),INDEX(lmic_raw_lb[],MATCH($A235,lmic_raw_lb[[setting]:[setting]],0), MATCH(AF$139, lmic_raw_lb[#Headers],0)))</f>
        <v>8.7856461584272087E-4</v>
      </c>
      <c r="AG235" s="94">
        <f>IF(INDEX(lmic_raw_lb[],MATCH($A235,lmic_raw_lb[[setting]:[setting]],0), MATCH(AG$139, lmic_raw_lb[#Headers],0))=0, INDEX(regions_lb[], MATCH($D235, regions_lb[[setting]:[setting]],0), MATCH(AG$139, regions_lb[#Headers],0)),INDEX(lmic_raw_lb[],MATCH($A235,lmic_raw_lb[[setting]:[setting]],0), MATCH(AG$139, lmic_raw_lb[#Headers],0)))</f>
        <v>1.591970417313456E-3</v>
      </c>
      <c r="AH235" s="94">
        <f>IF(INDEX(lmic_raw_lb[],MATCH($A235,lmic_raw_lb[[setting]:[setting]],0), MATCH(AH$139, lmic_raw_lb[#Headers],0))=0, INDEX(regions_lb[], MATCH($D235, regions_lb[[setting]:[setting]],0), MATCH(AH$139, regions_lb[#Headers],0)),INDEX(lmic_raw_lb[],MATCH($A235,lmic_raw_lb[[setting]:[setting]],0), MATCH(AH$139, lmic_raw_lb[#Headers],0)))</f>
        <v>2.1475322920813857E-3</v>
      </c>
      <c r="AI235" s="94">
        <f>IF(INDEX(lmic_raw_lb[],MATCH($A235,lmic_raw_lb[[setting]:[setting]],0), MATCH(AI$139, lmic_raw_lb[#Headers],0))=0, INDEX(regions_lb[], MATCH($D235, regions_lb[[setting]:[setting]],0), MATCH(AI$139, regions_lb[#Headers],0)),INDEX(lmic_raw_lb[],MATCH($A235,lmic_raw_lb[[setting]:[setting]],0), MATCH(AI$139, lmic_raw_lb[#Headers],0)))</f>
        <v>2.333815596729094E-3</v>
      </c>
      <c r="AJ235" s="94">
        <f>IF(INDEX(lmic_raw_lb[],MATCH($A235,lmic_raw_lb[[setting]:[setting]],0), MATCH(AJ$139, lmic_raw_lb[#Headers],0))=0, INDEX(regions_lb[], MATCH($D235, regions_lb[[setting]:[setting]],0), MATCH(AJ$139, regions_lb[#Headers],0)),INDEX(lmic_raw_lb[],MATCH($A235,lmic_raw_lb[[setting]:[setting]],0), MATCH(AJ$139, lmic_raw_lb[#Headers],0)))</f>
        <v>2.713260347670964E-3</v>
      </c>
      <c r="AK235" s="94">
        <f>IF(INDEX(lmic_raw_lb[],MATCH($A235,lmic_raw_lb[[setting]:[setting]],0), MATCH(AK$139, lmic_raw_lb[#Headers],0))=0, INDEX(regions_lb[], MATCH($D235, regions_lb[[setting]:[setting]],0), MATCH(AK$139, regions_lb[#Headers],0)),INDEX(lmic_raw_lb[],MATCH($A235,lmic_raw_lb[[setting]:[setting]],0), MATCH(AK$139, lmic_raw_lb[#Headers],0)))</f>
        <v>3.4604096621546629E-3</v>
      </c>
      <c r="AL235" s="94">
        <f>IF(INDEX(lmic_raw_lb[],MATCH($A235,lmic_raw_lb[[setting]:[setting]],0), MATCH(AL$139, lmic_raw_lb[#Headers],0))=0, INDEX(regions_lb[], MATCH($D235, regions_lb[[setting]:[setting]],0), MATCH(AL$139, regions_lb[#Headers],0)),INDEX(lmic_raw_lb[],MATCH($A235,lmic_raw_lb[[setting]:[setting]],0), MATCH(AL$139, lmic_raw_lb[#Headers],0)))</f>
        <v>4.6173709669435287E-3</v>
      </c>
      <c r="AM235" s="94">
        <f>IF(INDEX(lmic_raw_lb[],MATCH($A235,lmic_raw_lb[[setting]:[setting]],0), MATCH(AM$139, lmic_raw_lb[#Headers],0))=0, INDEX(regions_lb[], MATCH($D235, regions_lb[[setting]:[setting]],0), MATCH(AM$139, regions_lb[#Headers],0)),INDEX(lmic_raw_lb[],MATCH($A235,lmic_raw_lb[[setting]:[setting]],0), MATCH(AM$139, lmic_raw_lb[#Headers],0)))</f>
        <v>6.5213093953485927E-3</v>
      </c>
      <c r="AN235" s="94">
        <f>IF(INDEX(lmic_raw_lb[],MATCH($A235,lmic_raw_lb[[setting]:[setting]],0), MATCH(AN$139, lmic_raw_lb[#Headers],0))=0, INDEX(regions_lb[], MATCH($D235, regions_lb[[setting]:[setting]],0), MATCH(AN$139, regions_lb[#Headers],0)),INDEX(lmic_raw_lb[],MATCH($A235,lmic_raw_lb[[setting]:[setting]],0), MATCH(AN$139, lmic_raw_lb[#Headers],0)))</f>
        <v>9.4907312099841556E-3</v>
      </c>
      <c r="AO235" s="94">
        <f>IF(INDEX(lmic_raw_lb[],MATCH($A235,lmic_raw_lb[[setting]:[setting]],0), MATCH(AO$139, lmic_raw_lb[#Headers],0))=0, INDEX(regions_lb[], MATCH($D235, regions_lb[[setting]:[setting]],0), MATCH(AO$139, regions_lb[#Headers],0)),INDEX(lmic_raw_lb[],MATCH($A235,lmic_raw_lb[[setting]:[setting]],0), MATCH(AO$139, lmic_raw_lb[#Headers],0)))</f>
        <v>1.3934149207456061E-2</v>
      </c>
      <c r="AP235" s="94">
        <f>IF(INDEX(lmic_raw_lb[],MATCH($A235,lmic_raw_lb[[setting]:[setting]],0), MATCH(AP$139, lmic_raw_lb[#Headers],0))=0, INDEX(regions_lb[], MATCH($D235, regions_lb[[setting]:[setting]],0), MATCH(AP$139, regions_lb[#Headers],0)),INDEX(lmic_raw_lb[],MATCH($A235,lmic_raw_lb[[setting]:[setting]],0), MATCH(AP$139, lmic_raw_lb[#Headers],0)))</f>
        <v>2.306112727262892E-2</v>
      </c>
      <c r="AQ235" s="94">
        <f>IF(INDEX(lmic_raw_lb[],MATCH($A235,lmic_raw_lb[[setting]:[setting]],0), MATCH(AQ$139, lmic_raw_lb[#Headers],0))=0, INDEX(regions_lb[], MATCH($D235, regions_lb[[setting]:[setting]],0), MATCH(AQ$139, regions_lb[#Headers],0)),INDEX(lmic_raw_lb[],MATCH($A235,lmic_raw_lb[[setting]:[setting]],0), MATCH(AQ$139, lmic_raw_lb[#Headers],0)))</f>
        <v>3.7892501083956427E-2</v>
      </c>
      <c r="AR235" s="94">
        <f>IF(INDEX(lmic_raw_lb[],MATCH($A235,lmic_raw_lb[[setting]:[setting]],0), MATCH(AR$139, lmic_raw_lb[#Headers],0))=0, INDEX(regions_lb[], MATCH($D235, regions_lb[[setting]:[setting]],0), MATCH(AR$139, regions_lb[#Headers],0)),INDEX(lmic_raw_lb[],MATCH($A235,lmic_raw_lb[[setting]:[setting]],0), MATCH(AR$139, lmic_raw_lb[#Headers],0)))</f>
        <v>5.887438387718133E-2</v>
      </c>
      <c r="AS235" s="94">
        <f>IF(INDEX(lmic_raw_lb[],MATCH($A235,lmic_raw_lb[[setting]:[setting]],0), MATCH(AS$139, lmic_raw_lb[#Headers],0))=0, INDEX(regions_lb[], MATCH($D235, regions_lb[[setting]:[setting]],0), MATCH(AS$139, regions_lb[#Headers],0)),INDEX(lmic_raw_lb[],MATCH($A235,lmic_raw_lb[[setting]:[setting]],0), MATCH(AS$139, lmic_raw_lb[#Headers],0)))</f>
        <v>8.5143203825770536E-2</v>
      </c>
      <c r="AT235" s="94">
        <f>IF(INDEX(lmic_raw_lb[],MATCH($A235,lmic_raw_lb[[setting]:[setting]],0), MATCH(AT$139, lmic_raw_lb[#Headers],0))=0, INDEX(regions_lb[], MATCH($D235, regions_lb[[setting]:[setting]],0), MATCH(AT$139, regions_lb[#Headers],0)),INDEX(lmic_raw_lb[],MATCH($A235,lmic_raw_lb[[setting]:[setting]],0), MATCH(AT$139, lmic_raw_lb[#Headers],0)))</f>
        <v>0.11566724374497482</v>
      </c>
      <c r="AU235" s="94">
        <f>IF(INDEX(lmic_raw_lb[],MATCH($A235,lmic_raw_lb[[setting]:[setting]],0), MATCH(AU$139, lmic_raw_lb[#Headers],0))=0, INDEX(regions_lb[], MATCH($D235, regions_lb[[setting]:[setting]],0), MATCH(AU$139, regions_lb[#Headers],0)),INDEX(lmic_raw_lb[],MATCH($A235,lmic_raw_lb[[setting]:[setting]],0), MATCH(AU$139, lmic_raw_lb[#Headers],0)))</f>
        <v>0.14547164414357391</v>
      </c>
      <c r="AV235" s="94">
        <f>IF(INDEX(lmic_raw_lb[],MATCH($A235,lmic_raw_lb[[setting]:[setting]],0), MATCH(AV$139, lmic_raw_lb[#Headers],0))=0, INDEX(regions_lb[], MATCH($D235, regions_lb[[setting]:[setting]],0), MATCH(AV$139, regions_lb[#Headers],0)),INDEX(lmic_raw_lb[],MATCH($A235,lmic_raw_lb[[setting]:[setting]],0), MATCH(AV$139, lmic_raw_lb[#Headers],0)))</f>
        <v>0.16619436888699293</v>
      </c>
      <c r="AW235" s="94">
        <f>IF(INDEX(lmic_raw_lb[],MATCH($A235,lmic_raw_lb[[setting]:[setting]],0), MATCH(AW$139, lmic_raw_lb[#Headers],0))=0, INDEX(regions_lb[], MATCH($D235, regions_lb[[setting]:[setting]],0), MATCH(AW$139, regions_lb[#Headers],0)),INDEX(lmic_raw_lb[],MATCH($A235,lmic_raw_lb[[setting]:[setting]],0), MATCH(AW$139, lmic_raw_lb[#Headers],0)))</f>
        <v>0.17710006830361921</v>
      </c>
      <c r="AX235" s="94">
        <f>IF(INDEX(lmic_raw_lb[],MATCH($A235,lmic_raw_lb[[setting]:[setting]],0), MATCH(AX$139, lmic_raw_lb[#Headers],0))=0, INDEX(regions_lb[], MATCH($D235, regions_lb[[setting]:[setting]],0), MATCH(AX$139, regions_lb[#Headers],0)),INDEX(lmic_raw_lb[],MATCH($A235,lmic_raw_lb[[setting]:[setting]],0), MATCH(AX$139, lmic_raw_lb[#Headers],0)))</f>
        <v>60.943449999999991</v>
      </c>
      <c r="AY235" s="94" t="str">
        <f>IF(VLOOKUP(lmics_lb[[#This Row],[setting]],lmic_raw_lb[],11,FALSE)=0, "Yes", "No")</f>
        <v>No</v>
      </c>
    </row>
    <row r="236" spans="1:51" x14ac:dyDescent="0.25">
      <c r="A236" s="109" t="s">
        <v>271</v>
      </c>
      <c r="B236" s="101" t="s">
        <v>492</v>
      </c>
      <c r="C236" s="102">
        <v>600</v>
      </c>
      <c r="D236" s="82" t="s">
        <v>679</v>
      </c>
      <c r="E236" s="121" t="s">
        <v>595</v>
      </c>
      <c r="F236" s="98" t="s">
        <v>665</v>
      </c>
      <c r="G236" s="98" t="s">
        <v>676</v>
      </c>
      <c r="H236" s="98"/>
      <c r="I236" s="98"/>
      <c r="J236" s="98">
        <f>IF(INDEX(lmic_raw_lb[],MATCH($A236,lmic_raw_lb[[setting]:[setting]],0), MATCH(J$139, lmic_raw_lb[#Headers],0))=0, INDEX(regions_lb[], MATCH($D236, regions_lb[[setting]:[setting]],0), MATCH(J$139, regions_lb[#Headers],0)),INDEX(lmic_raw_lb[],MATCH($A236,lmic_raw_lb[[setting]:[setting]],0), MATCH(J$139, lmic_raw_lb[#Headers],0)))</f>
        <v>0.88539999999999996</v>
      </c>
      <c r="K236" s="98">
        <f>IF(INDEX(lmic_raw_lb[],MATCH($A236,lmic_raw_lb[[setting]:[setting]],0), MATCH(K$139, lmic_raw_lb[#Headers],0))=0, INDEX(regions_lb[], MATCH($D236, regions_lb[[setting]:[setting]],0), MATCH(K$139, regions_lb[#Headers],0)),INDEX(lmic_raw_lb[],MATCH($A236,lmic_raw_lb[[setting]:[setting]],0), MATCH(K$139, lmic_raw_lb[#Headers],0)))</f>
        <v>0.70839362529601158</v>
      </c>
      <c r="L236" s="98">
        <f>IF(INDEX(lmic_raw_lb[],MATCH($A236,lmic_raw_lb[[setting]:[setting]],0), MATCH(L$139, lmic_raw_lb[#Headers],0))=0, INDEX(regions_lb[], MATCH($D236, regions_lb[[setting]:[setting]],0), MATCH(L$139, regions_lb[#Headers],0)),INDEX(lmic_raw_lb[],MATCH($A236,lmic_raw_lb[[setting]:[setting]],0), MATCH(L$139, lmic_raw_lb[#Headers],0)))</f>
        <v>0.81699999999999995</v>
      </c>
      <c r="M236" s="98">
        <f>IF(INDEX(lmic_raw_lb[],MATCH($A236,lmic_raw_lb[[setting]:[setting]],0), MATCH(M$139, lmic_raw_lb[#Headers],0))=0, INDEX(regions_lb[], MATCH($D236, regions_lb[[setting]:[setting]],0), MATCH(M$139, regions_lb[#Headers],0)),INDEX(lmic_raw_lb[],MATCH($A236,lmic_raw_lb[[setting]:[setting]],0), MATCH(M$139, lmic_raw_lb[#Headers],0)))</f>
        <v>1.2999999999999999E-3</v>
      </c>
      <c r="N236" s="98">
        <f>IF(INDEX(lmic_raw_lb[],MATCH($A236,lmic_raw_lb[[setting]:[setting]],0), MATCH(N$139, lmic_raw_lb[#Headers],0))=0, INDEX(regions_lb[], MATCH($D236, regions_lb[[setting]:[setting]],0), MATCH(N$139, regions_lb[#Headers],0)),INDEX(lmic_raw_lb[],MATCH($A236,lmic_raw_lb[[setting]:[setting]],0), MATCH(N$139, lmic_raw_lb[#Headers],0)))</f>
        <v>0.17010000000000003</v>
      </c>
      <c r="O236" s="98">
        <f>IF(INDEX(lmic_raw_lb[],MATCH($A236,lmic_raw_lb[[setting]:[setting]],0), MATCH(O$139, lmic_raw_lb[#Headers],0))=0, INDEX(regions_lb[], MATCH($D236, regions_lb[[setting]:[setting]],0), MATCH(O$139, regions_lb[#Headers],0)),INDEX(lmic_raw_lb[],MATCH($A236,lmic_raw_lb[[setting]:[setting]],0), MATCH(O$139, lmic_raw_lb[#Headers],0)))</f>
        <v>0.7</v>
      </c>
      <c r="P236" s="98">
        <f>IF(INDEX(lmic_raw_lb[],MATCH($A236,lmic_raw_lb[[setting]:[setting]],0), MATCH(P$139, lmic_raw_lb[#Headers],0))=0, INDEX(regions_lb[], MATCH($D236, regions_lb[[setting]:[setting]],0), MATCH(P$139, regions_lb[#Headers],0)),INDEX(lmic_raw_lb[],MATCH($A236,lmic_raw_lb[[setting]:[setting]],0), MATCH(P$139, lmic_raw_lb[#Headers],0)))</f>
        <v>0.05</v>
      </c>
      <c r="Q236" s="98">
        <f>IF(INDEX(lmic_raw_lb[],MATCH($A236,lmic_raw_lb[[setting]:[setting]],0), MATCH(Q$139, lmic_raw_lb[#Headers],0))=0, INDEX(regions_lb[], MATCH($D236, regions_lb[[setting]:[setting]],0), MATCH(Q$139, regions_lb[#Headers],0)),INDEX(lmic_raw_lb[],MATCH($A236,lmic_raw_lb[[setting]:[setting]],0), MATCH(Q$139, lmic_raw_lb[#Headers],0)))</f>
        <v>6.212471449587893</v>
      </c>
      <c r="R236" s="98">
        <f>IF(INDEX(lmic_raw_lb[],MATCH($A236,lmic_raw_lb[[setting]:[setting]],0), MATCH(R$139, lmic_raw_lb[#Headers],0))=0, INDEX(regions_lb[], MATCH($D236, regions_lb[[setting]:[setting]],0), MATCH(R$139, regions_lb[#Headers],0)),INDEX(lmic_raw_lb[],MATCH($A236,lmic_raw_lb[[setting]:[setting]],0), MATCH(R$139, lmic_raw_lb[#Headers],0)))</f>
        <v>82.539704999999998</v>
      </c>
      <c r="S236" s="98">
        <f>IF(INDEX(lmic_raw_lb[],MATCH($A236,lmic_raw_lb[[setting]:[setting]],0), MATCH(S$139, lmic_raw_lb[#Headers],0))=0, INDEX(regions_lb[], MATCH($D236, regions_lb[[setting]:[setting]],0), MATCH(S$139, regions_lb[#Headers],0)),INDEX(lmic_raw_lb[],MATCH($A236,lmic_raw_lb[[setting]:[setting]],0), MATCH(S$139, lmic_raw_lb[#Headers],0)))</f>
        <v>127.894605</v>
      </c>
      <c r="T236" s="98">
        <f>IF(INDEX(lmic_raw_lb[],MATCH($A236,lmic_raw_lb[[setting]:[setting]],0), MATCH(T$139, lmic_raw_lb[#Headers],0))=0, INDEX(regions_lb[], MATCH($D236, regions_lb[[setting]:[setting]],0), MATCH(T$139, regions_lb[#Headers],0)),INDEX(lmic_raw_lb[],MATCH($A236,lmic_raw_lb[[setting]:[setting]],0), MATCH(T$139, lmic_raw_lb[#Headers],0)))</f>
        <v>127.894605</v>
      </c>
      <c r="U236" s="98">
        <f>IF(INDEX(lmic_raw_lb[],MATCH($A236,lmic_raw_lb[[setting]:[setting]],0), MATCH(U$139, lmic_raw_lb[#Headers],0))=0, INDEX(regions_lb[], MATCH($D236, regions_lb[[setting]:[setting]],0), MATCH(U$139, regions_lb[#Headers],0)),INDEX(lmic_raw_lb[],MATCH($A236,lmic_raw_lb[[setting]:[setting]],0), MATCH(U$139, lmic_raw_lb[#Headers],0)))</f>
        <v>127.894605</v>
      </c>
      <c r="V236" s="98">
        <f>IF(INDEX(lmic_raw_lb[],MATCH($A236,lmic_raw_lb[[setting]:[setting]],0), MATCH(V$139, lmic_raw_lb[#Headers],0))=0, INDEX(regions_lb[], MATCH($D236, regions_lb[[setting]:[setting]],0), MATCH(V$139, regions_lb[#Headers],0)),INDEX(lmic_raw_lb[],MATCH($A236,lmic_raw_lb[[setting]:[setting]],0), MATCH(V$139, lmic_raw_lb[#Headers],0)))</f>
        <v>1.9860434415781809</v>
      </c>
      <c r="W236" s="98">
        <f>IF(INDEX(lmic_raw_lb[],MATCH($A236,lmic_raw_lb[[setting]:[setting]],0), MATCH(W$139, lmic_raw_lb[#Headers],0))=0, INDEX(regions_lb[], MATCH($D236, regions_lb[[setting]:[setting]],0), MATCH(W$139, regions_lb[#Headers],0)),INDEX(lmic_raw_lb[],MATCH($A236,lmic_raw_lb[[setting]:[setting]],0), MATCH(W$139, lmic_raw_lb[#Headers],0)))</f>
        <v>2.0067534415781809</v>
      </c>
      <c r="X236" s="98">
        <f>IF(INDEX(lmic_raw_lb[],MATCH($A236,lmic_raw_lb[[setting]:[setting]],0), MATCH(X$139, lmic_raw_lb[#Headers],0))=0, INDEX(regions_lb[], MATCH($D236, regions_lb[[setting]:[setting]],0), MATCH(X$139, regions_lb[#Headers],0)),INDEX(lmic_raw_lb[],MATCH($A236,lmic_raw_lb[[setting]:[setting]],0), MATCH(X$139, lmic_raw_lb[#Headers],0)))</f>
        <v>1.6169302637947254</v>
      </c>
      <c r="Y236" s="98">
        <f>IF(INDEX(lmic_raw_lb[],MATCH($A236,lmic_raw_lb[[setting]:[setting]],0), MATCH(Y$139, lmic_raw_lb[#Headers],0))=0, INDEX(regions_lb[], MATCH($D236, regions_lb[[setting]:[setting]],0), MATCH(Y$139, regions_lb[#Headers],0)),INDEX(lmic_raw_lb[],MATCH($A236,lmic_raw_lb[[setting]:[setting]],0), MATCH(Y$139, lmic_raw_lb[#Headers],0)))</f>
        <v>1.6376402637947254</v>
      </c>
      <c r="Z236" s="98">
        <f>IF(INDEX(lmic_raw_lb[],MATCH($A236,lmic_raw_lb[[setting]:[setting]],0), MATCH(Z$139, lmic_raw_lb[#Headers],0))=0, INDEX(regions_lb[], MATCH($D236, regions_lb[[setting]:[setting]],0), MATCH(Z$139, regions_lb[#Headers],0)),INDEX(lmic_raw_lb[],MATCH($A236,lmic_raw_lb[[setting]:[setting]],0), MATCH(Z$139, lmic_raw_lb[#Headers],0)))</f>
        <v>1.6329415114809509</v>
      </c>
      <c r="AA236" s="98">
        <f>IF(INDEX(lmic_raw_lb[],MATCH($A236,lmic_raw_lb[[setting]:[setting]],0), MATCH(AA$139, lmic_raw_lb[#Headers],0))=0, INDEX(regions_lb[], MATCH($D236, regions_lb[[setting]:[setting]],0), MATCH(AA$139, regions_lb[#Headers],0)),INDEX(lmic_raw_lb[],MATCH($A236,lmic_raw_lb[[setting]:[setting]],0), MATCH(AA$139, lmic_raw_lb[#Headers],0)))</f>
        <v>2.1988763351495884</v>
      </c>
      <c r="AB236" s="98">
        <f>IF(INDEX(lmic_raw_lb[],MATCH($A236,lmic_raw_lb[[setting]:[setting]],0), MATCH(AB$139, lmic_raw_lb[#Headers],0))=0, INDEX(regions_lb[], MATCH($D236, regions_lb[[setting]:[setting]],0), MATCH(AB$139, regions_lb[#Headers],0)),INDEX(lmic_raw_lb[],MATCH($A236,lmic_raw_lb[[setting]:[setting]],0), MATCH(AB$139, lmic_raw_lb[#Headers],0)))</f>
        <v>2.2195863351495881</v>
      </c>
      <c r="AC236" s="98">
        <f>IF(INDEX(lmic_raw_lb[],MATCH($A236,lmic_raw_lb[[setting]:[setting]],0), MATCH(AC$139, lmic_raw_lb[#Headers],0))=0, INDEX(regions_lb[], MATCH($D236, regions_lb[[setting]:[setting]],0), MATCH(AC$139, regions_lb[#Headers],0)),INDEX(lmic_raw_lb[],MATCH($A236,lmic_raw_lb[[setting]:[setting]],0), MATCH(AC$139, lmic_raw_lb[#Headers],0)))</f>
        <v>1.8073664499999947E-2</v>
      </c>
      <c r="AD236" s="98">
        <f>IF(INDEX(lmic_raw_lb[],MATCH($A236,lmic_raw_lb[[setting]:[setting]],0), MATCH(AD$139, lmic_raw_lb[#Headers],0))=0, INDEX(regions_lb[], MATCH($D236, regions_lb[[setting]:[setting]],0), MATCH(AD$139, regions_lb[#Headers],0)),INDEX(lmic_raw_lb[],MATCH($A236,lmic_raw_lb[[setting]:[setting]],0), MATCH(AD$139, lmic_raw_lb[#Headers],0)))</f>
        <v>5.9645487532207411E-4</v>
      </c>
      <c r="AE236" s="98">
        <f>IF(INDEX(lmic_raw_lb[],MATCH($A236,lmic_raw_lb[[setting]:[setting]],0), MATCH(AE$139, lmic_raw_lb[#Headers],0))=0, INDEX(regions_lb[], MATCH($D236, regions_lb[[setting]:[setting]],0), MATCH(AE$139, regions_lb[#Headers],0)),INDEX(lmic_raw_lb[],MATCH($A236,lmic_raw_lb[[setting]:[setting]],0), MATCH(AE$139, lmic_raw_lb[#Headers],0)))</f>
        <v>5.240093861750136E-4</v>
      </c>
      <c r="AF236" s="98">
        <f>IF(INDEX(lmic_raw_lb[],MATCH($A236,lmic_raw_lb[[setting]:[setting]],0), MATCH(AF$139, lmic_raw_lb[#Headers],0))=0, INDEX(regions_lb[], MATCH($D236, regions_lb[[setting]:[setting]],0), MATCH(AF$139, regions_lb[#Headers],0)),INDEX(lmic_raw_lb[],MATCH($A236,lmic_raw_lb[[setting]:[setting]],0), MATCH(AF$139, lmic_raw_lb[#Headers],0)))</f>
        <v>4.265597868771494E-4</v>
      </c>
      <c r="AG236" s="98">
        <f>IF(INDEX(lmic_raw_lb[],MATCH($A236,lmic_raw_lb[[setting]:[setting]],0), MATCH(AG$139, lmic_raw_lb[#Headers],0))=0, INDEX(regions_lb[], MATCH($D236, regions_lb[[setting]:[setting]],0), MATCH(AG$139, regions_lb[#Headers],0)),INDEX(lmic_raw_lb[],MATCH($A236,lmic_raw_lb[[setting]:[setting]],0), MATCH(AG$139, lmic_raw_lb[#Headers],0)))</f>
        <v>9.9922007723632789E-4</v>
      </c>
      <c r="AH236" s="98">
        <f>IF(INDEX(lmic_raw_lb[],MATCH($A236,lmic_raw_lb[[setting]:[setting]],0), MATCH(AH$139, lmic_raw_lb[#Headers],0))=0, INDEX(regions_lb[], MATCH($D236, regions_lb[[setting]:[setting]],0), MATCH(AH$139, regions_lb[#Headers],0)),INDEX(lmic_raw_lb[],MATCH($A236,lmic_raw_lb[[setting]:[setting]],0), MATCH(AH$139, lmic_raw_lb[#Headers],0)))</f>
        <v>1.5198128920204813E-3</v>
      </c>
      <c r="AI236" s="98">
        <f>IF(INDEX(lmic_raw_lb[],MATCH($A236,lmic_raw_lb[[setting]:[setting]],0), MATCH(AI$139, lmic_raw_lb[#Headers],0))=0, INDEX(regions_lb[], MATCH($D236, regions_lb[[setting]:[setting]],0), MATCH(AI$139, regions_lb[#Headers],0)),INDEX(lmic_raw_lb[],MATCH($A236,lmic_raw_lb[[setting]:[setting]],0), MATCH(AI$139, lmic_raw_lb[#Headers],0)))</f>
        <v>1.8519387665525441E-3</v>
      </c>
      <c r="AJ236" s="98">
        <f>IF(INDEX(lmic_raw_lb[],MATCH($A236,lmic_raw_lb[[setting]:[setting]],0), MATCH(AJ$139, lmic_raw_lb[#Headers],0))=0, INDEX(regions_lb[], MATCH($D236, regions_lb[[setting]:[setting]],0), MATCH(AJ$139, regions_lb[#Headers],0)),INDEX(lmic_raw_lb[],MATCH($A236,lmic_raw_lb[[setting]:[setting]],0), MATCH(AJ$139, lmic_raw_lb[#Headers],0)))</f>
        <v>1.8862738056124758E-3</v>
      </c>
      <c r="AK236" s="98">
        <f>IF(INDEX(lmic_raw_lb[],MATCH($A236,lmic_raw_lb[[setting]:[setting]],0), MATCH(AK$139, lmic_raw_lb[#Headers],0))=0, INDEX(regions_lb[], MATCH($D236, regions_lb[[setting]:[setting]],0), MATCH(AK$139, regions_lb[#Headers],0)),INDEX(lmic_raw_lb[],MATCH($A236,lmic_raw_lb[[setting]:[setting]],0), MATCH(AK$139, lmic_raw_lb[#Headers],0)))</f>
        <v>2.2335986358099067E-3</v>
      </c>
      <c r="AL236" s="98">
        <f>IF(INDEX(lmic_raw_lb[],MATCH($A236,lmic_raw_lb[[setting]:[setting]],0), MATCH(AL$139, lmic_raw_lb[#Headers],0))=0, INDEX(regions_lb[], MATCH($D236, regions_lb[[setting]:[setting]],0), MATCH(AL$139, regions_lb[#Headers],0)),INDEX(lmic_raw_lb[],MATCH($A236,lmic_raw_lb[[setting]:[setting]],0), MATCH(AL$139, lmic_raw_lb[#Headers],0)))</f>
        <v>2.7341748406630555E-3</v>
      </c>
      <c r="AM236" s="98">
        <f>IF(INDEX(lmic_raw_lb[],MATCH($A236,lmic_raw_lb[[setting]:[setting]],0), MATCH(AM$139, lmic_raw_lb[#Headers],0))=0, INDEX(regions_lb[], MATCH($D236, regions_lb[[setting]:[setting]],0), MATCH(AM$139, regions_lb[#Headers],0)),INDEX(lmic_raw_lb[],MATCH($A236,lmic_raw_lb[[setting]:[setting]],0), MATCH(AM$139, lmic_raw_lb[#Headers],0)))</f>
        <v>3.9916862789858426E-3</v>
      </c>
      <c r="AN236" s="98">
        <f>IF(INDEX(lmic_raw_lb[],MATCH($A236,lmic_raw_lb[[setting]:[setting]],0), MATCH(AN$139, lmic_raw_lb[#Headers],0))=0, INDEX(regions_lb[], MATCH($D236, regions_lb[[setting]:[setting]],0), MATCH(AN$139, regions_lb[#Headers],0)),INDEX(lmic_raw_lb[],MATCH($A236,lmic_raw_lb[[setting]:[setting]],0), MATCH(AN$139, lmic_raw_lb[#Headers],0)))</f>
        <v>5.7943425397515829E-3</v>
      </c>
      <c r="AO236" s="98">
        <f>IF(INDEX(lmic_raw_lb[],MATCH($A236,lmic_raw_lb[[setting]:[setting]],0), MATCH(AO$139, lmic_raw_lb[#Headers],0))=0, INDEX(regions_lb[], MATCH($D236, regions_lb[[setting]:[setting]],0), MATCH(AO$139, regions_lb[#Headers],0)),INDEX(lmic_raw_lb[],MATCH($A236,lmic_raw_lb[[setting]:[setting]],0), MATCH(AO$139, lmic_raw_lb[#Headers],0)))</f>
        <v>8.1074471103820683E-3</v>
      </c>
      <c r="AP236" s="98">
        <f>IF(INDEX(lmic_raw_lb[],MATCH($A236,lmic_raw_lb[[setting]:[setting]],0), MATCH(AP$139, lmic_raw_lb[#Headers],0))=0, INDEX(regions_lb[], MATCH($D236, regions_lb[[setting]:[setting]],0), MATCH(AP$139, regions_lb[#Headers],0)),INDEX(lmic_raw_lb[],MATCH($A236,lmic_raw_lb[[setting]:[setting]],0), MATCH(AP$139, lmic_raw_lb[#Headers],0)))</f>
        <v>1.2558120587683472E-2</v>
      </c>
      <c r="AQ236" s="98">
        <f>IF(INDEX(lmic_raw_lb[],MATCH($A236,lmic_raw_lb[[setting]:[setting]],0), MATCH(AQ$139, lmic_raw_lb[#Headers],0))=0, INDEX(regions_lb[], MATCH($D236, regions_lb[[setting]:[setting]],0), MATCH(AQ$139, regions_lb[#Headers],0)),INDEX(lmic_raw_lb[],MATCH($A236,lmic_raw_lb[[setting]:[setting]],0), MATCH(AQ$139, lmic_raw_lb[#Headers],0)))</f>
        <v>1.8304594943666798E-2</v>
      </c>
      <c r="AR236" s="98">
        <f>IF(INDEX(lmic_raw_lb[],MATCH($A236,lmic_raw_lb[[setting]:[setting]],0), MATCH(AR$139, lmic_raw_lb[#Headers],0))=0, INDEX(regions_lb[], MATCH($D236, regions_lb[[setting]:[setting]],0), MATCH(AR$139, regions_lb[#Headers],0)),INDEX(lmic_raw_lb[],MATCH($A236,lmic_raw_lb[[setting]:[setting]],0), MATCH(AR$139, lmic_raw_lb[#Headers],0)))</f>
        <v>2.6319132215071466E-2</v>
      </c>
      <c r="AS236" s="98">
        <f>IF(INDEX(lmic_raw_lb[],MATCH($A236,lmic_raw_lb[[setting]:[setting]],0), MATCH(AS$139, lmic_raw_lb[#Headers],0))=0, INDEX(regions_lb[], MATCH($D236, regions_lb[[setting]:[setting]],0), MATCH(AS$139, regions_lb[#Headers],0)),INDEX(lmic_raw_lb[],MATCH($A236,lmic_raw_lb[[setting]:[setting]],0), MATCH(AS$139, lmic_raw_lb[#Headers],0)))</f>
        <v>3.7006259002706494E-2</v>
      </c>
      <c r="AT236" s="98">
        <f>IF(INDEX(lmic_raw_lb[],MATCH($A236,lmic_raw_lb[[setting]:[setting]],0), MATCH(AT$139, lmic_raw_lb[#Headers],0))=0, INDEX(regions_lb[], MATCH($D236, regions_lb[[setting]:[setting]],0), MATCH(AT$139, regions_lb[#Headers],0)),INDEX(lmic_raw_lb[],MATCH($A236,lmic_raw_lb[[setting]:[setting]],0), MATCH(AT$139, lmic_raw_lb[#Headers],0)))</f>
        <v>6.6402473334044601E-2</v>
      </c>
      <c r="AU236" s="98">
        <f>IF(INDEX(lmic_raw_lb[],MATCH($A236,lmic_raw_lb[[setting]:[setting]],0), MATCH(AU$139, lmic_raw_lb[#Headers],0))=0, INDEX(regions_lb[], MATCH($D236, regions_lb[[setting]:[setting]],0), MATCH(AU$139, regions_lb[#Headers],0)),INDEX(lmic_raw_lb[],MATCH($A236,lmic_raw_lb[[setting]:[setting]],0), MATCH(AU$139, lmic_raw_lb[#Headers],0)))</f>
        <v>9.4913464453572308E-2</v>
      </c>
      <c r="AV236" s="98">
        <f>IF(INDEX(lmic_raw_lb[],MATCH($A236,lmic_raw_lb[[setting]:[setting]],0), MATCH(AV$139, lmic_raw_lb[#Headers],0))=0, INDEX(regions_lb[], MATCH($D236, regions_lb[[setting]:[setting]],0), MATCH(AV$139, regions_lb[#Headers],0)),INDEX(lmic_raw_lb[],MATCH($A236,lmic_raw_lb[[setting]:[setting]],0), MATCH(AV$139, lmic_raw_lb[#Headers],0)))</f>
        <v>0.12257774557800728</v>
      </c>
      <c r="AW236" s="98">
        <f>IF(INDEX(lmic_raw_lb[],MATCH($A236,lmic_raw_lb[[setting]:[setting]],0), MATCH(AW$139, lmic_raw_lb[#Headers],0))=0, INDEX(regions_lb[], MATCH($D236, regions_lb[[setting]:[setting]],0), MATCH(AW$139, regions_lb[#Headers],0)),INDEX(lmic_raw_lb[],MATCH($A236,lmic_raw_lb[[setting]:[setting]],0), MATCH(AW$139, lmic_raw_lb[#Headers],0)))</f>
        <v>0.14544814336410306</v>
      </c>
      <c r="AX236" s="98">
        <f>IF(INDEX(lmic_raw_lb[],MATCH($A236,lmic_raw_lb[[setting]:[setting]],0), MATCH(AX$139, lmic_raw_lb[#Headers],0))=0, INDEX(regions_lb[], MATCH($D236, regions_lb[[setting]:[setting]],0), MATCH(AX$139, regions_lb[#Headers],0)),INDEX(lmic_raw_lb[],MATCH($A236,lmic_raw_lb[[setting]:[setting]],0), MATCH(AX$139, lmic_raw_lb[#Headers],0)))</f>
        <v>70.377899999999997</v>
      </c>
      <c r="AY236" s="98" t="str">
        <f>IF(VLOOKUP(lmics_lb[[#This Row],[setting]],lmic_raw_lb[],11,FALSE)=0, "Yes", "No")</f>
        <v>Yes</v>
      </c>
    </row>
    <row r="237" spans="1:51" x14ac:dyDescent="0.25">
      <c r="A237" s="110" t="s">
        <v>272</v>
      </c>
      <c r="B237" s="104" t="s">
        <v>493</v>
      </c>
      <c r="C237" s="105">
        <v>604</v>
      </c>
      <c r="D237" s="84" t="s">
        <v>679</v>
      </c>
      <c r="E237" s="122" t="s">
        <v>593</v>
      </c>
      <c r="F237" s="94" t="s">
        <v>665</v>
      </c>
      <c r="G237" s="94" t="s">
        <v>676</v>
      </c>
      <c r="H237" s="94"/>
      <c r="I237" s="94"/>
      <c r="J237" s="94">
        <f>IF(INDEX(lmic_raw_lb[],MATCH($A237,lmic_raw_lb[[setting]:[setting]],0), MATCH(J$139, lmic_raw_lb[#Headers],0))=0, INDEX(regions_lb[], MATCH($D237, regions_lb[[setting]:[setting]],0), MATCH(J$139, regions_lb[#Headers],0)),INDEX(lmic_raw_lb[],MATCH($A237,lmic_raw_lb[[setting]:[setting]],0), MATCH(J$139, lmic_raw_lb[#Headers],0)))</f>
        <v>0.86449999999999994</v>
      </c>
      <c r="K237" s="94">
        <f>IF(INDEX(lmic_raw_lb[],MATCH($A237,lmic_raw_lb[[setting]:[setting]],0), MATCH(K$139, lmic_raw_lb[#Headers],0))=0, INDEX(regions_lb[], MATCH($D237, regions_lb[[setting]:[setting]],0), MATCH(K$139, regions_lb[#Headers],0)),INDEX(lmic_raw_lb[],MATCH($A237,lmic_raw_lb[[setting]:[setting]],0), MATCH(K$139, lmic_raw_lb[#Headers],0)))</f>
        <v>0.77899999999999991</v>
      </c>
      <c r="L237" s="94">
        <f>IF(INDEX(lmic_raw_lb[],MATCH($A237,lmic_raw_lb[[setting]:[setting]],0), MATCH(L$139, lmic_raw_lb[#Headers],0))=0, INDEX(regions_lb[], MATCH($D237, regions_lb[[setting]:[setting]],0), MATCH(L$139, regions_lb[#Headers],0)),INDEX(lmic_raw_lb[],MATCH($A237,lmic_raw_lb[[setting]:[setting]],0), MATCH(L$139, lmic_raw_lb[#Headers],0)))</f>
        <v>0.83599999999999997</v>
      </c>
      <c r="M237" s="94">
        <f>IF(INDEX(lmic_raw_lb[],MATCH($A237,lmic_raw_lb[[setting]:[setting]],0), MATCH(M$139, lmic_raw_lb[#Headers],0))=0, INDEX(regions_lb[], MATCH($D237, regions_lb[[setting]:[setting]],0), MATCH(M$139, regions_lb[#Headers],0)),INDEX(lmic_raw_lb[],MATCH($A237,lmic_raw_lb[[setting]:[setting]],0), MATCH(M$139, lmic_raw_lb[#Headers],0)))</f>
        <v>1.18E-2</v>
      </c>
      <c r="N237" s="94">
        <f>IF(INDEX(lmic_raw_lb[],MATCH($A237,lmic_raw_lb[[setting]:[setting]],0), MATCH(N$139, lmic_raw_lb[#Headers],0))=0, INDEX(regions_lb[], MATCH($D237, regions_lb[[setting]:[setting]],0), MATCH(N$139, regions_lb[#Headers],0)),INDEX(lmic_raw_lb[],MATCH($A237,lmic_raw_lb[[setting]:[setting]],0), MATCH(N$139, lmic_raw_lb[#Headers],0)))</f>
        <v>0.16269999999999998</v>
      </c>
      <c r="O237" s="94">
        <f>IF(INDEX(lmic_raw_lb[],MATCH($A237,lmic_raw_lb[[setting]:[setting]],0), MATCH(O$139, lmic_raw_lb[#Headers],0))=0, INDEX(regions_lb[], MATCH($D237, regions_lb[[setting]:[setting]],0), MATCH(O$139, regions_lb[#Headers],0)),INDEX(lmic_raw_lb[],MATCH($A237,lmic_raw_lb[[setting]:[setting]],0), MATCH(O$139, lmic_raw_lb[#Headers],0)))</f>
        <v>0.7</v>
      </c>
      <c r="P237" s="94">
        <f>IF(INDEX(lmic_raw_lb[],MATCH($A237,lmic_raw_lb[[setting]:[setting]],0), MATCH(P$139, lmic_raw_lb[#Headers],0))=0, INDEX(regions_lb[], MATCH($D237, regions_lb[[setting]:[setting]],0), MATCH(P$139, regions_lb[#Headers],0)),INDEX(lmic_raw_lb[],MATCH($A237,lmic_raw_lb[[setting]:[setting]],0), MATCH(P$139, lmic_raw_lb[#Headers],0)))</f>
        <v>0.05</v>
      </c>
      <c r="Q237" s="94">
        <f>IF(INDEX(lmic_raw_lb[],MATCH($A237,lmic_raw_lb[[setting]:[setting]],0), MATCH(Q$139, lmic_raw_lb[#Headers],0))=0, INDEX(regions_lb[], MATCH($D237, regions_lb[[setting]:[setting]],0), MATCH(Q$139, regions_lb[#Headers],0)),INDEX(lmic_raw_lb[],MATCH($A237,lmic_raw_lb[[setting]:[setting]],0), MATCH(Q$139, lmic_raw_lb[#Headers],0)))</f>
        <v>9.5387727562888625</v>
      </c>
      <c r="R237" s="94">
        <f>IF(INDEX(lmic_raw_lb[],MATCH($A237,lmic_raw_lb[[setting]:[setting]],0), MATCH(R$139, lmic_raw_lb[#Headers],0))=0, INDEX(regions_lb[], MATCH($D237, regions_lb[[setting]:[setting]],0), MATCH(R$139, regions_lb[#Headers],0)),INDEX(lmic_raw_lb[],MATCH($A237,lmic_raw_lb[[setting]:[setting]],0), MATCH(R$139, lmic_raw_lb[#Headers],0)))</f>
        <v>82.539704999999998</v>
      </c>
      <c r="S237" s="94">
        <f>IF(INDEX(lmic_raw_lb[],MATCH($A237,lmic_raw_lb[[setting]:[setting]],0), MATCH(S$139, lmic_raw_lb[#Headers],0))=0, INDEX(regions_lb[], MATCH($D237, regions_lb[[setting]:[setting]],0), MATCH(S$139, regions_lb[#Headers],0)),INDEX(lmic_raw_lb[],MATCH($A237,lmic_raw_lb[[setting]:[setting]],0), MATCH(S$139, lmic_raw_lb[#Headers],0)))</f>
        <v>127.894605</v>
      </c>
      <c r="T237" s="94">
        <f>IF(INDEX(lmic_raw_lb[],MATCH($A237,lmic_raw_lb[[setting]:[setting]],0), MATCH(T$139, lmic_raw_lb[#Headers],0))=0, INDEX(regions_lb[], MATCH($D237, regions_lb[[setting]:[setting]],0), MATCH(T$139, regions_lb[#Headers],0)),INDEX(lmic_raw_lb[],MATCH($A237,lmic_raw_lb[[setting]:[setting]],0), MATCH(T$139, lmic_raw_lb[#Headers],0)))</f>
        <v>127.894605</v>
      </c>
      <c r="U237" s="94">
        <f>IF(INDEX(lmic_raw_lb[],MATCH($A237,lmic_raw_lb[[setting]:[setting]],0), MATCH(U$139, lmic_raw_lb[#Headers],0))=0, INDEX(regions_lb[], MATCH($D237, regions_lb[[setting]:[setting]],0), MATCH(U$139, regions_lb[#Headers],0)),INDEX(lmic_raw_lb[],MATCH($A237,lmic_raw_lb[[setting]:[setting]],0), MATCH(U$139, lmic_raw_lb[#Headers],0)))</f>
        <v>127.894605</v>
      </c>
      <c r="V237" s="94">
        <f>IF(INDEX(lmic_raw_lb[],MATCH($A237,lmic_raw_lb[[setting]:[setting]],0), MATCH(V$139, lmic_raw_lb[#Headers],0))=0, INDEX(regions_lb[], MATCH($D237, regions_lb[[setting]:[setting]],0), MATCH(V$139, regions_lb[#Headers],0)),INDEX(lmic_raw_lb[],MATCH($A237,lmic_raw_lb[[setting]:[setting]],0), MATCH(V$139, lmic_raw_lb[#Headers],0)))</f>
        <v>1.2798529655968391</v>
      </c>
      <c r="W237" s="94">
        <f>IF(INDEX(lmic_raw_lb[],MATCH($A237,lmic_raw_lb[[setting]:[setting]],0), MATCH(W$139, lmic_raw_lb[#Headers],0))=0, INDEX(regions_lb[], MATCH($D237, regions_lb[[setting]:[setting]],0), MATCH(W$139, regions_lb[#Headers],0)),INDEX(lmic_raw_lb[],MATCH($A237,lmic_raw_lb[[setting]:[setting]],0), MATCH(W$139, lmic_raw_lb[#Headers],0)))</f>
        <v>1.3005629655968391</v>
      </c>
      <c r="X237" s="94">
        <f>IF(INDEX(lmic_raw_lb[],MATCH($A237,lmic_raw_lb[[setting]:[setting]],0), MATCH(X$139, lmic_raw_lb[#Headers],0))=0, INDEX(regions_lb[], MATCH($D237, regions_lb[[setting]:[setting]],0), MATCH(X$139, regions_lb[#Headers],0)),INDEX(lmic_raw_lb[],MATCH($A237,lmic_raw_lb[[setting]:[setting]],0), MATCH(X$139, lmic_raw_lb[#Headers],0)))</f>
        <v>0.90888292498217149</v>
      </c>
      <c r="Y237" s="94">
        <f>IF(INDEX(lmic_raw_lb[],MATCH($A237,lmic_raw_lb[[setting]:[setting]],0), MATCH(Y$139, lmic_raw_lb[#Headers],0))=0, INDEX(regions_lb[], MATCH($D237, regions_lb[[setting]:[setting]],0), MATCH(Y$139, regions_lb[#Headers],0)),INDEX(lmic_raw_lb[],MATCH($A237,lmic_raw_lb[[setting]:[setting]],0), MATCH(Y$139, lmic_raw_lb[#Headers],0)))</f>
        <v>0.9295929249821715</v>
      </c>
      <c r="Z237" s="94">
        <f>IF(INDEX(lmic_raw_lb[],MATCH($A237,lmic_raw_lb[[setting]:[setting]],0), MATCH(Z$139, lmic_raw_lb[#Headers],0))=0, INDEX(regions_lb[], MATCH($D237, regions_lb[[setting]:[setting]],0), MATCH(Z$139, regions_lb[#Headers],0)),INDEX(lmic_raw_lb[],MATCH($A237,lmic_raw_lb[[setting]:[setting]],0), MATCH(Z$139, lmic_raw_lb[#Headers],0)))</f>
        <v>0.9238092318816512</v>
      </c>
      <c r="AA237" s="94">
        <f>IF(INDEX(lmic_raw_lb[],MATCH($A237,lmic_raw_lb[[setting]:[setting]],0), MATCH(AA$139, lmic_raw_lb[#Headers],0))=0, INDEX(regions_lb[], MATCH($D237, regions_lb[[setting]:[setting]],0), MATCH(AA$139, regions_lb[#Headers],0)),INDEX(lmic_raw_lb[],MATCH($A237,lmic_raw_lb[[setting]:[setting]],0), MATCH(AA$139, lmic_raw_lb[#Headers],0)))</f>
        <v>1.4934816575244805</v>
      </c>
      <c r="AB237" s="94">
        <f>IF(INDEX(lmic_raw_lb[],MATCH($A237,lmic_raw_lb[[setting]:[setting]],0), MATCH(AB$139, lmic_raw_lb[#Headers],0))=0, INDEX(regions_lb[], MATCH($D237, regions_lb[[setting]:[setting]],0), MATCH(AB$139, regions_lb[#Headers],0)),INDEX(lmic_raw_lb[],MATCH($A237,lmic_raw_lb[[setting]:[setting]],0), MATCH(AB$139, lmic_raw_lb[#Headers],0)))</f>
        <v>1.5141916575244805</v>
      </c>
      <c r="AC237" s="94">
        <f>IF(INDEX(lmic_raw_lb[],MATCH($A237,lmic_raw_lb[[setting]:[setting]],0), MATCH(AC$139, lmic_raw_lb[#Headers],0))=0, INDEX(regions_lb[], MATCH($D237, regions_lb[[setting]:[setting]],0), MATCH(AC$139, regions_lb[#Headers],0)),INDEX(lmic_raw_lb[],MATCH($A237,lmic_raw_lb[[setting]:[setting]],0), MATCH(AC$139, lmic_raw_lb[#Headers],0)))</f>
        <v>1.2148020500000014E-2</v>
      </c>
      <c r="AD237" s="94">
        <f>IF(INDEX(lmic_raw_lb[],MATCH($A237,lmic_raw_lb[[setting]:[setting]],0), MATCH(AD$139, lmic_raw_lb[#Headers],0))=0, INDEX(regions_lb[], MATCH($D237, regions_lb[[setting]:[setting]],0), MATCH(AD$139, regions_lb[#Headers],0)),INDEX(lmic_raw_lb[],MATCH($A237,lmic_raw_lb[[setting]:[setting]],0), MATCH(AD$139, lmic_raw_lb[#Headers],0)))</f>
        <v>8.3146311816255478E-4</v>
      </c>
      <c r="AE237" s="94">
        <f>IF(INDEX(lmic_raw_lb[],MATCH($A237,lmic_raw_lb[[setting]:[setting]],0), MATCH(AE$139, lmic_raw_lb[#Headers],0))=0, INDEX(regions_lb[], MATCH($D237, regions_lb[[setting]:[setting]],0), MATCH(AE$139, regions_lb[#Headers],0)),INDEX(lmic_raw_lb[],MATCH($A237,lmic_raw_lb[[setting]:[setting]],0), MATCH(AE$139, lmic_raw_lb[#Headers],0)))</f>
        <v>4.702041708533504E-4</v>
      </c>
      <c r="AF237" s="94">
        <f>IF(INDEX(lmic_raw_lb[],MATCH($A237,lmic_raw_lb[[setting]:[setting]],0), MATCH(AF$139, lmic_raw_lb[#Headers],0))=0, INDEX(regions_lb[], MATCH($D237, regions_lb[[setting]:[setting]],0), MATCH(AF$139, regions_lb[#Headers],0)),INDEX(lmic_raw_lb[],MATCH($A237,lmic_raw_lb[[setting]:[setting]],0), MATCH(AF$139, lmic_raw_lb[#Headers],0)))</f>
        <v>3.1909528730386557E-4</v>
      </c>
      <c r="AG237" s="94">
        <f>IF(INDEX(lmic_raw_lb[],MATCH($A237,lmic_raw_lb[[setting]:[setting]],0), MATCH(AG$139, lmic_raw_lb[#Headers],0))=0, INDEX(regions_lb[], MATCH($D237, regions_lb[[setting]:[setting]],0), MATCH(AG$139, regions_lb[#Headers],0)),INDEX(lmic_raw_lb[],MATCH($A237,lmic_raw_lb[[setting]:[setting]],0), MATCH(AG$139, lmic_raw_lb[#Headers],0)))</f>
        <v>7.5478191803101215E-4</v>
      </c>
      <c r="AH237" s="94">
        <f>IF(INDEX(lmic_raw_lb[],MATCH($A237,lmic_raw_lb[[setting]:[setting]],0), MATCH(AH$139, lmic_raw_lb[#Headers],0))=0, INDEX(regions_lb[], MATCH($D237, regions_lb[[setting]:[setting]],0), MATCH(AH$139, regions_lb[#Headers],0)),INDEX(lmic_raw_lb[],MATCH($A237,lmic_raw_lb[[setting]:[setting]],0), MATCH(AH$139, lmic_raw_lb[#Headers],0)))</f>
        <v>1.1212737516538636E-3</v>
      </c>
      <c r="AI237" s="94">
        <f>IF(INDEX(lmic_raw_lb[],MATCH($A237,lmic_raw_lb[[setting]:[setting]],0), MATCH(AI$139, lmic_raw_lb[#Headers],0))=0, INDEX(regions_lb[], MATCH($D237, regions_lb[[setting]:[setting]],0), MATCH(AI$139, regions_lb[#Headers],0)),INDEX(lmic_raw_lb[],MATCH($A237,lmic_raw_lb[[setting]:[setting]],0), MATCH(AI$139, lmic_raw_lb[#Headers],0)))</f>
        <v>1.4548397604334552E-3</v>
      </c>
      <c r="AJ237" s="94">
        <f>IF(INDEX(lmic_raw_lb[],MATCH($A237,lmic_raw_lb[[setting]:[setting]],0), MATCH(AJ$139, lmic_raw_lb[#Headers],0))=0, INDEX(regions_lb[], MATCH($D237, regions_lb[[setting]:[setting]],0), MATCH(AJ$139, regions_lb[#Headers],0)),INDEX(lmic_raw_lb[],MATCH($A237,lmic_raw_lb[[setting]:[setting]],0), MATCH(AJ$139, lmic_raw_lb[#Headers],0)))</f>
        <v>1.5992634334729828E-3</v>
      </c>
      <c r="AK237" s="94">
        <f>IF(INDEX(lmic_raw_lb[],MATCH($A237,lmic_raw_lb[[setting]:[setting]],0), MATCH(AK$139, lmic_raw_lb[#Headers],0))=0, INDEX(regions_lb[], MATCH($D237, regions_lb[[setting]:[setting]],0), MATCH(AK$139, regions_lb[#Headers],0)),INDEX(lmic_raw_lb[],MATCH($A237,lmic_raw_lb[[setting]:[setting]],0), MATCH(AK$139, lmic_raw_lb[#Headers],0)))</f>
        <v>1.9124378268532644E-3</v>
      </c>
      <c r="AL237" s="94">
        <f>IF(INDEX(lmic_raw_lb[],MATCH($A237,lmic_raw_lb[[setting]:[setting]],0), MATCH(AL$139, lmic_raw_lb[#Headers],0))=0, INDEX(regions_lb[], MATCH($D237, regions_lb[[setting]:[setting]],0), MATCH(AL$139, regions_lb[#Headers],0)),INDEX(lmic_raw_lb[],MATCH($A237,lmic_raw_lb[[setting]:[setting]],0), MATCH(AL$139, lmic_raw_lb[#Headers],0)))</f>
        <v>2.4373439660064773E-3</v>
      </c>
      <c r="AM237" s="94">
        <f>IF(INDEX(lmic_raw_lb[],MATCH($A237,lmic_raw_lb[[setting]:[setting]],0), MATCH(AM$139, lmic_raw_lb[#Headers],0))=0, INDEX(regions_lb[], MATCH($D237, regions_lb[[setting]:[setting]],0), MATCH(AM$139, regions_lb[#Headers],0)),INDEX(lmic_raw_lb[],MATCH($A237,lmic_raw_lb[[setting]:[setting]],0), MATCH(AM$139, lmic_raw_lb[#Headers],0)))</f>
        <v>3.2513172957055357E-3</v>
      </c>
      <c r="AN237" s="94">
        <f>IF(INDEX(lmic_raw_lb[],MATCH($A237,lmic_raw_lb[[setting]:[setting]],0), MATCH(AN$139, lmic_raw_lb[#Headers],0))=0, INDEX(regions_lb[], MATCH($D237, regions_lb[[setting]:[setting]],0), MATCH(AN$139, regions_lb[#Headers],0)),INDEX(lmic_raw_lb[],MATCH($A237,lmic_raw_lb[[setting]:[setting]],0), MATCH(AN$139, lmic_raw_lb[#Headers],0)))</f>
        <v>4.5215476769519449E-3</v>
      </c>
      <c r="AO237" s="94">
        <f>IF(INDEX(lmic_raw_lb[],MATCH($A237,lmic_raw_lb[[setting]:[setting]],0), MATCH(AO$139, lmic_raw_lb[#Headers],0))=0, INDEX(regions_lb[], MATCH($D237, regions_lb[[setting]:[setting]],0), MATCH(AO$139, regions_lb[#Headers],0)),INDEX(lmic_raw_lb[],MATCH($A237,lmic_raw_lb[[setting]:[setting]],0), MATCH(AO$139, lmic_raw_lb[#Headers],0)))</f>
        <v>6.4528149515858972E-3</v>
      </c>
      <c r="AP237" s="94">
        <f>IF(INDEX(lmic_raw_lb[],MATCH($A237,lmic_raw_lb[[setting]:[setting]],0), MATCH(AP$139, lmic_raw_lb[#Headers],0))=0, INDEX(regions_lb[], MATCH($D237, regions_lb[[setting]:[setting]],0), MATCH(AP$139, regions_lb[#Headers],0)),INDEX(lmic_raw_lb[],MATCH($A237,lmic_raw_lb[[setting]:[setting]],0), MATCH(AP$139, lmic_raw_lb[#Headers],0)))</f>
        <v>9.7305599372724573E-3</v>
      </c>
      <c r="AQ237" s="94">
        <f>IF(INDEX(lmic_raw_lb[],MATCH($A237,lmic_raw_lb[[setting]:[setting]],0), MATCH(AQ$139, lmic_raw_lb[#Headers],0))=0, INDEX(regions_lb[], MATCH($D237, regions_lb[[setting]:[setting]],0), MATCH(AQ$139, regions_lb[#Headers],0)),INDEX(lmic_raw_lb[],MATCH($A237,lmic_raw_lb[[setting]:[setting]],0), MATCH(AQ$139, lmic_raw_lb[#Headers],0)))</f>
        <v>1.4510473339758545E-2</v>
      </c>
      <c r="AR237" s="94">
        <f>IF(INDEX(lmic_raw_lb[],MATCH($A237,lmic_raw_lb[[setting]:[setting]],0), MATCH(AR$139, lmic_raw_lb[#Headers],0))=0, INDEX(regions_lb[], MATCH($D237, regions_lb[[setting]:[setting]],0), MATCH(AR$139, regions_lb[#Headers],0)),INDEX(lmic_raw_lb[],MATCH($A237,lmic_raw_lb[[setting]:[setting]],0), MATCH(AR$139, lmic_raw_lb[#Headers],0)))</f>
        <v>2.4481011470699515E-2</v>
      </c>
      <c r="AS237" s="94">
        <f>IF(INDEX(lmic_raw_lb[],MATCH($A237,lmic_raw_lb[[setting]:[setting]],0), MATCH(AS$139, lmic_raw_lb[#Headers],0))=0, INDEX(regions_lb[], MATCH($D237, regions_lb[[setting]:[setting]],0), MATCH(AS$139, regions_lb[#Headers],0)),INDEX(lmic_raw_lb[],MATCH($A237,lmic_raw_lb[[setting]:[setting]],0), MATCH(AS$139, lmic_raw_lb[#Headers],0)))</f>
        <v>3.7884473843180035E-2</v>
      </c>
      <c r="AT237" s="94">
        <f>IF(INDEX(lmic_raw_lb[],MATCH($A237,lmic_raw_lb[[setting]:[setting]],0), MATCH(AT$139, lmic_raw_lb[#Headers],0))=0, INDEX(regions_lb[], MATCH($D237, regions_lb[[setting]:[setting]],0), MATCH(AT$139, regions_lb[#Headers],0)),INDEX(lmic_raw_lb[],MATCH($A237,lmic_raw_lb[[setting]:[setting]],0), MATCH(AT$139, lmic_raw_lb[#Headers],0)))</f>
        <v>5.9437506740438649E-2</v>
      </c>
      <c r="AU237" s="94">
        <f>IF(INDEX(lmic_raw_lb[],MATCH($A237,lmic_raw_lb[[setting]:[setting]],0), MATCH(AU$139, lmic_raw_lb[#Headers],0))=0, INDEX(regions_lb[], MATCH($D237, regions_lb[[setting]:[setting]],0), MATCH(AU$139, regions_lb[#Headers],0)),INDEX(lmic_raw_lb[],MATCH($A237,lmic_raw_lb[[setting]:[setting]],0), MATCH(AU$139, lmic_raw_lb[#Headers],0)))</f>
        <v>8.8501208387771743E-2</v>
      </c>
      <c r="AV237" s="94">
        <f>IF(INDEX(lmic_raw_lb[],MATCH($A237,lmic_raw_lb[[setting]:[setting]],0), MATCH(AV$139, lmic_raw_lb[#Headers],0))=0, INDEX(regions_lb[], MATCH($D237, regions_lb[[setting]:[setting]],0), MATCH(AV$139, regions_lb[#Headers],0)),INDEX(lmic_raw_lb[],MATCH($A237,lmic_raw_lb[[setting]:[setting]],0), MATCH(AV$139, lmic_raw_lb[#Headers],0)))</f>
        <v>0.11746947052396935</v>
      </c>
      <c r="AW237" s="94">
        <f>IF(INDEX(lmic_raw_lb[],MATCH($A237,lmic_raw_lb[[setting]:[setting]],0), MATCH(AW$139, lmic_raw_lb[#Headers],0))=0, INDEX(regions_lb[], MATCH($D237, regions_lb[[setting]:[setting]],0), MATCH(AW$139, regions_lb[#Headers],0)),INDEX(lmic_raw_lb[],MATCH($A237,lmic_raw_lb[[setting]:[setting]],0), MATCH(AW$139, lmic_raw_lb[#Headers],0)))</f>
        <v>0.14243210044712673</v>
      </c>
      <c r="AX237" s="94">
        <f>IF(INDEX(lmic_raw_lb[],MATCH($A237,lmic_raw_lb[[setting]:[setting]],0), MATCH(AX$139, lmic_raw_lb[#Headers],0))=0, INDEX(regions_lb[], MATCH($D237, regions_lb[[setting]:[setting]],0), MATCH(AX$139, regions_lb[#Headers],0)),INDEX(lmic_raw_lb[],MATCH($A237,lmic_raw_lb[[setting]:[setting]],0), MATCH(AX$139, lmic_raw_lb[#Headers],0)))</f>
        <v>72.588549999999998</v>
      </c>
      <c r="AY237" s="94" t="str">
        <f>IF(VLOOKUP(lmics_lb[[#This Row],[setting]],lmic_raw_lb[],11,FALSE)=0, "Yes", "No")</f>
        <v>No</v>
      </c>
    </row>
    <row r="238" spans="1:51" x14ac:dyDescent="0.25">
      <c r="A238" s="109" t="s">
        <v>654</v>
      </c>
      <c r="B238" s="101" t="s">
        <v>494</v>
      </c>
      <c r="C238" s="102">
        <v>608</v>
      </c>
      <c r="D238" s="82" t="s">
        <v>681</v>
      </c>
      <c r="E238" s="121" t="s">
        <v>598</v>
      </c>
      <c r="F238" s="98" t="s">
        <v>666</v>
      </c>
      <c r="G238" s="98" t="s">
        <v>678</v>
      </c>
      <c r="H238" s="98"/>
      <c r="I238" s="98"/>
      <c r="J238" s="98">
        <f>IF(INDEX(lmic_raw_lb[],MATCH($A238,lmic_raw_lb[[setting]:[setting]],0), MATCH(J$139, lmic_raw_lb[#Headers],0))=0, INDEX(regions_lb[], MATCH($D238, regions_lb[[setting]:[setting]],0), MATCH(J$139, regions_lb[#Headers],0)),INDEX(lmic_raw_lb[],MATCH($A238,lmic_raw_lb[[setting]:[setting]],0), MATCH(J$139, lmic_raw_lb[#Headers],0)))</f>
        <v>0.73814999999999997</v>
      </c>
      <c r="K238" s="98">
        <f>IF(INDEX(lmic_raw_lb[],MATCH($A238,lmic_raw_lb[[setting]:[setting]],0), MATCH(K$139, lmic_raw_lb[#Headers],0))=0, INDEX(regions_lb[], MATCH($D238, regions_lb[[setting]:[setting]],0), MATCH(K$139, regions_lb[#Headers],0)),INDEX(lmic_raw_lb[],MATCH($A238,lmic_raw_lb[[setting]:[setting]],0), MATCH(K$139, lmic_raw_lb[#Headers],0)))</f>
        <v>0.47499999999999998</v>
      </c>
      <c r="L238" s="98">
        <f>IF(INDEX(lmic_raw_lb[],MATCH($A238,lmic_raw_lb[[setting]:[setting]],0), MATCH(L$139, lmic_raw_lb[#Headers],0))=0, INDEX(regions_lb[], MATCH($D238, regions_lb[[setting]:[setting]],0), MATCH(L$139, regions_lb[#Headers],0)),INDEX(lmic_raw_lb[],MATCH($A238,lmic_raw_lb[[setting]:[setting]],0), MATCH(L$139, lmic_raw_lb[#Headers],0)))</f>
        <v>0.61749999999999994</v>
      </c>
      <c r="M238" s="98">
        <f>IF(INDEX(lmic_raw_lb[],MATCH($A238,lmic_raw_lb[[setting]:[setting]],0), MATCH(M$139, lmic_raw_lb[#Headers],0))=0, INDEX(regions_lb[], MATCH($D238, regions_lb[[setting]:[setting]],0), MATCH(M$139, regions_lb[#Headers],0)),INDEX(lmic_raw_lb[],MATCH($A238,lmic_raw_lb[[setting]:[setting]],0), MATCH(M$139, lmic_raw_lb[#Headers],0)))</f>
        <v>2.9399999999999999E-2</v>
      </c>
      <c r="N238" s="98">
        <f>IF(INDEX(lmic_raw_lb[],MATCH($A238,lmic_raw_lb[[setting]:[setting]],0), MATCH(N$139, lmic_raw_lb[#Headers],0))=0, INDEX(regions_lb[], MATCH($D238, regions_lb[[setting]:[setting]],0), MATCH(N$139, regions_lb[#Headers],0)),INDEX(lmic_raw_lb[],MATCH($A238,lmic_raw_lb[[setting]:[setting]],0), MATCH(N$139, lmic_raw_lb[#Headers],0)))</f>
        <v>0.18099999999999999</v>
      </c>
      <c r="O238" s="98">
        <f>IF(INDEX(lmic_raw_lb[],MATCH($A238,lmic_raw_lb[[setting]:[setting]],0), MATCH(O$139, lmic_raw_lb[#Headers],0))=0, INDEX(regions_lb[], MATCH($D238, regions_lb[[setting]:[setting]],0), MATCH(O$139, regions_lb[#Headers],0)),INDEX(lmic_raw_lb[],MATCH($A238,lmic_raw_lb[[setting]:[setting]],0), MATCH(O$139, lmic_raw_lb[#Headers],0)))</f>
        <v>0.7</v>
      </c>
      <c r="P238" s="98">
        <f>IF(INDEX(lmic_raw_lb[],MATCH($A238,lmic_raw_lb[[setting]:[setting]],0), MATCH(P$139, lmic_raw_lb[#Headers],0))=0, INDEX(regions_lb[], MATCH($D238, regions_lb[[setting]:[setting]],0), MATCH(P$139, regions_lb[#Headers],0)),INDEX(lmic_raw_lb[],MATCH($A238,lmic_raw_lb[[setting]:[setting]],0), MATCH(P$139, lmic_raw_lb[#Headers],0)))</f>
        <v>0.05</v>
      </c>
      <c r="Q238" s="98">
        <f>IF(INDEX(lmic_raw_lb[],MATCH($A238,lmic_raw_lb[[setting]:[setting]],0), MATCH(Q$139, lmic_raw_lb[#Headers],0))=0, INDEX(regions_lb[], MATCH($D238, regions_lb[[setting]:[setting]],0), MATCH(Q$139, regions_lb[#Headers],0)),INDEX(lmic_raw_lb[],MATCH($A238,lmic_raw_lb[[setting]:[setting]],0), MATCH(Q$139, lmic_raw_lb[#Headers],0)))</f>
        <v>4.4422026185639867</v>
      </c>
      <c r="R238" s="98">
        <f>IF(INDEX(lmic_raw_lb[],MATCH($A238,lmic_raw_lb[[setting]:[setting]],0), MATCH(R$139, lmic_raw_lb[#Headers],0))=0, INDEX(regions_lb[], MATCH($D238, regions_lb[[setting]:[setting]],0), MATCH(R$139, regions_lb[#Headers],0)),INDEX(lmic_raw_lb[],MATCH($A238,lmic_raw_lb[[setting]:[setting]],0), MATCH(R$139, lmic_raw_lb[#Headers],0)))</f>
        <v>69.430275000000009</v>
      </c>
      <c r="S238" s="98">
        <f>IF(INDEX(lmic_raw_lb[],MATCH($A238,lmic_raw_lb[[setting]:[setting]],0), MATCH(S$139, lmic_raw_lb[#Headers],0))=0, INDEX(regions_lb[], MATCH($D238, regions_lb[[setting]:[setting]],0), MATCH(S$139, regions_lb[#Headers],0)),INDEX(lmic_raw_lb[],MATCH($A238,lmic_raw_lb[[setting]:[setting]],0), MATCH(S$139, lmic_raw_lb[#Headers],0)))</f>
        <v>114.785175</v>
      </c>
      <c r="T238" s="98">
        <f>IF(INDEX(lmic_raw_lb[],MATCH($A238,lmic_raw_lb[[setting]:[setting]],0), MATCH(T$139, lmic_raw_lb[#Headers],0))=0, INDEX(regions_lb[], MATCH($D238, regions_lb[[setting]:[setting]],0), MATCH(T$139, regions_lb[#Headers],0)),INDEX(lmic_raw_lb[],MATCH($A238,lmic_raw_lb[[setting]:[setting]],0), MATCH(T$139, lmic_raw_lb[#Headers],0)))</f>
        <v>114.785175</v>
      </c>
      <c r="U238" s="98">
        <f>IF(INDEX(lmic_raw_lb[],MATCH($A238,lmic_raw_lb[[setting]:[setting]],0), MATCH(U$139, lmic_raw_lb[#Headers],0))=0, INDEX(regions_lb[], MATCH($D238, regions_lb[[setting]:[setting]],0), MATCH(U$139, regions_lb[#Headers],0)),INDEX(lmic_raw_lb[],MATCH($A238,lmic_raw_lb[[setting]:[setting]],0), MATCH(U$139, lmic_raw_lb[#Headers],0)))</f>
        <v>114.785175</v>
      </c>
      <c r="V238" s="98">
        <f>IF(INDEX(lmic_raw_lb[],MATCH($A238,lmic_raw_lb[[setting]:[setting]],0), MATCH(V$139, lmic_raw_lb[#Headers],0))=0, INDEX(regions_lb[], MATCH($D238, regions_lb[[setting]:[setting]],0), MATCH(V$139, regions_lb[#Headers],0)),INDEX(lmic_raw_lb[],MATCH($A238,lmic_raw_lb[[setting]:[setting]],0), MATCH(V$139, lmic_raw_lb[#Headers],0)))</f>
        <v>0.60826822405847758</v>
      </c>
      <c r="W238" s="98">
        <f>IF(INDEX(lmic_raw_lb[],MATCH($A238,lmic_raw_lb[[setting]:[setting]],0), MATCH(W$139, lmic_raw_lb[#Headers],0))=0, INDEX(regions_lb[], MATCH($D238, regions_lb[[setting]:[setting]],0), MATCH(W$139, regions_lb[#Headers],0)),INDEX(lmic_raw_lb[],MATCH($A238,lmic_raw_lb[[setting]:[setting]],0), MATCH(W$139, lmic_raw_lb[#Headers],0)))</f>
        <v>1.2088582240584775</v>
      </c>
      <c r="X238" s="98">
        <f>IF(INDEX(lmic_raw_lb[],MATCH($A238,lmic_raw_lb[[setting]:[setting]],0), MATCH(X$139, lmic_raw_lb[#Headers],0))=0, INDEX(regions_lb[], MATCH($D238, regions_lb[[setting]:[setting]],0), MATCH(X$139, regions_lb[#Headers],0)),INDEX(lmic_raw_lb[],MATCH($A238,lmic_raw_lb[[setting]:[setting]],0), MATCH(X$139, lmic_raw_lb[#Headers],0)))</f>
        <v>0.23815660643019396</v>
      </c>
      <c r="Y238" s="98">
        <f>IF(INDEX(lmic_raw_lb[],MATCH($A238,lmic_raw_lb[[setting]:[setting]],0), MATCH(Y$139, lmic_raw_lb[#Headers],0))=0, INDEX(regions_lb[], MATCH($D238, regions_lb[[setting]:[setting]],0), MATCH(Y$139, regions_lb[#Headers],0)),INDEX(lmic_raw_lb[],MATCH($A238,lmic_raw_lb[[setting]:[setting]],0), MATCH(Y$139, lmic_raw_lb[#Headers],0)))</f>
        <v>0.83874660643019394</v>
      </c>
      <c r="Z238" s="98">
        <f>IF(INDEX(lmic_raw_lb[],MATCH($A238,lmic_raw_lb[[setting]:[setting]],0), MATCH(Z$139, lmic_raw_lb[#Headers],0))=0, INDEX(regions_lb[], MATCH($D238, regions_lb[[setting]:[setting]],0), MATCH(Z$139, regions_lb[#Headers],0)),INDEX(lmic_raw_lb[],MATCH($A238,lmic_raw_lb[[setting]:[setting]],0), MATCH(Z$139, lmic_raw_lb[#Headers],0)))</f>
        <v>0.83364385966362697</v>
      </c>
      <c r="AA238" s="98">
        <f>IF(INDEX(lmic_raw_lb[],MATCH($A238,lmic_raw_lb[[setting]:[setting]],0), MATCH(AA$139, lmic_raw_lb[#Headers],0))=0, INDEX(regions_lb[], MATCH($D238, regions_lb[[setting]:[setting]],0), MATCH(AA$139, regions_lb[#Headers],0)),INDEX(lmic_raw_lb[],MATCH($A238,lmic_raw_lb[[setting]:[setting]],0), MATCH(AA$139, lmic_raw_lb[#Headers],0)))</f>
        <v>0.82152902042052545</v>
      </c>
      <c r="AB238" s="98">
        <f>IF(INDEX(lmic_raw_lb[],MATCH($A238,lmic_raw_lb[[setting]:[setting]],0), MATCH(AB$139, lmic_raw_lb[#Headers],0))=0, INDEX(regions_lb[], MATCH($D238, regions_lb[[setting]:[setting]],0), MATCH(AB$139, regions_lb[#Headers],0)),INDEX(lmic_raw_lb[],MATCH($A238,lmic_raw_lb[[setting]:[setting]],0), MATCH(AB$139, lmic_raw_lb[#Headers],0)))</f>
        <v>1.4221190204205254</v>
      </c>
      <c r="AC238" s="98">
        <f>IF(INDEX(lmic_raw_lb[],MATCH($A238,lmic_raw_lb[[setting]:[setting]],0), MATCH(AC$139, lmic_raw_lb[#Headers],0))=0, INDEX(regions_lb[], MATCH($D238, regions_lb[[setting]:[setting]],0), MATCH(AC$139, regions_lb[#Headers],0)),INDEX(lmic_raw_lb[],MATCH($A238,lmic_raw_lb[[setting]:[setting]],0), MATCH(AC$139, lmic_raw_lb[#Headers],0)))</f>
        <v>1.8672781999999968E-2</v>
      </c>
      <c r="AD238" s="98">
        <f>IF(INDEX(lmic_raw_lb[],MATCH($A238,lmic_raw_lb[[setting]:[setting]],0), MATCH(AD$139, lmic_raw_lb[#Headers],0))=0, INDEX(regions_lb[], MATCH($D238, regions_lb[[setting]:[setting]],0), MATCH(AD$139, regions_lb[#Headers],0)),INDEX(lmic_raw_lb[],MATCH($A238,lmic_raw_lb[[setting]:[setting]],0), MATCH(AD$139, lmic_raw_lb[#Headers],0)))</f>
        <v>1.9421207203459956E-3</v>
      </c>
      <c r="AE238" s="98">
        <f>IF(INDEX(lmic_raw_lb[],MATCH($A238,lmic_raw_lb[[setting]:[setting]],0), MATCH(AE$139, lmic_raw_lb[#Headers],0))=0, INDEX(regions_lb[], MATCH($D238, regions_lb[[setting]:[setting]],0), MATCH(AE$139, regions_lb[#Headers],0)),INDEX(lmic_raw_lb[],MATCH($A238,lmic_raw_lb[[setting]:[setting]],0), MATCH(AE$139, lmic_raw_lb[#Headers],0)))</f>
        <v>5.8233734379831343E-4</v>
      </c>
      <c r="AF238" s="98">
        <f>IF(INDEX(lmic_raw_lb[],MATCH($A238,lmic_raw_lb[[setting]:[setting]],0), MATCH(AF$139, lmic_raw_lb[#Headers],0))=0, INDEX(regions_lb[], MATCH($D238, regions_lb[[setting]:[setting]],0), MATCH(AF$139, regions_lb[#Headers],0)),INDEX(lmic_raw_lb[],MATCH($A238,lmic_raw_lb[[setting]:[setting]],0), MATCH(AF$139, lmic_raw_lb[#Headers],0)))</f>
        <v>5.0546568584214802E-4</v>
      </c>
      <c r="AG238" s="98">
        <f>IF(INDEX(lmic_raw_lb[],MATCH($A238,lmic_raw_lb[[setting]:[setting]],0), MATCH(AG$139, lmic_raw_lb[#Headers],0))=0, INDEX(regions_lb[], MATCH($D238, regions_lb[[setting]:[setting]],0), MATCH(AG$139, regions_lb[#Headers],0)),INDEX(lmic_raw_lb[],MATCH($A238,lmic_raw_lb[[setting]:[setting]],0), MATCH(AG$139, lmic_raw_lb[#Headers],0)))</f>
        <v>1.0812385462544293E-3</v>
      </c>
      <c r="AH238" s="98">
        <f>IF(INDEX(lmic_raw_lb[],MATCH($A238,lmic_raw_lb[[setting]:[setting]],0), MATCH(AH$139, lmic_raw_lb[#Headers],0))=0, INDEX(regions_lb[], MATCH($D238, regions_lb[[setting]:[setting]],0), MATCH(AH$139, regions_lb[#Headers],0)),INDEX(lmic_raw_lb[],MATCH($A238,lmic_raw_lb[[setting]:[setting]],0), MATCH(AH$139, lmic_raw_lb[#Headers],0)))</f>
        <v>1.5124143203958972E-3</v>
      </c>
      <c r="AI238" s="98">
        <f>IF(INDEX(lmic_raw_lb[],MATCH($A238,lmic_raw_lb[[setting]:[setting]],0), MATCH(AI$139, lmic_raw_lb[#Headers],0))=0, INDEX(regions_lb[], MATCH($D238, regions_lb[[setting]:[setting]],0), MATCH(AI$139, regions_lb[#Headers],0)),INDEX(lmic_raw_lb[],MATCH($A238,lmic_raw_lb[[setting]:[setting]],0), MATCH(AI$139, lmic_raw_lb[#Headers],0)))</f>
        <v>1.6528953933132166E-3</v>
      </c>
      <c r="AJ238" s="98">
        <f>IF(INDEX(lmic_raw_lb[],MATCH($A238,lmic_raw_lb[[setting]:[setting]],0), MATCH(AJ$139, lmic_raw_lb[#Headers],0))=0, INDEX(regions_lb[], MATCH($D238, regions_lb[[setting]:[setting]],0), MATCH(AJ$139, regions_lb[#Headers],0)),INDEX(lmic_raw_lb[],MATCH($A238,lmic_raw_lb[[setting]:[setting]],0), MATCH(AJ$139, lmic_raw_lb[#Headers],0)))</f>
        <v>1.9725140785456503E-3</v>
      </c>
      <c r="AK238" s="98">
        <f>IF(INDEX(lmic_raw_lb[],MATCH($A238,lmic_raw_lb[[setting]:[setting]],0), MATCH(AK$139, lmic_raw_lb[#Headers],0))=0, INDEX(regions_lb[], MATCH($D238, regions_lb[[setting]:[setting]],0), MATCH(AK$139, regions_lb[#Headers],0)),INDEX(lmic_raw_lb[],MATCH($A238,lmic_raw_lb[[setting]:[setting]],0), MATCH(AK$139, lmic_raw_lb[#Headers],0)))</f>
        <v>2.6178735582355304E-3</v>
      </c>
      <c r="AL238" s="98">
        <f>IF(INDEX(lmic_raw_lb[],MATCH($A238,lmic_raw_lb[[setting]:[setting]],0), MATCH(AL$139, lmic_raw_lb[#Headers],0))=0, INDEX(regions_lb[], MATCH($D238, regions_lb[[setting]:[setting]],0), MATCH(AL$139, regions_lb[#Headers],0)),INDEX(lmic_raw_lb[],MATCH($A238,lmic_raw_lb[[setting]:[setting]],0), MATCH(AL$139, lmic_raw_lb[#Headers],0)))</f>
        <v>3.6751349247755838E-3</v>
      </c>
      <c r="AM238" s="98">
        <f>IF(INDEX(lmic_raw_lb[],MATCH($A238,lmic_raw_lb[[setting]:[setting]],0), MATCH(AM$139, lmic_raw_lb[#Headers],0))=0, INDEX(regions_lb[], MATCH($D238, regions_lb[[setting]:[setting]],0), MATCH(AM$139, regions_lb[#Headers],0)),INDEX(lmic_raw_lb[],MATCH($A238,lmic_raw_lb[[setting]:[setting]],0), MATCH(AM$139, lmic_raw_lb[#Headers],0)))</f>
        <v>5.445079321599061E-3</v>
      </c>
      <c r="AN238" s="98">
        <f>IF(INDEX(lmic_raw_lb[],MATCH($A238,lmic_raw_lb[[setting]:[setting]],0), MATCH(AN$139, lmic_raw_lb[#Headers],0))=0, INDEX(regions_lb[], MATCH($D238, regions_lb[[setting]:[setting]],0), MATCH(AN$139, regions_lb[#Headers],0)),INDEX(lmic_raw_lb[],MATCH($A238,lmic_raw_lb[[setting]:[setting]],0), MATCH(AN$139, lmic_raw_lb[#Headers],0)))</f>
        <v>8.1466394857097821E-3</v>
      </c>
      <c r="AO238" s="98">
        <f>IF(INDEX(lmic_raw_lb[],MATCH($A238,lmic_raw_lb[[setting]:[setting]],0), MATCH(AO$139, lmic_raw_lb[#Headers],0))=0, INDEX(regions_lb[], MATCH($D238, regions_lb[[setting]:[setting]],0), MATCH(AO$139, regions_lb[#Headers],0)),INDEX(lmic_raw_lb[],MATCH($A238,lmic_raw_lb[[setting]:[setting]],0), MATCH(AO$139, lmic_raw_lb[#Headers],0)))</f>
        <v>1.2154970688764689E-2</v>
      </c>
      <c r="AP238" s="98">
        <f>IF(INDEX(lmic_raw_lb[],MATCH($A238,lmic_raw_lb[[setting]:[setting]],0), MATCH(AP$139, lmic_raw_lb[#Headers],0))=0, INDEX(regions_lb[], MATCH($D238, regions_lb[[setting]:[setting]],0), MATCH(AP$139, regions_lb[#Headers],0)),INDEX(lmic_raw_lb[],MATCH($A238,lmic_raw_lb[[setting]:[setting]],0), MATCH(AP$139, lmic_raw_lb[#Headers],0)))</f>
        <v>1.6566711347105391E-2</v>
      </c>
      <c r="AQ238" s="98">
        <f>IF(INDEX(lmic_raw_lb[],MATCH($A238,lmic_raw_lb[[setting]:[setting]],0), MATCH(AQ$139, lmic_raw_lb[#Headers],0))=0, INDEX(regions_lb[], MATCH($D238, regions_lb[[setting]:[setting]],0), MATCH(AQ$139, regions_lb[#Headers],0)),INDEX(lmic_raw_lb[],MATCH($A238,lmic_raw_lb[[setting]:[setting]],0), MATCH(AQ$139, lmic_raw_lb[#Headers],0)))</f>
        <v>2.2355722171012921E-2</v>
      </c>
      <c r="AR238" s="98">
        <f>IF(INDEX(lmic_raw_lb[],MATCH($A238,lmic_raw_lb[[setting]:[setting]],0), MATCH(AR$139, lmic_raw_lb[#Headers],0))=0, INDEX(regions_lb[], MATCH($D238, regions_lb[[setting]:[setting]],0), MATCH(AR$139, regions_lb[#Headers],0)),INDEX(lmic_raw_lb[],MATCH($A238,lmic_raw_lb[[setting]:[setting]],0), MATCH(AR$139, lmic_raw_lb[#Headers],0)))</f>
        <v>3.2069031907145724E-2</v>
      </c>
      <c r="AS238" s="98">
        <f>IF(INDEX(lmic_raw_lb[],MATCH($A238,lmic_raw_lb[[setting]:[setting]],0), MATCH(AS$139, lmic_raw_lb[#Headers],0))=0, INDEX(regions_lb[], MATCH($D238, regions_lb[[setting]:[setting]],0), MATCH(AS$139, regions_lb[#Headers],0)),INDEX(lmic_raw_lb[],MATCH($A238,lmic_raw_lb[[setting]:[setting]],0), MATCH(AS$139, lmic_raw_lb[#Headers],0)))</f>
        <v>4.9148212973042012E-2</v>
      </c>
      <c r="AT238" s="98">
        <f>IF(INDEX(lmic_raw_lb[],MATCH($A238,lmic_raw_lb[[setting]:[setting]],0), MATCH(AT$139, lmic_raw_lb[#Headers],0))=0, INDEX(regions_lb[], MATCH($D238, regions_lb[[setting]:[setting]],0), MATCH(AT$139, regions_lb[#Headers],0)),INDEX(lmic_raw_lb[],MATCH($A238,lmic_raw_lb[[setting]:[setting]],0), MATCH(AT$139, lmic_raw_lb[#Headers],0)))</f>
        <v>7.2194901963303346E-2</v>
      </c>
      <c r="AU238" s="98">
        <f>IF(INDEX(lmic_raw_lb[],MATCH($A238,lmic_raw_lb[[setting]:[setting]],0), MATCH(AU$139, lmic_raw_lb[#Headers],0))=0, INDEX(regions_lb[], MATCH($D238, regions_lb[[setting]:[setting]],0), MATCH(AU$139, regions_lb[#Headers],0)),INDEX(lmic_raw_lb[],MATCH($A238,lmic_raw_lb[[setting]:[setting]],0), MATCH(AU$139, lmic_raw_lb[#Headers],0)))</f>
        <v>9.9520621089581374E-2</v>
      </c>
      <c r="AV238" s="98">
        <f>IF(INDEX(lmic_raw_lb[],MATCH($A238,lmic_raw_lb[[setting]:[setting]],0), MATCH(AV$139, lmic_raw_lb[#Headers],0))=0, INDEX(regions_lb[], MATCH($D238, regions_lb[[setting]:[setting]],0), MATCH(AV$139, regions_lb[#Headers],0)),INDEX(lmic_raw_lb[],MATCH($A238,lmic_raw_lb[[setting]:[setting]],0), MATCH(AV$139, lmic_raw_lb[#Headers],0)))</f>
        <v>0.12563182071428741</v>
      </c>
      <c r="AW238" s="98">
        <f>IF(INDEX(lmic_raw_lb[],MATCH($A238,lmic_raw_lb[[setting]:[setting]],0), MATCH(AW$139, lmic_raw_lb[#Headers],0))=0, INDEX(regions_lb[], MATCH($D238, regions_lb[[setting]:[setting]],0), MATCH(AW$139, regions_lb[#Headers],0)),INDEX(lmic_raw_lb[],MATCH($A238,lmic_raw_lb[[setting]:[setting]],0), MATCH(AW$139, lmic_raw_lb[#Headers],0)))</f>
        <v>0.14895189608500492</v>
      </c>
      <c r="AX238" s="98">
        <f>IF(INDEX(lmic_raw_lb[],MATCH($A238,lmic_raw_lb[[setting]:[setting]],0), MATCH(AX$139, lmic_raw_lb[#Headers],0))=0, INDEX(regions_lb[], MATCH($D238, regions_lb[[setting]:[setting]],0), MATCH(AX$139, regions_lb[#Headers],0)),INDEX(lmic_raw_lb[],MATCH($A238,lmic_raw_lb[[setting]:[setting]],0), MATCH(AX$139, lmic_raw_lb[#Headers],0)))</f>
        <v>67.483249999999998</v>
      </c>
      <c r="AY238" s="98" t="str">
        <f>IF(VLOOKUP(lmics_lb[[#This Row],[setting]],lmic_raw_lb[],11,FALSE)=0, "Yes", "No")</f>
        <v>No</v>
      </c>
    </row>
    <row r="239" spans="1:51" x14ac:dyDescent="0.25">
      <c r="A239" s="110" t="s">
        <v>313</v>
      </c>
      <c r="B239" s="104" t="s">
        <v>500</v>
      </c>
      <c r="C239" s="105">
        <v>642</v>
      </c>
      <c r="D239" s="84" t="s">
        <v>675</v>
      </c>
      <c r="E239" s="122" t="s">
        <v>580</v>
      </c>
      <c r="F239" s="94" t="s">
        <v>663</v>
      </c>
      <c r="G239" s="94" t="s">
        <v>676</v>
      </c>
      <c r="H239" s="94"/>
      <c r="I239" s="94"/>
      <c r="J239" s="94">
        <f>IF(INDEX(lmic_raw_lb[],MATCH($A239,lmic_raw_lb[[setting]:[setting]],0), MATCH(J$139, lmic_raw_lb[#Headers],0))=0, INDEX(regions_lb[], MATCH($D239, regions_lb[[setting]:[setting]],0), MATCH(J$139, regions_lb[#Headers],0)),INDEX(lmic_raw_lb[],MATCH($A239,lmic_raw_lb[[setting]:[setting]],0), MATCH(J$139, lmic_raw_lb[#Headers],0)))</f>
        <v>0.90155000000000007</v>
      </c>
      <c r="K239" s="94">
        <f>IF(INDEX(lmic_raw_lb[],MATCH($A239,lmic_raw_lb[[setting]:[setting]],0), MATCH(K$139, lmic_raw_lb[#Headers],0))=0, INDEX(regions_lb[], MATCH($D239, regions_lb[[setting]:[setting]],0), MATCH(K$139, regions_lb[#Headers],0)),INDEX(lmic_raw_lb[],MATCH($A239,lmic_raw_lb[[setting]:[setting]],0), MATCH(K$139, lmic_raw_lb[#Headers],0)))</f>
        <v>0.9405</v>
      </c>
      <c r="L239" s="94">
        <f>IF(INDEX(lmic_raw_lb[],MATCH($A239,lmic_raw_lb[[setting]:[setting]],0), MATCH(L$139, lmic_raw_lb[#Headers],0))=0, INDEX(regions_lb[], MATCH($D239, regions_lb[[setting]:[setting]],0), MATCH(L$139, regions_lb[#Headers],0)),INDEX(lmic_raw_lb[],MATCH($A239,lmic_raw_lb[[setting]:[setting]],0), MATCH(L$139, lmic_raw_lb[#Headers],0)))</f>
        <v>0.85499999999999998</v>
      </c>
      <c r="M239" s="94">
        <f>IF(INDEX(lmic_raw_lb[],MATCH($A239,lmic_raw_lb[[setting]:[setting]],0), MATCH(M$139, lmic_raw_lb[#Headers],0))=0, INDEX(regions_lb[], MATCH($D239, regions_lb[[setting]:[setting]],0), MATCH(M$139, regions_lb[#Headers],0)),INDEX(lmic_raw_lb[],MATCH($A239,lmic_raw_lb[[setting]:[setting]],0), MATCH(M$139, lmic_raw_lb[#Headers],0)))</f>
        <v>3.95E-2</v>
      </c>
      <c r="N239" s="94">
        <f>IF(INDEX(lmic_raw_lb[],MATCH($A239,lmic_raw_lb[[setting]:[setting]],0), MATCH(N$139, lmic_raw_lb[#Headers],0))=0, INDEX(regions_lb[], MATCH($D239, regions_lb[[setting]:[setting]],0), MATCH(N$139, regions_lb[#Headers],0)),INDEX(lmic_raw_lb[],MATCH($A239,lmic_raw_lb[[setting]:[setting]],0), MATCH(N$139, lmic_raw_lb[#Headers],0)))</f>
        <v>0.16329999999999997</v>
      </c>
      <c r="O239" s="94">
        <f>IF(INDEX(lmic_raw_lb[],MATCH($A239,lmic_raw_lb[[setting]:[setting]],0), MATCH(O$139, lmic_raw_lb[#Headers],0))=0, INDEX(regions_lb[], MATCH($D239, regions_lb[[setting]:[setting]],0), MATCH(O$139, regions_lb[#Headers],0)),INDEX(lmic_raw_lb[],MATCH($A239,lmic_raw_lb[[setting]:[setting]],0), MATCH(O$139, lmic_raw_lb[#Headers],0)))</f>
        <v>0.7</v>
      </c>
      <c r="P239" s="94">
        <f>IF(INDEX(lmic_raw_lb[],MATCH($A239,lmic_raw_lb[[setting]:[setting]],0), MATCH(P$139, lmic_raw_lb[#Headers],0))=0, INDEX(regions_lb[], MATCH($D239, regions_lb[[setting]:[setting]],0), MATCH(P$139, regions_lb[#Headers],0)),INDEX(lmic_raw_lb[],MATCH($A239,lmic_raw_lb[[setting]:[setting]],0), MATCH(P$139, lmic_raw_lb[#Headers],0)))</f>
        <v>0.05</v>
      </c>
      <c r="Q239" s="94">
        <f>IF(INDEX(lmic_raw_lb[],MATCH($A239,lmic_raw_lb[[setting]:[setting]],0), MATCH(Q$139, lmic_raw_lb[#Headers],0))=0, INDEX(regions_lb[], MATCH($D239, regions_lb[[setting]:[setting]],0), MATCH(Q$139, regions_lb[#Headers],0)),INDEX(lmic_raw_lb[],MATCH($A239,lmic_raw_lb[[setting]:[setting]],0), MATCH(Q$139, lmic_raw_lb[#Headers],0)))</f>
        <v>12.79742047709083</v>
      </c>
      <c r="R239" s="94">
        <f>IF(INDEX(lmic_raw_lb[],MATCH($A239,lmic_raw_lb[[setting]:[setting]],0), MATCH(R$139, lmic_raw_lb[#Headers],0))=0, INDEX(regions_lb[], MATCH($D239, regions_lb[[setting]:[setting]],0), MATCH(R$139, regions_lb[#Headers],0)),INDEX(lmic_raw_lb[],MATCH($A239,lmic_raw_lb[[setting]:[setting]],0), MATCH(R$139, lmic_raw_lb[#Headers],0)))</f>
        <v>42.31053</v>
      </c>
      <c r="S239" s="94">
        <f>IF(INDEX(lmic_raw_lb[],MATCH($A239,lmic_raw_lb[[setting]:[setting]],0), MATCH(S$139, lmic_raw_lb[#Headers],0))=0, INDEX(regions_lb[], MATCH($D239, regions_lb[[setting]:[setting]],0), MATCH(S$139, regions_lb[#Headers],0)),INDEX(lmic_raw_lb[],MATCH($A239,lmic_raw_lb[[setting]:[setting]],0), MATCH(S$139, lmic_raw_lb[#Headers],0)))</f>
        <v>87.665430000000001</v>
      </c>
      <c r="T239" s="94">
        <f>IF(INDEX(lmic_raw_lb[],MATCH($A239,lmic_raw_lb[[setting]:[setting]],0), MATCH(T$139, lmic_raw_lb[#Headers],0))=0, INDEX(regions_lb[], MATCH($D239, regions_lb[[setting]:[setting]],0), MATCH(T$139, regions_lb[#Headers],0)),INDEX(lmic_raw_lb[],MATCH($A239,lmic_raw_lb[[setting]:[setting]],0), MATCH(T$139, lmic_raw_lb[#Headers],0)))</f>
        <v>87.665430000000001</v>
      </c>
      <c r="U239" s="94">
        <f>IF(INDEX(lmic_raw_lb[],MATCH($A239,lmic_raw_lb[[setting]:[setting]],0), MATCH(U$139, lmic_raw_lb[#Headers],0))=0, INDEX(regions_lb[], MATCH($D239, regions_lb[[setting]:[setting]],0), MATCH(U$139, regions_lb[#Headers],0)),INDEX(lmic_raw_lb[],MATCH($A239,lmic_raw_lb[[setting]:[setting]],0), MATCH(U$139, lmic_raw_lb[#Headers],0)))</f>
        <v>87.665430000000001</v>
      </c>
      <c r="V239" s="94">
        <f>IF(INDEX(lmic_raw_lb[],MATCH($A239,lmic_raw_lb[[setting]:[setting]],0), MATCH(V$139, lmic_raw_lb[#Headers],0))=0, INDEX(regions_lb[], MATCH($D239, regions_lb[[setting]:[setting]],0), MATCH(V$139, regions_lb[#Headers],0)),INDEX(lmic_raw_lb[],MATCH($A239,lmic_raw_lb[[setting]:[setting]],0), MATCH(V$139, lmic_raw_lb[#Headers],0)))</f>
        <v>1.5656410161282148</v>
      </c>
      <c r="W239" s="94">
        <f>IF(INDEX(lmic_raw_lb[],MATCH($A239,lmic_raw_lb[[setting]:[setting]],0), MATCH(W$139, lmic_raw_lb[#Headers],0))=0, INDEX(regions_lb[], MATCH($D239, regions_lb[[setting]:[setting]],0), MATCH(W$139, regions_lb[#Headers],0)),INDEX(lmic_raw_lb[],MATCH($A239,lmic_raw_lb[[setting]:[setting]],0), MATCH(W$139, lmic_raw_lb[#Headers],0)))</f>
        <v>5.428056016128215</v>
      </c>
      <c r="X239" s="94">
        <f>IF(INDEX(lmic_raw_lb[],MATCH($A239,lmic_raw_lb[[setting]:[setting]],0), MATCH(X$139, lmic_raw_lb[#Headers],0))=0, INDEX(regions_lb[], MATCH($D239, regions_lb[[setting]:[setting]],0), MATCH(X$139, regions_lb[#Headers],0)),INDEX(lmic_raw_lb[],MATCH($A239,lmic_raw_lb[[setting]:[setting]],0), MATCH(X$139, lmic_raw_lb[#Headers],0)))</f>
        <v>1.1872641311770982</v>
      </c>
      <c r="Y239" s="94">
        <f>IF(INDEX(lmic_raw_lb[],MATCH($A239,lmic_raw_lb[[setting]:[setting]],0), MATCH(Y$139, lmic_raw_lb[#Headers],0))=0, INDEX(regions_lb[], MATCH($D239, regions_lb[[setting]:[setting]],0), MATCH(Y$139, regions_lb[#Headers],0)),INDEX(lmic_raw_lb[],MATCH($A239,lmic_raw_lb[[setting]:[setting]],0), MATCH(Y$139, lmic_raw_lb[#Headers],0)))</f>
        <v>5.0496791311770988</v>
      </c>
      <c r="Z239" s="94">
        <f>IF(INDEX(lmic_raw_lb[],MATCH($A239,lmic_raw_lb[[setting]:[setting]],0), MATCH(Z$139, lmic_raw_lb[#Headers],0))=0, INDEX(regions_lb[], MATCH($D239, regions_lb[[setting]:[setting]],0), MATCH(Z$139, regions_lb[#Headers],0)),INDEX(lmic_raw_lb[],MATCH($A239,lmic_raw_lb[[setting]:[setting]],0), MATCH(Z$139, lmic_raw_lb[#Headers],0)))</f>
        <v>5.0392744047356857</v>
      </c>
      <c r="AA239" s="94">
        <f>IF(INDEX(lmic_raw_lb[],MATCH($A239,lmic_raw_lb[[setting]:[setting]],0), MATCH(AA$139, lmic_raw_lb[#Headers],0))=0, INDEX(regions_lb[], MATCH($D239, regions_lb[[setting]:[setting]],0), MATCH(AA$139, regions_lb[#Headers],0)),INDEX(lmic_raw_lb[],MATCH($A239,lmic_raw_lb[[setting]:[setting]],0), MATCH(AA$139, lmic_raw_lb[#Headers],0)))</f>
        <v>1.7824440699143338</v>
      </c>
      <c r="AB239" s="94">
        <f>IF(INDEX(lmic_raw_lb[],MATCH($A239,lmic_raw_lb[[setting]:[setting]],0), MATCH(AB$139, lmic_raw_lb[#Headers],0))=0, INDEX(regions_lb[], MATCH($D239, regions_lb[[setting]:[setting]],0), MATCH(AB$139, regions_lb[#Headers],0)),INDEX(lmic_raw_lb[],MATCH($A239,lmic_raw_lb[[setting]:[setting]],0), MATCH(AB$139, lmic_raw_lb[#Headers],0)))</f>
        <v>5.6448590699143342</v>
      </c>
      <c r="AC239" s="94">
        <f>IF(INDEX(lmic_raw_lb[],MATCH($A239,lmic_raw_lb[[setting]:[setting]],0), MATCH(AC$139, lmic_raw_lb[#Headers],0))=0, INDEX(regions_lb[], MATCH($D239, regions_lb[[setting]:[setting]],0), MATCH(AC$139, regions_lb[#Headers],0)),INDEX(lmic_raw_lb[],MATCH($A239,lmic_raw_lb[[setting]:[setting]],0), MATCH(AC$139, lmic_raw_lb[#Headers],0)))</f>
        <v>6.3500279999999911E-3</v>
      </c>
      <c r="AD239" s="94">
        <f>IF(INDEX(lmic_raw_lb[],MATCH($A239,lmic_raw_lb[[setting]:[setting]],0), MATCH(AD$139, lmic_raw_lb[#Headers],0))=0, INDEX(regions_lb[], MATCH($D239, regions_lb[[setting]:[setting]],0), MATCH(AD$139, regions_lb[#Headers],0)),INDEX(lmic_raw_lb[],MATCH($A239,lmic_raw_lb[[setting]:[setting]],0), MATCH(AD$139, lmic_raw_lb[#Headers],0)))</f>
        <v>2.8802485223833351E-4</v>
      </c>
      <c r="AE239" s="94">
        <f>IF(INDEX(lmic_raw_lb[],MATCH($A239,lmic_raw_lb[[setting]:[setting]],0), MATCH(AE$139, lmic_raw_lb[#Headers],0))=0, INDEX(regions_lb[], MATCH($D239, regions_lb[[setting]:[setting]],0), MATCH(AE$139, regions_lb[#Headers],0)),INDEX(lmic_raw_lb[],MATCH($A239,lmic_raw_lb[[setting]:[setting]],0), MATCH(AE$139, lmic_raw_lb[#Headers],0)))</f>
        <v>1.3537898723100145E-4</v>
      </c>
      <c r="AF239" s="94">
        <f>IF(INDEX(lmic_raw_lb[],MATCH($A239,lmic_raw_lb[[setting]:[setting]],0), MATCH(AF$139, lmic_raw_lb[#Headers],0))=0, INDEX(regions_lb[], MATCH($D239, regions_lb[[setting]:[setting]],0), MATCH(AF$139, regions_lb[#Headers],0)),INDEX(lmic_raw_lb[],MATCH($A239,lmic_raw_lb[[setting]:[setting]],0), MATCH(AF$139, lmic_raw_lb[#Headers],0)))</f>
        <v>1.8509876642345733E-4</v>
      </c>
      <c r="AG239" s="94">
        <f>IF(INDEX(lmic_raw_lb[],MATCH($A239,lmic_raw_lb[[setting]:[setting]],0), MATCH(AG$139, lmic_raw_lb[#Headers],0))=0, INDEX(regions_lb[], MATCH($D239, regions_lb[[setting]:[setting]],0), MATCH(AG$139, regions_lb[#Headers],0)),INDEX(lmic_raw_lb[],MATCH($A239,lmic_raw_lb[[setting]:[setting]],0), MATCH(AG$139, lmic_raw_lb[#Headers],0)))</f>
        <v>3.4309362399519622E-4</v>
      </c>
      <c r="AH239" s="94">
        <f>IF(INDEX(lmic_raw_lb[],MATCH($A239,lmic_raw_lb[[setting]:[setting]],0), MATCH(AH$139, lmic_raw_lb[#Headers],0))=0, INDEX(regions_lb[], MATCH($D239, regions_lb[[setting]:[setting]],0), MATCH(AH$139, regions_lb[#Headers],0)),INDEX(lmic_raw_lb[],MATCH($A239,lmic_raw_lb[[setting]:[setting]],0), MATCH(AH$139, lmic_raw_lb[#Headers],0)))</f>
        <v>4.4579137219563002E-4</v>
      </c>
      <c r="AI239" s="94">
        <f>IF(INDEX(lmic_raw_lb[],MATCH($A239,lmic_raw_lb[[setting]:[setting]],0), MATCH(AI$139, lmic_raw_lb[#Headers],0))=0, INDEX(regions_lb[], MATCH($D239, regions_lb[[setting]:[setting]],0), MATCH(AI$139, regions_lb[#Headers],0)),INDEX(lmic_raw_lb[],MATCH($A239,lmic_raw_lb[[setting]:[setting]],0), MATCH(AI$139, lmic_raw_lb[#Headers],0)))</f>
        <v>6.1866670684252725E-4</v>
      </c>
      <c r="AJ239" s="94">
        <f>IF(INDEX(lmic_raw_lb[],MATCH($A239,lmic_raw_lb[[setting]:[setting]],0), MATCH(AJ$139, lmic_raw_lb[#Headers],0))=0, INDEX(regions_lb[], MATCH($D239, regions_lb[[setting]:[setting]],0), MATCH(AJ$139, regions_lb[#Headers],0)),INDEX(lmic_raw_lb[],MATCH($A239,lmic_raw_lb[[setting]:[setting]],0), MATCH(AJ$139, lmic_raw_lb[#Headers],0)))</f>
        <v>7.080192274657621E-4</v>
      </c>
      <c r="AK239" s="94">
        <f>IF(INDEX(lmic_raw_lb[],MATCH($A239,lmic_raw_lb[[setting]:[setting]],0), MATCH(AK$139, lmic_raw_lb[#Headers],0))=0, INDEX(regions_lb[], MATCH($D239, regions_lb[[setting]:[setting]],0), MATCH(AK$139, regions_lb[#Headers],0)),INDEX(lmic_raw_lb[],MATCH($A239,lmic_raw_lb[[setting]:[setting]],0), MATCH(AK$139, lmic_raw_lb[#Headers],0)))</f>
        <v>1.1423606510693337E-3</v>
      </c>
      <c r="AL239" s="94">
        <f>IF(INDEX(lmic_raw_lb[],MATCH($A239,lmic_raw_lb[[setting]:[setting]],0), MATCH(AL$139, lmic_raw_lb[#Headers],0))=0, INDEX(regions_lb[], MATCH($D239, regions_lb[[setting]:[setting]],0), MATCH(AL$139, regions_lb[#Headers],0)),INDEX(lmic_raw_lb[],MATCH($A239,lmic_raw_lb[[setting]:[setting]],0), MATCH(AL$139, lmic_raw_lb[#Headers],0)))</f>
        <v>2.1321994703945349E-3</v>
      </c>
      <c r="AM239" s="94">
        <f>IF(INDEX(lmic_raw_lb[],MATCH($A239,lmic_raw_lb[[setting]:[setting]],0), MATCH(AM$139, lmic_raw_lb[#Headers],0))=0, INDEX(regions_lb[], MATCH($D239, regions_lb[[setting]:[setting]],0), MATCH(AM$139, regions_lb[#Headers],0)),INDEX(lmic_raw_lb[],MATCH($A239,lmic_raw_lb[[setting]:[setting]],0), MATCH(AM$139, lmic_raw_lb[#Headers],0)))</f>
        <v>3.3602561836229118E-3</v>
      </c>
      <c r="AN239" s="94">
        <f>IF(INDEX(lmic_raw_lb[],MATCH($A239,lmic_raw_lb[[setting]:[setting]],0), MATCH(AN$139, lmic_raw_lb[#Headers],0))=0, INDEX(regions_lb[], MATCH($D239, regions_lb[[setting]:[setting]],0), MATCH(AN$139, regions_lb[#Headers],0)),INDEX(lmic_raw_lb[],MATCH($A239,lmic_raw_lb[[setting]:[setting]],0), MATCH(AN$139, lmic_raw_lb[#Headers],0)))</f>
        <v>6.0233345476741283E-3</v>
      </c>
      <c r="AO239" s="94">
        <f>IF(INDEX(lmic_raw_lb[],MATCH($A239,lmic_raw_lb[[setting]:[setting]],0), MATCH(AO$139, lmic_raw_lb[#Headers],0))=0, INDEX(regions_lb[], MATCH($D239, regions_lb[[setting]:[setting]],0), MATCH(AO$139, regions_lb[#Headers],0)),INDEX(lmic_raw_lb[],MATCH($A239,lmic_raw_lb[[setting]:[setting]],0), MATCH(AO$139, lmic_raw_lb[#Headers],0)))</f>
        <v>1.0104645804220666E-2</v>
      </c>
      <c r="AP239" s="94">
        <f>IF(INDEX(lmic_raw_lb[],MATCH($A239,lmic_raw_lb[[setting]:[setting]],0), MATCH(AP$139, lmic_raw_lb[#Headers],0))=0, INDEX(regions_lb[], MATCH($D239, regions_lb[[setting]:[setting]],0), MATCH(AP$139, regions_lb[#Headers],0)),INDEX(lmic_raw_lb[],MATCH($A239,lmic_raw_lb[[setting]:[setting]],0), MATCH(AP$139, lmic_raw_lb[#Headers],0)))</f>
        <v>1.4592311173596344E-2</v>
      </c>
      <c r="AQ239" s="94">
        <f>IF(INDEX(lmic_raw_lb[],MATCH($A239,lmic_raw_lb[[setting]:[setting]],0), MATCH(AQ$139, lmic_raw_lb[#Headers],0))=0, INDEX(regions_lb[], MATCH($D239, regions_lb[[setting]:[setting]],0), MATCH(AQ$139, regions_lb[#Headers],0)),INDEX(lmic_raw_lb[],MATCH($A239,lmic_raw_lb[[setting]:[setting]],0), MATCH(AQ$139, lmic_raw_lb[#Headers],0)))</f>
        <v>1.8969550758949235E-2</v>
      </c>
      <c r="AR239" s="94">
        <f>IF(INDEX(lmic_raw_lb[],MATCH($A239,lmic_raw_lb[[setting]:[setting]],0), MATCH(AR$139, lmic_raw_lb[#Headers],0))=0, INDEX(regions_lb[], MATCH($D239, regions_lb[[setting]:[setting]],0), MATCH(AR$139, regions_lb[#Headers],0)),INDEX(lmic_raw_lb[],MATCH($A239,lmic_raw_lb[[setting]:[setting]],0), MATCH(AR$139, lmic_raw_lb[#Headers],0)))</f>
        <v>2.7476099765296011E-2</v>
      </c>
      <c r="AS239" s="94">
        <f>IF(INDEX(lmic_raw_lb[],MATCH($A239,lmic_raw_lb[[setting]:[setting]],0), MATCH(AS$139, lmic_raw_lb[#Headers],0))=0, INDEX(regions_lb[], MATCH($D239, regions_lb[[setting]:[setting]],0), MATCH(AS$139, regions_lb[#Headers],0)),INDEX(lmic_raw_lb[],MATCH($A239,lmic_raw_lb[[setting]:[setting]],0), MATCH(AS$139, lmic_raw_lb[#Headers],0)))</f>
        <v>4.393508434877693E-2</v>
      </c>
      <c r="AT239" s="94">
        <f>IF(INDEX(lmic_raw_lb[],MATCH($A239,lmic_raw_lb[[setting]:[setting]],0), MATCH(AT$139, lmic_raw_lb[#Headers],0))=0, INDEX(regions_lb[], MATCH($D239, regions_lb[[setting]:[setting]],0), MATCH(AT$139, regions_lb[#Headers],0)),INDEX(lmic_raw_lb[],MATCH($A239,lmic_raw_lb[[setting]:[setting]],0), MATCH(AT$139, lmic_raw_lb[#Headers],0)))</f>
        <v>6.9845727271232463E-2</v>
      </c>
      <c r="AU239" s="94">
        <f>IF(INDEX(lmic_raw_lb[],MATCH($A239,lmic_raw_lb[[setting]:[setting]],0), MATCH(AU$139, lmic_raw_lb[#Headers],0))=0, INDEX(regions_lb[], MATCH($D239, regions_lb[[setting]:[setting]],0), MATCH(AU$139, regions_lb[#Headers],0)),INDEX(lmic_raw_lb[],MATCH($A239,lmic_raw_lb[[setting]:[setting]],0), MATCH(AU$139, lmic_raw_lb[#Headers],0)))</f>
        <v>0.10322178652396333</v>
      </c>
      <c r="AV239" s="94">
        <f>IF(INDEX(lmic_raw_lb[],MATCH($A239,lmic_raw_lb[[setting]:[setting]],0), MATCH(AV$139, lmic_raw_lb[#Headers],0))=0, INDEX(regions_lb[], MATCH($D239, regions_lb[[setting]:[setting]],0), MATCH(AV$139, regions_lb[#Headers],0)),INDEX(lmic_raw_lb[],MATCH($A239,lmic_raw_lb[[setting]:[setting]],0), MATCH(AV$139, lmic_raw_lb[#Headers],0)))</f>
        <v>0.13568145651748781</v>
      </c>
      <c r="AW239" s="94">
        <f>IF(INDEX(lmic_raw_lb[],MATCH($A239,lmic_raw_lb[[setting]:[setting]],0), MATCH(AW$139, lmic_raw_lb[#Headers],0))=0, INDEX(regions_lb[], MATCH($D239, regions_lb[[setting]:[setting]],0), MATCH(AW$139, regions_lb[#Headers],0)),INDEX(lmic_raw_lb[],MATCH($A239,lmic_raw_lb[[setting]:[setting]],0), MATCH(AW$139, lmic_raw_lb[#Headers],0)))</f>
        <v>0.15994952815893027</v>
      </c>
      <c r="AX239" s="94">
        <f>IF(INDEX(lmic_raw_lb[],MATCH($A239,lmic_raw_lb[[setting]:[setting]],0), MATCH(AX$139, lmic_raw_lb[#Headers],0))=0, INDEX(regions_lb[], MATCH($D239, regions_lb[[setting]:[setting]],0), MATCH(AX$139, regions_lb[#Headers],0)),INDEX(lmic_raw_lb[],MATCH($A239,lmic_raw_lb[[setting]:[setting]],0), MATCH(AX$139, lmic_raw_lb[#Headers],0)))</f>
        <v>72.03564999999999</v>
      </c>
      <c r="AY239" s="94" t="str">
        <f>IF(VLOOKUP(lmics_lb[[#This Row],[setting]],lmic_raw_lb[],11,FALSE)=0, "Yes", "No")</f>
        <v>No</v>
      </c>
    </row>
    <row r="240" spans="1:51" x14ac:dyDescent="0.25">
      <c r="A240" s="109" t="s">
        <v>641</v>
      </c>
      <c r="B240" s="101" t="s">
        <v>501</v>
      </c>
      <c r="C240" s="102">
        <v>643</v>
      </c>
      <c r="D240" s="82" t="s">
        <v>675</v>
      </c>
      <c r="E240" s="121" t="s">
        <v>306</v>
      </c>
      <c r="F240" s="98" t="s">
        <v>663</v>
      </c>
      <c r="G240" s="98" t="s">
        <v>676</v>
      </c>
      <c r="H240" s="98"/>
      <c r="I240" s="98"/>
      <c r="J240" s="98">
        <f>IF(INDEX(lmic_raw_lb[],MATCH($A240,lmic_raw_lb[[setting]:[setting]],0), MATCH(J$139, lmic_raw_lb[#Headers],0))=0, INDEX(regions_lb[], MATCH($D240, regions_lb[[setting]:[setting]],0), MATCH(J$139, regions_lb[#Headers],0)),INDEX(lmic_raw_lb[],MATCH($A240,lmic_raw_lb[[setting]:[setting]],0), MATCH(J$139, lmic_raw_lb[#Headers],0)))</f>
        <v>0.93764999999999998</v>
      </c>
      <c r="K240" s="98">
        <f>IF(INDEX(lmic_raw_lb[],MATCH($A240,lmic_raw_lb[[setting]:[setting]],0), MATCH(K$139, lmic_raw_lb[#Headers],0))=0, INDEX(regions_lb[], MATCH($D240, regions_lb[[setting]:[setting]],0), MATCH(K$139, regions_lb[#Headers],0)),INDEX(lmic_raw_lb[],MATCH($A240,lmic_raw_lb[[setting]:[setting]],0), MATCH(K$139, lmic_raw_lb[#Headers],0)))</f>
        <v>0.89520609099924997</v>
      </c>
      <c r="L240" s="98">
        <f>IF(INDEX(lmic_raw_lb[],MATCH($A240,lmic_raw_lb[[setting]:[setting]],0), MATCH(L$139, lmic_raw_lb[#Headers],0))=0, INDEX(regions_lb[], MATCH($D240, regions_lb[[setting]:[setting]],0), MATCH(L$139, regions_lb[#Headers],0)),INDEX(lmic_raw_lb[],MATCH($A240,lmic_raw_lb[[setting]:[setting]],0), MATCH(L$139, lmic_raw_lb[#Headers],0)))</f>
        <v>0.92149999999999999</v>
      </c>
      <c r="M240" s="98">
        <f>IF(INDEX(lmic_raw_lb[],MATCH($A240,lmic_raw_lb[[setting]:[setting]],0), MATCH(M$139, lmic_raw_lb[#Headers],0))=0, INDEX(regions_lb[], MATCH($D240, regions_lb[[setting]:[setting]],0), MATCH(M$139, regions_lb[#Headers],0)),INDEX(lmic_raw_lb[],MATCH($A240,lmic_raw_lb[[setting]:[setting]],0), MATCH(M$139, lmic_raw_lb[#Headers],0)))</f>
        <v>2.2700000000000001E-2</v>
      </c>
      <c r="N240" s="98">
        <f>IF(INDEX(lmic_raw_lb[],MATCH($A240,lmic_raw_lb[[setting]:[setting]],0), MATCH(N$139, lmic_raw_lb[#Headers],0))=0, INDEX(regions_lb[], MATCH($D240, regions_lb[[setting]:[setting]],0), MATCH(N$139, regions_lb[#Headers],0)),INDEX(lmic_raw_lb[],MATCH($A240,lmic_raw_lb[[setting]:[setting]],0), MATCH(N$139, lmic_raw_lb[#Headers],0)))</f>
        <v>0.16339999999999999</v>
      </c>
      <c r="O240" s="98">
        <f>IF(INDEX(lmic_raw_lb[],MATCH($A240,lmic_raw_lb[[setting]:[setting]],0), MATCH(O$139, lmic_raw_lb[#Headers],0))=0, INDEX(regions_lb[], MATCH($D240, regions_lb[[setting]:[setting]],0), MATCH(O$139, regions_lb[#Headers],0)),INDEX(lmic_raw_lb[],MATCH($A240,lmic_raw_lb[[setting]:[setting]],0), MATCH(O$139, lmic_raw_lb[#Headers],0)))</f>
        <v>0.7</v>
      </c>
      <c r="P240" s="98">
        <f>IF(INDEX(lmic_raw_lb[],MATCH($A240,lmic_raw_lb[[setting]:[setting]],0), MATCH(P$139, lmic_raw_lb[#Headers],0))=0, INDEX(regions_lb[], MATCH($D240, regions_lb[[setting]:[setting]],0), MATCH(P$139, regions_lb[#Headers],0)),INDEX(lmic_raw_lb[],MATCH($A240,lmic_raw_lb[[setting]:[setting]],0), MATCH(P$139, lmic_raw_lb[#Headers],0)))</f>
        <v>0.05</v>
      </c>
      <c r="Q240" s="98">
        <f>IF(INDEX(lmic_raw_lb[],MATCH($A240,lmic_raw_lb[[setting]:[setting]],0), MATCH(Q$139, lmic_raw_lb[#Headers],0))=0, INDEX(regions_lb[], MATCH($D240, regions_lb[[setting]:[setting]],0), MATCH(Q$139, regions_lb[#Headers],0)),INDEX(lmic_raw_lb[],MATCH($A240,lmic_raw_lb[[setting]:[setting]],0), MATCH(Q$139, lmic_raw_lb[#Headers],0)))</f>
        <v>16.87918682633066</v>
      </c>
      <c r="R240" s="98">
        <f>IF(INDEX(lmic_raw_lb[],MATCH($A240,lmic_raw_lb[[setting]:[setting]],0), MATCH(R$139, lmic_raw_lb[#Headers],0))=0, INDEX(regions_lb[], MATCH($D240, regions_lb[[setting]:[setting]],0), MATCH(R$139, regions_lb[#Headers],0)),INDEX(lmic_raw_lb[],MATCH($A240,lmic_raw_lb[[setting]:[setting]],0), MATCH(R$139, lmic_raw_lb[#Headers],0)))</f>
        <v>42.31053</v>
      </c>
      <c r="S240" s="98">
        <f>IF(INDEX(lmic_raw_lb[],MATCH($A240,lmic_raw_lb[[setting]:[setting]],0), MATCH(S$139, lmic_raw_lb[#Headers],0))=0, INDEX(regions_lb[], MATCH($D240, regions_lb[[setting]:[setting]],0), MATCH(S$139, regions_lb[#Headers],0)),INDEX(lmic_raw_lb[],MATCH($A240,lmic_raw_lb[[setting]:[setting]],0), MATCH(S$139, lmic_raw_lb[#Headers],0)))</f>
        <v>87.665430000000001</v>
      </c>
      <c r="T240" s="98">
        <f>IF(INDEX(lmic_raw_lb[],MATCH($A240,lmic_raw_lb[[setting]:[setting]],0), MATCH(T$139, lmic_raw_lb[#Headers],0))=0, INDEX(regions_lb[], MATCH($D240, regions_lb[[setting]:[setting]],0), MATCH(T$139, regions_lb[#Headers],0)),INDEX(lmic_raw_lb[],MATCH($A240,lmic_raw_lb[[setting]:[setting]],0), MATCH(T$139, lmic_raw_lb[#Headers],0)))</f>
        <v>87.665430000000001</v>
      </c>
      <c r="U240" s="98">
        <f>IF(INDEX(lmic_raw_lb[],MATCH($A240,lmic_raw_lb[[setting]:[setting]],0), MATCH(U$139, lmic_raw_lb[#Headers],0))=0, INDEX(regions_lb[], MATCH($D240, regions_lb[[setting]:[setting]],0), MATCH(U$139, regions_lb[#Headers],0)),INDEX(lmic_raw_lb[],MATCH($A240,lmic_raw_lb[[setting]:[setting]],0), MATCH(U$139, lmic_raw_lb[#Headers],0)))</f>
        <v>87.665430000000001</v>
      </c>
      <c r="V240" s="98">
        <f>IF(INDEX(lmic_raw_lb[],MATCH($A240,lmic_raw_lb[[setting]:[setting]],0), MATCH(V$139, lmic_raw_lb[#Headers],0))=0, INDEX(regions_lb[], MATCH($D240, regions_lb[[setting]:[setting]],0), MATCH(V$139, regions_lb[#Headers],0)),INDEX(lmic_raw_lb[],MATCH($A240,lmic_raw_lb[[setting]:[setting]],0), MATCH(V$139, lmic_raw_lb[#Headers],0)))</f>
        <v>1.324771410347283</v>
      </c>
      <c r="W240" s="98">
        <f>IF(INDEX(lmic_raw_lb[],MATCH($A240,lmic_raw_lb[[setting]:[setting]],0), MATCH(W$139, lmic_raw_lb[#Headers],0))=0, INDEX(regions_lb[], MATCH($D240, regions_lb[[setting]:[setting]],0), MATCH(W$139, regions_lb[#Headers],0)),INDEX(lmic_raw_lb[],MATCH($A240,lmic_raw_lb[[setting]:[setting]],0), MATCH(W$139, lmic_raw_lb[#Headers],0)))</f>
        <v>5.1871864103472838</v>
      </c>
      <c r="X240" s="98">
        <f>IF(INDEX(lmic_raw_lb[],MATCH($A240,lmic_raw_lb[[setting]:[setting]],0), MATCH(X$139, lmic_raw_lb[#Headers],0))=0, INDEX(regions_lb[], MATCH($D240, regions_lb[[setting]:[setting]],0), MATCH(X$139, regions_lb[#Headers],0)),INDEX(lmic_raw_lb[],MATCH($A240,lmic_raw_lb[[setting]:[setting]],0), MATCH(X$139, lmic_raw_lb[#Headers],0)))</f>
        <v>0.94802906895302075</v>
      </c>
      <c r="Y240" s="98">
        <f>IF(INDEX(lmic_raw_lb[],MATCH($A240,lmic_raw_lb[[setting]:[setting]],0), MATCH(Y$139, lmic_raw_lb[#Headers],0))=0, INDEX(regions_lb[], MATCH($D240, regions_lb[[setting]:[setting]],0), MATCH(Y$139, regions_lb[#Headers],0)),INDEX(lmic_raw_lb[],MATCH($A240,lmic_raw_lb[[setting]:[setting]],0), MATCH(Y$139, lmic_raw_lb[#Headers],0)))</f>
        <v>4.8104440689530215</v>
      </c>
      <c r="Z240" s="98">
        <f>IF(INDEX(lmic_raw_lb[],MATCH($A240,lmic_raw_lb[[setting]:[setting]],0), MATCH(Z$139, lmic_raw_lb[#Headers],0))=0, INDEX(regions_lb[], MATCH($D240, regions_lb[[setting]:[setting]],0), MATCH(Z$139, regions_lb[#Headers],0)),INDEX(lmic_raw_lb[],MATCH($A240,lmic_raw_lb[[setting]:[setting]],0), MATCH(Z$139, lmic_raw_lb[#Headers],0)))</f>
        <v>4.8010357515411988</v>
      </c>
      <c r="AA240" s="98">
        <f>IF(INDEX(lmic_raw_lb[],MATCH($A240,lmic_raw_lb[[setting]:[setting]],0), MATCH(AA$139, lmic_raw_lb[#Headers],0))=0, INDEX(regions_lb[], MATCH($D240, regions_lb[[setting]:[setting]],0), MATCH(AA$139, regions_lb[#Headers],0)),INDEX(lmic_raw_lb[],MATCH($A240,lmic_raw_lb[[setting]:[setting]],0), MATCH(AA$139, lmic_raw_lb[#Headers],0)))</f>
        <v>1.5408739454661788</v>
      </c>
      <c r="AB240" s="98">
        <f>IF(INDEX(lmic_raw_lb[],MATCH($A240,lmic_raw_lb[[setting]:[setting]],0), MATCH(AB$139, lmic_raw_lb[#Headers],0))=0, INDEX(regions_lb[], MATCH($D240, regions_lb[[setting]:[setting]],0), MATCH(AB$139, regions_lb[#Headers],0)),INDEX(lmic_raw_lb[],MATCH($A240,lmic_raw_lb[[setting]:[setting]],0), MATCH(AB$139, lmic_raw_lb[#Headers],0)))</f>
        <v>5.403288945466179</v>
      </c>
      <c r="AC240" s="98">
        <f>IF(INDEX(lmic_raw_lb[],MATCH($A240,lmic_raw_lb[[setting]:[setting]],0), MATCH(AC$139, lmic_raw_lb[#Headers],0))=0, INDEX(regions_lb[], MATCH($D240, regions_lb[[setting]:[setting]],0), MATCH(AC$139, regions_lb[#Headers],0)),INDEX(lmic_raw_lb[],MATCH($A240,lmic_raw_lb[[setting]:[setting]],0), MATCH(AC$139, lmic_raw_lb[#Headers],0)))</f>
        <v>5.4706035000000267E-3</v>
      </c>
      <c r="AD240" s="98">
        <f>IF(INDEX(lmic_raw_lb[],MATCH($A240,lmic_raw_lb[[setting]:[setting]],0), MATCH(AD$139, lmic_raw_lb[#Headers],0))=0, INDEX(regions_lb[], MATCH($D240, regions_lb[[setting]:[setting]],0), MATCH(AD$139, regions_lb[#Headers],0)),INDEX(lmic_raw_lb[],MATCH($A240,lmic_raw_lb[[setting]:[setting]],0), MATCH(AD$139, lmic_raw_lb[#Headers],0)))</f>
        <v>3.2367401150546539E-4</v>
      </c>
      <c r="AE240" s="98">
        <f>IF(INDEX(lmic_raw_lb[],MATCH($A240,lmic_raw_lb[[setting]:[setting]],0), MATCH(AE$139, lmic_raw_lb[#Headers],0))=0, INDEX(regions_lb[], MATCH($D240, regions_lb[[setting]:[setting]],0), MATCH(AE$139, regions_lb[#Headers],0)),INDEX(lmic_raw_lb[],MATCH($A240,lmic_raw_lb[[setting]:[setting]],0), MATCH(AE$139, lmic_raw_lb[#Headers],0)))</f>
        <v>1.8729099826196951E-4</v>
      </c>
      <c r="AF240" s="98">
        <f>IF(INDEX(lmic_raw_lb[],MATCH($A240,lmic_raw_lb[[setting]:[setting]],0), MATCH(AF$139, lmic_raw_lb[#Headers],0))=0, INDEX(regions_lb[], MATCH($D240, regions_lb[[setting]:[setting]],0), MATCH(AF$139, regions_lb[#Headers],0)),INDEX(lmic_raw_lb[],MATCH($A240,lmic_raw_lb[[setting]:[setting]],0), MATCH(AF$139, lmic_raw_lb[#Headers],0)))</f>
        <v>2.4698274612734613E-4</v>
      </c>
      <c r="AG240" s="98">
        <f>IF(INDEX(lmic_raw_lb[],MATCH($A240,lmic_raw_lb[[setting]:[setting]],0), MATCH(AG$139, lmic_raw_lb[#Headers],0))=0, INDEX(regions_lb[], MATCH($D240, regions_lb[[setting]:[setting]],0), MATCH(AG$139, regions_lb[#Headers],0)),INDEX(lmic_raw_lb[],MATCH($A240,lmic_raw_lb[[setting]:[setting]],0), MATCH(AG$139, lmic_raw_lb[#Headers],0)))</f>
        <v>5.9500966648748908E-4</v>
      </c>
      <c r="AH240" s="98">
        <f>IF(INDEX(lmic_raw_lb[],MATCH($A240,lmic_raw_lb[[setting]:[setting]],0), MATCH(AH$139, lmic_raw_lb[#Headers],0))=0, INDEX(regions_lb[], MATCH($D240, regions_lb[[setting]:[setting]],0), MATCH(AH$139, regions_lb[#Headers],0)),INDEX(lmic_raw_lb[],MATCH($A240,lmic_raw_lb[[setting]:[setting]],0), MATCH(AH$139, lmic_raw_lb[#Headers],0)))</f>
        <v>1.0551206096273207E-3</v>
      </c>
      <c r="AI240" s="98">
        <f>IF(INDEX(lmic_raw_lb[],MATCH($A240,lmic_raw_lb[[setting]:[setting]],0), MATCH(AI$139, lmic_raw_lb[#Headers],0))=0, INDEX(regions_lb[], MATCH($D240, regions_lb[[setting]:[setting]],0), MATCH(AI$139, regions_lb[#Headers],0)),INDEX(lmic_raw_lb[],MATCH($A240,lmic_raw_lb[[setting]:[setting]],0), MATCH(AI$139, lmic_raw_lb[#Headers],0)))</f>
        <v>1.6945007005218563E-3</v>
      </c>
      <c r="AJ240" s="98">
        <f>IF(INDEX(lmic_raw_lb[],MATCH($A240,lmic_raw_lb[[setting]:[setting]],0), MATCH(AJ$139, lmic_raw_lb[#Headers],0))=0, INDEX(regions_lb[], MATCH($D240, regions_lb[[setting]:[setting]],0), MATCH(AJ$139, regions_lb[#Headers],0)),INDEX(lmic_raw_lb[],MATCH($A240,lmic_raw_lb[[setting]:[setting]],0), MATCH(AJ$139, lmic_raw_lb[#Headers],0)))</f>
        <v>2.8437315991563916E-3</v>
      </c>
      <c r="AK240" s="98">
        <f>IF(INDEX(lmic_raw_lb[],MATCH($A240,lmic_raw_lb[[setting]:[setting]],0), MATCH(AK$139, lmic_raw_lb[#Headers],0))=0, INDEX(regions_lb[], MATCH($D240, regions_lb[[setting]:[setting]],0), MATCH(AK$139, regions_lb[#Headers],0)),INDEX(lmic_raw_lb[],MATCH($A240,lmic_raw_lb[[setting]:[setting]],0), MATCH(AK$139, lmic_raw_lb[#Headers],0)))</f>
        <v>4.1703219458116125E-3</v>
      </c>
      <c r="AL240" s="98">
        <f>IF(INDEX(lmic_raw_lb[],MATCH($A240,lmic_raw_lb[[setting]:[setting]],0), MATCH(AL$139, lmic_raw_lb[#Headers],0))=0, INDEX(regions_lb[], MATCH($D240, regions_lb[[setting]:[setting]],0), MATCH(AL$139, regions_lb[#Headers],0)),INDEX(lmic_raw_lb[],MATCH($A240,lmic_raw_lb[[setting]:[setting]],0), MATCH(AL$139, lmic_raw_lb[#Headers],0)))</f>
        <v>5.0043817922165194E-3</v>
      </c>
      <c r="AM240" s="98">
        <f>IF(INDEX(lmic_raw_lb[],MATCH($A240,lmic_raw_lb[[setting]:[setting]],0), MATCH(AM$139, lmic_raw_lb[#Headers],0))=0, INDEX(regions_lb[], MATCH($D240, regions_lb[[setting]:[setting]],0), MATCH(AM$139, regions_lb[#Headers],0)),INDEX(lmic_raw_lb[],MATCH($A240,lmic_raw_lb[[setting]:[setting]],0), MATCH(AM$139, lmic_raw_lb[#Headers],0)))</f>
        <v>6.1493883564960649E-3</v>
      </c>
      <c r="AN240" s="98">
        <f>IF(INDEX(lmic_raw_lb[],MATCH($A240,lmic_raw_lb[[setting]:[setting]],0), MATCH(AN$139, lmic_raw_lb[#Headers],0))=0, INDEX(regions_lb[], MATCH($D240, regions_lb[[setting]:[setting]],0), MATCH(AN$139, regions_lb[#Headers],0)),INDEX(lmic_raw_lb[],MATCH($A240,lmic_raw_lb[[setting]:[setting]],0), MATCH(AN$139, lmic_raw_lb[#Headers],0)))</f>
        <v>8.3909551855863643E-3</v>
      </c>
      <c r="AO240" s="98">
        <f>IF(INDEX(lmic_raw_lb[],MATCH($A240,lmic_raw_lb[[setting]:[setting]],0), MATCH(AO$139, lmic_raw_lb[#Headers],0))=0, INDEX(regions_lb[], MATCH($D240, regions_lb[[setting]:[setting]],0), MATCH(AO$139, regions_lb[#Headers],0)),INDEX(lmic_raw_lb[],MATCH($A240,lmic_raw_lb[[setting]:[setting]],0), MATCH(AO$139, lmic_raw_lb[#Headers],0)))</f>
        <v>1.1714690330774383E-2</v>
      </c>
      <c r="AP240" s="98">
        <f>IF(INDEX(lmic_raw_lb[],MATCH($A240,lmic_raw_lb[[setting]:[setting]],0), MATCH(AP$139, lmic_raw_lb[#Headers],0))=0, INDEX(regions_lb[], MATCH($D240, regions_lb[[setting]:[setting]],0), MATCH(AP$139, regions_lb[#Headers],0)),INDEX(lmic_raw_lb[],MATCH($A240,lmic_raw_lb[[setting]:[setting]],0), MATCH(AP$139, lmic_raw_lb[#Headers],0)))</f>
        <v>1.6849062634857387E-2</v>
      </c>
      <c r="AQ240" s="98">
        <f>IF(INDEX(lmic_raw_lb[],MATCH($A240,lmic_raw_lb[[setting]:[setting]],0), MATCH(AQ$139, lmic_raw_lb[#Headers],0))=0, INDEX(regions_lb[], MATCH($D240, regions_lb[[setting]:[setting]],0), MATCH(AQ$139, regions_lb[#Headers],0)),INDEX(lmic_raw_lb[],MATCH($A240,lmic_raw_lb[[setting]:[setting]],0), MATCH(AQ$139, lmic_raw_lb[#Headers],0)))</f>
        <v>2.2780049402458816E-2</v>
      </c>
      <c r="AR240" s="98">
        <f>IF(INDEX(lmic_raw_lb[],MATCH($A240,lmic_raw_lb[[setting]:[setting]],0), MATCH(AR$139, lmic_raw_lb[#Headers],0))=0, INDEX(regions_lb[], MATCH($D240, regions_lb[[setting]:[setting]],0), MATCH(AR$139, regions_lb[#Headers],0)),INDEX(lmic_raw_lb[],MATCH($A240,lmic_raw_lb[[setting]:[setting]],0), MATCH(AR$139, lmic_raw_lb[#Headers],0)))</f>
        <v>3.1424495158527327E-2</v>
      </c>
      <c r="AS240" s="98">
        <f>IF(INDEX(lmic_raw_lb[],MATCH($A240,lmic_raw_lb[[setting]:[setting]],0), MATCH(AS$139, lmic_raw_lb[#Headers],0))=0, INDEX(regions_lb[], MATCH($D240, regions_lb[[setting]:[setting]],0), MATCH(AS$139, regions_lb[#Headers],0)),INDEX(lmic_raw_lb[],MATCH($A240,lmic_raw_lb[[setting]:[setting]],0), MATCH(AS$139, lmic_raw_lb[#Headers],0)))</f>
        <v>4.7196941089161906E-2</v>
      </c>
      <c r="AT240" s="98">
        <f>IF(INDEX(lmic_raw_lb[],MATCH($A240,lmic_raw_lb[[setting]:[setting]],0), MATCH(AT$139, lmic_raw_lb[#Headers],0))=0, INDEX(regions_lb[], MATCH($D240, regions_lb[[setting]:[setting]],0), MATCH(AT$139, regions_lb[#Headers],0)),INDEX(lmic_raw_lb[],MATCH($A240,lmic_raw_lb[[setting]:[setting]],0), MATCH(AT$139, lmic_raw_lb[#Headers],0)))</f>
        <v>7.0986452606725189E-2</v>
      </c>
      <c r="AU240" s="98">
        <f>IF(INDEX(lmic_raw_lb[],MATCH($A240,lmic_raw_lb[[setting]:[setting]],0), MATCH(AU$139, lmic_raw_lb[#Headers],0))=0, INDEX(regions_lb[], MATCH($D240, regions_lb[[setting]:[setting]],0), MATCH(AU$139, regions_lb[#Headers],0)),INDEX(lmic_raw_lb[],MATCH($A240,lmic_raw_lb[[setting]:[setting]],0), MATCH(AU$139, lmic_raw_lb[#Headers],0)))</f>
        <v>9.5637247821059965E-2</v>
      </c>
      <c r="AV240" s="98">
        <f>IF(INDEX(lmic_raw_lb[],MATCH($A240,lmic_raw_lb[[setting]:[setting]],0), MATCH(AV$139, lmic_raw_lb[#Headers],0))=0, INDEX(regions_lb[], MATCH($D240, regions_lb[[setting]:[setting]],0), MATCH(AV$139, regions_lb[#Headers],0)),INDEX(lmic_raw_lb[],MATCH($A240,lmic_raw_lb[[setting]:[setting]],0), MATCH(AV$139, lmic_raw_lb[#Headers],0)))</f>
        <v>0.12513115172212536</v>
      </c>
      <c r="AW240" s="98">
        <f>IF(INDEX(lmic_raw_lb[],MATCH($A240,lmic_raw_lb[[setting]:[setting]],0), MATCH(AW$139, lmic_raw_lb[#Headers],0))=0, INDEX(regions_lb[], MATCH($D240, regions_lb[[setting]:[setting]],0), MATCH(AW$139, regions_lb[#Headers],0)),INDEX(lmic_raw_lb[],MATCH($A240,lmic_raw_lb[[setting]:[setting]],0), MATCH(AW$139, lmic_raw_lb[#Headers],0)))</f>
        <v>0.15058502233458926</v>
      </c>
      <c r="AX240" s="98">
        <f>IF(INDEX(lmic_raw_lb[],MATCH($A240,lmic_raw_lb[[setting]:[setting]],0), MATCH(AX$139, lmic_raw_lb[#Headers],0))=0, INDEX(regions_lb[], MATCH($D240, regions_lb[[setting]:[setting]],0), MATCH(AX$139, regions_lb[#Headers],0)),INDEX(lmic_raw_lb[],MATCH($A240,lmic_raw_lb[[setting]:[setting]],0), MATCH(AX$139, lmic_raw_lb[#Headers],0)))</f>
        <v>68.674549999999996</v>
      </c>
      <c r="AY240" s="98" t="str">
        <f>IF(VLOOKUP(lmics_lb[[#This Row],[setting]],lmic_raw_lb[],11,FALSE)=0, "Yes", "No")</f>
        <v>Yes</v>
      </c>
    </row>
    <row r="241" spans="1:51" x14ac:dyDescent="0.25">
      <c r="A241" s="110" t="s">
        <v>113</v>
      </c>
      <c r="B241" s="104" t="s">
        <v>502</v>
      </c>
      <c r="C241" s="105">
        <v>646</v>
      </c>
      <c r="D241" s="84" t="s">
        <v>677</v>
      </c>
      <c r="E241" s="122" t="s">
        <v>597</v>
      </c>
      <c r="F241" s="94" t="s">
        <v>667</v>
      </c>
      <c r="G241" s="94" t="s">
        <v>674</v>
      </c>
      <c r="H241" s="94"/>
      <c r="I241" s="94"/>
      <c r="J241" s="94">
        <f>IF(INDEX(lmic_raw_lb[],MATCH($A241,lmic_raw_lb[[setting]:[setting]],0), MATCH(J$139, lmic_raw_lb[#Headers],0))=0, INDEX(regions_lb[], MATCH($D241, regions_lb[[setting]:[setting]],0), MATCH(J$139, regions_lb[#Headers],0)),INDEX(lmic_raw_lb[],MATCH($A241,lmic_raw_lb[[setting]:[setting]],0), MATCH(J$139, lmic_raw_lb[#Headers],0)))</f>
        <v>0.86165000000000003</v>
      </c>
      <c r="K241" s="94">
        <f>IF(INDEX(lmic_raw_lb[],MATCH($A241,lmic_raw_lb[[setting]:[setting]],0), MATCH(K$139, lmic_raw_lb[#Headers],0))=0, INDEX(regions_lb[], MATCH($D241, regions_lb[[setting]:[setting]],0), MATCH(K$139, regions_lb[#Headers],0)),INDEX(lmic_raw_lb[],MATCH($A241,lmic_raw_lb[[setting]:[setting]],0), MATCH(K$139, lmic_raw_lb[#Headers],0)))</f>
        <v>0.65789974195504752</v>
      </c>
      <c r="L241" s="94">
        <f>IF(INDEX(lmic_raw_lb[],MATCH($A241,lmic_raw_lb[[setting]:[setting]],0), MATCH(L$139, lmic_raw_lb[#Headers],0))=0, INDEX(regions_lb[], MATCH($D241, regions_lb[[setting]:[setting]],0), MATCH(L$139, regions_lb[#Headers],0)),INDEX(lmic_raw_lb[],MATCH($A241,lmic_raw_lb[[setting]:[setting]],0), MATCH(L$139, lmic_raw_lb[#Headers],0)))</f>
        <v>0.93099999999999994</v>
      </c>
      <c r="M241" s="94">
        <f>IF(INDEX(lmic_raw_lb[],MATCH($A241,lmic_raw_lb[[setting]:[setting]],0), MATCH(M$139, lmic_raw_lb[#Headers],0))=0, INDEX(regions_lb[], MATCH($D241, regions_lb[[setting]:[setting]],0), MATCH(M$139, regions_lb[#Headers],0)),INDEX(lmic_raw_lb[],MATCH($A241,lmic_raw_lb[[setting]:[setting]],0), MATCH(M$139, lmic_raw_lb[#Headers],0)))</f>
        <v>2.5000000000000001E-2</v>
      </c>
      <c r="N241" s="94">
        <f>IF(INDEX(lmic_raw_lb[],MATCH($A241,lmic_raw_lb[[setting]:[setting]],0), MATCH(N$139, lmic_raw_lb[#Headers],0))=0, INDEX(regions_lb[], MATCH($D241, regions_lb[[setting]:[setting]],0), MATCH(N$139, regions_lb[#Headers],0)),INDEX(lmic_raw_lb[],MATCH($A241,lmic_raw_lb[[setting]:[setting]],0), MATCH(N$139, lmic_raw_lb[#Headers],0)))</f>
        <v>0.15560000000000002</v>
      </c>
      <c r="O241" s="94">
        <f>IF(INDEX(lmic_raw_lb[],MATCH($A241,lmic_raw_lb[[setting]:[setting]],0), MATCH(O$139, lmic_raw_lb[#Headers],0))=0, INDEX(regions_lb[], MATCH($D241, regions_lb[[setting]:[setting]],0), MATCH(O$139, regions_lb[#Headers],0)),INDEX(lmic_raw_lb[],MATCH($A241,lmic_raw_lb[[setting]:[setting]],0), MATCH(O$139, lmic_raw_lb[#Headers],0)))</f>
        <v>7.0000000000000007E-2</v>
      </c>
      <c r="P241" s="94">
        <f>IF(INDEX(lmic_raw_lb[],MATCH($A241,lmic_raw_lb[[setting]:[setting]],0), MATCH(P$139, lmic_raw_lb[#Headers],0))=0, INDEX(regions_lb[], MATCH($D241, regions_lb[[setting]:[setting]],0), MATCH(P$139, regions_lb[#Headers],0)),INDEX(lmic_raw_lb[],MATCH($A241,lmic_raw_lb[[setting]:[setting]],0), MATCH(P$139, lmic_raw_lb[#Headers],0)))</f>
        <v>1E-3</v>
      </c>
      <c r="Q241" s="94">
        <f>IF(INDEX(lmic_raw_lb[],MATCH($A241,lmic_raw_lb[[setting]:[setting]],0), MATCH(Q$139, lmic_raw_lb[#Headers],0))=0, INDEX(regions_lb[], MATCH($D241, regions_lb[[setting]:[setting]],0), MATCH(Q$139, regions_lb[#Headers],0)),INDEX(lmic_raw_lb[],MATCH($A241,lmic_raw_lb[[setting]:[setting]],0), MATCH(Q$139, lmic_raw_lb[#Headers],0)))</f>
        <v>2.7395873734390834</v>
      </c>
      <c r="R241" s="94">
        <f>IF(INDEX(lmic_raw_lb[],MATCH($A241,lmic_raw_lb[[setting]:[setting]],0), MATCH(R$139, lmic_raw_lb[#Headers],0))=0, INDEX(regions_lb[], MATCH($D241, regions_lb[[setting]:[setting]],0), MATCH(R$139, regions_lb[#Headers],0)),INDEX(lmic_raw_lb[],MATCH($A241,lmic_raw_lb[[setting]:[setting]],0), MATCH(R$139, lmic_raw_lb[#Headers],0)))</f>
        <v>28.424474999999997</v>
      </c>
      <c r="S241" s="94">
        <f>IF(INDEX(lmic_raw_lb[],MATCH($A241,lmic_raw_lb[[setting]:[setting]],0), MATCH(S$139, lmic_raw_lb[#Headers],0))=0, INDEX(regions_lb[], MATCH($D241, regions_lb[[setting]:[setting]],0), MATCH(S$139, regions_lb[#Headers],0)),INDEX(lmic_raw_lb[],MATCH($A241,lmic_raw_lb[[setting]:[setting]],0), MATCH(S$139, lmic_raw_lb[#Headers],0)))</f>
        <v>73.779375000000002</v>
      </c>
      <c r="T241" s="94">
        <f>IF(INDEX(lmic_raw_lb[],MATCH($A241,lmic_raw_lb[[setting]:[setting]],0), MATCH(T$139, lmic_raw_lb[#Headers],0))=0, INDEX(regions_lb[], MATCH($D241, regions_lb[[setting]:[setting]],0), MATCH(T$139, regions_lb[#Headers],0)),INDEX(lmic_raw_lb[],MATCH($A241,lmic_raw_lb[[setting]:[setting]],0), MATCH(T$139, lmic_raw_lb[#Headers],0)))</f>
        <v>73.779375000000002</v>
      </c>
      <c r="U241" s="94">
        <f>IF(INDEX(lmic_raw_lb[],MATCH($A241,lmic_raw_lb[[setting]:[setting]],0), MATCH(U$139, lmic_raw_lb[#Headers],0))=0, INDEX(regions_lb[], MATCH($D241, regions_lb[[setting]:[setting]],0), MATCH(U$139, regions_lb[#Headers],0)),INDEX(lmic_raw_lb[],MATCH($A241,lmic_raw_lb[[setting]:[setting]],0), MATCH(U$139, lmic_raw_lb[#Headers],0)))</f>
        <v>73.779375000000002</v>
      </c>
      <c r="V241" s="94">
        <f>IF(INDEX(lmic_raw_lb[],MATCH($A241,lmic_raw_lb[[setting]:[setting]],0), MATCH(V$139, lmic_raw_lb[#Headers],0))=0, INDEX(regions_lb[], MATCH($D241, regions_lb[[setting]:[setting]],0), MATCH(V$139, regions_lb[#Headers],0)),INDEX(lmic_raw_lb[],MATCH($A241,lmic_raw_lb[[setting]:[setting]],0), MATCH(V$139, lmic_raw_lb[#Headers],0)))</f>
        <v>1.4711569718036284</v>
      </c>
      <c r="W241" s="94">
        <f>IF(INDEX(lmic_raw_lb[],MATCH($A241,lmic_raw_lb[[setting]:[setting]],0), MATCH(W$139, lmic_raw_lb[#Headers],0))=0, INDEX(regions_lb[], MATCH($D241, regions_lb[[setting]:[setting]],0), MATCH(W$139, regions_lb[#Headers],0)),INDEX(lmic_raw_lb[],MATCH($A241,lmic_raw_lb[[setting]:[setting]],0), MATCH(W$139, lmic_raw_lb[#Headers],0)))</f>
        <v>6.0584219718036287</v>
      </c>
      <c r="X241" s="94">
        <f>IF(INDEX(lmic_raw_lb[],MATCH($A241,lmic_raw_lb[[setting]:[setting]],0), MATCH(X$139, lmic_raw_lb[#Headers],0))=0, INDEX(regions_lb[], MATCH($D241, regions_lb[[setting]:[setting]],0), MATCH(X$139, regions_lb[#Headers],0)),INDEX(lmic_raw_lb[],MATCH($A241,lmic_raw_lb[[setting]:[setting]],0), MATCH(X$139, lmic_raw_lb[#Headers],0)))</f>
        <v>1.1062382227508709</v>
      </c>
      <c r="Y241" s="94">
        <f>IF(INDEX(lmic_raw_lb[],MATCH($A241,lmic_raw_lb[[setting]:[setting]],0), MATCH(Y$139, lmic_raw_lb[#Headers],0))=0, INDEX(regions_lb[], MATCH($D241, regions_lb[[setting]:[setting]],0), MATCH(Y$139, regions_lb[#Headers],0)),INDEX(lmic_raw_lb[],MATCH($A241,lmic_raw_lb[[setting]:[setting]],0), MATCH(Y$139, lmic_raw_lb[#Headers],0)))</f>
        <v>5.6935032227508717</v>
      </c>
      <c r="Z241" s="94">
        <f>IF(INDEX(lmic_raw_lb[],MATCH($A241,lmic_raw_lb[[setting]:[setting]],0), MATCH(Z$139, lmic_raw_lb[#Headers],0))=0, INDEX(regions_lb[], MATCH($D241, regions_lb[[setting]:[setting]],0), MATCH(Z$139, regions_lb[#Headers],0)),INDEX(lmic_raw_lb[],MATCH($A241,lmic_raw_lb[[setting]:[setting]],0), MATCH(Z$139, lmic_raw_lb[#Headers],0)))</f>
        <v>5.6917061214460922</v>
      </c>
      <c r="AA241" s="94">
        <f>IF(INDEX(lmic_raw_lb[],MATCH($A241,lmic_raw_lb[[setting]:[setting]],0), MATCH(AA$139, lmic_raw_lb[#Headers],0))=0, INDEX(regions_lb[], MATCH($D241, regions_lb[[setting]:[setting]],0), MATCH(AA$139, regions_lb[#Headers],0)),INDEX(lmic_raw_lb[],MATCH($A241,lmic_raw_lb[[setting]:[setting]],0), MATCH(AA$139, lmic_raw_lb[#Headers],0)))</f>
        <v>1.6821922530618794</v>
      </c>
      <c r="AB241" s="94">
        <f>IF(INDEX(lmic_raw_lb[],MATCH($A241,lmic_raw_lb[[setting]:[setting]],0), MATCH(AB$139, lmic_raw_lb[#Headers],0))=0, INDEX(regions_lb[], MATCH($D241, regions_lb[[setting]:[setting]],0), MATCH(AB$139, regions_lb[#Headers],0)),INDEX(lmic_raw_lb[],MATCH($A241,lmic_raw_lb[[setting]:[setting]],0), MATCH(AB$139, lmic_raw_lb[#Headers],0)))</f>
        <v>6.26945725306188</v>
      </c>
      <c r="AC241" s="94">
        <f>IF(INDEX(lmic_raw_lb[],MATCH($A241,lmic_raw_lb[[setting]:[setting]],0), MATCH(AC$139, lmic_raw_lb[#Headers],0))=0, INDEX(regions_lb[], MATCH($D241, regions_lb[[setting]:[setting]],0), MATCH(AC$139, regions_lb[#Headers],0)),INDEX(lmic_raw_lb[],MATCH($A241,lmic_raw_lb[[setting]:[setting]],0), MATCH(AC$139, lmic_raw_lb[#Headers],0)))</f>
        <v>2.7734908000000068E-2</v>
      </c>
      <c r="AD241" s="94">
        <f>IF(INDEX(lmic_raw_lb[],MATCH($A241,lmic_raw_lb[[setting]:[setting]],0), MATCH(AD$139, lmic_raw_lb[#Headers],0))=0, INDEX(regions_lb[], MATCH($D241, regions_lb[[setting]:[setting]],0), MATCH(AD$139, regions_lb[#Headers],0)),INDEX(lmic_raw_lb[],MATCH($A241,lmic_raw_lb[[setting]:[setting]],0), MATCH(AD$139, lmic_raw_lb[#Headers],0)))</f>
        <v>2.2537152813000344E-3</v>
      </c>
      <c r="AE241" s="94">
        <f>IF(INDEX(lmic_raw_lb[],MATCH($A241,lmic_raw_lb[[setting]:[setting]],0), MATCH(AE$139, lmic_raw_lb[#Headers],0))=0, INDEX(regions_lb[], MATCH($D241, regions_lb[[setting]:[setting]],0), MATCH(AE$139, regions_lb[#Headers],0)),INDEX(lmic_raw_lb[],MATCH($A241,lmic_raw_lb[[setting]:[setting]],0), MATCH(AE$139, lmic_raw_lb[#Headers],0)))</f>
        <v>9.0098704642285895E-4</v>
      </c>
      <c r="AF241" s="94">
        <f>IF(INDEX(lmic_raw_lb[],MATCH($A241,lmic_raw_lb[[setting]:[setting]],0), MATCH(AF$139, lmic_raw_lb[#Headers],0))=0, INDEX(regions_lb[], MATCH($D241, regions_lb[[setting]:[setting]],0), MATCH(AF$139, regions_lb[#Headers],0)),INDEX(lmic_raw_lb[],MATCH($A241,lmic_raw_lb[[setting]:[setting]],0), MATCH(AF$139, lmic_raw_lb[#Headers],0)))</f>
        <v>6.9749025206191284E-4</v>
      </c>
      <c r="AG241" s="94">
        <f>IF(INDEX(lmic_raw_lb[],MATCH($A241,lmic_raw_lb[[setting]:[setting]],0), MATCH(AG$139, lmic_raw_lb[#Headers],0))=0, INDEX(regions_lb[], MATCH($D241, regions_lb[[setting]:[setting]],0), MATCH(AG$139, regions_lb[#Headers],0)),INDEX(lmic_raw_lb[],MATCH($A241,lmic_raw_lb[[setting]:[setting]],0), MATCH(AG$139, lmic_raw_lb[#Headers],0)))</f>
        <v>1.2188440033484927E-3</v>
      </c>
      <c r="AH241" s="94">
        <f>IF(INDEX(lmic_raw_lb[],MATCH($A241,lmic_raw_lb[[setting]:[setting]],0), MATCH(AH$139, lmic_raw_lb[#Headers],0))=0, INDEX(regions_lb[], MATCH($D241, regions_lb[[setting]:[setting]],0), MATCH(AH$139, regions_lb[#Headers],0)),INDEX(lmic_raw_lb[],MATCH($A241,lmic_raw_lb[[setting]:[setting]],0), MATCH(AH$139, lmic_raw_lb[#Headers],0)))</f>
        <v>1.8347775285385533E-3</v>
      </c>
      <c r="AI241" s="94">
        <f>IF(INDEX(lmic_raw_lb[],MATCH($A241,lmic_raw_lb[[setting]:[setting]],0), MATCH(AI$139, lmic_raw_lb[#Headers],0))=0, INDEX(regions_lb[], MATCH($D241, regions_lb[[setting]:[setting]],0), MATCH(AI$139, regions_lb[#Headers],0)),INDEX(lmic_raw_lb[],MATCH($A241,lmic_raw_lb[[setting]:[setting]],0), MATCH(AI$139, lmic_raw_lb[#Headers],0)))</f>
        <v>2.2150426001786945E-3</v>
      </c>
      <c r="AJ241" s="94">
        <f>IF(INDEX(lmic_raw_lb[],MATCH($A241,lmic_raw_lb[[setting]:[setting]],0), MATCH(AJ$139, lmic_raw_lb[#Headers],0))=0, INDEX(regions_lb[], MATCH($D241, regions_lb[[setting]:[setting]],0), MATCH(AJ$139, regions_lb[#Headers],0)),INDEX(lmic_raw_lb[],MATCH($A241,lmic_raw_lb[[setting]:[setting]],0), MATCH(AJ$139, lmic_raw_lb[#Headers],0)))</f>
        <v>2.6652116430645151E-3</v>
      </c>
      <c r="AK241" s="94">
        <f>IF(INDEX(lmic_raw_lb[],MATCH($A241,lmic_raw_lb[[setting]:[setting]],0), MATCH(AK$139, lmic_raw_lb[#Headers],0))=0, INDEX(regions_lb[], MATCH($D241, regions_lb[[setting]:[setting]],0), MATCH(AK$139, regions_lb[#Headers],0)),INDEX(lmic_raw_lb[],MATCH($A241,lmic_raw_lb[[setting]:[setting]],0), MATCH(AK$139, lmic_raw_lb[#Headers],0)))</f>
        <v>3.3421373673868703E-3</v>
      </c>
      <c r="AL241" s="94">
        <f>IF(INDEX(lmic_raw_lb[],MATCH($A241,lmic_raw_lb[[setting]:[setting]],0), MATCH(AL$139, lmic_raw_lb[#Headers],0))=0, INDEX(regions_lb[], MATCH($D241, regions_lb[[setting]:[setting]],0), MATCH(AL$139, regions_lb[#Headers],0)),INDEX(lmic_raw_lb[],MATCH($A241,lmic_raw_lb[[setting]:[setting]],0), MATCH(AL$139, lmic_raw_lb[#Headers],0)))</f>
        <v>4.2910002488462809E-3</v>
      </c>
      <c r="AM241" s="94">
        <f>IF(INDEX(lmic_raw_lb[],MATCH($A241,lmic_raw_lb[[setting]:[setting]],0), MATCH(AM$139, lmic_raw_lb[#Headers],0))=0, INDEX(regions_lb[], MATCH($D241, regions_lb[[setting]:[setting]],0), MATCH(AM$139, regions_lb[#Headers],0)),INDEX(lmic_raw_lb[],MATCH($A241,lmic_raw_lb[[setting]:[setting]],0), MATCH(AM$139, lmic_raw_lb[#Headers],0)))</f>
        <v>5.5316875625050187E-3</v>
      </c>
      <c r="AN241" s="94">
        <f>IF(INDEX(lmic_raw_lb[],MATCH($A241,lmic_raw_lb[[setting]:[setting]],0), MATCH(AN$139, lmic_raw_lb[#Headers],0))=0, INDEX(regions_lb[], MATCH($D241, regions_lb[[setting]:[setting]],0), MATCH(AN$139, regions_lb[#Headers],0)),INDEX(lmic_raw_lb[],MATCH($A241,lmic_raw_lb[[setting]:[setting]],0), MATCH(AN$139, lmic_raw_lb[#Headers],0)))</f>
        <v>7.9955715948974611E-3</v>
      </c>
      <c r="AO241" s="94">
        <f>IF(INDEX(lmic_raw_lb[],MATCH($A241,lmic_raw_lb[[setting]:[setting]],0), MATCH(AO$139, lmic_raw_lb[#Headers],0))=0, INDEX(regions_lb[], MATCH($D241, regions_lb[[setting]:[setting]],0), MATCH(AO$139, regions_lb[#Headers],0)),INDEX(lmic_raw_lb[],MATCH($A241,lmic_raw_lb[[setting]:[setting]],0), MATCH(AO$139, lmic_raw_lb[#Headers],0)))</f>
        <v>1.0771706429857966E-2</v>
      </c>
      <c r="AP241" s="94">
        <f>IF(INDEX(lmic_raw_lb[],MATCH($A241,lmic_raw_lb[[setting]:[setting]],0), MATCH(AP$139, lmic_raw_lb[#Headers],0))=0, INDEX(regions_lb[], MATCH($D241, regions_lb[[setting]:[setting]],0), MATCH(AP$139, regions_lb[#Headers],0)),INDEX(lmic_raw_lb[],MATCH($A241,lmic_raw_lb[[setting]:[setting]],0), MATCH(AP$139, lmic_raw_lb[#Headers],0)))</f>
        <v>1.6102723458545482E-2</v>
      </c>
      <c r="AQ241" s="94">
        <f>IF(INDEX(lmic_raw_lb[],MATCH($A241,lmic_raw_lb[[setting]:[setting]],0), MATCH(AQ$139, lmic_raw_lb[#Headers],0))=0, INDEX(regions_lb[], MATCH($D241, regions_lb[[setting]:[setting]],0), MATCH(AQ$139, regions_lb[#Headers],0)),INDEX(lmic_raw_lb[],MATCH($A241,lmic_raw_lb[[setting]:[setting]],0), MATCH(AQ$139, lmic_raw_lb[#Headers],0)))</f>
        <v>2.4774889946243221E-2</v>
      </c>
      <c r="AR241" s="94">
        <f>IF(INDEX(lmic_raw_lb[],MATCH($A241,lmic_raw_lb[[setting]:[setting]],0), MATCH(AR$139, lmic_raw_lb[#Headers],0))=0, INDEX(regions_lb[], MATCH($D241, regions_lb[[setting]:[setting]],0), MATCH(AR$139, regions_lb[#Headers],0)),INDEX(lmic_raw_lb[],MATCH($A241,lmic_raw_lb[[setting]:[setting]],0), MATCH(AR$139, lmic_raw_lb[#Headers],0)))</f>
        <v>3.8322315450047134E-2</v>
      </c>
      <c r="AS241" s="94">
        <f>IF(INDEX(lmic_raw_lb[],MATCH($A241,lmic_raw_lb[[setting]:[setting]],0), MATCH(AS$139, lmic_raw_lb[#Headers],0))=0, INDEX(regions_lb[], MATCH($D241, regions_lb[[setting]:[setting]],0), MATCH(AS$139, regions_lb[#Headers],0)),INDEX(lmic_raw_lb[],MATCH($A241,lmic_raw_lb[[setting]:[setting]],0), MATCH(AS$139, lmic_raw_lb[#Headers],0)))</f>
        <v>5.9299069274399561E-2</v>
      </c>
      <c r="AT241" s="94">
        <f>IF(INDEX(lmic_raw_lb[],MATCH($A241,lmic_raw_lb[[setting]:[setting]],0), MATCH(AT$139, lmic_raw_lb[#Headers],0))=0, INDEX(regions_lb[], MATCH($D241, regions_lb[[setting]:[setting]],0), MATCH(AT$139, regions_lb[#Headers],0)),INDEX(lmic_raw_lb[],MATCH($A241,lmic_raw_lb[[setting]:[setting]],0), MATCH(AT$139, lmic_raw_lb[#Headers],0)))</f>
        <v>9.0289633084927365E-2</v>
      </c>
      <c r="AU241" s="94">
        <f>IF(INDEX(lmic_raw_lb[],MATCH($A241,lmic_raw_lb[[setting]:[setting]],0), MATCH(AU$139, lmic_raw_lb[#Headers],0))=0, INDEX(regions_lb[], MATCH($D241, regions_lb[[setting]:[setting]],0), MATCH(AU$139, regions_lb[#Headers],0)),INDEX(lmic_raw_lb[],MATCH($A241,lmic_raw_lb[[setting]:[setting]],0), MATCH(AU$139, lmic_raw_lb[#Headers],0)))</f>
        <v>0.12781025248167344</v>
      </c>
      <c r="AV241" s="94">
        <f>IF(INDEX(lmic_raw_lb[],MATCH($A241,lmic_raw_lb[[setting]:[setting]],0), MATCH(AV$139, lmic_raw_lb[#Headers],0))=0, INDEX(regions_lb[], MATCH($D241, regions_lb[[setting]:[setting]],0), MATCH(AV$139, regions_lb[#Headers],0)),INDEX(lmic_raw_lb[],MATCH($A241,lmic_raw_lb[[setting]:[setting]],0), MATCH(AV$139, lmic_raw_lb[#Headers],0)))</f>
        <v>0.16315915976099893</v>
      </c>
      <c r="AW241" s="94">
        <f>IF(INDEX(lmic_raw_lb[],MATCH($A241,lmic_raw_lb[[setting]:[setting]],0), MATCH(AW$139, lmic_raw_lb[#Headers],0))=0, INDEX(regions_lb[], MATCH($D241, regions_lb[[setting]:[setting]],0), MATCH(AW$139, regions_lb[#Headers],0)),INDEX(lmic_raw_lb[],MATCH($A241,lmic_raw_lb[[setting]:[setting]],0), MATCH(AW$139, lmic_raw_lb[#Headers],0)))</f>
        <v>0.17775006944941502</v>
      </c>
      <c r="AX241" s="94">
        <f>IF(INDEX(lmic_raw_lb[],MATCH($A241,lmic_raw_lb[[setting]:[setting]],0), MATCH(AX$139, lmic_raw_lb[#Headers],0))=0, INDEX(regions_lb[], MATCH($D241, regions_lb[[setting]:[setting]],0), MATCH(AX$139, regions_lb[#Headers],0)),INDEX(lmic_raw_lb[],MATCH($A241,lmic_raw_lb[[setting]:[setting]],0), MATCH(AX$139, lmic_raw_lb[#Headers],0)))</f>
        <v>65.016099999999994</v>
      </c>
      <c r="AY241" s="94" t="str">
        <f>IF(VLOOKUP(lmics_lb[[#This Row],[setting]],lmic_raw_lb[],11,FALSE)=0, "Yes", "No")</f>
        <v>Yes</v>
      </c>
    </row>
    <row r="242" spans="1:51" x14ac:dyDescent="0.25">
      <c r="A242" s="109" t="s">
        <v>245</v>
      </c>
      <c r="B242" s="101" t="s">
        <v>503</v>
      </c>
      <c r="C242" s="102">
        <v>662</v>
      </c>
      <c r="D242" s="82" t="s">
        <v>679</v>
      </c>
      <c r="E242" s="121" t="s">
        <v>223</v>
      </c>
      <c r="F242" s="98" t="s">
        <v>665</v>
      </c>
      <c r="G242" s="98" t="s">
        <v>676</v>
      </c>
      <c r="H242" s="98"/>
      <c r="I242" s="98"/>
      <c r="J242" s="98">
        <f>IF(INDEX(lmic_raw_lb[],MATCH($A242,lmic_raw_lb[[setting]:[setting]],0), MATCH(J$139, lmic_raw_lb[#Headers],0))=0, INDEX(regions_lb[], MATCH($D242, regions_lb[[setting]:[setting]],0), MATCH(J$139, regions_lb[#Headers],0)),INDEX(lmic_raw_lb[],MATCH($A242,lmic_raw_lb[[setting]:[setting]],0), MATCH(J$139, lmic_raw_lb[#Headers],0)))</f>
        <v>0.949905</v>
      </c>
      <c r="K242" s="98">
        <f>IF(INDEX(lmic_raw_lb[],MATCH($A242,lmic_raw_lb[[setting]:[setting]],0), MATCH(K$139, lmic_raw_lb[#Headers],0))=0, INDEX(regions_lb[], MATCH($D242, regions_lb[[setting]:[setting]],0), MATCH(K$139, regions_lb[#Headers],0)),INDEX(lmic_raw_lb[],MATCH($A242,lmic_raw_lb[[setting]:[setting]],0), MATCH(K$139, lmic_raw_lb[#Headers],0)))</f>
        <v>0.8075</v>
      </c>
      <c r="L242" s="98">
        <f>IF(INDEX(lmic_raw_lb[],MATCH($A242,lmic_raw_lb[[setting]:[setting]],0), MATCH(L$139, lmic_raw_lb[#Headers],0))=0, INDEX(regions_lb[], MATCH($D242, regions_lb[[setting]:[setting]],0), MATCH(L$139, regions_lb[#Headers],0)),INDEX(lmic_raw_lb[],MATCH($A242,lmic_raw_lb[[setting]:[setting]],0), MATCH(L$139, lmic_raw_lb[#Headers],0)))</f>
        <v>0.874</v>
      </c>
      <c r="M242" s="98">
        <f>IF(INDEX(lmic_raw_lb[],MATCH($A242,lmic_raw_lb[[setting]:[setting]],0), MATCH(M$139, lmic_raw_lb[#Headers],0))=0, INDEX(regions_lb[], MATCH($D242, regions_lb[[setting]:[setting]],0), MATCH(M$139, regions_lb[#Headers],0)),INDEX(lmic_raw_lb[],MATCH($A242,lmic_raw_lb[[setting]:[setting]],0), MATCH(M$139, lmic_raw_lb[#Headers],0)))</f>
        <v>1.4000000000000002E-3</v>
      </c>
      <c r="N242" s="98">
        <f>IF(INDEX(lmic_raw_lb[],MATCH($A242,lmic_raw_lb[[setting]:[setting]],0), MATCH(N$139, lmic_raw_lb[#Headers],0))=0, INDEX(regions_lb[], MATCH($D242, regions_lb[[setting]:[setting]],0), MATCH(N$139, regions_lb[#Headers],0)),INDEX(lmic_raw_lb[],MATCH($A242,lmic_raw_lb[[setting]:[setting]],0), MATCH(N$139, lmic_raw_lb[#Headers],0)))</f>
        <v>0.16309999999999999</v>
      </c>
      <c r="O242" s="98">
        <f>IF(INDEX(lmic_raw_lb[],MATCH($A242,lmic_raw_lb[[setting]:[setting]],0), MATCH(O$139, lmic_raw_lb[#Headers],0))=0, INDEX(regions_lb[], MATCH($D242, regions_lb[[setting]:[setting]],0), MATCH(O$139, regions_lb[#Headers],0)),INDEX(lmic_raw_lb[],MATCH($A242,lmic_raw_lb[[setting]:[setting]],0), MATCH(O$139, lmic_raw_lb[#Headers],0)))</f>
        <v>0.7</v>
      </c>
      <c r="P242" s="98">
        <f>IF(INDEX(lmic_raw_lb[],MATCH($A242,lmic_raw_lb[[setting]:[setting]],0), MATCH(P$139, lmic_raw_lb[#Headers],0))=0, INDEX(regions_lb[], MATCH($D242, regions_lb[[setting]:[setting]],0), MATCH(P$139, regions_lb[#Headers],0)),INDEX(lmic_raw_lb[],MATCH($A242,lmic_raw_lb[[setting]:[setting]],0), MATCH(P$139, lmic_raw_lb[#Headers],0)))</f>
        <v>0.05</v>
      </c>
      <c r="Q242" s="98">
        <f>IF(INDEX(lmic_raw_lb[],MATCH($A242,lmic_raw_lb[[setting]:[setting]],0), MATCH(Q$139, lmic_raw_lb[#Headers],0))=0, INDEX(regions_lb[], MATCH($D242, regions_lb[[setting]:[setting]],0), MATCH(Q$139, regions_lb[#Headers],0)),INDEX(lmic_raw_lb[],MATCH($A242,lmic_raw_lb[[setting]:[setting]],0), MATCH(Q$139, lmic_raw_lb[#Headers],0)))</f>
        <v>13.428853945481523</v>
      </c>
      <c r="R242" s="98">
        <f>IF(INDEX(lmic_raw_lb[],MATCH($A242,lmic_raw_lb[[setting]:[setting]],0), MATCH(R$139, lmic_raw_lb[#Headers],0))=0, INDEX(regions_lb[], MATCH($D242, regions_lb[[setting]:[setting]],0), MATCH(R$139, regions_lb[#Headers],0)),INDEX(lmic_raw_lb[],MATCH($A242,lmic_raw_lb[[setting]:[setting]],0), MATCH(R$139, lmic_raw_lb[#Headers],0)))</f>
        <v>82.539704999999998</v>
      </c>
      <c r="S242" s="98">
        <f>IF(INDEX(lmic_raw_lb[],MATCH($A242,lmic_raw_lb[[setting]:[setting]],0), MATCH(S$139, lmic_raw_lb[#Headers],0))=0, INDEX(regions_lb[], MATCH($D242, regions_lb[[setting]:[setting]],0), MATCH(S$139, regions_lb[#Headers],0)),INDEX(lmic_raw_lb[],MATCH($A242,lmic_raw_lb[[setting]:[setting]],0), MATCH(S$139, lmic_raw_lb[#Headers],0)))</f>
        <v>127.894605</v>
      </c>
      <c r="T242" s="98">
        <f>IF(INDEX(lmic_raw_lb[],MATCH($A242,lmic_raw_lb[[setting]:[setting]],0), MATCH(T$139, lmic_raw_lb[#Headers],0))=0, INDEX(regions_lb[], MATCH($D242, regions_lb[[setting]:[setting]],0), MATCH(T$139, regions_lb[#Headers],0)),INDEX(lmic_raw_lb[],MATCH($A242,lmic_raw_lb[[setting]:[setting]],0), MATCH(T$139, lmic_raw_lb[#Headers],0)))</f>
        <v>127.894605</v>
      </c>
      <c r="U242" s="98">
        <f>IF(INDEX(lmic_raw_lb[],MATCH($A242,lmic_raw_lb[[setting]:[setting]],0), MATCH(U$139, lmic_raw_lb[#Headers],0))=0, INDEX(regions_lb[], MATCH($D242, regions_lb[[setting]:[setting]],0), MATCH(U$139, regions_lb[#Headers],0)),INDEX(lmic_raw_lb[],MATCH($A242,lmic_raw_lb[[setting]:[setting]],0), MATCH(U$139, lmic_raw_lb[#Headers],0)))</f>
        <v>127.894605</v>
      </c>
      <c r="V242" s="98">
        <f>IF(INDEX(lmic_raw_lb[],MATCH($A242,lmic_raw_lb[[setting]:[setting]],0), MATCH(V$139, lmic_raw_lb[#Headers],0))=0, INDEX(regions_lb[], MATCH($D242, regions_lb[[setting]:[setting]],0), MATCH(V$139, regions_lb[#Headers],0)),INDEX(lmic_raw_lb[],MATCH($A242,lmic_raw_lb[[setting]:[setting]],0), MATCH(V$139, lmic_raw_lb[#Headers],0)))</f>
        <v>5.3923162147228618</v>
      </c>
      <c r="W242" s="98">
        <f>IF(INDEX(lmic_raw_lb[],MATCH($A242,lmic_raw_lb[[setting]:[setting]],0), MATCH(W$139, lmic_raw_lb[#Headers],0))=0, INDEX(regions_lb[], MATCH($D242, regions_lb[[setting]:[setting]],0), MATCH(W$139, regions_lb[#Headers],0)),INDEX(lmic_raw_lb[],MATCH($A242,lmic_raw_lb[[setting]:[setting]],0), MATCH(W$139, lmic_raw_lb[#Headers],0)))</f>
        <v>5.4130262147228621</v>
      </c>
      <c r="X242" s="98">
        <f>IF(INDEX(lmic_raw_lb[],MATCH($A242,lmic_raw_lb[[setting]:[setting]],0), MATCH(X$139, lmic_raw_lb[#Headers],0))=0, INDEX(regions_lb[], MATCH($D242, regions_lb[[setting]:[setting]],0), MATCH(X$139, regions_lb[#Headers],0)),INDEX(lmic_raw_lb[],MATCH($A242,lmic_raw_lb[[setting]:[setting]],0), MATCH(X$139, lmic_raw_lb[#Headers],0)))</f>
        <v>5.0159671891739492</v>
      </c>
      <c r="Y242" s="98">
        <f>IF(INDEX(lmic_raw_lb[],MATCH($A242,lmic_raw_lb[[setting]:[setting]],0), MATCH(Y$139, lmic_raw_lb[#Headers],0))=0, INDEX(regions_lb[], MATCH($D242, regions_lb[[setting]:[setting]],0), MATCH(Y$139, regions_lb[#Headers],0)),INDEX(lmic_raw_lb[],MATCH($A242,lmic_raw_lb[[setting]:[setting]],0), MATCH(Y$139, lmic_raw_lb[#Headers],0)))</f>
        <v>5.0366771891739495</v>
      </c>
      <c r="Z242" s="98">
        <f>IF(INDEX(lmic_raw_lb[],MATCH($A242,lmic_raw_lb[[setting]:[setting]],0), MATCH(Z$139, lmic_raw_lb[#Headers],0))=0, INDEX(regions_lb[], MATCH($D242, regions_lb[[setting]:[setting]],0), MATCH(Z$139, regions_lb[#Headers],0)),INDEX(lmic_raw_lb[],MATCH($A242,lmic_raw_lb[[setting]:[setting]],0), MATCH(Z$139, lmic_raw_lb[#Headers],0)))</f>
        <v>5.0278572531493948</v>
      </c>
      <c r="AA242" s="98">
        <f>IF(INDEX(lmic_raw_lb[],MATCH($A242,lmic_raw_lb[[setting]:[setting]],0), MATCH(AA$139, lmic_raw_lb[#Headers],0))=0, INDEX(regions_lb[], MATCH($D242, regions_lb[[setting]:[setting]],0), MATCH(AA$139, regions_lb[#Headers],0)),INDEX(lmic_raw_lb[],MATCH($A242,lmic_raw_lb[[setting]:[setting]],0), MATCH(AA$139, lmic_raw_lb[#Headers],0)))</f>
        <v>5.6082501859080365</v>
      </c>
      <c r="AB242" s="98">
        <f>IF(INDEX(lmic_raw_lb[],MATCH($A242,lmic_raw_lb[[setting]:[setting]],0), MATCH(AB$139, lmic_raw_lb[#Headers],0))=0, INDEX(regions_lb[], MATCH($D242, regions_lb[[setting]:[setting]],0), MATCH(AB$139, regions_lb[#Headers],0)),INDEX(lmic_raw_lb[],MATCH($A242,lmic_raw_lb[[setting]:[setting]],0), MATCH(AB$139, lmic_raw_lb[#Headers],0)))</f>
        <v>5.6289601859080367</v>
      </c>
      <c r="AC242" s="98">
        <f>IF(INDEX(lmic_raw_lb[],MATCH($A242,lmic_raw_lb[[setting]:[setting]],0), MATCH(AC$139, lmic_raw_lb[#Headers],0))=0, INDEX(regions_lb[], MATCH($D242, regions_lb[[setting]:[setting]],0), MATCH(AC$139, regions_lb[#Headers],0)),INDEX(lmic_raw_lb[],MATCH($A242,lmic_raw_lb[[setting]:[setting]],0), MATCH(AC$139, lmic_raw_lb[#Headers],0)))</f>
        <v>1.1865899000000011E-2</v>
      </c>
      <c r="AD242" s="98">
        <f>IF(INDEX(lmic_raw_lb[],MATCH($A242,lmic_raw_lb[[setting]:[setting]],0), MATCH(AD$139, lmic_raw_lb[#Headers],0))=0, INDEX(regions_lb[], MATCH($D242, regions_lb[[setting]:[setting]],0), MATCH(AD$139, regions_lb[#Headers],0)),INDEX(lmic_raw_lb[],MATCH($A242,lmic_raw_lb[[setting]:[setting]],0), MATCH(AD$139, lmic_raw_lb[#Headers],0)))</f>
        <v>8.7697136568537341E-4</v>
      </c>
      <c r="AE242" s="98">
        <f>IF(INDEX(lmic_raw_lb[],MATCH($A242,lmic_raw_lb[[setting]:[setting]],0), MATCH(AE$139, lmic_raw_lb[#Headers],0))=0, INDEX(regions_lb[], MATCH($D242, regions_lb[[setting]:[setting]],0), MATCH(AE$139, regions_lb[#Headers],0)),INDEX(lmic_raw_lb[],MATCH($A242,lmic_raw_lb[[setting]:[setting]],0), MATCH(AE$139, lmic_raw_lb[#Headers],0)))</f>
        <v>3.205517832210011E-4</v>
      </c>
      <c r="AF242" s="98">
        <f>IF(INDEX(lmic_raw_lb[],MATCH($A242,lmic_raw_lb[[setting]:[setting]],0), MATCH(AF$139, lmic_raw_lb[#Headers],0))=0, INDEX(regions_lb[], MATCH($D242, regions_lb[[setting]:[setting]],0), MATCH(AF$139, regions_lb[#Headers],0)),INDEX(lmic_raw_lb[],MATCH($A242,lmic_raw_lb[[setting]:[setting]],0), MATCH(AF$139, lmic_raw_lb[#Headers],0)))</f>
        <v>2.9779527313745867E-4</v>
      </c>
      <c r="AG242" s="98">
        <f>IF(INDEX(lmic_raw_lb[],MATCH($A242,lmic_raw_lb[[setting]:[setting]],0), MATCH(AG$139, lmic_raw_lb[#Headers],0))=0, INDEX(regions_lb[], MATCH($D242, regions_lb[[setting]:[setting]],0), MATCH(AG$139, regions_lb[#Headers],0)),INDEX(lmic_raw_lb[],MATCH($A242,lmic_raw_lb[[setting]:[setting]],0), MATCH(AG$139, lmic_raw_lb[#Headers],0)))</f>
        <v>7.0356452927267284E-4</v>
      </c>
      <c r="AH242" s="98">
        <f>IF(INDEX(lmic_raw_lb[],MATCH($A242,lmic_raw_lb[[setting]:[setting]],0), MATCH(AH$139, lmic_raw_lb[#Headers],0))=0, INDEX(regions_lb[], MATCH($D242, regions_lb[[setting]:[setting]],0), MATCH(AH$139, regions_lb[#Headers],0)),INDEX(lmic_raw_lb[],MATCH($A242,lmic_raw_lb[[setting]:[setting]],0), MATCH(AH$139, lmic_raw_lb[#Headers],0)))</f>
        <v>9.5995232420524059E-4</v>
      </c>
      <c r="AI242" s="98">
        <f>IF(INDEX(lmic_raw_lb[],MATCH($A242,lmic_raw_lb[[setting]:[setting]],0), MATCH(AI$139, lmic_raw_lb[#Headers],0))=0, INDEX(regions_lb[], MATCH($D242, regions_lb[[setting]:[setting]],0), MATCH(AI$139, regions_lb[#Headers],0)),INDEX(lmic_raw_lb[],MATCH($A242,lmic_raw_lb[[setting]:[setting]],0), MATCH(AI$139, lmic_raw_lb[#Headers],0)))</f>
        <v>1.0191377778745259E-3</v>
      </c>
      <c r="AJ242" s="98">
        <f>IF(INDEX(lmic_raw_lb[],MATCH($A242,lmic_raw_lb[[setting]:[setting]],0), MATCH(AJ$139, lmic_raw_lb[#Headers],0))=0, INDEX(regions_lb[], MATCH($D242, regions_lb[[setting]:[setting]],0), MATCH(AJ$139, regions_lb[#Headers],0)),INDEX(lmic_raw_lb[],MATCH($A242,lmic_raw_lb[[setting]:[setting]],0), MATCH(AJ$139, lmic_raw_lb[#Headers],0)))</f>
        <v>1.2238535681393747E-3</v>
      </c>
      <c r="AK242" s="98">
        <f>IF(INDEX(lmic_raw_lb[],MATCH($A242,lmic_raw_lb[[setting]:[setting]],0), MATCH(AK$139, lmic_raw_lb[#Headers],0))=0, INDEX(regions_lb[], MATCH($D242, regions_lb[[setting]:[setting]],0), MATCH(AK$139, regions_lb[#Headers],0)),INDEX(lmic_raw_lb[],MATCH($A242,lmic_raw_lb[[setting]:[setting]],0), MATCH(AK$139, lmic_raw_lb[#Headers],0)))</f>
        <v>1.6835060642859045E-3</v>
      </c>
      <c r="AL242" s="98">
        <f>IF(INDEX(lmic_raw_lb[],MATCH($A242,lmic_raw_lb[[setting]:[setting]],0), MATCH(AL$139, lmic_raw_lb[#Headers],0))=0, INDEX(regions_lb[], MATCH($D242, regions_lb[[setting]:[setting]],0), MATCH(AL$139, regions_lb[#Headers],0)),INDEX(lmic_raw_lb[],MATCH($A242,lmic_raw_lb[[setting]:[setting]],0), MATCH(AL$139, lmic_raw_lb[#Headers],0)))</f>
        <v>2.4874055811780721E-3</v>
      </c>
      <c r="AM242" s="98">
        <f>IF(INDEX(lmic_raw_lb[],MATCH($A242,lmic_raw_lb[[setting]:[setting]],0), MATCH(AM$139, lmic_raw_lb[#Headers],0))=0, INDEX(regions_lb[], MATCH($D242, regions_lb[[setting]:[setting]],0), MATCH(AM$139, regions_lb[#Headers],0)),INDEX(lmic_raw_lb[],MATCH($A242,lmic_raw_lb[[setting]:[setting]],0), MATCH(AM$139, lmic_raw_lb[#Headers],0)))</f>
        <v>3.8912438117560577E-3</v>
      </c>
      <c r="AN242" s="98">
        <f>IF(INDEX(lmic_raw_lb[],MATCH($A242,lmic_raw_lb[[setting]:[setting]],0), MATCH(AN$139, lmic_raw_lb[#Headers],0))=0, INDEX(regions_lb[], MATCH($D242, regions_lb[[setting]:[setting]],0), MATCH(AN$139, regions_lb[#Headers],0)),INDEX(lmic_raw_lb[],MATCH($A242,lmic_raw_lb[[setting]:[setting]],0), MATCH(AN$139, lmic_raw_lb[#Headers],0)))</f>
        <v>6.1107474172022707E-3</v>
      </c>
      <c r="AO242" s="98">
        <f>IF(INDEX(lmic_raw_lb[],MATCH($A242,lmic_raw_lb[[setting]:[setting]],0), MATCH(AO$139, lmic_raw_lb[#Headers],0))=0, INDEX(regions_lb[], MATCH($D242, regions_lb[[setting]:[setting]],0), MATCH(AO$139, regions_lb[#Headers],0)),INDEX(lmic_raw_lb[],MATCH($A242,lmic_raw_lb[[setting]:[setting]],0), MATCH(AO$139, lmic_raw_lb[#Headers],0)))</f>
        <v>9.4760679974909504E-3</v>
      </c>
      <c r="AP242" s="98">
        <f>IF(INDEX(lmic_raw_lb[],MATCH($A242,lmic_raw_lb[[setting]:[setting]],0), MATCH(AP$139, lmic_raw_lb[#Headers],0))=0, INDEX(regions_lb[], MATCH($D242, regions_lb[[setting]:[setting]],0), MATCH(AP$139, regions_lb[#Headers],0)),INDEX(lmic_raw_lb[],MATCH($A242,lmic_raw_lb[[setting]:[setting]],0), MATCH(AP$139, lmic_raw_lb[#Headers],0)))</f>
        <v>1.1957434715743405E-2</v>
      </c>
      <c r="AQ242" s="98">
        <f>IF(INDEX(lmic_raw_lb[],MATCH($A242,lmic_raw_lb[[setting]:[setting]],0), MATCH(AQ$139, lmic_raw_lb[#Headers],0))=0, INDEX(regions_lb[], MATCH($D242, regions_lb[[setting]:[setting]],0), MATCH(AQ$139, regions_lb[#Headers],0)),INDEX(lmic_raw_lb[],MATCH($A242,lmic_raw_lb[[setting]:[setting]],0), MATCH(AQ$139, lmic_raw_lb[#Headers],0)))</f>
        <v>1.526770389096857E-2</v>
      </c>
      <c r="AR242" s="98">
        <f>IF(INDEX(lmic_raw_lb[],MATCH($A242,lmic_raw_lb[[setting]:[setting]],0), MATCH(AR$139, lmic_raw_lb[#Headers],0))=0, INDEX(regions_lb[], MATCH($D242, regions_lb[[setting]:[setting]],0), MATCH(AR$139, regions_lb[#Headers],0)),INDEX(lmic_raw_lb[],MATCH($A242,lmic_raw_lb[[setting]:[setting]],0), MATCH(AR$139, lmic_raw_lb[#Headers],0)))</f>
        <v>2.2324082300017731E-2</v>
      </c>
      <c r="AS242" s="98">
        <f>IF(INDEX(lmic_raw_lb[],MATCH($A242,lmic_raw_lb[[setting]:[setting]],0), MATCH(AS$139, lmic_raw_lb[#Headers],0))=0, INDEX(regions_lb[], MATCH($D242, regions_lb[[setting]:[setting]],0), MATCH(AS$139, regions_lb[#Headers],0)),INDEX(lmic_raw_lb[],MATCH($A242,lmic_raw_lb[[setting]:[setting]],0), MATCH(AS$139, lmic_raw_lb[#Headers],0)))</f>
        <v>3.7326059722944595E-2</v>
      </c>
      <c r="AT242" s="98">
        <f>IF(INDEX(lmic_raw_lb[],MATCH($A242,lmic_raw_lb[[setting]:[setting]],0), MATCH(AT$139, lmic_raw_lb[#Headers],0))=0, INDEX(regions_lb[], MATCH($D242, regions_lb[[setting]:[setting]],0), MATCH(AT$139, regions_lb[#Headers],0)),INDEX(lmic_raw_lb[],MATCH($A242,lmic_raw_lb[[setting]:[setting]],0), MATCH(AT$139, lmic_raw_lb[#Headers],0)))</f>
        <v>5.9120439077888783E-2</v>
      </c>
      <c r="AU242" s="98">
        <f>IF(INDEX(lmic_raw_lb[],MATCH($A242,lmic_raw_lb[[setting]:[setting]],0), MATCH(AU$139, lmic_raw_lb[#Headers],0))=0, INDEX(regions_lb[], MATCH($D242, regions_lb[[setting]:[setting]],0), MATCH(AU$139, regions_lb[#Headers],0)),INDEX(lmic_raw_lb[],MATCH($A242,lmic_raw_lb[[setting]:[setting]],0), MATCH(AU$139, lmic_raw_lb[#Headers],0)))</f>
        <v>8.7446892268160908E-2</v>
      </c>
      <c r="AV242" s="98">
        <f>IF(INDEX(lmic_raw_lb[],MATCH($A242,lmic_raw_lb[[setting]:[setting]],0), MATCH(AV$139, lmic_raw_lb[#Headers],0))=0, INDEX(regions_lb[], MATCH($D242, regions_lb[[setting]:[setting]],0), MATCH(AV$139, regions_lb[#Headers],0)),INDEX(lmic_raw_lb[],MATCH($A242,lmic_raw_lb[[setting]:[setting]],0), MATCH(AV$139, lmic_raw_lb[#Headers],0)))</f>
        <v>0.11592100297827845</v>
      </c>
      <c r="AW242" s="98">
        <f>IF(INDEX(lmic_raw_lb[],MATCH($A242,lmic_raw_lb[[setting]:[setting]],0), MATCH(AW$139, lmic_raw_lb[#Headers],0))=0, INDEX(regions_lb[], MATCH($D242, regions_lb[[setting]:[setting]],0), MATCH(AW$139, regions_lb[#Headers],0)),INDEX(lmic_raw_lb[],MATCH($A242,lmic_raw_lb[[setting]:[setting]],0), MATCH(AW$139, lmic_raw_lb[#Headers],0)))</f>
        <v>0.13927344199585084</v>
      </c>
      <c r="AX242" s="98">
        <f>IF(INDEX(lmic_raw_lb[],MATCH($A242,lmic_raw_lb[[setting]:[setting]],0), MATCH(AX$139, lmic_raw_lb[#Headers],0))=0, INDEX(regions_lb[], MATCH($D242, regions_lb[[setting]:[setting]],0), MATCH(AX$139, regions_lb[#Headers],0)),INDEX(lmic_raw_lb[],MATCH($A242,lmic_raw_lb[[setting]:[setting]],0), MATCH(AX$139, lmic_raw_lb[#Headers],0)))</f>
        <v>72.192400000000006</v>
      </c>
      <c r="AY242" s="98" t="str">
        <f>IF(VLOOKUP(lmics_lb[[#This Row],[setting]],lmic_raw_lb[],11,FALSE)=0, "Yes", "No")</f>
        <v>No</v>
      </c>
    </row>
    <row r="243" spans="1:51" x14ac:dyDescent="0.25">
      <c r="A243" s="110" t="s">
        <v>247</v>
      </c>
      <c r="B243" s="104" t="s">
        <v>624</v>
      </c>
      <c r="C243" s="105">
        <v>670</v>
      </c>
      <c r="D243" s="84" t="s">
        <v>679</v>
      </c>
      <c r="E243" s="122" t="s">
        <v>223</v>
      </c>
      <c r="F243" s="94" t="s">
        <v>665</v>
      </c>
      <c r="G243" s="94" t="s">
        <v>676</v>
      </c>
      <c r="H243" s="94"/>
      <c r="I243" s="94"/>
      <c r="J243" s="94">
        <f>IF(INDEX(lmic_raw_lb[],MATCH($A243,lmic_raw_lb[[setting]:[setting]],0), MATCH(J$139, lmic_raw_lb[#Headers],0))=0, INDEX(regions_lb[], MATCH($D243, regions_lb[[setting]:[setting]],0), MATCH(J$139, regions_lb[#Headers],0)),INDEX(lmic_raw_lb[],MATCH($A243,lmic_raw_lb[[setting]:[setting]],0), MATCH(J$139, lmic_raw_lb[#Headers],0)))</f>
        <v>0.90745465887683818</v>
      </c>
      <c r="K243" s="94">
        <f>IF(INDEX(lmic_raw_lb[],MATCH($A243,lmic_raw_lb[[setting]:[setting]],0), MATCH(K$139, lmic_raw_lb[#Headers],0))=0, INDEX(regions_lb[], MATCH($D243, regions_lb[[setting]:[setting]],0), MATCH(K$139, regions_lb[#Headers],0)),INDEX(lmic_raw_lb[],MATCH($A243,lmic_raw_lb[[setting]:[setting]],0), MATCH(K$139, lmic_raw_lb[#Headers],0)))</f>
        <v>0.9405</v>
      </c>
      <c r="L243" s="94">
        <f>IF(INDEX(lmic_raw_lb[],MATCH($A243,lmic_raw_lb[[setting]:[setting]],0), MATCH(L$139, lmic_raw_lb[#Headers],0))=0, INDEX(regions_lb[], MATCH($D243, regions_lb[[setting]:[setting]],0), MATCH(L$139, regions_lb[#Headers],0)),INDEX(lmic_raw_lb[],MATCH($A243,lmic_raw_lb[[setting]:[setting]],0), MATCH(L$139, lmic_raw_lb[#Headers],0)))</f>
        <v>0.92149999999999999</v>
      </c>
      <c r="M243" s="94">
        <f>IF(INDEX(lmic_raw_lb[],MATCH($A243,lmic_raw_lb[[setting]:[setting]],0), MATCH(M$139, lmic_raw_lb[#Headers],0))=0, INDEX(regions_lb[], MATCH($D243, regions_lb[[setting]:[setting]],0), MATCH(M$139, regions_lb[#Headers],0)),INDEX(lmic_raw_lb[],MATCH($A243,lmic_raw_lb[[setting]:[setting]],0), MATCH(M$139, lmic_raw_lb[#Headers],0)))</f>
        <v>1.7000000000000001E-3</v>
      </c>
      <c r="N243" s="94">
        <f>IF(INDEX(lmic_raw_lb[],MATCH($A243,lmic_raw_lb[[setting]:[setting]],0), MATCH(N$139, lmic_raw_lb[#Headers],0))=0, INDEX(regions_lb[], MATCH($D243, regions_lb[[setting]:[setting]],0), MATCH(N$139, regions_lb[#Headers],0)),INDEX(lmic_raw_lb[],MATCH($A243,lmic_raw_lb[[setting]:[setting]],0), MATCH(N$139, lmic_raw_lb[#Headers],0)))</f>
        <v>0.16309999999999999</v>
      </c>
      <c r="O243" s="94">
        <f>IF(INDEX(lmic_raw_lb[],MATCH($A243,lmic_raw_lb[[setting]:[setting]],0), MATCH(O$139, lmic_raw_lb[#Headers],0))=0, INDEX(regions_lb[], MATCH($D243, regions_lb[[setting]:[setting]],0), MATCH(O$139, regions_lb[#Headers],0)),INDEX(lmic_raw_lb[],MATCH($A243,lmic_raw_lb[[setting]:[setting]],0), MATCH(O$139, lmic_raw_lb[#Headers],0)))</f>
        <v>0.7</v>
      </c>
      <c r="P243" s="94">
        <f>IF(INDEX(lmic_raw_lb[],MATCH($A243,lmic_raw_lb[[setting]:[setting]],0), MATCH(P$139, lmic_raw_lb[#Headers],0))=0, INDEX(regions_lb[], MATCH($D243, regions_lb[[setting]:[setting]],0), MATCH(P$139, regions_lb[#Headers],0)),INDEX(lmic_raw_lb[],MATCH($A243,lmic_raw_lb[[setting]:[setting]],0), MATCH(P$139, lmic_raw_lb[#Headers],0)))</f>
        <v>0.05</v>
      </c>
      <c r="Q243" s="94">
        <f>IF(INDEX(lmic_raw_lb[],MATCH($A243,lmic_raw_lb[[setting]:[setting]],0), MATCH(Q$139, lmic_raw_lb[#Headers],0))=0, INDEX(regions_lb[], MATCH($D243, regions_lb[[setting]:[setting]],0), MATCH(Q$139, regions_lb[#Headers],0)),INDEX(lmic_raw_lb[],MATCH($A243,lmic_raw_lb[[setting]:[setting]],0), MATCH(Q$139, lmic_raw_lb[#Headers],0)))</f>
        <v>12.177262606349968</v>
      </c>
      <c r="R243" s="94">
        <f>IF(INDEX(lmic_raw_lb[],MATCH($A243,lmic_raw_lb[[setting]:[setting]],0), MATCH(R$139, lmic_raw_lb[#Headers],0))=0, INDEX(regions_lb[], MATCH($D243, regions_lb[[setting]:[setting]],0), MATCH(R$139, regions_lb[#Headers],0)),INDEX(lmic_raw_lb[],MATCH($A243,lmic_raw_lb[[setting]:[setting]],0), MATCH(R$139, lmic_raw_lb[#Headers],0)))</f>
        <v>82.539704999999998</v>
      </c>
      <c r="S243" s="94">
        <f>IF(INDEX(lmic_raw_lb[],MATCH($A243,lmic_raw_lb[[setting]:[setting]],0), MATCH(S$139, lmic_raw_lb[#Headers],0))=0, INDEX(regions_lb[], MATCH($D243, regions_lb[[setting]:[setting]],0), MATCH(S$139, regions_lb[#Headers],0)),INDEX(lmic_raw_lb[],MATCH($A243,lmic_raw_lb[[setting]:[setting]],0), MATCH(S$139, lmic_raw_lb[#Headers],0)))</f>
        <v>127.894605</v>
      </c>
      <c r="T243" s="94">
        <f>IF(INDEX(lmic_raw_lb[],MATCH($A243,lmic_raw_lb[[setting]:[setting]],0), MATCH(T$139, lmic_raw_lb[#Headers],0))=0, INDEX(regions_lb[], MATCH($D243, regions_lb[[setting]:[setting]],0), MATCH(T$139, regions_lb[#Headers],0)),INDEX(lmic_raw_lb[],MATCH($A243,lmic_raw_lb[[setting]:[setting]],0), MATCH(T$139, lmic_raw_lb[#Headers],0)))</f>
        <v>127.894605</v>
      </c>
      <c r="U243" s="94">
        <f>IF(INDEX(lmic_raw_lb[],MATCH($A243,lmic_raw_lb[[setting]:[setting]],0), MATCH(U$139, lmic_raw_lb[#Headers],0))=0, INDEX(regions_lb[], MATCH($D243, regions_lb[[setting]:[setting]],0), MATCH(U$139, regions_lb[#Headers],0)),INDEX(lmic_raw_lb[],MATCH($A243,lmic_raw_lb[[setting]:[setting]],0), MATCH(U$139, lmic_raw_lb[#Headers],0)))</f>
        <v>127.894605</v>
      </c>
      <c r="V243" s="94">
        <f>IF(INDEX(lmic_raw_lb[],MATCH($A243,lmic_raw_lb[[setting]:[setting]],0), MATCH(V$139, lmic_raw_lb[#Headers],0))=0, INDEX(regions_lb[], MATCH($D243, regions_lb[[setting]:[setting]],0), MATCH(V$139, regions_lb[#Headers],0)),INDEX(lmic_raw_lb[],MATCH($A243,lmic_raw_lb[[setting]:[setting]],0), MATCH(V$139, lmic_raw_lb[#Headers],0)))</f>
        <v>5.9047664068507961</v>
      </c>
      <c r="W243" s="94">
        <f>IF(INDEX(lmic_raw_lb[],MATCH($A243,lmic_raw_lb[[setting]:[setting]],0), MATCH(W$139, lmic_raw_lb[#Headers],0))=0, INDEX(regions_lb[], MATCH($D243, regions_lb[[setting]:[setting]],0), MATCH(W$139, regions_lb[#Headers],0)),INDEX(lmic_raw_lb[],MATCH($A243,lmic_raw_lb[[setting]:[setting]],0), MATCH(W$139, lmic_raw_lb[#Headers],0)))</f>
        <v>5.9254764068507964</v>
      </c>
      <c r="X243" s="94">
        <f>IF(INDEX(lmic_raw_lb[],MATCH($A243,lmic_raw_lb[[setting]:[setting]],0), MATCH(X$139, lmic_raw_lb[#Headers],0))=0, INDEX(regions_lb[], MATCH($D243, regions_lb[[setting]:[setting]],0), MATCH(X$139, regions_lb[#Headers],0)),INDEX(lmic_raw_lb[],MATCH($A243,lmic_raw_lb[[setting]:[setting]],0), MATCH(X$139, lmic_raw_lb[#Headers],0)))</f>
        <v>5.5337084786609694</v>
      </c>
      <c r="Y243" s="94">
        <f>IF(INDEX(lmic_raw_lb[],MATCH($A243,lmic_raw_lb[[setting]:[setting]],0), MATCH(Y$139, lmic_raw_lb[#Headers],0))=0, INDEX(regions_lb[], MATCH($D243, regions_lb[[setting]:[setting]],0), MATCH(Y$139, regions_lb[#Headers],0)),INDEX(lmic_raw_lb[],MATCH($A243,lmic_raw_lb[[setting]:[setting]],0), MATCH(Y$139, lmic_raw_lb[#Headers],0)))</f>
        <v>5.5544184786609696</v>
      </c>
      <c r="Z243" s="94">
        <f>IF(INDEX(lmic_raw_lb[],MATCH($A243,lmic_raw_lb[[setting]:[setting]],0), MATCH(Z$139, lmic_raw_lb[#Headers],0))=0, INDEX(regions_lb[], MATCH($D243, regions_lb[[setting]:[setting]],0), MATCH(Z$139, regions_lb[#Headers],0)),INDEX(lmic_raw_lb[],MATCH($A243,lmic_raw_lb[[setting]:[setting]],0), MATCH(Z$139, lmic_raw_lb[#Headers],0)))</f>
        <v>5.5489905265084669</v>
      </c>
      <c r="AA243" s="94">
        <f>IF(INDEX(lmic_raw_lb[],MATCH($A243,lmic_raw_lb[[setting]:[setting]],0), MATCH(AA$139, lmic_raw_lb[#Headers],0))=0, INDEX(regions_lb[], MATCH($D243, regions_lb[[setting]:[setting]],0), MATCH(AA$139, regions_lb[#Headers],0)),INDEX(lmic_raw_lb[],MATCH($A243,lmic_raw_lb[[setting]:[setting]],0), MATCH(AA$139, lmic_raw_lb[#Headers],0)))</f>
        <v>6.1184327648820762</v>
      </c>
      <c r="AB243" s="94">
        <f>IF(INDEX(lmic_raw_lb[],MATCH($A243,lmic_raw_lb[[setting]:[setting]],0), MATCH(AB$139, lmic_raw_lb[#Headers],0))=0, INDEX(regions_lb[], MATCH($D243, regions_lb[[setting]:[setting]],0), MATCH(AB$139, regions_lb[#Headers],0)),INDEX(lmic_raw_lb[],MATCH($A243,lmic_raw_lb[[setting]:[setting]],0), MATCH(AB$139, lmic_raw_lb[#Headers],0)))</f>
        <v>6.1391427648820764</v>
      </c>
      <c r="AC243" s="94">
        <f>IF(INDEX(lmic_raw_lb[],MATCH($A243,lmic_raw_lb[[setting]:[setting]],0), MATCH(AC$139, lmic_raw_lb[#Headers],0))=0, INDEX(regions_lb[], MATCH($D243, regions_lb[[setting]:[setting]],0), MATCH(AC$139, regions_lb[#Headers],0)),INDEX(lmic_raw_lb[],MATCH($A243,lmic_raw_lb[[setting]:[setting]],0), MATCH(AC$139, lmic_raw_lb[#Headers],0)))</f>
        <v>1.3930353500000027E-2</v>
      </c>
      <c r="AD243" s="94">
        <f>IF(INDEX(lmic_raw_lb[],MATCH($A243,lmic_raw_lb[[setting]:[setting]],0), MATCH(AD$139, lmic_raw_lb[#Headers],0))=0, INDEX(regions_lb[], MATCH($D243, regions_lb[[setting]:[setting]],0), MATCH(AD$139, regions_lb[#Headers],0)),INDEX(lmic_raw_lb[],MATCH($A243,lmic_raw_lb[[setting]:[setting]],0), MATCH(AD$139, lmic_raw_lb[#Headers],0)))</f>
        <v>3.2320063724017295E-4</v>
      </c>
      <c r="AE243" s="94">
        <f>IF(INDEX(lmic_raw_lb[],MATCH($A243,lmic_raw_lb[[setting]:[setting]],0), MATCH(AE$139, lmic_raw_lb[#Headers],0))=0, INDEX(regions_lb[], MATCH($D243, regions_lb[[setting]:[setting]],0), MATCH(AE$139, regions_lb[#Headers],0)),INDEX(lmic_raw_lb[],MATCH($A243,lmic_raw_lb[[setting]:[setting]],0), MATCH(AE$139, lmic_raw_lb[#Headers],0)))</f>
        <v>4.0506096582264197E-4</v>
      </c>
      <c r="AF243" s="94">
        <f>IF(INDEX(lmic_raw_lb[],MATCH($A243,lmic_raw_lb[[setting]:[setting]],0), MATCH(AF$139, lmic_raw_lb[#Headers],0))=0, INDEX(regions_lb[], MATCH($D243, regions_lb[[setting]:[setting]],0), MATCH(AF$139, regions_lb[#Headers],0)),INDEX(lmic_raw_lb[],MATCH($A243,lmic_raw_lb[[setting]:[setting]],0), MATCH(AF$139, lmic_raw_lb[#Headers],0)))</f>
        <v>3.9091634587630947E-4</v>
      </c>
      <c r="AG243" s="94">
        <f>IF(INDEX(lmic_raw_lb[],MATCH($A243,lmic_raw_lb[[setting]:[setting]],0), MATCH(AG$139, lmic_raw_lb[#Headers],0))=0, INDEX(regions_lb[], MATCH($D243, regions_lb[[setting]:[setting]],0), MATCH(AG$139, regions_lb[#Headers],0)),INDEX(lmic_raw_lb[],MATCH($A243,lmic_raw_lb[[setting]:[setting]],0), MATCH(AG$139, lmic_raw_lb[#Headers],0)))</f>
        <v>9.4851317091557445E-4</v>
      </c>
      <c r="AH243" s="94">
        <f>IF(INDEX(lmic_raw_lb[],MATCH($A243,lmic_raw_lb[[setting]:[setting]],0), MATCH(AH$139, lmic_raw_lb[#Headers],0))=0, INDEX(regions_lb[], MATCH($D243, regions_lb[[setting]:[setting]],0), MATCH(AH$139, regions_lb[#Headers],0)),INDEX(lmic_raw_lb[],MATCH($A243,lmic_raw_lb[[setting]:[setting]],0), MATCH(AH$139, lmic_raw_lb[#Headers],0)))</f>
        <v>1.3345929823577742E-3</v>
      </c>
      <c r="AI243" s="94">
        <f>IF(INDEX(lmic_raw_lb[],MATCH($A243,lmic_raw_lb[[setting]:[setting]],0), MATCH(AI$139, lmic_raw_lb[#Headers],0))=0, INDEX(regions_lb[], MATCH($D243, regions_lb[[setting]:[setting]],0), MATCH(AI$139, regions_lb[#Headers],0)),INDEX(lmic_raw_lb[],MATCH($A243,lmic_raw_lb[[setting]:[setting]],0), MATCH(AI$139, lmic_raw_lb[#Headers],0)))</f>
        <v>1.4543750711417827E-3</v>
      </c>
      <c r="AJ243" s="94">
        <f>IF(INDEX(lmic_raw_lb[],MATCH($A243,lmic_raw_lb[[setting]:[setting]],0), MATCH(AJ$139, lmic_raw_lb[#Headers],0))=0, INDEX(regions_lb[], MATCH($D243, regions_lb[[setting]:[setting]],0), MATCH(AJ$139, regions_lb[#Headers],0)),INDEX(lmic_raw_lb[],MATCH($A243,lmic_raw_lb[[setting]:[setting]],0), MATCH(AJ$139, lmic_raw_lb[#Headers],0)))</f>
        <v>1.7333285494545744E-3</v>
      </c>
      <c r="AK243" s="94">
        <f>IF(INDEX(lmic_raw_lb[],MATCH($A243,lmic_raw_lb[[setting]:[setting]],0), MATCH(AK$139, lmic_raw_lb[#Headers],0))=0, INDEX(regions_lb[], MATCH($D243, regions_lb[[setting]:[setting]],0), MATCH(AK$139, regions_lb[#Headers],0)),INDEX(lmic_raw_lb[],MATCH($A243,lmic_raw_lb[[setting]:[setting]],0), MATCH(AK$139, lmic_raw_lb[#Headers],0)))</f>
        <v>2.3088212148425734E-3</v>
      </c>
      <c r="AL243" s="94">
        <f>IF(INDEX(lmic_raw_lb[],MATCH($A243,lmic_raw_lb[[setting]:[setting]],0), MATCH(AL$139, lmic_raw_lb[#Headers],0))=0, INDEX(regions_lb[], MATCH($D243, regions_lb[[setting]:[setting]],0), MATCH(AL$139, regions_lb[#Headers],0)),INDEX(lmic_raw_lb[],MATCH($A243,lmic_raw_lb[[setting]:[setting]],0), MATCH(AL$139, lmic_raw_lb[#Headers],0)))</f>
        <v>3.2980031864082754E-3</v>
      </c>
      <c r="AM243" s="94">
        <f>IF(INDEX(lmic_raw_lb[],MATCH($A243,lmic_raw_lb[[setting]:[setting]],0), MATCH(AM$139, lmic_raw_lb[#Headers],0))=0, INDEX(regions_lb[], MATCH($D243, regions_lb[[setting]:[setting]],0), MATCH(AM$139, regions_lb[#Headers],0)),INDEX(lmic_raw_lb[],MATCH($A243,lmic_raw_lb[[setting]:[setting]],0), MATCH(AM$139, lmic_raw_lb[#Headers],0)))</f>
        <v>4.9489718841505496E-3</v>
      </c>
      <c r="AN243" s="94">
        <f>IF(INDEX(lmic_raw_lb[],MATCH($A243,lmic_raw_lb[[setting]:[setting]],0), MATCH(AN$139, lmic_raw_lb[#Headers],0))=0, INDEX(regions_lb[], MATCH($D243, regions_lb[[setting]:[setting]],0), MATCH(AN$139, regions_lb[#Headers],0)),INDEX(lmic_raw_lb[],MATCH($A243,lmic_raw_lb[[setting]:[setting]],0), MATCH(AN$139, lmic_raw_lb[#Headers],0)))</f>
        <v>7.4576946251243906E-3</v>
      </c>
      <c r="AO243" s="94">
        <f>IF(INDEX(lmic_raw_lb[],MATCH($A243,lmic_raw_lb[[setting]:[setting]],0), MATCH(AO$139, lmic_raw_lb[#Headers],0))=0, INDEX(regions_lb[], MATCH($D243, regions_lb[[setting]:[setting]],0), MATCH(AO$139, regions_lb[#Headers],0)),INDEX(lmic_raw_lb[],MATCH($A243,lmic_raw_lb[[setting]:[setting]],0), MATCH(AO$139, lmic_raw_lb[#Headers],0)))</f>
        <v>1.1215775860423953E-2</v>
      </c>
      <c r="AP243" s="94">
        <f>IF(INDEX(lmic_raw_lb[],MATCH($A243,lmic_raw_lb[[setting]:[setting]],0), MATCH(AP$139, lmic_raw_lb[#Headers],0))=0, INDEX(regions_lb[], MATCH($D243, regions_lb[[setting]:[setting]],0), MATCH(AP$139, regions_lb[#Headers],0)),INDEX(lmic_raw_lb[],MATCH($A243,lmic_raw_lb[[setting]:[setting]],0), MATCH(AP$139, lmic_raw_lb[#Headers],0)))</f>
        <v>1.5765369551710609E-2</v>
      </c>
      <c r="AQ243" s="94">
        <f>IF(INDEX(lmic_raw_lb[],MATCH($A243,lmic_raw_lb[[setting]:[setting]],0), MATCH(AQ$139, lmic_raw_lb[#Headers],0))=0, INDEX(regions_lb[], MATCH($D243, regions_lb[[setting]:[setting]],0), MATCH(AQ$139, regions_lb[#Headers],0)),INDEX(lmic_raw_lb[],MATCH($A243,lmic_raw_lb[[setting]:[setting]],0), MATCH(AQ$139, lmic_raw_lb[#Headers],0)))</f>
        <v>2.2041164280965329E-2</v>
      </c>
      <c r="AR243" s="94">
        <f>IF(INDEX(lmic_raw_lb[],MATCH($A243,lmic_raw_lb[[setting]:[setting]],0), MATCH(AR$139, lmic_raw_lb[#Headers],0))=0, INDEX(regions_lb[], MATCH($D243, regions_lb[[setting]:[setting]],0), MATCH(AR$139, regions_lb[#Headers],0)),INDEX(lmic_raw_lb[],MATCH($A243,lmic_raw_lb[[setting]:[setting]],0), MATCH(AR$139, lmic_raw_lb[#Headers],0)))</f>
        <v>3.2658324718337156E-2</v>
      </c>
      <c r="AS243" s="94">
        <f>IF(INDEX(lmic_raw_lb[],MATCH($A243,lmic_raw_lb[[setting]:[setting]],0), MATCH(AS$139, lmic_raw_lb[#Headers],0))=0, INDEX(regions_lb[], MATCH($D243, regions_lb[[setting]:[setting]],0), MATCH(AS$139, regions_lb[#Headers],0)),INDEX(lmic_raw_lb[],MATCH($A243,lmic_raw_lb[[setting]:[setting]],0), MATCH(AS$139, lmic_raw_lb[#Headers],0)))</f>
        <v>5.054817324316533E-2</v>
      </c>
      <c r="AT243" s="94">
        <f>IF(INDEX(lmic_raw_lb[],MATCH($A243,lmic_raw_lb[[setting]:[setting]],0), MATCH(AT$139, lmic_raw_lb[#Headers],0))=0, INDEX(regions_lb[], MATCH($D243, regions_lb[[setting]:[setting]],0), MATCH(AT$139, regions_lb[#Headers],0)),INDEX(lmic_raw_lb[],MATCH($A243,lmic_raw_lb[[setting]:[setting]],0), MATCH(AT$139, lmic_raw_lb[#Headers],0)))</f>
        <v>7.5586077259191059E-2</v>
      </c>
      <c r="AU243" s="94">
        <f>IF(INDEX(lmic_raw_lb[],MATCH($A243,lmic_raw_lb[[setting]:[setting]],0), MATCH(AU$139, lmic_raw_lb[#Headers],0))=0, INDEX(regions_lb[], MATCH($D243, regions_lb[[setting]:[setting]],0), MATCH(AU$139, regions_lb[#Headers],0)),INDEX(lmic_raw_lb[],MATCH($A243,lmic_raw_lb[[setting]:[setting]],0), MATCH(AU$139, lmic_raw_lb[#Headers],0)))</f>
        <v>0.10646883986222942</v>
      </c>
      <c r="AV243" s="94">
        <f>IF(INDEX(lmic_raw_lb[],MATCH($A243,lmic_raw_lb[[setting]:[setting]],0), MATCH(AV$139, lmic_raw_lb[#Headers],0))=0, INDEX(regions_lb[], MATCH($D243, regions_lb[[setting]:[setting]],0), MATCH(AV$139, regions_lb[#Headers],0)),INDEX(lmic_raw_lb[],MATCH($A243,lmic_raw_lb[[setting]:[setting]],0), MATCH(AV$139, lmic_raw_lb[#Headers],0)))</f>
        <v>0.13651212381069666</v>
      </c>
      <c r="AW243" s="94">
        <f>IF(INDEX(lmic_raw_lb[],MATCH($A243,lmic_raw_lb[[setting]:[setting]],0), MATCH(AW$139, lmic_raw_lb[#Headers],0))=0, INDEX(regions_lb[], MATCH($D243, regions_lb[[setting]:[setting]],0), MATCH(AW$139, regions_lb[#Headers],0)),INDEX(lmic_raw_lb[],MATCH($A243,lmic_raw_lb[[setting]:[setting]],0), MATCH(AW$139, lmic_raw_lb[#Headers],0)))</f>
        <v>0.1603030613491834</v>
      </c>
      <c r="AX243" s="94">
        <f>IF(INDEX(lmic_raw_lb[],MATCH($A243,lmic_raw_lb[[setting]:[setting]],0), MATCH(AX$139, lmic_raw_lb[#Headers],0))=0, INDEX(regions_lb[], MATCH($D243, regions_lb[[setting]:[setting]],0), MATCH(AX$139, regions_lb[#Headers],0)),INDEX(lmic_raw_lb[],MATCH($A243,lmic_raw_lb[[setting]:[setting]],0), MATCH(AX$139, lmic_raw_lb[#Headers],0)))</f>
        <v>68.74199999999999</v>
      </c>
      <c r="AY243" s="94" t="str">
        <f>IF(VLOOKUP(lmics_lb[[#This Row],[setting]],lmic_raw_lb[],11,FALSE)=0, "Yes", "No")</f>
        <v>No</v>
      </c>
    </row>
    <row r="244" spans="1:51" x14ac:dyDescent="0.25">
      <c r="A244" s="109" t="s">
        <v>299</v>
      </c>
      <c r="B244" s="101" t="s">
        <v>504</v>
      </c>
      <c r="C244" s="102">
        <v>882</v>
      </c>
      <c r="D244" s="82" t="s">
        <v>681</v>
      </c>
      <c r="E244" s="121" t="s">
        <v>98</v>
      </c>
      <c r="F244" s="98" t="s">
        <v>666</v>
      </c>
      <c r="G244" s="98" t="s">
        <v>676</v>
      </c>
      <c r="H244" s="98"/>
      <c r="I244" s="98"/>
      <c r="J244" s="98">
        <f>IF(INDEX(lmic_raw_lb[],MATCH($A244,lmic_raw_lb[[setting]:[setting]],0), MATCH(J$139, lmic_raw_lb[#Headers],0))=0, INDEX(regions_lb[], MATCH($D244, regions_lb[[setting]:[setting]],0), MATCH(J$139, regions_lb[#Headers],0)),INDEX(lmic_raw_lb[],MATCH($A244,lmic_raw_lb[[setting]:[setting]],0), MATCH(J$139, lmic_raw_lb[#Headers],0)))</f>
        <v>0.77805000000000002</v>
      </c>
      <c r="K244" s="98">
        <f>IF(INDEX(lmic_raw_lb[],MATCH($A244,lmic_raw_lb[[setting]:[setting]],0), MATCH(K$139, lmic_raw_lb[#Headers],0))=0, INDEX(regions_lb[], MATCH($D244, regions_lb[[setting]:[setting]],0), MATCH(K$139, regions_lb[#Headers],0)),INDEX(lmic_raw_lb[],MATCH($A244,lmic_raw_lb[[setting]:[setting]],0), MATCH(K$139, lmic_raw_lb[#Headers],0)))</f>
        <v>0.61749999999999994</v>
      </c>
      <c r="L244" s="98">
        <f>IF(INDEX(lmic_raw_lb[],MATCH($A244,lmic_raw_lb[[setting]:[setting]],0), MATCH(L$139, lmic_raw_lb[#Headers],0))=0, INDEX(regions_lb[], MATCH($D244, regions_lb[[setting]:[setting]],0), MATCH(L$139, regions_lb[#Headers],0)),INDEX(lmic_raw_lb[],MATCH($A244,lmic_raw_lb[[setting]:[setting]],0), MATCH(L$139, lmic_raw_lb[#Headers],0)))</f>
        <v>0.55099999999999993</v>
      </c>
      <c r="M244" s="98">
        <f>IF(INDEX(lmic_raw_lb[],MATCH($A244,lmic_raw_lb[[setting]:[setting]],0), MATCH(M$139, lmic_raw_lb[#Headers],0))=0, INDEX(regions_lb[], MATCH($D244, regions_lb[[setting]:[setting]],0), MATCH(M$139, regions_lb[#Headers],0)),INDEX(lmic_raw_lb[],MATCH($A244,lmic_raw_lb[[setting]:[setting]],0), MATCH(M$139, lmic_raw_lb[#Headers],0)))</f>
        <v>2.0299999999999999E-2</v>
      </c>
      <c r="N244" s="98">
        <f>IF(INDEX(lmic_raw_lb[],MATCH($A244,lmic_raw_lb[[setting]:[setting]],0), MATCH(N$139, lmic_raw_lb[#Headers],0))=0, INDEX(regions_lb[], MATCH($D244, regions_lb[[setting]:[setting]],0), MATCH(N$139, regions_lb[#Headers],0)),INDEX(lmic_raw_lb[],MATCH($A244,lmic_raw_lb[[setting]:[setting]],0), MATCH(N$139, lmic_raw_lb[#Headers],0)))</f>
        <v>0.1832</v>
      </c>
      <c r="O244" s="98">
        <f>IF(INDEX(lmic_raw_lb[],MATCH($A244,lmic_raw_lb[[setting]:[setting]],0), MATCH(O$139, lmic_raw_lb[#Headers],0))=0, INDEX(regions_lb[], MATCH($D244, regions_lb[[setting]:[setting]],0), MATCH(O$139, regions_lb[#Headers],0)),INDEX(lmic_raw_lb[],MATCH($A244,lmic_raw_lb[[setting]:[setting]],0), MATCH(O$139, lmic_raw_lb[#Headers],0)))</f>
        <v>0.7</v>
      </c>
      <c r="P244" s="98">
        <f>IF(INDEX(lmic_raw_lb[],MATCH($A244,lmic_raw_lb[[setting]:[setting]],0), MATCH(P$139, lmic_raw_lb[#Headers],0))=0, INDEX(regions_lb[], MATCH($D244, regions_lb[[setting]:[setting]],0), MATCH(P$139, regions_lb[#Headers],0)),INDEX(lmic_raw_lb[],MATCH($A244,lmic_raw_lb[[setting]:[setting]],0), MATCH(P$139, lmic_raw_lb[#Headers],0)))</f>
        <v>0.05</v>
      </c>
      <c r="Q244" s="98">
        <f>IF(INDEX(lmic_raw_lb[],MATCH($A244,lmic_raw_lb[[setting]:[setting]],0), MATCH(Q$139, lmic_raw_lb[#Headers],0))=0, INDEX(regions_lb[], MATCH($D244, regions_lb[[setting]:[setting]],0), MATCH(Q$139, regions_lb[#Headers],0)),INDEX(lmic_raw_lb[],MATCH($A244,lmic_raw_lb[[setting]:[setting]],0), MATCH(Q$139, lmic_raw_lb[#Headers],0)))</f>
        <v>6.7198733438304146</v>
      </c>
      <c r="R244" s="98">
        <f>IF(INDEX(lmic_raw_lb[],MATCH($A244,lmic_raw_lb[[setting]:[setting]],0), MATCH(R$139, lmic_raw_lb[#Headers],0))=0, INDEX(regions_lb[], MATCH($D244, regions_lb[[setting]:[setting]],0), MATCH(R$139, regions_lb[#Headers],0)),INDEX(lmic_raw_lb[],MATCH($A244,lmic_raw_lb[[setting]:[setting]],0), MATCH(R$139, lmic_raw_lb[#Headers],0)))</f>
        <v>69.430275000000009</v>
      </c>
      <c r="S244" s="98">
        <f>IF(INDEX(lmic_raw_lb[],MATCH($A244,lmic_raw_lb[[setting]:[setting]],0), MATCH(S$139, lmic_raw_lb[#Headers],0))=0, INDEX(regions_lb[], MATCH($D244, regions_lb[[setting]:[setting]],0), MATCH(S$139, regions_lb[#Headers],0)),INDEX(lmic_raw_lb[],MATCH($A244,lmic_raw_lb[[setting]:[setting]],0), MATCH(S$139, lmic_raw_lb[#Headers],0)))</f>
        <v>114.785175</v>
      </c>
      <c r="T244" s="98">
        <f>IF(INDEX(lmic_raw_lb[],MATCH($A244,lmic_raw_lb[[setting]:[setting]],0), MATCH(T$139, lmic_raw_lb[#Headers],0))=0, INDEX(regions_lb[], MATCH($D244, regions_lb[[setting]:[setting]],0), MATCH(T$139, regions_lb[#Headers],0)),INDEX(lmic_raw_lb[],MATCH($A244,lmic_raw_lb[[setting]:[setting]],0), MATCH(T$139, lmic_raw_lb[#Headers],0)))</f>
        <v>114.785175</v>
      </c>
      <c r="U244" s="98">
        <f>IF(INDEX(lmic_raw_lb[],MATCH($A244,lmic_raw_lb[[setting]:[setting]],0), MATCH(U$139, lmic_raw_lb[#Headers],0))=0, INDEX(regions_lb[], MATCH($D244, regions_lb[[setting]:[setting]],0), MATCH(U$139, regions_lb[#Headers],0)),INDEX(lmic_raw_lb[],MATCH($A244,lmic_raw_lb[[setting]:[setting]],0), MATCH(U$139, lmic_raw_lb[#Headers],0)))</f>
        <v>114.785175</v>
      </c>
      <c r="V244" s="98">
        <f>IF(INDEX(lmic_raw_lb[],MATCH($A244,lmic_raw_lb[[setting]:[setting]],0), MATCH(V$139, lmic_raw_lb[#Headers],0))=0, INDEX(regions_lb[], MATCH($D244, regions_lb[[setting]:[setting]],0), MATCH(V$139, regions_lb[#Headers],0)),INDEX(lmic_raw_lb[],MATCH($A244,lmic_raw_lb[[setting]:[setting]],0), MATCH(V$139, lmic_raw_lb[#Headers],0)))</f>
        <v>0.57054548278922346</v>
      </c>
      <c r="W244" s="98">
        <f>IF(INDEX(lmic_raw_lb[],MATCH($A244,lmic_raw_lb[[setting]:[setting]],0), MATCH(W$139, lmic_raw_lb[#Headers],0))=0, INDEX(regions_lb[], MATCH($D244, regions_lb[[setting]:[setting]],0), MATCH(W$139, regions_lb[#Headers],0)),INDEX(lmic_raw_lb[],MATCH($A244,lmic_raw_lb[[setting]:[setting]],0), MATCH(W$139, lmic_raw_lb[#Headers],0)))</f>
        <v>1.1711354827892233</v>
      </c>
      <c r="X244" s="98">
        <f>IF(INDEX(lmic_raw_lb[],MATCH($A244,lmic_raw_lb[[setting]:[setting]],0), MATCH(X$139, lmic_raw_lb[#Headers],0))=0, INDEX(regions_lb[], MATCH($D244, regions_lb[[setting]:[setting]],0), MATCH(X$139, regions_lb[#Headers],0)),INDEX(lmic_raw_lb[],MATCH($A244,lmic_raw_lb[[setting]:[setting]],0), MATCH(X$139, lmic_raw_lb[#Headers],0)))</f>
        <v>0.20324322921298574</v>
      </c>
      <c r="Y244" s="98">
        <f>IF(INDEX(lmic_raw_lb[],MATCH($A244,lmic_raw_lb[[setting]:[setting]],0), MATCH(Y$139, lmic_raw_lb[#Headers],0))=0, INDEX(regions_lb[], MATCH($D244, regions_lb[[setting]:[setting]],0), MATCH(Y$139, regions_lb[#Headers],0)),INDEX(lmic_raw_lb[],MATCH($A244,lmic_raw_lb[[setting]:[setting]],0), MATCH(Y$139, lmic_raw_lb[#Headers],0)))</f>
        <v>0.80383322921298572</v>
      </c>
      <c r="Z244" s="98">
        <f>IF(INDEX(lmic_raw_lb[],MATCH($A244,lmic_raw_lb[[setting]:[setting]],0), MATCH(Z$139, lmic_raw_lb[#Headers],0))=0, INDEX(regions_lb[], MATCH($D244, regions_lb[[setting]:[setting]],0), MATCH(Z$139, regions_lb[#Headers],0)),INDEX(lmic_raw_lb[],MATCH($A244,lmic_raw_lb[[setting]:[setting]],0), MATCH(Z$139, lmic_raw_lb[#Headers],0)))</f>
        <v>0.80062735974068355</v>
      </c>
      <c r="AA244" s="98">
        <f>IF(INDEX(lmic_raw_lb[],MATCH($A244,lmic_raw_lb[[setting]:[setting]],0), MATCH(AA$139, lmic_raw_lb[#Headers],0))=0, INDEX(regions_lb[], MATCH($D244, regions_lb[[setting]:[setting]],0), MATCH(AA$139, regions_lb[#Headers],0)),INDEX(lmic_raw_lb[],MATCH($A244,lmic_raw_lb[[setting]:[setting]],0), MATCH(AA$139, lmic_raw_lb[#Headers],0)))</f>
        <v>0.78260226598610894</v>
      </c>
      <c r="AB244" s="98">
        <f>IF(INDEX(lmic_raw_lb[],MATCH($A244,lmic_raw_lb[[setting]:[setting]],0), MATCH(AB$139, lmic_raw_lb[#Headers],0))=0, INDEX(regions_lb[], MATCH($D244, regions_lb[[setting]:[setting]],0), MATCH(AB$139, regions_lb[#Headers],0)),INDEX(lmic_raw_lb[],MATCH($A244,lmic_raw_lb[[setting]:[setting]],0), MATCH(AB$139, lmic_raw_lb[#Headers],0)))</f>
        <v>1.3831922659861089</v>
      </c>
      <c r="AC244" s="98">
        <f>IF(INDEX(lmic_raw_lb[],MATCH($A244,lmic_raw_lb[[setting]:[setting]],0), MATCH(AC$139, lmic_raw_lb[#Headers],0))=0, INDEX(regions_lb[], MATCH($D244, regions_lb[[setting]:[setting]],0), MATCH(AC$139, regions_lb[#Headers],0)),INDEX(lmic_raw_lb[],MATCH($A244,lmic_raw_lb[[setting]:[setting]],0), MATCH(AC$139, lmic_raw_lb[#Headers],0)))</f>
        <v>1.2779323999999957E-2</v>
      </c>
      <c r="AD244" s="98">
        <f>IF(INDEX(lmic_raw_lb[],MATCH($A244,lmic_raw_lb[[setting]:[setting]],0), MATCH(AD$139, lmic_raw_lb[#Headers],0))=0, INDEX(regions_lb[], MATCH($D244, regions_lb[[setting]:[setting]],0), MATCH(AD$139, regions_lb[#Headers],0)),INDEX(lmic_raw_lb[],MATCH($A244,lmic_raw_lb[[setting]:[setting]],0), MATCH(AD$139, lmic_raw_lb[#Headers],0)))</f>
        <v>6.5789951159805524E-4</v>
      </c>
      <c r="AE244" s="98">
        <f>IF(INDEX(lmic_raw_lb[],MATCH($A244,lmic_raw_lb[[setting]:[setting]],0), MATCH(AE$139, lmic_raw_lb[#Headers],0))=0, INDEX(regions_lb[], MATCH($D244, regions_lb[[setting]:[setting]],0), MATCH(AE$139, regions_lb[#Headers],0)),INDEX(lmic_raw_lb[],MATCH($A244,lmic_raw_lb[[setting]:[setting]],0), MATCH(AE$139, lmic_raw_lb[#Headers],0)))</f>
        <v>2.5908584217501868E-4</v>
      </c>
      <c r="AF244" s="98">
        <f>IF(INDEX(lmic_raw_lb[],MATCH($A244,lmic_raw_lb[[setting]:[setting]],0), MATCH(AF$139, lmic_raw_lb[#Headers],0))=0, INDEX(regions_lb[], MATCH($D244, regions_lb[[setting]:[setting]],0), MATCH(AF$139, regions_lb[#Headers],0)),INDEX(lmic_raw_lb[],MATCH($A244,lmic_raw_lb[[setting]:[setting]],0), MATCH(AF$139, lmic_raw_lb[#Headers],0)))</f>
        <v>2.3623869015525274E-4</v>
      </c>
      <c r="AG244" s="98">
        <f>IF(INDEX(lmic_raw_lb[],MATCH($A244,lmic_raw_lb[[setting]:[setting]],0), MATCH(AG$139, lmic_raw_lb[#Headers],0))=0, INDEX(regions_lb[], MATCH($D244, regions_lb[[setting]:[setting]],0), MATCH(AG$139, regions_lb[#Headers],0)),INDEX(lmic_raw_lb[],MATCH($A244,lmic_raw_lb[[setting]:[setting]],0), MATCH(AG$139, lmic_raw_lb[#Headers],0)))</f>
        <v>5.475066841383675E-4</v>
      </c>
      <c r="AH244" s="98">
        <f>IF(INDEX(lmic_raw_lb[],MATCH($A244,lmic_raw_lb[[setting]:[setting]],0), MATCH(AH$139, lmic_raw_lb[#Headers],0))=0, INDEX(regions_lb[], MATCH($D244, regions_lb[[setting]:[setting]],0), MATCH(AH$139, regions_lb[#Headers],0)),INDEX(lmic_raw_lb[],MATCH($A244,lmic_raw_lb[[setting]:[setting]],0), MATCH(AH$139, lmic_raw_lb[#Headers],0)))</f>
        <v>7.1139272528874435E-4</v>
      </c>
      <c r="AI244" s="98">
        <f>IF(INDEX(lmic_raw_lb[],MATCH($A244,lmic_raw_lb[[setting]:[setting]],0), MATCH(AI$139, lmic_raw_lb[#Headers],0))=0, INDEX(regions_lb[], MATCH($D244, regions_lb[[setting]:[setting]],0), MATCH(AI$139, regions_lb[#Headers],0)),INDEX(lmic_raw_lb[],MATCH($A244,lmic_raw_lb[[setting]:[setting]],0), MATCH(AI$139, lmic_raw_lb[#Headers],0)))</f>
        <v>7.2809467221792118E-4</v>
      </c>
      <c r="AJ244" s="98">
        <f>IF(INDEX(lmic_raw_lb[],MATCH($A244,lmic_raw_lb[[setting]:[setting]],0), MATCH(AJ$139, lmic_raw_lb[#Headers],0))=0, INDEX(regions_lb[], MATCH($D244, regions_lb[[setting]:[setting]],0), MATCH(AJ$139, regions_lb[#Headers],0)),INDEX(lmic_raw_lb[],MATCH($A244,lmic_raw_lb[[setting]:[setting]],0), MATCH(AJ$139, lmic_raw_lb[#Headers],0)))</f>
        <v>8.7221771936664763E-4</v>
      </c>
      <c r="AK244" s="98">
        <f>IF(INDEX(lmic_raw_lb[],MATCH($A244,lmic_raw_lb[[setting]:[setting]],0), MATCH(AK$139, lmic_raw_lb[#Headers],0))=0, INDEX(regions_lb[], MATCH($D244, regions_lb[[setting]:[setting]],0), MATCH(AK$139, regions_lb[#Headers],0)),INDEX(lmic_raw_lb[],MATCH($A244,lmic_raw_lb[[setting]:[setting]],0), MATCH(AK$139, lmic_raw_lb[#Headers],0)))</f>
        <v>1.2214103716925583E-3</v>
      </c>
      <c r="AL244" s="98">
        <f>IF(INDEX(lmic_raw_lb[],MATCH($A244,lmic_raw_lb[[setting]:[setting]],0), MATCH(AL$139, lmic_raw_lb[#Headers],0))=0, INDEX(regions_lb[], MATCH($D244, regions_lb[[setting]:[setting]],0), MATCH(AL$139, regions_lb[#Headers],0)),INDEX(lmic_raw_lb[],MATCH($A244,lmic_raw_lb[[setting]:[setting]],0), MATCH(AL$139, lmic_raw_lb[#Headers],0)))</f>
        <v>1.8824619180777301E-3</v>
      </c>
      <c r="AM244" s="98">
        <f>IF(INDEX(lmic_raw_lb[],MATCH($A244,lmic_raw_lb[[setting]:[setting]],0), MATCH(AM$139, lmic_raw_lb[#Headers],0))=0, INDEX(regions_lb[], MATCH($D244, regions_lb[[setting]:[setting]],0), MATCH(AM$139, regions_lb[#Headers],0)),INDEX(lmic_raw_lb[],MATCH($A244,lmic_raw_lb[[setting]:[setting]],0), MATCH(AM$139, lmic_raw_lb[#Headers],0)))</f>
        <v>3.1017203404165735E-3</v>
      </c>
      <c r="AN244" s="98">
        <f>IF(INDEX(lmic_raw_lb[],MATCH($A244,lmic_raw_lb[[setting]:[setting]],0), MATCH(AN$139, lmic_raw_lb[#Headers],0))=0, INDEX(regions_lb[], MATCH($D244, regions_lb[[setting]:[setting]],0), MATCH(AN$139, regions_lb[#Headers],0)),INDEX(lmic_raw_lb[],MATCH($A244,lmic_raw_lb[[setting]:[setting]],0), MATCH(AN$139, lmic_raw_lb[#Headers],0)))</f>
        <v>5.0530080478240888E-3</v>
      </c>
      <c r="AO244" s="98">
        <f>IF(INDEX(lmic_raw_lb[],MATCH($A244,lmic_raw_lb[[setting]:[setting]],0), MATCH(AO$139, lmic_raw_lb[#Headers],0))=0, INDEX(regions_lb[], MATCH($D244, regions_lb[[setting]:[setting]],0), MATCH(AO$139, regions_lb[#Headers],0)),INDEX(lmic_raw_lb[],MATCH($A244,lmic_raw_lb[[setting]:[setting]],0), MATCH(AO$139, lmic_raw_lb[#Headers],0)))</f>
        <v>8.1733635450045063E-3</v>
      </c>
      <c r="AP244" s="98">
        <f>IF(INDEX(lmic_raw_lb[],MATCH($A244,lmic_raw_lb[[setting]:[setting]],0), MATCH(AP$139, lmic_raw_lb[#Headers],0))=0, INDEX(regions_lb[], MATCH($D244, regions_lb[[setting]:[setting]],0), MATCH(AP$139, regions_lb[#Headers],0)),INDEX(lmic_raw_lb[],MATCH($A244,lmic_raw_lb[[setting]:[setting]],0), MATCH(AP$139, lmic_raw_lb[#Headers],0)))</f>
        <v>1.4454348073574555E-2</v>
      </c>
      <c r="AQ244" s="98">
        <f>IF(INDEX(lmic_raw_lb[],MATCH($A244,lmic_raw_lb[[setting]:[setting]],0), MATCH(AQ$139, lmic_raw_lb[#Headers],0))=0, INDEX(regions_lb[], MATCH($D244, regions_lb[[setting]:[setting]],0), MATCH(AQ$139, regions_lb[#Headers],0)),INDEX(lmic_raw_lb[],MATCH($A244,lmic_raw_lb[[setting]:[setting]],0), MATCH(AQ$139, lmic_raw_lb[#Headers],0)))</f>
        <v>2.5142267939398732E-2</v>
      </c>
      <c r="AR244" s="98">
        <f>IF(INDEX(lmic_raw_lb[],MATCH($A244,lmic_raw_lb[[setting]:[setting]],0), MATCH(AR$139, lmic_raw_lb[#Headers],0))=0, INDEX(regions_lb[], MATCH($D244, regions_lb[[setting]:[setting]],0), MATCH(AR$139, regions_lb[#Headers],0)),INDEX(lmic_raw_lb[],MATCH($A244,lmic_raw_lb[[setting]:[setting]],0), MATCH(AR$139, lmic_raw_lb[#Headers],0)))</f>
        <v>4.1119770986842885E-2</v>
      </c>
      <c r="AS244" s="98">
        <f>IF(INDEX(lmic_raw_lb[],MATCH($A244,lmic_raw_lb[[setting]:[setting]],0), MATCH(AS$139, lmic_raw_lb[#Headers],0))=0, INDEX(regions_lb[], MATCH($D244, regions_lb[[setting]:[setting]],0), MATCH(AS$139, regions_lb[#Headers],0)),INDEX(lmic_raw_lb[],MATCH($A244,lmic_raw_lb[[setting]:[setting]],0), MATCH(AS$139, lmic_raw_lb[#Headers],0)))</f>
        <v>6.4138636574876701E-2</v>
      </c>
      <c r="AT244" s="98">
        <f>IF(INDEX(lmic_raw_lb[],MATCH($A244,lmic_raw_lb[[setting]:[setting]],0), MATCH(AT$139, lmic_raw_lb[#Headers],0))=0, INDEX(regions_lb[], MATCH($D244, regions_lb[[setting]:[setting]],0), MATCH(AT$139, regions_lb[#Headers],0)),INDEX(lmic_raw_lb[],MATCH($A244,lmic_raw_lb[[setting]:[setting]],0), MATCH(AT$139, lmic_raw_lb[#Headers],0)))</f>
        <v>9.468814126898327E-2</v>
      </c>
      <c r="AU244" s="98">
        <f>IF(INDEX(lmic_raw_lb[],MATCH($A244,lmic_raw_lb[[setting]:[setting]],0), MATCH(AU$139, lmic_raw_lb[#Headers],0))=0, INDEX(regions_lb[], MATCH($D244, regions_lb[[setting]:[setting]],0), MATCH(AU$139, regions_lb[#Headers],0)),INDEX(lmic_raw_lb[],MATCH($A244,lmic_raw_lb[[setting]:[setting]],0), MATCH(AU$139, lmic_raw_lb[#Headers],0)))</f>
        <v>0.12910209731173222</v>
      </c>
      <c r="AV244" s="98">
        <f>IF(INDEX(lmic_raw_lb[],MATCH($A244,lmic_raw_lb[[setting]:[setting]],0), MATCH(AV$139, lmic_raw_lb[#Headers],0))=0, INDEX(regions_lb[], MATCH($D244, regions_lb[[setting]:[setting]],0), MATCH(AV$139, regions_lb[#Headers],0)),INDEX(lmic_raw_lb[],MATCH($A244,lmic_raw_lb[[setting]:[setting]],0), MATCH(AV$139, lmic_raw_lb[#Headers],0)))</f>
        <v>0.15775080143590883</v>
      </c>
      <c r="AW244" s="98">
        <f>IF(INDEX(lmic_raw_lb[],MATCH($A244,lmic_raw_lb[[setting]:[setting]],0), MATCH(AW$139, lmic_raw_lb[#Headers],0))=0, INDEX(regions_lb[], MATCH($D244, regions_lb[[setting]:[setting]],0), MATCH(AW$139, regions_lb[#Headers],0)),INDEX(lmic_raw_lb[],MATCH($A244,lmic_raw_lb[[setting]:[setting]],0), MATCH(AW$139, lmic_raw_lb[#Headers],0)))</f>
        <v>0.1748887648043303</v>
      </c>
      <c r="AX244" s="98">
        <f>IF(INDEX(lmic_raw_lb[],MATCH($A244,lmic_raw_lb[[setting]:[setting]],0), MATCH(AX$139, lmic_raw_lb[#Headers],0))=0, INDEX(regions_lb[], MATCH($D244, regions_lb[[setting]:[setting]],0), MATCH(AX$139, regions_lb[#Headers],0)),INDEX(lmic_raw_lb[],MATCH($A244,lmic_raw_lb[[setting]:[setting]],0), MATCH(AX$139, lmic_raw_lb[#Headers],0)))</f>
        <v>69.455449999999999</v>
      </c>
      <c r="AY244" s="98" t="str">
        <f>IF(VLOOKUP(lmics_lb[[#This Row],[setting]],lmic_raw_lb[],11,FALSE)=0, "Yes", "No")</f>
        <v>No</v>
      </c>
    </row>
    <row r="245" spans="1:51" x14ac:dyDescent="0.25">
      <c r="A245" s="110" t="s">
        <v>684</v>
      </c>
      <c r="B245" s="104" t="s">
        <v>505</v>
      </c>
      <c r="C245" s="105">
        <v>678</v>
      </c>
      <c r="D245" s="84" t="s">
        <v>677</v>
      </c>
      <c r="E245" s="122" t="s">
        <v>591</v>
      </c>
      <c r="F245" s="94" t="s">
        <v>667</v>
      </c>
      <c r="G245" s="94" t="s">
        <v>678</v>
      </c>
      <c r="H245" s="94"/>
      <c r="I245" s="94"/>
      <c r="J245" s="94">
        <f>IF(INDEX(lmic_raw_lb[],MATCH($A245,lmic_raw_lb[[setting]:[setting]],0), MATCH(J$139, lmic_raw_lb[#Headers],0))=0, INDEX(regions_lb[], MATCH($D245, regions_lb[[setting]:[setting]],0), MATCH(J$139, regions_lb[#Headers],0)),INDEX(lmic_raw_lb[],MATCH($A245,lmic_raw_lb[[setting]:[setting]],0), MATCH(J$139, lmic_raw_lb[#Headers],0)))</f>
        <v>0.86449999999999994</v>
      </c>
      <c r="K245" s="94">
        <f>IF(INDEX(lmic_raw_lb[],MATCH($A245,lmic_raw_lb[[setting]:[setting]],0), MATCH(K$139, lmic_raw_lb[#Headers],0))=0, INDEX(regions_lb[], MATCH($D245, regions_lb[[setting]:[setting]],0), MATCH(K$139, regions_lb[#Headers],0)),INDEX(lmic_raw_lb[],MATCH($A245,lmic_raw_lb[[setting]:[setting]],0), MATCH(K$139, lmic_raw_lb[#Headers],0)))</f>
        <v>0.90249999999999997</v>
      </c>
      <c r="L245" s="94">
        <f>IF(INDEX(lmic_raw_lb[],MATCH($A245,lmic_raw_lb[[setting]:[setting]],0), MATCH(L$139, lmic_raw_lb[#Headers],0))=0, INDEX(regions_lb[], MATCH($D245, regions_lb[[setting]:[setting]],0), MATCH(L$139, regions_lb[#Headers],0)),INDEX(lmic_raw_lb[],MATCH($A245,lmic_raw_lb[[setting]:[setting]],0), MATCH(L$139, lmic_raw_lb[#Headers],0)))</f>
        <v>0.90249999999999997</v>
      </c>
      <c r="M245" s="94">
        <f>IF(INDEX(lmic_raw_lb[],MATCH($A245,lmic_raw_lb[[setting]:[setting]],0), MATCH(M$139, lmic_raw_lb[#Headers],0))=0, INDEX(regions_lb[], MATCH($D245, regions_lb[[setting]:[setting]],0), MATCH(M$139, regions_lb[#Headers],0)),INDEX(lmic_raw_lb[],MATCH($A245,lmic_raw_lb[[setting]:[setting]],0), MATCH(M$139, lmic_raw_lb[#Headers],0)))</f>
        <v>2.8999999999999998E-3</v>
      </c>
      <c r="N245" s="94">
        <f>IF(INDEX(lmic_raw_lb[],MATCH($A245,lmic_raw_lb[[setting]:[setting]],0), MATCH(N$139, lmic_raw_lb[#Headers],0))=0, INDEX(regions_lb[], MATCH($D245, regions_lb[[setting]:[setting]],0), MATCH(N$139, regions_lb[#Headers],0)),INDEX(lmic_raw_lb[],MATCH($A245,lmic_raw_lb[[setting]:[setting]],0), MATCH(N$139, lmic_raw_lb[#Headers],0)))</f>
        <v>0.15289671770506069</v>
      </c>
      <c r="O245" s="94">
        <f>IF(INDEX(lmic_raw_lb[],MATCH($A245,lmic_raw_lb[[setting]:[setting]],0), MATCH(O$139, lmic_raw_lb[#Headers],0))=0, INDEX(regions_lb[], MATCH($D245, regions_lb[[setting]:[setting]],0), MATCH(O$139, regions_lb[#Headers],0)),INDEX(lmic_raw_lb[],MATCH($A245,lmic_raw_lb[[setting]:[setting]],0), MATCH(O$139, lmic_raw_lb[#Headers],0)))</f>
        <v>7.0000000000000007E-2</v>
      </c>
      <c r="P245" s="94">
        <f>IF(INDEX(lmic_raw_lb[],MATCH($A245,lmic_raw_lb[[setting]:[setting]],0), MATCH(P$139, lmic_raw_lb[#Headers],0))=0, INDEX(regions_lb[], MATCH($D245, regions_lb[[setting]:[setting]],0), MATCH(P$139, regions_lb[#Headers],0)),INDEX(lmic_raw_lb[],MATCH($A245,lmic_raw_lb[[setting]:[setting]],0), MATCH(P$139, lmic_raw_lb[#Headers],0)))</f>
        <v>1E-3</v>
      </c>
      <c r="Q245" s="94">
        <f>IF(INDEX(lmic_raw_lb[],MATCH($A245,lmic_raw_lb[[setting]:[setting]],0), MATCH(Q$139, lmic_raw_lb[#Headers],0))=0, INDEX(regions_lb[], MATCH($D245, regions_lb[[setting]:[setting]],0), MATCH(Q$139, regions_lb[#Headers],0)),INDEX(lmic_raw_lb[],MATCH($A245,lmic_raw_lb[[setting]:[setting]],0), MATCH(Q$139, lmic_raw_lb[#Headers],0)))</f>
        <v>3.2469892676816046</v>
      </c>
      <c r="R245" s="94">
        <f>IF(INDEX(lmic_raw_lb[],MATCH($A245,lmic_raw_lb[[setting]:[setting]],0), MATCH(R$139, lmic_raw_lb[#Headers],0))=0, INDEX(regions_lb[], MATCH($D245, regions_lb[[setting]:[setting]],0), MATCH(R$139, regions_lb[#Headers],0)),INDEX(lmic_raw_lb[],MATCH($A245,lmic_raw_lb[[setting]:[setting]],0), MATCH(R$139, lmic_raw_lb[#Headers],0)))</f>
        <v>28.424474999999997</v>
      </c>
      <c r="S245" s="94">
        <f>IF(INDEX(lmic_raw_lb[],MATCH($A245,lmic_raw_lb[[setting]:[setting]],0), MATCH(S$139, lmic_raw_lb[#Headers],0))=0, INDEX(regions_lb[], MATCH($D245, regions_lb[[setting]:[setting]],0), MATCH(S$139, regions_lb[#Headers],0)),INDEX(lmic_raw_lb[],MATCH($A245,lmic_raw_lb[[setting]:[setting]],0), MATCH(S$139, lmic_raw_lb[#Headers],0)))</f>
        <v>73.779375000000002</v>
      </c>
      <c r="T245" s="94">
        <f>IF(INDEX(lmic_raw_lb[],MATCH($A245,lmic_raw_lb[[setting]:[setting]],0), MATCH(T$139, lmic_raw_lb[#Headers],0))=0, INDEX(regions_lb[], MATCH($D245, regions_lb[[setting]:[setting]],0), MATCH(T$139, regions_lb[#Headers],0)),INDEX(lmic_raw_lb[],MATCH($A245,lmic_raw_lb[[setting]:[setting]],0), MATCH(T$139, lmic_raw_lb[#Headers],0)))</f>
        <v>73.779375000000002</v>
      </c>
      <c r="U245" s="94">
        <f>IF(INDEX(lmic_raw_lb[],MATCH($A245,lmic_raw_lb[[setting]:[setting]],0), MATCH(U$139, lmic_raw_lb[#Headers],0))=0, INDEX(regions_lb[], MATCH($D245, regions_lb[[setting]:[setting]],0), MATCH(U$139, regions_lb[#Headers],0)),INDEX(lmic_raw_lb[],MATCH($A245,lmic_raw_lb[[setting]:[setting]],0), MATCH(U$139, lmic_raw_lb[#Headers],0)))</f>
        <v>73.779375000000002</v>
      </c>
      <c r="V245" s="94">
        <f>IF(INDEX(lmic_raw_lb[],MATCH($A245,lmic_raw_lb[[setting]:[setting]],0), MATCH(V$139, lmic_raw_lb[#Headers],0))=0, INDEX(regions_lb[], MATCH($D245, regions_lb[[setting]:[setting]],0), MATCH(V$139, regions_lb[#Headers],0)),INDEX(lmic_raw_lb[],MATCH($A245,lmic_raw_lb[[setting]:[setting]],0), MATCH(V$139, lmic_raw_lb[#Headers],0)))</f>
        <v>3.6379081661852326</v>
      </c>
      <c r="W245" s="94">
        <f>IF(INDEX(lmic_raw_lb[],MATCH($A245,lmic_raw_lb[[setting]:[setting]],0), MATCH(W$139, lmic_raw_lb[#Headers],0))=0, INDEX(regions_lb[], MATCH($D245, regions_lb[[setting]:[setting]],0), MATCH(W$139, regions_lb[#Headers],0)),INDEX(lmic_raw_lb[],MATCH($A245,lmic_raw_lb[[setting]:[setting]],0), MATCH(W$139, lmic_raw_lb[#Headers],0)))</f>
        <v>8.2251731661852325</v>
      </c>
      <c r="X245" s="94">
        <f>IF(INDEX(lmic_raw_lb[],MATCH($A245,lmic_raw_lb[[setting]:[setting]],0), MATCH(X$139, lmic_raw_lb[#Headers],0))=0, INDEX(regions_lb[], MATCH($D245, regions_lb[[setting]:[setting]],0), MATCH(X$139, regions_lb[#Headers],0)),INDEX(lmic_raw_lb[],MATCH($A245,lmic_raw_lb[[setting]:[setting]],0), MATCH(X$139, lmic_raw_lb[#Headers],0)))</f>
        <v>3.2714448076812266</v>
      </c>
      <c r="Y245" s="94">
        <f>IF(INDEX(lmic_raw_lb[],MATCH($A245,lmic_raw_lb[[setting]:[setting]],0), MATCH(Y$139, lmic_raw_lb[#Headers],0))=0, INDEX(regions_lb[], MATCH($D245, regions_lb[[setting]:[setting]],0), MATCH(Y$139, regions_lb[#Headers],0)),INDEX(lmic_raw_lb[],MATCH($A245,lmic_raw_lb[[setting]:[setting]],0), MATCH(Y$139, lmic_raw_lb[#Headers],0)))</f>
        <v>7.858709807681227</v>
      </c>
      <c r="Z245" s="94">
        <f>IF(INDEX(lmic_raw_lb[],MATCH($A245,lmic_raw_lb[[setting]:[setting]],0), MATCH(Z$139, lmic_raw_lb[#Headers],0))=0, INDEX(regions_lb[], MATCH($D245, regions_lb[[setting]:[setting]],0), MATCH(Z$139, regions_lb[#Headers],0)),INDEX(lmic_raw_lb[],MATCH($A245,lmic_raw_lb[[setting]:[setting]],0), MATCH(Z$139, lmic_raw_lb[#Headers],0)))</f>
        <v>7.8559698955809276</v>
      </c>
      <c r="AA245" s="94">
        <f>IF(INDEX(lmic_raw_lb[],MATCH($A245,lmic_raw_lb[[setting]:[setting]],0), MATCH(AA$139, lmic_raw_lb[#Headers],0))=0, INDEX(regions_lb[], MATCH($D245, regions_lb[[setting]:[setting]],0), MATCH(AA$139, regions_lb[#Headers],0)),INDEX(lmic_raw_lb[],MATCH($A245,lmic_raw_lb[[setting]:[setting]],0), MATCH(AA$139, lmic_raw_lb[#Headers],0)))</f>
        <v>3.8496054229225902</v>
      </c>
      <c r="AB245" s="94">
        <f>IF(INDEX(lmic_raw_lb[],MATCH($A245,lmic_raw_lb[[setting]:[setting]],0), MATCH(AB$139, lmic_raw_lb[#Headers],0))=0, INDEX(regions_lb[], MATCH($D245, regions_lb[[setting]:[setting]],0), MATCH(AB$139, regions_lb[#Headers],0)),INDEX(lmic_raw_lb[],MATCH($A245,lmic_raw_lb[[setting]:[setting]],0), MATCH(AB$139, lmic_raw_lb[#Headers],0)))</f>
        <v>8.4368704229225902</v>
      </c>
      <c r="AC245" s="94">
        <f>IF(INDEX(lmic_raw_lb[],MATCH($A245,lmic_raw_lb[[setting]:[setting]],0), MATCH(AC$139, lmic_raw_lb[#Headers],0))=0, INDEX(regions_lb[], MATCH($D245, regions_lb[[setting]:[setting]],0), MATCH(AC$139, regions_lb[#Headers],0)),INDEX(lmic_raw_lb[],MATCH($A245,lmic_raw_lb[[setting]:[setting]],0), MATCH(AC$139, lmic_raw_lb[#Headers],0)))</f>
        <v>2.5110352500000065E-2</v>
      </c>
      <c r="AD245" s="94">
        <f>IF(INDEX(lmic_raw_lb[],MATCH($A245,lmic_raw_lb[[setting]:[setting]],0), MATCH(AD$139, lmic_raw_lb[#Headers],0))=0, INDEX(regions_lb[], MATCH($D245, regions_lb[[setting]:[setting]],0), MATCH(AD$139, regions_lb[#Headers],0)),INDEX(lmic_raw_lb[],MATCH($A245,lmic_raw_lb[[setting]:[setting]],0), MATCH(AD$139, lmic_raw_lb[#Headers],0)))</f>
        <v>1.4439234627717785E-3</v>
      </c>
      <c r="AE245" s="94">
        <f>IF(INDEX(lmic_raw_lb[],MATCH($A245,lmic_raw_lb[[setting]:[setting]],0), MATCH(AE$139, lmic_raw_lb[#Headers],0))=0, INDEX(regions_lb[], MATCH($D245, regions_lb[[setting]:[setting]],0), MATCH(AE$139, regions_lb[#Headers],0)),INDEX(lmic_raw_lb[],MATCH($A245,lmic_raw_lb[[setting]:[setting]],0), MATCH(AE$139, lmic_raw_lb[#Headers],0)))</f>
        <v>5.6234477650044662E-4</v>
      </c>
      <c r="AF245" s="94">
        <f>IF(INDEX(lmic_raw_lb[],MATCH($A245,lmic_raw_lb[[setting]:[setting]],0), MATCH(AF$139, lmic_raw_lb[#Headers],0))=0, INDEX(regions_lb[], MATCH($D245, regions_lb[[setting]:[setting]],0), MATCH(AF$139, regions_lb[#Headers],0)),INDEX(lmic_raw_lb[],MATCH($A245,lmic_raw_lb[[setting]:[setting]],0), MATCH(AF$139, lmic_raw_lb[#Headers],0)))</f>
        <v>4.692351647093728E-4</v>
      </c>
      <c r="AG245" s="94">
        <f>IF(INDEX(lmic_raw_lb[],MATCH($A245,lmic_raw_lb[[setting]:[setting]],0), MATCH(AG$139, lmic_raw_lb[#Headers],0))=0, INDEX(regions_lb[], MATCH($D245, regions_lb[[setting]:[setting]],0), MATCH(AG$139, regions_lb[#Headers],0)),INDEX(lmic_raw_lb[],MATCH($A245,lmic_raw_lb[[setting]:[setting]],0), MATCH(AG$139, lmic_raw_lb[#Headers],0)))</f>
        <v>9.2174051266413553E-4</v>
      </c>
      <c r="AH245" s="94">
        <f>IF(INDEX(lmic_raw_lb[],MATCH($A245,lmic_raw_lb[[setting]:[setting]],0), MATCH(AH$139, lmic_raw_lb[#Headers],0))=0, INDEX(regions_lb[], MATCH($D245, regions_lb[[setting]:[setting]],0), MATCH(AH$139, regions_lb[#Headers],0)),INDEX(lmic_raw_lb[],MATCH($A245,lmic_raw_lb[[setting]:[setting]],0), MATCH(AH$139, lmic_raw_lb[#Headers],0)))</f>
        <v>1.208865137908143E-3</v>
      </c>
      <c r="AI245" s="94">
        <f>IF(INDEX(lmic_raw_lb[],MATCH($A245,lmic_raw_lb[[setting]:[setting]],0), MATCH(AI$139, lmic_raw_lb[#Headers],0))=0, INDEX(regions_lb[], MATCH($D245, regions_lb[[setting]:[setting]],0), MATCH(AI$139, regions_lb[#Headers],0)),INDEX(lmic_raw_lb[],MATCH($A245,lmic_raw_lb[[setting]:[setting]],0), MATCH(AI$139, lmic_raw_lb[#Headers],0)))</f>
        <v>1.2815416274737869E-3</v>
      </c>
      <c r="AJ245" s="94">
        <f>IF(INDEX(lmic_raw_lb[],MATCH($A245,lmic_raw_lb[[setting]:[setting]],0), MATCH(AJ$139, lmic_raw_lb[#Headers],0))=0, INDEX(regions_lb[], MATCH($D245, regions_lb[[setting]:[setting]],0), MATCH(AJ$139, regions_lb[#Headers],0)),INDEX(lmic_raw_lb[],MATCH($A245,lmic_raw_lb[[setting]:[setting]],0), MATCH(AJ$139, lmic_raw_lb[#Headers],0)))</f>
        <v>1.5265951754681749E-3</v>
      </c>
      <c r="AK245" s="94">
        <f>IF(INDEX(lmic_raw_lb[],MATCH($A245,lmic_raw_lb[[setting]:[setting]],0), MATCH(AK$139, lmic_raw_lb[#Headers],0))=0, INDEX(regions_lb[], MATCH($D245, regions_lb[[setting]:[setting]],0), MATCH(AK$139, regions_lb[#Headers],0)),INDEX(lmic_raw_lb[],MATCH($A245,lmic_raw_lb[[setting]:[setting]],0), MATCH(AK$139, lmic_raw_lb[#Headers],0)))</f>
        <v>2.0542010606417545E-3</v>
      </c>
      <c r="AL245" s="94">
        <f>IF(INDEX(lmic_raw_lb[],MATCH($A245,lmic_raw_lb[[setting]:[setting]],0), MATCH(AL$139, lmic_raw_lb[#Headers],0))=0, INDEX(regions_lb[], MATCH($D245, regions_lb[[setting]:[setting]],0), MATCH(AL$139, regions_lb[#Headers],0)),INDEX(lmic_raw_lb[],MATCH($A245,lmic_raw_lb[[setting]:[setting]],0), MATCH(AL$139, lmic_raw_lb[#Headers],0)))</f>
        <v>2.9403546632293734E-3</v>
      </c>
      <c r="AM245" s="94">
        <f>IF(INDEX(lmic_raw_lb[],MATCH($A245,lmic_raw_lb[[setting]:[setting]],0), MATCH(AM$139, lmic_raw_lb[#Headers],0))=0, INDEX(regions_lb[], MATCH($D245, regions_lb[[setting]:[setting]],0), MATCH(AM$139, regions_lb[#Headers],0)),INDEX(lmic_raw_lb[],MATCH($A245,lmic_raw_lb[[setting]:[setting]],0), MATCH(AM$139, lmic_raw_lb[#Headers],0)))</f>
        <v>4.4998510243868172E-3</v>
      </c>
      <c r="AN245" s="94">
        <f>IF(INDEX(lmic_raw_lb[],MATCH($A245,lmic_raw_lb[[setting]:[setting]],0), MATCH(AN$139, lmic_raw_lb[#Headers],0))=0, INDEX(regions_lb[], MATCH($D245, regions_lb[[setting]:[setting]],0), MATCH(AN$139, regions_lb[#Headers],0)),INDEX(lmic_raw_lb[],MATCH($A245,lmic_raw_lb[[setting]:[setting]],0), MATCH(AN$139, lmic_raw_lb[#Headers],0)))</f>
        <v>6.9422953312551078E-3</v>
      </c>
      <c r="AO245" s="94">
        <f>IF(INDEX(lmic_raw_lb[],MATCH($A245,lmic_raw_lb[[setting]:[setting]],0), MATCH(AO$139, lmic_raw_lb[#Headers],0))=0, INDEX(regions_lb[], MATCH($D245, regions_lb[[setting]:[setting]],0), MATCH(AO$139, regions_lb[#Headers],0)),INDEX(lmic_raw_lb[],MATCH($A245,lmic_raw_lb[[setting]:[setting]],0), MATCH(AO$139, lmic_raw_lb[#Headers],0)))</f>
        <v>1.0734421385540595E-2</v>
      </c>
      <c r="AP245" s="94">
        <f>IF(INDEX(lmic_raw_lb[],MATCH($A245,lmic_raw_lb[[setting]:[setting]],0), MATCH(AP$139, lmic_raw_lb[#Headers],0))=0, INDEX(regions_lb[], MATCH($D245, regions_lb[[setting]:[setting]],0), MATCH(AP$139, regions_lb[#Headers],0)),INDEX(lmic_raw_lb[],MATCH($A245,lmic_raw_lb[[setting]:[setting]],0), MATCH(AP$139, lmic_raw_lb[#Headers],0)))</f>
        <v>1.6844404448691081E-2</v>
      </c>
      <c r="AQ245" s="94">
        <f>IF(INDEX(lmic_raw_lb[],MATCH($A245,lmic_raw_lb[[setting]:[setting]],0), MATCH(AQ$139, lmic_raw_lb[#Headers],0))=0, INDEX(regions_lb[], MATCH($D245, regions_lb[[setting]:[setting]],0), MATCH(AQ$139, regions_lb[#Headers],0)),INDEX(lmic_raw_lb[],MATCH($A245,lmic_raw_lb[[setting]:[setting]],0), MATCH(AQ$139, lmic_raw_lb[#Headers],0)))</f>
        <v>2.6471209697562035E-2</v>
      </c>
      <c r="AR245" s="94">
        <f>IF(INDEX(lmic_raw_lb[],MATCH($A245,lmic_raw_lb[[setting]:[setting]],0), MATCH(AR$139, lmic_raw_lb[#Headers],0))=0, INDEX(regions_lb[], MATCH($D245, regions_lb[[setting]:[setting]],0), MATCH(AR$139, regions_lb[#Headers],0)),INDEX(lmic_raw_lb[],MATCH($A245,lmic_raw_lb[[setting]:[setting]],0), MATCH(AR$139, lmic_raw_lb[#Headers],0)))</f>
        <v>4.1418219571134854E-2</v>
      </c>
      <c r="AS245" s="94">
        <f>IF(INDEX(lmic_raw_lb[],MATCH($A245,lmic_raw_lb[[setting]:[setting]],0), MATCH(AS$139, lmic_raw_lb[#Headers],0))=0, INDEX(regions_lb[], MATCH($D245, regions_lb[[setting]:[setting]],0), MATCH(AS$139, regions_lb[#Headers],0)),INDEX(lmic_raw_lb[],MATCH($A245,lmic_raw_lb[[setting]:[setting]],0), MATCH(AS$139, lmic_raw_lb[#Headers],0)))</f>
        <v>6.3151735170444395E-2</v>
      </c>
      <c r="AT245" s="94">
        <f>IF(INDEX(lmic_raw_lb[],MATCH($A245,lmic_raw_lb[[setting]:[setting]],0), MATCH(AT$139, lmic_raw_lb[#Headers],0))=0, INDEX(regions_lb[], MATCH($D245, regions_lb[[setting]:[setting]],0), MATCH(AT$139, regions_lb[#Headers],0)),INDEX(lmic_raw_lb[],MATCH($A245,lmic_raw_lb[[setting]:[setting]],0), MATCH(AT$139, lmic_raw_lb[#Headers],0)))</f>
        <v>9.0931169316726429E-2</v>
      </c>
      <c r="AU245" s="94">
        <f>IF(INDEX(lmic_raw_lb[],MATCH($A245,lmic_raw_lb[[setting]:[setting]],0), MATCH(AU$139, lmic_raw_lb[#Headers],0))=0, INDEX(regions_lb[], MATCH($D245, regions_lb[[setting]:[setting]],0), MATCH(AU$139, regions_lb[#Headers],0)),INDEX(lmic_raw_lb[],MATCH($A245,lmic_raw_lb[[setting]:[setting]],0), MATCH(AU$139, lmic_raw_lb[#Headers],0)))</f>
        <v>0.11934259930255435</v>
      </c>
      <c r="AV245" s="94">
        <f>IF(INDEX(lmic_raw_lb[],MATCH($A245,lmic_raw_lb[[setting]:[setting]],0), MATCH(AV$139, lmic_raw_lb[#Headers],0))=0, INDEX(regions_lb[], MATCH($D245, regions_lb[[setting]:[setting]],0), MATCH(AV$139, regions_lb[#Headers],0)),INDEX(lmic_raw_lb[],MATCH($A245,lmic_raw_lb[[setting]:[setting]],0), MATCH(AV$139, lmic_raw_lb[#Headers],0)))</f>
        <v>0.14596324174548639</v>
      </c>
      <c r="AW245" s="94">
        <f>IF(INDEX(lmic_raw_lb[],MATCH($A245,lmic_raw_lb[[setting]:[setting]],0), MATCH(AW$139, lmic_raw_lb[#Headers],0))=0, INDEX(regions_lb[], MATCH($D245, regions_lb[[setting]:[setting]],0), MATCH(AW$139, regions_lb[#Headers],0)),INDEX(lmic_raw_lb[],MATCH($A245,lmic_raw_lb[[setting]:[setting]],0), MATCH(AW$139, lmic_raw_lb[#Headers],0)))</f>
        <v>0.16609461267921038</v>
      </c>
      <c r="AX245" s="94">
        <f>IF(INDEX(lmic_raw_lb[],MATCH($A245,lmic_raw_lb[[setting]:[setting]],0), MATCH(AX$139, lmic_raw_lb[#Headers],0))=0, INDEX(regions_lb[], MATCH($D245, regions_lb[[setting]:[setting]],0), MATCH(AX$139, regions_lb[#Headers],0)),INDEX(lmic_raw_lb[],MATCH($A245,lmic_raw_lb[[setting]:[setting]],0), MATCH(AX$139, lmic_raw_lb[#Headers],0)))</f>
        <v>66.545599999999993</v>
      </c>
      <c r="AY245" s="94" t="str">
        <f>IF(VLOOKUP(lmics_lb[[#This Row],[setting]],lmic_raw_lb[],11,FALSE)=0, "Yes", "No")</f>
        <v>No</v>
      </c>
    </row>
    <row r="246" spans="1:51" x14ac:dyDescent="0.25">
      <c r="A246" s="109" t="s">
        <v>152</v>
      </c>
      <c r="B246" s="101" t="s">
        <v>507</v>
      </c>
      <c r="C246" s="102">
        <v>686</v>
      </c>
      <c r="D246" s="82" t="s">
        <v>677</v>
      </c>
      <c r="E246" s="121" t="s">
        <v>591</v>
      </c>
      <c r="F246" s="98" t="s">
        <v>667</v>
      </c>
      <c r="G246" s="98" t="s">
        <v>678</v>
      </c>
      <c r="H246" s="98"/>
      <c r="I246" s="98"/>
      <c r="J246" s="98">
        <f>IF(INDEX(lmic_raw_lb[],MATCH($A246,lmic_raw_lb[[setting]:[setting]],0), MATCH(J$139, lmic_raw_lb[#Headers],0))=0, INDEX(regions_lb[], MATCH($D246, regions_lb[[setting]:[setting]],0), MATCH(J$139, regions_lb[#Headers],0)),INDEX(lmic_raw_lb[],MATCH($A246,lmic_raw_lb[[setting]:[setting]],0), MATCH(J$139, lmic_raw_lb[#Headers],0)))</f>
        <v>0.77615000000000001</v>
      </c>
      <c r="K246" s="98">
        <f>IF(INDEX(lmic_raw_lb[],MATCH($A246,lmic_raw_lb[[setting]:[setting]],0), MATCH(K$139, lmic_raw_lb[#Headers],0))=0, INDEX(regions_lb[], MATCH($D246, regions_lb[[setting]:[setting]],0), MATCH(K$139, regions_lb[#Headers],0)),INDEX(lmic_raw_lb[],MATCH($A246,lmic_raw_lb[[setting]:[setting]],0), MATCH(K$139, lmic_raw_lb[#Headers],0)))</f>
        <v>0.76949999999999996</v>
      </c>
      <c r="L246" s="98">
        <f>IF(INDEX(lmic_raw_lb[],MATCH($A246,lmic_raw_lb[[setting]:[setting]],0), MATCH(L$139, lmic_raw_lb[#Headers],0))=0, INDEX(regions_lb[], MATCH($D246, regions_lb[[setting]:[setting]],0), MATCH(L$139, regions_lb[#Headers],0)),INDEX(lmic_raw_lb[],MATCH($A246,lmic_raw_lb[[setting]:[setting]],0), MATCH(L$139, lmic_raw_lb[#Headers],0)))</f>
        <v>0.88349999999999995</v>
      </c>
      <c r="M246" s="98">
        <f>IF(INDEX(lmic_raw_lb[],MATCH($A246,lmic_raw_lb[[setting]:[setting]],0), MATCH(M$139, lmic_raw_lb[#Headers],0))=0, INDEX(regions_lb[], MATCH($D246, regions_lb[[setting]:[setting]],0), MATCH(M$139, regions_lb[#Headers],0)),INDEX(lmic_raw_lb[],MATCH($A246,lmic_raw_lb[[setting]:[setting]],0), MATCH(M$139, lmic_raw_lb[#Headers],0)))</f>
        <v>6.7099999999999993E-2</v>
      </c>
      <c r="N246" s="98">
        <f>IF(INDEX(lmic_raw_lb[],MATCH($A246,lmic_raw_lb[[setting]:[setting]],0), MATCH(N$139, lmic_raw_lb[#Headers],0))=0, INDEX(regions_lb[], MATCH($D246, regions_lb[[setting]:[setting]],0), MATCH(N$139, regions_lb[#Headers],0)),INDEX(lmic_raw_lb[],MATCH($A246,lmic_raw_lb[[setting]:[setting]],0), MATCH(N$139, lmic_raw_lb[#Headers],0)))</f>
        <v>0.155</v>
      </c>
      <c r="O246" s="98">
        <f>IF(INDEX(lmic_raw_lb[],MATCH($A246,lmic_raw_lb[[setting]:[setting]],0), MATCH(O$139, lmic_raw_lb[#Headers],0))=0, INDEX(regions_lb[], MATCH($D246, regions_lb[[setting]:[setting]],0), MATCH(O$139, regions_lb[#Headers],0)),INDEX(lmic_raw_lb[],MATCH($A246,lmic_raw_lb[[setting]:[setting]],0), MATCH(O$139, lmic_raw_lb[#Headers],0)))</f>
        <v>7.0000000000000007E-2</v>
      </c>
      <c r="P246" s="98">
        <f>IF(INDEX(lmic_raw_lb[],MATCH($A246,lmic_raw_lb[[setting]:[setting]],0), MATCH(P$139, lmic_raw_lb[#Headers],0))=0, INDEX(regions_lb[], MATCH($D246, regions_lb[[setting]:[setting]],0), MATCH(P$139, regions_lb[#Headers],0)),INDEX(lmic_raw_lb[],MATCH($A246,lmic_raw_lb[[setting]:[setting]],0), MATCH(P$139, lmic_raw_lb[#Headers],0)))</f>
        <v>1E-3</v>
      </c>
      <c r="Q246" s="98">
        <f>IF(INDEX(lmic_raw_lb[],MATCH($A246,lmic_raw_lb[[setting]:[setting]],0), MATCH(Q$139, lmic_raw_lb[#Headers],0))=0, INDEX(regions_lb[], MATCH($D246, regions_lb[[setting]:[setting]],0), MATCH(Q$139, regions_lb[#Headers],0)),INDEX(lmic_raw_lb[],MATCH($A246,lmic_raw_lb[[setting]:[setting]],0), MATCH(Q$139, lmic_raw_lb[#Headers],0)))</f>
        <v>3.4273988300789453</v>
      </c>
      <c r="R246" s="98">
        <f>IF(INDEX(lmic_raw_lb[],MATCH($A246,lmic_raw_lb[[setting]:[setting]],0), MATCH(R$139, lmic_raw_lb[#Headers],0))=0, INDEX(regions_lb[], MATCH($D246, regions_lb[[setting]:[setting]],0), MATCH(R$139, regions_lb[#Headers],0)),INDEX(lmic_raw_lb[],MATCH($A246,lmic_raw_lb[[setting]:[setting]],0), MATCH(R$139, lmic_raw_lb[#Headers],0)))</f>
        <v>28.424474999999997</v>
      </c>
      <c r="S246" s="98">
        <f>IF(INDEX(lmic_raw_lb[],MATCH($A246,lmic_raw_lb[[setting]:[setting]],0), MATCH(S$139, lmic_raw_lb[#Headers],0))=0, INDEX(regions_lb[], MATCH($D246, regions_lb[[setting]:[setting]],0), MATCH(S$139, regions_lb[#Headers],0)),INDEX(lmic_raw_lb[],MATCH($A246,lmic_raw_lb[[setting]:[setting]],0), MATCH(S$139, lmic_raw_lb[#Headers],0)))</f>
        <v>73.779375000000002</v>
      </c>
      <c r="T246" s="98">
        <f>IF(INDEX(lmic_raw_lb[],MATCH($A246,lmic_raw_lb[[setting]:[setting]],0), MATCH(T$139, lmic_raw_lb[#Headers],0))=0, INDEX(regions_lb[], MATCH($D246, regions_lb[[setting]:[setting]],0), MATCH(T$139, regions_lb[#Headers],0)),INDEX(lmic_raw_lb[],MATCH($A246,lmic_raw_lb[[setting]:[setting]],0), MATCH(T$139, lmic_raw_lb[#Headers],0)))</f>
        <v>73.779375000000002</v>
      </c>
      <c r="U246" s="98">
        <f>IF(INDEX(lmic_raw_lb[],MATCH($A246,lmic_raw_lb[[setting]:[setting]],0), MATCH(U$139, lmic_raw_lb[#Headers],0))=0, INDEX(regions_lb[], MATCH($D246, regions_lb[[setting]:[setting]],0), MATCH(U$139, regions_lb[#Headers],0)),INDEX(lmic_raw_lb[],MATCH($A246,lmic_raw_lb[[setting]:[setting]],0), MATCH(U$139, lmic_raw_lb[#Headers],0)))</f>
        <v>73.779375000000002</v>
      </c>
      <c r="V246" s="98">
        <f>IF(INDEX(lmic_raw_lb[],MATCH($A246,lmic_raw_lb[[setting]:[setting]],0), MATCH(V$139, lmic_raw_lb[#Headers],0))=0, INDEX(regions_lb[], MATCH($D246, regions_lb[[setting]:[setting]],0), MATCH(V$139, regions_lb[#Headers],0)),INDEX(lmic_raw_lb[],MATCH($A246,lmic_raw_lb[[setting]:[setting]],0), MATCH(V$139, lmic_raw_lb[#Headers],0)))</f>
        <v>1.03980148472711</v>
      </c>
      <c r="W246" s="98">
        <f>IF(INDEX(lmic_raw_lb[],MATCH($A246,lmic_raw_lb[[setting]:[setting]],0), MATCH(W$139, lmic_raw_lb[#Headers],0))=0, INDEX(regions_lb[], MATCH($D246, regions_lb[[setting]:[setting]],0), MATCH(W$139, regions_lb[#Headers],0)),INDEX(lmic_raw_lb[],MATCH($A246,lmic_raw_lb[[setting]:[setting]],0), MATCH(W$139, lmic_raw_lb[#Headers],0)))</f>
        <v>5.6270664847271101</v>
      </c>
      <c r="X246" s="98">
        <f>IF(INDEX(lmic_raw_lb[],MATCH($A246,lmic_raw_lb[[setting]:[setting]],0), MATCH(X$139, lmic_raw_lb[#Headers],0))=0, INDEX(regions_lb[], MATCH($D246, regions_lb[[setting]:[setting]],0), MATCH(X$139, regions_lb[#Headers],0)),INDEX(lmic_raw_lb[],MATCH($A246,lmic_raw_lb[[setting]:[setting]],0), MATCH(X$139, lmic_raw_lb[#Headers],0)))</f>
        <v>0.67437028917644848</v>
      </c>
      <c r="Y246" s="98">
        <f>IF(INDEX(lmic_raw_lb[],MATCH($A246,lmic_raw_lb[[setting]:[setting]],0), MATCH(Y$139, lmic_raw_lb[#Headers],0))=0, INDEX(regions_lb[], MATCH($D246, regions_lb[[setting]:[setting]],0), MATCH(Y$139, regions_lb[#Headers],0)),INDEX(lmic_raw_lb[],MATCH($A246,lmic_raw_lb[[setting]:[setting]],0), MATCH(Y$139, lmic_raw_lb[#Headers],0)))</f>
        <v>5.2616352891764491</v>
      </c>
      <c r="Z246" s="98">
        <f>IF(INDEX(lmic_raw_lb[],MATCH($A246,lmic_raw_lb[[setting]:[setting]],0), MATCH(Z$139, lmic_raw_lb[#Headers],0))=0, INDEX(regions_lb[], MATCH($D246, regions_lb[[setting]:[setting]],0), MATCH(Z$139, regions_lb[#Headers],0)),INDEX(lmic_raw_lb[],MATCH($A246,lmic_raw_lb[[setting]:[setting]],0), MATCH(Z$139, lmic_raw_lb[#Headers],0)))</f>
        <v>5.259444316601841</v>
      </c>
      <c r="AA246" s="98">
        <f>IF(INDEX(lmic_raw_lb[],MATCH($A246,lmic_raw_lb[[setting]:[setting]],0), MATCH(AA$139, lmic_raw_lb[#Headers],0))=0, INDEX(regions_lb[], MATCH($D246, regions_lb[[setting]:[setting]],0), MATCH(AA$139, regions_lb[#Headers],0)),INDEX(lmic_raw_lb[],MATCH($A246,lmic_raw_lb[[setting]:[setting]],0), MATCH(AA$139, lmic_raw_lb[#Headers],0)))</f>
        <v>1.2510563859130344</v>
      </c>
      <c r="AB246" s="98">
        <f>IF(INDEX(lmic_raw_lb[],MATCH($A246,lmic_raw_lb[[setting]:[setting]],0), MATCH(AB$139, lmic_raw_lb[#Headers],0))=0, INDEX(regions_lb[], MATCH($D246, regions_lb[[setting]:[setting]],0), MATCH(AB$139, regions_lb[#Headers],0)),INDEX(lmic_raw_lb[],MATCH($A246,lmic_raw_lb[[setting]:[setting]],0), MATCH(AB$139, lmic_raw_lb[#Headers],0)))</f>
        <v>5.8383213859130345</v>
      </c>
      <c r="AC246" s="98">
        <f>IF(INDEX(lmic_raw_lb[],MATCH($A246,lmic_raw_lb[[setting]:[setting]],0), MATCH(AC$139, lmic_raw_lb[#Headers],0))=0, INDEX(regions_lb[], MATCH($D246, regions_lb[[setting]:[setting]],0), MATCH(AC$139, regions_lb[#Headers],0)),INDEX(lmic_raw_lb[],MATCH($A246,lmic_raw_lb[[setting]:[setting]],0), MATCH(AC$139, lmic_raw_lb[#Headers],0)))</f>
        <v>3.111687000000006E-2</v>
      </c>
      <c r="AD246" s="98">
        <f>IF(INDEX(lmic_raw_lb[],MATCH($A246,lmic_raw_lb[[setting]:[setting]],0), MATCH(AD$139, lmic_raw_lb[#Headers],0))=0, INDEX(regions_lb[], MATCH($D246, regions_lb[[setting]:[setting]],0), MATCH(AD$139, regions_lb[#Headers],0)),INDEX(lmic_raw_lb[],MATCH($A246,lmic_raw_lb[[setting]:[setting]],0), MATCH(AD$139, lmic_raw_lb[#Headers],0)))</f>
        <v>2.9159933197924655E-3</v>
      </c>
      <c r="AE246" s="98">
        <f>IF(INDEX(lmic_raw_lb[],MATCH($A246,lmic_raw_lb[[setting]:[setting]],0), MATCH(AE$139, lmic_raw_lb[#Headers],0))=0, INDEX(regions_lb[], MATCH($D246, regions_lb[[setting]:[setting]],0), MATCH(AE$139, regions_lb[#Headers],0)),INDEX(lmic_raw_lb[],MATCH($A246,lmic_raw_lb[[setting]:[setting]],0), MATCH(AE$139, lmic_raw_lb[#Headers],0)))</f>
        <v>1.1750940099428989E-3</v>
      </c>
      <c r="AF246" s="98">
        <f>IF(INDEX(lmic_raw_lb[],MATCH($A246,lmic_raw_lb[[setting]:[setting]],0), MATCH(AF$139, lmic_raw_lb[#Headers],0))=0, INDEX(regions_lb[], MATCH($D246, regions_lb[[setting]:[setting]],0), MATCH(AF$139, regions_lb[#Headers],0)),INDEX(lmic_raw_lb[],MATCH($A246,lmic_raw_lb[[setting]:[setting]],0), MATCH(AF$139, lmic_raw_lb[#Headers],0)))</f>
        <v>8.2199236385703111E-4</v>
      </c>
      <c r="AG246" s="98">
        <f>IF(INDEX(lmic_raw_lb[],MATCH($A246,lmic_raw_lb[[setting]:[setting]],0), MATCH(AG$139, lmic_raw_lb[#Headers],0))=0, INDEX(regions_lb[], MATCH($D246, regions_lb[[setting]:[setting]],0), MATCH(AG$139, regions_lb[#Headers],0)),INDEX(lmic_raw_lb[],MATCH($A246,lmic_raw_lb[[setting]:[setting]],0), MATCH(AG$139, lmic_raw_lb[#Headers],0)))</f>
        <v>1.2796047759410546E-3</v>
      </c>
      <c r="AH246" s="98">
        <f>IF(INDEX(lmic_raw_lb[],MATCH($A246,lmic_raw_lb[[setting]:[setting]],0), MATCH(AH$139, lmic_raw_lb[#Headers],0))=0, INDEX(regions_lb[], MATCH($D246, regions_lb[[setting]:[setting]],0), MATCH(AH$139, regions_lb[#Headers],0)),INDEX(lmic_raw_lb[],MATCH($A246,lmic_raw_lb[[setting]:[setting]],0), MATCH(AH$139, lmic_raw_lb[#Headers],0)))</f>
        <v>1.860632310374144E-3</v>
      </c>
      <c r="AI246" s="98">
        <f>IF(INDEX(lmic_raw_lb[],MATCH($A246,lmic_raw_lb[[setting]:[setting]],0), MATCH(AI$139, lmic_raw_lb[#Headers],0))=0, INDEX(regions_lb[], MATCH($D246, regions_lb[[setting]:[setting]],0), MATCH(AI$139, regions_lb[#Headers],0)),INDEX(lmic_raw_lb[],MATCH($A246,lmic_raw_lb[[setting]:[setting]],0), MATCH(AI$139, lmic_raw_lb[#Headers],0)))</f>
        <v>2.0202370351180255E-3</v>
      </c>
      <c r="AJ246" s="98">
        <f>IF(INDEX(lmic_raw_lb[],MATCH($A246,lmic_raw_lb[[setting]:[setting]],0), MATCH(AJ$139, lmic_raw_lb[#Headers],0))=0, INDEX(regions_lb[], MATCH($D246, regions_lb[[setting]:[setting]],0), MATCH(AJ$139, regions_lb[#Headers],0)),INDEX(lmic_raw_lb[],MATCH($A246,lmic_raw_lb[[setting]:[setting]],0), MATCH(AJ$139, lmic_raw_lb[#Headers],0)))</f>
        <v>2.3573792177220545E-3</v>
      </c>
      <c r="AK246" s="98">
        <f>IF(INDEX(lmic_raw_lb[],MATCH($A246,lmic_raw_lb[[setting]:[setting]],0), MATCH(AK$139, lmic_raw_lb[#Headers],0))=0, INDEX(regions_lb[], MATCH($D246, regions_lb[[setting]:[setting]],0), MATCH(AK$139, regions_lb[#Headers],0)),INDEX(lmic_raw_lb[],MATCH($A246,lmic_raw_lb[[setting]:[setting]],0), MATCH(AK$139, lmic_raw_lb[#Headers],0)))</f>
        <v>2.8242294124635543E-3</v>
      </c>
      <c r="AL246" s="98">
        <f>IF(INDEX(lmic_raw_lb[],MATCH($A246,lmic_raw_lb[[setting]:[setting]],0), MATCH(AL$139, lmic_raw_lb[#Headers],0))=0, INDEX(regions_lb[], MATCH($D246, regions_lb[[setting]:[setting]],0), MATCH(AL$139, regions_lb[#Headers],0)),INDEX(lmic_raw_lb[],MATCH($A246,lmic_raw_lb[[setting]:[setting]],0), MATCH(AL$139, lmic_raw_lb[#Headers],0)))</f>
        <v>3.7333530892915859E-3</v>
      </c>
      <c r="AM246" s="98">
        <f>IF(INDEX(lmic_raw_lb[],MATCH($A246,lmic_raw_lb[[setting]:[setting]],0), MATCH(AM$139, lmic_raw_lb[#Headers],0))=0, INDEX(regions_lb[], MATCH($D246, regions_lb[[setting]:[setting]],0), MATCH(AM$139, regions_lb[#Headers],0)),INDEX(lmic_raw_lb[],MATCH($A246,lmic_raw_lb[[setting]:[setting]],0), MATCH(AM$139, lmic_raw_lb[#Headers],0)))</f>
        <v>4.9818261665522381E-3</v>
      </c>
      <c r="AN246" s="98">
        <f>IF(INDEX(lmic_raw_lb[],MATCH($A246,lmic_raw_lb[[setting]:[setting]],0), MATCH(AN$139, lmic_raw_lb[#Headers],0))=0, INDEX(regions_lb[], MATCH($D246, regions_lb[[setting]:[setting]],0), MATCH(AN$139, regions_lb[#Headers],0)),INDEX(lmic_raw_lb[],MATCH($A246,lmic_raw_lb[[setting]:[setting]],0), MATCH(AN$139, lmic_raw_lb[#Headers],0)))</f>
        <v>7.3330938425061436E-3</v>
      </c>
      <c r="AO246" s="98">
        <f>IF(INDEX(lmic_raw_lb[],MATCH($A246,lmic_raw_lb[[setting]:[setting]],0), MATCH(AO$139, lmic_raw_lb[#Headers],0))=0, INDEX(regions_lb[], MATCH($D246, regions_lb[[setting]:[setting]],0), MATCH(AO$139, regions_lb[#Headers],0)),INDEX(lmic_raw_lb[],MATCH($A246,lmic_raw_lb[[setting]:[setting]],0), MATCH(AO$139, lmic_raw_lb[#Headers],0)))</f>
        <v>1.0725791472641456E-2</v>
      </c>
      <c r="AP246" s="98">
        <f>IF(INDEX(lmic_raw_lb[],MATCH($A246,lmic_raw_lb[[setting]:[setting]],0), MATCH(AP$139, lmic_raw_lb[#Headers],0))=0, INDEX(regions_lb[], MATCH($D246, regions_lb[[setting]:[setting]],0), MATCH(AP$139, regions_lb[#Headers],0)),INDEX(lmic_raw_lb[],MATCH($A246,lmic_raw_lb[[setting]:[setting]],0), MATCH(AP$139, lmic_raw_lb[#Headers],0)))</f>
        <v>1.6828439169073915E-2</v>
      </c>
      <c r="AQ246" s="98">
        <f>IF(INDEX(lmic_raw_lb[],MATCH($A246,lmic_raw_lb[[setting]:[setting]],0), MATCH(AQ$139, lmic_raw_lb[#Headers],0))=0, INDEX(regions_lb[], MATCH($D246, regions_lb[[setting]:[setting]],0), MATCH(AQ$139, regions_lb[#Headers],0)),INDEX(lmic_raw_lb[],MATCH($A246,lmic_raw_lb[[setting]:[setting]],0), MATCH(AQ$139, lmic_raw_lb[#Headers],0)))</f>
        <v>2.6590390680427133E-2</v>
      </c>
      <c r="AR246" s="98">
        <f>IF(INDEX(lmic_raw_lb[],MATCH($A246,lmic_raw_lb[[setting]:[setting]],0), MATCH(AR$139, lmic_raw_lb[#Headers],0))=0, INDEX(regions_lb[], MATCH($D246, regions_lb[[setting]:[setting]],0), MATCH(AR$139, regions_lb[#Headers],0)),INDEX(lmic_raw_lb[],MATCH($A246,lmic_raw_lb[[setting]:[setting]],0), MATCH(AR$139, lmic_raw_lb[#Headers],0)))</f>
        <v>4.4210584817222745E-2</v>
      </c>
      <c r="AS246" s="98">
        <f>IF(INDEX(lmic_raw_lb[],MATCH($A246,lmic_raw_lb[[setting]:[setting]],0), MATCH(AS$139, lmic_raw_lb[#Headers],0))=0, INDEX(regions_lb[], MATCH($D246, regions_lb[[setting]:[setting]],0), MATCH(AS$139, regions_lb[#Headers],0)),INDEX(lmic_raw_lb[],MATCH($A246,lmic_raw_lb[[setting]:[setting]],0), MATCH(AS$139, lmic_raw_lb[#Headers],0)))</f>
        <v>7.101185657593953E-2</v>
      </c>
      <c r="AT246" s="98">
        <f>IF(INDEX(lmic_raw_lb[],MATCH($A246,lmic_raw_lb[[setting]:[setting]],0), MATCH(AT$139, lmic_raw_lb[#Headers],0))=0, INDEX(regions_lb[], MATCH($D246, regions_lb[[setting]:[setting]],0), MATCH(AT$139, regions_lb[#Headers],0)),INDEX(lmic_raw_lb[],MATCH($A246,lmic_raw_lb[[setting]:[setting]],0), MATCH(AT$139, lmic_raw_lb[#Headers],0)))</f>
        <v>0.10593784157911811</v>
      </c>
      <c r="AU246" s="98">
        <f>IF(INDEX(lmic_raw_lb[],MATCH($A246,lmic_raw_lb[[setting]:[setting]],0), MATCH(AU$139, lmic_raw_lb[#Headers],0))=0, INDEX(regions_lb[], MATCH($D246, regions_lb[[setting]:[setting]],0), MATCH(AU$139, regions_lb[#Headers],0)),INDEX(lmic_raw_lb[],MATCH($A246,lmic_raw_lb[[setting]:[setting]],0), MATCH(AU$139, lmic_raw_lb[#Headers],0)))</f>
        <v>0.14003339308619589</v>
      </c>
      <c r="AV246" s="98">
        <f>IF(INDEX(lmic_raw_lb[],MATCH($A246,lmic_raw_lb[[setting]:[setting]],0), MATCH(AV$139, lmic_raw_lb[#Headers],0))=0, INDEX(regions_lb[], MATCH($D246, regions_lb[[setting]:[setting]],0), MATCH(AV$139, regions_lb[#Headers],0)),INDEX(lmic_raw_lb[],MATCH($A246,lmic_raw_lb[[setting]:[setting]],0), MATCH(AV$139, lmic_raw_lb[#Headers],0)))</f>
        <v>0.16485553669444136</v>
      </c>
      <c r="AW246" s="98">
        <f>IF(INDEX(lmic_raw_lb[],MATCH($A246,lmic_raw_lb[[setting]:[setting]],0), MATCH(AW$139, lmic_raw_lb[#Headers],0))=0, INDEX(regions_lb[], MATCH($D246, regions_lb[[setting]:[setting]],0), MATCH(AW$139, regions_lb[#Headers],0)),INDEX(lmic_raw_lb[],MATCH($A246,lmic_raw_lb[[setting]:[setting]],0), MATCH(AW$139, lmic_raw_lb[#Headers],0)))</f>
        <v>0.17716117308895737</v>
      </c>
      <c r="AX246" s="98">
        <f>IF(INDEX(lmic_raw_lb[],MATCH($A246,lmic_raw_lb[[setting]:[setting]],0), MATCH(AX$139, lmic_raw_lb[#Headers],0))=0, INDEX(regions_lb[], MATCH($D246, regions_lb[[setting]:[setting]],0), MATCH(AX$139, regions_lb[#Headers],0)),INDEX(lmic_raw_lb[],MATCH($A246,lmic_raw_lb[[setting]:[setting]],0), MATCH(AX$139, lmic_raw_lb[#Headers],0)))</f>
        <v>64.096499999999992</v>
      </c>
      <c r="AY246" s="98" t="str">
        <f>IF(VLOOKUP(lmics_lb[[#This Row],[setting]],lmic_raw_lb[],11,FALSE)=0, "Yes", "No")</f>
        <v>No</v>
      </c>
    </row>
    <row r="247" spans="1:51" x14ac:dyDescent="0.25">
      <c r="A247" s="110" t="s">
        <v>345</v>
      </c>
      <c r="B247" s="104" t="s">
        <v>508</v>
      </c>
      <c r="C247" s="105">
        <v>688</v>
      </c>
      <c r="D247" s="84" t="s">
        <v>675</v>
      </c>
      <c r="E247" s="122" t="s">
        <v>580</v>
      </c>
      <c r="F247" s="94" t="s">
        <v>663</v>
      </c>
      <c r="G247" s="94" t="s">
        <v>676</v>
      </c>
      <c r="H247" s="94"/>
      <c r="I247" s="94"/>
      <c r="J247" s="94">
        <f>IF(INDEX(lmic_raw_lb[],MATCH($A247,lmic_raw_lb[[setting]:[setting]],0), MATCH(J$139, lmic_raw_lb[#Headers],0))=0, INDEX(regions_lb[], MATCH($D247, regions_lb[[setting]:[setting]],0), MATCH(J$139, regions_lb[#Headers],0)),INDEX(lmic_raw_lb[],MATCH($A247,lmic_raw_lb[[setting]:[setting]],0), MATCH(J$139, lmic_raw_lb[#Headers],0)))</f>
        <v>0.93289999999999995</v>
      </c>
      <c r="K247" s="94">
        <f>IF(INDEX(lmic_raw_lb[],MATCH($A247,lmic_raw_lb[[setting]:[setting]],0), MATCH(K$139, lmic_raw_lb[#Headers],0))=0, INDEX(regions_lb[], MATCH($D247, regions_lb[[setting]:[setting]],0), MATCH(K$139, regions_lb[#Headers],0)),INDEX(lmic_raw_lb[],MATCH($A247,lmic_raw_lb[[setting]:[setting]],0), MATCH(K$139, lmic_raw_lb[#Headers],0)))</f>
        <v>0.9405</v>
      </c>
      <c r="L247" s="94">
        <f>IF(INDEX(lmic_raw_lb[],MATCH($A247,lmic_raw_lb[[setting]:[setting]],0), MATCH(L$139, lmic_raw_lb[#Headers],0))=0, INDEX(regions_lb[], MATCH($D247, regions_lb[[setting]:[setting]],0), MATCH(L$139, regions_lb[#Headers],0)),INDEX(lmic_raw_lb[],MATCH($A247,lmic_raw_lb[[setting]:[setting]],0), MATCH(L$139, lmic_raw_lb[#Headers],0)))</f>
        <v>0.8929999999999999</v>
      </c>
      <c r="M247" s="94">
        <f>IF(INDEX(lmic_raw_lb[],MATCH($A247,lmic_raw_lb[[setting]:[setting]],0), MATCH(M$139, lmic_raw_lb[#Headers],0))=0, INDEX(regions_lb[], MATCH($D247, regions_lb[[setting]:[setting]],0), MATCH(M$139, regions_lb[#Headers],0)),INDEX(lmic_raw_lb[],MATCH($A247,lmic_raw_lb[[setting]:[setting]],0), MATCH(M$139, lmic_raw_lb[#Headers],0)))</f>
        <v>6.9999999999999993E-3</v>
      </c>
      <c r="N247" s="94">
        <f>IF(INDEX(lmic_raw_lb[],MATCH($A247,lmic_raw_lb[[setting]:[setting]],0), MATCH(N$139, lmic_raw_lb[#Headers],0))=0, INDEX(regions_lb[], MATCH($D247, regions_lb[[setting]:[setting]],0), MATCH(N$139, regions_lb[#Headers],0)),INDEX(lmic_raw_lb[],MATCH($A247,lmic_raw_lb[[setting]:[setting]],0), MATCH(N$139, lmic_raw_lb[#Headers],0)))</f>
        <v>0.16329999999999997</v>
      </c>
      <c r="O247" s="94">
        <f>IF(INDEX(lmic_raw_lb[],MATCH($A247,lmic_raw_lb[[setting]:[setting]],0), MATCH(O$139, lmic_raw_lb[#Headers],0))=0, INDEX(regions_lb[], MATCH($D247, regions_lb[[setting]:[setting]],0), MATCH(O$139, regions_lb[#Headers],0)),INDEX(lmic_raw_lb[],MATCH($A247,lmic_raw_lb[[setting]:[setting]],0), MATCH(O$139, lmic_raw_lb[#Headers],0)))</f>
        <v>0.7</v>
      </c>
      <c r="P247" s="94">
        <f>IF(INDEX(lmic_raw_lb[],MATCH($A247,lmic_raw_lb[[setting]:[setting]],0), MATCH(P$139, lmic_raw_lb[#Headers],0))=0, INDEX(regions_lb[], MATCH($D247, regions_lb[[setting]:[setting]],0), MATCH(P$139, regions_lb[#Headers],0)),INDEX(lmic_raw_lb[],MATCH($A247,lmic_raw_lb[[setting]:[setting]],0), MATCH(P$139, lmic_raw_lb[#Headers],0)))</f>
        <v>0.05</v>
      </c>
      <c r="Q247" s="94">
        <f>IF(INDEX(lmic_raw_lb[],MATCH($A247,lmic_raw_lb[[setting]:[setting]],0), MATCH(Q$139, lmic_raw_lb[#Headers],0))=0, INDEX(regions_lb[], MATCH($D247, regions_lb[[setting]:[setting]],0), MATCH(Q$139, regions_lb[#Headers],0)),INDEX(lmic_raw_lb[],MATCH($A247,lmic_raw_lb[[setting]:[setting]],0), MATCH(Q$139, lmic_raw_lb[#Headers],0)))</f>
        <v>9.4823947680396934</v>
      </c>
      <c r="R247" s="94">
        <f>IF(INDEX(lmic_raw_lb[],MATCH($A247,lmic_raw_lb[[setting]:[setting]],0), MATCH(R$139, lmic_raw_lb[#Headers],0))=0, INDEX(regions_lb[], MATCH($D247, regions_lb[[setting]:[setting]],0), MATCH(R$139, regions_lb[#Headers],0)),INDEX(lmic_raw_lb[],MATCH($A247,lmic_raw_lb[[setting]:[setting]],0), MATCH(R$139, lmic_raw_lb[#Headers],0)))</f>
        <v>42.31053</v>
      </c>
      <c r="S247" s="94">
        <f>IF(INDEX(lmic_raw_lb[],MATCH($A247,lmic_raw_lb[[setting]:[setting]],0), MATCH(S$139, lmic_raw_lb[#Headers],0))=0, INDEX(regions_lb[], MATCH($D247, regions_lb[[setting]:[setting]],0), MATCH(S$139, regions_lb[#Headers],0)),INDEX(lmic_raw_lb[],MATCH($A247,lmic_raw_lb[[setting]:[setting]],0), MATCH(S$139, lmic_raw_lb[#Headers],0)))</f>
        <v>87.665430000000001</v>
      </c>
      <c r="T247" s="94">
        <f>IF(INDEX(lmic_raw_lb[],MATCH($A247,lmic_raw_lb[[setting]:[setting]],0), MATCH(T$139, lmic_raw_lb[#Headers],0))=0, INDEX(regions_lb[], MATCH($D247, regions_lb[[setting]:[setting]],0), MATCH(T$139, regions_lb[#Headers],0)),INDEX(lmic_raw_lb[],MATCH($A247,lmic_raw_lb[[setting]:[setting]],0), MATCH(T$139, lmic_raw_lb[#Headers],0)))</f>
        <v>87.665430000000001</v>
      </c>
      <c r="U247" s="94">
        <f>IF(INDEX(lmic_raw_lb[],MATCH($A247,lmic_raw_lb[[setting]:[setting]],0), MATCH(U$139, lmic_raw_lb[#Headers],0))=0, INDEX(regions_lb[], MATCH($D247, regions_lb[[setting]:[setting]],0), MATCH(U$139, regions_lb[#Headers],0)),INDEX(lmic_raw_lb[],MATCH($A247,lmic_raw_lb[[setting]:[setting]],0), MATCH(U$139, lmic_raw_lb[#Headers],0)))</f>
        <v>87.665430000000001</v>
      </c>
      <c r="V247" s="94">
        <f>IF(INDEX(lmic_raw_lb[],MATCH($A247,lmic_raw_lb[[setting]:[setting]],0), MATCH(V$139, lmic_raw_lb[#Headers],0))=0, INDEX(regions_lb[], MATCH($D247, regions_lb[[setting]:[setting]],0), MATCH(V$139, regions_lb[#Headers],0)),INDEX(lmic_raw_lb[],MATCH($A247,lmic_raw_lb[[setting]:[setting]],0), MATCH(V$139, lmic_raw_lb[#Headers],0)))</f>
        <v>2.5789561348028278</v>
      </c>
      <c r="W247" s="94">
        <f>IF(INDEX(lmic_raw_lb[],MATCH($A247,lmic_raw_lb[[setting]:[setting]],0), MATCH(W$139, lmic_raw_lb[#Headers],0))=0, INDEX(regions_lb[], MATCH($D247, regions_lb[[setting]:[setting]],0), MATCH(W$139, regions_lb[#Headers],0)),INDEX(lmic_raw_lb[],MATCH($A247,lmic_raw_lb[[setting]:[setting]],0), MATCH(W$139, lmic_raw_lb[#Headers],0)))</f>
        <v>6.4413711348028286</v>
      </c>
      <c r="X247" s="94">
        <f>IF(INDEX(lmic_raw_lb[],MATCH($A247,lmic_raw_lb[[setting]:[setting]],0), MATCH(X$139, lmic_raw_lb[#Headers],0))=0, INDEX(regions_lb[], MATCH($D247, regions_lb[[setting]:[setting]],0), MATCH(X$139, regions_lb[#Headers],0)),INDEX(lmic_raw_lb[],MATCH($A247,lmic_raw_lb[[setting]:[setting]],0), MATCH(X$139, lmic_raw_lb[#Headers],0)))</f>
        <v>2.2074494951033414</v>
      </c>
      <c r="Y247" s="94">
        <f>IF(INDEX(lmic_raw_lb[],MATCH($A247,lmic_raw_lb[[setting]:[setting]],0), MATCH(Y$139, lmic_raw_lb[#Headers],0))=0, INDEX(regions_lb[], MATCH($D247, regions_lb[[setting]:[setting]],0), MATCH(Y$139, regions_lb[#Headers],0)),INDEX(lmic_raw_lb[],MATCH($A247,lmic_raw_lb[[setting]:[setting]],0), MATCH(Y$139, lmic_raw_lb[#Headers],0)))</f>
        <v>6.0698644951033423</v>
      </c>
      <c r="Z247" s="94">
        <f>IF(INDEX(lmic_raw_lb[],MATCH($A247,lmic_raw_lb[[setting]:[setting]],0), MATCH(Z$139, lmic_raw_lb[#Headers],0))=0, INDEX(regions_lb[], MATCH($D247, regions_lb[[setting]:[setting]],0), MATCH(Z$139, regions_lb[#Headers],0)),INDEX(lmic_raw_lb[],MATCH($A247,lmic_raw_lb[[setting]:[setting]],0), MATCH(Z$139, lmic_raw_lb[#Headers],0)))</f>
        <v>6.0637497121537436</v>
      </c>
      <c r="AA247" s="94">
        <f>IF(INDEX(lmic_raw_lb[],MATCH($A247,lmic_raw_lb[[setting]:[setting]],0), MATCH(AA$139, lmic_raw_lb[#Headers],0))=0, INDEX(regions_lb[], MATCH($D247, regions_lb[[setting]:[setting]],0), MATCH(AA$139, regions_lb[#Headers],0)),INDEX(lmic_raw_lb[],MATCH($A247,lmic_raw_lb[[setting]:[setting]],0), MATCH(AA$139, lmic_raw_lb[#Headers],0)))</f>
        <v>2.7928147977668205</v>
      </c>
      <c r="AB247" s="94">
        <f>IF(INDEX(lmic_raw_lb[],MATCH($A247,lmic_raw_lb[[setting]:[setting]],0), MATCH(AB$139, lmic_raw_lb[#Headers],0))=0, INDEX(regions_lb[], MATCH($D247, regions_lb[[setting]:[setting]],0), MATCH(AB$139, regions_lb[#Headers],0)),INDEX(lmic_raw_lb[],MATCH($A247,lmic_raw_lb[[setting]:[setting]],0), MATCH(AB$139, lmic_raw_lb[#Headers],0)))</f>
        <v>6.6552297977668209</v>
      </c>
      <c r="AC247" s="94">
        <f>IF(INDEX(lmic_raw_lb[],MATCH($A247,lmic_raw_lb[[setting]:[setting]],0), MATCH(AC$139, lmic_raw_lb[#Headers],0))=0, INDEX(regions_lb[], MATCH($D247, regions_lb[[setting]:[setting]],0), MATCH(AC$139, regions_lb[#Headers],0)),INDEX(lmic_raw_lb[],MATCH($A247,lmic_raw_lb[[setting]:[setting]],0), MATCH(AC$139, lmic_raw_lb[#Headers],0)))</f>
        <v>4.6545534999999439E-3</v>
      </c>
      <c r="AD247" s="94">
        <f>IF(INDEX(lmic_raw_lb[],MATCH($A247,lmic_raw_lb[[setting]:[setting]],0), MATCH(AD$139, lmic_raw_lb[#Headers],0))=0, INDEX(regions_lb[], MATCH($D247, regions_lb[[setting]:[setting]],0), MATCH(AD$139, regions_lb[#Headers],0)),INDEX(lmic_raw_lb[],MATCH($A247,lmic_raw_lb[[setting]:[setting]],0), MATCH(AD$139, lmic_raw_lb[#Headers],0)))</f>
        <v>1.6229755674822372E-4</v>
      </c>
      <c r="AE247" s="94">
        <f>IF(INDEX(lmic_raw_lb[],MATCH($A247,lmic_raw_lb[[setting]:[setting]],0), MATCH(AE$139, lmic_raw_lb[#Headers],0))=0, INDEX(regions_lb[], MATCH($D247, regions_lb[[setting]:[setting]],0), MATCH(AE$139, regions_lb[#Headers],0)),INDEX(lmic_raw_lb[],MATCH($A247,lmic_raw_lb[[setting]:[setting]],0), MATCH(AE$139, lmic_raw_lb[#Headers],0)))</f>
        <v>9.516236220641923E-5</v>
      </c>
      <c r="AF247" s="94">
        <f>IF(INDEX(lmic_raw_lb[],MATCH($A247,lmic_raw_lb[[setting]:[setting]],0), MATCH(AF$139, lmic_raw_lb[#Headers],0))=0, INDEX(regions_lb[], MATCH($D247, regions_lb[[setting]:[setting]],0), MATCH(AF$139, regions_lb[#Headers],0)),INDEX(lmic_raw_lb[],MATCH($A247,lmic_raw_lb[[setting]:[setting]],0), MATCH(AF$139, lmic_raw_lb[#Headers],0)))</f>
        <v>1.1113956180081989E-4</v>
      </c>
      <c r="AG247" s="94">
        <f>IF(INDEX(lmic_raw_lb[],MATCH($A247,lmic_raw_lb[[setting]:[setting]],0), MATCH(AG$139, lmic_raw_lb[#Headers],0))=0, INDEX(regions_lb[], MATCH($D247, regions_lb[[setting]:[setting]],0), MATCH(AG$139, regions_lb[#Headers],0)),INDEX(lmic_raw_lb[],MATCH($A247,lmic_raw_lb[[setting]:[setting]],0), MATCH(AG$139, lmic_raw_lb[#Headers],0)))</f>
        <v>2.8667909321492886E-4</v>
      </c>
      <c r="AH247" s="94">
        <f>IF(INDEX(lmic_raw_lb[],MATCH($A247,lmic_raw_lb[[setting]:[setting]],0), MATCH(AH$139, lmic_raw_lb[#Headers],0))=0, INDEX(regions_lb[], MATCH($D247, regions_lb[[setting]:[setting]],0), MATCH(AH$139, regions_lb[#Headers],0)),INDEX(lmic_raw_lb[],MATCH($A247,lmic_raw_lb[[setting]:[setting]],0), MATCH(AH$139, lmic_raw_lb[#Headers],0)))</f>
        <v>3.9452535101802965E-4</v>
      </c>
      <c r="AI247" s="94">
        <f>IF(INDEX(lmic_raw_lb[],MATCH($A247,lmic_raw_lb[[setting]:[setting]],0), MATCH(AI$139, lmic_raw_lb[#Headers],0))=0, INDEX(regions_lb[], MATCH($D247, regions_lb[[setting]:[setting]],0), MATCH(AI$139, regions_lb[#Headers],0)),INDEX(lmic_raw_lb[],MATCH($A247,lmic_raw_lb[[setting]:[setting]],0), MATCH(AI$139, lmic_raw_lb[#Headers],0)))</f>
        <v>5.0708887408226549E-4</v>
      </c>
      <c r="AJ247" s="94">
        <f>IF(INDEX(lmic_raw_lb[],MATCH($A247,lmic_raw_lb[[setting]:[setting]],0), MATCH(AJ$139, lmic_raw_lb[#Headers],0))=0, INDEX(regions_lb[], MATCH($D247, regions_lb[[setting]:[setting]],0), MATCH(AJ$139, regions_lb[#Headers],0)),INDEX(lmic_raw_lb[],MATCH($A247,lmic_raw_lb[[setting]:[setting]],0), MATCH(AJ$139, lmic_raw_lb[#Headers],0)))</f>
        <v>7.3295064639645362E-4</v>
      </c>
      <c r="AK247" s="94">
        <f>IF(INDEX(lmic_raw_lb[],MATCH($A247,lmic_raw_lb[[setting]:[setting]],0), MATCH(AK$139, lmic_raw_lb[#Headers],0))=0, INDEX(regions_lb[], MATCH($D247, regions_lb[[setting]:[setting]],0), MATCH(AK$139, regions_lb[#Headers],0)),INDEX(lmic_raw_lb[],MATCH($A247,lmic_raw_lb[[setting]:[setting]],0), MATCH(AK$139, lmic_raw_lb[#Headers],0)))</f>
        <v>1.0248119797782351E-3</v>
      </c>
      <c r="AL247" s="94">
        <f>IF(INDEX(lmic_raw_lb[],MATCH($A247,lmic_raw_lb[[setting]:[setting]],0), MATCH(AL$139, lmic_raw_lb[#Headers],0))=0, INDEX(regions_lb[], MATCH($D247, regions_lb[[setting]:[setting]],0), MATCH(AL$139, regions_lb[#Headers],0)),INDEX(lmic_raw_lb[],MATCH($A247,lmic_raw_lb[[setting]:[setting]],0), MATCH(AL$139, lmic_raw_lb[#Headers],0)))</f>
        <v>1.7265433207255608E-3</v>
      </c>
      <c r="AM247" s="94">
        <f>IF(INDEX(lmic_raw_lb[],MATCH($A247,lmic_raw_lb[[setting]:[setting]],0), MATCH(AM$139, lmic_raw_lb[#Headers],0))=0, INDEX(regions_lb[], MATCH($D247, regions_lb[[setting]:[setting]],0), MATCH(AM$139, regions_lb[#Headers],0)),INDEX(lmic_raw_lb[],MATCH($A247,lmic_raw_lb[[setting]:[setting]],0), MATCH(AM$139, lmic_raw_lb[#Headers],0)))</f>
        <v>3.0307545606923147E-3</v>
      </c>
      <c r="AN247" s="94">
        <f>IF(INDEX(lmic_raw_lb[],MATCH($A247,lmic_raw_lb[[setting]:[setting]],0), MATCH(AN$139, lmic_raw_lb[#Headers],0))=0, INDEX(regions_lb[], MATCH($D247, regions_lb[[setting]:[setting]],0), MATCH(AN$139, regions_lb[#Headers],0)),INDEX(lmic_raw_lb[],MATCH($A247,lmic_raw_lb[[setting]:[setting]],0), MATCH(AN$139, lmic_raw_lb[#Headers],0)))</f>
        <v>5.3338871583575205E-3</v>
      </c>
      <c r="AO247" s="94">
        <f>IF(INDEX(lmic_raw_lb[],MATCH($A247,lmic_raw_lb[[setting]:[setting]],0), MATCH(AO$139, lmic_raw_lb[#Headers],0))=0, INDEX(regions_lb[], MATCH($D247, regions_lb[[setting]:[setting]],0), MATCH(AO$139, regions_lb[#Headers],0)),INDEX(lmic_raw_lb[],MATCH($A247,lmic_raw_lb[[setting]:[setting]],0), MATCH(AO$139, lmic_raw_lb[#Headers],0)))</f>
        <v>8.7044697097083505E-3</v>
      </c>
      <c r="AP247" s="94">
        <f>IF(INDEX(lmic_raw_lb[],MATCH($A247,lmic_raw_lb[[setting]:[setting]],0), MATCH(AP$139, lmic_raw_lb[#Headers],0))=0, INDEX(regions_lb[], MATCH($D247, regions_lb[[setting]:[setting]],0), MATCH(AP$139, regions_lb[#Headers],0)),INDEX(lmic_raw_lb[],MATCH($A247,lmic_raw_lb[[setting]:[setting]],0), MATCH(AP$139, lmic_raw_lb[#Headers],0)))</f>
        <v>1.3481806801085088E-2</v>
      </c>
      <c r="AQ247" s="94">
        <f>IF(INDEX(lmic_raw_lb[],MATCH($A247,lmic_raw_lb[[setting]:[setting]],0), MATCH(AQ$139, lmic_raw_lb[#Headers],0))=0, INDEX(regions_lb[], MATCH($D247, regions_lb[[setting]:[setting]],0), MATCH(AQ$139, regions_lb[#Headers],0)),INDEX(lmic_raw_lb[],MATCH($A247,lmic_raw_lb[[setting]:[setting]],0), MATCH(AQ$139, lmic_raw_lb[#Headers],0)))</f>
        <v>1.9837759073135116E-2</v>
      </c>
      <c r="AR247" s="94">
        <f>IF(INDEX(lmic_raw_lb[],MATCH($A247,lmic_raw_lb[[setting]:[setting]],0), MATCH(AR$139, lmic_raw_lb[#Headers],0))=0, INDEX(regions_lb[], MATCH($D247, regions_lb[[setting]:[setting]],0), MATCH(AR$139, regions_lb[#Headers],0)),INDEX(lmic_raw_lb[],MATCH($A247,lmic_raw_lb[[setting]:[setting]],0), MATCH(AR$139, lmic_raw_lb[#Headers],0)))</f>
        <v>3.0225607410525018E-2</v>
      </c>
      <c r="AS247" s="94">
        <f>IF(INDEX(lmic_raw_lb[],MATCH($A247,lmic_raw_lb[[setting]:[setting]],0), MATCH(AS$139, lmic_raw_lb[#Headers],0))=0, INDEX(regions_lb[], MATCH($D247, regions_lb[[setting]:[setting]],0), MATCH(AS$139, regions_lb[#Headers],0)),INDEX(lmic_raw_lb[],MATCH($A247,lmic_raw_lb[[setting]:[setting]],0), MATCH(AS$139, lmic_raw_lb[#Headers],0)))</f>
        <v>5.0822687404702929E-2</v>
      </c>
      <c r="AT247" s="94">
        <f>IF(INDEX(lmic_raw_lb[],MATCH($A247,lmic_raw_lb[[setting]:[setting]],0), MATCH(AT$139, lmic_raw_lb[#Headers],0))=0, INDEX(regions_lb[], MATCH($D247, regions_lb[[setting]:[setting]],0), MATCH(AT$139, regions_lb[#Headers],0)),INDEX(lmic_raw_lb[],MATCH($A247,lmic_raw_lb[[setting]:[setting]],0), MATCH(AT$139, lmic_raw_lb[#Headers],0)))</f>
        <v>8.1507867884061447E-2</v>
      </c>
      <c r="AU247" s="94">
        <f>IF(INDEX(lmic_raw_lb[],MATCH($A247,lmic_raw_lb[[setting]:[setting]],0), MATCH(AU$139, lmic_raw_lb[#Headers],0))=0, INDEX(regions_lb[], MATCH($D247, regions_lb[[setting]:[setting]],0), MATCH(AU$139, regions_lb[#Headers],0)),INDEX(lmic_raw_lb[],MATCH($A247,lmic_raw_lb[[setting]:[setting]],0), MATCH(AU$139, lmic_raw_lb[#Headers],0)))</f>
        <v>0.11622493860949565</v>
      </c>
      <c r="AV247" s="94">
        <f>IF(INDEX(lmic_raw_lb[],MATCH($A247,lmic_raw_lb[[setting]:[setting]],0), MATCH(AV$139, lmic_raw_lb[#Headers],0))=0, INDEX(regions_lb[], MATCH($D247, regions_lb[[setting]:[setting]],0), MATCH(AV$139, regions_lb[#Headers],0)),INDEX(lmic_raw_lb[],MATCH($A247,lmic_raw_lb[[setting]:[setting]],0), MATCH(AV$139, lmic_raw_lb[#Headers],0)))</f>
        <v>0.15229472501231289</v>
      </c>
      <c r="AW247" s="94">
        <f>IF(INDEX(lmic_raw_lb[],MATCH($A247,lmic_raw_lb[[setting]:[setting]],0), MATCH(AW$139, lmic_raw_lb[#Headers],0))=0, INDEX(regions_lb[], MATCH($D247, regions_lb[[setting]:[setting]],0), MATCH(AW$139, regions_lb[#Headers],0)),INDEX(lmic_raw_lb[],MATCH($A247,lmic_raw_lb[[setting]:[setting]],0), MATCH(AW$139, lmic_raw_lb[#Headers],0)))</f>
        <v>0.17340252987728902</v>
      </c>
      <c r="AX247" s="94">
        <f>IF(INDEX(lmic_raw_lb[],MATCH($A247,lmic_raw_lb[[setting]:[setting]],0), MATCH(AX$139, lmic_raw_lb[#Headers],0))=0, INDEX(regions_lb[], MATCH($D247, regions_lb[[setting]:[setting]],0), MATCH(AX$139, regions_lb[#Headers],0)),INDEX(lmic_raw_lb[],MATCH($A247,lmic_raw_lb[[setting]:[setting]],0), MATCH(AX$139, lmic_raw_lb[#Headers],0)))</f>
        <v>71.983400000000003</v>
      </c>
      <c r="AY247" s="94" t="str">
        <f>IF(VLOOKUP(lmics_lb[[#This Row],[setting]],lmic_raw_lb[],11,FALSE)=0, "Yes", "No")</f>
        <v>No</v>
      </c>
    </row>
    <row r="248" spans="1:51" x14ac:dyDescent="0.25">
      <c r="A248" s="109" t="s">
        <v>153</v>
      </c>
      <c r="B248" s="101" t="s">
        <v>509</v>
      </c>
      <c r="C248" s="102">
        <v>694</v>
      </c>
      <c r="D248" s="82" t="s">
        <v>677</v>
      </c>
      <c r="E248" s="121" t="s">
        <v>591</v>
      </c>
      <c r="F248" s="98" t="s">
        <v>667</v>
      </c>
      <c r="G248" s="98" t="s">
        <v>674</v>
      </c>
      <c r="H248" s="98"/>
      <c r="I248" s="98"/>
      <c r="J248" s="98">
        <f>IF(INDEX(lmic_raw_lb[],MATCH($A248,lmic_raw_lb[[setting]:[setting]],0), MATCH(J$139, lmic_raw_lb[#Headers],0))=0, INDEX(regions_lb[], MATCH($D248, regions_lb[[setting]:[setting]],0), MATCH(J$139, regions_lb[#Headers],0)),INDEX(lmic_raw_lb[],MATCH($A248,lmic_raw_lb[[setting]:[setting]],0), MATCH(J$139, lmic_raw_lb[#Headers],0)))</f>
        <v>0.7923</v>
      </c>
      <c r="K248" s="98">
        <f>IF(INDEX(lmic_raw_lb[],MATCH($A248,lmic_raw_lb[[setting]:[setting]],0), MATCH(K$139, lmic_raw_lb[#Headers],0))=0, INDEX(regions_lb[], MATCH($D248, regions_lb[[setting]:[setting]],0), MATCH(K$139, regions_lb[#Headers],0)),INDEX(lmic_raw_lb[],MATCH($A248,lmic_raw_lb[[setting]:[setting]],0), MATCH(K$139, lmic_raw_lb[#Headers],0)))</f>
        <v>0.65789974195504752</v>
      </c>
      <c r="L248" s="98">
        <f>IF(INDEX(lmic_raw_lb[],MATCH($A248,lmic_raw_lb[[setting]:[setting]],0), MATCH(L$139, lmic_raw_lb[#Headers],0))=0, INDEX(regions_lb[], MATCH($D248, regions_lb[[setting]:[setting]],0), MATCH(L$139, regions_lb[#Headers],0)),INDEX(lmic_raw_lb[],MATCH($A248,lmic_raw_lb[[setting]:[setting]],0), MATCH(L$139, lmic_raw_lb[#Headers],0)))</f>
        <v>0.90249999999999997</v>
      </c>
      <c r="M248" s="98">
        <f>IF(INDEX(lmic_raw_lb[],MATCH($A248,lmic_raw_lb[[setting]:[setting]],0), MATCH(M$139, lmic_raw_lb[#Headers],0))=0, INDEX(regions_lb[], MATCH($D248, regions_lb[[setting]:[setting]],0), MATCH(M$139, regions_lb[#Headers],0)),INDEX(lmic_raw_lb[],MATCH($A248,lmic_raw_lb[[setting]:[setting]],0), MATCH(M$139, lmic_raw_lb[#Headers],0)))</f>
        <v>0.13789999999999999</v>
      </c>
      <c r="N248" s="98">
        <f>IF(INDEX(lmic_raw_lb[],MATCH($A248,lmic_raw_lb[[setting]:[setting]],0), MATCH(N$139, lmic_raw_lb[#Headers],0))=0, INDEX(regions_lb[], MATCH($D248, regions_lb[[setting]:[setting]],0), MATCH(N$139, regions_lb[#Headers],0)),INDEX(lmic_raw_lb[],MATCH($A248,lmic_raw_lb[[setting]:[setting]],0), MATCH(N$139, lmic_raw_lb[#Headers],0)))</f>
        <v>0.155</v>
      </c>
      <c r="O248" s="98">
        <f>IF(INDEX(lmic_raw_lb[],MATCH($A248,lmic_raw_lb[[setting]:[setting]],0), MATCH(O$139, lmic_raw_lb[#Headers],0))=0, INDEX(regions_lb[], MATCH($D248, regions_lb[[setting]:[setting]],0), MATCH(O$139, regions_lb[#Headers],0)),INDEX(lmic_raw_lb[],MATCH($A248,lmic_raw_lb[[setting]:[setting]],0), MATCH(O$139, lmic_raw_lb[#Headers],0)))</f>
        <v>7.0000000000000007E-2</v>
      </c>
      <c r="P248" s="98">
        <f>IF(INDEX(lmic_raw_lb[],MATCH($A248,lmic_raw_lb[[setting]:[setting]],0), MATCH(P$139, lmic_raw_lb[#Headers],0))=0, INDEX(regions_lb[], MATCH($D248, regions_lb[[setting]:[setting]],0), MATCH(P$139, regions_lb[#Headers],0)),INDEX(lmic_raw_lb[],MATCH($A248,lmic_raw_lb[[setting]:[setting]],0), MATCH(P$139, lmic_raw_lb[#Headers],0)))</f>
        <v>1E-3</v>
      </c>
      <c r="Q248" s="98">
        <f>IF(INDEX(lmic_raw_lb[],MATCH($A248,lmic_raw_lb[[setting]:[setting]],0), MATCH(Q$139, lmic_raw_lb[#Headers],0))=0, INDEX(regions_lb[], MATCH($D248, regions_lb[[setting]:[setting]],0), MATCH(Q$139, regions_lb[#Headers],0)),INDEX(lmic_raw_lb[],MATCH($A248,lmic_raw_lb[[setting]:[setting]],0), MATCH(Q$139, lmic_raw_lb[#Headers],0)))</f>
        <v>2.5140754204424076</v>
      </c>
      <c r="R248" s="98">
        <f>IF(INDEX(lmic_raw_lb[],MATCH($A248,lmic_raw_lb[[setting]:[setting]],0), MATCH(R$139, lmic_raw_lb[#Headers],0))=0, INDEX(regions_lb[], MATCH($D248, regions_lb[[setting]:[setting]],0), MATCH(R$139, regions_lb[#Headers],0)),INDEX(lmic_raw_lb[],MATCH($A248,lmic_raw_lb[[setting]:[setting]],0), MATCH(R$139, lmic_raw_lb[#Headers],0)))</f>
        <v>28.424474999999997</v>
      </c>
      <c r="S248" s="98">
        <f>IF(INDEX(lmic_raw_lb[],MATCH($A248,lmic_raw_lb[[setting]:[setting]],0), MATCH(S$139, lmic_raw_lb[#Headers],0))=0, INDEX(regions_lb[], MATCH($D248, regions_lb[[setting]:[setting]],0), MATCH(S$139, regions_lb[#Headers],0)),INDEX(lmic_raw_lb[],MATCH($A248,lmic_raw_lb[[setting]:[setting]],0), MATCH(S$139, lmic_raw_lb[#Headers],0)))</f>
        <v>73.779375000000002</v>
      </c>
      <c r="T248" s="98">
        <f>IF(INDEX(lmic_raw_lb[],MATCH($A248,lmic_raw_lb[[setting]:[setting]],0), MATCH(T$139, lmic_raw_lb[#Headers],0))=0, INDEX(regions_lb[], MATCH($D248, regions_lb[[setting]:[setting]],0), MATCH(T$139, regions_lb[#Headers],0)),INDEX(lmic_raw_lb[],MATCH($A248,lmic_raw_lb[[setting]:[setting]],0), MATCH(T$139, lmic_raw_lb[#Headers],0)))</f>
        <v>73.779375000000002</v>
      </c>
      <c r="U248" s="98">
        <f>IF(INDEX(lmic_raw_lb[],MATCH($A248,lmic_raw_lb[[setting]:[setting]],0), MATCH(U$139, lmic_raw_lb[#Headers],0))=0, INDEX(regions_lb[], MATCH($D248, regions_lb[[setting]:[setting]],0), MATCH(U$139, regions_lb[#Headers],0)),INDEX(lmic_raw_lb[],MATCH($A248,lmic_raw_lb[[setting]:[setting]],0), MATCH(U$139, lmic_raw_lb[#Headers],0)))</f>
        <v>73.779375000000002</v>
      </c>
      <c r="V248" s="98">
        <f>IF(INDEX(lmic_raw_lb[],MATCH($A248,lmic_raw_lb[[setting]:[setting]],0), MATCH(V$139, lmic_raw_lb[#Headers],0))=0, INDEX(regions_lb[], MATCH($D248, regions_lb[[setting]:[setting]],0), MATCH(V$139, regions_lb[#Headers],0)),INDEX(lmic_raw_lb[],MATCH($A248,lmic_raw_lb[[setting]:[setting]],0), MATCH(V$139, lmic_raw_lb[#Headers],0)))</f>
        <v>1.2008479369359326</v>
      </c>
      <c r="W248" s="98">
        <f>IF(INDEX(lmic_raw_lb[],MATCH($A248,lmic_raw_lb[[setting]:[setting]],0), MATCH(W$139, lmic_raw_lb[#Headers],0))=0, INDEX(regions_lb[], MATCH($D248, regions_lb[[setting]:[setting]],0), MATCH(W$139, regions_lb[#Headers],0)),INDEX(lmic_raw_lb[],MATCH($A248,lmic_raw_lb[[setting]:[setting]],0), MATCH(W$139, lmic_raw_lb[#Headers],0)))</f>
        <v>5.7881129369359332</v>
      </c>
      <c r="X248" s="98">
        <f>IF(INDEX(lmic_raw_lb[],MATCH($A248,lmic_raw_lb[[setting]:[setting]],0), MATCH(X$139, lmic_raw_lb[#Headers],0))=0, INDEX(regions_lb[], MATCH($D248, regions_lb[[setting]:[setting]],0), MATCH(X$139, regions_lb[#Headers],0)),INDEX(lmic_raw_lb[],MATCH($A248,lmic_raw_lb[[setting]:[setting]],0), MATCH(X$139, lmic_raw_lb[#Headers],0)))</f>
        <v>0.83696231988752046</v>
      </c>
      <c r="Y248" s="98">
        <f>IF(INDEX(lmic_raw_lb[],MATCH($A248,lmic_raw_lb[[setting]:[setting]],0), MATCH(Y$139, lmic_raw_lb[#Headers],0))=0, INDEX(regions_lb[], MATCH($D248, regions_lb[[setting]:[setting]],0), MATCH(Y$139, regions_lb[#Headers],0)),INDEX(lmic_raw_lb[],MATCH($A248,lmic_raw_lb[[setting]:[setting]],0), MATCH(Y$139, lmic_raw_lb[#Headers],0)))</f>
        <v>5.424227319887521</v>
      </c>
      <c r="Z248" s="98">
        <f>IF(INDEX(lmic_raw_lb[],MATCH($A248,lmic_raw_lb[[setting]:[setting]],0), MATCH(Z$139, lmic_raw_lb[#Headers],0))=0, INDEX(regions_lb[], MATCH($D248, regions_lb[[setting]:[setting]],0), MATCH(Z$139, regions_lb[#Headers],0)),INDEX(lmic_raw_lb[],MATCH($A248,lmic_raw_lb[[setting]:[setting]],0), MATCH(Z$139, lmic_raw_lb[#Headers],0)))</f>
        <v>5.4230710759624055</v>
      </c>
      <c r="AA248" s="98">
        <f>IF(INDEX(lmic_raw_lb[],MATCH($A248,lmic_raw_lb[[setting]:[setting]],0), MATCH(AA$139, lmic_raw_lb[#Headers],0))=0, INDEX(regions_lb[], MATCH($D248, regions_lb[[setting]:[setting]],0), MATCH(AA$139, regions_lb[#Headers],0)),INDEX(lmic_raw_lb[],MATCH($A248,lmic_raw_lb[[setting]:[setting]],0), MATCH(AA$139, lmic_raw_lb[#Headers],0)))</f>
        <v>1.4114404473351785</v>
      </c>
      <c r="AB248" s="98">
        <f>IF(INDEX(lmic_raw_lb[],MATCH($A248,lmic_raw_lb[[setting]:[setting]],0), MATCH(AB$139, lmic_raw_lb[#Headers],0))=0, INDEX(regions_lb[], MATCH($D248, regions_lb[[setting]:[setting]],0), MATCH(AB$139, regions_lb[#Headers],0)),INDEX(lmic_raw_lb[],MATCH($A248,lmic_raw_lb[[setting]:[setting]],0), MATCH(AB$139, lmic_raw_lb[#Headers],0)))</f>
        <v>5.9987054473351789</v>
      </c>
      <c r="AC248" s="98">
        <f>IF(INDEX(lmic_raw_lb[],MATCH($A248,lmic_raw_lb[[setting]:[setting]],0), MATCH(AC$139, lmic_raw_lb[#Headers],0))=0, INDEX(regions_lb[], MATCH($D248, regions_lb[[setting]:[setting]],0), MATCH(AC$139, regions_lb[#Headers],0)),INDEX(lmic_raw_lb[],MATCH($A248,lmic_raw_lb[[setting]:[setting]],0), MATCH(AC$139, lmic_raw_lb[#Headers],0)))</f>
        <v>7.6752390499999934E-2</v>
      </c>
      <c r="AD248" s="98">
        <f>IF(INDEX(lmic_raw_lb[],MATCH($A248,lmic_raw_lb[[setting]:[setting]],0), MATCH(AD$139, lmic_raw_lb[#Headers],0))=0, INDEX(regions_lb[], MATCH($D248, regions_lb[[setting]:[setting]],0), MATCH(AD$139, regions_lb[#Headers],0)),INDEX(lmic_raw_lb[],MATCH($A248,lmic_raw_lb[[setting]:[setting]],0), MATCH(AD$139, lmic_raw_lb[#Headers],0)))</f>
        <v>7.6467460830764618E-3</v>
      </c>
      <c r="AE248" s="98">
        <f>IF(INDEX(lmic_raw_lb[],MATCH($A248,lmic_raw_lb[[setting]:[setting]],0), MATCH(AE$139, lmic_raw_lb[#Headers],0))=0, INDEX(regions_lb[], MATCH($D248, regions_lb[[setting]:[setting]],0), MATCH(AE$139, regions_lb[#Headers],0)),INDEX(lmic_raw_lb[],MATCH($A248,lmic_raw_lb[[setting]:[setting]],0), MATCH(AE$139, lmic_raw_lb[#Headers],0)))</f>
        <v>3.3827600632783616E-3</v>
      </c>
      <c r="AF248" s="98">
        <f>IF(INDEX(lmic_raw_lb[],MATCH($A248,lmic_raw_lb[[setting]:[setting]],0), MATCH(AF$139, lmic_raw_lb[#Headers],0))=0, INDEX(regions_lb[], MATCH($D248, regions_lb[[setting]:[setting]],0), MATCH(AF$139, regions_lb[#Headers],0)),INDEX(lmic_raw_lb[],MATCH($A248,lmic_raw_lb[[setting]:[setting]],0), MATCH(AF$139, lmic_raw_lb[#Headers],0)))</f>
        <v>2.4853976790811519E-3</v>
      </c>
      <c r="AG248" s="98">
        <f>IF(INDEX(lmic_raw_lb[],MATCH($A248,lmic_raw_lb[[setting]:[setting]],0), MATCH(AG$139, lmic_raw_lb[#Headers],0))=0, INDEX(regions_lb[], MATCH($D248, regions_lb[[setting]:[setting]],0), MATCH(AG$139, regions_lb[#Headers],0)),INDEX(lmic_raw_lb[],MATCH($A248,lmic_raw_lb[[setting]:[setting]],0), MATCH(AG$139, lmic_raw_lb[#Headers],0)))</f>
        <v>4.0899764003664782E-3</v>
      </c>
      <c r="AH248" s="98">
        <f>IF(INDEX(lmic_raw_lb[],MATCH($A248,lmic_raw_lb[[setting]:[setting]],0), MATCH(AH$139, lmic_raw_lb[#Headers],0))=0, INDEX(regions_lb[], MATCH($D248, regions_lb[[setting]:[setting]],0), MATCH(AH$139, regions_lb[#Headers],0)),INDEX(lmic_raw_lb[],MATCH($A248,lmic_raw_lb[[setting]:[setting]],0), MATCH(AH$139, lmic_raw_lb[#Headers],0)))</f>
        <v>5.6924300919248081E-3</v>
      </c>
      <c r="AI248" s="98">
        <f>IF(INDEX(lmic_raw_lb[],MATCH($A248,lmic_raw_lb[[setting]:[setting]],0), MATCH(AI$139, lmic_raw_lb[#Headers],0))=0, INDEX(regions_lb[], MATCH($D248, regions_lb[[setting]:[setting]],0), MATCH(AI$139, regions_lb[#Headers],0)),INDEX(lmic_raw_lb[],MATCH($A248,lmic_raw_lb[[setting]:[setting]],0), MATCH(AI$139, lmic_raw_lb[#Headers],0)))</f>
        <v>6.2497589038089437E-3</v>
      </c>
      <c r="AJ248" s="98">
        <f>IF(INDEX(lmic_raw_lb[],MATCH($A248,lmic_raw_lb[[setting]:[setting]],0), MATCH(AJ$139, lmic_raw_lb[#Headers],0))=0, INDEX(regions_lb[], MATCH($D248, regions_lb[[setting]:[setting]],0), MATCH(AJ$139, regions_lb[#Headers],0)),INDEX(lmic_raw_lb[],MATCH($A248,lmic_raw_lb[[setting]:[setting]],0), MATCH(AJ$139, lmic_raw_lb[#Headers],0)))</f>
        <v>6.8730133742891941E-3</v>
      </c>
      <c r="AK248" s="98">
        <f>IF(INDEX(lmic_raw_lb[],MATCH($A248,lmic_raw_lb[[setting]:[setting]],0), MATCH(AK$139, lmic_raw_lb[#Headers],0))=0, INDEX(regions_lb[], MATCH($D248, regions_lb[[setting]:[setting]],0), MATCH(AK$139, regions_lb[#Headers],0)),INDEX(lmic_raw_lb[],MATCH($A248,lmic_raw_lb[[setting]:[setting]],0), MATCH(AK$139, lmic_raw_lb[#Headers],0)))</f>
        <v>7.9329412404796525E-3</v>
      </c>
      <c r="AL248" s="98">
        <f>IF(INDEX(lmic_raw_lb[],MATCH($A248,lmic_raw_lb[[setting]:[setting]],0), MATCH(AL$139, lmic_raw_lb[#Headers],0))=0, INDEX(regions_lb[], MATCH($D248, regions_lb[[setting]:[setting]],0), MATCH(AL$139, regions_lb[#Headers],0)),INDEX(lmic_raw_lb[],MATCH($A248,lmic_raw_lb[[setting]:[setting]],0), MATCH(AL$139, lmic_raw_lb[#Headers],0)))</f>
        <v>9.3906272148045634E-3</v>
      </c>
      <c r="AM248" s="98">
        <f>IF(INDEX(lmic_raw_lb[],MATCH($A248,lmic_raw_lb[[setting]:[setting]],0), MATCH(AM$139, lmic_raw_lb[#Headers],0))=0, INDEX(regions_lb[], MATCH($D248, regions_lb[[setting]:[setting]],0), MATCH(AM$139, regions_lb[#Headers],0)),INDEX(lmic_raw_lb[],MATCH($A248,lmic_raw_lb[[setting]:[setting]],0), MATCH(AM$139, lmic_raw_lb[#Headers],0)))</f>
        <v>1.1518053437633182E-2</v>
      </c>
      <c r="AN248" s="98">
        <f>IF(INDEX(lmic_raw_lb[],MATCH($A248,lmic_raw_lb[[setting]:[setting]],0), MATCH(AN$139, lmic_raw_lb[#Headers],0))=0, INDEX(regions_lb[], MATCH($D248, regions_lb[[setting]:[setting]],0), MATCH(AN$139, regions_lb[#Headers],0)),INDEX(lmic_raw_lb[],MATCH($A248,lmic_raw_lb[[setting]:[setting]],0), MATCH(AN$139, lmic_raw_lb[#Headers],0)))</f>
        <v>1.5076110394917299E-2</v>
      </c>
      <c r="AO248" s="98">
        <f>IF(INDEX(lmic_raw_lb[],MATCH($A248,lmic_raw_lb[[setting]:[setting]],0), MATCH(AO$139, lmic_raw_lb[#Headers],0))=0, INDEX(regions_lb[], MATCH($D248, regions_lb[[setting]:[setting]],0), MATCH(AO$139, regions_lb[#Headers],0)),INDEX(lmic_raw_lb[],MATCH($A248,lmic_raw_lb[[setting]:[setting]],0), MATCH(AO$139, lmic_raw_lb[#Headers],0)))</f>
        <v>2.0050994661359373E-2</v>
      </c>
      <c r="AP248" s="98">
        <f>IF(INDEX(lmic_raw_lb[],MATCH($A248,lmic_raw_lb[[setting]:[setting]],0), MATCH(AP$139, lmic_raw_lb[#Headers],0))=0, INDEX(regions_lb[], MATCH($D248, regions_lb[[setting]:[setting]],0), MATCH(AP$139, regions_lb[#Headers],0)),INDEX(lmic_raw_lb[],MATCH($A248,lmic_raw_lb[[setting]:[setting]],0), MATCH(AP$139, lmic_raw_lb[#Headers],0)))</f>
        <v>2.8237585265538979E-2</v>
      </c>
      <c r="AQ248" s="98">
        <f>IF(INDEX(lmic_raw_lb[],MATCH($A248,lmic_raw_lb[[setting]:[setting]],0), MATCH(AQ$139, lmic_raw_lb[#Headers],0))=0, INDEX(regions_lb[], MATCH($D248, regions_lb[[setting]:[setting]],0), MATCH(AQ$139, regions_lb[#Headers],0)),INDEX(lmic_raw_lb[],MATCH($A248,lmic_raw_lb[[setting]:[setting]],0), MATCH(AQ$139, lmic_raw_lb[#Headers],0)))</f>
        <v>3.9947861400672274E-2</v>
      </c>
      <c r="AR248" s="98">
        <f>IF(INDEX(lmic_raw_lb[],MATCH($A248,lmic_raw_lb[[setting]:[setting]],0), MATCH(AR$139, lmic_raw_lb[#Headers],0))=0, INDEX(regions_lb[], MATCH($D248, regions_lb[[setting]:[setting]],0), MATCH(AR$139, regions_lb[#Headers],0)),INDEX(lmic_raw_lb[],MATCH($A248,lmic_raw_lb[[setting]:[setting]],0), MATCH(AR$139, lmic_raw_lb[#Headers],0)))</f>
        <v>5.7525340094491173E-2</v>
      </c>
      <c r="AS248" s="98">
        <f>IF(INDEX(lmic_raw_lb[],MATCH($A248,lmic_raw_lb[[setting]:[setting]],0), MATCH(AS$139, lmic_raw_lb[#Headers],0))=0, INDEX(regions_lb[], MATCH($D248, regions_lb[[setting]:[setting]],0), MATCH(AS$139, regions_lb[#Headers],0)),INDEX(lmic_raw_lb[],MATCH($A248,lmic_raw_lb[[setting]:[setting]],0), MATCH(AS$139, lmic_raw_lb[#Headers],0)))</f>
        <v>8.0334510025091593E-2</v>
      </c>
      <c r="AT248" s="98">
        <f>IF(INDEX(lmic_raw_lb[],MATCH($A248,lmic_raw_lb[[setting]:[setting]],0), MATCH(AT$139, lmic_raw_lb[#Headers],0))=0, INDEX(regions_lb[], MATCH($D248, regions_lb[[setting]:[setting]],0), MATCH(AT$139, regions_lb[#Headers],0)),INDEX(lmic_raw_lb[],MATCH($A248,lmic_raw_lb[[setting]:[setting]],0), MATCH(AT$139, lmic_raw_lb[#Headers],0)))</f>
        <v>0.10712307071286463</v>
      </c>
      <c r="AU248" s="98">
        <f>IF(INDEX(lmic_raw_lb[],MATCH($A248,lmic_raw_lb[[setting]:[setting]],0), MATCH(AU$139, lmic_raw_lb[#Headers],0))=0, INDEX(regions_lb[], MATCH($D248, regions_lb[[setting]:[setting]],0), MATCH(AU$139, regions_lb[#Headers],0)),INDEX(lmic_raw_lb[],MATCH($A248,lmic_raw_lb[[setting]:[setting]],0), MATCH(AU$139, lmic_raw_lb[#Headers],0)))</f>
        <v>0.13161578041580091</v>
      </c>
      <c r="AV248" s="98">
        <f>IF(INDEX(lmic_raw_lb[],MATCH($A248,lmic_raw_lb[[setting]:[setting]],0), MATCH(AV$139, lmic_raw_lb[#Headers],0))=0, INDEX(regions_lb[], MATCH($D248, regions_lb[[setting]:[setting]],0), MATCH(AV$139, regions_lb[#Headers],0)),INDEX(lmic_raw_lb[],MATCH($A248,lmic_raw_lb[[setting]:[setting]],0), MATCH(AV$139, lmic_raw_lb[#Headers],0)))</f>
        <v>0.15301720214699877</v>
      </c>
      <c r="AW248" s="98">
        <f>IF(INDEX(lmic_raw_lb[],MATCH($A248,lmic_raw_lb[[setting]:[setting]],0), MATCH(AW$139, lmic_raw_lb[#Headers],0))=0, INDEX(regions_lb[], MATCH($D248, regions_lb[[setting]:[setting]],0), MATCH(AW$139, regions_lb[#Headers],0)),INDEX(lmic_raw_lb[],MATCH($A248,lmic_raw_lb[[setting]:[setting]],0), MATCH(AW$139, lmic_raw_lb[#Headers],0)))</f>
        <v>0.16959316837589275</v>
      </c>
      <c r="AX248" s="98">
        <f>IF(INDEX(lmic_raw_lb[],MATCH($A248,lmic_raw_lb[[setting]:[setting]],0), MATCH(AX$139, lmic_raw_lb[#Headers],0))=0, INDEX(regions_lb[], MATCH($D248, regions_lb[[setting]:[setting]],0), MATCH(AX$139, regions_lb[#Headers],0)),INDEX(lmic_raw_lb[],MATCH($A248,lmic_raw_lb[[setting]:[setting]],0), MATCH(AX$139, lmic_raw_lb[#Headers],0)))</f>
        <v>51.362699999999997</v>
      </c>
      <c r="AY248" s="98" t="str">
        <f>IF(VLOOKUP(lmics_lb[[#This Row],[setting]],lmic_raw_lb[],11,FALSE)=0, "Yes", "No")</f>
        <v>Yes</v>
      </c>
    </row>
    <row r="249" spans="1:51" x14ac:dyDescent="0.25">
      <c r="A249" s="110" t="s">
        <v>284</v>
      </c>
      <c r="B249" s="104" t="s">
        <v>512</v>
      </c>
      <c r="C249" s="105">
        <v>90</v>
      </c>
      <c r="D249" s="84" t="s">
        <v>681</v>
      </c>
      <c r="E249" s="122" t="s">
        <v>98</v>
      </c>
      <c r="F249" s="94" t="s">
        <v>666</v>
      </c>
      <c r="G249" s="94" t="s">
        <v>678</v>
      </c>
      <c r="H249" s="94"/>
      <c r="I249" s="94"/>
      <c r="J249" s="94">
        <f>IF(INDEX(lmic_raw_lb[],MATCH($A249,lmic_raw_lb[[setting]:[setting]],0), MATCH(J$139, lmic_raw_lb[#Headers],0))=0, INDEX(regions_lb[], MATCH($D249, regions_lb[[setting]:[setting]],0), MATCH(J$139, regions_lb[#Headers],0)),INDEX(lmic_raw_lb[],MATCH($A249,lmic_raw_lb[[setting]:[setting]],0), MATCH(J$139, lmic_raw_lb[#Headers],0)))</f>
        <v>0.80274999999999996</v>
      </c>
      <c r="K249" s="94">
        <f>IF(INDEX(lmic_raw_lb[],MATCH($A249,lmic_raw_lb[[setting]:[setting]],0), MATCH(K$139, lmic_raw_lb[#Headers],0))=0, INDEX(regions_lb[], MATCH($D249, regions_lb[[setting]:[setting]],0), MATCH(K$139, regions_lb[#Headers],0)),INDEX(lmic_raw_lb[],MATCH($A249,lmic_raw_lb[[setting]:[setting]],0), MATCH(K$139, lmic_raw_lb[#Headers],0)))</f>
        <v>0.627</v>
      </c>
      <c r="L249" s="94">
        <f>IF(INDEX(lmic_raw_lb[],MATCH($A249,lmic_raw_lb[[setting]:[setting]],0), MATCH(L$139, lmic_raw_lb[#Headers],0))=0, INDEX(regions_lb[], MATCH($D249, regions_lb[[setting]:[setting]],0), MATCH(L$139, regions_lb[#Headers],0)),INDEX(lmic_raw_lb[],MATCH($A249,lmic_raw_lb[[setting]:[setting]],0), MATCH(L$139, lmic_raw_lb[#Headers],0)))</f>
        <v>0.8929999999999999</v>
      </c>
      <c r="M249" s="94">
        <f>IF(INDEX(lmic_raw_lb[],MATCH($A249,lmic_raw_lb[[setting]:[setting]],0), MATCH(M$139, lmic_raw_lb[#Headers],0))=0, INDEX(regions_lb[], MATCH($D249, regions_lb[[setting]:[setting]],0), MATCH(M$139, regions_lb[#Headers],0)),INDEX(lmic_raw_lb[],MATCH($A249,lmic_raw_lb[[setting]:[setting]],0), MATCH(M$139, lmic_raw_lb[#Headers],0)))</f>
        <v>0.09</v>
      </c>
      <c r="N249" s="94">
        <f>IF(INDEX(lmic_raw_lb[],MATCH($A249,lmic_raw_lb[[setting]:[setting]],0), MATCH(N$139, lmic_raw_lb[#Headers],0))=0, INDEX(regions_lb[], MATCH($D249, regions_lb[[setting]:[setting]],0), MATCH(N$139, regions_lb[#Headers],0)),INDEX(lmic_raw_lb[],MATCH($A249,lmic_raw_lb[[setting]:[setting]],0), MATCH(N$139, lmic_raw_lb[#Headers],0)))</f>
        <v>0.1832</v>
      </c>
      <c r="O249" s="94">
        <f>IF(INDEX(lmic_raw_lb[],MATCH($A249,lmic_raw_lb[[setting]:[setting]],0), MATCH(O$139, lmic_raw_lb[#Headers],0))=0, INDEX(regions_lb[], MATCH($D249, regions_lb[[setting]:[setting]],0), MATCH(O$139, regions_lb[#Headers],0)),INDEX(lmic_raw_lb[],MATCH($A249,lmic_raw_lb[[setting]:[setting]],0), MATCH(O$139, lmic_raw_lb[#Headers],0)))</f>
        <v>0.7</v>
      </c>
      <c r="P249" s="94">
        <f>IF(INDEX(lmic_raw_lb[],MATCH($A249,lmic_raw_lb[[setting]:[setting]],0), MATCH(P$139, lmic_raw_lb[#Headers],0))=0, INDEX(regions_lb[], MATCH($D249, regions_lb[[setting]:[setting]],0), MATCH(P$139, regions_lb[#Headers],0)),INDEX(lmic_raw_lb[],MATCH($A249,lmic_raw_lb[[setting]:[setting]],0), MATCH(P$139, lmic_raw_lb[#Headers],0)))</f>
        <v>0.05</v>
      </c>
      <c r="Q249" s="94">
        <f>IF(INDEX(lmic_raw_lb[],MATCH($A249,lmic_raw_lb[[setting]:[setting]],0), MATCH(Q$139, lmic_raw_lb[#Headers],0))=0, INDEX(regions_lb[], MATCH($D249, regions_lb[[setting]:[setting]],0), MATCH(Q$139, regions_lb[#Headers],0)),INDEX(lmic_raw_lb[],MATCH($A249,lmic_raw_lb[[setting]:[setting]],0), MATCH(Q$139, lmic_raw_lb[#Headers],0)))</f>
        <v>5.5246599929480311</v>
      </c>
      <c r="R249" s="94">
        <f>IF(INDEX(lmic_raw_lb[],MATCH($A249,lmic_raw_lb[[setting]:[setting]],0), MATCH(R$139, lmic_raw_lb[#Headers],0))=0, INDEX(regions_lb[], MATCH($D249, regions_lb[[setting]:[setting]],0), MATCH(R$139, regions_lb[#Headers],0)),INDEX(lmic_raw_lb[],MATCH($A249,lmic_raw_lb[[setting]:[setting]],0), MATCH(R$139, lmic_raw_lb[#Headers],0)))</f>
        <v>69.430275000000009</v>
      </c>
      <c r="S249" s="94">
        <f>IF(INDEX(lmic_raw_lb[],MATCH($A249,lmic_raw_lb[[setting]:[setting]],0), MATCH(S$139, lmic_raw_lb[#Headers],0))=0, INDEX(regions_lb[], MATCH($D249, regions_lb[[setting]:[setting]],0), MATCH(S$139, regions_lb[#Headers],0)),INDEX(lmic_raw_lb[],MATCH($A249,lmic_raw_lb[[setting]:[setting]],0), MATCH(S$139, lmic_raw_lb[#Headers],0)))</f>
        <v>114.785175</v>
      </c>
      <c r="T249" s="94">
        <f>IF(INDEX(lmic_raw_lb[],MATCH($A249,lmic_raw_lb[[setting]:[setting]],0), MATCH(T$139, lmic_raw_lb[#Headers],0))=0, INDEX(regions_lb[], MATCH($D249, regions_lb[[setting]:[setting]],0), MATCH(T$139, regions_lb[#Headers],0)),INDEX(lmic_raw_lb[],MATCH($A249,lmic_raw_lb[[setting]:[setting]],0), MATCH(T$139, lmic_raw_lb[#Headers],0)))</f>
        <v>114.785175</v>
      </c>
      <c r="U249" s="94">
        <f>IF(INDEX(lmic_raw_lb[],MATCH($A249,lmic_raw_lb[[setting]:[setting]],0), MATCH(U$139, lmic_raw_lb[#Headers],0))=0, INDEX(regions_lb[], MATCH($D249, regions_lb[[setting]:[setting]],0), MATCH(U$139, regions_lb[#Headers],0)),INDEX(lmic_raw_lb[],MATCH($A249,lmic_raw_lb[[setting]:[setting]],0), MATCH(U$139, lmic_raw_lb[#Headers],0)))</f>
        <v>114.785175</v>
      </c>
      <c r="V249" s="94">
        <f>IF(INDEX(lmic_raw_lb[],MATCH($A249,lmic_raw_lb[[setting]:[setting]],0), MATCH(V$139, lmic_raw_lb[#Headers],0))=0, INDEX(regions_lb[], MATCH($D249, regions_lb[[setting]:[setting]],0), MATCH(V$139, regions_lb[#Headers],0)),INDEX(lmic_raw_lb[],MATCH($A249,lmic_raw_lb[[setting]:[setting]],0), MATCH(V$139, lmic_raw_lb[#Headers],0)))</f>
        <v>2.1366294959209782</v>
      </c>
      <c r="W249" s="94">
        <f>IF(INDEX(lmic_raw_lb[],MATCH($A249,lmic_raw_lb[[setting]:[setting]],0), MATCH(W$139, lmic_raw_lb[#Headers],0))=0, INDEX(regions_lb[], MATCH($D249, regions_lb[[setting]:[setting]],0), MATCH(W$139, regions_lb[#Headers],0)),INDEX(lmic_raw_lb[],MATCH($A249,lmic_raw_lb[[setting]:[setting]],0), MATCH(W$139, lmic_raw_lb[#Headers],0)))</f>
        <v>2.7372194959209781</v>
      </c>
      <c r="X249" s="94">
        <f>IF(INDEX(lmic_raw_lb[],MATCH($A249,lmic_raw_lb[[setting]:[setting]],0), MATCH(X$139, lmic_raw_lb[#Headers],0))=0, INDEX(regions_lb[], MATCH($D249, regions_lb[[setting]:[setting]],0), MATCH(X$139, regions_lb[#Headers],0)),INDEX(lmic_raw_lb[],MATCH($A249,lmic_raw_lb[[setting]:[setting]],0), MATCH(X$139, lmic_raw_lb[#Headers],0)))</f>
        <v>1.7691279428199003</v>
      </c>
      <c r="Y249" s="94">
        <f>IF(INDEX(lmic_raw_lb[],MATCH($A249,lmic_raw_lb[[setting]:[setting]],0), MATCH(Y$139, lmic_raw_lb[#Headers],0))=0, INDEX(regions_lb[], MATCH($D249, regions_lb[[setting]:[setting]],0), MATCH(Y$139, regions_lb[#Headers],0)),INDEX(lmic_raw_lb[],MATCH($A249,lmic_raw_lb[[setting]:[setting]],0), MATCH(Y$139, lmic_raw_lb[#Headers],0)))</f>
        <v>2.3697179428199</v>
      </c>
      <c r="Z249" s="94">
        <f>IF(INDEX(lmic_raw_lb[],MATCH($A249,lmic_raw_lb[[setting]:[setting]],0), MATCH(Z$139, lmic_raw_lb[#Headers],0))=0, INDEX(regions_lb[], MATCH($D249, regions_lb[[setting]:[setting]],0), MATCH(Z$139, regions_lb[#Headers],0)),INDEX(lmic_raw_lb[],MATCH($A249,lmic_raw_lb[[setting]:[setting]],0), MATCH(Z$139, lmic_raw_lb[#Headers],0)))</f>
        <v>2.3662856156859737</v>
      </c>
      <c r="AA249" s="94">
        <f>IF(INDEX(lmic_raw_lb[],MATCH($A249,lmic_raw_lb[[setting]:[setting]],0), MATCH(AA$139, lmic_raw_lb[#Headers],0))=0, INDEX(regions_lb[], MATCH($D249, regions_lb[[setting]:[setting]],0), MATCH(AA$139, regions_lb[#Headers],0)),INDEX(lmic_raw_lb[],MATCH($A249,lmic_raw_lb[[setting]:[setting]],0), MATCH(AA$139, lmic_raw_lb[#Headers],0)))</f>
        <v>2.3487716931999381</v>
      </c>
      <c r="AB249" s="94">
        <f>IF(INDEX(lmic_raw_lb[],MATCH($A249,lmic_raw_lb[[setting]:[setting]],0), MATCH(AB$139, lmic_raw_lb[#Headers],0))=0, INDEX(regions_lb[], MATCH($D249, regions_lb[[setting]:[setting]],0), MATCH(AB$139, regions_lb[#Headers],0)),INDEX(lmic_raw_lb[],MATCH($A249,lmic_raw_lb[[setting]:[setting]],0), MATCH(AB$139, lmic_raw_lb[#Headers],0)))</f>
        <v>2.949361693199938</v>
      </c>
      <c r="AC249" s="94">
        <f>IF(INDEX(lmic_raw_lb[],MATCH($A249,lmic_raw_lb[[setting]:[setting]],0), MATCH(AC$139, lmic_raw_lb[#Headers],0))=0, INDEX(regions_lb[], MATCH($D249, regions_lb[[setting]:[setting]],0), MATCH(AC$139, regions_lb[#Headers],0)),INDEX(lmic_raw_lb[],MATCH($A249,lmic_raw_lb[[setting]:[setting]],0), MATCH(AC$139, lmic_raw_lb[#Headers],0)))</f>
        <v>1.4683589500000031E-2</v>
      </c>
      <c r="AD249" s="94">
        <f>IF(INDEX(lmic_raw_lb[],MATCH($A249,lmic_raw_lb[[setting]:[setting]],0), MATCH(AD$139, lmic_raw_lb[#Headers],0))=0, INDEX(regions_lb[], MATCH($D249, regions_lb[[setting]:[setting]],0), MATCH(AD$139, regions_lb[#Headers],0)),INDEX(lmic_raw_lb[],MATCH($A249,lmic_raw_lb[[setting]:[setting]],0), MATCH(AD$139, lmic_raw_lb[#Headers],0)))</f>
        <v>1.1258062987338127E-3</v>
      </c>
      <c r="AE249" s="94">
        <f>IF(INDEX(lmic_raw_lb[],MATCH($A249,lmic_raw_lb[[setting]:[setting]],0), MATCH(AE$139, lmic_raw_lb[#Headers],0))=0, INDEX(regions_lb[], MATCH($D249, regions_lb[[setting]:[setting]],0), MATCH(AE$139, regions_lb[#Headers],0)),INDEX(lmic_raw_lb[],MATCH($A249,lmic_raw_lb[[setting]:[setting]],0), MATCH(AE$139, lmic_raw_lb[#Headers],0)))</f>
        <v>4.12840547210927E-4</v>
      </c>
      <c r="AF249" s="94">
        <f>IF(INDEX(lmic_raw_lb[],MATCH($A249,lmic_raw_lb[[setting]:[setting]],0), MATCH(AF$139, lmic_raw_lb[#Headers],0))=0, INDEX(regions_lb[], MATCH($D249, regions_lb[[setting]:[setting]],0), MATCH(AF$139, regions_lb[#Headers],0)),INDEX(lmic_raw_lb[],MATCH($A249,lmic_raw_lb[[setting]:[setting]],0), MATCH(AF$139, lmic_raw_lb[#Headers],0)))</f>
        <v>3.8020695527219968E-4</v>
      </c>
      <c r="AG249" s="94">
        <f>IF(INDEX(lmic_raw_lb[],MATCH($A249,lmic_raw_lb[[setting]:[setting]],0), MATCH(AG$139, lmic_raw_lb[#Headers],0))=0, INDEX(regions_lb[], MATCH($D249, regions_lb[[setting]:[setting]],0), MATCH(AG$139, regions_lb[#Headers],0)),INDEX(lmic_raw_lb[],MATCH($A249,lmic_raw_lb[[setting]:[setting]],0), MATCH(AG$139, lmic_raw_lb[#Headers],0)))</f>
        <v>8.3445199849877655E-4</v>
      </c>
      <c r="AH249" s="94">
        <f>IF(INDEX(lmic_raw_lb[],MATCH($A249,lmic_raw_lb[[setting]:[setting]],0), MATCH(AH$139, lmic_raw_lb[#Headers],0))=0, INDEX(regions_lb[], MATCH($D249, regions_lb[[setting]:[setting]],0), MATCH(AH$139, regions_lb[#Headers],0)),INDEX(lmic_raw_lb[],MATCH($A249,lmic_raw_lb[[setting]:[setting]],0), MATCH(AH$139, lmic_raw_lb[#Headers],0)))</f>
        <v>1.0937191795977778E-3</v>
      </c>
      <c r="AI249" s="94">
        <f>IF(INDEX(lmic_raw_lb[],MATCH($A249,lmic_raw_lb[[setting]:[setting]],0), MATCH(AI$139, lmic_raw_lb[#Headers],0))=0, INDEX(regions_lb[], MATCH($D249, regions_lb[[setting]:[setting]],0), MATCH(AI$139, regions_lb[#Headers],0)),INDEX(lmic_raw_lb[],MATCH($A249,lmic_raw_lb[[setting]:[setting]],0), MATCH(AI$139, lmic_raw_lb[#Headers],0)))</f>
        <v>1.1538798804057791E-3</v>
      </c>
      <c r="AJ249" s="94">
        <f>IF(INDEX(lmic_raw_lb[],MATCH($A249,lmic_raw_lb[[setting]:[setting]],0), MATCH(AJ$139, lmic_raw_lb[#Headers],0))=0, INDEX(regions_lb[], MATCH($D249, regions_lb[[setting]:[setting]],0), MATCH(AJ$139, regions_lb[#Headers],0)),INDEX(lmic_raw_lb[],MATCH($A249,lmic_raw_lb[[setting]:[setting]],0), MATCH(AJ$139, lmic_raw_lb[#Headers],0)))</f>
        <v>1.3713489312783555E-3</v>
      </c>
      <c r="AK249" s="94">
        <f>IF(INDEX(lmic_raw_lb[],MATCH($A249,lmic_raw_lb[[setting]:[setting]],0), MATCH(AK$139, lmic_raw_lb[#Headers],0))=0, INDEX(regions_lb[], MATCH($D249, regions_lb[[setting]:[setting]],0), MATCH(AK$139, regions_lb[#Headers],0)),INDEX(lmic_raw_lb[],MATCH($A249,lmic_raw_lb[[setting]:[setting]],0), MATCH(AK$139, lmic_raw_lb[#Headers],0)))</f>
        <v>1.8467632728515356E-3</v>
      </c>
      <c r="AL249" s="94">
        <f>IF(INDEX(lmic_raw_lb[],MATCH($A249,lmic_raw_lb[[setting]:[setting]],0), MATCH(AL$139, lmic_raw_lb[#Headers],0))=0, INDEX(regions_lb[], MATCH($D249, regions_lb[[setting]:[setting]],0), MATCH(AL$139, regions_lb[#Headers],0)),INDEX(lmic_raw_lb[],MATCH($A249,lmic_raw_lb[[setting]:[setting]],0), MATCH(AL$139, lmic_raw_lb[#Headers],0)))</f>
        <v>2.65993147666122E-3</v>
      </c>
      <c r="AM249" s="94">
        <f>IF(INDEX(lmic_raw_lb[],MATCH($A249,lmic_raw_lb[[setting]:[setting]],0), MATCH(AM$139, lmic_raw_lb[#Headers],0))=0, INDEX(regions_lb[], MATCH($D249, regions_lb[[setting]:[setting]],0), MATCH(AM$139, regions_lb[#Headers],0)),INDEX(lmic_raw_lb[],MATCH($A249,lmic_raw_lb[[setting]:[setting]],0), MATCH(AM$139, lmic_raw_lb[#Headers],0)))</f>
        <v>4.098586930484263E-3</v>
      </c>
      <c r="AN249" s="94">
        <f>IF(INDEX(lmic_raw_lb[],MATCH($A249,lmic_raw_lb[[setting]:[setting]],0), MATCH(AN$139, lmic_raw_lb[#Headers],0))=0, INDEX(regions_lb[], MATCH($D249, regions_lb[[setting]:[setting]],0), MATCH(AN$139, regions_lb[#Headers],0)),INDEX(lmic_raw_lb[],MATCH($A249,lmic_raw_lb[[setting]:[setting]],0), MATCH(AN$139, lmic_raw_lb[#Headers],0)))</f>
        <v>6.3713836341642138E-3</v>
      </c>
      <c r="AO249" s="94">
        <f>IF(INDEX(lmic_raw_lb[],MATCH($A249,lmic_raw_lb[[setting]:[setting]],0), MATCH(AO$139, lmic_raw_lb[#Headers],0))=0, INDEX(regions_lb[], MATCH($D249, regions_lb[[setting]:[setting]],0), MATCH(AO$139, regions_lb[#Headers],0)),INDEX(lmic_raw_lb[],MATCH($A249,lmic_raw_lb[[setting]:[setting]],0), MATCH(AO$139, lmic_raw_lb[#Headers],0)))</f>
        <v>9.9450535883332282E-3</v>
      </c>
      <c r="AP249" s="94">
        <f>IF(INDEX(lmic_raw_lb[],MATCH($A249,lmic_raw_lb[[setting]:[setting]],0), MATCH(AP$139, lmic_raw_lb[#Headers],0))=0, INDEX(regions_lb[], MATCH($D249, regions_lb[[setting]:[setting]],0), MATCH(AP$139, regions_lb[#Headers],0)),INDEX(lmic_raw_lb[],MATCH($A249,lmic_raw_lb[[setting]:[setting]],0), MATCH(AP$139, lmic_raw_lb[#Headers],0)))</f>
        <v>1.4817790395592147E-2</v>
      </c>
      <c r="AQ249" s="94">
        <f>IF(INDEX(lmic_raw_lb[],MATCH($A249,lmic_raw_lb[[setting]:[setting]],0), MATCH(AQ$139, lmic_raw_lb[#Headers],0))=0, INDEX(regions_lb[], MATCH($D249, regions_lb[[setting]:[setting]],0), MATCH(AQ$139, regions_lb[#Headers],0)),INDEX(lmic_raw_lb[],MATCH($A249,lmic_raw_lb[[setting]:[setting]],0), MATCH(AQ$139, lmic_raw_lb[#Headers],0)))</f>
        <v>2.1849274250210899E-2</v>
      </c>
      <c r="AR249" s="94">
        <f>IF(INDEX(lmic_raw_lb[],MATCH($A249,lmic_raw_lb[[setting]:[setting]],0), MATCH(AR$139, lmic_raw_lb[#Headers],0))=0, INDEX(regions_lb[], MATCH($D249, regions_lb[[setting]:[setting]],0), MATCH(AR$139, regions_lb[#Headers],0)),INDEX(lmic_raw_lb[],MATCH($A249,lmic_raw_lb[[setting]:[setting]],0), MATCH(AR$139, lmic_raw_lb[#Headers],0)))</f>
        <v>3.347467430050096E-2</v>
      </c>
      <c r="AS249" s="94">
        <f>IF(INDEX(lmic_raw_lb[],MATCH($A249,lmic_raw_lb[[setting]:[setting]],0), MATCH(AS$139, lmic_raw_lb[#Headers],0))=0, INDEX(regions_lb[], MATCH($D249, regions_lb[[setting]:[setting]],0), MATCH(AS$139, regions_lb[#Headers],0)),INDEX(lmic_raw_lb[],MATCH($A249,lmic_raw_lb[[setting]:[setting]],0), MATCH(AS$139, lmic_raw_lb[#Headers],0)))</f>
        <v>5.292550992805261E-2</v>
      </c>
      <c r="AT249" s="94">
        <f>IF(INDEX(lmic_raw_lb[],MATCH($A249,lmic_raw_lb[[setting]:[setting]],0), MATCH(AT$139, lmic_raw_lb[#Headers],0))=0, INDEX(regions_lb[], MATCH($D249, regions_lb[[setting]:[setting]],0), MATCH(AT$139, regions_lb[#Headers],0)),INDEX(lmic_raw_lb[],MATCH($A249,lmic_raw_lb[[setting]:[setting]],0), MATCH(AT$139, lmic_raw_lb[#Headers],0)))</f>
        <v>7.9132952943306009E-2</v>
      </c>
      <c r="AU249" s="94">
        <f>IF(INDEX(lmic_raw_lb[],MATCH($A249,lmic_raw_lb[[setting]:[setting]],0), MATCH(AU$139, lmic_raw_lb[#Headers],0))=0, INDEX(regions_lb[], MATCH($D249, regions_lb[[setting]:[setting]],0), MATCH(AU$139, regions_lb[#Headers],0)),INDEX(lmic_raw_lb[],MATCH($A249,lmic_raw_lb[[setting]:[setting]],0), MATCH(AU$139, lmic_raw_lb[#Headers],0)))</f>
        <v>0.11064353029127313</v>
      </c>
      <c r="AV249" s="94">
        <f>IF(INDEX(lmic_raw_lb[],MATCH($A249,lmic_raw_lb[[setting]:[setting]],0), MATCH(AV$139, lmic_raw_lb[#Headers],0))=0, INDEX(regions_lb[], MATCH($D249, regions_lb[[setting]:[setting]],0), MATCH(AV$139, regions_lb[#Headers],0)),INDEX(lmic_raw_lb[],MATCH($A249,lmic_raw_lb[[setting]:[setting]],0), MATCH(AV$139, lmic_raw_lb[#Headers],0)))</f>
        <v>0.13961609617554133</v>
      </c>
      <c r="AW249" s="94">
        <f>IF(INDEX(lmic_raw_lb[],MATCH($A249,lmic_raw_lb[[setting]:[setting]],0), MATCH(AW$139, lmic_raw_lb[#Headers],0))=0, INDEX(regions_lb[], MATCH($D249, regions_lb[[setting]:[setting]],0), MATCH(AW$139, regions_lb[#Headers],0)),INDEX(lmic_raw_lb[],MATCH($A249,lmic_raw_lb[[setting]:[setting]],0), MATCH(AW$139, lmic_raw_lb[#Headers],0)))</f>
        <v>0.16169968345910765</v>
      </c>
      <c r="AX249" s="94">
        <f>IF(INDEX(lmic_raw_lb[],MATCH($A249,lmic_raw_lb[[setting]:[setting]],0), MATCH(AX$139, lmic_raw_lb[#Headers],0))=0, INDEX(regions_lb[], MATCH($D249, regions_lb[[setting]:[setting]],0), MATCH(AX$139, regions_lb[#Headers],0)),INDEX(lmic_raw_lb[],MATCH($A249,lmic_raw_lb[[setting]:[setting]],0), MATCH(AX$139, lmic_raw_lb[#Headers],0)))</f>
        <v>69.134349999999998</v>
      </c>
      <c r="AY249" s="94" t="str">
        <f>IF(VLOOKUP(lmics_lb[[#This Row],[setting]],lmic_raw_lb[],11,FALSE)=0, "Yes", "No")</f>
        <v>No</v>
      </c>
    </row>
    <row r="250" spans="1:51" x14ac:dyDescent="0.25">
      <c r="A250" s="109" t="s">
        <v>115</v>
      </c>
      <c r="B250" s="101" t="s">
        <v>513</v>
      </c>
      <c r="C250" s="102">
        <v>706</v>
      </c>
      <c r="D250" s="82" t="s">
        <v>673</v>
      </c>
      <c r="E250" s="121" t="s">
        <v>597</v>
      </c>
      <c r="F250" s="98" t="s">
        <v>667</v>
      </c>
      <c r="G250" s="98" t="s">
        <v>674</v>
      </c>
      <c r="H250" s="98"/>
      <c r="I250" s="98"/>
      <c r="J250" s="98">
        <f>IF(INDEX(lmic_raw_lb[],MATCH($A250,lmic_raw_lb[[setting]:[setting]],0), MATCH(J$139, lmic_raw_lb[#Headers],0))=0, INDEX(regions_lb[], MATCH($D250, regions_lb[[setting]:[setting]],0), MATCH(J$139, regions_lb[#Headers],0)),INDEX(lmic_raw_lb[],MATCH($A250,lmic_raw_lb[[setting]:[setting]],0), MATCH(J$139, lmic_raw_lb[#Headers],0)))</f>
        <v>0.19664999999999999</v>
      </c>
      <c r="K250" s="98">
        <f>IF(INDEX(lmic_raw_lb[],MATCH($A250,lmic_raw_lb[[setting]:[setting]],0), MATCH(K$139, lmic_raw_lb[#Headers],0))=0, INDEX(regions_lb[], MATCH($D250, regions_lb[[setting]:[setting]],0), MATCH(K$139, regions_lb[#Headers],0)),INDEX(lmic_raw_lb[],MATCH($A250,lmic_raw_lb[[setting]:[setting]],0), MATCH(K$139, lmic_raw_lb[#Headers],0)))</f>
        <v>0.67438226776312915</v>
      </c>
      <c r="L250" s="98">
        <f>IF(INDEX(lmic_raw_lb[],MATCH($A250,lmic_raw_lb[[setting]:[setting]],0), MATCH(L$139, lmic_raw_lb[#Headers],0))=0, INDEX(regions_lb[], MATCH($D250, regions_lb[[setting]:[setting]],0), MATCH(L$139, regions_lb[#Headers],0)),INDEX(lmic_raw_lb[],MATCH($A250,lmic_raw_lb[[setting]:[setting]],0), MATCH(L$139, lmic_raw_lb[#Headers],0)))</f>
        <v>0.39899999999999997</v>
      </c>
      <c r="M250" s="98">
        <f>IF(INDEX(lmic_raw_lb[],MATCH($A250,lmic_raw_lb[[setting]:[setting]],0), MATCH(M$139, lmic_raw_lb[#Headers],0))=0, INDEX(regions_lb[], MATCH($D250, regions_lb[[setting]:[setting]],0), MATCH(M$139, regions_lb[#Headers],0)),INDEX(lmic_raw_lb[],MATCH($A250,lmic_raw_lb[[setting]:[setting]],0), MATCH(M$139, lmic_raw_lb[#Headers],0)))</f>
        <v>0.1104</v>
      </c>
      <c r="N250" s="98">
        <f>IF(INDEX(lmic_raw_lb[],MATCH($A250,lmic_raw_lb[[setting]:[setting]],0), MATCH(N$139, lmic_raw_lb[#Headers],0))=0, INDEX(regions_lb[], MATCH($D250, regions_lb[[setting]:[setting]],0), MATCH(N$139, regions_lb[#Headers],0)),INDEX(lmic_raw_lb[],MATCH($A250,lmic_raw_lb[[setting]:[setting]],0), MATCH(N$139, lmic_raw_lb[#Headers],0)))</f>
        <v>0.15560000000000002</v>
      </c>
      <c r="O250" s="98">
        <f>IF(INDEX(lmic_raw_lb[],MATCH($A250,lmic_raw_lb[[setting]:[setting]],0), MATCH(O$139, lmic_raw_lb[#Headers],0))=0, INDEX(regions_lb[], MATCH($D250, regions_lb[[setting]:[setting]],0), MATCH(O$139, regions_lb[#Headers],0)),INDEX(lmic_raw_lb[],MATCH($A250,lmic_raw_lb[[setting]:[setting]],0), MATCH(O$139, lmic_raw_lb[#Headers],0)))</f>
        <v>7.0000000000000007E-2</v>
      </c>
      <c r="P250" s="98">
        <f>IF(INDEX(lmic_raw_lb[],MATCH($A250,lmic_raw_lb[[setting]:[setting]],0), MATCH(P$139, lmic_raw_lb[#Headers],0))=0, INDEX(regions_lb[], MATCH($D250, regions_lb[[setting]:[setting]],0), MATCH(P$139, regions_lb[#Headers],0)),INDEX(lmic_raw_lb[],MATCH($A250,lmic_raw_lb[[setting]:[setting]],0), MATCH(P$139, lmic_raw_lb[#Headers],0)))</f>
        <v>1E-3</v>
      </c>
      <c r="Q250" s="98">
        <f>IF(INDEX(lmic_raw_lb[],MATCH($A250,lmic_raw_lb[[setting]:[setting]],0), MATCH(Q$139, lmic_raw_lb[#Headers],0))=0, INDEX(regions_lb[], MATCH($D250, regions_lb[[setting]:[setting]],0), MATCH(Q$139, regions_lb[#Headers],0)),INDEX(lmic_raw_lb[],MATCH($A250,lmic_raw_lb[[setting]:[setting]],0), MATCH(Q$139, lmic_raw_lb[#Headers],0)))</f>
        <v>6.2315096077367231</v>
      </c>
      <c r="R250" s="98">
        <f>IF(INDEX(lmic_raw_lb[],MATCH($A250,lmic_raw_lb[[setting]:[setting]],0), MATCH(R$139, lmic_raw_lb[#Headers],0))=0, INDEX(regions_lb[], MATCH($D250, regions_lb[[setting]:[setting]],0), MATCH(R$139, regions_lb[#Headers],0)),INDEX(lmic_raw_lb[],MATCH($A250,lmic_raw_lb[[setting]:[setting]],0), MATCH(R$139, lmic_raw_lb[#Headers],0)))</f>
        <v>28.424474999999997</v>
      </c>
      <c r="S250" s="98">
        <f>IF(INDEX(lmic_raw_lb[],MATCH($A250,lmic_raw_lb[[setting]:[setting]],0), MATCH(S$139, lmic_raw_lb[#Headers],0))=0, INDEX(regions_lb[], MATCH($D250, regions_lb[[setting]:[setting]],0), MATCH(S$139, regions_lb[#Headers],0)),INDEX(lmic_raw_lb[],MATCH($A250,lmic_raw_lb[[setting]:[setting]],0), MATCH(S$139, lmic_raw_lb[#Headers],0)))</f>
        <v>73.779375000000002</v>
      </c>
      <c r="T250" s="98">
        <f>IF(INDEX(lmic_raw_lb[],MATCH($A250,lmic_raw_lb[[setting]:[setting]],0), MATCH(T$139, lmic_raw_lb[#Headers],0))=0, INDEX(regions_lb[], MATCH($D250, regions_lb[[setting]:[setting]],0), MATCH(T$139, regions_lb[#Headers],0)),INDEX(lmic_raw_lb[],MATCH($A250,lmic_raw_lb[[setting]:[setting]],0), MATCH(T$139, lmic_raw_lb[#Headers],0)))</f>
        <v>73.779375000000002</v>
      </c>
      <c r="U250" s="98">
        <f>IF(INDEX(lmic_raw_lb[],MATCH($A250,lmic_raw_lb[[setting]:[setting]],0), MATCH(U$139, lmic_raw_lb[#Headers],0))=0, INDEX(regions_lb[], MATCH($D250, regions_lb[[setting]:[setting]],0), MATCH(U$139, regions_lb[#Headers],0)),INDEX(lmic_raw_lb[],MATCH($A250,lmic_raw_lb[[setting]:[setting]],0), MATCH(U$139, lmic_raw_lb[#Headers],0)))</f>
        <v>73.779375000000002</v>
      </c>
      <c r="V250" s="98">
        <f>IF(INDEX(lmic_raw_lb[],MATCH($A250,lmic_raw_lb[[setting]:[setting]],0), MATCH(V$139, lmic_raw_lb[#Headers],0))=0, INDEX(regions_lb[], MATCH($D250, regions_lb[[setting]:[setting]],0), MATCH(V$139, regions_lb[#Headers],0)),INDEX(lmic_raw_lb[],MATCH($A250,lmic_raw_lb[[setting]:[setting]],0), MATCH(V$139, lmic_raw_lb[#Headers],0)))</f>
        <v>0.43522724686196379</v>
      </c>
      <c r="W250" s="98">
        <f>IF(INDEX(lmic_raw_lb[],MATCH($A250,lmic_raw_lb[[setting]:[setting]],0), MATCH(W$139, lmic_raw_lb[#Headers],0))=0, INDEX(regions_lb[], MATCH($D250, regions_lb[[setting]:[setting]],0), MATCH(W$139, regions_lb[#Headers],0)),INDEX(lmic_raw_lb[],MATCH($A250,lmic_raw_lb[[setting]:[setting]],0), MATCH(W$139, lmic_raw_lb[#Headers],0)))</f>
        <v>5.0224922468619644</v>
      </c>
      <c r="X250" s="98">
        <f>IF(INDEX(lmic_raw_lb[],MATCH($A250,lmic_raw_lb[[setting]:[setting]],0), MATCH(X$139, lmic_raw_lb[#Headers],0))=0, INDEX(regions_lb[], MATCH($D250, regions_lb[[setting]:[setting]],0), MATCH(X$139, regions_lb[#Headers],0)),INDEX(lmic_raw_lb[],MATCH($A250,lmic_raw_lb[[setting]:[setting]],0), MATCH(X$139, lmic_raw_lb[#Headers],0)))</f>
        <v>7.2750149255774138E-2</v>
      </c>
      <c r="Y250" s="98">
        <f>IF(INDEX(lmic_raw_lb[],MATCH($A250,lmic_raw_lb[[setting]:[setting]],0), MATCH(Y$139, lmic_raw_lb[#Headers],0))=0, INDEX(regions_lb[], MATCH($D250, regions_lb[[setting]:[setting]],0), MATCH(Y$139, regions_lb[#Headers],0)),INDEX(lmic_raw_lb[],MATCH($A250,lmic_raw_lb[[setting]:[setting]],0), MATCH(Y$139, lmic_raw_lb[#Headers],0)))</f>
        <v>4.6600151492557744</v>
      </c>
      <c r="Z250" s="98">
        <f>IF(INDEX(lmic_raw_lb[],MATCH($A250,lmic_raw_lb[[setting]:[setting]],0), MATCH(Z$139, lmic_raw_lb[#Headers],0))=0, INDEX(regions_lb[], MATCH($D250, regions_lb[[setting]:[setting]],0), MATCH(Z$139, regions_lb[#Headers],0)),INDEX(lmic_raw_lb[],MATCH($A250,lmic_raw_lb[[setting]:[setting]],0), MATCH(Z$139, lmic_raw_lb[#Headers],0)))</f>
        <v>4.6597273628132774</v>
      </c>
      <c r="AA250" s="98">
        <f>IF(INDEX(lmic_raw_lb[],MATCH($A250,lmic_raw_lb[[setting]:[setting]],0), MATCH(AA$139, lmic_raw_lb[#Headers],0))=0, INDEX(regions_lb[], MATCH($D250, regions_lb[[setting]:[setting]],0), MATCH(AA$139, regions_lb[#Headers],0)),INDEX(lmic_raw_lb[],MATCH($A250,lmic_raw_lb[[setting]:[setting]],0), MATCH(AA$139, lmic_raw_lb[#Headers],0)))</f>
        <v>0.64521610607168578</v>
      </c>
      <c r="AB250" s="98">
        <f>IF(INDEX(lmic_raw_lb[],MATCH($A250,lmic_raw_lb[[setting]:[setting]],0), MATCH(AB$139, lmic_raw_lb[#Headers],0))=0, INDEX(regions_lb[], MATCH($D250, regions_lb[[setting]:[setting]],0), MATCH(AB$139, regions_lb[#Headers],0)),INDEX(lmic_raw_lb[],MATCH($A250,lmic_raw_lb[[setting]:[setting]],0), MATCH(AB$139, lmic_raw_lb[#Headers],0)))</f>
        <v>5.2324811060716865</v>
      </c>
      <c r="AC250" s="98">
        <f>IF(INDEX(lmic_raw_lb[],MATCH($A250,lmic_raw_lb[[setting]:[setting]],0), MATCH(AC$139, lmic_raw_lb[#Headers],0))=0, INDEX(regions_lb[], MATCH($D250, regions_lb[[setting]:[setting]],0), MATCH(AC$139, regions_lb[#Headers],0)),INDEX(lmic_raw_lb[],MATCH($A250,lmic_raw_lb[[setting]:[setting]],0), MATCH(AC$139, lmic_raw_lb[#Headers],0)))</f>
        <v>6.5857514999999964E-2</v>
      </c>
      <c r="AD250" s="98">
        <f>IF(INDEX(lmic_raw_lb[],MATCH($A250,lmic_raw_lb[[setting]:[setting]],0), MATCH(AD$139, lmic_raw_lb[#Headers],0))=0, INDEX(regions_lb[], MATCH($D250, regions_lb[[setting]:[setting]],0), MATCH(AD$139, regions_lb[#Headers],0)),INDEX(lmic_raw_lb[],MATCH($A250,lmic_raw_lb[[setting]:[setting]],0), MATCH(AD$139, lmic_raw_lb[#Headers],0)))</f>
        <v>1.1677759227348998E-2</v>
      </c>
      <c r="AE250" s="98">
        <f>IF(INDEX(lmic_raw_lb[],MATCH($A250,lmic_raw_lb[[setting]:[setting]],0), MATCH(AE$139, lmic_raw_lb[#Headers],0))=0, INDEX(regions_lb[], MATCH($D250, regions_lb[[setting]:[setting]],0), MATCH(AE$139, regions_lb[#Headers],0)),INDEX(lmic_raw_lb[],MATCH($A250,lmic_raw_lb[[setting]:[setting]],0), MATCH(AE$139, lmic_raw_lb[#Headers],0)))</f>
        <v>3.8513783351493153E-3</v>
      </c>
      <c r="AF250" s="98">
        <f>IF(INDEX(lmic_raw_lb[],MATCH($A250,lmic_raw_lb[[setting]:[setting]],0), MATCH(AF$139, lmic_raw_lb[#Headers],0))=0, INDEX(regions_lb[], MATCH($D250, regions_lb[[setting]:[setting]],0), MATCH(AF$139, regions_lb[#Headers],0)),INDEX(lmic_raw_lb[],MATCH($A250,lmic_raw_lb[[setting]:[setting]],0), MATCH(AF$139, lmic_raw_lb[#Headers],0)))</f>
        <v>2.7676980886938434E-3</v>
      </c>
      <c r="AG250" s="98">
        <f>IF(INDEX(lmic_raw_lb[],MATCH($A250,lmic_raw_lb[[setting]:[setting]],0), MATCH(AG$139, lmic_raw_lb[#Headers],0))=0, INDEX(regions_lb[], MATCH($D250, regions_lb[[setting]:[setting]],0), MATCH(AG$139, regions_lb[#Headers],0)),INDEX(lmic_raw_lb[],MATCH($A250,lmic_raw_lb[[setting]:[setting]],0), MATCH(AG$139, lmic_raw_lb[#Headers],0)))</f>
        <v>2.942808432734991E-3</v>
      </c>
      <c r="AH250" s="98">
        <f>IF(INDEX(lmic_raw_lb[],MATCH($A250,lmic_raw_lb[[setting]:[setting]],0), MATCH(AH$139, lmic_raw_lb[#Headers],0))=0, INDEX(regions_lb[], MATCH($D250, regions_lb[[setting]:[setting]],0), MATCH(AH$139, regions_lb[#Headers],0)),INDEX(lmic_raw_lb[],MATCH($A250,lmic_raw_lb[[setting]:[setting]],0), MATCH(AH$139, lmic_raw_lb[#Headers],0)))</f>
        <v>3.8709922255325269E-3</v>
      </c>
      <c r="AI250" s="98">
        <f>IF(INDEX(lmic_raw_lb[],MATCH($A250,lmic_raw_lb[[setting]:[setting]],0), MATCH(AI$139, lmic_raw_lb[#Headers],0))=0, INDEX(regions_lb[], MATCH($D250, regions_lb[[setting]:[setting]],0), MATCH(AI$139, regions_lb[#Headers],0)),INDEX(lmic_raw_lb[],MATCH($A250,lmic_raw_lb[[setting]:[setting]],0), MATCH(AI$139, lmic_raw_lb[#Headers],0)))</f>
        <v>4.6810245395295033E-3</v>
      </c>
      <c r="AJ250" s="98">
        <f>IF(INDEX(lmic_raw_lb[],MATCH($A250,lmic_raw_lb[[setting]:[setting]],0), MATCH(AJ$139, lmic_raw_lb[#Headers],0))=0, INDEX(regions_lb[], MATCH($D250, regions_lb[[setting]:[setting]],0), MATCH(AJ$139, regions_lb[#Headers],0)),INDEX(lmic_raw_lb[],MATCH($A250,lmic_raw_lb[[setting]:[setting]],0), MATCH(AJ$139, lmic_raw_lb[#Headers],0)))</f>
        <v>5.5125376709713701E-3</v>
      </c>
      <c r="AK250" s="98">
        <f>IF(INDEX(lmic_raw_lb[],MATCH($A250,lmic_raw_lb[[setting]:[setting]],0), MATCH(AK$139, lmic_raw_lb[#Headers],0))=0, INDEX(regions_lb[], MATCH($D250, regions_lb[[setting]:[setting]],0), MATCH(AK$139, regions_lb[#Headers],0)),INDEX(lmic_raw_lb[],MATCH($A250,lmic_raw_lb[[setting]:[setting]],0), MATCH(AK$139, lmic_raw_lb[#Headers],0)))</f>
        <v>6.7818911778017238E-3</v>
      </c>
      <c r="AL250" s="98">
        <f>IF(INDEX(lmic_raw_lb[],MATCH($A250,lmic_raw_lb[[setting]:[setting]],0), MATCH(AL$139, lmic_raw_lb[#Headers],0))=0, INDEX(regions_lb[], MATCH($D250, regions_lb[[setting]:[setting]],0), MATCH(AL$139, regions_lb[#Headers],0)),INDEX(lmic_raw_lb[],MATCH($A250,lmic_raw_lb[[setting]:[setting]],0), MATCH(AL$139, lmic_raw_lb[#Headers],0)))</f>
        <v>7.6960582100869066E-3</v>
      </c>
      <c r="AM250" s="98">
        <f>IF(INDEX(lmic_raw_lb[],MATCH($A250,lmic_raw_lb[[setting]:[setting]],0), MATCH(AM$139, lmic_raw_lb[#Headers],0))=0, INDEX(regions_lb[], MATCH($D250, regions_lb[[setting]:[setting]],0), MATCH(AM$139, regions_lb[#Headers],0)),INDEX(lmic_raw_lb[],MATCH($A250,lmic_raw_lb[[setting]:[setting]],0), MATCH(AM$139, lmic_raw_lb[#Headers],0)))</f>
        <v>8.86515447684867E-3</v>
      </c>
      <c r="AN250" s="98">
        <f>IF(INDEX(lmic_raw_lb[],MATCH($A250,lmic_raw_lb[[setting]:[setting]],0), MATCH(AN$139, lmic_raw_lb[#Headers],0))=0, INDEX(regions_lb[], MATCH($D250, regions_lb[[setting]:[setting]],0), MATCH(AN$139, regions_lb[#Headers],0)),INDEX(lmic_raw_lb[],MATCH($A250,lmic_raw_lb[[setting]:[setting]],0), MATCH(AN$139, lmic_raw_lb[#Headers],0)))</f>
        <v>1.1012151722422462E-2</v>
      </c>
      <c r="AO250" s="98">
        <f>IF(INDEX(lmic_raw_lb[],MATCH($A250,lmic_raw_lb[[setting]:[setting]],0), MATCH(AO$139, lmic_raw_lb[#Headers],0))=0, INDEX(regions_lb[], MATCH($D250, regions_lb[[setting]:[setting]],0), MATCH(AO$139, regions_lb[#Headers],0)),INDEX(lmic_raw_lb[],MATCH($A250,lmic_raw_lb[[setting]:[setting]],0), MATCH(AO$139, lmic_raw_lb[#Headers],0)))</f>
        <v>1.4752872439837198E-2</v>
      </c>
      <c r="AP250" s="98">
        <f>IF(INDEX(lmic_raw_lb[],MATCH($A250,lmic_raw_lb[[setting]:[setting]],0), MATCH(AP$139, lmic_raw_lb[#Headers],0))=0, INDEX(regions_lb[], MATCH($D250, regions_lb[[setting]:[setting]],0), MATCH(AP$139, regions_lb[#Headers],0)),INDEX(lmic_raw_lb[],MATCH($A250,lmic_raw_lb[[setting]:[setting]],0), MATCH(AP$139, lmic_raw_lb[#Headers],0)))</f>
        <v>2.1293955313521181E-2</v>
      </c>
      <c r="AQ250" s="98">
        <f>IF(INDEX(lmic_raw_lb[],MATCH($A250,lmic_raw_lb[[setting]:[setting]],0), MATCH(AQ$139, lmic_raw_lb[#Headers],0))=0, INDEX(regions_lb[], MATCH($D250, regions_lb[[setting]:[setting]],0), MATCH(AQ$139, regions_lb[#Headers],0)),INDEX(lmic_raw_lb[],MATCH($A250,lmic_raw_lb[[setting]:[setting]],0), MATCH(AQ$139, lmic_raw_lb[#Headers],0)))</f>
        <v>3.1877972823743939E-2</v>
      </c>
      <c r="AR250" s="98">
        <f>IF(INDEX(lmic_raw_lb[],MATCH($A250,lmic_raw_lb[[setting]:[setting]],0), MATCH(AR$139, lmic_raw_lb[#Headers],0))=0, INDEX(regions_lb[], MATCH($D250, regions_lb[[setting]:[setting]],0), MATCH(AR$139, regions_lb[#Headers],0)),INDEX(lmic_raw_lb[],MATCH($A250,lmic_raw_lb[[setting]:[setting]],0), MATCH(AR$139, lmic_raw_lb[#Headers],0)))</f>
        <v>4.7904636138655983E-2</v>
      </c>
      <c r="AS250" s="98">
        <f>IF(INDEX(lmic_raw_lb[],MATCH($A250,lmic_raw_lb[[setting]:[setting]],0), MATCH(AS$139, lmic_raw_lb[#Headers],0))=0, INDEX(regions_lb[], MATCH($D250, regions_lb[[setting]:[setting]],0), MATCH(AS$139, regions_lb[#Headers],0)),INDEX(lmic_raw_lb[],MATCH($A250,lmic_raw_lb[[setting]:[setting]],0), MATCH(AS$139, lmic_raw_lb[#Headers],0)))</f>
        <v>7.002960184351141E-2</v>
      </c>
      <c r="AT250" s="98">
        <f>IF(INDEX(lmic_raw_lb[],MATCH($A250,lmic_raw_lb[[setting]:[setting]],0), MATCH(AT$139, lmic_raw_lb[#Headers],0))=0, INDEX(regions_lb[], MATCH($D250, regions_lb[[setting]:[setting]],0), MATCH(AT$139, regions_lb[#Headers],0)),INDEX(lmic_raw_lb[],MATCH($A250,lmic_raw_lb[[setting]:[setting]],0), MATCH(AT$139, lmic_raw_lb[#Headers],0)))</f>
        <v>9.720363087784227E-2</v>
      </c>
      <c r="AU250" s="98">
        <f>IF(INDEX(lmic_raw_lb[],MATCH($A250,lmic_raw_lb[[setting]:[setting]],0), MATCH(AU$139, lmic_raw_lb[#Headers],0))=0, INDEX(regions_lb[], MATCH($D250, regions_lb[[setting]:[setting]],0), MATCH(AU$139, regions_lb[#Headers],0)),INDEX(lmic_raw_lb[],MATCH($A250,lmic_raw_lb[[setting]:[setting]],0), MATCH(AU$139, lmic_raw_lb[#Headers],0)))</f>
        <v>0.12548940726041705</v>
      </c>
      <c r="AV250" s="98">
        <f>IF(INDEX(lmic_raw_lb[],MATCH($A250,lmic_raw_lb[[setting]:[setting]],0), MATCH(AV$139, lmic_raw_lb[#Headers],0))=0, INDEX(regions_lb[], MATCH($D250, regions_lb[[setting]:[setting]],0), MATCH(AV$139, regions_lb[#Headers],0)),INDEX(lmic_raw_lb[],MATCH($A250,lmic_raw_lb[[setting]:[setting]],0), MATCH(AV$139, lmic_raw_lb[#Headers],0)))</f>
        <v>0.15012461204211114</v>
      </c>
      <c r="AW250" s="98">
        <f>IF(INDEX(lmic_raw_lb[],MATCH($A250,lmic_raw_lb[[setting]:[setting]],0), MATCH(AW$139, lmic_raw_lb[#Headers],0))=0, INDEX(regions_lb[], MATCH($D250, regions_lb[[setting]:[setting]],0), MATCH(AW$139, regions_lb[#Headers],0)),INDEX(lmic_raw_lb[],MATCH($A250,lmic_raw_lb[[setting]:[setting]],0), MATCH(AW$139, lmic_raw_lb[#Headers],0)))</f>
        <v>0.16680832653356581</v>
      </c>
      <c r="AX250" s="98">
        <f>IF(INDEX(lmic_raw_lb[],MATCH($A250,lmic_raw_lb[[setting]:[setting]],0), MATCH(AX$139, lmic_raw_lb[#Headers],0))=0, INDEX(regions_lb[], MATCH($D250, regions_lb[[setting]:[setting]],0), MATCH(AX$139, regions_lb[#Headers],0)),INDEX(lmic_raw_lb[],MATCH($A250,lmic_raw_lb[[setting]:[setting]],0), MATCH(AX$139, lmic_raw_lb[#Headers],0)))</f>
        <v>54.09395</v>
      </c>
      <c r="AY250" s="98" t="str">
        <f>IF(VLOOKUP(lmics_lb[[#This Row],[setting]],lmic_raw_lb[],11,FALSE)=0, "Yes", "No")</f>
        <v>Yes</v>
      </c>
    </row>
    <row r="251" spans="1:51" x14ac:dyDescent="0.25">
      <c r="A251" s="110" t="s">
        <v>136</v>
      </c>
      <c r="B251" s="104" t="s">
        <v>514</v>
      </c>
      <c r="C251" s="105">
        <v>710</v>
      </c>
      <c r="D251" s="84" t="s">
        <v>677</v>
      </c>
      <c r="E251" s="122" t="s">
        <v>594</v>
      </c>
      <c r="F251" s="94" t="s">
        <v>667</v>
      </c>
      <c r="G251" s="94" t="s">
        <v>676</v>
      </c>
      <c r="H251" s="94"/>
      <c r="I251" s="94"/>
      <c r="J251" s="94">
        <f>IF(INDEX(lmic_raw_lb[],MATCH($A251,lmic_raw_lb[[setting]:[setting]],0), MATCH(J$139, lmic_raw_lb[#Headers],0))=0, INDEX(regions_lb[], MATCH($D251, regions_lb[[setting]:[setting]],0), MATCH(J$139, regions_lb[#Headers],0)),INDEX(lmic_raw_lb[],MATCH($A251,lmic_raw_lb[[setting]:[setting]],0), MATCH(J$139, lmic_raw_lb[#Headers],0)))</f>
        <v>0.91105000000000003</v>
      </c>
      <c r="K251" s="94">
        <f>IF(INDEX(lmic_raw_lb[],MATCH($A251,lmic_raw_lb[[setting]:[setting]],0), MATCH(K$139, lmic_raw_lb[#Headers],0))=0, INDEX(regions_lb[], MATCH($D251, regions_lb[[setting]:[setting]],0), MATCH(K$139, regions_lb[#Headers],0)),INDEX(lmic_raw_lb[],MATCH($A251,lmic_raw_lb[[setting]:[setting]],0), MATCH(K$139, lmic_raw_lb[#Headers],0)))</f>
        <v>0.65789974195504752</v>
      </c>
      <c r="L251" s="94">
        <f>IF(INDEX(lmic_raw_lb[],MATCH($A251,lmic_raw_lb[[setting]:[setting]],0), MATCH(L$139, lmic_raw_lb[#Headers],0))=0, INDEX(regions_lb[], MATCH($D251, regions_lb[[setting]:[setting]],0), MATCH(L$139, regions_lb[#Headers],0)),INDEX(lmic_raw_lb[],MATCH($A251,lmic_raw_lb[[setting]:[setting]],0), MATCH(L$139, lmic_raw_lb[#Headers],0)))</f>
        <v>0.73149999999999993</v>
      </c>
      <c r="M251" s="94">
        <f>IF(INDEX(lmic_raw_lb[],MATCH($A251,lmic_raw_lb[[setting]:[setting]],0), MATCH(M$139, lmic_raw_lb[#Headers],0))=0, INDEX(regions_lb[], MATCH($D251, regions_lb[[setting]:[setting]],0), MATCH(M$139, regions_lb[#Headers],0)),INDEX(lmic_raw_lb[],MATCH($A251,lmic_raw_lb[[setting]:[setting]],0), MATCH(M$139, lmic_raw_lb[#Headers],0)))</f>
        <v>2.5899999999999999E-2</v>
      </c>
      <c r="N251" s="94">
        <f>IF(INDEX(lmic_raw_lb[],MATCH($A251,lmic_raw_lb[[setting]:[setting]],0), MATCH(N$139, lmic_raw_lb[#Headers],0))=0, INDEX(regions_lb[], MATCH($D251, regions_lb[[setting]:[setting]],0), MATCH(N$139, regions_lb[#Headers],0)),INDEX(lmic_raw_lb[],MATCH($A251,lmic_raw_lb[[setting]:[setting]],0), MATCH(N$139, lmic_raw_lb[#Headers],0)))</f>
        <v>0.15109999999999998</v>
      </c>
      <c r="O251" s="94">
        <f>IF(INDEX(lmic_raw_lb[],MATCH($A251,lmic_raw_lb[[setting]:[setting]],0), MATCH(O$139, lmic_raw_lb[#Headers],0))=0, INDEX(regions_lb[], MATCH($D251, regions_lb[[setting]:[setting]],0), MATCH(O$139, regions_lb[#Headers],0)),INDEX(lmic_raw_lb[],MATCH($A251,lmic_raw_lb[[setting]:[setting]],0), MATCH(O$139, lmic_raw_lb[#Headers],0)))</f>
        <v>7.0000000000000007E-2</v>
      </c>
      <c r="P251" s="94">
        <f>IF(INDEX(lmic_raw_lb[],MATCH($A251,lmic_raw_lb[[setting]:[setting]],0), MATCH(P$139, lmic_raw_lb[#Headers],0))=0, INDEX(regions_lb[], MATCH($D251, regions_lb[[setting]:[setting]],0), MATCH(P$139, regions_lb[#Headers],0)),INDEX(lmic_raw_lb[],MATCH($A251,lmic_raw_lb[[setting]:[setting]],0), MATCH(P$139, lmic_raw_lb[#Headers],0)))</f>
        <v>1E-3</v>
      </c>
      <c r="Q251" s="94">
        <f>IF(INDEX(lmic_raw_lb[],MATCH($A251,lmic_raw_lb[[setting]:[setting]],0), MATCH(Q$139, lmic_raw_lb[#Headers],0))=0, INDEX(regions_lb[], MATCH($D251, regions_lb[[setting]:[setting]],0), MATCH(Q$139, regions_lb[#Headers],0)),INDEX(lmic_raw_lb[],MATCH($A251,lmic_raw_lb[[setting]:[setting]],0), MATCH(Q$139, lmic_raw_lb[#Headers],0)))</f>
        <v>11.827719079205124</v>
      </c>
      <c r="R251" s="94">
        <f>IF(INDEX(lmic_raw_lb[],MATCH($A251,lmic_raw_lb[[setting]:[setting]],0), MATCH(R$139, lmic_raw_lb[#Headers],0))=0, INDEX(regions_lb[], MATCH($D251, regions_lb[[setting]:[setting]],0), MATCH(R$139, regions_lb[#Headers],0)),INDEX(lmic_raw_lb[],MATCH($A251,lmic_raw_lb[[setting]:[setting]],0), MATCH(R$139, lmic_raw_lb[#Headers],0)))</f>
        <v>28.424474999999997</v>
      </c>
      <c r="S251" s="94">
        <f>IF(INDEX(lmic_raw_lb[],MATCH($A251,lmic_raw_lb[[setting]:[setting]],0), MATCH(S$139, lmic_raw_lb[#Headers],0))=0, INDEX(regions_lb[], MATCH($D251, regions_lb[[setting]:[setting]],0), MATCH(S$139, regions_lb[#Headers],0)),INDEX(lmic_raw_lb[],MATCH($A251,lmic_raw_lb[[setting]:[setting]],0), MATCH(S$139, lmic_raw_lb[#Headers],0)))</f>
        <v>73.779375000000002</v>
      </c>
      <c r="T251" s="94">
        <f>IF(INDEX(lmic_raw_lb[],MATCH($A251,lmic_raw_lb[[setting]:[setting]],0), MATCH(T$139, lmic_raw_lb[#Headers],0))=0, INDEX(regions_lb[], MATCH($D251, regions_lb[[setting]:[setting]],0), MATCH(T$139, regions_lb[#Headers],0)),INDEX(lmic_raw_lb[],MATCH($A251,lmic_raw_lb[[setting]:[setting]],0), MATCH(T$139, lmic_raw_lb[#Headers],0)))</f>
        <v>73.779375000000002</v>
      </c>
      <c r="U251" s="94">
        <f>IF(INDEX(lmic_raw_lb[],MATCH($A251,lmic_raw_lb[[setting]:[setting]],0), MATCH(U$139, lmic_raw_lb[#Headers],0))=0, INDEX(regions_lb[], MATCH($D251, regions_lb[[setting]:[setting]],0), MATCH(U$139, regions_lb[#Headers],0)),INDEX(lmic_raw_lb[],MATCH($A251,lmic_raw_lb[[setting]:[setting]],0), MATCH(U$139, lmic_raw_lb[#Headers],0)))</f>
        <v>73.779375000000002</v>
      </c>
      <c r="V251" s="94">
        <f>IF(INDEX(lmic_raw_lb[],MATCH($A251,lmic_raw_lb[[setting]:[setting]],0), MATCH(V$139, lmic_raw_lb[#Headers],0))=0, INDEX(regions_lb[], MATCH($D251, regions_lb[[setting]:[setting]],0), MATCH(V$139, regions_lb[#Headers],0)),INDEX(lmic_raw_lb[],MATCH($A251,lmic_raw_lb[[setting]:[setting]],0), MATCH(V$139, lmic_raw_lb[#Headers],0)))</f>
        <v>0.83415050882175124</v>
      </c>
      <c r="W251" s="94">
        <f>IF(INDEX(lmic_raw_lb[],MATCH($A251,lmic_raw_lb[[setting]:[setting]],0), MATCH(W$139, lmic_raw_lb[#Headers],0))=0, INDEX(regions_lb[], MATCH($D251, regions_lb[[setting]:[setting]],0), MATCH(W$139, regions_lb[#Headers],0)),INDEX(lmic_raw_lb[],MATCH($A251,lmic_raw_lb[[setting]:[setting]],0), MATCH(W$139, lmic_raw_lb[#Headers],0)))</f>
        <v>5.4214155088217515</v>
      </c>
      <c r="X251" s="94">
        <f>IF(INDEX(lmic_raw_lb[],MATCH($A251,lmic_raw_lb[[setting]:[setting]],0), MATCH(X$139, lmic_raw_lb[#Headers],0))=0, INDEX(regions_lb[], MATCH($D251, regions_lb[[setting]:[setting]],0), MATCH(X$139, regions_lb[#Headers],0)),INDEX(lmic_raw_lb[],MATCH($A251,lmic_raw_lb[[setting]:[setting]],0), MATCH(X$139, lmic_raw_lb[#Headers],0)))</f>
        <v>0.46433442099682548</v>
      </c>
      <c r="Y251" s="94">
        <f>IF(INDEX(lmic_raw_lb[],MATCH($A251,lmic_raw_lb[[setting]:[setting]],0), MATCH(Y$139, lmic_raw_lb[#Headers],0))=0, INDEX(regions_lb[], MATCH($D251, regions_lb[[setting]:[setting]],0), MATCH(Y$139, regions_lb[#Headers],0)),INDEX(lmic_raw_lb[],MATCH($A251,lmic_raw_lb[[setting]:[setting]],0), MATCH(Y$139, lmic_raw_lb[#Headers],0)))</f>
        <v>5.0515994209968262</v>
      </c>
      <c r="Z251" s="94">
        <f>IF(INDEX(lmic_raw_lb[],MATCH($A251,lmic_raw_lb[[setting]:[setting]],0), MATCH(Z$139, lmic_raw_lb[#Headers],0))=0, INDEX(regions_lb[], MATCH($D251, regions_lb[[setting]:[setting]],0), MATCH(Z$139, regions_lb[#Headers],0)),INDEX(lmic_raw_lb[],MATCH($A251,lmic_raw_lb[[setting]:[setting]],0), MATCH(Z$139, lmic_raw_lb[#Headers],0)))</f>
        <v>5.0464849236559672</v>
      </c>
      <c r="AA251" s="94">
        <f>IF(INDEX(lmic_raw_lb[],MATCH($A251,lmic_raw_lb[[setting]:[setting]],0), MATCH(AA$139, lmic_raw_lb[#Headers],0))=0, INDEX(regions_lb[], MATCH($D251, regions_lb[[setting]:[setting]],0), MATCH(AA$139, regions_lb[#Headers],0)),INDEX(lmic_raw_lb[],MATCH($A251,lmic_raw_lb[[setting]:[setting]],0), MATCH(AA$139, lmic_raw_lb[#Headers],0)))</f>
        <v>1.0472846495537884</v>
      </c>
      <c r="AB251" s="94">
        <f>IF(INDEX(lmic_raw_lb[],MATCH($A251,lmic_raw_lb[[setting]:[setting]],0), MATCH(AB$139, lmic_raw_lb[#Headers],0))=0, INDEX(regions_lb[], MATCH($D251, regions_lb[[setting]:[setting]],0), MATCH(AB$139, regions_lb[#Headers],0)),INDEX(lmic_raw_lb[],MATCH($A251,lmic_raw_lb[[setting]:[setting]],0), MATCH(AB$139, lmic_raw_lb[#Headers],0)))</f>
        <v>5.6345496495537883</v>
      </c>
      <c r="AC251" s="94">
        <f>IF(INDEX(lmic_raw_lb[],MATCH($A251,lmic_raw_lb[[setting]:[setting]],0), MATCH(AC$139, lmic_raw_lb[#Headers],0))=0, INDEX(regions_lb[], MATCH($D251, regions_lb[[setting]:[setting]],0), MATCH(AC$139, regions_lb[#Headers],0)),INDEX(lmic_raw_lb[],MATCH($A251,lmic_raw_lb[[setting]:[setting]],0), MATCH(AC$139, lmic_raw_lb[#Headers],0)))</f>
        <v>2.5881799999999944E-2</v>
      </c>
      <c r="AD251" s="94">
        <f>IF(INDEX(lmic_raw_lb[],MATCH($A251,lmic_raw_lb[[setting]:[setting]],0), MATCH(AD$139, lmic_raw_lb[#Headers],0))=0, INDEX(regions_lb[], MATCH($D251, regions_lb[[setting]:[setting]],0), MATCH(AD$139, regions_lb[#Headers],0)),INDEX(lmic_raw_lb[],MATCH($A251,lmic_raw_lb[[setting]:[setting]],0), MATCH(AD$139, lmic_raw_lb[#Headers],0)))</f>
        <v>2.0052225326803691E-3</v>
      </c>
      <c r="AE251" s="94">
        <f>IF(INDEX(lmic_raw_lb[],MATCH($A251,lmic_raw_lb[[setting]:[setting]],0), MATCH(AE$139, lmic_raw_lb[#Headers],0))=0, INDEX(regions_lb[], MATCH($D251, regions_lb[[setting]:[setting]],0), MATCH(AE$139, regions_lb[#Headers],0)),INDEX(lmic_raw_lb[],MATCH($A251,lmic_raw_lb[[setting]:[setting]],0), MATCH(AE$139, lmic_raw_lb[#Headers],0)))</f>
        <v>8.5670521390345813E-4</v>
      </c>
      <c r="AF251" s="94">
        <f>IF(INDEX(lmic_raw_lb[],MATCH($A251,lmic_raw_lb[[setting]:[setting]],0), MATCH(AF$139, lmic_raw_lb[#Headers],0))=0, INDEX(regions_lb[], MATCH($D251, regions_lb[[setting]:[setting]],0), MATCH(AF$139, regions_lb[#Headers],0)),INDEX(lmic_raw_lb[],MATCH($A251,lmic_raw_lb[[setting]:[setting]],0), MATCH(AF$139, lmic_raw_lb[#Headers],0)))</f>
        <v>7.1590802057603644E-4</v>
      </c>
      <c r="AG251" s="94">
        <f>IF(INDEX(lmic_raw_lb[],MATCH($A251,lmic_raw_lb[[setting]:[setting]],0), MATCH(AG$139, lmic_raw_lb[#Headers],0))=0, INDEX(regions_lb[], MATCH($D251, regions_lb[[setting]:[setting]],0), MATCH(AG$139, regions_lb[#Headers],0)),INDEX(lmic_raw_lb[],MATCH($A251,lmic_raw_lb[[setting]:[setting]],0), MATCH(AG$139, lmic_raw_lb[#Headers],0)))</f>
        <v>1.2177745262730978E-3</v>
      </c>
      <c r="AH251" s="94">
        <f>IF(INDEX(lmic_raw_lb[],MATCH($A251,lmic_raw_lb[[setting]:[setting]],0), MATCH(AH$139, lmic_raw_lb[#Headers],0))=0, INDEX(regions_lb[], MATCH($D251, regions_lb[[setting]:[setting]],0), MATCH(AH$139, regions_lb[#Headers],0)),INDEX(lmic_raw_lb[],MATCH($A251,lmic_raw_lb[[setting]:[setting]],0), MATCH(AH$139, lmic_raw_lb[#Headers],0)))</f>
        <v>2.1719848023595387E-3</v>
      </c>
      <c r="AI251" s="94">
        <f>IF(INDEX(lmic_raw_lb[],MATCH($A251,lmic_raw_lb[[setting]:[setting]],0), MATCH(AI$139, lmic_raw_lb[#Headers],0))=0, INDEX(regions_lb[], MATCH($D251, regions_lb[[setting]:[setting]],0), MATCH(AI$139, regions_lb[#Headers],0)),INDEX(lmic_raw_lb[],MATCH($A251,lmic_raw_lb[[setting]:[setting]],0), MATCH(AI$139, lmic_raw_lb[#Headers],0)))</f>
        <v>3.6356052316572573E-3</v>
      </c>
      <c r="AJ251" s="94">
        <f>IF(INDEX(lmic_raw_lb[],MATCH($A251,lmic_raw_lb[[setting]:[setting]],0), MATCH(AJ$139, lmic_raw_lb[#Headers],0))=0, INDEX(regions_lb[], MATCH($D251, regions_lb[[setting]:[setting]],0), MATCH(AJ$139, regions_lb[#Headers],0)),INDEX(lmic_raw_lb[],MATCH($A251,lmic_raw_lb[[setting]:[setting]],0), MATCH(AJ$139, lmic_raw_lb[#Headers],0)))</f>
        <v>5.3058746903188857E-3</v>
      </c>
      <c r="AK251" s="94">
        <f>IF(INDEX(lmic_raw_lb[],MATCH($A251,lmic_raw_lb[[setting]:[setting]],0), MATCH(AK$139, lmic_raw_lb[#Headers],0))=0, INDEX(regions_lb[], MATCH($D251, regions_lb[[setting]:[setting]],0), MATCH(AK$139, regions_lb[#Headers],0)),INDEX(lmic_raw_lb[],MATCH($A251,lmic_raw_lb[[setting]:[setting]],0), MATCH(AK$139, lmic_raw_lb[#Headers],0)))</f>
        <v>7.7149869264891867E-3</v>
      </c>
      <c r="AL251" s="94">
        <f>IF(INDEX(lmic_raw_lb[],MATCH($A251,lmic_raw_lb[[setting]:[setting]],0), MATCH(AL$139, lmic_raw_lb[#Headers],0))=0, INDEX(regions_lb[], MATCH($D251, regions_lb[[setting]:[setting]],0), MATCH(AL$139, regions_lb[#Headers],0)),INDEX(lmic_raw_lb[],MATCH($A251,lmic_raw_lb[[setting]:[setting]],0), MATCH(AL$139, lmic_raw_lb[#Headers],0)))</f>
        <v>9.2883469239605707E-3</v>
      </c>
      <c r="AM251" s="94">
        <f>IF(INDEX(lmic_raw_lb[],MATCH($A251,lmic_raw_lb[[setting]:[setting]],0), MATCH(AM$139, lmic_raw_lb[#Headers],0))=0, INDEX(regions_lb[], MATCH($D251, regions_lb[[setting]:[setting]],0), MATCH(AM$139, regions_lb[#Headers],0)),INDEX(lmic_raw_lb[],MATCH($A251,lmic_raw_lb[[setting]:[setting]],0), MATCH(AM$139, lmic_raw_lb[#Headers],0)))</f>
        <v>1.1132349249735041E-2</v>
      </c>
      <c r="AN251" s="94">
        <f>IF(INDEX(lmic_raw_lb[],MATCH($A251,lmic_raw_lb[[setting]:[setting]],0), MATCH(AN$139, lmic_raw_lb[#Headers],0))=0, INDEX(regions_lb[], MATCH($D251, regions_lb[[setting]:[setting]],0), MATCH(AN$139, regions_lb[#Headers],0)),INDEX(lmic_raw_lb[],MATCH($A251,lmic_raw_lb[[setting]:[setting]],0), MATCH(AN$139, lmic_raw_lb[#Headers],0)))</f>
        <v>1.3512203087708882E-2</v>
      </c>
      <c r="AO251" s="94">
        <f>IF(INDEX(lmic_raw_lb[],MATCH($A251,lmic_raw_lb[[setting]:[setting]],0), MATCH(AO$139, lmic_raw_lb[#Headers],0))=0, INDEX(regions_lb[], MATCH($D251, regions_lb[[setting]:[setting]],0), MATCH(AO$139, regions_lb[#Headers],0)),INDEX(lmic_raw_lb[],MATCH($A251,lmic_raw_lb[[setting]:[setting]],0), MATCH(AO$139, lmic_raw_lb[#Headers],0)))</f>
        <v>1.6456196217257062E-2</v>
      </c>
      <c r="AP251" s="94">
        <f>IF(INDEX(lmic_raw_lb[],MATCH($A251,lmic_raw_lb[[setting]:[setting]],0), MATCH(AP$139, lmic_raw_lb[#Headers],0))=0, INDEX(regions_lb[], MATCH($D251, regions_lb[[setting]:[setting]],0), MATCH(AP$139, regions_lb[#Headers],0)),INDEX(lmic_raw_lb[],MATCH($A251,lmic_raw_lb[[setting]:[setting]],0), MATCH(AP$139, lmic_raw_lb[#Headers],0)))</f>
        <v>2.1792455848508953E-2</v>
      </c>
      <c r="AQ251" s="94">
        <f>IF(INDEX(lmic_raw_lb[],MATCH($A251,lmic_raw_lb[[setting]:[setting]],0), MATCH(AQ$139, lmic_raw_lb[#Headers],0))=0, INDEX(regions_lb[], MATCH($D251, regions_lb[[setting]:[setting]],0), MATCH(AQ$139, regions_lb[#Headers],0)),INDEX(lmic_raw_lb[],MATCH($A251,lmic_raw_lb[[setting]:[setting]],0), MATCH(AQ$139, lmic_raw_lb[#Headers],0)))</f>
        <v>3.0643487379213699E-2</v>
      </c>
      <c r="AR251" s="94">
        <f>IF(INDEX(lmic_raw_lb[],MATCH($A251,lmic_raw_lb[[setting]:[setting]],0), MATCH(AR$139, lmic_raw_lb[#Headers],0))=0, INDEX(regions_lb[], MATCH($D251, regions_lb[[setting]:[setting]],0), MATCH(AR$139, regions_lb[#Headers],0)),INDEX(lmic_raw_lb[],MATCH($A251,lmic_raw_lb[[setting]:[setting]],0), MATCH(AR$139, lmic_raw_lb[#Headers],0)))</f>
        <v>4.4635844729056122E-2</v>
      </c>
      <c r="AS251" s="94">
        <f>IF(INDEX(lmic_raw_lb[],MATCH($A251,lmic_raw_lb[[setting]:[setting]],0), MATCH(AS$139, lmic_raw_lb[#Headers],0))=0, INDEX(regions_lb[], MATCH($D251, regions_lb[[setting]:[setting]],0), MATCH(AS$139, regions_lb[#Headers],0)),INDEX(lmic_raw_lb[],MATCH($A251,lmic_raw_lb[[setting]:[setting]],0), MATCH(AS$139, lmic_raw_lb[#Headers],0)))</f>
        <v>6.5405880135713718E-2</v>
      </c>
      <c r="AT251" s="94">
        <f>IF(INDEX(lmic_raw_lb[],MATCH($A251,lmic_raw_lb[[setting]:[setting]],0), MATCH(AT$139, lmic_raw_lb[#Headers],0))=0, INDEX(regions_lb[], MATCH($D251, regions_lb[[setting]:[setting]],0), MATCH(AT$139, regions_lb[#Headers],0)),INDEX(lmic_raw_lb[],MATCH($A251,lmic_raw_lb[[setting]:[setting]],0), MATCH(AT$139, lmic_raw_lb[#Headers],0)))</f>
        <v>9.7669693157544341E-2</v>
      </c>
      <c r="AU251" s="94">
        <f>IF(INDEX(lmic_raw_lb[],MATCH($A251,lmic_raw_lb[[setting]:[setting]],0), MATCH(AU$139, lmic_raw_lb[#Headers],0))=0, INDEX(regions_lb[], MATCH($D251, regions_lb[[setting]:[setting]],0), MATCH(AU$139, regions_lb[#Headers],0)),INDEX(lmic_raw_lb[],MATCH($A251,lmic_raw_lb[[setting]:[setting]],0), MATCH(AU$139, lmic_raw_lb[#Headers],0)))</f>
        <v>0.1364858504266154</v>
      </c>
      <c r="AV251" s="94">
        <f>IF(INDEX(lmic_raw_lb[],MATCH($A251,lmic_raw_lb[[setting]:[setting]],0), MATCH(AV$139, lmic_raw_lb[#Headers],0))=0, INDEX(regions_lb[], MATCH($D251, regions_lb[[setting]:[setting]],0), MATCH(AV$139, regions_lb[#Headers],0)),INDEX(lmic_raw_lb[],MATCH($A251,lmic_raw_lb[[setting]:[setting]],0), MATCH(AV$139, lmic_raw_lb[#Headers],0)))</f>
        <v>0.16697497205262757</v>
      </c>
      <c r="AW251" s="94">
        <f>IF(INDEX(lmic_raw_lb[],MATCH($A251,lmic_raw_lb[[setting]:[setting]],0), MATCH(AW$139, lmic_raw_lb[#Headers],0))=0, INDEX(regions_lb[], MATCH($D251, regions_lb[[setting]:[setting]],0), MATCH(AW$139, regions_lb[#Headers],0)),INDEX(lmic_raw_lb[],MATCH($A251,lmic_raw_lb[[setting]:[setting]],0), MATCH(AW$139, lmic_raw_lb[#Headers],0)))</f>
        <v>0.17795810144538451</v>
      </c>
      <c r="AX251" s="94">
        <f>IF(INDEX(lmic_raw_lb[],MATCH($A251,lmic_raw_lb[[setting]:[setting]],0), MATCH(AX$139, lmic_raw_lb[#Headers],0))=0, INDEX(regions_lb[], MATCH($D251, regions_lb[[setting]:[setting]],0), MATCH(AX$139, regions_lb[#Headers],0)),INDEX(lmic_raw_lb[],MATCH($A251,lmic_raw_lb[[setting]:[setting]],0), MATCH(AX$139, lmic_raw_lb[#Headers],0)))</f>
        <v>60.434249999999999</v>
      </c>
      <c r="AY251" s="94" t="str">
        <f>IF(VLOOKUP(lmics_lb[[#This Row],[setting]],lmic_raw_lb[],11,FALSE)=0, "Yes", "No")</f>
        <v>Yes</v>
      </c>
    </row>
    <row r="252" spans="1:51" x14ac:dyDescent="0.25">
      <c r="A252" s="109" t="s">
        <v>116</v>
      </c>
      <c r="B252" s="101" t="s">
        <v>515</v>
      </c>
      <c r="C252" s="102">
        <v>728</v>
      </c>
      <c r="D252" s="82" t="s">
        <v>677</v>
      </c>
      <c r="E252" s="121" t="s">
        <v>597</v>
      </c>
      <c r="F252" s="98" t="s">
        <v>667</v>
      </c>
      <c r="G252" s="98" t="s">
        <v>674</v>
      </c>
      <c r="H252" s="98"/>
      <c r="I252" s="98"/>
      <c r="J252" s="98">
        <f>IF(INDEX(lmic_raw_lb[],MATCH($A252,lmic_raw_lb[[setting]:[setting]],0), MATCH(J$139, lmic_raw_lb[#Headers],0))=0, INDEX(regions_lb[], MATCH($D252, regions_lb[[setting]:[setting]],0), MATCH(J$139, regions_lb[#Headers],0)),INDEX(lmic_raw_lb[],MATCH($A252,lmic_raw_lb[[setting]:[setting]],0), MATCH(J$139, lmic_raw_lb[#Headers],0)))</f>
        <v>0.10925</v>
      </c>
      <c r="K252" s="98">
        <f>IF(INDEX(lmic_raw_lb[],MATCH($A252,lmic_raw_lb[[setting]:[setting]],0), MATCH(K$139, lmic_raw_lb[#Headers],0))=0, INDEX(regions_lb[], MATCH($D252, regions_lb[[setting]:[setting]],0), MATCH(K$139, regions_lb[#Headers],0)),INDEX(lmic_raw_lb[],MATCH($A252,lmic_raw_lb[[setting]:[setting]],0), MATCH(K$139, lmic_raw_lb[#Headers],0)))</f>
        <v>0.65789974195504752</v>
      </c>
      <c r="L252" s="98">
        <f>IF(INDEX(lmic_raw_lb[],MATCH($A252,lmic_raw_lb[[setting]:[setting]],0), MATCH(L$139, lmic_raw_lb[#Headers],0))=0, INDEX(regions_lb[], MATCH($D252, regions_lb[[setting]:[setting]],0), MATCH(L$139, regions_lb[#Headers],0)),INDEX(lmic_raw_lb[],MATCH($A252,lmic_raw_lb[[setting]:[setting]],0), MATCH(L$139, lmic_raw_lb[#Headers],0)))</f>
        <v>0.46549999999999997</v>
      </c>
      <c r="M252" s="98">
        <f>IF(INDEX(lmic_raw_lb[],MATCH($A252,lmic_raw_lb[[setting]:[setting]],0), MATCH(M$139, lmic_raw_lb[#Headers],0))=0, INDEX(regions_lb[], MATCH($D252, regions_lb[[setting]:[setting]],0), MATCH(M$139, regions_lb[#Headers],0)),INDEX(lmic_raw_lb[],MATCH($A252,lmic_raw_lb[[setting]:[setting]],0), MATCH(M$139, lmic_raw_lb[#Headers],0)))</f>
        <v>0.17980000000000002</v>
      </c>
      <c r="N252" s="98">
        <f>IF(INDEX(lmic_raw_lb[],MATCH($A252,lmic_raw_lb[[setting]:[setting]],0), MATCH(N$139, lmic_raw_lb[#Headers],0))=0, INDEX(regions_lb[], MATCH($D252, regions_lb[[setting]:[setting]],0), MATCH(N$139, regions_lb[#Headers],0)),INDEX(lmic_raw_lb[],MATCH($A252,lmic_raw_lb[[setting]:[setting]],0), MATCH(N$139, lmic_raw_lb[#Headers],0)))</f>
        <v>0.15560000000000002</v>
      </c>
      <c r="O252" s="98">
        <f>IF(INDEX(lmic_raw_lb[],MATCH($A252,lmic_raw_lb[[setting]:[setting]],0), MATCH(O$139, lmic_raw_lb[#Headers],0))=0, INDEX(regions_lb[], MATCH($D252, regions_lb[[setting]:[setting]],0), MATCH(O$139, regions_lb[#Headers],0)),INDEX(lmic_raw_lb[],MATCH($A252,lmic_raw_lb[[setting]:[setting]],0), MATCH(O$139, lmic_raw_lb[#Headers],0)))</f>
        <v>7.0000000000000007E-2</v>
      </c>
      <c r="P252" s="98">
        <f>IF(INDEX(lmic_raw_lb[],MATCH($A252,lmic_raw_lb[[setting]:[setting]],0), MATCH(P$139, lmic_raw_lb[#Headers],0))=0, INDEX(regions_lb[], MATCH($D252, regions_lb[[setting]:[setting]],0), MATCH(P$139, regions_lb[#Headers],0)),INDEX(lmic_raw_lb[],MATCH($A252,lmic_raw_lb[[setting]:[setting]],0), MATCH(P$139, lmic_raw_lb[#Headers],0)))</f>
        <v>1E-3</v>
      </c>
      <c r="Q252" s="98">
        <f>IF(INDEX(lmic_raw_lb[],MATCH($A252,lmic_raw_lb[[setting]:[setting]],0), MATCH(Q$139, lmic_raw_lb[#Headers],0))=0, INDEX(regions_lb[], MATCH($D252, regions_lb[[setting]:[setting]],0), MATCH(Q$139, regions_lb[#Headers],0)),INDEX(lmic_raw_lb[],MATCH($A252,lmic_raw_lb[[setting]:[setting]],0), MATCH(Q$139, lmic_raw_lb[#Headers],0)))</f>
        <v>4.4249775953899046</v>
      </c>
      <c r="R252" s="98">
        <f>IF(INDEX(lmic_raw_lb[],MATCH($A252,lmic_raw_lb[[setting]:[setting]],0), MATCH(R$139, lmic_raw_lb[#Headers],0))=0, INDEX(regions_lb[], MATCH($D252, regions_lb[[setting]:[setting]],0), MATCH(R$139, regions_lb[#Headers],0)),INDEX(lmic_raw_lb[],MATCH($A252,lmic_raw_lb[[setting]:[setting]],0), MATCH(R$139, lmic_raw_lb[#Headers],0)))</f>
        <v>28.424474999999997</v>
      </c>
      <c r="S252" s="98">
        <f>IF(INDEX(lmic_raw_lb[],MATCH($A252,lmic_raw_lb[[setting]:[setting]],0), MATCH(S$139, lmic_raw_lb[#Headers],0))=0, INDEX(regions_lb[], MATCH($D252, regions_lb[[setting]:[setting]],0), MATCH(S$139, regions_lb[#Headers],0)),INDEX(lmic_raw_lb[],MATCH($A252,lmic_raw_lb[[setting]:[setting]],0), MATCH(S$139, lmic_raw_lb[#Headers],0)))</f>
        <v>73.779375000000002</v>
      </c>
      <c r="T252" s="98">
        <f>IF(INDEX(lmic_raw_lb[],MATCH($A252,lmic_raw_lb[[setting]:[setting]],0), MATCH(T$139, lmic_raw_lb[#Headers],0))=0, INDEX(regions_lb[], MATCH($D252, regions_lb[[setting]:[setting]],0), MATCH(T$139, regions_lb[#Headers],0)),INDEX(lmic_raw_lb[],MATCH($A252,lmic_raw_lb[[setting]:[setting]],0), MATCH(T$139, lmic_raw_lb[#Headers],0)))</f>
        <v>73.779375000000002</v>
      </c>
      <c r="U252" s="98">
        <f>IF(INDEX(lmic_raw_lb[],MATCH($A252,lmic_raw_lb[[setting]:[setting]],0), MATCH(U$139, lmic_raw_lb[#Headers],0))=0, INDEX(regions_lb[], MATCH($D252, regions_lb[[setting]:[setting]],0), MATCH(U$139, regions_lb[#Headers],0)),INDEX(lmic_raw_lb[],MATCH($A252,lmic_raw_lb[[setting]:[setting]],0), MATCH(U$139, lmic_raw_lb[#Headers],0)))</f>
        <v>73.779375000000002</v>
      </c>
      <c r="V252" s="98">
        <f>IF(INDEX(lmic_raw_lb[],MATCH($A252,lmic_raw_lb[[setting]:[setting]],0), MATCH(V$139, lmic_raw_lb[#Headers],0))=0, INDEX(regions_lb[], MATCH($D252, regions_lb[[setting]:[setting]],0), MATCH(V$139, regions_lb[#Headers],0)),INDEX(lmic_raw_lb[],MATCH($A252,lmic_raw_lb[[setting]:[setting]],0), MATCH(V$139, lmic_raw_lb[#Headers],0)))</f>
        <v>0.4959219931271478</v>
      </c>
      <c r="W252" s="98">
        <f>IF(INDEX(lmic_raw_lb[],MATCH($A252,lmic_raw_lb[[setting]:[setting]],0), MATCH(W$139, lmic_raw_lb[#Headers],0))=0, INDEX(regions_lb[], MATCH($D252, regions_lb[[setting]:[setting]],0), MATCH(W$139, regions_lb[#Headers],0)),INDEX(lmic_raw_lb[],MATCH($A252,lmic_raw_lb[[setting]:[setting]],0), MATCH(W$139, lmic_raw_lb[#Headers],0)))</f>
        <v>5.0831869931271481</v>
      </c>
      <c r="X252" s="98">
        <f>IF(INDEX(lmic_raw_lb[],MATCH($A252,lmic_raw_lb[[setting]:[setting]],0), MATCH(X$139, lmic_raw_lb[#Headers],0))=0, INDEX(regions_lb[], MATCH($D252, regions_lb[[setting]:[setting]],0), MATCH(X$139, regions_lb[#Headers],0)),INDEX(lmic_raw_lb[],MATCH($A252,lmic_raw_lb[[setting]:[setting]],0), MATCH(X$139, lmic_raw_lb[#Headers],0)))</f>
        <v>0.13390000000000002</v>
      </c>
      <c r="Y252" s="98">
        <f>IF(INDEX(lmic_raw_lb[],MATCH($A252,lmic_raw_lb[[setting]:[setting]],0), MATCH(Y$139, lmic_raw_lb[#Headers],0))=0, INDEX(regions_lb[], MATCH($D252, regions_lb[[setting]:[setting]],0), MATCH(Y$139, regions_lb[#Headers],0)),INDEX(lmic_raw_lb[],MATCH($A252,lmic_raw_lb[[setting]:[setting]],0), MATCH(Y$139, lmic_raw_lb[#Headers],0)))</f>
        <v>4.7211650000000001</v>
      </c>
      <c r="Z252" s="98">
        <f>IF(INDEX(lmic_raw_lb[],MATCH($A252,lmic_raw_lb[[setting]:[setting]],0), MATCH(Z$139, lmic_raw_lb[#Headers],0))=0, INDEX(regions_lb[], MATCH($D252, regions_lb[[setting]:[setting]],0), MATCH(Z$139, regions_lb[#Headers],0)),INDEX(lmic_raw_lb[],MATCH($A252,lmic_raw_lb[[setting]:[setting]],0), MATCH(Z$139, lmic_raw_lb[#Headers],0)))</f>
        <v>4.7211650000000001</v>
      </c>
      <c r="AA252" s="98">
        <f>IF(INDEX(lmic_raw_lb[],MATCH($A252,lmic_raw_lb[[setting]:[setting]],0), MATCH(AA$139, lmic_raw_lb[#Headers],0))=0, INDEX(regions_lb[], MATCH($D252, regions_lb[[setting]:[setting]],0), MATCH(AA$139, regions_lb[#Headers],0)),INDEX(lmic_raw_lb[],MATCH($A252,lmic_raw_lb[[setting]:[setting]],0), MATCH(AA$139, lmic_raw_lb[#Headers],0)))</f>
        <v>0.70571580756013752</v>
      </c>
      <c r="AB252" s="98">
        <f>IF(INDEX(lmic_raw_lb[],MATCH($A252,lmic_raw_lb[[setting]:[setting]],0), MATCH(AB$139, lmic_raw_lb[#Headers],0))=0, INDEX(regions_lb[], MATCH($D252, regions_lb[[setting]:[setting]],0), MATCH(AB$139, regions_lb[#Headers],0)),INDEX(lmic_raw_lb[],MATCH($A252,lmic_raw_lb[[setting]:[setting]],0), MATCH(AB$139, lmic_raw_lb[#Headers],0)))</f>
        <v>5.2929808075601379</v>
      </c>
      <c r="AC252" s="98">
        <f>IF(INDEX(lmic_raw_lb[],MATCH($A252,lmic_raw_lb[[setting]:[setting]],0), MATCH(AC$139, lmic_raw_lb[#Headers],0))=0, INDEX(regions_lb[], MATCH($D252, regions_lb[[setting]:[setting]],0), MATCH(AC$139, regions_lb[#Headers],0)),INDEX(lmic_raw_lb[],MATCH($A252,lmic_raw_lb[[setting]:[setting]],0), MATCH(AC$139, lmic_raw_lb[#Headers],0)))</f>
        <v>6.1171621000000016E-2</v>
      </c>
      <c r="AD252" s="98">
        <f>IF(INDEX(lmic_raw_lb[],MATCH($A252,lmic_raw_lb[[setting]:[setting]],0), MATCH(AD$139, lmic_raw_lb[#Headers],0))=0, INDEX(regions_lb[], MATCH($D252, regions_lb[[setting]:[setting]],0), MATCH(AD$139, regions_lb[#Headers],0)),INDEX(lmic_raw_lb[],MATCH($A252,lmic_raw_lb[[setting]:[setting]],0), MATCH(AD$139, lmic_raw_lb[#Headers],0)))</f>
        <v>8.6712651180436799E-3</v>
      </c>
      <c r="AE252" s="98">
        <f>IF(INDEX(lmic_raw_lb[],MATCH($A252,lmic_raw_lb[[setting]:[setting]],0), MATCH(AE$139, lmic_raw_lb[#Headers],0))=0, INDEX(regions_lb[], MATCH($D252, regions_lb[[setting]:[setting]],0), MATCH(AE$139, regions_lb[#Headers],0)),INDEX(lmic_raw_lb[],MATCH($A252,lmic_raw_lb[[setting]:[setting]],0), MATCH(AE$139, lmic_raw_lb[#Headers],0)))</f>
        <v>3.5763050605214764E-3</v>
      </c>
      <c r="AF252" s="98">
        <f>IF(INDEX(lmic_raw_lb[],MATCH($A252,lmic_raw_lb[[setting]:[setting]],0), MATCH(AF$139, lmic_raw_lb[#Headers],0))=0, INDEX(regions_lb[], MATCH($D252, regions_lb[[setting]:[setting]],0), MATCH(AF$139, regions_lb[#Headers],0)),INDEX(lmic_raw_lb[],MATCH($A252,lmic_raw_lb[[setting]:[setting]],0), MATCH(AF$139, lmic_raw_lb[#Headers],0)))</f>
        <v>2.1728720799050758E-3</v>
      </c>
      <c r="AG252" s="98">
        <f>IF(INDEX(lmic_raw_lb[],MATCH($A252,lmic_raw_lb[[setting]:[setting]],0), MATCH(AG$139, lmic_raw_lb[#Headers],0))=0, INDEX(regions_lb[], MATCH($D252, regions_lb[[setting]:[setting]],0), MATCH(AG$139, regions_lb[#Headers],0)),INDEX(lmic_raw_lb[],MATCH($A252,lmic_raw_lb[[setting]:[setting]],0), MATCH(AG$139, lmic_raw_lb[#Headers],0)))</f>
        <v>2.8020447582594774E-3</v>
      </c>
      <c r="AH252" s="98">
        <f>IF(INDEX(lmic_raw_lb[],MATCH($A252,lmic_raw_lb[[setting]:[setting]],0), MATCH(AH$139, lmic_raw_lb[#Headers],0))=0, INDEX(regions_lb[], MATCH($D252, regions_lb[[setting]:[setting]],0), MATCH(AH$139, regions_lb[#Headers],0)),INDEX(lmic_raw_lb[],MATCH($A252,lmic_raw_lb[[setting]:[setting]],0), MATCH(AH$139, lmic_raw_lb[#Headers],0)))</f>
        <v>3.8753182156445326E-3</v>
      </c>
      <c r="AI252" s="98">
        <f>IF(INDEX(lmic_raw_lb[],MATCH($A252,lmic_raw_lb[[setting]:[setting]],0), MATCH(AI$139, lmic_raw_lb[#Headers],0))=0, INDEX(regions_lb[], MATCH($D252, regions_lb[[setting]:[setting]],0), MATCH(AI$139, regions_lb[#Headers],0)),INDEX(lmic_raw_lb[],MATCH($A252,lmic_raw_lb[[setting]:[setting]],0), MATCH(AI$139, lmic_raw_lb[#Headers],0)))</f>
        <v>5.2189325118464905E-3</v>
      </c>
      <c r="AJ252" s="98">
        <f>IF(INDEX(lmic_raw_lb[],MATCH($A252,lmic_raw_lb[[setting]:[setting]],0), MATCH(AJ$139, lmic_raw_lb[#Headers],0))=0, INDEX(regions_lb[], MATCH($D252, regions_lb[[setting]:[setting]],0), MATCH(AJ$139, regions_lb[#Headers],0)),INDEX(lmic_raw_lb[],MATCH($A252,lmic_raw_lb[[setting]:[setting]],0), MATCH(AJ$139, lmic_raw_lb[#Headers],0)))</f>
        <v>6.635539500066988E-3</v>
      </c>
      <c r="AK252" s="98">
        <f>IF(INDEX(lmic_raw_lb[],MATCH($A252,lmic_raw_lb[[setting]:[setting]],0), MATCH(AK$139, lmic_raw_lb[#Headers],0))=0, INDEX(regions_lb[], MATCH($D252, regions_lb[[setting]:[setting]],0), MATCH(AK$139, regions_lb[#Headers],0)),INDEX(lmic_raw_lb[],MATCH($A252,lmic_raw_lb[[setting]:[setting]],0), MATCH(AK$139, lmic_raw_lb[#Headers],0)))</f>
        <v>8.4895154661915485E-3</v>
      </c>
      <c r="AL252" s="98">
        <f>IF(INDEX(lmic_raw_lb[],MATCH($A252,lmic_raw_lb[[setting]:[setting]],0), MATCH(AL$139, lmic_raw_lb[#Headers],0))=0, INDEX(regions_lb[], MATCH($D252, regions_lb[[setting]:[setting]],0), MATCH(AL$139, regions_lb[#Headers],0)),INDEX(lmic_raw_lb[],MATCH($A252,lmic_raw_lb[[setting]:[setting]],0), MATCH(AL$139, lmic_raw_lb[#Headers],0)))</f>
        <v>9.2846157276175196E-3</v>
      </c>
      <c r="AM252" s="98">
        <f>IF(INDEX(lmic_raw_lb[],MATCH($A252,lmic_raw_lb[[setting]:[setting]],0), MATCH(AM$139, lmic_raw_lb[#Headers],0))=0, INDEX(regions_lb[], MATCH($D252, regions_lb[[setting]:[setting]],0), MATCH(AM$139, regions_lb[#Headers],0)),INDEX(lmic_raw_lb[],MATCH($A252,lmic_raw_lb[[setting]:[setting]],0), MATCH(AM$139, lmic_raw_lb[#Headers],0)))</f>
        <v>1.0297473676154431E-2</v>
      </c>
      <c r="AN252" s="98">
        <f>IF(INDEX(lmic_raw_lb[],MATCH($A252,lmic_raw_lb[[setting]:[setting]],0), MATCH(AN$139, lmic_raw_lb[#Headers],0))=0, INDEX(regions_lb[], MATCH($D252, regions_lb[[setting]:[setting]],0), MATCH(AN$139, regions_lb[#Headers],0)),INDEX(lmic_raw_lb[],MATCH($A252,lmic_raw_lb[[setting]:[setting]],0), MATCH(AN$139, lmic_raw_lb[#Headers],0)))</f>
        <v>1.2150369298608915E-2</v>
      </c>
      <c r="AO252" s="98">
        <f>IF(INDEX(lmic_raw_lb[],MATCH($A252,lmic_raw_lb[[setting]:[setting]],0), MATCH(AO$139, lmic_raw_lb[#Headers],0))=0, INDEX(regions_lb[], MATCH($D252, regions_lb[[setting]:[setting]],0), MATCH(AO$139, regions_lb[#Headers],0)),INDEX(lmic_raw_lb[],MATCH($A252,lmic_raw_lb[[setting]:[setting]],0), MATCH(AO$139, lmic_raw_lb[#Headers],0)))</f>
        <v>1.5009551886335295E-2</v>
      </c>
      <c r="AP252" s="98">
        <f>IF(INDEX(lmic_raw_lb[],MATCH($A252,lmic_raw_lb[[setting]:[setting]],0), MATCH(AP$139, lmic_raw_lb[#Headers],0))=0, INDEX(regions_lb[], MATCH($D252, regions_lb[[setting]:[setting]],0), MATCH(AP$139, regions_lb[#Headers],0)),INDEX(lmic_raw_lb[],MATCH($A252,lmic_raw_lb[[setting]:[setting]],0), MATCH(AP$139, lmic_raw_lb[#Headers],0)))</f>
        <v>2.1362885788828515E-2</v>
      </c>
      <c r="AQ252" s="98">
        <f>IF(INDEX(lmic_raw_lb[],MATCH($A252,lmic_raw_lb[[setting]:[setting]],0), MATCH(AQ$139, lmic_raw_lb[#Headers],0))=0, INDEX(regions_lb[], MATCH($D252, regions_lb[[setting]:[setting]],0), MATCH(AQ$139, regions_lb[#Headers],0)),INDEX(lmic_raw_lb[],MATCH($A252,lmic_raw_lb[[setting]:[setting]],0), MATCH(AQ$139, lmic_raw_lb[#Headers],0)))</f>
        <v>3.0296012149999718E-2</v>
      </c>
      <c r="AR252" s="98">
        <f>IF(INDEX(lmic_raw_lb[],MATCH($A252,lmic_raw_lb[[setting]:[setting]],0), MATCH(AR$139, lmic_raw_lb[#Headers],0))=0, INDEX(regions_lb[], MATCH($D252, regions_lb[[setting]:[setting]],0), MATCH(AR$139, regions_lb[#Headers],0)),INDEX(lmic_raw_lb[],MATCH($A252,lmic_raw_lb[[setting]:[setting]],0), MATCH(AR$139, lmic_raw_lb[#Headers],0)))</f>
        <v>4.5832923055739917E-2</v>
      </c>
      <c r="AS252" s="98">
        <f>IF(INDEX(lmic_raw_lb[],MATCH($A252,lmic_raw_lb[[setting]:[setting]],0), MATCH(AS$139, lmic_raw_lb[#Headers],0))=0, INDEX(regions_lb[], MATCH($D252, regions_lb[[setting]:[setting]],0), MATCH(AS$139, regions_lb[#Headers],0)),INDEX(lmic_raw_lb[],MATCH($A252,lmic_raw_lb[[setting]:[setting]],0), MATCH(AS$139, lmic_raw_lb[#Headers],0)))</f>
        <v>6.7469218148868401E-2</v>
      </c>
      <c r="AT252" s="98">
        <f>IF(INDEX(lmic_raw_lb[],MATCH($A252,lmic_raw_lb[[setting]:[setting]],0), MATCH(AT$139, lmic_raw_lb[#Headers],0))=0, INDEX(regions_lb[], MATCH($D252, regions_lb[[setting]:[setting]],0), MATCH(AT$139, regions_lb[#Headers],0)),INDEX(lmic_raw_lb[],MATCH($A252,lmic_raw_lb[[setting]:[setting]],0), MATCH(AT$139, lmic_raw_lb[#Headers],0)))</f>
        <v>9.5892983202768164E-2</v>
      </c>
      <c r="AU252" s="98">
        <f>IF(INDEX(lmic_raw_lb[],MATCH($A252,lmic_raw_lb[[setting]:[setting]],0), MATCH(AU$139, lmic_raw_lb[#Headers],0))=0, INDEX(regions_lb[], MATCH($D252, regions_lb[[setting]:[setting]],0), MATCH(AU$139, regions_lb[#Headers],0)),INDEX(lmic_raw_lb[],MATCH($A252,lmic_raw_lb[[setting]:[setting]],0), MATCH(AU$139, lmic_raw_lb[#Headers],0)))</f>
        <v>0.12488665210768743</v>
      </c>
      <c r="AV252" s="98">
        <f>IF(INDEX(lmic_raw_lb[],MATCH($A252,lmic_raw_lb[[setting]:[setting]],0), MATCH(AV$139, lmic_raw_lb[#Headers],0))=0, INDEX(regions_lb[], MATCH($D252, regions_lb[[setting]:[setting]],0), MATCH(AV$139, regions_lb[#Headers],0)),INDEX(lmic_raw_lb[],MATCH($A252,lmic_raw_lb[[setting]:[setting]],0), MATCH(AV$139, lmic_raw_lb[#Headers],0)))</f>
        <v>0.14940095053639516</v>
      </c>
      <c r="AW252" s="98">
        <f>IF(INDEX(lmic_raw_lb[],MATCH($A252,lmic_raw_lb[[setting]:[setting]],0), MATCH(AW$139, lmic_raw_lb[#Headers],0))=0, INDEX(regions_lb[], MATCH($D252, regions_lb[[setting]:[setting]],0), MATCH(AW$139, regions_lb[#Headers],0)),INDEX(lmic_raw_lb[],MATCH($A252,lmic_raw_lb[[setting]:[setting]],0), MATCH(AW$139, lmic_raw_lb[#Headers],0)))</f>
        <v>0.1666959032673202</v>
      </c>
      <c r="AX252" s="98">
        <f>IF(INDEX(lmic_raw_lb[],MATCH($A252,lmic_raw_lb[[setting]:[setting]],0), MATCH(AX$139, lmic_raw_lb[#Headers],0))=0, INDEX(regions_lb[], MATCH($D252, regions_lb[[setting]:[setting]],0), MATCH(AX$139, regions_lb[#Headers],0)),INDEX(lmic_raw_lb[],MATCH($A252,lmic_raw_lb[[setting]:[setting]],0), MATCH(AX$139, lmic_raw_lb[#Headers],0)))</f>
        <v>54.553749999999994</v>
      </c>
      <c r="AY252" s="98" t="str">
        <f>IF(VLOOKUP(lmics_lb[[#This Row],[setting]],lmic_raw_lb[],11,FALSE)=0, "Yes", "No")</f>
        <v>Yes</v>
      </c>
    </row>
    <row r="253" spans="1:51" x14ac:dyDescent="0.25">
      <c r="A253" s="110" t="s">
        <v>199</v>
      </c>
      <c r="B253" s="104" t="s">
        <v>516</v>
      </c>
      <c r="C253" s="105">
        <v>144</v>
      </c>
      <c r="D253" s="84" t="s">
        <v>680</v>
      </c>
      <c r="E253" s="122" t="s">
        <v>598</v>
      </c>
      <c r="F253" s="94" t="s">
        <v>666</v>
      </c>
      <c r="G253" s="94" t="s">
        <v>676</v>
      </c>
      <c r="H253" s="94"/>
      <c r="I253" s="94"/>
      <c r="J253" s="94">
        <f>IF(INDEX(lmic_raw_lb[],MATCH($A253,lmic_raw_lb[[setting]:[setting]],0), MATCH(J$139, lmic_raw_lb[#Headers],0))=0, INDEX(regions_lb[], MATCH($D253, regions_lb[[setting]:[setting]],0), MATCH(J$139, regions_lb[#Headers],0)),INDEX(lmic_raw_lb[],MATCH($A253,lmic_raw_lb[[setting]:[setting]],0), MATCH(J$139, lmic_raw_lb[#Headers],0)))</f>
        <v>0.94524999999999992</v>
      </c>
      <c r="K253" s="94">
        <f>IF(INDEX(lmic_raw_lb[],MATCH($A253,lmic_raw_lb[[setting]:[setting]],0), MATCH(K$139, lmic_raw_lb[#Headers],0))=0, INDEX(regions_lb[], MATCH($D253, regions_lb[[setting]:[setting]],0), MATCH(K$139, regions_lb[#Headers],0)),INDEX(lmic_raw_lb[],MATCH($A253,lmic_raw_lb[[setting]:[setting]],0), MATCH(K$139, lmic_raw_lb[#Headers],0)))</f>
        <v>0.57649863203958862</v>
      </c>
      <c r="L253" s="94">
        <f>IF(INDEX(lmic_raw_lb[],MATCH($A253,lmic_raw_lb[[setting]:[setting]],0), MATCH(L$139, lmic_raw_lb[#Headers],0))=0, INDEX(regions_lb[], MATCH($D253, regions_lb[[setting]:[setting]],0), MATCH(L$139, regions_lb[#Headers],0)),INDEX(lmic_raw_lb[],MATCH($A253,lmic_raw_lb[[setting]:[setting]],0), MATCH(L$139, lmic_raw_lb[#Headers],0)))</f>
        <v>0.9405</v>
      </c>
      <c r="M253" s="94">
        <f>IF(INDEX(lmic_raw_lb[],MATCH($A253,lmic_raw_lb[[setting]:[setting]],0), MATCH(M$139, lmic_raw_lb[#Headers],0))=0, INDEX(regions_lb[], MATCH($D253, regions_lb[[setting]:[setting]],0), MATCH(M$139, regions_lb[#Headers],0)),INDEX(lmic_raw_lb[],MATCH($A253,lmic_raw_lb[[setting]:[setting]],0), MATCH(M$139, lmic_raw_lb[#Headers],0)))</f>
        <v>1.47E-2</v>
      </c>
      <c r="N253" s="94">
        <f>IF(INDEX(lmic_raw_lb[],MATCH($A253,lmic_raw_lb[[setting]:[setting]],0), MATCH(N$139, lmic_raw_lb[#Headers],0))=0, INDEX(regions_lb[], MATCH($D253, regions_lb[[setting]:[setting]],0), MATCH(N$139, regions_lb[#Headers],0)),INDEX(lmic_raw_lb[],MATCH($A253,lmic_raw_lb[[setting]:[setting]],0), MATCH(N$139, lmic_raw_lb[#Headers],0)))</f>
        <v>0.18100000000000002</v>
      </c>
      <c r="O253" s="94">
        <f>IF(INDEX(lmic_raw_lb[],MATCH($A253,lmic_raw_lb[[setting]:[setting]],0), MATCH(O$139, lmic_raw_lb[#Headers],0))=0, INDEX(regions_lb[], MATCH($D253, regions_lb[[setting]:[setting]],0), MATCH(O$139, regions_lb[#Headers],0)),INDEX(lmic_raw_lb[],MATCH($A253,lmic_raw_lb[[setting]:[setting]],0), MATCH(O$139, lmic_raw_lb[#Headers],0)))</f>
        <v>0.7</v>
      </c>
      <c r="P253" s="94">
        <f>IF(INDEX(lmic_raw_lb[],MATCH($A253,lmic_raw_lb[[setting]:[setting]],0), MATCH(P$139, lmic_raw_lb[#Headers],0))=0, INDEX(regions_lb[], MATCH($D253, regions_lb[[setting]:[setting]],0), MATCH(P$139, regions_lb[#Headers],0)),INDEX(lmic_raw_lb[],MATCH($A253,lmic_raw_lb[[setting]:[setting]],0), MATCH(P$139, lmic_raw_lb[#Headers],0)))</f>
        <v>0.05</v>
      </c>
      <c r="Q253" s="94">
        <f>IF(INDEX(lmic_raw_lb[],MATCH($A253,lmic_raw_lb[[setting]:[setting]],0), MATCH(Q$139, lmic_raw_lb[#Headers],0))=0, INDEX(regions_lb[], MATCH($D253, regions_lb[[setting]:[setting]],0), MATCH(Q$139, regions_lb[#Headers],0)),INDEX(lmic_raw_lb[],MATCH($A253,lmic_raw_lb[[setting]:[setting]],0), MATCH(Q$139, lmic_raw_lb[#Headers],0)))</f>
        <v>4.5436829974124908</v>
      </c>
      <c r="R253" s="94">
        <f>IF(INDEX(lmic_raw_lb[],MATCH($A253,lmic_raw_lb[[setting]:[setting]],0), MATCH(R$139, lmic_raw_lb[#Headers],0))=0, INDEX(regions_lb[], MATCH($D253, regions_lb[[setting]:[setting]],0), MATCH(R$139, regions_lb[#Headers],0)),INDEX(lmic_raw_lb[],MATCH($A253,lmic_raw_lb[[setting]:[setting]],0), MATCH(R$139, lmic_raw_lb[#Headers],0)))</f>
        <v>69.430275000000009</v>
      </c>
      <c r="S253" s="94">
        <f>IF(INDEX(lmic_raw_lb[],MATCH($A253,lmic_raw_lb[[setting]:[setting]],0), MATCH(S$139, lmic_raw_lb[#Headers],0))=0, INDEX(regions_lb[], MATCH($D253, regions_lb[[setting]:[setting]],0), MATCH(S$139, regions_lb[#Headers],0)),INDEX(lmic_raw_lb[],MATCH($A253,lmic_raw_lb[[setting]:[setting]],0), MATCH(S$139, lmic_raw_lb[#Headers],0)))</f>
        <v>114.785175</v>
      </c>
      <c r="T253" s="94">
        <f>IF(INDEX(lmic_raw_lb[],MATCH($A253,lmic_raw_lb[[setting]:[setting]],0), MATCH(T$139, lmic_raw_lb[#Headers],0))=0, INDEX(regions_lb[], MATCH($D253, regions_lb[[setting]:[setting]],0), MATCH(T$139, regions_lb[#Headers],0)),INDEX(lmic_raw_lb[],MATCH($A253,lmic_raw_lb[[setting]:[setting]],0), MATCH(T$139, lmic_raw_lb[#Headers],0)))</f>
        <v>114.785175</v>
      </c>
      <c r="U253" s="94">
        <f>IF(INDEX(lmic_raw_lb[],MATCH($A253,lmic_raw_lb[[setting]:[setting]],0), MATCH(U$139, lmic_raw_lb[#Headers],0))=0, INDEX(regions_lb[], MATCH($D253, regions_lb[[setting]:[setting]],0), MATCH(U$139, regions_lb[#Headers],0)),INDEX(lmic_raw_lb[],MATCH($A253,lmic_raw_lb[[setting]:[setting]],0), MATCH(U$139, lmic_raw_lb[#Headers],0)))</f>
        <v>114.785175</v>
      </c>
      <c r="V253" s="94">
        <f>IF(INDEX(lmic_raw_lb[],MATCH($A253,lmic_raw_lb[[setting]:[setting]],0), MATCH(V$139, lmic_raw_lb[#Headers],0))=0, INDEX(regions_lb[], MATCH($D253, regions_lb[[setting]:[setting]],0), MATCH(V$139, regions_lb[#Headers],0)),INDEX(lmic_raw_lb[],MATCH($A253,lmic_raw_lb[[setting]:[setting]],0), MATCH(V$139, lmic_raw_lb[#Headers],0)))</f>
        <v>1.9395380933843729</v>
      </c>
      <c r="W253" s="94">
        <f>IF(INDEX(lmic_raw_lb[],MATCH($A253,lmic_raw_lb[[setting]:[setting]],0), MATCH(W$139, lmic_raw_lb[#Headers],0))=0, INDEX(regions_lb[], MATCH($D253, regions_lb[[setting]:[setting]],0), MATCH(W$139, regions_lb[#Headers],0)),INDEX(lmic_raw_lb[],MATCH($A253,lmic_raw_lb[[setting]:[setting]],0), MATCH(W$139, lmic_raw_lb[#Headers],0)))</f>
        <v>2.5401280933843728</v>
      </c>
      <c r="X253" s="94">
        <f>IF(INDEX(lmic_raw_lb[],MATCH($A253,lmic_raw_lb[[setting]:[setting]],0), MATCH(X$139, lmic_raw_lb[#Headers],0))=0, INDEX(regions_lb[], MATCH($D253, regions_lb[[setting]:[setting]],0), MATCH(X$139, regions_lb[#Headers],0)),INDEX(lmic_raw_lb[],MATCH($A253,lmic_raw_lb[[setting]:[setting]],0), MATCH(X$139, lmic_raw_lb[#Headers],0)))</f>
        <v>1.5726094707395442</v>
      </c>
      <c r="Y253" s="94">
        <f>IF(INDEX(lmic_raw_lb[],MATCH($A253,lmic_raw_lb[[setting]:[setting]],0), MATCH(Y$139, lmic_raw_lb[#Headers],0))=0, INDEX(regions_lb[], MATCH($D253, regions_lb[[setting]:[setting]],0), MATCH(Y$139, regions_lb[#Headers],0)),INDEX(lmic_raw_lb[],MATCH($A253,lmic_raw_lb[[setting]:[setting]],0), MATCH(Y$139, lmic_raw_lb[#Headers],0)))</f>
        <v>2.1731994707395441</v>
      </c>
      <c r="Z253" s="94">
        <f>IF(INDEX(lmic_raw_lb[],MATCH($A253,lmic_raw_lb[[setting]:[setting]],0), MATCH(Z$139, lmic_raw_lb[#Headers],0))=0, INDEX(regions_lb[], MATCH($D253, regions_lb[[setting]:[setting]],0), MATCH(Z$139, regions_lb[#Headers],0)),INDEX(lmic_raw_lb[],MATCH($A253,lmic_raw_lb[[setting]:[setting]],0), MATCH(Z$139, lmic_raw_lb[#Headers],0)))</f>
        <v>2.1700549759265098</v>
      </c>
      <c r="AA253" s="94">
        <f>IF(INDEX(lmic_raw_lb[],MATCH($A253,lmic_raw_lb[[setting]:[setting]],0), MATCH(AA$139, lmic_raw_lb[#Headers],0))=0, INDEX(regions_lb[], MATCH($D253, regions_lb[[setting]:[setting]],0), MATCH(AA$139, regions_lb[#Headers],0)),INDEX(lmic_raw_lb[],MATCH($A253,lmic_raw_lb[[setting]:[setting]],0), MATCH(AA$139, lmic_raw_lb[#Headers],0)))</f>
        <v>2.1514347490392258</v>
      </c>
      <c r="AB253" s="94">
        <f>IF(INDEX(lmic_raw_lb[],MATCH($A253,lmic_raw_lb[[setting]:[setting]],0), MATCH(AB$139, lmic_raw_lb[#Headers],0))=0, INDEX(regions_lb[], MATCH($D253, regions_lb[[setting]:[setting]],0), MATCH(AB$139, regions_lb[#Headers],0)),INDEX(lmic_raw_lb[],MATCH($A253,lmic_raw_lb[[setting]:[setting]],0), MATCH(AB$139, lmic_raw_lb[#Headers],0)))</f>
        <v>2.7520247490392258</v>
      </c>
      <c r="AC253" s="94">
        <f>IF(INDEX(lmic_raw_lb[],MATCH($A253,lmic_raw_lb[[setting]:[setting]],0), MATCH(AC$139, lmic_raw_lb[#Headers],0))=0, INDEX(regions_lb[], MATCH($D253, regions_lb[[setting]:[setting]],0), MATCH(AC$139, regions_lb[#Headers],0)),INDEX(lmic_raw_lb[],MATCH($A253,lmic_raw_lb[[setting]:[setting]],0), MATCH(AC$139, lmic_raw_lb[#Headers],0)))</f>
        <v>7.1946254999999794E-3</v>
      </c>
      <c r="AD253" s="94">
        <f>IF(INDEX(lmic_raw_lb[],MATCH($A253,lmic_raw_lb[[setting]:[setting]],0), MATCH(AD$139, lmic_raw_lb[#Headers],0))=0, INDEX(regions_lb[], MATCH($D253, regions_lb[[setting]:[setting]],0), MATCH(AD$139, regions_lb[#Headers],0)),INDEX(lmic_raw_lb[],MATCH($A253,lmic_raw_lb[[setting]:[setting]],0), MATCH(AD$139, lmic_raw_lb[#Headers],0)))</f>
        <v>2.4415606468311562E-4</v>
      </c>
      <c r="AE253" s="94">
        <f>IF(INDEX(lmic_raw_lb[],MATCH($A253,lmic_raw_lb[[setting]:[setting]],0), MATCH(AE$139, lmic_raw_lb[#Headers],0))=0, INDEX(regions_lb[], MATCH($D253, regions_lb[[setting]:[setting]],0), MATCH(AE$139, regions_lb[#Headers],0)),INDEX(lmic_raw_lb[],MATCH($A253,lmic_raw_lb[[setting]:[setting]],0), MATCH(AE$139, lmic_raw_lb[#Headers],0)))</f>
        <v>2.822020114514759E-4</v>
      </c>
      <c r="AF253" s="94">
        <f>IF(INDEX(lmic_raw_lb[],MATCH($A253,lmic_raw_lb[[setting]:[setting]],0), MATCH(AF$139, lmic_raw_lb[#Headers],0))=0, INDEX(regions_lb[], MATCH($D253, regions_lb[[setting]:[setting]],0), MATCH(AF$139, regions_lb[#Headers],0)),INDEX(lmic_raw_lb[],MATCH($A253,lmic_raw_lb[[setting]:[setting]],0), MATCH(AF$139, lmic_raw_lb[#Headers],0)))</f>
        <v>2.7588304981473951E-4</v>
      </c>
      <c r="AG253" s="94">
        <f>IF(INDEX(lmic_raw_lb[],MATCH($A253,lmic_raw_lb[[setting]:[setting]],0), MATCH(AG$139, lmic_raw_lb[#Headers],0))=0, INDEX(regions_lb[], MATCH($D253, regions_lb[[setting]:[setting]],0), MATCH(AG$139, regions_lb[#Headers],0)),INDEX(lmic_raw_lb[],MATCH($A253,lmic_raw_lb[[setting]:[setting]],0), MATCH(AG$139, lmic_raw_lb[#Headers],0)))</f>
        <v>5.2716389827397266E-4</v>
      </c>
      <c r="AH253" s="94">
        <f>IF(INDEX(lmic_raw_lb[],MATCH($A253,lmic_raw_lb[[setting]:[setting]],0), MATCH(AH$139, lmic_raw_lb[#Headers],0))=0, INDEX(regions_lb[], MATCH($D253, regions_lb[[setting]:[setting]],0), MATCH(AH$139, regions_lb[#Headers],0)),INDEX(lmic_raw_lb[],MATCH($A253,lmic_raw_lb[[setting]:[setting]],0), MATCH(AH$139, lmic_raw_lb[#Headers],0)))</f>
        <v>7.4947690038626609E-4</v>
      </c>
      <c r="AI253" s="94">
        <f>IF(INDEX(lmic_raw_lb[],MATCH($A253,lmic_raw_lb[[setting]:[setting]],0), MATCH(AI$139, lmic_raw_lb[#Headers],0))=0, INDEX(regions_lb[], MATCH($D253, regions_lb[[setting]:[setting]],0), MATCH(AI$139, regions_lb[#Headers],0)),INDEX(lmic_raw_lb[],MATCH($A253,lmic_raw_lb[[setting]:[setting]],0), MATCH(AI$139, lmic_raw_lb[#Headers],0)))</f>
        <v>8.1974363270996119E-4</v>
      </c>
      <c r="AJ253" s="94">
        <f>IF(INDEX(lmic_raw_lb[],MATCH($A253,lmic_raw_lb[[setting]:[setting]],0), MATCH(AJ$139, lmic_raw_lb[#Headers],0))=0, INDEX(regions_lb[], MATCH($D253, regions_lb[[setting]:[setting]],0), MATCH(AJ$139, regions_lb[#Headers],0)),INDEX(lmic_raw_lb[],MATCH($A253,lmic_raw_lb[[setting]:[setting]],0), MATCH(AJ$139, lmic_raw_lb[#Headers],0)))</f>
        <v>9.3825429599690236E-4</v>
      </c>
      <c r="AK253" s="94">
        <f>IF(INDEX(lmic_raw_lb[],MATCH($A253,lmic_raw_lb[[setting]:[setting]],0), MATCH(AK$139, lmic_raw_lb[#Headers],0))=0, INDEX(regions_lb[], MATCH($D253, regions_lb[[setting]:[setting]],0), MATCH(AK$139, regions_lb[#Headers],0)),INDEX(lmic_raw_lb[],MATCH($A253,lmic_raw_lb[[setting]:[setting]],0), MATCH(AK$139, lmic_raw_lb[#Headers],0)))</f>
        <v>1.3496637957832491E-3</v>
      </c>
      <c r="AL253" s="94">
        <f>IF(INDEX(lmic_raw_lb[],MATCH($A253,lmic_raw_lb[[setting]:[setting]],0), MATCH(AL$139, lmic_raw_lb[#Headers],0))=0, INDEX(regions_lb[], MATCH($D253, regions_lb[[setting]:[setting]],0), MATCH(AL$139, regions_lb[#Headers],0)),INDEX(lmic_raw_lb[],MATCH($A253,lmic_raw_lb[[setting]:[setting]],0), MATCH(AL$139, lmic_raw_lb[#Headers],0)))</f>
        <v>1.9759902384875942E-3</v>
      </c>
      <c r="AM253" s="94">
        <f>IF(INDEX(lmic_raw_lb[],MATCH($A253,lmic_raw_lb[[setting]:[setting]],0), MATCH(AM$139, lmic_raw_lb[#Headers],0))=0, INDEX(regions_lb[], MATCH($D253, regions_lb[[setting]:[setting]],0), MATCH(AM$139, regions_lb[#Headers],0)),INDEX(lmic_raw_lb[],MATCH($A253,lmic_raw_lb[[setting]:[setting]],0), MATCH(AM$139, lmic_raw_lb[#Headers],0)))</f>
        <v>3.0471047906886349E-3</v>
      </c>
      <c r="AN253" s="94">
        <f>IF(INDEX(lmic_raw_lb[],MATCH($A253,lmic_raw_lb[[setting]:[setting]],0), MATCH(AN$139, lmic_raw_lb[#Headers],0))=0, INDEX(regions_lb[], MATCH($D253, regions_lb[[setting]:[setting]],0), MATCH(AN$139, regions_lb[#Headers],0)),INDEX(lmic_raw_lb[],MATCH($A253,lmic_raw_lb[[setting]:[setting]],0), MATCH(AN$139, lmic_raw_lb[#Headers],0)))</f>
        <v>4.6667085089100993E-3</v>
      </c>
      <c r="AO253" s="94">
        <f>IF(INDEX(lmic_raw_lb[],MATCH($A253,lmic_raw_lb[[setting]:[setting]],0), MATCH(AO$139, lmic_raw_lb[#Headers],0))=0, INDEX(regions_lb[], MATCH($D253, regions_lb[[setting]:[setting]],0), MATCH(AO$139, regions_lb[#Headers],0)),INDEX(lmic_raw_lb[],MATCH($A253,lmic_raw_lb[[setting]:[setting]],0), MATCH(AO$139, lmic_raw_lb[#Headers],0)))</f>
        <v>6.6270205020035758E-3</v>
      </c>
      <c r="AP253" s="94">
        <f>IF(INDEX(lmic_raw_lb[],MATCH($A253,lmic_raw_lb[[setting]:[setting]],0), MATCH(AP$139, lmic_raw_lb[#Headers],0))=0, INDEX(regions_lb[], MATCH($D253, regions_lb[[setting]:[setting]],0), MATCH(AP$139, regions_lb[#Headers],0)),INDEX(lmic_raw_lb[],MATCH($A253,lmic_raw_lb[[setting]:[setting]],0), MATCH(AP$139, lmic_raw_lb[#Headers],0)))</f>
        <v>9.4945732837154826E-3</v>
      </c>
      <c r="AQ253" s="94">
        <f>IF(INDEX(lmic_raw_lb[],MATCH($A253,lmic_raw_lb[[setting]:[setting]],0), MATCH(AQ$139, lmic_raw_lb[#Headers],0))=0, INDEX(regions_lb[], MATCH($D253, regions_lb[[setting]:[setting]],0), MATCH(AQ$139, regions_lb[#Headers],0)),INDEX(lmic_raw_lb[],MATCH($A253,lmic_raw_lb[[setting]:[setting]],0), MATCH(AQ$139, lmic_raw_lb[#Headers],0)))</f>
        <v>1.6628943980885501E-2</v>
      </c>
      <c r="AR253" s="94">
        <f>IF(INDEX(lmic_raw_lb[],MATCH($A253,lmic_raw_lb[[setting]:[setting]],0), MATCH(AR$139, lmic_raw_lb[#Headers],0))=0, INDEX(regions_lb[], MATCH($D253, regions_lb[[setting]:[setting]],0), MATCH(AR$139, regions_lb[#Headers],0)),INDEX(lmic_raw_lb[],MATCH($A253,lmic_raw_lb[[setting]:[setting]],0), MATCH(AR$139, lmic_raw_lb[#Headers],0)))</f>
        <v>2.9885000752652619E-2</v>
      </c>
      <c r="AS253" s="94">
        <f>IF(INDEX(lmic_raw_lb[],MATCH($A253,lmic_raw_lb[[setting]:[setting]],0), MATCH(AS$139, lmic_raw_lb[#Headers],0))=0, INDEX(regions_lb[], MATCH($D253, regions_lb[[setting]:[setting]],0), MATCH(AS$139, regions_lb[#Headers],0)),INDEX(lmic_raw_lb[],MATCH($A253,lmic_raw_lb[[setting]:[setting]],0), MATCH(AS$139, lmic_raw_lb[#Headers],0)))</f>
        <v>4.0971398670609269E-2</v>
      </c>
      <c r="AT253" s="94">
        <f>IF(INDEX(lmic_raw_lb[],MATCH($A253,lmic_raw_lb[[setting]:[setting]],0), MATCH(AT$139, lmic_raw_lb[#Headers],0))=0, INDEX(regions_lb[], MATCH($D253, regions_lb[[setting]:[setting]],0), MATCH(AT$139, regions_lb[#Headers],0)),INDEX(lmic_raw_lb[],MATCH($A253,lmic_raw_lb[[setting]:[setting]],0), MATCH(AT$139, lmic_raw_lb[#Headers],0)))</f>
        <v>6.6444476314141784E-2</v>
      </c>
      <c r="AU253" s="94">
        <f>IF(INDEX(lmic_raw_lb[],MATCH($A253,lmic_raw_lb[[setting]:[setting]],0), MATCH(AU$139, lmic_raw_lb[#Headers],0))=0, INDEX(regions_lb[], MATCH($D253, regions_lb[[setting]:[setting]],0), MATCH(AU$139, regions_lb[#Headers],0)),INDEX(lmic_raw_lb[],MATCH($A253,lmic_raw_lb[[setting]:[setting]],0), MATCH(AU$139, lmic_raw_lb[#Headers],0)))</f>
        <v>0.10132736246097709</v>
      </c>
      <c r="AV253" s="94">
        <f>IF(INDEX(lmic_raw_lb[],MATCH($A253,lmic_raw_lb[[setting]:[setting]],0), MATCH(AV$139, lmic_raw_lb[#Headers],0))=0, INDEX(regions_lb[], MATCH($D253, regions_lb[[setting]:[setting]],0), MATCH(AV$139, regions_lb[#Headers],0)),INDEX(lmic_raw_lb[],MATCH($A253,lmic_raw_lb[[setting]:[setting]],0), MATCH(AV$139, lmic_raw_lb[#Headers],0)))</f>
        <v>0.13701320887060006</v>
      </c>
      <c r="AW253" s="94">
        <f>IF(INDEX(lmic_raw_lb[],MATCH($A253,lmic_raw_lb[[setting]:[setting]],0), MATCH(AW$139, lmic_raw_lb[#Headers],0))=0, INDEX(regions_lb[], MATCH($D253, regions_lb[[setting]:[setting]],0), MATCH(AW$139, regions_lb[#Headers],0)),INDEX(lmic_raw_lb[],MATCH($A253,lmic_raw_lb[[setting]:[setting]],0), MATCH(AW$139, lmic_raw_lb[#Headers],0)))</f>
        <v>0.16315585366536406</v>
      </c>
      <c r="AX253" s="94">
        <f>IF(INDEX(lmic_raw_lb[],MATCH($A253,lmic_raw_lb[[setting]:[setting]],0), MATCH(AX$139, lmic_raw_lb[#Headers],0))=0, INDEX(regions_lb[], MATCH($D253, regions_lb[[setting]:[setting]],0), MATCH(AX$139, regions_lb[#Headers],0)),INDEX(lmic_raw_lb[],MATCH($A253,lmic_raw_lb[[setting]:[setting]],0), MATCH(AX$139, lmic_raw_lb[#Headers],0)))</f>
        <v>72.888749999999987</v>
      </c>
      <c r="AY253" s="94" t="str">
        <f>IF(VLOOKUP(lmics_lb[[#This Row],[setting]],lmic_raw_lb[],11,FALSE)=0, "Yes", "No")</f>
        <v>Yes</v>
      </c>
    </row>
    <row r="254" spans="1:51" x14ac:dyDescent="0.25">
      <c r="A254" s="109" t="s">
        <v>647</v>
      </c>
      <c r="B254" s="101" t="s">
        <v>518</v>
      </c>
      <c r="C254" s="102">
        <v>729</v>
      </c>
      <c r="D254" s="82" t="s">
        <v>673</v>
      </c>
      <c r="E254" s="121" t="s">
        <v>597</v>
      </c>
      <c r="F254" s="98" t="s">
        <v>667</v>
      </c>
      <c r="G254" s="98" t="s">
        <v>678</v>
      </c>
      <c r="H254" s="98"/>
      <c r="I254" s="98"/>
      <c r="J254" s="98">
        <f>IF(INDEX(lmic_raw_lb[],MATCH($A254,lmic_raw_lb[[setting]:[setting]],0), MATCH(J$139, lmic_raw_lb[#Headers],0))=0, INDEX(regions_lb[], MATCH($D254, regions_lb[[setting]:[setting]],0), MATCH(J$139, regions_lb[#Headers],0)),INDEX(lmic_raw_lb[],MATCH($A254,lmic_raw_lb[[setting]:[setting]],0), MATCH(J$139, lmic_raw_lb[#Headers],0)))</f>
        <v>0.26314999999999994</v>
      </c>
      <c r="K254" s="98">
        <f>IF(INDEX(lmic_raw_lb[],MATCH($A254,lmic_raw_lb[[setting]:[setting]],0), MATCH(K$139, lmic_raw_lb[#Headers],0))=0, INDEX(regions_lb[], MATCH($D254, regions_lb[[setting]:[setting]],0), MATCH(K$139, regions_lb[#Headers],0)),INDEX(lmic_raw_lb[],MATCH($A254,lmic_raw_lb[[setting]:[setting]],0), MATCH(K$139, lmic_raw_lb[#Headers],0)))</f>
        <v>0.67438226776312915</v>
      </c>
      <c r="L254" s="98">
        <f>IF(INDEX(lmic_raw_lb[],MATCH($A254,lmic_raw_lb[[setting]:[setting]],0), MATCH(L$139, lmic_raw_lb[#Headers],0))=0, INDEX(regions_lb[], MATCH($D254, regions_lb[[setting]:[setting]],0), MATCH(L$139, regions_lb[#Headers],0)),INDEX(lmic_raw_lb[],MATCH($A254,lmic_raw_lb[[setting]:[setting]],0), MATCH(L$139, lmic_raw_lb[#Headers],0)))</f>
        <v>0.88349999999999995</v>
      </c>
      <c r="M254" s="98">
        <f>IF(INDEX(lmic_raw_lb[],MATCH($A254,lmic_raw_lb[[setting]:[setting]],0), MATCH(M$139, lmic_raw_lb[#Headers],0))=0, INDEX(regions_lb[], MATCH($D254, regions_lb[[setting]:[setting]],0), MATCH(M$139, regions_lb[#Headers],0)),INDEX(lmic_raw_lb[],MATCH($A254,lmic_raw_lb[[setting]:[setting]],0), MATCH(M$139, lmic_raw_lb[#Headers],0)))</f>
        <v>6.0599999999999994E-2</v>
      </c>
      <c r="N254" s="98">
        <f>IF(INDEX(lmic_raw_lb[],MATCH($A254,lmic_raw_lb[[setting]:[setting]],0), MATCH(N$139, lmic_raw_lb[#Headers],0))=0, INDEX(regions_lb[], MATCH($D254, regions_lb[[setting]:[setting]],0), MATCH(N$139, regions_lb[#Headers],0)),INDEX(lmic_raw_lb[],MATCH($A254,lmic_raw_lb[[setting]:[setting]],0), MATCH(N$139, lmic_raw_lb[#Headers],0)))</f>
        <v>0.15560000000000002</v>
      </c>
      <c r="O254" s="98">
        <f>IF(INDEX(lmic_raw_lb[],MATCH($A254,lmic_raw_lb[[setting]:[setting]],0), MATCH(O$139, lmic_raw_lb[#Headers],0))=0, INDEX(regions_lb[], MATCH($D254, regions_lb[[setting]:[setting]],0), MATCH(O$139, regions_lb[#Headers],0)),INDEX(lmic_raw_lb[],MATCH($A254,lmic_raw_lb[[setting]:[setting]],0), MATCH(O$139, lmic_raw_lb[#Headers],0)))</f>
        <v>7.0000000000000007E-2</v>
      </c>
      <c r="P254" s="98">
        <f>IF(INDEX(lmic_raw_lb[],MATCH($A254,lmic_raw_lb[[setting]:[setting]],0), MATCH(P$139, lmic_raw_lb[#Headers],0))=0, INDEX(regions_lb[], MATCH($D254, regions_lb[[setting]:[setting]],0), MATCH(P$139, regions_lb[#Headers],0)),INDEX(lmic_raw_lb[],MATCH($A254,lmic_raw_lb[[setting]:[setting]],0), MATCH(P$139, lmic_raw_lb[#Headers],0)))</f>
        <v>1E-3</v>
      </c>
      <c r="Q254" s="98">
        <f>IF(INDEX(lmic_raw_lb[],MATCH($A254,lmic_raw_lb[[setting]:[setting]],0), MATCH(Q$139, lmic_raw_lb[#Headers],0))=0, INDEX(regions_lb[], MATCH($D254, regions_lb[[setting]:[setting]],0), MATCH(Q$139, regions_lb[#Headers],0)),INDEX(lmic_raw_lb[],MATCH($A254,lmic_raw_lb[[setting]:[setting]],0), MATCH(Q$139, lmic_raw_lb[#Headers],0)))</f>
        <v>3.8220447478231283</v>
      </c>
      <c r="R254" s="98">
        <f>IF(INDEX(lmic_raw_lb[],MATCH($A254,lmic_raw_lb[[setting]:[setting]],0), MATCH(R$139, lmic_raw_lb[#Headers],0))=0, INDEX(regions_lb[], MATCH($D254, regions_lb[[setting]:[setting]],0), MATCH(R$139, regions_lb[#Headers],0)),INDEX(lmic_raw_lb[],MATCH($A254,lmic_raw_lb[[setting]:[setting]],0), MATCH(R$139, lmic_raw_lb[#Headers],0)))</f>
        <v>28.424474999999997</v>
      </c>
      <c r="S254" s="98">
        <f>IF(INDEX(lmic_raw_lb[],MATCH($A254,lmic_raw_lb[[setting]:[setting]],0), MATCH(S$139, lmic_raw_lb[#Headers],0))=0, INDEX(regions_lb[], MATCH($D254, regions_lb[[setting]:[setting]],0), MATCH(S$139, regions_lb[#Headers],0)),INDEX(lmic_raw_lb[],MATCH($A254,lmic_raw_lb[[setting]:[setting]],0), MATCH(S$139, lmic_raw_lb[#Headers],0)))</f>
        <v>73.779375000000002</v>
      </c>
      <c r="T254" s="98">
        <f>IF(INDEX(lmic_raw_lb[],MATCH($A254,lmic_raw_lb[[setting]:[setting]],0), MATCH(T$139, lmic_raw_lb[#Headers],0))=0, INDEX(regions_lb[], MATCH($D254, regions_lb[[setting]:[setting]],0), MATCH(T$139, regions_lb[#Headers],0)),INDEX(lmic_raw_lb[],MATCH($A254,lmic_raw_lb[[setting]:[setting]],0), MATCH(T$139, lmic_raw_lb[#Headers],0)))</f>
        <v>73.779375000000002</v>
      </c>
      <c r="U254" s="98">
        <f>IF(INDEX(lmic_raw_lb[],MATCH($A254,lmic_raw_lb[[setting]:[setting]],0), MATCH(U$139, lmic_raw_lb[#Headers],0))=0, INDEX(regions_lb[], MATCH($D254, regions_lb[[setting]:[setting]],0), MATCH(U$139, regions_lb[#Headers],0)),INDEX(lmic_raw_lb[],MATCH($A254,lmic_raw_lb[[setting]:[setting]],0), MATCH(U$139, lmic_raw_lb[#Headers],0)))</f>
        <v>73.779375000000002</v>
      </c>
      <c r="V254" s="98">
        <f>IF(INDEX(lmic_raw_lb[],MATCH($A254,lmic_raw_lb[[setting]:[setting]],0), MATCH(V$139, lmic_raw_lb[#Headers],0))=0, INDEX(regions_lb[], MATCH($D254, regions_lb[[setting]:[setting]],0), MATCH(V$139, regions_lb[#Headers],0)),INDEX(lmic_raw_lb[],MATCH($A254,lmic_raw_lb[[setting]:[setting]],0), MATCH(V$139, lmic_raw_lb[#Headers],0)))</f>
        <v>1.1061970580273588</v>
      </c>
      <c r="W254" s="98">
        <f>IF(INDEX(lmic_raw_lb[],MATCH($A254,lmic_raw_lb[[setting]:[setting]],0), MATCH(W$139, lmic_raw_lb[#Headers],0))=0, INDEX(regions_lb[], MATCH($D254, regions_lb[[setting]:[setting]],0), MATCH(W$139, regions_lb[#Headers],0)),INDEX(lmic_raw_lb[],MATCH($A254,lmic_raw_lb[[setting]:[setting]],0), MATCH(W$139, lmic_raw_lb[#Headers],0)))</f>
        <v>5.6934620580273592</v>
      </c>
      <c r="X254" s="98">
        <f>IF(INDEX(lmic_raw_lb[],MATCH($A254,lmic_raw_lb[[setting]:[setting]],0), MATCH(X$139, lmic_raw_lb[#Headers],0))=0, INDEX(regions_lb[], MATCH($D254, regions_lb[[setting]:[setting]],0), MATCH(X$139, regions_lb[#Headers],0)),INDEX(lmic_raw_lb[],MATCH($A254,lmic_raw_lb[[setting]:[setting]],0), MATCH(X$139, lmic_raw_lb[#Headers],0)))</f>
        <v>0.74311474405894773</v>
      </c>
      <c r="Y254" s="98">
        <f>IF(INDEX(lmic_raw_lb[],MATCH($A254,lmic_raw_lb[[setting]:[setting]],0), MATCH(Y$139, lmic_raw_lb[#Headers],0))=0, INDEX(regions_lb[], MATCH($D254, regions_lb[[setting]:[setting]],0), MATCH(Y$139, regions_lb[#Headers],0)),INDEX(lmic_raw_lb[],MATCH($A254,lmic_raw_lb[[setting]:[setting]],0), MATCH(Y$139, lmic_raw_lb[#Headers],0)))</f>
        <v>5.3303797440589484</v>
      </c>
      <c r="Z254" s="98">
        <f>IF(INDEX(lmic_raw_lb[],MATCH($A254,lmic_raw_lb[[setting]:[setting]],0), MATCH(Z$139, lmic_raw_lb[#Headers],0))=0, INDEX(regions_lb[], MATCH($D254, regions_lb[[setting]:[setting]],0), MATCH(Z$139, regions_lb[#Headers],0)),INDEX(lmic_raw_lb[],MATCH($A254,lmic_raw_lb[[setting]:[setting]],0), MATCH(Z$139, lmic_raw_lb[#Headers],0)))</f>
        <v>5.3296826029692124</v>
      </c>
      <c r="AA254" s="98">
        <f>IF(INDEX(lmic_raw_lb[],MATCH($A254,lmic_raw_lb[[setting]:[setting]],0), MATCH(AA$139, lmic_raw_lb[#Headers],0))=0, INDEX(regions_lb[], MATCH($D254, regions_lb[[setting]:[setting]],0), MATCH(AA$139, regions_lb[#Headers],0)),INDEX(lmic_raw_lb[],MATCH($A254,lmic_raw_lb[[setting]:[setting]],0), MATCH(AA$139, lmic_raw_lb[#Headers],0)))</f>
        <v>1.3164452956780328</v>
      </c>
      <c r="AB254" s="98">
        <f>IF(INDEX(lmic_raw_lb[],MATCH($A254,lmic_raw_lb[[setting]:[setting]],0), MATCH(AB$139, lmic_raw_lb[#Headers],0))=0, INDEX(regions_lb[], MATCH($D254, regions_lb[[setting]:[setting]],0), MATCH(AB$139, regions_lb[#Headers],0)),INDEX(lmic_raw_lb[],MATCH($A254,lmic_raw_lb[[setting]:[setting]],0), MATCH(AB$139, lmic_raw_lb[#Headers],0)))</f>
        <v>5.9037102956780334</v>
      </c>
      <c r="AC254" s="98">
        <f>IF(INDEX(lmic_raw_lb[],MATCH($A254,lmic_raw_lb[[setting]:[setting]],0), MATCH(AC$139, lmic_raw_lb[#Headers],0))=0, INDEX(regions_lb[], MATCH($D254, regions_lb[[setting]:[setting]],0), MATCH(AC$139, regions_lb[#Headers],0)),INDEX(lmic_raw_lb[],MATCH($A254,lmic_raw_lb[[setting]:[setting]],0), MATCH(AC$139, lmic_raw_lb[#Headers],0)))</f>
        <v>4.0731107500000002E-2</v>
      </c>
      <c r="AD254" s="98">
        <f>IF(INDEX(lmic_raw_lb[],MATCH($A254,lmic_raw_lb[[setting]:[setting]],0), MATCH(AD$139, lmic_raw_lb[#Headers],0))=0, INDEX(regions_lb[], MATCH($D254, regions_lb[[setting]:[setting]],0), MATCH(AD$139, regions_lb[#Headers],0)),INDEX(lmic_raw_lb[],MATCH($A254,lmic_raw_lb[[setting]:[setting]],0), MATCH(AD$139, lmic_raw_lb[#Headers],0)))</f>
        <v>5.2353937204554736E-3</v>
      </c>
      <c r="AE254" s="98">
        <f>IF(INDEX(lmic_raw_lb[],MATCH($A254,lmic_raw_lb[[setting]:[setting]],0), MATCH(AE$139, lmic_raw_lb[#Headers],0))=0, INDEX(regions_lb[], MATCH($D254, regions_lb[[setting]:[setting]],0), MATCH(AE$139, regions_lb[#Headers],0)),INDEX(lmic_raw_lb[],MATCH($A254,lmic_raw_lb[[setting]:[setting]],0), MATCH(AE$139, lmic_raw_lb[#Headers],0)))</f>
        <v>2.0583521720982036E-3</v>
      </c>
      <c r="AF254" s="98">
        <f>IF(INDEX(lmic_raw_lb[],MATCH($A254,lmic_raw_lb[[setting]:[setting]],0), MATCH(AF$139, lmic_raw_lb[#Headers],0))=0, INDEX(regions_lb[], MATCH($D254, regions_lb[[setting]:[setting]],0), MATCH(AF$139, regions_lb[#Headers],0)),INDEX(lmic_raw_lb[],MATCH($A254,lmic_raw_lb[[setting]:[setting]],0), MATCH(AF$139, lmic_raw_lb[#Headers],0)))</f>
        <v>1.5452142046884301E-3</v>
      </c>
      <c r="AG254" s="98">
        <f>IF(INDEX(lmic_raw_lb[],MATCH($A254,lmic_raw_lb[[setting]:[setting]],0), MATCH(AG$139, lmic_raw_lb[#Headers],0))=0, INDEX(regions_lb[], MATCH($D254, regions_lb[[setting]:[setting]],0), MATCH(AG$139, regions_lb[#Headers],0)),INDEX(lmic_raw_lb[],MATCH($A254,lmic_raw_lb[[setting]:[setting]],0), MATCH(AG$139, lmic_raw_lb[#Headers],0)))</f>
        <v>1.8227898441625253E-3</v>
      </c>
      <c r="AH254" s="98">
        <f>IF(INDEX(lmic_raw_lb[],MATCH($A254,lmic_raw_lb[[setting]:[setting]],0), MATCH(AH$139, lmic_raw_lb[#Headers],0))=0, INDEX(regions_lb[], MATCH($D254, regions_lb[[setting]:[setting]],0), MATCH(AH$139, regions_lb[#Headers],0)),INDEX(lmic_raw_lb[],MATCH($A254,lmic_raw_lb[[setting]:[setting]],0), MATCH(AH$139, lmic_raw_lb[#Headers],0)))</f>
        <v>2.4436091068750975E-3</v>
      </c>
      <c r="AI254" s="98">
        <f>IF(INDEX(lmic_raw_lb[],MATCH($A254,lmic_raw_lb[[setting]:[setting]],0), MATCH(AI$139, lmic_raw_lb[#Headers],0))=0, INDEX(regions_lb[], MATCH($D254, regions_lb[[setting]:[setting]],0), MATCH(AI$139, regions_lb[#Headers],0)),INDEX(lmic_raw_lb[],MATCH($A254,lmic_raw_lb[[setting]:[setting]],0), MATCH(AI$139, lmic_raw_lb[#Headers],0)))</f>
        <v>2.901166772051985E-3</v>
      </c>
      <c r="AJ254" s="98">
        <f>IF(INDEX(lmic_raw_lb[],MATCH($A254,lmic_raw_lb[[setting]:[setting]],0), MATCH(AJ$139, lmic_raw_lb[#Headers],0))=0, INDEX(regions_lb[], MATCH($D254, regions_lb[[setting]:[setting]],0), MATCH(AJ$139, regions_lb[#Headers],0)),INDEX(lmic_raw_lb[],MATCH($A254,lmic_raw_lb[[setting]:[setting]],0), MATCH(AJ$139, lmic_raw_lb[#Headers],0)))</f>
        <v>3.369180053718519E-3</v>
      </c>
      <c r="AK254" s="98">
        <f>IF(INDEX(lmic_raw_lb[],MATCH($A254,lmic_raw_lb[[setting]:[setting]],0), MATCH(AK$139, lmic_raw_lb[#Headers],0))=0, INDEX(regions_lb[], MATCH($D254, regions_lb[[setting]:[setting]],0), MATCH(AK$139, regions_lb[#Headers],0)),INDEX(lmic_raw_lb[],MATCH($A254,lmic_raw_lb[[setting]:[setting]],0), MATCH(AK$139, lmic_raw_lb[#Headers],0)))</f>
        <v>4.2441213102007028E-3</v>
      </c>
      <c r="AL254" s="98">
        <f>IF(INDEX(lmic_raw_lb[],MATCH($A254,lmic_raw_lb[[setting]:[setting]],0), MATCH(AL$139, lmic_raw_lb[#Headers],0))=0, INDEX(regions_lb[], MATCH($D254, regions_lb[[setting]:[setting]],0), MATCH(AL$139, regions_lb[#Headers],0)),INDEX(lmic_raw_lb[],MATCH($A254,lmic_raw_lb[[setting]:[setting]],0), MATCH(AL$139, lmic_raw_lb[#Headers],0)))</f>
        <v>5.1404268455057366E-3</v>
      </c>
      <c r="AM254" s="98">
        <f>IF(INDEX(lmic_raw_lb[],MATCH($A254,lmic_raw_lb[[setting]:[setting]],0), MATCH(AM$139, lmic_raw_lb[#Headers],0))=0, INDEX(regions_lb[], MATCH($D254, regions_lb[[setting]:[setting]],0), MATCH(AM$139, regions_lb[#Headers],0)),INDEX(lmic_raw_lb[],MATCH($A254,lmic_raw_lb[[setting]:[setting]],0), MATCH(AM$139, lmic_raw_lb[#Headers],0)))</f>
        <v>6.2923463368188695E-3</v>
      </c>
      <c r="AN254" s="98">
        <f>IF(INDEX(lmic_raw_lb[],MATCH($A254,lmic_raw_lb[[setting]:[setting]],0), MATCH(AN$139, lmic_raw_lb[#Headers],0))=0, INDEX(regions_lb[], MATCH($D254, regions_lb[[setting]:[setting]],0), MATCH(AN$139, regions_lb[#Headers],0)),INDEX(lmic_raw_lb[],MATCH($A254,lmic_raw_lb[[setting]:[setting]],0), MATCH(AN$139, lmic_raw_lb[#Headers],0)))</f>
        <v>8.3910228603359168E-3</v>
      </c>
      <c r="AO254" s="98">
        <f>IF(INDEX(lmic_raw_lb[],MATCH($A254,lmic_raw_lb[[setting]:[setting]],0), MATCH(AO$139, lmic_raw_lb[#Headers],0))=0, INDEX(regions_lb[], MATCH($D254, regions_lb[[setting]:[setting]],0), MATCH(AO$139, regions_lb[#Headers],0)),INDEX(lmic_raw_lb[],MATCH($A254,lmic_raw_lb[[setting]:[setting]],0), MATCH(AO$139, lmic_raw_lb[#Headers],0)))</f>
        <v>1.1326942842775863E-2</v>
      </c>
      <c r="AP254" s="98">
        <f>IF(INDEX(lmic_raw_lb[],MATCH($A254,lmic_raw_lb[[setting]:[setting]],0), MATCH(AP$139, lmic_raw_lb[#Headers],0))=0, INDEX(regions_lb[], MATCH($D254, regions_lb[[setting]:[setting]],0), MATCH(AP$139, regions_lb[#Headers],0)),INDEX(lmic_raw_lb[],MATCH($A254,lmic_raw_lb[[setting]:[setting]],0), MATCH(AP$139, lmic_raw_lb[#Headers],0)))</f>
        <v>1.6660100039638227E-2</v>
      </c>
      <c r="AQ254" s="98">
        <f>IF(INDEX(lmic_raw_lb[],MATCH($A254,lmic_raw_lb[[setting]:[setting]],0), MATCH(AQ$139, lmic_raw_lb[#Headers],0))=0, INDEX(regions_lb[], MATCH($D254, regions_lb[[setting]:[setting]],0), MATCH(AQ$139, regions_lb[#Headers],0)),INDEX(lmic_raw_lb[],MATCH($A254,lmic_raw_lb[[setting]:[setting]],0), MATCH(AQ$139, lmic_raw_lb[#Headers],0)))</f>
        <v>2.6039087819775895E-2</v>
      </c>
      <c r="AR254" s="98">
        <f>IF(INDEX(lmic_raw_lb[],MATCH($A254,lmic_raw_lb[[setting]:[setting]],0), MATCH(AR$139, lmic_raw_lb[#Headers],0))=0, INDEX(regions_lb[], MATCH($D254, regions_lb[[setting]:[setting]],0), MATCH(AR$139, regions_lb[#Headers],0)),INDEX(lmic_raw_lb[],MATCH($A254,lmic_raw_lb[[setting]:[setting]],0), MATCH(AR$139, lmic_raw_lb[#Headers],0)))</f>
        <v>4.0451632876977568E-2</v>
      </c>
      <c r="AS254" s="98">
        <f>IF(INDEX(lmic_raw_lb[],MATCH($A254,lmic_raw_lb[[setting]:[setting]],0), MATCH(AS$139, lmic_raw_lb[#Headers],0))=0, INDEX(regions_lb[], MATCH($D254, regions_lb[[setting]:[setting]],0), MATCH(AS$139, regions_lb[#Headers],0)),INDEX(lmic_raw_lb[],MATCH($A254,lmic_raw_lb[[setting]:[setting]],0), MATCH(AS$139, lmic_raw_lb[#Headers],0)))</f>
        <v>6.0637908144142133E-2</v>
      </c>
      <c r="AT254" s="98">
        <f>IF(INDEX(lmic_raw_lb[],MATCH($A254,lmic_raw_lb[[setting]:[setting]],0), MATCH(AT$139, lmic_raw_lb[#Headers],0))=0, INDEX(regions_lb[], MATCH($D254, regions_lb[[setting]:[setting]],0), MATCH(AT$139, regions_lb[#Headers],0)),INDEX(lmic_raw_lb[],MATCH($A254,lmic_raw_lb[[setting]:[setting]],0), MATCH(AT$139, lmic_raw_lb[#Headers],0)))</f>
        <v>8.7455700898443123E-2</v>
      </c>
      <c r="AU254" s="98">
        <f>IF(INDEX(lmic_raw_lb[],MATCH($A254,lmic_raw_lb[[setting]:[setting]],0), MATCH(AU$139, lmic_raw_lb[#Headers],0))=0, INDEX(regions_lb[], MATCH($D254, regions_lb[[setting]:[setting]],0), MATCH(AU$139, regions_lb[#Headers],0)),INDEX(lmic_raw_lb[],MATCH($A254,lmic_raw_lb[[setting]:[setting]],0), MATCH(AU$139, lmic_raw_lb[#Headers],0)))</f>
        <v>0.11560772981197863</v>
      </c>
      <c r="AV254" s="98">
        <f>IF(INDEX(lmic_raw_lb[],MATCH($A254,lmic_raw_lb[[setting]:[setting]],0), MATCH(AV$139, lmic_raw_lb[#Headers],0))=0, INDEX(regions_lb[], MATCH($D254, regions_lb[[setting]:[setting]],0), MATCH(AV$139, regions_lb[#Headers],0)),INDEX(lmic_raw_lb[],MATCH($A254,lmic_raw_lb[[setting]:[setting]],0), MATCH(AV$139, lmic_raw_lb[#Headers],0)))</f>
        <v>0.14078528971278767</v>
      </c>
      <c r="AW254" s="98">
        <f>IF(INDEX(lmic_raw_lb[],MATCH($A254,lmic_raw_lb[[setting]:[setting]],0), MATCH(AW$139, lmic_raw_lb[#Headers],0))=0, INDEX(regions_lb[], MATCH($D254, regions_lb[[setting]:[setting]],0), MATCH(AW$139, regions_lb[#Headers],0)),INDEX(lmic_raw_lb[],MATCH($A254,lmic_raw_lb[[setting]:[setting]],0), MATCH(AW$139, lmic_raw_lb[#Headers],0)))</f>
        <v>0.15946370318848216</v>
      </c>
      <c r="AX254" s="98">
        <f>IF(INDEX(lmic_raw_lb[],MATCH($A254,lmic_raw_lb[[setting]:[setting]],0), MATCH(AX$139, lmic_raw_lb[#Headers],0))=0, INDEX(regions_lb[], MATCH($D254, regions_lb[[setting]:[setting]],0), MATCH(AX$139, regions_lb[#Headers],0)),INDEX(lmic_raw_lb[],MATCH($A254,lmic_raw_lb[[setting]:[setting]],0), MATCH(AX$139, lmic_raw_lb[#Headers],0)))</f>
        <v>61.700599999999987</v>
      </c>
      <c r="AY254" s="98" t="str">
        <f>IF(VLOOKUP(lmics_lb[[#This Row],[setting]],lmic_raw_lb[],11,FALSE)=0, "Yes", "No")</f>
        <v>Yes</v>
      </c>
    </row>
    <row r="255" spans="1:51" x14ac:dyDescent="0.25">
      <c r="A255" s="110" t="s">
        <v>273</v>
      </c>
      <c r="B255" s="104" t="s">
        <v>519</v>
      </c>
      <c r="C255" s="105">
        <v>740</v>
      </c>
      <c r="D255" s="84" t="s">
        <v>679</v>
      </c>
      <c r="E255" s="122" t="s">
        <v>223</v>
      </c>
      <c r="F255" s="94" t="s">
        <v>665</v>
      </c>
      <c r="G255" s="94" t="s">
        <v>676</v>
      </c>
      <c r="H255" s="94"/>
      <c r="I255" s="94"/>
      <c r="J255" s="94">
        <f>IF(INDEX(lmic_raw_lb[],MATCH($A255,lmic_raw_lb[[setting]:[setting]],0), MATCH(J$139, lmic_raw_lb[#Headers],0))=0, INDEX(regions_lb[], MATCH($D255, regions_lb[[setting]:[setting]],0), MATCH(J$139, regions_lb[#Headers],0)),INDEX(lmic_raw_lb[],MATCH($A255,lmic_raw_lb[[setting]:[setting]],0), MATCH(J$139, lmic_raw_lb[#Headers],0)))</f>
        <v>0.88255000000000006</v>
      </c>
      <c r="K255" s="94">
        <f>IF(INDEX(lmic_raw_lb[],MATCH($A255,lmic_raw_lb[[setting]:[setting]],0), MATCH(K$139, lmic_raw_lb[#Headers],0))=0, INDEX(regions_lb[], MATCH($D255, regions_lb[[setting]:[setting]],0), MATCH(K$139, regions_lb[#Headers],0)),INDEX(lmic_raw_lb[],MATCH($A255,lmic_raw_lb[[setting]:[setting]],0), MATCH(K$139, lmic_raw_lb[#Headers],0)))</f>
        <v>0.75049999999999994</v>
      </c>
      <c r="L255" s="94">
        <f>IF(INDEX(lmic_raw_lb[],MATCH($A255,lmic_raw_lb[[setting]:[setting]],0), MATCH(L$139, lmic_raw_lb[#Headers],0))=0, INDEX(regions_lb[], MATCH($D255, regions_lb[[setting]:[setting]],0), MATCH(L$139, regions_lb[#Headers],0)),INDEX(lmic_raw_lb[],MATCH($A255,lmic_raw_lb[[setting]:[setting]],0), MATCH(L$139, lmic_raw_lb[#Headers],0)))</f>
        <v>0.73149999999999993</v>
      </c>
      <c r="M255" s="94">
        <f>IF(INDEX(lmic_raw_lb[],MATCH($A255,lmic_raw_lb[[setting]:[setting]],0), MATCH(M$139, lmic_raw_lb[#Headers],0))=0, INDEX(regions_lb[], MATCH($D255, regions_lb[[setting]:[setting]],0), MATCH(M$139, regions_lb[#Headers],0)),INDEX(lmic_raw_lb[],MATCH($A255,lmic_raw_lb[[setting]:[setting]],0), MATCH(M$139, lmic_raw_lb[#Headers],0)))</f>
        <v>1.6000000000000001E-3</v>
      </c>
      <c r="N255" s="94">
        <f>IF(INDEX(lmic_raw_lb[],MATCH($A255,lmic_raw_lb[[setting]:[setting]],0), MATCH(N$139, lmic_raw_lb[#Headers],0))=0, INDEX(regions_lb[], MATCH($D255, regions_lb[[setting]:[setting]],0), MATCH(N$139, regions_lb[#Headers],0)),INDEX(lmic_raw_lb[],MATCH($A255,lmic_raw_lb[[setting]:[setting]],0), MATCH(N$139, lmic_raw_lb[#Headers],0)))</f>
        <v>0.16309999999999999</v>
      </c>
      <c r="O255" s="94">
        <f>IF(INDEX(lmic_raw_lb[],MATCH($A255,lmic_raw_lb[[setting]:[setting]],0), MATCH(O$139, lmic_raw_lb[#Headers],0))=0, INDEX(regions_lb[], MATCH($D255, regions_lb[[setting]:[setting]],0), MATCH(O$139, regions_lb[#Headers],0)),INDEX(lmic_raw_lb[],MATCH($A255,lmic_raw_lb[[setting]:[setting]],0), MATCH(O$139, lmic_raw_lb[#Headers],0)))</f>
        <v>0.7</v>
      </c>
      <c r="P255" s="94">
        <f>IF(INDEX(lmic_raw_lb[],MATCH($A255,lmic_raw_lb[[setting]:[setting]],0), MATCH(P$139, lmic_raw_lb[#Headers],0))=0, INDEX(regions_lb[], MATCH($D255, regions_lb[[setting]:[setting]],0), MATCH(P$139, regions_lb[#Headers],0)),INDEX(lmic_raw_lb[],MATCH($A255,lmic_raw_lb[[setting]:[setting]],0), MATCH(P$139, lmic_raw_lb[#Headers],0)))</f>
        <v>0.05</v>
      </c>
      <c r="Q255" s="94">
        <f>IF(INDEX(lmic_raw_lb[],MATCH($A255,lmic_raw_lb[[setting]:[setting]],0), MATCH(Q$139, lmic_raw_lb[#Headers],0))=0, INDEX(regions_lb[], MATCH($D255, regions_lb[[setting]:[setting]],0), MATCH(Q$139, regions_lb[#Headers],0)),INDEX(lmic_raw_lb[],MATCH($A255,lmic_raw_lb[[setting]:[setting]],0), MATCH(Q$139, lmic_raw_lb[#Headers],0)))</f>
        <v>9.4147411821406912</v>
      </c>
      <c r="R255" s="94">
        <f>IF(INDEX(lmic_raw_lb[],MATCH($A255,lmic_raw_lb[[setting]:[setting]],0), MATCH(R$139, lmic_raw_lb[#Headers],0))=0, INDEX(regions_lb[], MATCH($D255, regions_lb[[setting]:[setting]],0), MATCH(R$139, regions_lb[#Headers],0)),INDEX(lmic_raw_lb[],MATCH($A255,lmic_raw_lb[[setting]:[setting]],0), MATCH(R$139, lmic_raw_lb[#Headers],0)))</f>
        <v>82.539704999999998</v>
      </c>
      <c r="S255" s="94">
        <f>IF(INDEX(lmic_raw_lb[],MATCH($A255,lmic_raw_lb[[setting]:[setting]],0), MATCH(S$139, lmic_raw_lb[#Headers],0))=0, INDEX(regions_lb[], MATCH($D255, regions_lb[[setting]:[setting]],0), MATCH(S$139, regions_lb[#Headers],0)),INDEX(lmic_raw_lb[],MATCH($A255,lmic_raw_lb[[setting]:[setting]],0), MATCH(S$139, lmic_raw_lb[#Headers],0)))</f>
        <v>127.894605</v>
      </c>
      <c r="T255" s="94">
        <f>IF(INDEX(lmic_raw_lb[],MATCH($A255,lmic_raw_lb[[setting]:[setting]],0), MATCH(T$139, lmic_raw_lb[#Headers],0))=0, INDEX(regions_lb[], MATCH($D255, regions_lb[[setting]:[setting]],0), MATCH(T$139, regions_lb[#Headers],0)),INDEX(lmic_raw_lb[],MATCH($A255,lmic_raw_lb[[setting]:[setting]],0), MATCH(T$139, lmic_raw_lb[#Headers],0)))</f>
        <v>127.894605</v>
      </c>
      <c r="U255" s="94">
        <f>IF(INDEX(lmic_raw_lb[],MATCH($A255,lmic_raw_lb[[setting]:[setting]],0), MATCH(U$139, lmic_raw_lb[#Headers],0))=0, INDEX(regions_lb[], MATCH($D255, regions_lb[[setting]:[setting]],0), MATCH(U$139, regions_lb[#Headers],0)),INDEX(lmic_raw_lb[],MATCH($A255,lmic_raw_lb[[setting]:[setting]],0), MATCH(U$139, lmic_raw_lb[#Headers],0)))</f>
        <v>127.894605</v>
      </c>
      <c r="V255" s="94">
        <f>IF(INDEX(lmic_raw_lb[],MATCH($A255,lmic_raw_lb[[setting]:[setting]],0), MATCH(V$139, lmic_raw_lb[#Headers],0))=0, INDEX(regions_lb[], MATCH($D255, regions_lb[[setting]:[setting]],0), MATCH(V$139, regions_lb[#Headers],0)),INDEX(lmic_raw_lb[],MATCH($A255,lmic_raw_lb[[setting]:[setting]],0), MATCH(V$139, lmic_raw_lb[#Headers],0)))</f>
        <v>4.1411474971074353</v>
      </c>
      <c r="W255" s="94">
        <f>IF(INDEX(lmic_raw_lb[],MATCH($A255,lmic_raw_lb[[setting]:[setting]],0), MATCH(W$139, lmic_raw_lb[#Headers],0))=0, INDEX(regions_lb[], MATCH($D255, regions_lb[[setting]:[setting]],0), MATCH(W$139, regions_lb[#Headers],0)),INDEX(lmic_raw_lb[],MATCH($A255,lmic_raw_lb[[setting]:[setting]],0), MATCH(W$139, lmic_raw_lb[#Headers],0)))</f>
        <v>4.1618574971074356</v>
      </c>
      <c r="X255" s="94">
        <f>IF(INDEX(lmic_raw_lb[],MATCH($A255,lmic_raw_lb[[setting]:[setting]],0), MATCH(X$139, lmic_raw_lb[#Headers],0))=0, INDEX(regions_lb[], MATCH($D255, regions_lb[[setting]:[setting]],0), MATCH(X$139, regions_lb[#Headers],0)),INDEX(lmic_raw_lb[],MATCH($A255,lmic_raw_lb[[setting]:[setting]],0), MATCH(X$139, lmic_raw_lb[#Headers],0)))</f>
        <v>3.7710444141060515</v>
      </c>
      <c r="Y255" s="94">
        <f>IF(INDEX(lmic_raw_lb[],MATCH($A255,lmic_raw_lb[[setting]:[setting]],0), MATCH(Y$139, lmic_raw_lb[#Headers],0))=0, INDEX(regions_lb[], MATCH($D255, regions_lb[[setting]:[setting]],0), MATCH(Y$139, regions_lb[#Headers],0)),INDEX(lmic_raw_lb[],MATCH($A255,lmic_raw_lb[[setting]:[setting]],0), MATCH(Y$139, lmic_raw_lb[#Headers],0)))</f>
        <v>3.7917544141060513</v>
      </c>
      <c r="Z255" s="94">
        <f>IF(INDEX(lmic_raw_lb[],MATCH($A255,lmic_raw_lb[[setting]:[setting]],0), MATCH(Z$139, lmic_raw_lb[#Headers],0))=0, INDEX(regions_lb[], MATCH($D255, regions_lb[[setting]:[setting]],0), MATCH(Z$139, regions_lb[#Headers],0)),INDEX(lmic_raw_lb[],MATCH($A255,lmic_raw_lb[[setting]:[setting]],0), MATCH(Z$139, lmic_raw_lb[#Headers],0)))</f>
        <v>3.7865894627305212</v>
      </c>
      <c r="AA255" s="94">
        <f>IF(INDEX(lmic_raw_lb[],MATCH($A255,lmic_raw_lb[[setting]:[setting]],0), MATCH(AA$139, lmic_raw_lb[#Headers],0))=0, INDEX(regions_lb[], MATCH($D255, regions_lb[[setting]:[setting]],0), MATCH(AA$139, regions_lb[#Headers],0)),INDEX(lmic_raw_lb[],MATCH($A255,lmic_raw_lb[[setting]:[setting]],0), MATCH(AA$139, lmic_raw_lb[#Headers],0)))</f>
        <v>4.3544046357722408</v>
      </c>
      <c r="AB255" s="94">
        <f>IF(INDEX(lmic_raw_lb[],MATCH($A255,lmic_raw_lb[[setting]:[setting]],0), MATCH(AB$139, lmic_raw_lb[#Headers],0))=0, INDEX(regions_lb[], MATCH($D255, regions_lb[[setting]:[setting]],0), MATCH(AB$139, regions_lb[#Headers],0)),INDEX(lmic_raw_lb[],MATCH($A255,lmic_raw_lb[[setting]:[setting]],0), MATCH(AB$139, lmic_raw_lb[#Headers],0)))</f>
        <v>4.375114635772241</v>
      </c>
      <c r="AC255" s="94">
        <f>IF(INDEX(lmic_raw_lb[],MATCH($A255,lmic_raw_lb[[setting]:[setting]],0), MATCH(AC$139, lmic_raw_lb[#Headers],0))=0, INDEX(regions_lb[], MATCH($D255, regions_lb[[setting]:[setting]],0), MATCH(AC$139, regions_lb[#Headers],0)),INDEX(lmic_raw_lb[],MATCH($A255,lmic_raw_lb[[setting]:[setting]],0), MATCH(AC$139, lmic_raw_lb[#Headers],0)))</f>
        <v>1.6621712999999951E-2</v>
      </c>
      <c r="AD255" s="94">
        <f>IF(INDEX(lmic_raw_lb[],MATCH($A255,lmic_raw_lb[[setting]:[setting]],0), MATCH(AD$139, lmic_raw_lb[#Headers],0))=0, INDEX(regions_lb[], MATCH($D255, regions_lb[[setting]:[setting]],0), MATCH(AD$139, regions_lb[#Headers],0)),INDEX(lmic_raw_lb[],MATCH($A255,lmic_raw_lb[[setting]:[setting]],0), MATCH(AD$139, lmic_raw_lb[#Headers],0)))</f>
        <v>5.0077393620578297E-4</v>
      </c>
      <c r="AE255" s="94">
        <f>IF(INDEX(lmic_raw_lb[],MATCH($A255,lmic_raw_lb[[setting]:[setting]],0), MATCH(AE$139, lmic_raw_lb[#Headers],0))=0, INDEX(regions_lb[], MATCH($D255, regions_lb[[setting]:[setting]],0), MATCH(AE$139, regions_lb[#Headers],0)),INDEX(lmic_raw_lb[],MATCH($A255,lmic_raw_lb[[setting]:[setting]],0), MATCH(AE$139, lmic_raw_lb[#Headers],0)))</f>
        <v>5.2337641873583451E-4</v>
      </c>
      <c r="AF255" s="94">
        <f>IF(INDEX(lmic_raw_lb[],MATCH($A255,lmic_raw_lb[[setting]:[setting]],0), MATCH(AF$139, lmic_raw_lb[#Headers],0))=0, INDEX(regions_lb[], MATCH($D255, regions_lb[[setting]:[setting]],0), MATCH(AF$139, regions_lb[#Headers],0)),INDEX(lmic_raw_lb[],MATCH($A255,lmic_raw_lb[[setting]:[setting]],0), MATCH(AF$139, lmic_raw_lb[#Headers],0)))</f>
        <v>2.9964710543324043E-4</v>
      </c>
      <c r="AG255" s="94">
        <f>IF(INDEX(lmic_raw_lb[],MATCH($A255,lmic_raw_lb[[setting]:[setting]],0), MATCH(AG$139, lmic_raw_lb[#Headers],0))=0, INDEX(regions_lb[], MATCH($D255, regions_lb[[setting]:[setting]],0), MATCH(AG$139, regions_lb[#Headers],0)),INDEX(lmic_raw_lb[],MATCH($A255,lmic_raw_lb[[setting]:[setting]],0), MATCH(AG$139, lmic_raw_lb[#Headers],0)))</f>
        <v>5.4643221551887295E-4</v>
      </c>
      <c r="AH255" s="94">
        <f>IF(INDEX(lmic_raw_lb[],MATCH($A255,lmic_raw_lb[[setting]:[setting]],0), MATCH(AH$139, lmic_raw_lb[#Headers],0))=0, INDEX(regions_lb[], MATCH($D255, regions_lb[[setting]:[setting]],0), MATCH(AH$139, regions_lb[#Headers],0)),INDEX(lmic_raw_lb[],MATCH($A255,lmic_raw_lb[[setting]:[setting]],0), MATCH(AH$139, lmic_raw_lb[#Headers],0)))</f>
        <v>1.1159635870274744E-3</v>
      </c>
      <c r="AI255" s="94">
        <f>IF(INDEX(lmic_raw_lb[],MATCH($A255,lmic_raw_lb[[setting]:[setting]],0), MATCH(AI$139, lmic_raw_lb[#Headers],0))=0, INDEX(regions_lb[], MATCH($D255, regions_lb[[setting]:[setting]],0), MATCH(AI$139, regions_lb[#Headers],0)),INDEX(lmic_raw_lb[],MATCH($A255,lmic_raw_lb[[setting]:[setting]],0), MATCH(AI$139, lmic_raw_lb[#Headers],0)))</f>
        <v>1.8013885638795755E-3</v>
      </c>
      <c r="AJ255" s="94">
        <f>IF(INDEX(lmic_raw_lb[],MATCH($A255,lmic_raw_lb[[setting]:[setting]],0), MATCH(AJ$139, lmic_raw_lb[#Headers],0))=0, INDEX(regions_lb[], MATCH($D255, regions_lb[[setting]:[setting]],0), MATCH(AJ$139, regions_lb[#Headers],0)),INDEX(lmic_raw_lb[],MATCH($A255,lmic_raw_lb[[setting]:[setting]],0), MATCH(AJ$139, lmic_raw_lb[#Headers],0)))</f>
        <v>2.4402060073442549E-3</v>
      </c>
      <c r="AK255" s="94">
        <f>IF(INDEX(lmic_raw_lb[],MATCH($A255,lmic_raw_lb[[setting]:[setting]],0), MATCH(AK$139, lmic_raw_lb[#Headers],0))=0, INDEX(regions_lb[], MATCH($D255, regions_lb[[setting]:[setting]],0), MATCH(AK$139, regions_lb[#Headers],0)),INDEX(lmic_raw_lb[],MATCH($A255,lmic_raw_lb[[setting]:[setting]],0), MATCH(AK$139, lmic_raw_lb[#Headers],0)))</f>
        <v>3.0550243170953321E-3</v>
      </c>
      <c r="AL255" s="94">
        <f>IF(INDEX(lmic_raw_lb[],MATCH($A255,lmic_raw_lb[[setting]:[setting]],0), MATCH(AL$139, lmic_raw_lb[#Headers],0))=0, INDEX(regions_lb[], MATCH($D255, regions_lb[[setting]:[setting]],0), MATCH(AL$139, regions_lb[#Headers],0)),INDEX(lmic_raw_lb[],MATCH($A255,lmic_raw_lb[[setting]:[setting]],0), MATCH(AL$139, lmic_raw_lb[#Headers],0)))</f>
        <v>3.7375086379332206E-3</v>
      </c>
      <c r="AM255" s="94">
        <f>IF(INDEX(lmic_raw_lb[],MATCH($A255,lmic_raw_lb[[setting]:[setting]],0), MATCH(AM$139, lmic_raw_lb[#Headers],0))=0, INDEX(regions_lb[], MATCH($D255, regions_lb[[setting]:[setting]],0), MATCH(AM$139, regions_lb[#Headers],0)),INDEX(lmic_raw_lb[],MATCH($A255,lmic_raw_lb[[setting]:[setting]],0), MATCH(AM$139, lmic_raw_lb[#Headers],0)))</f>
        <v>4.8037719037198638E-3</v>
      </c>
      <c r="AN255" s="94">
        <f>IF(INDEX(lmic_raw_lb[],MATCH($A255,lmic_raw_lb[[setting]:[setting]],0), MATCH(AN$139, lmic_raw_lb[#Headers],0))=0, INDEX(regions_lb[], MATCH($D255, regions_lb[[setting]:[setting]],0), MATCH(AN$139, regions_lb[#Headers],0)),INDEX(lmic_raw_lb[],MATCH($A255,lmic_raw_lb[[setting]:[setting]],0), MATCH(AN$139, lmic_raw_lb[#Headers],0)))</f>
        <v>6.9613844568964071E-3</v>
      </c>
      <c r="AO255" s="94">
        <f>IF(INDEX(lmic_raw_lb[],MATCH($A255,lmic_raw_lb[[setting]:[setting]],0), MATCH(AO$139, lmic_raw_lb[#Headers],0))=0, INDEX(regions_lb[], MATCH($D255, regions_lb[[setting]:[setting]],0), MATCH(AO$139, regions_lb[#Headers],0)),INDEX(lmic_raw_lb[],MATCH($A255,lmic_raw_lb[[setting]:[setting]],0), MATCH(AO$139, lmic_raw_lb[#Headers],0)))</f>
        <v>1.078950747155643E-2</v>
      </c>
      <c r="AP255" s="94">
        <f>IF(INDEX(lmic_raw_lb[],MATCH($A255,lmic_raw_lb[[setting]:[setting]],0), MATCH(AP$139, lmic_raw_lb[#Headers],0))=0, INDEX(regions_lb[], MATCH($D255, regions_lb[[setting]:[setting]],0), MATCH(AP$139, regions_lb[#Headers],0)),INDEX(lmic_raw_lb[],MATCH($A255,lmic_raw_lb[[setting]:[setting]],0), MATCH(AP$139, lmic_raw_lb[#Headers],0)))</f>
        <v>1.6658814783602413E-2</v>
      </c>
      <c r="AQ255" s="94">
        <f>IF(INDEX(lmic_raw_lb[],MATCH($A255,lmic_raw_lb[[setting]:[setting]],0), MATCH(AQ$139, lmic_raw_lb[#Headers],0))=0, INDEX(regions_lb[], MATCH($D255, regions_lb[[setting]:[setting]],0), MATCH(AQ$139, regions_lb[#Headers],0)),INDEX(lmic_raw_lb[],MATCH($A255,lmic_raw_lb[[setting]:[setting]],0), MATCH(AQ$139, lmic_raw_lb[#Headers],0)))</f>
        <v>2.5148641182250037E-2</v>
      </c>
      <c r="AR255" s="94">
        <f>IF(INDEX(lmic_raw_lb[],MATCH($A255,lmic_raw_lb[[setting]:[setting]],0), MATCH(AR$139, lmic_raw_lb[#Headers],0))=0, INDEX(regions_lb[], MATCH($D255, regions_lb[[setting]:[setting]],0), MATCH(AR$139, regions_lb[#Headers],0)),INDEX(lmic_raw_lb[],MATCH($A255,lmic_raw_lb[[setting]:[setting]],0), MATCH(AR$139, lmic_raw_lb[#Headers],0)))</f>
        <v>3.7240358109747358E-2</v>
      </c>
      <c r="AS255" s="94">
        <f>IF(INDEX(lmic_raw_lb[],MATCH($A255,lmic_raw_lb[[setting]:[setting]],0), MATCH(AS$139, lmic_raw_lb[#Headers],0))=0, INDEX(regions_lb[], MATCH($D255, regions_lb[[setting]:[setting]],0), MATCH(AS$139, regions_lb[#Headers],0)),INDEX(lmic_raw_lb[],MATCH($A255,lmic_raw_lb[[setting]:[setting]],0), MATCH(AS$139, lmic_raw_lb[#Headers],0)))</f>
        <v>5.396270027110061E-2</v>
      </c>
      <c r="AT255" s="94">
        <f>IF(INDEX(lmic_raw_lb[],MATCH($A255,lmic_raw_lb[[setting]:[setting]],0), MATCH(AT$139, lmic_raw_lb[#Headers],0))=0, INDEX(regions_lb[], MATCH($D255, regions_lb[[setting]:[setting]],0), MATCH(AT$139, regions_lb[#Headers],0)),INDEX(lmic_raw_lb[],MATCH($A255,lmic_raw_lb[[setting]:[setting]],0), MATCH(AT$139, lmic_raw_lb[#Headers],0)))</f>
        <v>7.5823515183555484E-2</v>
      </c>
      <c r="AU255" s="94">
        <f>IF(INDEX(lmic_raw_lb[],MATCH($A255,lmic_raw_lb[[setting]:[setting]],0), MATCH(AU$139, lmic_raw_lb[#Headers],0))=0, INDEX(regions_lb[], MATCH($D255, regions_lb[[setting]:[setting]],0), MATCH(AU$139, regions_lb[#Headers],0)),INDEX(lmic_raw_lb[],MATCH($A255,lmic_raw_lb[[setting]:[setting]],0), MATCH(AU$139, lmic_raw_lb[#Headers],0)))</f>
        <v>0.10128825302624181</v>
      </c>
      <c r="AV255" s="94">
        <f>IF(INDEX(lmic_raw_lb[],MATCH($A255,lmic_raw_lb[[setting]:[setting]],0), MATCH(AV$139, lmic_raw_lb[#Headers],0))=0, INDEX(regions_lb[], MATCH($D255, regions_lb[[setting]:[setting]],0), MATCH(AV$139, regions_lb[#Headers],0)),INDEX(lmic_raw_lb[],MATCH($A255,lmic_raw_lb[[setting]:[setting]],0), MATCH(AV$139, lmic_raw_lb[#Headers],0)))</f>
        <v>0.12715820660628255</v>
      </c>
      <c r="AW255" s="94">
        <f>IF(INDEX(lmic_raw_lb[],MATCH($A255,lmic_raw_lb[[setting]:[setting]],0), MATCH(AW$139, lmic_raw_lb[#Headers],0))=0, INDEX(regions_lb[], MATCH($D255, regions_lb[[setting]:[setting]],0), MATCH(AW$139, regions_lb[#Headers],0)),INDEX(lmic_raw_lb[],MATCH($A255,lmic_raw_lb[[setting]:[setting]],0), MATCH(AW$139, lmic_raw_lb[#Headers],0)))</f>
        <v>0.14969037912526117</v>
      </c>
      <c r="AX255" s="94">
        <f>IF(INDEX(lmic_raw_lb[],MATCH($A255,lmic_raw_lb[[setting]:[setting]],0), MATCH(AX$139, lmic_raw_lb[#Headers],0))=0, INDEX(regions_lb[], MATCH($D255, regions_lb[[setting]:[setting]],0), MATCH(AX$139, regions_lb[#Headers],0)),INDEX(lmic_raw_lb[],MATCH($A255,lmic_raw_lb[[setting]:[setting]],0), MATCH(AX$139, lmic_raw_lb[#Headers],0)))</f>
        <v>67.913600000000002</v>
      </c>
      <c r="AY255" s="94" t="str">
        <f>IF(VLOOKUP(lmics_lb[[#This Row],[setting]],lmic_raw_lb[],11,FALSE)=0, "Yes", "No")</f>
        <v>No</v>
      </c>
    </row>
    <row r="256" spans="1:51" x14ac:dyDescent="0.25">
      <c r="A256" s="109" t="s">
        <v>648</v>
      </c>
      <c r="B256" s="101" t="s">
        <v>520</v>
      </c>
      <c r="C256" s="102">
        <v>760</v>
      </c>
      <c r="D256" s="82" t="s">
        <v>673</v>
      </c>
      <c r="E256" s="121" t="s">
        <v>579</v>
      </c>
      <c r="F256" s="98" t="s">
        <v>579</v>
      </c>
      <c r="G256" s="98" t="s">
        <v>674</v>
      </c>
      <c r="H256" s="98"/>
      <c r="I256" s="98"/>
      <c r="J256" s="98">
        <f>IF(INDEX(lmic_raw_lb[],MATCH($A256,lmic_raw_lb[[setting]:[setting]],0), MATCH(J$139, lmic_raw_lb[#Headers],0))=0, INDEX(regions_lb[], MATCH($D256, regions_lb[[setting]:[setting]],0), MATCH(J$139, regions_lb[#Headers],0)),INDEX(lmic_raw_lb[],MATCH($A256,lmic_raw_lb[[setting]:[setting]],0), MATCH(J$139, lmic_raw_lb[#Headers],0)))</f>
        <v>0.7429</v>
      </c>
      <c r="K256" s="98">
        <f>IF(INDEX(lmic_raw_lb[],MATCH($A256,lmic_raw_lb[[setting]:[setting]],0), MATCH(K$139, lmic_raw_lb[#Headers],0))=0, INDEX(regions_lb[], MATCH($D256, regions_lb[[setting]:[setting]],0), MATCH(K$139, regions_lb[#Headers],0)),INDEX(lmic_raw_lb[],MATCH($A256,lmic_raw_lb[[setting]:[setting]],0), MATCH(K$139, lmic_raw_lb[#Headers],0)))</f>
        <v>0.67438226776312915</v>
      </c>
      <c r="L256" s="98">
        <f>IF(INDEX(lmic_raw_lb[],MATCH($A256,lmic_raw_lb[[setting]:[setting]],0), MATCH(L$139, lmic_raw_lb[#Headers],0))=0, INDEX(regions_lb[], MATCH($D256, regions_lb[[setting]:[setting]],0), MATCH(L$139, regions_lb[#Headers],0)),INDEX(lmic_raw_lb[],MATCH($A256,lmic_raw_lb[[setting]:[setting]],0), MATCH(L$139, lmic_raw_lb[#Headers],0)))</f>
        <v>0.51300000000000001</v>
      </c>
      <c r="M256" s="98">
        <f>IF(INDEX(lmic_raw_lb[],MATCH($A256,lmic_raw_lb[[setting]:[setting]],0), MATCH(M$139, lmic_raw_lb[#Headers],0))=0, INDEX(regions_lb[], MATCH($D256, regions_lb[[setting]:[setting]],0), MATCH(M$139, regions_lb[#Headers],0)),INDEX(lmic_raw_lb[],MATCH($A256,lmic_raw_lb[[setting]:[setting]],0), MATCH(M$139, lmic_raw_lb[#Headers],0)))</f>
        <v>8.0000000000000002E-3</v>
      </c>
      <c r="N256" s="98">
        <f>IF(INDEX(lmic_raw_lb[],MATCH($A256,lmic_raw_lb[[setting]:[setting]],0), MATCH(N$139, lmic_raw_lb[#Headers],0))=0, INDEX(regions_lb[], MATCH($D256, regions_lb[[setting]:[setting]],0), MATCH(N$139, regions_lb[#Headers],0)),INDEX(lmic_raw_lb[],MATCH($A256,lmic_raw_lb[[setting]:[setting]],0), MATCH(N$139, lmic_raw_lb[#Headers],0)))</f>
        <v>0.14980000000000002</v>
      </c>
      <c r="O256" s="98">
        <f>IF(INDEX(lmic_raw_lb[],MATCH($A256,lmic_raw_lb[[setting]:[setting]],0), MATCH(O$139, lmic_raw_lb[#Headers],0))=0, INDEX(regions_lb[], MATCH($D256, regions_lb[[setting]:[setting]],0), MATCH(O$139, regions_lb[#Headers],0)),INDEX(lmic_raw_lb[],MATCH($A256,lmic_raw_lb[[setting]:[setting]],0), MATCH(O$139, lmic_raw_lb[#Headers],0)))</f>
        <v>0.7</v>
      </c>
      <c r="P256" s="98">
        <f>IF(INDEX(lmic_raw_lb[],MATCH($A256,lmic_raw_lb[[setting]:[setting]],0), MATCH(P$139, lmic_raw_lb[#Headers],0))=0, INDEX(regions_lb[], MATCH($D256, regions_lb[[setting]:[setting]],0), MATCH(P$139, regions_lb[#Headers],0)),INDEX(lmic_raw_lb[],MATCH($A256,lmic_raw_lb[[setting]:[setting]],0), MATCH(P$139, lmic_raw_lb[#Headers],0)))</f>
        <v>0.05</v>
      </c>
      <c r="Q256" s="98">
        <f>IF(INDEX(lmic_raw_lb[],MATCH($A256,lmic_raw_lb[[setting]:[setting]],0), MATCH(Q$139, lmic_raw_lb[#Headers],0))=0, INDEX(regions_lb[], MATCH($D256, regions_lb[[setting]:[setting]],0), MATCH(Q$139, regions_lb[#Headers],0)),INDEX(lmic_raw_lb[],MATCH($A256,lmic_raw_lb[[setting]:[setting]],0), MATCH(Q$139, lmic_raw_lb[#Headers],0)))</f>
        <v>7.1032436639247631</v>
      </c>
      <c r="R256" s="98">
        <f>IF(INDEX(lmic_raw_lb[],MATCH($A256,lmic_raw_lb[[setting]:[setting]],0), MATCH(R$139, lmic_raw_lb[#Headers],0))=0, INDEX(regions_lb[], MATCH($D256, regions_lb[[setting]:[setting]],0), MATCH(R$139, regions_lb[#Headers],0)),INDEX(lmic_raw_lb[],MATCH($A256,lmic_raw_lb[[setting]:[setting]],0), MATCH(R$139, lmic_raw_lb[#Headers],0)))</f>
        <v>44.019105000000003</v>
      </c>
      <c r="S256" s="98">
        <f>IF(INDEX(lmic_raw_lb[],MATCH($A256,lmic_raw_lb[[setting]:[setting]],0), MATCH(S$139, lmic_raw_lb[#Headers],0))=0, INDEX(regions_lb[], MATCH($D256, regions_lb[[setting]:[setting]],0), MATCH(S$139, regions_lb[#Headers],0)),INDEX(lmic_raw_lb[],MATCH($A256,lmic_raw_lb[[setting]:[setting]],0), MATCH(S$139, lmic_raw_lb[#Headers],0)))</f>
        <v>89.374005000000011</v>
      </c>
      <c r="T256" s="98">
        <f>IF(INDEX(lmic_raw_lb[],MATCH($A256,lmic_raw_lb[[setting]:[setting]],0), MATCH(T$139, lmic_raw_lb[#Headers],0))=0, INDEX(regions_lb[], MATCH($D256, regions_lb[[setting]:[setting]],0), MATCH(T$139, regions_lb[#Headers],0)),INDEX(lmic_raw_lb[],MATCH($A256,lmic_raw_lb[[setting]:[setting]],0), MATCH(T$139, lmic_raw_lb[#Headers],0)))</f>
        <v>89.374005000000011</v>
      </c>
      <c r="U256" s="98">
        <f>IF(INDEX(lmic_raw_lb[],MATCH($A256,lmic_raw_lb[[setting]:[setting]],0), MATCH(U$139, lmic_raw_lb[#Headers],0))=0, INDEX(regions_lb[], MATCH($D256, regions_lb[[setting]:[setting]],0), MATCH(U$139, regions_lb[#Headers],0)),INDEX(lmic_raw_lb[],MATCH($A256,lmic_raw_lb[[setting]:[setting]],0), MATCH(U$139, lmic_raw_lb[#Headers],0)))</f>
        <v>89.374005000000011</v>
      </c>
      <c r="V256" s="98">
        <f>IF(INDEX(lmic_raw_lb[],MATCH($A256,lmic_raw_lb[[setting]:[setting]],0), MATCH(V$139, lmic_raw_lb[#Headers],0))=0, INDEX(regions_lb[], MATCH($D256, regions_lb[[setting]:[setting]],0), MATCH(V$139, regions_lb[#Headers],0)),INDEX(lmic_raw_lb[],MATCH($A256,lmic_raw_lb[[setting]:[setting]],0), MATCH(V$139, lmic_raw_lb[#Headers],0)))</f>
        <v>0.51468473718782648</v>
      </c>
      <c r="W256" s="98">
        <f>IF(INDEX(lmic_raw_lb[],MATCH($A256,lmic_raw_lb[[setting]:[setting]],0), MATCH(W$139, lmic_raw_lb[#Headers],0))=0, INDEX(regions_lb[], MATCH($D256, regions_lb[[setting]:[setting]],0), MATCH(W$139, regions_lb[#Headers],0)),INDEX(lmic_raw_lb[],MATCH($A256,lmic_raw_lb[[setting]:[setting]],0), MATCH(W$139, lmic_raw_lb[#Headers],0)))</f>
        <v>0.9703047371878265</v>
      </c>
      <c r="X256" s="98">
        <f>IF(INDEX(lmic_raw_lb[],MATCH($A256,lmic_raw_lb[[setting]:[setting]],0), MATCH(X$139, lmic_raw_lb[#Headers],0))=0, INDEX(regions_lb[], MATCH($D256, regions_lb[[setting]:[setting]],0), MATCH(X$139, regions_lb[#Headers],0)),INDEX(lmic_raw_lb[],MATCH($A256,lmic_raw_lb[[setting]:[setting]],0), MATCH(X$139, lmic_raw_lb[#Headers],0)))</f>
        <v>0.14493690827098749</v>
      </c>
      <c r="Y256" s="98">
        <f>IF(INDEX(lmic_raw_lb[],MATCH($A256,lmic_raw_lb[[setting]:[setting]],0), MATCH(Y$139, lmic_raw_lb[#Headers],0))=0, INDEX(regions_lb[], MATCH($D256, regions_lb[[setting]:[setting]],0), MATCH(Y$139, regions_lb[#Headers],0)),INDEX(lmic_raw_lb[],MATCH($A256,lmic_raw_lb[[setting]:[setting]],0), MATCH(Y$139, lmic_raw_lb[#Headers],0)))</f>
        <v>0.60055690827098751</v>
      </c>
      <c r="Z256" s="98">
        <f>IF(INDEX(lmic_raw_lb[],MATCH($A256,lmic_raw_lb[[setting]:[setting]],0), MATCH(Z$139, lmic_raw_lb[#Headers],0))=0, INDEX(regions_lb[], MATCH($D256, regions_lb[[setting]:[setting]],0), MATCH(Z$139, regions_lb[#Headers],0)),INDEX(lmic_raw_lb[],MATCH($A256,lmic_raw_lb[[setting]:[setting]],0), MATCH(Z$139, lmic_raw_lb[#Headers],0)))</f>
        <v>0.59532301459144288</v>
      </c>
      <c r="AA256" s="98">
        <f>IF(INDEX(lmic_raw_lb[],MATCH($A256,lmic_raw_lb[[setting]:[setting]],0), MATCH(AA$139, lmic_raw_lb[#Headers],0))=0, INDEX(regions_lb[], MATCH($D256, regions_lb[[setting]:[setting]],0), MATCH(AA$139, regions_lb[#Headers],0)),INDEX(lmic_raw_lb[],MATCH($A256,lmic_raw_lb[[setting]:[setting]],0), MATCH(AA$139, lmic_raw_lb[#Headers],0)))</f>
        <v>0.72778962410211245</v>
      </c>
      <c r="AB256" s="98">
        <f>IF(INDEX(lmic_raw_lb[],MATCH($A256,lmic_raw_lb[[setting]:[setting]],0), MATCH(AB$139, lmic_raw_lb[#Headers],0))=0, INDEX(regions_lb[], MATCH($D256, regions_lb[[setting]:[setting]],0), MATCH(AB$139, regions_lb[#Headers],0)),INDEX(lmic_raw_lb[],MATCH($A256,lmic_raw_lb[[setting]:[setting]],0), MATCH(AB$139, lmic_raw_lb[#Headers],0)))</f>
        <v>1.1834096241021124</v>
      </c>
      <c r="AC256" s="98">
        <f>IF(INDEX(lmic_raw_lb[],MATCH($A256,lmic_raw_lb[[setting]:[setting]],0), MATCH(AC$139, lmic_raw_lb[#Headers],0))=0, INDEX(regions_lb[], MATCH($D256, regions_lb[[setting]:[setting]],0), MATCH(AC$139, regions_lb[#Headers],0)),INDEX(lmic_raw_lb[],MATCH($A256,lmic_raw_lb[[setting]:[setting]],0), MATCH(AC$139, lmic_raw_lb[#Headers],0)))</f>
        <v>1.4766638500000016E-2</v>
      </c>
      <c r="AD256" s="98">
        <f>IF(INDEX(lmic_raw_lb[],MATCH($A256,lmic_raw_lb[[setting]:[setting]],0), MATCH(AD$139, lmic_raw_lb[#Headers],0))=0, INDEX(regions_lb[], MATCH($D256, regions_lb[[setting]:[setting]],0), MATCH(AD$139, regions_lb[#Headers],0)),INDEX(lmic_raw_lb[],MATCH($A256,lmic_raw_lb[[setting]:[setting]],0), MATCH(AD$139, lmic_raw_lb[#Headers],0)))</f>
        <v>5.3794637195476471E-4</v>
      </c>
      <c r="AE256" s="98">
        <f>IF(INDEX(lmic_raw_lb[],MATCH($A256,lmic_raw_lb[[setting]:[setting]],0), MATCH(AE$139, lmic_raw_lb[#Headers],0))=0, INDEX(regions_lb[], MATCH($D256, regions_lb[[setting]:[setting]],0), MATCH(AE$139, regions_lb[#Headers],0)),INDEX(lmic_raw_lb[],MATCH($A256,lmic_raw_lb[[setting]:[setting]],0), MATCH(AE$139, lmic_raw_lb[#Headers],0)))</f>
        <v>3.3685311269498114E-4</v>
      </c>
      <c r="AF256" s="98">
        <f>IF(INDEX(lmic_raw_lb[],MATCH($A256,lmic_raw_lb[[setting]:[setting]],0), MATCH(AF$139, lmic_raw_lb[#Headers],0))=0, INDEX(regions_lb[], MATCH($D256, regions_lb[[setting]:[setting]],0), MATCH(AF$139, regions_lb[#Headers],0)),INDEX(lmic_raw_lb[],MATCH($A256,lmic_raw_lb[[setting]:[setting]],0), MATCH(AF$139, lmic_raw_lb[#Headers],0)))</f>
        <v>3.0028599929338991E-4</v>
      </c>
      <c r="AG256" s="98">
        <f>IF(INDEX(lmic_raw_lb[],MATCH($A256,lmic_raw_lb[[setting]:[setting]],0), MATCH(AG$139, lmic_raw_lb[#Headers],0))=0, INDEX(regions_lb[], MATCH($D256, regions_lb[[setting]:[setting]],0), MATCH(AG$139, regions_lb[#Headers],0)),INDEX(lmic_raw_lb[],MATCH($A256,lmic_raw_lb[[setting]:[setting]],0), MATCH(AG$139, lmic_raw_lb[#Headers],0)))</f>
        <v>2.040276756586142E-3</v>
      </c>
      <c r="AH256" s="98">
        <f>IF(INDEX(lmic_raw_lb[],MATCH($A256,lmic_raw_lb[[setting]:[setting]],0), MATCH(AH$139, lmic_raw_lb[#Headers],0))=0, INDEX(regions_lb[], MATCH($D256, regions_lb[[setting]:[setting]],0), MATCH(AH$139, regions_lb[#Headers],0)),INDEX(lmic_raw_lb[],MATCH($A256,lmic_raw_lb[[setting]:[setting]],0), MATCH(AH$139, lmic_raw_lb[#Headers],0)))</f>
        <v>2.9774938381021735E-3</v>
      </c>
      <c r="AI256" s="98">
        <f>IF(INDEX(lmic_raw_lb[],MATCH($A256,lmic_raw_lb[[setting]:[setting]],0), MATCH(AI$139, lmic_raw_lb[#Headers],0))=0, INDEX(regions_lb[], MATCH($D256, regions_lb[[setting]:[setting]],0), MATCH(AI$139, regions_lb[#Headers],0)),INDEX(lmic_raw_lb[],MATCH($A256,lmic_raw_lb[[setting]:[setting]],0), MATCH(AI$139, lmic_raw_lb[#Headers],0)))</f>
        <v>4.4163092872933707E-3</v>
      </c>
      <c r="AJ256" s="98">
        <f>IF(INDEX(lmic_raw_lb[],MATCH($A256,lmic_raw_lb[[setting]:[setting]],0), MATCH(AJ$139, lmic_raw_lb[#Headers],0))=0, INDEX(regions_lb[], MATCH($D256, regions_lb[[setting]:[setting]],0), MATCH(AJ$139, regions_lb[#Headers],0)),INDEX(lmic_raw_lb[],MATCH($A256,lmic_raw_lb[[setting]:[setting]],0), MATCH(AJ$139, lmic_raw_lb[#Headers],0)))</f>
        <v>3.7938800612009487E-3</v>
      </c>
      <c r="AK256" s="98">
        <f>IF(INDEX(lmic_raw_lb[],MATCH($A256,lmic_raw_lb[[setting]:[setting]],0), MATCH(AK$139, lmic_raw_lb[#Headers],0))=0, INDEX(regions_lb[], MATCH($D256, regions_lb[[setting]:[setting]],0), MATCH(AK$139, regions_lb[#Headers],0)),INDEX(lmic_raw_lb[],MATCH($A256,lmic_raw_lb[[setting]:[setting]],0), MATCH(AK$139, lmic_raw_lb[#Headers],0)))</f>
        <v>2.5847358913204136E-3</v>
      </c>
      <c r="AL256" s="98">
        <f>IF(INDEX(lmic_raw_lb[],MATCH($A256,lmic_raw_lb[[setting]:[setting]],0), MATCH(AL$139, lmic_raw_lb[#Headers],0))=0, INDEX(regions_lb[], MATCH($D256, regions_lb[[setting]:[setting]],0), MATCH(AL$139, regions_lb[#Headers],0)),INDEX(lmic_raw_lb[],MATCH($A256,lmic_raw_lb[[setting]:[setting]],0), MATCH(AL$139, lmic_raw_lb[#Headers],0)))</f>
        <v>2.5861020347740468E-3</v>
      </c>
      <c r="AM256" s="98">
        <f>IF(INDEX(lmic_raw_lb[],MATCH($A256,lmic_raw_lb[[setting]:[setting]],0), MATCH(AM$139, lmic_raw_lb[#Headers],0))=0, INDEX(regions_lb[], MATCH($D256, regions_lb[[setting]:[setting]],0), MATCH(AM$139, regions_lb[#Headers],0)),INDEX(lmic_raw_lb[],MATCH($A256,lmic_raw_lb[[setting]:[setting]],0), MATCH(AM$139, lmic_raw_lb[#Headers],0)))</f>
        <v>3.8627519841556005E-3</v>
      </c>
      <c r="AN256" s="98">
        <f>IF(INDEX(lmic_raw_lb[],MATCH($A256,lmic_raw_lb[[setting]:[setting]],0), MATCH(AN$139, lmic_raw_lb[#Headers],0))=0, INDEX(regions_lb[], MATCH($D256, regions_lb[[setting]:[setting]],0), MATCH(AN$139, regions_lb[#Headers],0)),INDEX(lmic_raw_lb[],MATCH($A256,lmic_raw_lb[[setting]:[setting]],0), MATCH(AN$139, lmic_raw_lb[#Headers],0)))</f>
        <v>6.2918396838202413E-3</v>
      </c>
      <c r="AO256" s="98">
        <f>IF(INDEX(lmic_raw_lb[],MATCH($A256,lmic_raw_lb[[setting]:[setting]],0), MATCH(AO$139, lmic_raw_lb[#Headers],0))=0, INDEX(regions_lb[], MATCH($D256, regions_lb[[setting]:[setting]],0), MATCH(AO$139, regions_lb[#Headers],0)),INDEX(lmic_raw_lb[],MATCH($A256,lmic_raw_lb[[setting]:[setting]],0), MATCH(AO$139, lmic_raw_lb[#Headers],0)))</f>
        <v>7.7051046084449359E-3</v>
      </c>
      <c r="AP256" s="98">
        <f>IF(INDEX(lmic_raw_lb[],MATCH($A256,lmic_raw_lb[[setting]:[setting]],0), MATCH(AP$139, lmic_raw_lb[#Headers],0))=0, INDEX(regions_lb[], MATCH($D256, regions_lb[[setting]:[setting]],0), MATCH(AP$139, regions_lb[#Headers],0)),INDEX(lmic_raw_lb[],MATCH($A256,lmic_raw_lb[[setting]:[setting]],0), MATCH(AP$139, lmic_raw_lb[#Headers],0)))</f>
        <v>1.2361729846582079E-2</v>
      </c>
      <c r="AQ256" s="98">
        <f>IF(INDEX(lmic_raw_lb[],MATCH($A256,lmic_raw_lb[[setting]:[setting]],0), MATCH(AQ$139, lmic_raw_lb[#Headers],0))=0, INDEX(regions_lb[], MATCH($D256, regions_lb[[setting]:[setting]],0), MATCH(AQ$139, regions_lb[#Headers],0)),INDEX(lmic_raw_lb[],MATCH($A256,lmic_raw_lb[[setting]:[setting]],0), MATCH(AQ$139, lmic_raw_lb[#Headers],0)))</f>
        <v>2.0495727993079558E-2</v>
      </c>
      <c r="AR256" s="98">
        <f>IF(INDEX(lmic_raw_lb[],MATCH($A256,lmic_raw_lb[[setting]:[setting]],0), MATCH(AR$139, lmic_raw_lb[#Headers],0))=0, INDEX(regions_lb[], MATCH($D256, regions_lb[[setting]:[setting]],0), MATCH(AR$139, regions_lb[#Headers],0)),INDEX(lmic_raw_lb[],MATCH($A256,lmic_raw_lb[[setting]:[setting]],0), MATCH(AR$139, lmic_raw_lb[#Headers],0)))</f>
        <v>3.3722715351937528E-2</v>
      </c>
      <c r="AS256" s="98">
        <f>IF(INDEX(lmic_raw_lb[],MATCH($A256,lmic_raw_lb[[setting]:[setting]],0), MATCH(AS$139, lmic_raw_lb[#Headers],0))=0, INDEX(regions_lb[], MATCH($D256, regions_lb[[setting]:[setting]],0), MATCH(AS$139, regions_lb[#Headers],0)),INDEX(lmic_raw_lb[],MATCH($A256,lmic_raw_lb[[setting]:[setting]],0), MATCH(AS$139, lmic_raw_lb[#Headers],0)))</f>
        <v>4.9545345300773876E-2</v>
      </c>
      <c r="AT256" s="98">
        <f>IF(INDEX(lmic_raw_lb[],MATCH($A256,lmic_raw_lb[[setting]:[setting]],0), MATCH(AT$139, lmic_raw_lb[#Headers],0))=0, INDEX(regions_lb[], MATCH($D256, regions_lb[[setting]:[setting]],0), MATCH(AT$139, regions_lb[#Headers],0)),INDEX(lmic_raw_lb[],MATCH($A256,lmic_raw_lb[[setting]:[setting]],0), MATCH(AT$139, lmic_raw_lb[#Headers],0)))</f>
        <v>7.8601545026938877E-2</v>
      </c>
      <c r="AU256" s="98">
        <f>IF(INDEX(lmic_raw_lb[],MATCH($A256,lmic_raw_lb[[setting]:[setting]],0), MATCH(AU$139, lmic_raw_lb[#Headers],0))=0, INDEX(regions_lb[], MATCH($D256, regions_lb[[setting]:[setting]],0), MATCH(AU$139, regions_lb[#Headers],0)),INDEX(lmic_raw_lb[],MATCH($A256,lmic_raw_lb[[setting]:[setting]],0), MATCH(AU$139, lmic_raw_lb[#Headers],0)))</f>
        <v>0.11160718654721043</v>
      </c>
      <c r="AV256" s="98">
        <f>IF(INDEX(lmic_raw_lb[],MATCH($A256,lmic_raw_lb[[setting]:[setting]],0), MATCH(AV$139, lmic_raw_lb[#Headers],0))=0, INDEX(regions_lb[], MATCH($D256, regions_lb[[setting]:[setting]],0), MATCH(AV$139, regions_lb[#Headers],0)),INDEX(lmic_raw_lb[],MATCH($A256,lmic_raw_lb[[setting]:[setting]],0), MATCH(AV$139, lmic_raw_lb[#Headers],0)))</f>
        <v>0.14321075263385985</v>
      </c>
      <c r="AW256" s="98">
        <f>IF(INDEX(lmic_raw_lb[],MATCH($A256,lmic_raw_lb[[setting]:[setting]],0), MATCH(AW$139, lmic_raw_lb[#Headers],0))=0, INDEX(regions_lb[], MATCH($D256, regions_lb[[setting]:[setting]],0), MATCH(AW$139, regions_lb[#Headers],0)),INDEX(lmic_raw_lb[],MATCH($A256,lmic_raw_lb[[setting]:[setting]],0), MATCH(AW$139, lmic_raw_lb[#Headers],0)))</f>
        <v>0.16426276069318102</v>
      </c>
      <c r="AX256" s="98">
        <f>IF(INDEX(lmic_raw_lb[],MATCH($A256,lmic_raw_lb[[setting]:[setting]],0), MATCH(AX$139, lmic_raw_lb[#Headers],0))=0, INDEX(regions_lb[], MATCH($D256, regions_lb[[setting]:[setting]],0), MATCH(AX$139, regions_lb[#Headers],0)),INDEX(lmic_raw_lb[],MATCH($A256,lmic_raw_lb[[setting]:[setting]],0), MATCH(AX$139, lmic_raw_lb[#Headers],0)))</f>
        <v>67.753999999999991</v>
      </c>
      <c r="AY256" s="98" t="str">
        <f>IF(VLOOKUP(lmics_lb[[#This Row],[setting]],lmic_raw_lb[],11,FALSE)=0, "Yes", "No")</f>
        <v>Yes</v>
      </c>
    </row>
    <row r="257" spans="1:51" x14ac:dyDescent="0.25">
      <c r="A257" s="110" t="s">
        <v>187</v>
      </c>
      <c r="B257" s="104" t="s">
        <v>521</v>
      </c>
      <c r="C257" s="105">
        <v>762</v>
      </c>
      <c r="D257" s="84" t="s">
        <v>675</v>
      </c>
      <c r="E257" s="122" t="s">
        <v>184</v>
      </c>
      <c r="F257" s="94" t="s">
        <v>663</v>
      </c>
      <c r="G257" s="94" t="s">
        <v>674</v>
      </c>
      <c r="H257" s="94"/>
      <c r="I257" s="94"/>
      <c r="J257" s="94">
        <f>IF(INDEX(lmic_raw_lb[],MATCH($A257,lmic_raw_lb[[setting]:[setting]],0), MATCH(J$139, lmic_raw_lb[#Headers],0))=0, INDEX(regions_lb[], MATCH($D257, regions_lb[[setting]:[setting]],0), MATCH(J$139, regions_lb[#Headers],0)),INDEX(lmic_raw_lb[],MATCH($A257,lmic_raw_lb[[setting]:[setting]],0), MATCH(J$139, lmic_raw_lb[#Headers],0)))</f>
        <v>0.83789999999999998</v>
      </c>
      <c r="K257" s="94">
        <f>IF(INDEX(lmic_raw_lb[],MATCH($A257,lmic_raw_lb[[setting]:[setting]],0), MATCH(K$139, lmic_raw_lb[#Headers],0))=0, INDEX(regions_lb[], MATCH($D257, regions_lb[[setting]:[setting]],0), MATCH(K$139, regions_lb[#Headers],0)),INDEX(lmic_raw_lb[],MATCH($A257,lmic_raw_lb[[setting]:[setting]],0), MATCH(K$139, lmic_raw_lb[#Headers],0)))</f>
        <v>0.9405</v>
      </c>
      <c r="L257" s="94">
        <f>IF(INDEX(lmic_raw_lb[],MATCH($A257,lmic_raw_lb[[setting]:[setting]],0), MATCH(L$139, lmic_raw_lb[#Headers],0))=0, INDEX(regions_lb[], MATCH($D257, regions_lb[[setting]:[setting]],0), MATCH(L$139, regions_lb[#Headers],0)),INDEX(lmic_raw_lb[],MATCH($A257,lmic_raw_lb[[setting]:[setting]],0), MATCH(L$139, lmic_raw_lb[#Headers],0)))</f>
        <v>0.92149999999999999</v>
      </c>
      <c r="M257" s="94">
        <f>IF(INDEX(lmic_raw_lb[],MATCH($A257,lmic_raw_lb[[setting]:[setting]],0), MATCH(M$139, lmic_raw_lb[#Headers],0))=0, INDEX(regions_lb[], MATCH($D257, regions_lb[[setting]:[setting]],0), MATCH(M$139, regions_lb[#Headers],0)),INDEX(lmic_raw_lb[],MATCH($A257,lmic_raw_lb[[setting]:[setting]],0), MATCH(M$139, lmic_raw_lb[#Headers],0)))</f>
        <v>3.5900000000000001E-2</v>
      </c>
      <c r="N257" s="94">
        <f>IF(INDEX(lmic_raw_lb[],MATCH($A257,lmic_raw_lb[[setting]:[setting]],0), MATCH(N$139, lmic_raw_lb[#Headers],0))=0, INDEX(regions_lb[], MATCH($D257, regions_lb[[setting]:[setting]],0), MATCH(N$139, regions_lb[#Headers],0)),INDEX(lmic_raw_lb[],MATCH($A257,lmic_raw_lb[[setting]:[setting]],0), MATCH(N$139, lmic_raw_lb[#Headers],0)))</f>
        <v>0.16309999999999999</v>
      </c>
      <c r="O257" s="94">
        <f>IF(INDEX(lmic_raw_lb[],MATCH($A257,lmic_raw_lb[[setting]:[setting]],0), MATCH(O$139, lmic_raw_lb[#Headers],0))=0, INDEX(regions_lb[], MATCH($D257, regions_lb[[setting]:[setting]],0), MATCH(O$139, regions_lb[#Headers],0)),INDEX(lmic_raw_lb[],MATCH($A257,lmic_raw_lb[[setting]:[setting]],0), MATCH(O$139, lmic_raw_lb[#Headers],0)))</f>
        <v>0.7</v>
      </c>
      <c r="P257" s="94">
        <f>IF(INDEX(lmic_raw_lb[],MATCH($A257,lmic_raw_lb[[setting]:[setting]],0), MATCH(P$139, lmic_raw_lb[#Headers],0))=0, INDEX(regions_lb[], MATCH($D257, regions_lb[[setting]:[setting]],0), MATCH(P$139, regions_lb[#Headers],0)),INDEX(lmic_raw_lb[],MATCH($A257,lmic_raw_lb[[setting]:[setting]],0), MATCH(P$139, lmic_raw_lb[#Headers],0)))</f>
        <v>0.05</v>
      </c>
      <c r="Q257" s="94">
        <f>IF(INDEX(lmic_raw_lb[],MATCH($A257,lmic_raw_lb[[setting]:[setting]],0), MATCH(Q$139, lmic_raw_lb[#Headers],0))=0, INDEX(regions_lb[], MATCH($D257, regions_lb[[setting]:[setting]],0), MATCH(Q$139, regions_lb[#Headers],0)),INDEX(lmic_raw_lb[],MATCH($A257,lmic_raw_lb[[setting]:[setting]],0), MATCH(Q$139, lmic_raw_lb[#Headers],0)))</f>
        <v>3.0778553029340974</v>
      </c>
      <c r="R257" s="94">
        <f>IF(INDEX(lmic_raw_lb[],MATCH($A257,lmic_raw_lb[[setting]:[setting]],0), MATCH(R$139, lmic_raw_lb[#Headers],0))=0, INDEX(regions_lb[], MATCH($D257, regions_lb[[setting]:[setting]],0), MATCH(R$139, regions_lb[#Headers],0)),INDEX(lmic_raw_lb[],MATCH($A257,lmic_raw_lb[[setting]:[setting]],0), MATCH(R$139, lmic_raw_lb[#Headers],0)))</f>
        <v>42.31053</v>
      </c>
      <c r="S257" s="94">
        <f>IF(INDEX(lmic_raw_lb[],MATCH($A257,lmic_raw_lb[[setting]:[setting]],0), MATCH(S$139, lmic_raw_lb[#Headers],0))=0, INDEX(regions_lb[], MATCH($D257, regions_lb[[setting]:[setting]],0), MATCH(S$139, regions_lb[#Headers],0)),INDEX(lmic_raw_lb[],MATCH($A257,lmic_raw_lb[[setting]:[setting]],0), MATCH(S$139, lmic_raw_lb[#Headers],0)))</f>
        <v>87.665430000000001</v>
      </c>
      <c r="T257" s="94">
        <f>IF(INDEX(lmic_raw_lb[],MATCH($A257,lmic_raw_lb[[setting]:[setting]],0), MATCH(T$139, lmic_raw_lb[#Headers],0))=0, INDEX(regions_lb[], MATCH($D257, regions_lb[[setting]:[setting]],0), MATCH(T$139, regions_lb[#Headers],0)),INDEX(lmic_raw_lb[],MATCH($A257,lmic_raw_lb[[setting]:[setting]],0), MATCH(T$139, lmic_raw_lb[#Headers],0)))</f>
        <v>87.665430000000001</v>
      </c>
      <c r="U257" s="94">
        <f>IF(INDEX(lmic_raw_lb[],MATCH($A257,lmic_raw_lb[[setting]:[setting]],0), MATCH(U$139, lmic_raw_lb[#Headers],0))=0, INDEX(regions_lb[], MATCH($D257, regions_lb[[setting]:[setting]],0), MATCH(U$139, regions_lb[#Headers],0)),INDEX(lmic_raw_lb[],MATCH($A257,lmic_raw_lb[[setting]:[setting]],0), MATCH(U$139, lmic_raw_lb[#Headers],0)))</f>
        <v>87.665430000000001</v>
      </c>
      <c r="V257" s="94">
        <f>IF(INDEX(lmic_raw_lb[],MATCH($A257,lmic_raw_lb[[setting]:[setting]],0), MATCH(V$139, lmic_raw_lb[#Headers],0))=0, INDEX(regions_lb[], MATCH($D257, regions_lb[[setting]:[setting]],0), MATCH(V$139, regions_lb[#Headers],0)),INDEX(lmic_raw_lb[],MATCH($A257,lmic_raw_lb[[setting]:[setting]],0), MATCH(V$139, lmic_raw_lb[#Headers],0)))</f>
        <v>1.5440228240954419</v>
      </c>
      <c r="W257" s="94">
        <f>IF(INDEX(lmic_raw_lb[],MATCH($A257,lmic_raw_lb[[setting]:[setting]],0), MATCH(W$139, lmic_raw_lb[#Headers],0))=0, INDEX(regions_lb[], MATCH($D257, regions_lb[[setting]:[setting]],0), MATCH(W$139, regions_lb[#Headers],0)),INDEX(lmic_raw_lb[],MATCH($A257,lmic_raw_lb[[setting]:[setting]],0), MATCH(W$139, lmic_raw_lb[#Headers],0)))</f>
        <v>5.406437824095442</v>
      </c>
      <c r="X257" s="94">
        <f>IF(INDEX(lmic_raw_lb[],MATCH($A257,lmic_raw_lb[[setting]:[setting]],0), MATCH(X$139, lmic_raw_lb[#Headers],0))=0, INDEX(regions_lb[], MATCH($D257, regions_lb[[setting]:[setting]],0), MATCH(X$139, regions_lb[#Headers],0)),INDEX(lmic_raw_lb[],MATCH($A257,lmic_raw_lb[[setting]:[setting]],0), MATCH(X$139, lmic_raw_lb[#Headers],0)))</f>
        <v>1.1787887240989965</v>
      </c>
      <c r="Y257" s="94">
        <f>IF(INDEX(lmic_raw_lb[],MATCH($A257,lmic_raw_lb[[setting]:[setting]],0), MATCH(Y$139, lmic_raw_lb[#Headers],0))=0, INDEX(regions_lb[], MATCH($D257, regions_lb[[setting]:[setting]],0), MATCH(Y$139, regions_lb[#Headers],0)),INDEX(lmic_raw_lb[],MATCH($A257,lmic_raw_lb[[setting]:[setting]],0), MATCH(Y$139, lmic_raw_lb[#Headers],0)))</f>
        <v>5.0412037240989971</v>
      </c>
      <c r="Z257" s="94">
        <f>IF(INDEX(lmic_raw_lb[],MATCH($A257,lmic_raw_lb[[setting]:[setting]],0), MATCH(Z$139, lmic_raw_lb[#Headers],0))=0, INDEX(regions_lb[], MATCH($D257, regions_lb[[setting]:[setting]],0), MATCH(Z$139, regions_lb[#Headers],0)),INDEX(lmic_raw_lb[],MATCH($A257,lmic_raw_lb[[setting]:[setting]],0), MATCH(Z$139, lmic_raw_lb[#Headers],0)))</f>
        <v>5.0391010448151974</v>
      </c>
      <c r="AA257" s="94">
        <f>IF(INDEX(lmic_raw_lb[],MATCH($A257,lmic_raw_lb[[setting]:[setting]],0), MATCH(AA$139, lmic_raw_lb[#Headers],0))=0, INDEX(regions_lb[], MATCH($D257, regions_lb[[setting]:[setting]],0), MATCH(AA$139, regions_lb[#Headers],0)),INDEX(lmic_raw_lb[],MATCH($A257,lmic_raw_lb[[setting]:[setting]],0), MATCH(AA$139, lmic_raw_lb[#Headers],0)))</f>
        <v>1.7551932557581305</v>
      </c>
      <c r="AB257" s="94">
        <f>IF(INDEX(lmic_raw_lb[],MATCH($A257,lmic_raw_lb[[setting]:[setting]],0), MATCH(AB$139, lmic_raw_lb[#Headers],0))=0, INDEX(regions_lb[], MATCH($D257, regions_lb[[setting]:[setting]],0), MATCH(AB$139, regions_lb[#Headers],0)),INDEX(lmic_raw_lb[],MATCH($A257,lmic_raw_lb[[setting]:[setting]],0), MATCH(AB$139, lmic_raw_lb[#Headers],0)))</f>
        <v>5.6176082557581308</v>
      </c>
      <c r="AC257" s="94">
        <f>IF(INDEX(lmic_raw_lb[],MATCH($A257,lmic_raw_lb[[setting]:[setting]],0), MATCH(AC$139, lmic_raw_lb[#Headers],0))=0, INDEX(regions_lb[], MATCH($D257, regions_lb[[setting]:[setting]],0), MATCH(AC$139, regions_lb[#Headers],0)),INDEX(lmic_raw_lb[],MATCH($A257,lmic_raw_lb[[setting]:[setting]],0), MATCH(AC$139, lmic_raw_lb[#Headers],0)))</f>
        <v>2.7811478000000046E-2</v>
      </c>
      <c r="AD257" s="94">
        <f>IF(INDEX(lmic_raw_lb[],MATCH($A257,lmic_raw_lb[[setting]:[setting]],0), MATCH(AD$139, lmic_raw_lb[#Headers],0))=0, INDEX(regions_lb[], MATCH($D257, regions_lb[[setting]:[setting]],0), MATCH(AD$139, regions_lb[#Headers],0)),INDEX(lmic_raw_lb[],MATCH($A257,lmic_raw_lb[[setting]:[setting]],0), MATCH(AD$139, lmic_raw_lb[#Headers],0)))</f>
        <v>7.3702392735916934E-4</v>
      </c>
      <c r="AE257" s="94">
        <f>IF(INDEX(lmic_raw_lb[],MATCH($A257,lmic_raw_lb[[setting]:[setting]],0), MATCH(AE$139, lmic_raw_lb[#Headers],0))=0, INDEX(regions_lb[], MATCH($D257, regions_lb[[setting]:[setting]],0), MATCH(AE$139, regions_lb[#Headers],0)),INDEX(lmic_raw_lb[],MATCH($A257,lmic_raw_lb[[setting]:[setting]],0), MATCH(AE$139, lmic_raw_lb[#Headers],0)))</f>
        <v>1.8195944280344551E-4</v>
      </c>
      <c r="AF257" s="94">
        <f>IF(INDEX(lmic_raw_lb[],MATCH($A257,lmic_raw_lb[[setting]:[setting]],0), MATCH(AF$139, lmic_raw_lb[#Headers],0))=0, INDEX(regions_lb[], MATCH($D257, regions_lb[[setting]:[setting]],0), MATCH(AF$139, regions_lb[#Headers],0)),INDEX(lmic_raw_lb[],MATCH($A257,lmic_raw_lb[[setting]:[setting]],0), MATCH(AF$139, lmic_raw_lb[#Headers],0)))</f>
        <v>1.9031531076087519E-4</v>
      </c>
      <c r="AG257" s="94">
        <f>IF(INDEX(lmic_raw_lb[],MATCH($A257,lmic_raw_lb[[setting]:[setting]],0), MATCH(AG$139, lmic_raw_lb[#Headers],0))=0, INDEX(regions_lb[], MATCH($D257, regions_lb[[setting]:[setting]],0), MATCH(AG$139, regions_lb[#Headers],0)),INDEX(lmic_raw_lb[],MATCH($A257,lmic_raw_lb[[setting]:[setting]],0), MATCH(AG$139, lmic_raw_lb[#Headers],0)))</f>
        <v>3.1537903860068386E-4</v>
      </c>
      <c r="AH257" s="94">
        <f>IF(INDEX(lmic_raw_lb[],MATCH($A257,lmic_raw_lb[[setting]:[setting]],0), MATCH(AH$139, lmic_raw_lb[#Headers],0))=0, INDEX(regions_lb[], MATCH($D257, regions_lb[[setting]:[setting]],0), MATCH(AH$139, regions_lb[#Headers],0)),INDEX(lmic_raw_lb[],MATCH($A257,lmic_raw_lb[[setting]:[setting]],0), MATCH(AH$139, lmic_raw_lb[#Headers],0)))</f>
        <v>4.8528311737419162E-4</v>
      </c>
      <c r="AI257" s="94">
        <f>IF(INDEX(lmic_raw_lb[],MATCH($A257,lmic_raw_lb[[setting]:[setting]],0), MATCH(AI$139, lmic_raw_lb[#Headers],0))=0, INDEX(regions_lb[], MATCH($D257, regions_lb[[setting]:[setting]],0), MATCH(AI$139, regions_lb[#Headers],0)),INDEX(lmic_raw_lb[],MATCH($A257,lmic_raw_lb[[setting]:[setting]],0), MATCH(AI$139, lmic_raw_lb[#Headers],0)))</f>
        <v>8.128432741548845E-4</v>
      </c>
      <c r="AJ257" s="94">
        <f>IF(INDEX(lmic_raw_lb[],MATCH($A257,lmic_raw_lb[[setting]:[setting]],0), MATCH(AJ$139, lmic_raw_lb[#Headers],0))=0, INDEX(regions_lb[], MATCH($D257, regions_lb[[setting]:[setting]],0), MATCH(AJ$139, regions_lb[#Headers],0)),INDEX(lmic_raw_lb[],MATCH($A257,lmic_raw_lb[[setting]:[setting]],0), MATCH(AJ$139, lmic_raw_lb[#Headers],0)))</f>
        <v>1.2494281235045017E-3</v>
      </c>
      <c r="AK257" s="94">
        <f>IF(INDEX(lmic_raw_lb[],MATCH($A257,lmic_raw_lb[[setting]:[setting]],0), MATCH(AK$139, lmic_raw_lb[#Headers],0))=0, INDEX(regions_lb[], MATCH($D257, regions_lb[[setting]:[setting]],0), MATCH(AK$139, regions_lb[#Headers],0)),INDEX(lmic_raw_lb[],MATCH($A257,lmic_raw_lb[[setting]:[setting]],0), MATCH(AK$139, lmic_raw_lb[#Headers],0)))</f>
        <v>1.9115088128162177E-3</v>
      </c>
      <c r="AL257" s="94">
        <f>IF(INDEX(lmic_raw_lb[],MATCH($A257,lmic_raw_lb[[setting]:[setting]],0), MATCH(AL$139, lmic_raw_lb[#Headers],0))=0, INDEX(regions_lb[], MATCH($D257, regions_lb[[setting]:[setting]],0), MATCH(AL$139, regions_lb[#Headers],0)),INDEX(lmic_raw_lb[],MATCH($A257,lmic_raw_lb[[setting]:[setting]],0), MATCH(AL$139, lmic_raw_lb[#Headers],0)))</f>
        <v>2.4245764187091155E-3</v>
      </c>
      <c r="AM257" s="94">
        <f>IF(INDEX(lmic_raw_lb[],MATCH($A257,lmic_raw_lb[[setting]:[setting]],0), MATCH(AM$139, lmic_raw_lb[#Headers],0))=0, INDEX(regions_lb[], MATCH($D257, regions_lb[[setting]:[setting]],0), MATCH(AM$139, regions_lb[#Headers],0)),INDEX(lmic_raw_lb[],MATCH($A257,lmic_raw_lb[[setting]:[setting]],0), MATCH(AM$139, lmic_raw_lb[#Headers],0)))</f>
        <v>3.4575951129777222E-3</v>
      </c>
      <c r="AN257" s="94">
        <f>IF(INDEX(lmic_raw_lb[],MATCH($A257,lmic_raw_lb[[setting]:[setting]],0), MATCH(AN$139, lmic_raw_lb[#Headers],0))=0, INDEX(regions_lb[], MATCH($D257, regions_lb[[setting]:[setting]],0), MATCH(AN$139, regions_lb[#Headers],0)),INDEX(lmic_raw_lb[],MATCH($A257,lmic_raw_lb[[setting]:[setting]],0), MATCH(AN$139, lmic_raw_lb[#Headers],0)))</f>
        <v>5.6863157626283311E-3</v>
      </c>
      <c r="AO257" s="94">
        <f>IF(INDEX(lmic_raw_lb[],MATCH($A257,lmic_raw_lb[[setting]:[setting]],0), MATCH(AO$139, lmic_raw_lb[#Headers],0))=0, INDEX(regions_lb[], MATCH($D257, regions_lb[[setting]:[setting]],0), MATCH(AO$139, regions_lb[#Headers],0)),INDEX(lmic_raw_lb[],MATCH($A257,lmic_raw_lb[[setting]:[setting]],0), MATCH(AO$139, lmic_raw_lb[#Headers],0)))</f>
        <v>1.0123357341479141E-2</v>
      </c>
      <c r="AP257" s="94">
        <f>IF(INDEX(lmic_raw_lb[],MATCH($A257,lmic_raw_lb[[setting]:[setting]],0), MATCH(AP$139, lmic_raw_lb[#Headers],0))=0, INDEX(regions_lb[], MATCH($D257, regions_lb[[setting]:[setting]],0), MATCH(AP$139, regions_lb[#Headers],0)),INDEX(lmic_raw_lb[],MATCH($A257,lmic_raw_lb[[setting]:[setting]],0), MATCH(AP$139, lmic_raw_lb[#Headers],0)))</f>
        <v>1.7482507807117832E-2</v>
      </c>
      <c r="AQ257" s="94">
        <f>IF(INDEX(lmic_raw_lb[],MATCH($A257,lmic_raw_lb[[setting]:[setting]],0), MATCH(AQ$139, lmic_raw_lb[#Headers],0))=0, INDEX(regions_lb[], MATCH($D257, regions_lb[[setting]:[setting]],0), MATCH(AQ$139, regions_lb[#Headers],0)),INDEX(lmic_raw_lb[],MATCH($A257,lmic_raw_lb[[setting]:[setting]],0), MATCH(AQ$139, lmic_raw_lb[#Headers],0)))</f>
        <v>2.7393013191479635E-2</v>
      </c>
      <c r="AR257" s="94">
        <f>IF(INDEX(lmic_raw_lb[],MATCH($A257,lmic_raw_lb[[setting]:[setting]],0), MATCH(AR$139, lmic_raw_lb[#Headers],0))=0, INDEX(regions_lb[], MATCH($D257, regions_lb[[setting]:[setting]],0), MATCH(AR$139, regions_lb[#Headers],0)),INDEX(lmic_raw_lb[],MATCH($A257,lmic_raw_lb[[setting]:[setting]],0), MATCH(AR$139, lmic_raw_lb[#Headers],0)))</f>
        <v>4.5231851827279873E-2</v>
      </c>
      <c r="AS257" s="94">
        <f>IF(INDEX(lmic_raw_lb[],MATCH($A257,lmic_raw_lb[[setting]:[setting]],0), MATCH(AS$139, lmic_raw_lb[#Headers],0))=0, INDEX(regions_lb[], MATCH($D257, regions_lb[[setting]:[setting]],0), MATCH(AS$139, regions_lb[#Headers],0)),INDEX(lmic_raw_lb[],MATCH($A257,lmic_raw_lb[[setting]:[setting]],0), MATCH(AS$139, lmic_raw_lb[#Headers],0)))</f>
        <v>7.0208327818225932E-2</v>
      </c>
      <c r="AT257" s="94">
        <f>IF(INDEX(lmic_raw_lb[],MATCH($A257,lmic_raw_lb[[setting]:[setting]],0), MATCH(AT$139, lmic_raw_lb[#Headers],0))=0, INDEX(regions_lb[], MATCH($D257, regions_lb[[setting]:[setting]],0), MATCH(AT$139, regions_lb[#Headers],0)),INDEX(lmic_raw_lb[],MATCH($A257,lmic_raw_lb[[setting]:[setting]],0), MATCH(AT$139, lmic_raw_lb[#Headers],0)))</f>
        <v>0.1003746268717763</v>
      </c>
      <c r="AU257" s="94">
        <f>IF(INDEX(lmic_raw_lb[],MATCH($A257,lmic_raw_lb[[setting]:[setting]],0), MATCH(AU$139, lmic_raw_lb[#Headers],0))=0, INDEX(regions_lb[], MATCH($D257, regions_lb[[setting]:[setting]],0), MATCH(AU$139, regions_lb[#Headers],0)),INDEX(lmic_raw_lb[],MATCH($A257,lmic_raw_lb[[setting]:[setting]],0), MATCH(AU$139, lmic_raw_lb[#Headers],0)))</f>
        <v>0.13030359448217074</v>
      </c>
      <c r="AV257" s="94">
        <f>IF(INDEX(lmic_raw_lb[],MATCH($A257,lmic_raw_lb[[setting]:[setting]],0), MATCH(AV$139, lmic_raw_lb[#Headers],0))=0, INDEX(regions_lb[], MATCH($D257, regions_lb[[setting]:[setting]],0), MATCH(AV$139, regions_lb[#Headers],0)),INDEX(lmic_raw_lb[],MATCH($A257,lmic_raw_lb[[setting]:[setting]],0), MATCH(AV$139, lmic_raw_lb[#Headers],0)))</f>
        <v>0.15621313209176316</v>
      </c>
      <c r="AW257" s="94">
        <f>IF(INDEX(lmic_raw_lb[],MATCH($A257,lmic_raw_lb[[setting]:[setting]],0), MATCH(AW$139, lmic_raw_lb[#Headers],0))=0, INDEX(regions_lb[], MATCH($D257, regions_lb[[setting]:[setting]],0), MATCH(AW$139, regions_lb[#Headers],0)),INDEX(lmic_raw_lb[],MATCH($A257,lmic_raw_lb[[setting]:[setting]],0), MATCH(AW$139, lmic_raw_lb[#Headers],0)))</f>
        <v>0.17314424924309746</v>
      </c>
      <c r="AX257" s="94">
        <f>IF(INDEX(lmic_raw_lb[],MATCH($A257,lmic_raw_lb[[setting]:[setting]],0), MATCH(AX$139, lmic_raw_lb[#Headers],0))=0, INDEX(regions_lb[], MATCH($D257, regions_lb[[setting]:[setting]],0), MATCH(AX$139, regions_lb[#Headers],0)),INDEX(lmic_raw_lb[],MATCH($A257,lmic_raw_lb[[setting]:[setting]],0), MATCH(AX$139, lmic_raw_lb[#Headers],0)))</f>
        <v>67.231499999999997</v>
      </c>
      <c r="AY257" s="94" t="str">
        <f>IF(VLOOKUP(lmics_lb[[#This Row],[setting]],lmic_raw_lb[],11,FALSE)=0, "Yes", "No")</f>
        <v>No</v>
      </c>
    </row>
    <row r="258" spans="1:51" x14ac:dyDescent="0.25">
      <c r="A258" s="82" t="s">
        <v>652</v>
      </c>
      <c r="B258" s="101" t="s">
        <v>534</v>
      </c>
      <c r="C258" s="102">
        <v>834</v>
      </c>
      <c r="D258" s="82" t="s">
        <v>677</v>
      </c>
      <c r="E258" s="121" t="s">
        <v>597</v>
      </c>
      <c r="F258" s="98" t="s">
        <v>667</v>
      </c>
      <c r="G258" s="98" t="s">
        <v>674</v>
      </c>
      <c r="H258" s="98"/>
      <c r="I258" s="98"/>
      <c r="J258" s="98">
        <f>IF(INDEX(lmic_raw_lb[],MATCH($A258,lmic_raw_lb[[setting]:[setting]],0), MATCH(J$139, lmic_raw_lb[#Headers],0))=0, INDEX(regions_lb[], MATCH($D258, regions_lb[[setting]:[setting]],0), MATCH(J$139, regions_lb[#Headers],0)),INDEX(lmic_raw_lb[],MATCH($A258,lmic_raw_lb[[setting]:[setting]],0), MATCH(J$139, lmic_raw_lb[#Headers],0)))</f>
        <v>0.59470000000000001</v>
      </c>
      <c r="K258" s="98">
        <f>IF(INDEX(lmic_raw_lb[],MATCH($A258,lmic_raw_lb[[setting]:[setting]],0), MATCH(K$139, lmic_raw_lb[#Headers],0))=0, INDEX(regions_lb[], MATCH($D258, regions_lb[[setting]:[setting]],0), MATCH(K$139, regions_lb[#Headers],0)),INDEX(lmic_raw_lb[],MATCH($A258,lmic_raw_lb[[setting]:[setting]],0), MATCH(K$139, lmic_raw_lb[#Headers],0)))</f>
        <v>0.65789974195504752</v>
      </c>
      <c r="L258" s="98">
        <f>IF(INDEX(lmic_raw_lb[],MATCH($A258,lmic_raw_lb[[setting]:[setting]],0), MATCH(L$139, lmic_raw_lb[#Headers],0))=0, INDEX(regions_lb[], MATCH($D258, regions_lb[[setting]:[setting]],0), MATCH(L$139, regions_lb[#Headers],0)),INDEX(lmic_raw_lb[],MATCH($A258,lmic_raw_lb[[setting]:[setting]],0), MATCH(L$139, lmic_raw_lb[#Headers],0)))</f>
        <v>0.84549999999999992</v>
      </c>
      <c r="M258" s="98">
        <f>IF(INDEX(lmic_raw_lb[],MATCH($A258,lmic_raw_lb[[setting]:[setting]],0), MATCH(M$139, lmic_raw_lb[#Headers],0))=0, INDEX(regions_lb[], MATCH($D258, regions_lb[[setting]:[setting]],0), MATCH(M$139, regions_lb[#Headers],0)),INDEX(lmic_raw_lb[],MATCH($A258,lmic_raw_lb[[setting]:[setting]],0), MATCH(M$139, lmic_raw_lb[#Headers],0)))</f>
        <v>3.0600000000000002E-2</v>
      </c>
      <c r="N258" s="98">
        <f>IF(INDEX(lmic_raw_lb[],MATCH($A258,lmic_raw_lb[[setting]:[setting]],0), MATCH(N$139, lmic_raw_lb[#Headers],0))=0, INDEX(regions_lb[], MATCH($D258, regions_lb[[setting]:[setting]],0), MATCH(N$139, regions_lb[#Headers],0)),INDEX(lmic_raw_lb[],MATCH($A258,lmic_raw_lb[[setting]:[setting]],0), MATCH(N$139, lmic_raw_lb[#Headers],0)))</f>
        <v>0.15560000000000002</v>
      </c>
      <c r="O258" s="98">
        <f>IF(INDEX(lmic_raw_lb[],MATCH($A258,lmic_raw_lb[[setting]:[setting]],0), MATCH(O$139, lmic_raw_lb[#Headers],0))=0, INDEX(regions_lb[], MATCH($D258, regions_lb[[setting]:[setting]],0), MATCH(O$139, regions_lb[#Headers],0)),INDEX(lmic_raw_lb[],MATCH($A258,lmic_raw_lb[[setting]:[setting]],0), MATCH(O$139, lmic_raw_lb[#Headers],0)))</f>
        <v>7.0000000000000007E-2</v>
      </c>
      <c r="P258" s="98">
        <f>IF(INDEX(lmic_raw_lb[],MATCH($A258,lmic_raw_lb[[setting]:[setting]],0), MATCH(P$139, lmic_raw_lb[#Headers],0))=0, INDEX(regions_lb[], MATCH($D258, regions_lb[[setting]:[setting]],0), MATCH(P$139, regions_lb[#Headers],0)),INDEX(lmic_raw_lb[],MATCH($A258,lmic_raw_lb[[setting]:[setting]],0), MATCH(P$139, lmic_raw_lb[#Headers],0)))</f>
        <v>1E-3</v>
      </c>
      <c r="Q258" s="98">
        <f>IF(INDEX(lmic_raw_lb[],MATCH($A258,lmic_raw_lb[[setting]:[setting]],0), MATCH(Q$139, lmic_raw_lb[#Headers],0))=0, INDEX(regions_lb[], MATCH($D258, regions_lb[[setting]:[setting]],0), MATCH(Q$139, regions_lb[#Headers],0)),INDEX(lmic_raw_lb[],MATCH($A258,lmic_raw_lb[[setting]:[setting]],0), MATCH(Q$139, lmic_raw_lb[#Headers],0)))</f>
        <v>2.7057605804895823</v>
      </c>
      <c r="R258" s="98">
        <f>IF(INDEX(lmic_raw_lb[],MATCH($A258,lmic_raw_lb[[setting]:[setting]],0), MATCH(R$139, lmic_raw_lb[#Headers],0))=0, INDEX(regions_lb[], MATCH($D258, regions_lb[[setting]:[setting]],0), MATCH(R$139, regions_lb[#Headers],0)),INDEX(lmic_raw_lb[],MATCH($A258,lmic_raw_lb[[setting]:[setting]],0), MATCH(R$139, lmic_raw_lb[#Headers],0)))</f>
        <v>28.424474999999997</v>
      </c>
      <c r="S258" s="98">
        <f>IF(INDEX(lmic_raw_lb[],MATCH($A258,lmic_raw_lb[[setting]:[setting]],0), MATCH(S$139, lmic_raw_lb[#Headers],0))=0, INDEX(regions_lb[], MATCH($D258, regions_lb[[setting]:[setting]],0), MATCH(S$139, regions_lb[#Headers],0)),INDEX(lmic_raw_lb[],MATCH($A258,lmic_raw_lb[[setting]:[setting]],0), MATCH(S$139, lmic_raw_lb[#Headers],0)))</f>
        <v>73.779375000000002</v>
      </c>
      <c r="T258" s="98">
        <f>IF(INDEX(lmic_raw_lb[],MATCH($A258,lmic_raw_lb[[setting]:[setting]],0), MATCH(T$139, lmic_raw_lb[#Headers],0))=0, INDEX(regions_lb[], MATCH($D258, regions_lb[[setting]:[setting]],0), MATCH(T$139, regions_lb[#Headers],0)),INDEX(lmic_raw_lb[],MATCH($A258,lmic_raw_lb[[setting]:[setting]],0), MATCH(T$139, lmic_raw_lb[#Headers],0)))</f>
        <v>73.779375000000002</v>
      </c>
      <c r="U258" s="98">
        <f>IF(INDEX(lmic_raw_lb[],MATCH($A258,lmic_raw_lb[[setting]:[setting]],0), MATCH(U$139, lmic_raw_lb[#Headers],0))=0, INDEX(regions_lb[], MATCH($D258, regions_lb[[setting]:[setting]],0), MATCH(U$139, regions_lb[#Headers],0)),INDEX(lmic_raw_lb[],MATCH($A258,lmic_raw_lb[[setting]:[setting]],0), MATCH(U$139, lmic_raw_lb[#Headers],0)))</f>
        <v>73.779375000000002</v>
      </c>
      <c r="V258" s="98">
        <f>IF(INDEX(lmic_raw_lb[],MATCH($A258,lmic_raw_lb[[setting]:[setting]],0), MATCH(V$139, lmic_raw_lb[#Headers],0))=0, INDEX(regions_lb[], MATCH($D258, regions_lb[[setting]:[setting]],0), MATCH(V$139, regions_lb[#Headers],0)),INDEX(lmic_raw_lb[],MATCH($A258,lmic_raw_lb[[setting]:[setting]],0), MATCH(V$139, lmic_raw_lb[#Headers],0)))</f>
        <v>1.1954905184932225</v>
      </c>
      <c r="W258" s="98">
        <f>IF(INDEX(lmic_raw_lb[],MATCH($A258,lmic_raw_lb[[setting]:[setting]],0), MATCH(W$139, lmic_raw_lb[#Headers],0))=0, INDEX(regions_lb[], MATCH($D258, regions_lb[[setting]:[setting]],0), MATCH(W$139, regions_lb[#Headers],0)),INDEX(lmic_raw_lb[],MATCH($A258,lmic_raw_lb[[setting]:[setting]],0), MATCH(W$139, lmic_raw_lb[#Headers],0)))</f>
        <v>5.7827555184932233</v>
      </c>
      <c r="X258" s="98">
        <f>IF(INDEX(lmic_raw_lb[],MATCH($A258,lmic_raw_lb[[setting]:[setting]],0), MATCH(X$139, lmic_raw_lb[#Headers],0))=0, INDEX(regions_lb[], MATCH($D258, regions_lb[[setting]:[setting]],0), MATCH(X$139, regions_lb[#Headers],0)),INDEX(lmic_raw_lb[],MATCH($A258,lmic_raw_lb[[setting]:[setting]],0), MATCH(X$139, lmic_raw_lb[#Headers],0)))</f>
        <v>0.8295697208035735</v>
      </c>
      <c r="Y258" s="98">
        <f>IF(INDEX(lmic_raw_lb[],MATCH($A258,lmic_raw_lb[[setting]:[setting]],0), MATCH(Y$139, lmic_raw_lb[#Headers],0))=0, INDEX(regions_lb[], MATCH($D258, regions_lb[[setting]:[setting]],0), MATCH(Y$139, regions_lb[#Headers],0)),INDEX(lmic_raw_lb[],MATCH($A258,lmic_raw_lb[[setting]:[setting]],0), MATCH(Y$139, lmic_raw_lb[#Headers],0)))</f>
        <v>5.4168347208035739</v>
      </c>
      <c r="Z258" s="98">
        <f>IF(INDEX(lmic_raw_lb[],MATCH($A258,lmic_raw_lb[[setting]:[setting]],0), MATCH(Z$139, lmic_raw_lb[#Headers],0))=0, INDEX(regions_lb[], MATCH($D258, regions_lb[[setting]:[setting]],0), MATCH(Z$139, regions_lb[#Headers],0)),INDEX(lmic_raw_lb[],MATCH($A258,lmic_raw_lb[[setting]:[setting]],0), MATCH(Z$139, lmic_raw_lb[#Headers],0)))</f>
        <v>5.4144685885021282</v>
      </c>
      <c r="AA258" s="98">
        <f>IF(INDEX(lmic_raw_lb[],MATCH($A258,lmic_raw_lb[[setting]:[setting]],0), MATCH(AA$139, lmic_raw_lb[#Headers],0))=0, INDEX(regions_lb[], MATCH($D258, regions_lb[[setting]:[setting]],0), MATCH(AA$139, regions_lb[#Headers],0)),INDEX(lmic_raw_lb[],MATCH($A258,lmic_raw_lb[[setting]:[setting]],0), MATCH(AA$139, lmic_raw_lb[#Headers],0)))</f>
        <v>1.4069552491672845</v>
      </c>
      <c r="AB258" s="98">
        <f>IF(INDEX(lmic_raw_lb[],MATCH($A258,lmic_raw_lb[[setting]:[setting]],0), MATCH(AB$139, lmic_raw_lb[#Headers],0))=0, INDEX(regions_lb[], MATCH($D258, regions_lb[[setting]:[setting]],0), MATCH(AB$139, regions_lb[#Headers],0)),INDEX(lmic_raw_lb[],MATCH($A258,lmic_raw_lb[[setting]:[setting]],0), MATCH(AB$139, lmic_raw_lb[#Headers],0)))</f>
        <v>5.9942202491672845</v>
      </c>
      <c r="AC258" s="98">
        <f>IF(INDEX(lmic_raw_lb[],MATCH($A258,lmic_raw_lb[[setting]:[setting]],0), MATCH(AC$139, lmic_raw_lb[#Headers],0))=0, INDEX(regions_lb[], MATCH($D258, regions_lb[[setting]:[setting]],0), MATCH(AC$139, regions_lb[#Headers],0)),INDEX(lmic_raw_lb[],MATCH($A258,lmic_raw_lb[[setting]:[setting]],0), MATCH(AC$139, lmic_raw_lb[#Headers],0)))</f>
        <v>3.9153347499999984E-2</v>
      </c>
      <c r="AD258" s="98">
        <f>IF(INDEX(lmic_raw_lb[],MATCH($A258,lmic_raw_lb[[setting]:[setting]],0), MATCH(AD$139, lmic_raw_lb[#Headers],0))=0, INDEX(regions_lb[], MATCH($D258, regions_lb[[setting]:[setting]],0), MATCH(AD$139, regions_lb[#Headers],0)),INDEX(lmic_raw_lb[],MATCH($A258,lmic_raw_lb[[setting]:[setting]],0), MATCH(AD$139, lmic_raw_lb[#Headers],0)))</f>
        <v>3.7970088631357327E-3</v>
      </c>
      <c r="AE258" s="98">
        <f>IF(INDEX(lmic_raw_lb[],MATCH($A258,lmic_raw_lb[[setting]:[setting]],0), MATCH(AE$139, lmic_raw_lb[#Headers],0))=0, INDEX(regions_lb[], MATCH($D258, regions_lb[[setting]:[setting]],0), MATCH(AE$139, regions_lb[#Headers],0)),INDEX(lmic_raw_lb[],MATCH($A258,lmic_raw_lb[[setting]:[setting]],0), MATCH(AE$139, lmic_raw_lb[#Headers],0)))</f>
        <v>1.4908130727040228E-3</v>
      </c>
      <c r="AF258" s="98">
        <f>IF(INDEX(lmic_raw_lb[],MATCH($A258,lmic_raw_lb[[setting]:[setting]],0), MATCH(AF$139, lmic_raw_lb[#Headers],0))=0, INDEX(regions_lb[], MATCH($D258, regions_lb[[setting]:[setting]],0), MATCH(AF$139, regions_lb[#Headers],0)),INDEX(lmic_raw_lb[],MATCH($A258,lmic_raw_lb[[setting]:[setting]],0), MATCH(AF$139, lmic_raw_lb[#Headers],0)))</f>
        <v>1.0557577232236819E-3</v>
      </c>
      <c r="AG258" s="98">
        <f>IF(INDEX(lmic_raw_lb[],MATCH($A258,lmic_raw_lb[[setting]:[setting]],0), MATCH(AG$139, lmic_raw_lb[#Headers],0))=0, INDEX(regions_lb[], MATCH($D258, regions_lb[[setting]:[setting]],0), MATCH(AG$139, regions_lb[#Headers],0)),INDEX(lmic_raw_lb[],MATCH($A258,lmic_raw_lb[[setting]:[setting]],0), MATCH(AG$139, lmic_raw_lb[#Headers],0)))</f>
        <v>1.6884801261191165E-3</v>
      </c>
      <c r="AH258" s="98">
        <f>IF(INDEX(lmic_raw_lb[],MATCH($A258,lmic_raw_lb[[setting]:[setting]],0), MATCH(AH$139, lmic_raw_lb[#Headers],0))=0, INDEX(regions_lb[], MATCH($D258, regions_lb[[setting]:[setting]],0), MATCH(AH$139, regions_lb[#Headers],0)),INDEX(lmic_raw_lb[],MATCH($A258,lmic_raw_lb[[setting]:[setting]],0), MATCH(AH$139, lmic_raw_lb[#Headers],0)))</f>
        <v>2.4423056455834583E-3</v>
      </c>
      <c r="AI258" s="98">
        <f>IF(INDEX(lmic_raw_lb[],MATCH($A258,lmic_raw_lb[[setting]:[setting]],0), MATCH(AI$139, lmic_raw_lb[#Headers],0))=0, INDEX(regions_lb[], MATCH($D258, regions_lb[[setting]:[setting]],0), MATCH(AI$139, regions_lb[#Headers],0)),INDEX(lmic_raw_lb[],MATCH($A258,lmic_raw_lb[[setting]:[setting]],0), MATCH(AI$139, lmic_raw_lb[#Headers],0)))</f>
        <v>2.8329174490540877E-3</v>
      </c>
      <c r="AJ258" s="98">
        <f>IF(INDEX(lmic_raw_lb[],MATCH($A258,lmic_raw_lb[[setting]:[setting]],0), MATCH(AJ$139, lmic_raw_lb[#Headers],0))=0, INDEX(regions_lb[], MATCH($D258, regions_lb[[setting]:[setting]],0), MATCH(AJ$139, regions_lb[#Headers],0)),INDEX(lmic_raw_lb[],MATCH($A258,lmic_raw_lb[[setting]:[setting]],0), MATCH(AJ$139, lmic_raw_lb[#Headers],0)))</f>
        <v>3.3226799237410405E-3</v>
      </c>
      <c r="AK258" s="98">
        <f>IF(INDEX(lmic_raw_lb[],MATCH($A258,lmic_raw_lb[[setting]:[setting]],0), MATCH(AK$139, lmic_raw_lb[#Headers],0))=0, INDEX(regions_lb[], MATCH($D258, regions_lb[[setting]:[setting]],0), MATCH(AK$139, regions_lb[#Headers],0)),INDEX(lmic_raw_lb[],MATCH($A258,lmic_raw_lb[[setting]:[setting]],0), MATCH(AK$139, lmic_raw_lb[#Headers],0)))</f>
        <v>4.0605836884822872E-3</v>
      </c>
      <c r="AL258" s="98">
        <f>IF(INDEX(lmic_raw_lb[],MATCH($A258,lmic_raw_lb[[setting]:[setting]],0), MATCH(AL$139, lmic_raw_lb[#Headers],0))=0, INDEX(regions_lb[], MATCH($D258, regions_lb[[setting]:[setting]],0), MATCH(AL$139, regions_lb[#Headers],0)),INDEX(lmic_raw_lb[],MATCH($A258,lmic_raw_lb[[setting]:[setting]],0), MATCH(AL$139, lmic_raw_lb[#Headers],0)))</f>
        <v>5.1395142056819979E-3</v>
      </c>
      <c r="AM258" s="98">
        <f>IF(INDEX(lmic_raw_lb[],MATCH($A258,lmic_raw_lb[[setting]:[setting]],0), MATCH(AM$139, lmic_raw_lb[#Headers],0))=0, INDEX(regions_lb[], MATCH($D258, regions_lb[[setting]:[setting]],0), MATCH(AM$139, regions_lb[#Headers],0)),INDEX(lmic_raw_lb[],MATCH($A258,lmic_raw_lb[[setting]:[setting]],0), MATCH(AM$139, lmic_raw_lb[#Headers],0)))</f>
        <v>6.4782177514604309E-3</v>
      </c>
      <c r="AN258" s="98">
        <f>IF(INDEX(lmic_raw_lb[],MATCH($A258,lmic_raw_lb[[setting]:[setting]],0), MATCH(AN$139, lmic_raw_lb[#Headers],0))=0, INDEX(regions_lb[], MATCH($D258, regions_lb[[setting]:[setting]],0), MATCH(AN$139, regions_lb[#Headers],0)),INDEX(lmic_raw_lb[],MATCH($A258,lmic_raw_lb[[setting]:[setting]],0), MATCH(AN$139, lmic_raw_lb[#Headers],0)))</f>
        <v>9.1788357526192479E-3</v>
      </c>
      <c r="AO258" s="98">
        <f>IF(INDEX(lmic_raw_lb[],MATCH($A258,lmic_raw_lb[[setting]:[setting]],0), MATCH(AO$139, lmic_raw_lb[#Headers],0))=0, INDEX(regions_lb[], MATCH($D258, regions_lb[[setting]:[setting]],0), MATCH(AO$139, regions_lb[#Headers],0)),INDEX(lmic_raw_lb[],MATCH($A258,lmic_raw_lb[[setting]:[setting]],0), MATCH(AO$139, lmic_raw_lb[#Headers],0)))</f>
        <v>1.2322600377063906E-2</v>
      </c>
      <c r="AP258" s="98">
        <f>IF(INDEX(lmic_raw_lb[],MATCH($A258,lmic_raw_lb[[setting]:[setting]],0), MATCH(AP$139, lmic_raw_lb[#Headers],0))=0, INDEX(regions_lb[], MATCH($D258, regions_lb[[setting]:[setting]],0), MATCH(AP$139, regions_lb[#Headers],0)),INDEX(lmic_raw_lb[],MATCH($A258,lmic_raw_lb[[setting]:[setting]],0), MATCH(AP$139, lmic_raw_lb[#Headers],0)))</f>
        <v>1.8557577442863134E-2</v>
      </c>
      <c r="AQ258" s="98">
        <f>IF(INDEX(lmic_raw_lb[],MATCH($A258,lmic_raw_lb[[setting]:[setting]],0), MATCH(AQ$139, lmic_raw_lb[#Headers],0))=0, INDEX(regions_lb[], MATCH($D258, regions_lb[[setting]:[setting]],0), MATCH(AQ$139, regions_lb[#Headers],0)),INDEX(lmic_raw_lb[],MATCH($A258,lmic_raw_lb[[setting]:[setting]],0), MATCH(AQ$139, lmic_raw_lb[#Headers],0)))</f>
        <v>2.8690757510410558E-2</v>
      </c>
      <c r="AR258" s="98">
        <f>IF(INDEX(lmic_raw_lb[],MATCH($A258,lmic_raw_lb[[setting]:[setting]],0), MATCH(AR$139, lmic_raw_lb[#Headers],0))=0, INDEX(regions_lb[], MATCH($D258, regions_lb[[setting]:[setting]],0), MATCH(AR$139, regions_lb[#Headers],0)),INDEX(lmic_raw_lb[],MATCH($A258,lmic_raw_lb[[setting]:[setting]],0), MATCH(AR$139, lmic_raw_lb[#Headers],0)))</f>
        <v>4.4607148810423831E-2</v>
      </c>
      <c r="AS258" s="98">
        <f>IF(INDEX(lmic_raw_lb[],MATCH($A258,lmic_raw_lb[[setting]:[setting]],0), MATCH(AS$139, lmic_raw_lb[#Headers],0))=0, INDEX(regions_lb[], MATCH($D258, regions_lb[[setting]:[setting]],0), MATCH(AS$139, regions_lb[#Headers],0)),INDEX(lmic_raw_lb[],MATCH($A258,lmic_raw_lb[[setting]:[setting]],0), MATCH(AS$139, lmic_raw_lb[#Headers],0)))</f>
        <v>6.8279235022524115E-2</v>
      </c>
      <c r="AT258" s="98">
        <f>IF(INDEX(lmic_raw_lb[],MATCH($A258,lmic_raw_lb[[setting]:[setting]],0), MATCH(AT$139, lmic_raw_lb[#Headers],0))=0, INDEX(regions_lb[], MATCH($D258, regions_lb[[setting]:[setting]],0), MATCH(AT$139, regions_lb[#Headers],0)),INDEX(lmic_raw_lb[],MATCH($A258,lmic_raw_lb[[setting]:[setting]],0), MATCH(AT$139, lmic_raw_lb[#Headers],0)))</f>
        <v>0.1016344731884186</v>
      </c>
      <c r="AU258" s="98">
        <f>IF(INDEX(lmic_raw_lb[],MATCH($A258,lmic_raw_lb[[setting]:[setting]],0), MATCH(AU$139, lmic_raw_lb[#Headers],0))=0, INDEX(regions_lb[], MATCH($D258, regions_lb[[setting]:[setting]],0), MATCH(AU$139, regions_lb[#Headers],0)),INDEX(lmic_raw_lb[],MATCH($A258,lmic_raw_lb[[setting]:[setting]],0), MATCH(AU$139, lmic_raw_lb[#Headers],0)))</f>
        <v>0.13955627174968485</v>
      </c>
      <c r="AV258" s="98">
        <f>IF(INDEX(lmic_raw_lb[],MATCH($A258,lmic_raw_lb[[setting]:[setting]],0), MATCH(AV$139, lmic_raw_lb[#Headers],0))=0, INDEX(regions_lb[], MATCH($D258, regions_lb[[setting]:[setting]],0), MATCH(AV$139, regions_lb[#Headers],0)),INDEX(lmic_raw_lb[],MATCH($A258,lmic_raw_lb[[setting]:[setting]],0), MATCH(AV$139, lmic_raw_lb[#Headers],0)))</f>
        <v>0.17085965847426926</v>
      </c>
      <c r="AW258" s="98">
        <f>IF(INDEX(lmic_raw_lb[],MATCH($A258,lmic_raw_lb[[setting]:[setting]],0), MATCH(AW$139, lmic_raw_lb[#Headers],0))=0, INDEX(regions_lb[], MATCH($D258, regions_lb[[setting]:[setting]],0), MATCH(AW$139, regions_lb[#Headers],0)),INDEX(lmic_raw_lb[],MATCH($A258,lmic_raw_lb[[setting]:[setting]],0), MATCH(AW$139, lmic_raw_lb[#Headers],0)))</f>
        <v>0.18035419307766917</v>
      </c>
      <c r="AX258" s="98">
        <f>IF(INDEX(lmic_raw_lb[],MATCH($A258,lmic_raw_lb[[setting]:[setting]],0), MATCH(AX$139, lmic_raw_lb[#Headers],0))=0, INDEX(regions_lb[], MATCH($D258, regions_lb[[setting]:[setting]],0), MATCH(AX$139, regions_lb[#Headers],0)),INDEX(lmic_raw_lb[],MATCH($A258,lmic_raw_lb[[setting]:[setting]],0), MATCH(AX$139, lmic_raw_lb[#Headers],0)))</f>
        <v>61.599899999999998</v>
      </c>
      <c r="AY258" s="98" t="str">
        <f>IF(VLOOKUP(lmics_lb[[#This Row],[setting]],lmic_raw_lb[],11,FALSE)=0, "Yes", "No")</f>
        <v>Yes</v>
      </c>
    </row>
    <row r="259" spans="1:51" x14ac:dyDescent="0.25">
      <c r="A259" s="110" t="s">
        <v>219</v>
      </c>
      <c r="B259" s="104" t="s">
        <v>522</v>
      </c>
      <c r="C259" s="105">
        <v>764</v>
      </c>
      <c r="D259" s="84" t="s">
        <v>680</v>
      </c>
      <c r="E259" s="122" t="s">
        <v>598</v>
      </c>
      <c r="F259" s="94" t="s">
        <v>666</v>
      </c>
      <c r="G259" s="94" t="s">
        <v>676</v>
      </c>
      <c r="H259" s="94"/>
      <c r="I259" s="94"/>
      <c r="J259" s="94">
        <f>IF(INDEX(lmic_raw_lb[],MATCH($A259,lmic_raw_lb[[setting]:[setting]],0), MATCH(J$139, lmic_raw_lb[#Headers],0))=0, INDEX(regions_lb[], MATCH($D259, regions_lb[[setting]:[setting]],0), MATCH(J$139, regions_lb[#Headers],0)),INDEX(lmic_raw_lb[],MATCH($A259,lmic_raw_lb[[setting]:[setting]],0), MATCH(J$139, lmic_raw_lb[#Headers],0)))</f>
        <v>0.93669999999999998</v>
      </c>
      <c r="K259" s="94">
        <f>IF(INDEX(lmic_raw_lb[],MATCH($A259,lmic_raw_lb[[setting]:[setting]],0), MATCH(K$139, lmic_raw_lb[#Headers],0))=0, INDEX(regions_lb[], MATCH($D259, regions_lb[[setting]:[setting]],0), MATCH(K$139, regions_lb[#Headers],0)),INDEX(lmic_raw_lb[],MATCH($A259,lmic_raw_lb[[setting]:[setting]],0), MATCH(K$139, lmic_raw_lb[#Headers],0)))</f>
        <v>0.9405</v>
      </c>
      <c r="L259" s="94">
        <f>IF(INDEX(lmic_raw_lb[],MATCH($A259,lmic_raw_lb[[setting]:[setting]],0), MATCH(L$139, lmic_raw_lb[#Headers],0))=0, INDEX(regions_lb[], MATCH($D259, regions_lb[[setting]:[setting]],0), MATCH(L$139, regions_lb[#Headers],0)),INDEX(lmic_raw_lb[],MATCH($A259,lmic_raw_lb[[setting]:[setting]],0), MATCH(L$139, lmic_raw_lb[#Headers],0)))</f>
        <v>0.92149999999999999</v>
      </c>
      <c r="M259" s="94">
        <f>IF(INDEX(lmic_raw_lb[],MATCH($A259,lmic_raw_lb[[setting]:[setting]],0), MATCH(M$139, lmic_raw_lb[#Headers],0))=0, INDEX(regions_lb[], MATCH($D259, regions_lb[[setting]:[setting]],0), MATCH(M$139, regions_lb[#Headers],0)),INDEX(lmic_raw_lb[],MATCH($A259,lmic_raw_lb[[setting]:[setting]],0), MATCH(M$139, lmic_raw_lb[#Headers],0)))</f>
        <v>9.7999999999999997E-3</v>
      </c>
      <c r="N259" s="94">
        <f>IF(INDEX(lmic_raw_lb[],MATCH($A259,lmic_raw_lb[[setting]:[setting]],0), MATCH(N$139, lmic_raw_lb[#Headers],0))=0, INDEX(regions_lb[], MATCH($D259, regions_lb[[setting]:[setting]],0), MATCH(N$139, regions_lb[#Headers],0)),INDEX(lmic_raw_lb[],MATCH($A259,lmic_raw_lb[[setting]:[setting]],0), MATCH(N$139, lmic_raw_lb[#Headers],0)))</f>
        <v>0.18100000000000002</v>
      </c>
      <c r="O259" s="94">
        <f>IF(INDEX(lmic_raw_lb[],MATCH($A259,lmic_raw_lb[[setting]:[setting]],0), MATCH(O$139, lmic_raw_lb[#Headers],0))=0, INDEX(regions_lb[], MATCH($D259, regions_lb[[setting]:[setting]],0), MATCH(O$139, regions_lb[#Headers],0)),INDEX(lmic_raw_lb[],MATCH($A259,lmic_raw_lb[[setting]:[setting]],0), MATCH(O$139, lmic_raw_lb[#Headers],0)))</f>
        <v>0.7</v>
      </c>
      <c r="P259" s="94">
        <f>IF(INDEX(lmic_raw_lb[],MATCH($A259,lmic_raw_lb[[setting]:[setting]],0), MATCH(P$139, lmic_raw_lb[#Headers],0))=0, INDEX(regions_lb[], MATCH($D259, regions_lb[[setting]:[setting]],0), MATCH(P$139, regions_lb[#Headers],0)),INDEX(lmic_raw_lb[],MATCH($A259,lmic_raw_lb[[setting]:[setting]],0), MATCH(P$139, lmic_raw_lb[#Headers],0)))</f>
        <v>0.05</v>
      </c>
      <c r="Q259" s="94">
        <f>IF(INDEX(lmic_raw_lb[],MATCH($A259,lmic_raw_lb[[setting]:[setting]],0), MATCH(Q$139, lmic_raw_lb[#Headers],0))=0, INDEX(regions_lb[], MATCH($D259, regions_lb[[setting]:[setting]],0), MATCH(Q$139, regions_lb[#Headers],0)),INDEX(lmic_raw_lb[],MATCH($A259,lmic_raw_lb[[setting]:[setting]],0), MATCH(Q$139, lmic_raw_lb[#Headers],0)))</f>
        <v>7.1257948592244302</v>
      </c>
      <c r="R259" s="94">
        <f>IF(INDEX(lmic_raw_lb[],MATCH($A259,lmic_raw_lb[[setting]:[setting]],0), MATCH(R$139, lmic_raw_lb[#Headers],0))=0, INDEX(regions_lb[], MATCH($D259, regions_lb[[setting]:[setting]],0), MATCH(R$139, regions_lb[#Headers],0)),INDEX(lmic_raw_lb[],MATCH($A259,lmic_raw_lb[[setting]:[setting]],0), MATCH(R$139, lmic_raw_lb[#Headers],0)))</f>
        <v>69.430275000000009</v>
      </c>
      <c r="S259" s="94">
        <f>IF(INDEX(lmic_raw_lb[],MATCH($A259,lmic_raw_lb[[setting]:[setting]],0), MATCH(S$139, lmic_raw_lb[#Headers],0))=0, INDEX(regions_lb[], MATCH($D259, regions_lb[[setting]:[setting]],0), MATCH(S$139, regions_lb[#Headers],0)),INDEX(lmic_raw_lb[],MATCH($A259,lmic_raw_lb[[setting]:[setting]],0), MATCH(S$139, lmic_raw_lb[#Headers],0)))</f>
        <v>114.785175</v>
      </c>
      <c r="T259" s="94">
        <f>IF(INDEX(lmic_raw_lb[],MATCH($A259,lmic_raw_lb[[setting]:[setting]],0), MATCH(T$139, lmic_raw_lb[#Headers],0))=0, INDEX(regions_lb[], MATCH($D259, regions_lb[[setting]:[setting]],0), MATCH(T$139, regions_lb[#Headers],0)),INDEX(lmic_raw_lb[],MATCH($A259,lmic_raw_lb[[setting]:[setting]],0), MATCH(T$139, lmic_raw_lb[#Headers],0)))</f>
        <v>114.785175</v>
      </c>
      <c r="U259" s="94">
        <f>IF(INDEX(lmic_raw_lb[],MATCH($A259,lmic_raw_lb[[setting]:[setting]],0), MATCH(U$139, lmic_raw_lb[#Headers],0))=0, INDEX(regions_lb[], MATCH($D259, regions_lb[[setting]:[setting]],0), MATCH(U$139, regions_lb[#Headers],0)),INDEX(lmic_raw_lb[],MATCH($A259,lmic_raw_lb[[setting]:[setting]],0), MATCH(U$139, lmic_raw_lb[#Headers],0)))</f>
        <v>114.785175</v>
      </c>
      <c r="V259" s="94">
        <f>IF(INDEX(lmic_raw_lb[],MATCH($A259,lmic_raw_lb[[setting]:[setting]],0), MATCH(V$139, lmic_raw_lb[#Headers],0))=0, INDEX(regions_lb[], MATCH($D259, regions_lb[[setting]:[setting]],0), MATCH(V$139, regions_lb[#Headers],0)),INDEX(lmic_raw_lb[],MATCH($A259,lmic_raw_lb[[setting]:[setting]],0), MATCH(V$139, lmic_raw_lb[#Headers],0)))</f>
        <v>1.4466071992513758</v>
      </c>
      <c r="W259" s="94">
        <f>IF(INDEX(lmic_raw_lb[],MATCH($A259,lmic_raw_lb[[setting]:[setting]],0), MATCH(W$139, lmic_raw_lb[#Headers],0))=0, INDEX(regions_lb[], MATCH($D259, regions_lb[[setting]:[setting]],0), MATCH(W$139, regions_lb[#Headers],0)),INDEX(lmic_raw_lb[],MATCH($A259,lmic_raw_lb[[setting]:[setting]],0), MATCH(W$139, lmic_raw_lb[#Headers],0)))</f>
        <v>2.047197199251376</v>
      </c>
      <c r="X259" s="94">
        <f>IF(INDEX(lmic_raw_lb[],MATCH($A259,lmic_raw_lb[[setting]:[setting]],0), MATCH(X$139, lmic_raw_lb[#Headers],0))=0, INDEX(regions_lb[], MATCH($D259, regions_lb[[setting]:[setting]],0), MATCH(X$139, regions_lb[#Headers],0)),INDEX(lmic_raw_lb[],MATCH($A259,lmic_raw_lb[[setting]:[setting]],0), MATCH(X$139, lmic_raw_lb[#Headers],0)))</f>
        <v>1.0748324741907225</v>
      </c>
      <c r="Y259" s="94">
        <f>IF(INDEX(lmic_raw_lb[],MATCH($A259,lmic_raw_lb[[setting]:[setting]],0), MATCH(Y$139, lmic_raw_lb[#Headers],0))=0, INDEX(regions_lb[], MATCH($D259, regions_lb[[setting]:[setting]],0), MATCH(Y$139, regions_lb[#Headers],0)),INDEX(lmic_raw_lb[],MATCH($A259,lmic_raw_lb[[setting]:[setting]],0), MATCH(Y$139, lmic_raw_lb[#Headers],0)))</f>
        <v>1.6754224741907224</v>
      </c>
      <c r="Z259" s="94">
        <f>IF(INDEX(lmic_raw_lb[],MATCH($A259,lmic_raw_lb[[setting]:[setting]],0), MATCH(Z$139, lmic_raw_lb[#Headers],0))=0, INDEX(regions_lb[], MATCH($D259, regions_lb[[setting]:[setting]],0), MATCH(Z$139, regions_lb[#Headers],0)),INDEX(lmic_raw_lb[],MATCH($A259,lmic_raw_lb[[setting]:[setting]],0), MATCH(Z$139, lmic_raw_lb[#Headers],0)))</f>
        <v>1.6693208370944226</v>
      </c>
      <c r="AA259" s="94">
        <f>IF(INDEX(lmic_raw_lb[],MATCH($A259,lmic_raw_lb[[setting]:[setting]],0), MATCH(AA$139, lmic_raw_lb[#Headers],0))=0, INDEX(regions_lb[], MATCH($D259, regions_lb[[setting]:[setting]],0), MATCH(AA$139, regions_lb[#Headers],0)),INDEX(lmic_raw_lb[],MATCH($A259,lmic_raw_lb[[setting]:[setting]],0), MATCH(AA$139, lmic_raw_lb[#Headers],0)))</f>
        <v>1.6605807559415824</v>
      </c>
      <c r="AB259" s="94">
        <f>IF(INDEX(lmic_raw_lb[],MATCH($A259,lmic_raw_lb[[setting]:[setting]],0), MATCH(AB$139, lmic_raw_lb[#Headers],0))=0, INDEX(regions_lb[], MATCH($D259, regions_lb[[setting]:[setting]],0), MATCH(AB$139, regions_lb[#Headers],0)),INDEX(lmic_raw_lb[],MATCH($A259,lmic_raw_lb[[setting]:[setting]],0), MATCH(AB$139, lmic_raw_lb[#Headers],0)))</f>
        <v>2.2611707559415821</v>
      </c>
      <c r="AC259" s="94">
        <f>IF(INDEX(lmic_raw_lb[],MATCH($A259,lmic_raw_lb[[setting]:[setting]],0), MATCH(AC$139, lmic_raw_lb[#Headers],0))=0, INDEX(regions_lb[], MATCH($D259, regions_lb[[setting]:[setting]],0), MATCH(AC$139, regions_lb[#Headers],0)),INDEX(lmic_raw_lb[],MATCH($A259,lmic_raw_lb[[setting]:[setting]],0), MATCH(AC$139, lmic_raw_lb[#Headers],0)))</f>
        <v>7.3664995000000191E-3</v>
      </c>
      <c r="AD259" s="94">
        <f>IF(INDEX(lmic_raw_lb[],MATCH($A259,lmic_raw_lb[[setting]:[setting]],0), MATCH(AD$139, lmic_raw_lb[#Headers],0))=0, INDEX(regions_lb[], MATCH($D259, regions_lb[[setting]:[setting]],0), MATCH(AD$139, regions_lb[#Headers],0)),INDEX(lmic_raw_lb[],MATCH($A259,lmic_raw_lb[[setting]:[setting]],0), MATCH(AD$139, lmic_raw_lb[#Headers],0)))</f>
        <v>2.9807244130509878E-4</v>
      </c>
      <c r="AE259" s="94">
        <f>IF(INDEX(lmic_raw_lb[],MATCH($A259,lmic_raw_lb[[setting]:[setting]],0), MATCH(AE$139, lmic_raw_lb[#Headers],0))=0, INDEX(regions_lb[], MATCH($D259, regions_lb[[setting]:[setting]],0), MATCH(AE$139, regions_lb[#Headers],0)),INDEX(lmic_raw_lb[],MATCH($A259,lmic_raw_lb[[setting]:[setting]],0), MATCH(AE$139, lmic_raw_lb[#Headers],0)))</f>
        <v>2.5186203744320045E-4</v>
      </c>
      <c r="AF259" s="94">
        <f>IF(INDEX(lmic_raw_lb[],MATCH($A259,lmic_raw_lb[[setting]:[setting]],0), MATCH(AF$139, lmic_raw_lb[#Headers],0))=0, INDEX(regions_lb[], MATCH($D259, regions_lb[[setting]:[setting]],0), MATCH(AF$139, regions_lb[#Headers],0)),INDEX(lmic_raw_lb[],MATCH($A259,lmic_raw_lb[[setting]:[setting]],0), MATCH(AF$139, lmic_raw_lb[#Headers],0)))</f>
        <v>3.9205180079087369E-4</v>
      </c>
      <c r="AG259" s="94">
        <f>IF(INDEX(lmic_raw_lb[],MATCH($A259,lmic_raw_lb[[setting]:[setting]],0), MATCH(AG$139, lmic_raw_lb[#Headers],0))=0, INDEX(regions_lb[], MATCH($D259, regions_lb[[setting]:[setting]],0), MATCH(AG$139, regions_lb[#Headers],0)),INDEX(lmic_raw_lb[],MATCH($A259,lmic_raw_lb[[setting]:[setting]],0), MATCH(AG$139, lmic_raw_lb[#Headers],0)))</f>
        <v>1.0218059497045652E-3</v>
      </c>
      <c r="AH259" s="94">
        <f>IF(INDEX(lmic_raw_lb[],MATCH($A259,lmic_raw_lb[[setting]:[setting]],0), MATCH(AH$139, lmic_raw_lb[#Headers],0))=0, INDEX(regions_lb[], MATCH($D259, regions_lb[[setting]:[setting]],0), MATCH(AH$139, regions_lb[#Headers],0)),INDEX(lmic_raw_lb[],MATCH($A259,lmic_raw_lb[[setting]:[setting]],0), MATCH(AH$139, lmic_raw_lb[#Headers],0)))</f>
        <v>9.7912745878006861E-4</v>
      </c>
      <c r="AI259" s="94">
        <f>IF(INDEX(lmic_raw_lb[],MATCH($A259,lmic_raw_lb[[setting]:[setting]],0), MATCH(AI$139, lmic_raw_lb[#Headers],0))=0, INDEX(regions_lb[], MATCH($D259, regions_lb[[setting]:[setting]],0), MATCH(AI$139, regions_lb[#Headers],0)),INDEX(lmic_raw_lb[],MATCH($A259,lmic_raw_lb[[setting]:[setting]],0), MATCH(AI$139, lmic_raw_lb[#Headers],0)))</f>
        <v>1.0743902921577641E-3</v>
      </c>
      <c r="AJ259" s="94">
        <f>IF(INDEX(lmic_raw_lb[],MATCH($A259,lmic_raw_lb[[setting]:[setting]],0), MATCH(AJ$139, lmic_raw_lb[#Headers],0))=0, INDEX(regions_lb[], MATCH($D259, regions_lb[[setting]:[setting]],0), MATCH(AJ$139, regions_lb[#Headers],0)),INDEX(lmic_raw_lb[],MATCH($A259,lmic_raw_lb[[setting]:[setting]],0), MATCH(AJ$139, lmic_raw_lb[#Headers],0)))</f>
        <v>1.5287872349444174E-3</v>
      </c>
      <c r="AK259" s="94">
        <f>IF(INDEX(lmic_raw_lb[],MATCH($A259,lmic_raw_lb[[setting]:[setting]],0), MATCH(AK$139, lmic_raw_lb[#Headers],0))=0, INDEX(regions_lb[], MATCH($D259, regions_lb[[setting]:[setting]],0), MATCH(AK$139, regions_lb[#Headers],0)),INDEX(lmic_raw_lb[],MATCH($A259,lmic_raw_lb[[setting]:[setting]],0), MATCH(AK$139, lmic_raw_lb[#Headers],0)))</f>
        <v>2.322351095318149E-3</v>
      </c>
      <c r="AL259" s="94">
        <f>IF(INDEX(lmic_raw_lb[],MATCH($A259,lmic_raw_lb[[setting]:[setting]],0), MATCH(AL$139, lmic_raw_lb[#Headers],0))=0, INDEX(regions_lb[], MATCH($D259, regions_lb[[setting]:[setting]],0), MATCH(AL$139, regions_lb[#Headers],0)),INDEX(lmic_raw_lb[],MATCH($A259,lmic_raw_lb[[setting]:[setting]],0), MATCH(AL$139, lmic_raw_lb[#Headers],0)))</f>
        <v>3.1781238109071558E-3</v>
      </c>
      <c r="AM259" s="94">
        <f>IF(INDEX(lmic_raw_lb[],MATCH($A259,lmic_raw_lb[[setting]:[setting]],0), MATCH(AM$139, lmic_raw_lb[#Headers],0))=0, INDEX(regions_lb[], MATCH($D259, regions_lb[[setting]:[setting]],0), MATCH(AM$139, regions_lb[#Headers],0)),INDEX(lmic_raw_lb[],MATCH($A259,lmic_raw_lb[[setting]:[setting]],0), MATCH(AM$139, lmic_raw_lb[#Headers],0)))</f>
        <v>4.1439341088098797E-3</v>
      </c>
      <c r="AN259" s="94">
        <f>IF(INDEX(lmic_raw_lb[],MATCH($A259,lmic_raw_lb[[setting]:[setting]],0), MATCH(AN$139, lmic_raw_lb[#Headers],0))=0, INDEX(regions_lb[], MATCH($D259, regions_lb[[setting]:[setting]],0), MATCH(AN$139, regions_lb[#Headers],0)),INDEX(lmic_raw_lb[],MATCH($A259,lmic_raw_lb[[setting]:[setting]],0), MATCH(AN$139, lmic_raw_lb[#Headers],0)))</f>
        <v>5.4687484422744383E-3</v>
      </c>
      <c r="AO259" s="94">
        <f>IF(INDEX(lmic_raw_lb[],MATCH($A259,lmic_raw_lb[[setting]:[setting]],0), MATCH(AO$139, lmic_raw_lb[#Headers],0))=0, INDEX(regions_lb[], MATCH($D259, regions_lb[[setting]:[setting]],0), MATCH(AO$139, regions_lb[#Headers],0)),INDEX(lmic_raw_lb[],MATCH($A259,lmic_raw_lb[[setting]:[setting]],0), MATCH(AO$139, lmic_raw_lb[#Headers],0)))</f>
        <v>7.3133673929285537E-3</v>
      </c>
      <c r="AP259" s="94">
        <f>IF(INDEX(lmic_raw_lb[],MATCH($A259,lmic_raw_lb[[setting]:[setting]],0), MATCH(AP$139, lmic_raw_lb[#Headers],0))=0, INDEX(regions_lb[], MATCH($D259, regions_lb[[setting]:[setting]],0), MATCH(AP$139, regions_lb[#Headers],0)),INDEX(lmic_raw_lb[],MATCH($A259,lmic_raw_lb[[setting]:[setting]],0), MATCH(AP$139, lmic_raw_lb[#Headers],0)))</f>
        <v>1.0595874241687597E-2</v>
      </c>
      <c r="AQ259" s="94">
        <f>IF(INDEX(lmic_raw_lb[],MATCH($A259,lmic_raw_lb[[setting]:[setting]],0), MATCH(AQ$139, lmic_raw_lb[#Headers],0))=0, INDEX(regions_lb[], MATCH($D259, regions_lb[[setting]:[setting]],0), MATCH(AQ$139, regions_lb[#Headers],0)),INDEX(lmic_raw_lb[],MATCH($A259,lmic_raw_lb[[setting]:[setting]],0), MATCH(AQ$139, lmic_raw_lb[#Headers],0)))</f>
        <v>1.4738857760982686E-2</v>
      </c>
      <c r="AR259" s="94">
        <f>IF(INDEX(lmic_raw_lb[],MATCH($A259,lmic_raw_lb[[setting]:[setting]],0), MATCH(AR$139, lmic_raw_lb[#Headers],0))=0, INDEX(regions_lb[], MATCH($D259, regions_lb[[setting]:[setting]],0), MATCH(AR$139, regions_lb[#Headers],0)),INDEX(lmic_raw_lb[],MATCH($A259,lmic_raw_lb[[setting]:[setting]],0), MATCH(AR$139, lmic_raw_lb[#Headers],0)))</f>
        <v>2.2935116262104094E-2</v>
      </c>
      <c r="AS259" s="94">
        <f>IF(INDEX(lmic_raw_lb[],MATCH($A259,lmic_raw_lb[[setting]:[setting]],0), MATCH(AS$139, lmic_raw_lb[#Headers],0))=0, INDEX(regions_lb[], MATCH($D259, regions_lb[[setting]:[setting]],0), MATCH(AS$139, regions_lb[#Headers],0)),INDEX(lmic_raw_lb[],MATCH($A259,lmic_raw_lb[[setting]:[setting]],0), MATCH(AS$139, lmic_raw_lb[#Headers],0)))</f>
        <v>3.6327863745366867E-2</v>
      </c>
      <c r="AT259" s="94">
        <f>IF(INDEX(lmic_raw_lb[],MATCH($A259,lmic_raw_lb[[setting]:[setting]],0), MATCH(AT$139, lmic_raw_lb[#Headers],0))=0, INDEX(regions_lb[], MATCH($D259, regions_lb[[setting]:[setting]],0), MATCH(AT$139, regions_lb[#Headers],0)),INDEX(lmic_raw_lb[],MATCH($A259,lmic_raw_lb[[setting]:[setting]],0), MATCH(AT$139, lmic_raw_lb[#Headers],0)))</f>
        <v>5.5221670830718245E-2</v>
      </c>
      <c r="AU259" s="94">
        <f>IF(INDEX(lmic_raw_lb[],MATCH($A259,lmic_raw_lb[[setting]:[setting]],0), MATCH(AU$139, lmic_raw_lb[#Headers],0))=0, INDEX(regions_lb[], MATCH($D259, regions_lb[[setting]:[setting]],0), MATCH(AU$139, regions_lb[#Headers],0)),INDEX(lmic_raw_lb[],MATCH($A259,lmic_raw_lb[[setting]:[setting]],0), MATCH(AU$139, lmic_raw_lb[#Headers],0)))</f>
        <v>8.0249068314733246E-2</v>
      </c>
      <c r="AV259" s="94">
        <f>IF(INDEX(lmic_raw_lb[],MATCH($A259,lmic_raw_lb[[setting]:[setting]],0), MATCH(AV$139, lmic_raw_lb[#Headers],0))=0, INDEX(regions_lb[], MATCH($D259, regions_lb[[setting]:[setting]],0), MATCH(AV$139, regions_lb[#Headers],0)),INDEX(lmic_raw_lb[],MATCH($A259,lmic_raw_lb[[setting]:[setting]],0), MATCH(AV$139, lmic_raw_lb[#Headers],0)))</f>
        <v>0.10780704426895571</v>
      </c>
      <c r="AW259" s="94">
        <f>IF(INDEX(lmic_raw_lb[],MATCH($A259,lmic_raw_lb[[setting]:[setting]],0), MATCH(AW$139, lmic_raw_lb[#Headers],0))=0, INDEX(regions_lb[], MATCH($D259, regions_lb[[setting]:[setting]],0), MATCH(AW$139, regions_lb[#Headers],0)),INDEX(lmic_raw_lb[],MATCH($A259,lmic_raw_lb[[setting]:[setting]],0), MATCH(AW$139, lmic_raw_lb[#Headers],0)))</f>
        <v>0.13356705000367686</v>
      </c>
      <c r="AX259" s="94">
        <f>IF(INDEX(lmic_raw_lb[],MATCH($A259,lmic_raw_lb[[setting]:[setting]],0), MATCH(AX$139, lmic_raw_lb[#Headers],0))=0, INDEX(regions_lb[], MATCH($D259, regions_lb[[setting]:[setting]],0), MATCH(AX$139, regions_lb[#Headers],0)),INDEX(lmic_raw_lb[],MATCH($A259,lmic_raw_lb[[setting]:[setting]],0), MATCH(AX$139, lmic_raw_lb[#Headers],0)))</f>
        <v>72.990399999999994</v>
      </c>
      <c r="AY259" s="94" t="str">
        <f>IF(VLOOKUP(lmics_lb[[#This Row],[setting]],lmic_raw_lb[],11,FALSE)=0, "Yes", "No")</f>
        <v>No</v>
      </c>
    </row>
    <row r="260" spans="1:51" x14ac:dyDescent="0.25">
      <c r="A260" s="109" t="s">
        <v>220</v>
      </c>
      <c r="B260" s="101" t="s">
        <v>523</v>
      </c>
      <c r="C260" s="102">
        <v>626</v>
      </c>
      <c r="D260" s="82" t="s">
        <v>680</v>
      </c>
      <c r="E260" s="121" t="s">
        <v>598</v>
      </c>
      <c r="F260" s="98" t="s">
        <v>666</v>
      </c>
      <c r="G260" s="98" t="s">
        <v>678</v>
      </c>
      <c r="H260" s="98"/>
      <c r="I260" s="98"/>
      <c r="J260" s="98">
        <f>IF(INDEX(lmic_raw_lb[],MATCH($A260,lmic_raw_lb[[setting]:[setting]],0), MATCH(J$139, lmic_raw_lb[#Headers],0))=0, INDEX(regions_lb[], MATCH($D260, regions_lb[[setting]:[setting]],0), MATCH(J$139, regions_lb[#Headers],0)),INDEX(lmic_raw_lb[],MATCH($A260,lmic_raw_lb[[setting]:[setting]],0), MATCH(J$139, lmic_raw_lb[#Headers],0)))</f>
        <v>0.46074999999999999</v>
      </c>
      <c r="K260" s="98">
        <f>IF(INDEX(lmic_raw_lb[],MATCH($A260,lmic_raw_lb[[setting]:[setting]],0), MATCH(K$139, lmic_raw_lb[#Headers],0))=0, INDEX(regions_lb[], MATCH($D260, regions_lb[[setting]:[setting]],0), MATCH(K$139, regions_lb[#Headers],0)),INDEX(lmic_raw_lb[],MATCH($A260,lmic_raw_lb[[setting]:[setting]],0), MATCH(K$139, lmic_raw_lb[#Headers],0)))</f>
        <v>0.66499999999999992</v>
      </c>
      <c r="L260" s="98">
        <f>IF(INDEX(lmic_raw_lb[],MATCH($A260,lmic_raw_lb[[setting]:[setting]],0), MATCH(L$139, lmic_raw_lb[#Headers],0))=0, INDEX(regions_lb[], MATCH($D260, regions_lb[[setting]:[setting]],0), MATCH(L$139, regions_lb[#Headers],0)),INDEX(lmic_raw_lb[],MATCH($A260,lmic_raw_lb[[setting]:[setting]],0), MATCH(L$139, lmic_raw_lb[#Headers],0)))</f>
        <v>0.78849999999999998</v>
      </c>
      <c r="M260" s="98">
        <f>IF(INDEX(lmic_raw_lb[],MATCH($A260,lmic_raw_lb[[setting]:[setting]],0), MATCH(M$139, lmic_raw_lb[#Headers],0))=0, INDEX(regions_lb[], MATCH($D260, regions_lb[[setting]:[setting]],0), MATCH(M$139, regions_lb[#Headers],0)),INDEX(lmic_raw_lb[],MATCH($A260,lmic_raw_lb[[setting]:[setting]],0), MATCH(M$139, lmic_raw_lb[#Headers],0)))</f>
        <v>1.1599999999999999E-2</v>
      </c>
      <c r="N260" s="98">
        <f>IF(INDEX(lmic_raw_lb[],MATCH($A260,lmic_raw_lb[[setting]:[setting]],0), MATCH(N$139, lmic_raw_lb[#Headers],0))=0, INDEX(regions_lb[], MATCH($D260, regions_lb[[setting]:[setting]],0), MATCH(N$139, regions_lb[#Headers],0)),INDEX(lmic_raw_lb[],MATCH($A260,lmic_raw_lb[[setting]:[setting]],0), MATCH(N$139, lmic_raw_lb[#Headers],0)))</f>
        <v>0.18100000000000002</v>
      </c>
      <c r="O260" s="98">
        <f>IF(INDEX(lmic_raw_lb[],MATCH($A260,lmic_raw_lb[[setting]:[setting]],0), MATCH(O$139, lmic_raw_lb[#Headers],0))=0, INDEX(regions_lb[], MATCH($D260, regions_lb[[setting]:[setting]],0), MATCH(O$139, regions_lb[#Headers],0)),INDEX(lmic_raw_lb[],MATCH($A260,lmic_raw_lb[[setting]:[setting]],0), MATCH(O$139, lmic_raw_lb[#Headers],0)))</f>
        <v>0.7</v>
      </c>
      <c r="P260" s="98">
        <f>IF(INDEX(lmic_raw_lb[],MATCH($A260,lmic_raw_lb[[setting]:[setting]],0), MATCH(P$139, lmic_raw_lb[#Headers],0))=0, INDEX(regions_lb[], MATCH($D260, regions_lb[[setting]:[setting]],0), MATCH(P$139, regions_lb[#Headers],0)),INDEX(lmic_raw_lb[],MATCH($A260,lmic_raw_lb[[setting]:[setting]],0), MATCH(P$139, lmic_raw_lb[#Headers],0)))</f>
        <v>0.05</v>
      </c>
      <c r="Q260" s="98">
        <f>IF(INDEX(lmic_raw_lb[],MATCH($A260,lmic_raw_lb[[setting]:[setting]],0), MATCH(Q$139, lmic_raw_lb[#Headers],0))=0, INDEX(regions_lb[], MATCH($D260, regions_lb[[setting]:[setting]],0), MATCH(Q$139, regions_lb[#Headers],0)),INDEX(lmic_raw_lb[],MATCH($A260,lmic_raw_lb[[setting]:[setting]],0), MATCH(Q$139, lmic_raw_lb[#Headers],0)))</f>
        <v>3.8631075850141383</v>
      </c>
      <c r="R260" s="98">
        <f>IF(INDEX(lmic_raw_lb[],MATCH($A260,lmic_raw_lb[[setting]:[setting]],0), MATCH(R$139, lmic_raw_lb[#Headers],0))=0, INDEX(regions_lb[], MATCH($D260, regions_lb[[setting]:[setting]],0), MATCH(R$139, regions_lb[#Headers],0)),INDEX(lmic_raw_lb[],MATCH($A260,lmic_raw_lb[[setting]:[setting]],0), MATCH(R$139, lmic_raw_lb[#Headers],0)))</f>
        <v>69.430275000000009</v>
      </c>
      <c r="S260" s="98">
        <f>IF(INDEX(lmic_raw_lb[],MATCH($A260,lmic_raw_lb[[setting]:[setting]],0), MATCH(S$139, lmic_raw_lb[#Headers],0))=0, INDEX(regions_lb[], MATCH($D260, regions_lb[[setting]:[setting]],0), MATCH(S$139, regions_lb[#Headers],0)),INDEX(lmic_raw_lb[],MATCH($A260,lmic_raw_lb[[setting]:[setting]],0), MATCH(S$139, lmic_raw_lb[#Headers],0)))</f>
        <v>114.785175</v>
      </c>
      <c r="T260" s="98">
        <f>IF(INDEX(lmic_raw_lb[],MATCH($A260,lmic_raw_lb[[setting]:[setting]],0), MATCH(T$139, lmic_raw_lb[#Headers],0))=0, INDEX(regions_lb[], MATCH($D260, regions_lb[[setting]:[setting]],0), MATCH(T$139, regions_lb[#Headers],0)),INDEX(lmic_raw_lb[],MATCH($A260,lmic_raw_lb[[setting]:[setting]],0), MATCH(T$139, lmic_raw_lb[#Headers],0)))</f>
        <v>114.785175</v>
      </c>
      <c r="U260" s="98">
        <f>IF(INDEX(lmic_raw_lb[],MATCH($A260,lmic_raw_lb[[setting]:[setting]],0), MATCH(U$139, lmic_raw_lb[#Headers],0))=0, INDEX(regions_lb[], MATCH($D260, regions_lb[[setting]:[setting]],0), MATCH(U$139, regions_lb[#Headers],0)),INDEX(lmic_raw_lb[],MATCH($A260,lmic_raw_lb[[setting]:[setting]],0), MATCH(U$139, lmic_raw_lb[#Headers],0)))</f>
        <v>114.785175</v>
      </c>
      <c r="V260" s="98">
        <f>IF(INDEX(lmic_raw_lb[],MATCH($A260,lmic_raw_lb[[setting]:[setting]],0), MATCH(V$139, lmic_raw_lb[#Headers],0))=0, INDEX(regions_lb[], MATCH($D260, regions_lb[[setting]:[setting]],0), MATCH(V$139, regions_lb[#Headers],0)),INDEX(lmic_raw_lb[],MATCH($A260,lmic_raw_lb[[setting]:[setting]],0), MATCH(V$139, lmic_raw_lb[#Headers],0)))</f>
        <v>1.9264757809910737</v>
      </c>
      <c r="W260" s="98">
        <f>IF(INDEX(lmic_raw_lb[],MATCH($A260,lmic_raw_lb[[setting]:[setting]],0), MATCH(W$139, lmic_raw_lb[#Headers],0))=0, INDEX(regions_lb[], MATCH($D260, regions_lb[[setting]:[setting]],0), MATCH(W$139, regions_lb[#Headers],0)),INDEX(lmic_raw_lb[],MATCH($A260,lmic_raw_lb[[setting]:[setting]],0), MATCH(W$139, lmic_raw_lb[#Headers],0)))</f>
        <v>2.5270657809910739</v>
      </c>
      <c r="X260" s="98">
        <f>IF(INDEX(lmic_raw_lb[],MATCH($A260,lmic_raw_lb[[setting]:[setting]],0), MATCH(X$139, lmic_raw_lb[#Headers],0))=0, INDEX(regions_lb[], MATCH($D260, regions_lb[[setting]:[setting]],0), MATCH(X$139, regions_lb[#Headers],0)),INDEX(lmic_raw_lb[],MATCH($A260,lmic_raw_lb[[setting]:[setting]],0), MATCH(X$139, lmic_raw_lb[#Headers],0)))</f>
        <v>1.5606845810964269</v>
      </c>
      <c r="Y260" s="98">
        <f>IF(INDEX(lmic_raw_lb[],MATCH($A260,lmic_raw_lb[[setting]:[setting]],0), MATCH(Y$139, lmic_raw_lb[#Headers],0))=0, INDEX(regions_lb[], MATCH($D260, regions_lb[[setting]:[setting]],0), MATCH(Y$139, regions_lb[#Headers],0)),INDEX(lmic_raw_lb[],MATCH($A260,lmic_raw_lb[[setting]:[setting]],0), MATCH(Y$139, lmic_raw_lb[#Headers],0)))</f>
        <v>2.1612745810964267</v>
      </c>
      <c r="Z260" s="98">
        <f>IF(INDEX(lmic_raw_lb[],MATCH($A260,lmic_raw_lb[[setting]:[setting]],0), MATCH(Z$139, lmic_raw_lb[#Headers],0))=0, INDEX(regions_lb[], MATCH($D260, regions_lb[[setting]:[setting]],0), MATCH(Z$139, regions_lb[#Headers],0)),INDEX(lmic_raw_lb[],MATCH($A260,lmic_raw_lb[[setting]:[setting]],0), MATCH(Z$139, lmic_raw_lb[#Headers],0)))</f>
        <v>2.1587798330029666</v>
      </c>
      <c r="AA260" s="98">
        <f>IF(INDEX(lmic_raw_lb[],MATCH($A260,lmic_raw_lb[[setting]:[setting]],0), MATCH(AA$139, lmic_raw_lb[#Headers],0))=0, INDEX(regions_lb[], MATCH($D260, regions_lb[[setting]:[setting]],0), MATCH(AA$139, regions_lb[#Headers],0)),INDEX(lmic_raw_lb[],MATCH($A260,lmic_raw_lb[[setting]:[setting]],0), MATCH(AA$139, lmic_raw_lb[#Headers],0)))</f>
        <v>2.1378849697529914</v>
      </c>
      <c r="AB260" s="98">
        <f>IF(INDEX(lmic_raw_lb[],MATCH($A260,lmic_raw_lb[[setting]:[setting]],0), MATCH(AB$139, lmic_raw_lb[#Headers],0))=0, INDEX(regions_lb[], MATCH($D260, regions_lb[[setting]:[setting]],0), MATCH(AB$139, regions_lb[#Headers],0)),INDEX(lmic_raw_lb[],MATCH($A260,lmic_raw_lb[[setting]:[setting]],0), MATCH(AB$139, lmic_raw_lb[#Headers],0)))</f>
        <v>2.7384749697529913</v>
      </c>
      <c r="AC260" s="98">
        <f>IF(INDEX(lmic_raw_lb[],MATCH($A260,lmic_raw_lb[[setting]:[setting]],0), MATCH(AC$139, lmic_raw_lb[#Headers],0))=0, INDEX(regions_lb[], MATCH($D260, regions_lb[[setting]:[setting]],0), MATCH(AC$139, regions_lb[#Headers],0)),INDEX(lmic_raw_lb[],MATCH($A260,lmic_raw_lb[[setting]:[setting]],0), MATCH(AC$139, lmic_raw_lb[#Headers],0)))</f>
        <v>3.5485625499999979E-2</v>
      </c>
      <c r="AD260" s="98">
        <f>IF(INDEX(lmic_raw_lb[],MATCH($A260,lmic_raw_lb[[setting]:[setting]],0), MATCH(AD$139, lmic_raw_lb[#Headers],0))=0, INDEX(regions_lb[], MATCH($D260, regions_lb[[setting]:[setting]],0), MATCH(AD$139, regions_lb[#Headers],0)),INDEX(lmic_raw_lb[],MATCH($A260,lmic_raw_lb[[setting]:[setting]],0), MATCH(AD$139, lmic_raw_lb[#Headers],0)))</f>
        <v>2.3196747330077312E-3</v>
      </c>
      <c r="AE260" s="98">
        <f>IF(INDEX(lmic_raw_lb[],MATCH($A260,lmic_raw_lb[[setting]:[setting]],0), MATCH(AE$139, lmic_raw_lb[#Headers],0))=0, INDEX(regions_lb[], MATCH($D260, regions_lb[[setting]:[setting]],0), MATCH(AE$139, regions_lb[#Headers],0)),INDEX(lmic_raw_lb[],MATCH($A260,lmic_raw_lb[[setting]:[setting]],0), MATCH(AE$139, lmic_raw_lb[#Headers],0)))</f>
        <v>7.129391327506991E-4</v>
      </c>
      <c r="AF260" s="98">
        <f>IF(INDEX(lmic_raw_lb[],MATCH($A260,lmic_raw_lb[[setting]:[setting]],0), MATCH(AF$139, lmic_raw_lb[#Headers],0))=0, INDEX(regions_lb[], MATCH($D260, regions_lb[[setting]:[setting]],0), MATCH(AF$139, regions_lb[#Headers],0)),INDEX(lmic_raw_lb[],MATCH($A260,lmic_raw_lb[[setting]:[setting]],0), MATCH(AF$139, lmic_raw_lb[#Headers],0)))</f>
        <v>5.5089474357356558E-4</v>
      </c>
      <c r="AG260" s="98">
        <f>IF(INDEX(lmic_raw_lb[],MATCH($A260,lmic_raw_lb[[setting]:[setting]],0), MATCH(AG$139, lmic_raw_lb[#Headers],0))=0, INDEX(regions_lb[], MATCH($D260, regions_lb[[setting]:[setting]],0), MATCH(AG$139, regions_lb[#Headers],0)),INDEX(lmic_raw_lb[],MATCH($A260,lmic_raw_lb[[setting]:[setting]],0), MATCH(AG$139, lmic_raw_lb[#Headers],0)))</f>
        <v>9.4965476858294899E-4</v>
      </c>
      <c r="AH260" s="98">
        <f>IF(INDEX(lmic_raw_lb[],MATCH($A260,lmic_raw_lb[[setting]:[setting]],0), MATCH(AH$139, lmic_raw_lb[#Headers],0))=0, INDEX(regions_lb[], MATCH($D260, regions_lb[[setting]:[setting]],0), MATCH(AH$139, regions_lb[#Headers],0)),INDEX(lmic_raw_lb[],MATCH($A260,lmic_raw_lb[[setting]:[setting]],0), MATCH(AH$139, lmic_raw_lb[#Headers],0)))</f>
        <v>1.1980401732889709E-3</v>
      </c>
      <c r="AI260" s="98">
        <f>IF(INDEX(lmic_raw_lb[],MATCH($A260,lmic_raw_lb[[setting]:[setting]],0), MATCH(AI$139, lmic_raw_lb[#Headers],0))=0, INDEX(regions_lb[], MATCH($D260, regions_lb[[setting]:[setting]],0), MATCH(AI$139, regions_lb[#Headers],0)),INDEX(lmic_raw_lb[],MATCH($A260,lmic_raw_lb[[setting]:[setting]],0), MATCH(AI$139, lmic_raw_lb[#Headers],0)))</f>
        <v>1.1440522602550374E-3</v>
      </c>
      <c r="AJ260" s="98">
        <f>IF(INDEX(lmic_raw_lb[],MATCH($A260,lmic_raw_lb[[setting]:[setting]],0), MATCH(AJ$139, lmic_raw_lb[#Headers],0))=0, INDEX(regions_lb[], MATCH($D260, regions_lb[[setting]:[setting]],0), MATCH(AJ$139, regions_lb[#Headers],0)),INDEX(lmic_raw_lb[],MATCH($A260,lmic_raw_lb[[setting]:[setting]],0), MATCH(AJ$139, lmic_raw_lb[#Headers],0)))</f>
        <v>1.27241204210668E-3</v>
      </c>
      <c r="AK260" s="98">
        <f>IF(INDEX(lmic_raw_lb[],MATCH($A260,lmic_raw_lb[[setting]:[setting]],0), MATCH(AK$139, lmic_raw_lb[#Headers],0))=0, INDEX(regions_lb[], MATCH($D260, regions_lb[[setting]:[setting]],0), MATCH(AK$139, regions_lb[#Headers],0)),INDEX(lmic_raw_lb[],MATCH($A260,lmic_raw_lb[[setting]:[setting]],0), MATCH(AK$139, lmic_raw_lb[#Headers],0)))</f>
        <v>1.6620633371593101E-3</v>
      </c>
      <c r="AL260" s="98">
        <f>IF(INDEX(lmic_raw_lb[],MATCH($A260,lmic_raw_lb[[setting]:[setting]],0), MATCH(AL$139, lmic_raw_lb[#Headers],0))=0, INDEX(regions_lb[], MATCH($D260, regions_lb[[setting]:[setting]],0), MATCH(AL$139, regions_lb[#Headers],0)),INDEX(lmic_raw_lb[],MATCH($A260,lmic_raw_lb[[setting]:[setting]],0), MATCH(AL$139, lmic_raw_lb[#Headers],0)))</f>
        <v>2.3908964885334103E-3</v>
      </c>
      <c r="AM260" s="98">
        <f>IF(INDEX(lmic_raw_lb[],MATCH($A260,lmic_raw_lb[[setting]:[setting]],0), MATCH(AM$139, lmic_raw_lb[#Headers],0))=0, INDEX(regions_lb[], MATCH($D260, regions_lb[[setting]:[setting]],0), MATCH(AM$139, regions_lb[#Headers],0)),INDEX(lmic_raw_lb[],MATCH($A260,lmic_raw_lb[[setting]:[setting]],0), MATCH(AM$139, lmic_raw_lb[#Headers],0)))</f>
        <v>3.8080117760128335E-3</v>
      </c>
      <c r="AN260" s="98">
        <f>IF(INDEX(lmic_raw_lb[],MATCH($A260,lmic_raw_lb[[setting]:[setting]],0), MATCH(AN$139, lmic_raw_lb[#Headers],0))=0, INDEX(regions_lb[], MATCH($D260, regions_lb[[setting]:[setting]],0), MATCH(AN$139, regions_lb[#Headers],0)),INDEX(lmic_raw_lb[],MATCH($A260,lmic_raw_lb[[setting]:[setting]],0), MATCH(AN$139, lmic_raw_lb[#Headers],0)))</f>
        <v>6.2479403126392543E-3</v>
      </c>
      <c r="AO260" s="98">
        <f>IF(INDEX(lmic_raw_lb[],MATCH($A260,lmic_raw_lb[[setting]:[setting]],0), MATCH(AO$139, lmic_raw_lb[#Headers],0))=0, INDEX(regions_lb[], MATCH($D260, regions_lb[[setting]:[setting]],0), MATCH(AO$139, regions_lb[#Headers],0)),INDEX(lmic_raw_lb[],MATCH($A260,lmic_raw_lb[[setting]:[setting]],0), MATCH(AO$139, lmic_raw_lb[#Headers],0)))</f>
        <v>1.0712857360525191E-2</v>
      </c>
      <c r="AP260" s="98">
        <f>IF(INDEX(lmic_raw_lb[],MATCH($A260,lmic_raw_lb[[setting]:[setting]],0), MATCH(AP$139, lmic_raw_lb[#Headers],0))=0, INDEX(regions_lb[], MATCH($D260, regions_lb[[setting]:[setting]],0), MATCH(AP$139, regions_lb[#Headers],0)),INDEX(lmic_raw_lb[],MATCH($A260,lmic_raw_lb[[setting]:[setting]],0), MATCH(AP$139, lmic_raw_lb[#Headers],0)))</f>
        <v>1.719305127478378E-2</v>
      </c>
      <c r="AQ260" s="98">
        <f>IF(INDEX(lmic_raw_lb[],MATCH($A260,lmic_raw_lb[[setting]:[setting]],0), MATCH(AQ$139, lmic_raw_lb[#Headers],0))=0, INDEX(regions_lb[], MATCH($D260, regions_lb[[setting]:[setting]],0), MATCH(AQ$139, regions_lb[#Headers],0)),INDEX(lmic_raw_lb[],MATCH($A260,lmic_raw_lb[[setting]:[setting]],0), MATCH(AQ$139, lmic_raw_lb[#Headers],0)))</f>
        <v>2.7327966249628237E-2</v>
      </c>
      <c r="AR260" s="98">
        <f>IF(INDEX(lmic_raw_lb[],MATCH($A260,lmic_raw_lb[[setting]:[setting]],0), MATCH(AR$139, lmic_raw_lb[#Headers],0))=0, INDEX(regions_lb[], MATCH($D260, regions_lb[[setting]:[setting]],0), MATCH(AR$139, regions_lb[#Headers],0)),INDEX(lmic_raw_lb[],MATCH($A260,lmic_raw_lb[[setting]:[setting]],0), MATCH(AR$139, lmic_raw_lb[#Headers],0)))</f>
        <v>4.3336439617917791E-2</v>
      </c>
      <c r="AS260" s="98">
        <f>IF(INDEX(lmic_raw_lb[],MATCH($A260,lmic_raw_lb[[setting]:[setting]],0), MATCH(AS$139, lmic_raw_lb[#Headers],0))=0, INDEX(regions_lb[], MATCH($D260, regions_lb[[setting]:[setting]],0), MATCH(AS$139, regions_lb[#Headers],0)),INDEX(lmic_raw_lb[],MATCH($A260,lmic_raw_lb[[setting]:[setting]],0), MATCH(AS$139, lmic_raw_lb[#Headers],0)))</f>
        <v>6.6558479209795005E-2</v>
      </c>
      <c r="AT260" s="98">
        <f>IF(INDEX(lmic_raw_lb[],MATCH($A260,lmic_raw_lb[[setting]:[setting]],0), MATCH(AT$139, lmic_raw_lb[#Headers],0))=0, INDEX(regions_lb[], MATCH($D260, regions_lb[[setting]:[setting]],0), MATCH(AT$139, regions_lb[#Headers],0)),INDEX(lmic_raw_lb[],MATCH($A260,lmic_raw_lb[[setting]:[setting]],0), MATCH(AT$139, lmic_raw_lb[#Headers],0)))</f>
        <v>9.510092681115799E-2</v>
      </c>
      <c r="AU260" s="98">
        <f>IF(INDEX(lmic_raw_lb[],MATCH($A260,lmic_raw_lb[[setting]:[setting]],0), MATCH(AU$139, lmic_raw_lb[#Headers],0))=0, INDEX(regions_lb[], MATCH($D260, regions_lb[[setting]:[setting]],0), MATCH(AU$139, regions_lb[#Headers],0)),INDEX(lmic_raw_lb[],MATCH($A260,lmic_raw_lb[[setting]:[setting]],0), MATCH(AU$139, lmic_raw_lb[#Headers],0)))</f>
        <v>0.12606487446351283</v>
      </c>
      <c r="AV260" s="98">
        <f>IF(INDEX(lmic_raw_lb[],MATCH($A260,lmic_raw_lb[[setting]:[setting]],0), MATCH(AV$139, lmic_raw_lb[#Headers],0))=0, INDEX(regions_lb[], MATCH($D260, regions_lb[[setting]:[setting]],0), MATCH(AV$139, regions_lb[#Headers],0)),INDEX(lmic_raw_lb[],MATCH($A260,lmic_raw_lb[[setting]:[setting]],0), MATCH(AV$139, lmic_raw_lb[#Headers],0)))</f>
        <v>0.15134075020553411</v>
      </c>
      <c r="AW260" s="98">
        <f>IF(INDEX(lmic_raw_lb[],MATCH($A260,lmic_raw_lb[[setting]:[setting]],0), MATCH(AW$139, lmic_raw_lb[#Headers],0))=0, INDEX(regions_lb[], MATCH($D260, regions_lb[[setting]:[setting]],0), MATCH(AW$139, regions_lb[#Headers],0)),INDEX(lmic_raw_lb[],MATCH($A260,lmic_raw_lb[[setting]:[setting]],0), MATCH(AW$139, lmic_raw_lb[#Headers],0)))</f>
        <v>0.16907369287658447</v>
      </c>
      <c r="AX260" s="98">
        <f>IF(INDEX(lmic_raw_lb[],MATCH($A260,lmic_raw_lb[[setting]:[setting]],0), MATCH(AX$139, lmic_raw_lb[#Headers],0))=0, INDEX(regions_lb[], MATCH($D260, regions_lb[[setting]:[setting]],0), MATCH(AX$139, regions_lb[#Headers],0)),INDEX(lmic_raw_lb[],MATCH($A260,lmic_raw_lb[[setting]:[setting]],0), MATCH(AX$139, lmic_raw_lb[#Headers],0)))</f>
        <v>65.695350000000005</v>
      </c>
      <c r="AY260" s="98" t="str">
        <f>IF(VLOOKUP(lmics_lb[[#This Row],[setting]],lmic_raw_lb[],11,FALSE)=0, "Yes", "No")</f>
        <v>No</v>
      </c>
    </row>
    <row r="261" spans="1:51" x14ac:dyDescent="0.25">
      <c r="A261" s="110" t="s">
        <v>154</v>
      </c>
      <c r="B261" s="104" t="s">
        <v>524</v>
      </c>
      <c r="C261" s="105">
        <v>768</v>
      </c>
      <c r="D261" s="84" t="s">
        <v>677</v>
      </c>
      <c r="E261" s="122" t="s">
        <v>591</v>
      </c>
      <c r="F261" s="94" t="s">
        <v>667</v>
      </c>
      <c r="G261" s="94" t="s">
        <v>674</v>
      </c>
      <c r="H261" s="94"/>
      <c r="I261" s="94"/>
      <c r="J261" s="94">
        <f>IF(INDEX(lmic_raw_lb[],MATCH($A261,lmic_raw_lb[[setting]:[setting]],0), MATCH(J$139, lmic_raw_lb[#Headers],0))=0, INDEX(regions_lb[], MATCH($D261, regions_lb[[setting]:[setting]],0), MATCH(J$139, regions_lb[#Headers],0)),INDEX(lmic_raw_lb[],MATCH($A261,lmic_raw_lb[[setting]:[setting]],0), MATCH(J$139, lmic_raw_lb[#Headers],0)))</f>
        <v>0.76</v>
      </c>
      <c r="K261" s="94">
        <f>IF(INDEX(lmic_raw_lb[],MATCH($A261,lmic_raw_lb[[setting]:[setting]],0), MATCH(K$139, lmic_raw_lb[#Headers],0))=0, INDEX(regions_lb[], MATCH($D261, regions_lb[[setting]:[setting]],0), MATCH(K$139, regions_lb[#Headers],0)),INDEX(lmic_raw_lb[],MATCH($A261,lmic_raw_lb[[setting]:[setting]],0), MATCH(K$139, lmic_raw_lb[#Headers],0)))</f>
        <v>0.65789974195504752</v>
      </c>
      <c r="L261" s="94">
        <f>IF(INDEX(lmic_raw_lb[],MATCH($A261,lmic_raw_lb[[setting]:[setting]],0), MATCH(L$139, lmic_raw_lb[#Headers],0))=0, INDEX(regions_lb[], MATCH($D261, regions_lb[[setting]:[setting]],0), MATCH(L$139, regions_lb[#Headers],0)),INDEX(lmic_raw_lb[],MATCH($A261,lmic_raw_lb[[setting]:[setting]],0), MATCH(L$139, lmic_raw_lb[#Headers],0)))</f>
        <v>0.79799999999999993</v>
      </c>
      <c r="M261" s="94">
        <f>IF(INDEX(lmic_raw_lb[],MATCH($A261,lmic_raw_lb[[setting]:[setting]],0), MATCH(M$139, lmic_raw_lb[#Headers],0))=0, INDEX(regions_lb[], MATCH($D261, regions_lb[[setting]:[setting]],0), MATCH(M$139, regions_lb[#Headers],0)),INDEX(lmic_raw_lb[],MATCH($A261,lmic_raw_lb[[setting]:[setting]],0), MATCH(M$139, lmic_raw_lb[#Headers],0)))</f>
        <v>5.28E-2</v>
      </c>
      <c r="N261" s="94">
        <f>IF(INDEX(lmic_raw_lb[],MATCH($A261,lmic_raw_lb[[setting]:[setting]],0), MATCH(N$139, lmic_raw_lb[#Headers],0))=0, INDEX(regions_lb[], MATCH($D261, regions_lb[[setting]:[setting]],0), MATCH(N$139, regions_lb[#Headers],0)),INDEX(lmic_raw_lb[],MATCH($A261,lmic_raw_lb[[setting]:[setting]],0), MATCH(N$139, lmic_raw_lb[#Headers],0)))</f>
        <v>0.155</v>
      </c>
      <c r="O261" s="94">
        <f>IF(INDEX(lmic_raw_lb[],MATCH($A261,lmic_raw_lb[[setting]:[setting]],0), MATCH(O$139, lmic_raw_lb[#Headers],0))=0, INDEX(regions_lb[], MATCH($D261, regions_lb[[setting]:[setting]],0), MATCH(O$139, regions_lb[#Headers],0)),INDEX(lmic_raw_lb[],MATCH($A261,lmic_raw_lb[[setting]:[setting]],0), MATCH(O$139, lmic_raw_lb[#Headers],0)))</f>
        <v>7.0000000000000007E-2</v>
      </c>
      <c r="P261" s="94">
        <f>IF(INDEX(lmic_raw_lb[],MATCH($A261,lmic_raw_lb[[setting]:[setting]],0), MATCH(P$139, lmic_raw_lb[#Headers],0))=0, INDEX(regions_lb[], MATCH($D261, regions_lb[[setting]:[setting]],0), MATCH(P$139, regions_lb[#Headers],0)),INDEX(lmic_raw_lb[],MATCH($A261,lmic_raw_lb[[setting]:[setting]],0), MATCH(P$139, lmic_raw_lb[#Headers],0)))</f>
        <v>1E-3</v>
      </c>
      <c r="Q261" s="94">
        <f>IF(INDEX(lmic_raw_lb[],MATCH($A261,lmic_raw_lb[[setting]:[setting]],0), MATCH(Q$139, lmic_raw_lb[#Headers],0))=0, INDEX(regions_lb[], MATCH($D261, regions_lb[[setting]:[setting]],0), MATCH(Q$139, regions_lb[#Headers],0)),INDEX(lmic_raw_lb[],MATCH($A261,lmic_raw_lb[[setting]:[setting]],0), MATCH(Q$139, lmic_raw_lb[#Headers],0)))</f>
        <v>2.5591778110417427</v>
      </c>
      <c r="R261" s="94">
        <f>IF(INDEX(lmic_raw_lb[],MATCH($A261,lmic_raw_lb[[setting]:[setting]],0), MATCH(R$139, lmic_raw_lb[#Headers],0))=0, INDEX(regions_lb[], MATCH($D261, regions_lb[[setting]:[setting]],0), MATCH(R$139, regions_lb[#Headers],0)),INDEX(lmic_raw_lb[],MATCH($A261,lmic_raw_lb[[setting]:[setting]],0), MATCH(R$139, lmic_raw_lb[#Headers],0)))</f>
        <v>28.424474999999997</v>
      </c>
      <c r="S261" s="94">
        <f>IF(INDEX(lmic_raw_lb[],MATCH($A261,lmic_raw_lb[[setting]:[setting]],0), MATCH(S$139, lmic_raw_lb[#Headers],0))=0, INDEX(regions_lb[], MATCH($D261, regions_lb[[setting]:[setting]],0), MATCH(S$139, regions_lb[#Headers],0)),INDEX(lmic_raw_lb[],MATCH($A261,lmic_raw_lb[[setting]:[setting]],0), MATCH(S$139, lmic_raw_lb[#Headers],0)))</f>
        <v>73.779375000000002</v>
      </c>
      <c r="T261" s="94">
        <f>IF(INDEX(lmic_raw_lb[],MATCH($A261,lmic_raw_lb[[setting]:[setting]],0), MATCH(T$139, lmic_raw_lb[#Headers],0))=0, INDEX(regions_lb[], MATCH($D261, regions_lb[[setting]:[setting]],0), MATCH(T$139, regions_lb[#Headers],0)),INDEX(lmic_raw_lb[],MATCH($A261,lmic_raw_lb[[setting]:[setting]],0), MATCH(T$139, lmic_raw_lb[#Headers],0)))</f>
        <v>73.779375000000002</v>
      </c>
      <c r="U261" s="94">
        <f>IF(INDEX(lmic_raw_lb[],MATCH($A261,lmic_raw_lb[[setting]:[setting]],0), MATCH(U$139, lmic_raw_lb[#Headers],0))=0, INDEX(regions_lb[], MATCH($D261, regions_lb[[setting]:[setting]],0), MATCH(U$139, regions_lb[#Headers],0)),INDEX(lmic_raw_lb[],MATCH($A261,lmic_raw_lb[[setting]:[setting]],0), MATCH(U$139, lmic_raw_lb[#Headers],0)))</f>
        <v>73.779375000000002</v>
      </c>
      <c r="V261" s="94">
        <f>IF(INDEX(lmic_raw_lb[],MATCH($A261,lmic_raw_lb[[setting]:[setting]],0), MATCH(V$139, lmic_raw_lb[#Headers],0))=0, INDEX(regions_lb[], MATCH($D261, regions_lb[[setting]:[setting]],0), MATCH(V$139, regions_lb[#Headers],0)),INDEX(lmic_raw_lb[],MATCH($A261,lmic_raw_lb[[setting]:[setting]],0), MATCH(V$139, lmic_raw_lb[#Headers],0)))</f>
        <v>1.2331219140230234</v>
      </c>
      <c r="W261" s="94">
        <f>IF(INDEX(lmic_raw_lb[],MATCH($A261,lmic_raw_lb[[setting]:[setting]],0), MATCH(W$139, lmic_raw_lb[#Headers],0))=0, INDEX(regions_lb[], MATCH($D261, regions_lb[[setting]:[setting]],0), MATCH(W$139, regions_lb[#Headers],0)),INDEX(lmic_raw_lb[],MATCH($A261,lmic_raw_lb[[setting]:[setting]],0), MATCH(W$139, lmic_raw_lb[#Headers],0)))</f>
        <v>5.8203869140230236</v>
      </c>
      <c r="X261" s="94">
        <f>IF(INDEX(lmic_raw_lb[],MATCH($A261,lmic_raw_lb[[setting]:[setting]],0), MATCH(X$139, lmic_raw_lb[#Headers],0))=0, INDEX(regions_lb[], MATCH($D261, regions_lb[[setting]:[setting]],0), MATCH(X$139, regions_lb[#Headers],0)),INDEX(lmic_raw_lb[],MATCH($A261,lmic_raw_lb[[setting]:[setting]],0), MATCH(X$139, lmic_raw_lb[#Headers],0)))</f>
        <v>0.86867054170345614</v>
      </c>
      <c r="Y261" s="94">
        <f>IF(INDEX(lmic_raw_lb[],MATCH($A261,lmic_raw_lb[[setting]:[setting]],0), MATCH(Y$139, lmic_raw_lb[#Headers],0))=0, INDEX(regions_lb[], MATCH($D261, regions_lb[[setting]:[setting]],0), MATCH(Y$139, regions_lb[#Headers],0)),INDEX(lmic_raw_lb[],MATCH($A261,lmic_raw_lb[[setting]:[setting]],0), MATCH(Y$139, lmic_raw_lb[#Headers],0)))</f>
        <v>5.4559355417034565</v>
      </c>
      <c r="Z261" s="94">
        <f>IF(INDEX(lmic_raw_lb[],MATCH($A261,lmic_raw_lb[[setting]:[setting]],0), MATCH(Z$139, lmic_raw_lb[#Headers],0))=0, INDEX(regions_lb[], MATCH($D261, regions_lb[[setting]:[setting]],0), MATCH(Z$139, regions_lb[#Headers],0)),INDEX(lmic_raw_lb[],MATCH($A261,lmic_raw_lb[[setting]:[setting]],0), MATCH(Z$139, lmic_raw_lb[#Headers],0)))</f>
        <v>5.4544043317296591</v>
      </c>
      <c r="AA261" s="94">
        <f>IF(INDEX(lmic_raw_lb[],MATCH($A261,lmic_raw_lb[[setting]:[setting]],0), MATCH(AA$139, lmic_raw_lb[#Headers],0))=0, INDEX(regions_lb[], MATCH($D261, regions_lb[[setting]:[setting]],0), MATCH(AA$139, regions_lb[#Headers],0)),INDEX(lmic_raw_lb[],MATCH($A261,lmic_raw_lb[[setting]:[setting]],0), MATCH(AA$139, lmic_raw_lb[#Headers],0)))</f>
        <v>1.4439568909670499</v>
      </c>
      <c r="AB261" s="94">
        <f>IF(INDEX(lmic_raw_lb[],MATCH($A261,lmic_raw_lb[[setting]:[setting]],0), MATCH(AB$139, lmic_raw_lb[#Headers],0))=0, INDEX(regions_lb[], MATCH($D261, regions_lb[[setting]:[setting]],0), MATCH(AB$139, regions_lb[#Headers],0)),INDEX(lmic_raw_lb[],MATCH($A261,lmic_raw_lb[[setting]:[setting]],0), MATCH(AB$139, lmic_raw_lb[#Headers],0)))</f>
        <v>6.0312218909670499</v>
      </c>
      <c r="AC261" s="94">
        <f>IF(INDEX(lmic_raw_lb[],MATCH($A261,lmic_raw_lb[[setting]:[setting]],0), MATCH(AC$139, lmic_raw_lb[#Headers],0))=0, INDEX(regions_lb[], MATCH($D261, regions_lb[[setting]:[setting]],0), MATCH(AC$139, regions_lb[#Headers],0)),INDEX(lmic_raw_lb[],MATCH($A261,lmic_raw_lb[[setting]:[setting]],0), MATCH(AC$139, lmic_raw_lb[#Headers],0)))</f>
        <v>4.7211418500000067E-2</v>
      </c>
      <c r="AD261" s="94">
        <f>IF(INDEX(lmic_raw_lb[],MATCH($A261,lmic_raw_lb[[setting]:[setting]],0), MATCH(AD$139, lmic_raw_lb[#Headers],0))=0, INDEX(regions_lb[], MATCH($D261, regions_lb[[setting]:[setting]],0), MATCH(AD$139, regions_lb[#Headers],0)),INDEX(lmic_raw_lb[],MATCH($A261,lmic_raw_lb[[setting]:[setting]],0), MATCH(AD$139, lmic_raw_lb[#Headers],0)))</f>
        <v>6.4294966176973055E-3</v>
      </c>
      <c r="AE261" s="94">
        <f>IF(INDEX(lmic_raw_lb[],MATCH($A261,lmic_raw_lb[[setting]:[setting]],0), MATCH(AE$139, lmic_raw_lb[#Headers],0))=0, INDEX(regions_lb[], MATCH($D261, regions_lb[[setting]:[setting]],0), MATCH(AE$139, regions_lb[#Headers],0)),INDEX(lmic_raw_lb[],MATCH($A261,lmic_raw_lb[[setting]:[setting]],0), MATCH(AE$139, lmic_raw_lb[#Headers],0)))</f>
        <v>2.940034690004784E-3</v>
      </c>
      <c r="AF261" s="94">
        <f>IF(INDEX(lmic_raw_lb[],MATCH($A261,lmic_raw_lb[[setting]:[setting]],0), MATCH(AF$139, lmic_raw_lb[#Headers],0))=0, INDEX(regions_lb[], MATCH($D261, regions_lb[[setting]:[setting]],0), MATCH(AF$139, regions_lb[#Headers],0)),INDEX(lmic_raw_lb[],MATCH($A261,lmic_raw_lb[[setting]:[setting]],0), MATCH(AF$139, lmic_raw_lb[#Headers],0)))</f>
        <v>1.7207293166186259E-3</v>
      </c>
      <c r="AG261" s="94">
        <f>IF(INDEX(lmic_raw_lb[],MATCH($A261,lmic_raw_lb[[setting]:[setting]],0), MATCH(AG$139, lmic_raw_lb[#Headers],0))=0, INDEX(regions_lb[], MATCH($D261, regions_lb[[setting]:[setting]],0), MATCH(AG$139, regions_lb[#Headers],0)),INDEX(lmic_raw_lb[],MATCH($A261,lmic_raw_lb[[setting]:[setting]],0), MATCH(AG$139, lmic_raw_lb[#Headers],0)))</f>
        <v>2.6278385058858566E-3</v>
      </c>
      <c r="AH261" s="94">
        <f>IF(INDEX(lmic_raw_lb[],MATCH($A261,lmic_raw_lb[[setting]:[setting]],0), MATCH(AH$139, lmic_raw_lb[#Headers],0))=0, INDEX(regions_lb[], MATCH($D261, regions_lb[[setting]:[setting]],0), MATCH(AH$139, regions_lb[#Headers],0)),INDEX(lmic_raw_lb[],MATCH($A261,lmic_raw_lb[[setting]:[setting]],0), MATCH(AH$139, lmic_raw_lb[#Headers],0)))</f>
        <v>3.6703343811875077E-3</v>
      </c>
      <c r="AI261" s="94">
        <f>IF(INDEX(lmic_raw_lb[],MATCH($A261,lmic_raw_lb[[setting]:[setting]],0), MATCH(AI$139, lmic_raw_lb[#Headers],0))=0, INDEX(regions_lb[], MATCH($D261, regions_lb[[setting]:[setting]],0), MATCH(AI$139, regions_lb[#Headers],0)),INDEX(lmic_raw_lb[],MATCH($A261,lmic_raw_lb[[setting]:[setting]],0), MATCH(AI$139, lmic_raw_lb[#Headers],0)))</f>
        <v>3.9022789357450725E-3</v>
      </c>
      <c r="AJ261" s="94">
        <f>IF(INDEX(lmic_raw_lb[],MATCH($A261,lmic_raw_lb[[setting]:[setting]],0), MATCH(AJ$139, lmic_raw_lb[#Headers],0))=0, INDEX(regions_lb[], MATCH($D261, regions_lb[[setting]:[setting]],0), MATCH(AJ$139, regions_lb[#Headers],0)),INDEX(lmic_raw_lb[],MATCH($A261,lmic_raw_lb[[setting]:[setting]],0), MATCH(AJ$139, lmic_raw_lb[#Headers],0)))</f>
        <v>4.2700984822593531E-3</v>
      </c>
      <c r="AK261" s="94">
        <f>IF(INDEX(lmic_raw_lb[],MATCH($A261,lmic_raw_lb[[setting]:[setting]],0), MATCH(AK$139, lmic_raw_lb[#Headers],0))=0, INDEX(regions_lb[], MATCH($D261, regions_lb[[setting]:[setting]],0), MATCH(AK$139, regions_lb[#Headers],0)),INDEX(lmic_raw_lb[],MATCH($A261,lmic_raw_lb[[setting]:[setting]],0), MATCH(AK$139, lmic_raw_lb[#Headers],0)))</f>
        <v>4.8550238267770661E-3</v>
      </c>
      <c r="AL261" s="94">
        <f>IF(INDEX(lmic_raw_lb[],MATCH($A261,lmic_raw_lb[[setting]:[setting]],0), MATCH(AL$139, lmic_raw_lb[#Headers],0))=0, INDEX(regions_lb[], MATCH($D261, regions_lb[[setting]:[setting]],0), MATCH(AL$139, regions_lb[#Headers],0)),INDEX(lmic_raw_lb[],MATCH($A261,lmic_raw_lb[[setting]:[setting]],0), MATCH(AL$139, lmic_raw_lb[#Headers],0)))</f>
        <v>5.8994950979376435E-3</v>
      </c>
      <c r="AM261" s="94">
        <f>IF(INDEX(lmic_raw_lb[],MATCH($A261,lmic_raw_lb[[setting]:[setting]],0), MATCH(AM$139, lmic_raw_lb[#Headers],0))=0, INDEX(regions_lb[], MATCH($D261, regions_lb[[setting]:[setting]],0), MATCH(AM$139, regions_lb[#Headers],0)),INDEX(lmic_raw_lb[],MATCH($A261,lmic_raw_lb[[setting]:[setting]],0), MATCH(AM$139, lmic_raw_lb[#Headers],0)))</f>
        <v>7.2972324364903723E-3</v>
      </c>
      <c r="AN261" s="94">
        <f>IF(INDEX(lmic_raw_lb[],MATCH($A261,lmic_raw_lb[[setting]:[setting]],0), MATCH(AN$139, lmic_raw_lb[#Headers],0))=0, INDEX(regions_lb[], MATCH($D261, regions_lb[[setting]:[setting]],0), MATCH(AN$139, regions_lb[#Headers],0)),INDEX(lmic_raw_lb[],MATCH($A261,lmic_raw_lb[[setting]:[setting]],0), MATCH(AN$139, lmic_raw_lb[#Headers],0)))</f>
        <v>1.0151037775650273E-2</v>
      </c>
      <c r="AO261" s="94">
        <f>IF(INDEX(lmic_raw_lb[],MATCH($A261,lmic_raw_lb[[setting]:[setting]],0), MATCH(AO$139, lmic_raw_lb[#Headers],0))=0, INDEX(regions_lb[], MATCH($D261, regions_lb[[setting]:[setting]],0), MATCH(AO$139, regions_lb[#Headers],0)),INDEX(lmic_raw_lb[],MATCH($A261,lmic_raw_lb[[setting]:[setting]],0), MATCH(AO$139, lmic_raw_lb[#Headers],0)))</f>
        <v>1.4355496783228344E-2</v>
      </c>
      <c r="AP261" s="94">
        <f>IF(INDEX(lmic_raw_lb[],MATCH($A261,lmic_raw_lb[[setting]:[setting]],0), MATCH(AP$139, lmic_raw_lb[#Headers],0))=0, INDEX(regions_lb[], MATCH($D261, regions_lb[[setting]:[setting]],0), MATCH(AP$139, regions_lb[#Headers],0)),INDEX(lmic_raw_lb[],MATCH($A261,lmic_raw_lb[[setting]:[setting]],0), MATCH(AP$139, lmic_raw_lb[#Headers],0)))</f>
        <v>2.222967543885504E-2</v>
      </c>
      <c r="AQ261" s="94">
        <f>IF(INDEX(lmic_raw_lb[],MATCH($A261,lmic_raw_lb[[setting]:[setting]],0), MATCH(AQ$139, lmic_raw_lb[#Headers],0))=0, INDEX(regions_lb[], MATCH($D261, regions_lb[[setting]:[setting]],0), MATCH(AQ$139, regions_lb[#Headers],0)),INDEX(lmic_raw_lb[],MATCH($A261,lmic_raw_lb[[setting]:[setting]],0), MATCH(AQ$139, lmic_raw_lb[#Headers],0)))</f>
        <v>3.4051251714577284E-2</v>
      </c>
      <c r="AR261" s="94">
        <f>IF(INDEX(lmic_raw_lb[],MATCH($A261,lmic_raw_lb[[setting]:[setting]],0), MATCH(AR$139, lmic_raw_lb[#Headers],0))=0, INDEX(regions_lb[], MATCH($D261, regions_lb[[setting]:[setting]],0), MATCH(AR$139, regions_lb[#Headers],0)),INDEX(lmic_raw_lb[],MATCH($A261,lmic_raw_lb[[setting]:[setting]],0), MATCH(AR$139, lmic_raw_lb[#Headers],0)))</f>
        <v>5.4118436626828192E-2</v>
      </c>
      <c r="AS261" s="94">
        <f>IF(INDEX(lmic_raw_lb[],MATCH($A261,lmic_raw_lb[[setting]:[setting]],0), MATCH(AS$139, lmic_raw_lb[#Headers],0))=0, INDEX(regions_lb[], MATCH($D261, regions_lb[[setting]:[setting]],0), MATCH(AS$139, regions_lb[#Headers],0)),INDEX(lmic_raw_lb[],MATCH($A261,lmic_raw_lb[[setting]:[setting]],0), MATCH(AS$139, lmic_raw_lb[#Headers],0)))</f>
        <v>8.2511497157411989E-2</v>
      </c>
      <c r="AT261" s="94">
        <f>IF(INDEX(lmic_raw_lb[],MATCH($A261,lmic_raw_lb[[setting]:[setting]],0), MATCH(AT$139, lmic_raw_lb[#Headers],0))=0, INDEX(regions_lb[], MATCH($D261, regions_lb[[setting]:[setting]],0), MATCH(AT$139, regions_lb[#Headers],0)),INDEX(lmic_raw_lb[],MATCH($A261,lmic_raw_lb[[setting]:[setting]],0), MATCH(AT$139, lmic_raw_lb[#Headers],0)))</f>
        <v>0.11686148335853581</v>
      </c>
      <c r="AU261" s="94">
        <f>IF(INDEX(lmic_raw_lb[],MATCH($A261,lmic_raw_lb[[setting]:[setting]],0), MATCH(AU$139, lmic_raw_lb[#Headers],0))=0, INDEX(regions_lb[], MATCH($D261, regions_lb[[setting]:[setting]],0), MATCH(AU$139, regions_lb[#Headers],0)),INDEX(lmic_raw_lb[],MATCH($A261,lmic_raw_lb[[setting]:[setting]],0), MATCH(AU$139, lmic_raw_lb[#Headers],0)))</f>
        <v>0.14783290120566306</v>
      </c>
      <c r="AV261" s="94">
        <f>IF(INDEX(lmic_raw_lb[],MATCH($A261,lmic_raw_lb[[setting]:[setting]],0), MATCH(AV$139, lmic_raw_lb[#Headers],0))=0, INDEX(regions_lb[], MATCH($D261, regions_lb[[setting]:[setting]],0), MATCH(AV$139, regions_lb[#Headers],0)),INDEX(lmic_raw_lb[],MATCH($A261,lmic_raw_lb[[setting]:[setting]],0), MATCH(AV$139, lmic_raw_lb[#Headers],0)))</f>
        <v>0.16889646981625397</v>
      </c>
      <c r="AW261" s="94">
        <f>IF(INDEX(lmic_raw_lb[],MATCH($A261,lmic_raw_lb[[setting]:[setting]],0), MATCH(AW$139, lmic_raw_lb[#Headers],0))=0, INDEX(regions_lb[], MATCH($D261, regions_lb[[setting]:[setting]],0), MATCH(AW$139, regions_lb[#Headers],0)),INDEX(lmic_raw_lb[],MATCH($A261,lmic_raw_lb[[setting]:[setting]],0), MATCH(AW$139, lmic_raw_lb[#Headers],0)))</f>
        <v>0.18435548465282919</v>
      </c>
      <c r="AX261" s="94">
        <f>IF(INDEX(lmic_raw_lb[],MATCH($A261,lmic_raw_lb[[setting]:[setting]],0), MATCH(AX$139, lmic_raw_lb[#Headers],0))=0, INDEX(regions_lb[], MATCH($D261, regions_lb[[setting]:[setting]],0), MATCH(AX$139, regions_lb[#Headers],0)),INDEX(lmic_raw_lb[],MATCH($A261,lmic_raw_lb[[setting]:[setting]],0), MATCH(AX$139, lmic_raw_lb[#Headers],0)))</f>
        <v>57.501599999999996</v>
      </c>
      <c r="AY261" s="94" t="str">
        <f>IF(VLOOKUP(lmics_lb[[#This Row],[setting]],lmic_raw_lb[],11,FALSE)=0, "Yes", "No")</f>
        <v>Yes</v>
      </c>
    </row>
    <row r="262" spans="1:51" x14ac:dyDescent="0.25">
      <c r="A262" s="109" t="s">
        <v>301</v>
      </c>
      <c r="B262" s="101" t="s">
        <v>525</v>
      </c>
      <c r="C262" s="102">
        <v>776</v>
      </c>
      <c r="D262" s="82" t="s">
        <v>681</v>
      </c>
      <c r="E262" s="121" t="s">
        <v>98</v>
      </c>
      <c r="F262" s="98" t="s">
        <v>666</v>
      </c>
      <c r="G262" s="98" t="s">
        <v>676</v>
      </c>
      <c r="H262" s="98"/>
      <c r="I262" s="98"/>
      <c r="J262" s="98">
        <f>IF(INDEX(lmic_raw_lb[],MATCH($A262,lmic_raw_lb[[setting]:[setting]],0), MATCH(J$139, lmic_raw_lb[#Headers],0))=0, INDEX(regions_lb[], MATCH($D262, regions_lb[[setting]:[setting]],0), MATCH(J$139, regions_lb[#Headers],0)),INDEX(lmic_raw_lb[],MATCH($A262,lmic_raw_lb[[setting]:[setting]],0), MATCH(J$139, lmic_raw_lb[#Headers],0)))</f>
        <v>0.93099999999999994</v>
      </c>
      <c r="K262" s="98">
        <f>IF(INDEX(lmic_raw_lb[],MATCH($A262,lmic_raw_lb[[setting]:[setting]],0), MATCH(K$139, lmic_raw_lb[#Headers],0))=0, INDEX(regions_lb[], MATCH($D262, regions_lb[[setting]:[setting]],0), MATCH(K$139, regions_lb[#Headers],0)),INDEX(lmic_raw_lb[],MATCH($A262,lmic_raw_lb[[setting]:[setting]],0), MATCH(K$139, lmic_raw_lb[#Headers],0)))</f>
        <v>0.9405</v>
      </c>
      <c r="L262" s="98">
        <f>IF(INDEX(lmic_raw_lb[],MATCH($A262,lmic_raw_lb[[setting]:[setting]],0), MATCH(L$139, lmic_raw_lb[#Headers],0))=0, INDEX(regions_lb[], MATCH($D262, regions_lb[[setting]:[setting]],0), MATCH(L$139, regions_lb[#Headers],0)),INDEX(lmic_raw_lb[],MATCH($A262,lmic_raw_lb[[setting]:[setting]],0), MATCH(L$139, lmic_raw_lb[#Headers],0)))</f>
        <v>0.9405</v>
      </c>
      <c r="M262" s="98">
        <f>IF(INDEX(lmic_raw_lb[],MATCH($A262,lmic_raw_lb[[setting]:[setting]],0), MATCH(M$139, lmic_raw_lb[#Headers],0))=0, INDEX(regions_lb[], MATCH($D262, regions_lb[[setting]:[setting]],0), MATCH(M$139, regions_lb[#Headers],0)),INDEX(lmic_raw_lb[],MATCH($A262,lmic_raw_lb[[setting]:[setting]],0), MATCH(M$139, lmic_raw_lb[#Headers],0)))</f>
        <v>7.2800000000000004E-2</v>
      </c>
      <c r="N262" s="98">
        <f>IF(INDEX(lmic_raw_lb[],MATCH($A262,lmic_raw_lb[[setting]:[setting]],0), MATCH(N$139, lmic_raw_lb[#Headers],0))=0, INDEX(regions_lb[], MATCH($D262, regions_lb[[setting]:[setting]],0), MATCH(N$139, regions_lb[#Headers],0)),INDEX(lmic_raw_lb[],MATCH($A262,lmic_raw_lb[[setting]:[setting]],0), MATCH(N$139, lmic_raw_lb[#Headers],0)))</f>
        <v>0.1832</v>
      </c>
      <c r="O262" s="98">
        <f>IF(INDEX(lmic_raw_lb[],MATCH($A262,lmic_raw_lb[[setting]:[setting]],0), MATCH(O$139, lmic_raw_lb[#Headers],0))=0, INDEX(regions_lb[], MATCH($D262, regions_lb[[setting]:[setting]],0), MATCH(O$139, regions_lb[#Headers],0)),INDEX(lmic_raw_lb[],MATCH($A262,lmic_raw_lb[[setting]:[setting]],0), MATCH(O$139, lmic_raw_lb[#Headers],0)))</f>
        <v>0.7</v>
      </c>
      <c r="P262" s="98">
        <f>IF(INDEX(lmic_raw_lb[],MATCH($A262,lmic_raw_lb[[setting]:[setting]],0), MATCH(P$139, lmic_raw_lb[#Headers],0))=0, INDEX(regions_lb[], MATCH($D262, regions_lb[[setting]:[setting]],0), MATCH(P$139, regions_lb[#Headers],0)),INDEX(lmic_raw_lb[],MATCH($A262,lmic_raw_lb[[setting]:[setting]],0), MATCH(P$139, lmic_raw_lb[#Headers],0)))</f>
        <v>0.05</v>
      </c>
      <c r="Q262" s="98">
        <f>IF(INDEX(lmic_raw_lb[],MATCH($A262,lmic_raw_lb[[setting]:[setting]],0), MATCH(Q$139, lmic_raw_lb[#Headers],0))=0, INDEX(regions_lb[], MATCH($D262, regions_lb[[setting]:[setting]],0), MATCH(Q$139, regions_lb[#Headers],0)),INDEX(lmic_raw_lb[],MATCH($A262,lmic_raw_lb[[setting]:[setting]],0), MATCH(Q$139, lmic_raw_lb[#Headers],0)))</f>
        <v>7.599369960517449</v>
      </c>
      <c r="R262" s="98">
        <f>IF(INDEX(lmic_raw_lb[],MATCH($A262,lmic_raw_lb[[setting]:[setting]],0), MATCH(R$139, lmic_raw_lb[#Headers],0))=0, INDEX(regions_lb[], MATCH($D262, regions_lb[[setting]:[setting]],0), MATCH(R$139, regions_lb[#Headers],0)),INDEX(lmic_raw_lb[],MATCH($A262,lmic_raw_lb[[setting]:[setting]],0), MATCH(R$139, lmic_raw_lb[#Headers],0)))</f>
        <v>69.430275000000009</v>
      </c>
      <c r="S262" s="98">
        <f>IF(INDEX(lmic_raw_lb[],MATCH($A262,lmic_raw_lb[[setting]:[setting]],0), MATCH(S$139, lmic_raw_lb[#Headers],0))=0, INDEX(regions_lb[], MATCH($D262, regions_lb[[setting]:[setting]],0), MATCH(S$139, regions_lb[#Headers],0)),INDEX(lmic_raw_lb[],MATCH($A262,lmic_raw_lb[[setting]:[setting]],0), MATCH(S$139, lmic_raw_lb[#Headers],0)))</f>
        <v>114.785175</v>
      </c>
      <c r="T262" s="98">
        <f>IF(INDEX(lmic_raw_lb[],MATCH($A262,lmic_raw_lb[[setting]:[setting]],0), MATCH(T$139, lmic_raw_lb[#Headers],0))=0, INDEX(regions_lb[], MATCH($D262, regions_lb[[setting]:[setting]],0), MATCH(T$139, regions_lb[#Headers],0)),INDEX(lmic_raw_lb[],MATCH($A262,lmic_raw_lb[[setting]:[setting]],0), MATCH(T$139, lmic_raw_lb[#Headers],0)))</f>
        <v>114.785175</v>
      </c>
      <c r="U262" s="98">
        <f>IF(INDEX(lmic_raw_lb[],MATCH($A262,lmic_raw_lb[[setting]:[setting]],0), MATCH(U$139, lmic_raw_lb[#Headers],0))=0, INDEX(regions_lb[], MATCH($D262, regions_lb[[setting]:[setting]],0), MATCH(U$139, regions_lb[#Headers],0)),INDEX(lmic_raw_lb[],MATCH($A262,lmic_raw_lb[[setting]:[setting]],0), MATCH(U$139, lmic_raw_lb[#Headers],0)))</f>
        <v>114.785175</v>
      </c>
      <c r="V262" s="98">
        <f>IF(INDEX(lmic_raw_lb[],MATCH($A262,lmic_raw_lb[[setting]:[setting]],0), MATCH(V$139, lmic_raw_lb[#Headers],0))=0, INDEX(regions_lb[], MATCH($D262, regions_lb[[setting]:[setting]],0), MATCH(V$139, regions_lb[#Headers],0)),INDEX(lmic_raw_lb[],MATCH($A262,lmic_raw_lb[[setting]:[setting]],0), MATCH(V$139, lmic_raw_lb[#Headers],0)))</f>
        <v>2.9824412350407572</v>
      </c>
      <c r="W262" s="98">
        <f>IF(INDEX(lmic_raw_lb[],MATCH($A262,lmic_raw_lb[[setting]:[setting]],0), MATCH(W$139, lmic_raw_lb[#Headers],0))=0, INDEX(regions_lb[], MATCH($D262, regions_lb[[setting]:[setting]],0), MATCH(W$139, regions_lb[#Headers],0)),INDEX(lmic_raw_lb[],MATCH($A262,lmic_raw_lb[[setting]:[setting]],0), MATCH(W$139, lmic_raw_lb[#Headers],0)))</f>
        <v>3.5830312350407572</v>
      </c>
      <c r="X262" s="98">
        <f>IF(INDEX(lmic_raw_lb[],MATCH($A262,lmic_raw_lb[[setting]:[setting]],0), MATCH(X$139, lmic_raw_lb[#Headers],0))=0, INDEX(regions_lb[], MATCH($D262, regions_lb[[setting]:[setting]],0), MATCH(X$139, regions_lb[#Headers],0)),INDEX(lmic_raw_lb[],MATCH($A262,lmic_raw_lb[[setting]:[setting]],0), MATCH(X$139, lmic_raw_lb[#Headers],0)))</f>
        <v>2.6144407305374173</v>
      </c>
      <c r="Y262" s="98">
        <f>IF(INDEX(lmic_raw_lb[],MATCH($A262,lmic_raw_lb[[setting]:[setting]],0), MATCH(Y$139, lmic_raw_lb[#Headers],0))=0, INDEX(regions_lb[], MATCH($D262, regions_lb[[setting]:[setting]],0), MATCH(Y$139, regions_lb[#Headers],0)),INDEX(lmic_raw_lb[],MATCH($A262,lmic_raw_lb[[setting]:[setting]],0), MATCH(Y$139, lmic_raw_lb[#Headers],0)))</f>
        <v>3.2150307305374173</v>
      </c>
      <c r="Z262" s="98">
        <f>IF(INDEX(lmic_raw_lb[],MATCH($A262,lmic_raw_lb[[setting]:[setting]],0), MATCH(Z$139, lmic_raw_lb[#Headers],0))=0, INDEX(regions_lb[], MATCH($D262, regions_lb[[setting]:[setting]],0), MATCH(Z$139, regions_lb[#Headers],0)),INDEX(lmic_raw_lb[],MATCH($A262,lmic_raw_lb[[setting]:[setting]],0), MATCH(Z$139, lmic_raw_lb[#Headers],0)))</f>
        <v>3.2114082860907369</v>
      </c>
      <c r="AA262" s="98">
        <f>IF(INDEX(lmic_raw_lb[],MATCH($A262,lmic_raw_lb[[setting]:[setting]],0), MATCH(AA$139, lmic_raw_lb[#Headers],0))=0, INDEX(regions_lb[], MATCH($D262, regions_lb[[setting]:[setting]],0), MATCH(AA$139, regions_lb[#Headers],0)),INDEX(lmic_raw_lb[],MATCH($A262,lmic_raw_lb[[setting]:[setting]],0), MATCH(AA$139, lmic_raw_lb[#Headers],0)))</f>
        <v>3.1947972686349724</v>
      </c>
      <c r="AB262" s="98">
        <f>IF(INDEX(lmic_raw_lb[],MATCH($A262,lmic_raw_lb[[setting]:[setting]],0), MATCH(AB$139, lmic_raw_lb[#Headers],0))=0, INDEX(regions_lb[], MATCH($D262, regions_lb[[setting]:[setting]],0), MATCH(AB$139, regions_lb[#Headers],0)),INDEX(lmic_raw_lb[],MATCH($A262,lmic_raw_lb[[setting]:[setting]],0), MATCH(AB$139, lmic_raw_lb[#Headers],0)))</f>
        <v>3.7953872686349723</v>
      </c>
      <c r="AC262" s="98">
        <f>IF(INDEX(lmic_raw_lb[],MATCH($A262,lmic_raw_lb[[setting]:[setting]],0), MATCH(AC$139, lmic_raw_lb[#Headers],0))=0, INDEX(regions_lb[], MATCH($D262, regions_lb[[setting]:[setting]],0), MATCH(AC$139, regions_lb[#Headers],0)),INDEX(lmic_raw_lb[],MATCH($A262,lmic_raw_lb[[setting]:[setting]],0), MATCH(AC$139, lmic_raw_lb[#Headers],0)))</f>
        <v>1.1890798500000004E-2</v>
      </c>
      <c r="AD262" s="98">
        <f>IF(INDEX(lmic_raw_lb[],MATCH($A262,lmic_raw_lb[[setting]:[setting]],0), MATCH(AD$139, lmic_raw_lb[#Headers],0))=0, INDEX(regions_lb[], MATCH($D262, regions_lb[[setting]:[setting]],0), MATCH(AD$139, regions_lb[#Headers],0)),INDEX(lmic_raw_lb[],MATCH($A262,lmic_raw_lb[[setting]:[setting]],0), MATCH(AD$139, lmic_raw_lb[#Headers],0)))</f>
        <v>7.4656826879019569E-4</v>
      </c>
      <c r="AE262" s="98">
        <f>IF(INDEX(lmic_raw_lb[],MATCH($A262,lmic_raw_lb[[setting]:[setting]],0), MATCH(AE$139, lmic_raw_lb[#Headers],0))=0, INDEX(regions_lb[], MATCH($D262, regions_lb[[setting]:[setting]],0), MATCH(AE$139, regions_lb[#Headers],0)),INDEX(lmic_raw_lb[],MATCH($A262,lmic_raw_lb[[setting]:[setting]],0), MATCH(AE$139, lmic_raw_lb[#Headers],0)))</f>
        <v>3.7820524196938127E-4</v>
      </c>
      <c r="AF262" s="98">
        <f>IF(INDEX(lmic_raw_lb[],MATCH($A262,lmic_raw_lb[[setting]:[setting]],0), MATCH(AF$139, lmic_raw_lb[#Headers],0))=0, INDEX(regions_lb[], MATCH($D262, regions_lb[[setting]:[setting]],0), MATCH(AF$139, regions_lb[#Headers],0)),INDEX(lmic_raw_lb[],MATCH($A262,lmic_raw_lb[[setting]:[setting]],0), MATCH(AF$139, lmic_raw_lb[#Headers],0)))</f>
        <v>3.5923084653595406E-4</v>
      </c>
      <c r="AG262" s="98">
        <f>IF(INDEX(lmic_raw_lb[],MATCH($A262,lmic_raw_lb[[setting]:[setting]],0), MATCH(AG$139, lmic_raw_lb[#Headers],0))=0, INDEX(regions_lb[], MATCH($D262, regions_lb[[setting]:[setting]],0), MATCH(AG$139, regions_lb[#Headers],0)),INDEX(lmic_raw_lb[],MATCH($A262,lmic_raw_lb[[setting]:[setting]],0), MATCH(AG$139, lmic_raw_lb[#Headers],0)))</f>
        <v>8.9760328960619066E-4</v>
      </c>
      <c r="AH262" s="98">
        <f>IF(INDEX(lmic_raw_lb[],MATCH($A262,lmic_raw_lb[[setting]:[setting]],0), MATCH(AH$139, lmic_raw_lb[#Headers],0))=0, INDEX(regions_lb[], MATCH($D262, regions_lb[[setting]:[setting]],0), MATCH(AH$139, regions_lb[#Headers],0)),INDEX(lmic_raw_lb[],MATCH($A262,lmic_raw_lb[[setting]:[setting]],0), MATCH(AH$139, lmic_raw_lb[#Headers],0)))</f>
        <v>1.3045643152506474E-3</v>
      </c>
      <c r="AI262" s="98">
        <f>IF(INDEX(lmic_raw_lb[],MATCH($A262,lmic_raw_lb[[setting]:[setting]],0), MATCH(AI$139, lmic_raw_lb[#Headers],0))=0, INDEX(regions_lb[], MATCH($D262, regions_lb[[setting]:[setting]],0), MATCH(AI$139, regions_lb[#Headers],0)),INDEX(lmic_raw_lb[],MATCH($A262,lmic_raw_lb[[setting]:[setting]],0), MATCH(AI$139, lmic_raw_lb[#Headers],0)))</f>
        <v>1.4277741970396874E-3</v>
      </c>
      <c r="AJ262" s="98">
        <f>IF(INDEX(lmic_raw_lb[],MATCH($A262,lmic_raw_lb[[setting]:[setting]],0), MATCH(AJ$139, lmic_raw_lb[#Headers],0))=0, INDEX(regions_lb[], MATCH($D262, regions_lb[[setting]:[setting]],0), MATCH(AJ$139, regions_lb[#Headers],0)),INDEX(lmic_raw_lb[],MATCH($A262,lmic_raw_lb[[setting]:[setting]],0), MATCH(AJ$139, lmic_raw_lb[#Headers],0)))</f>
        <v>1.7070112676730684E-3</v>
      </c>
      <c r="AK262" s="98">
        <f>IF(INDEX(lmic_raw_lb[],MATCH($A262,lmic_raw_lb[[setting]:[setting]],0), MATCH(AK$139, lmic_raw_lb[#Headers],0))=0, INDEX(regions_lb[], MATCH($D262, regions_lb[[setting]:[setting]],0), MATCH(AK$139, regions_lb[#Headers],0)),INDEX(lmic_raw_lb[],MATCH($A262,lmic_raw_lb[[setting]:[setting]],0), MATCH(AK$139, lmic_raw_lb[#Headers],0)))</f>
        <v>2.3007478154776439E-3</v>
      </c>
      <c r="AL262" s="98">
        <f>IF(INDEX(lmic_raw_lb[],MATCH($A262,lmic_raw_lb[[setting]:[setting]],0), MATCH(AL$139, lmic_raw_lb[#Headers],0))=0, INDEX(regions_lb[], MATCH($D262, regions_lb[[setting]:[setting]],0), MATCH(AL$139, regions_lb[#Headers],0)),INDEX(lmic_raw_lb[],MATCH($A262,lmic_raw_lb[[setting]:[setting]],0), MATCH(AL$139, lmic_raw_lb[#Headers],0)))</f>
        <v>3.3067611595702013E-3</v>
      </c>
      <c r="AM262" s="98">
        <f>IF(INDEX(lmic_raw_lb[],MATCH($A262,lmic_raw_lb[[setting]:[setting]],0), MATCH(AM$139, lmic_raw_lb[#Headers],0))=0, INDEX(regions_lb[], MATCH($D262, regions_lb[[setting]:[setting]],0), MATCH(AM$139, regions_lb[#Headers],0)),INDEX(lmic_raw_lb[],MATCH($A262,lmic_raw_lb[[setting]:[setting]],0), MATCH(AM$139, lmic_raw_lb[#Headers],0)))</f>
        <v>4.9702010836280208E-3</v>
      </c>
      <c r="AN262" s="98">
        <f>IF(INDEX(lmic_raw_lb[],MATCH($A262,lmic_raw_lb[[setting]:[setting]],0), MATCH(AN$139, lmic_raw_lb[#Headers],0))=0, INDEX(regions_lb[], MATCH($D262, regions_lb[[setting]:[setting]],0), MATCH(AN$139, regions_lb[#Headers],0)),INDEX(lmic_raw_lb[],MATCH($A262,lmic_raw_lb[[setting]:[setting]],0), MATCH(AN$139, lmic_raw_lb[#Headers],0)))</f>
        <v>7.5124637061862697E-3</v>
      </c>
      <c r="AO262" s="98">
        <f>IF(INDEX(lmic_raw_lb[],MATCH($A262,lmic_raw_lb[[setting]:[setting]],0), MATCH(AO$139, lmic_raw_lb[#Headers],0))=0, INDEX(regions_lb[], MATCH($D262, regions_lb[[setting]:[setting]],0), MATCH(AO$139, regions_lb[#Headers],0)),INDEX(lmic_raw_lb[],MATCH($A262,lmic_raw_lb[[setting]:[setting]],0), MATCH(AO$139, lmic_raw_lb[#Headers],0)))</f>
        <v>1.109370105787404E-2</v>
      </c>
      <c r="AP262" s="98">
        <f>IF(INDEX(lmic_raw_lb[],MATCH($A262,lmic_raw_lb[[setting]:[setting]],0), MATCH(AP$139, lmic_raw_lb[#Headers],0))=0, INDEX(regions_lb[], MATCH($D262, regions_lb[[setting]:[setting]],0), MATCH(AP$139, regions_lb[#Headers],0)),INDEX(lmic_raw_lb[],MATCH($A262,lmic_raw_lb[[setting]:[setting]],0), MATCH(AP$139, lmic_raw_lb[#Headers],0)))</f>
        <v>1.7601659377743648E-2</v>
      </c>
      <c r="AQ262" s="98">
        <f>IF(INDEX(lmic_raw_lb[],MATCH($A262,lmic_raw_lb[[setting]:[setting]],0), MATCH(AQ$139, lmic_raw_lb[#Headers],0))=0, INDEX(regions_lb[], MATCH($D262, regions_lb[[setting]:[setting]],0), MATCH(AQ$139, regions_lb[#Headers],0)),INDEX(lmic_raw_lb[],MATCH($A262,lmic_raw_lb[[setting]:[setting]],0), MATCH(AQ$139, lmic_raw_lb[#Headers],0)))</f>
        <v>2.8029534412279334E-2</v>
      </c>
      <c r="AR262" s="98">
        <f>IF(INDEX(lmic_raw_lb[],MATCH($A262,lmic_raw_lb[[setting]:[setting]],0), MATCH(AR$139, lmic_raw_lb[#Headers],0))=0, INDEX(regions_lb[], MATCH($D262, regions_lb[[setting]:[setting]],0), MATCH(AR$139, regions_lb[#Headers],0)),INDEX(lmic_raw_lb[],MATCH($A262,lmic_raw_lb[[setting]:[setting]],0), MATCH(AR$139, lmic_raw_lb[#Headers],0)))</f>
        <v>4.3460863658412376E-2</v>
      </c>
      <c r="AS262" s="98">
        <f>IF(INDEX(lmic_raw_lb[],MATCH($A262,lmic_raw_lb[[setting]:[setting]],0), MATCH(AS$139, lmic_raw_lb[#Headers],0))=0, INDEX(regions_lb[], MATCH($D262, regions_lb[[setting]:[setting]],0), MATCH(AS$139, regions_lb[#Headers],0)),INDEX(lmic_raw_lb[],MATCH($A262,lmic_raw_lb[[setting]:[setting]],0), MATCH(AS$139, lmic_raw_lb[#Headers],0)))</f>
        <v>6.5360935881491E-2</v>
      </c>
      <c r="AT262" s="98">
        <f>IF(INDEX(lmic_raw_lb[],MATCH($A262,lmic_raw_lb[[setting]:[setting]],0), MATCH(AT$139, lmic_raw_lb[#Headers],0))=0, INDEX(regions_lb[], MATCH($D262, regions_lb[[setting]:[setting]],0), MATCH(AT$139, regions_lb[#Headers],0)),INDEX(lmic_raw_lb[],MATCH($A262,lmic_raw_lb[[setting]:[setting]],0), MATCH(AT$139, lmic_raw_lb[#Headers],0)))</f>
        <v>9.4603362877106995E-2</v>
      </c>
      <c r="AU262" s="98">
        <f>IF(INDEX(lmic_raw_lb[],MATCH($A262,lmic_raw_lb[[setting]:[setting]],0), MATCH(AU$139, lmic_raw_lb[#Headers],0))=0, INDEX(regions_lb[], MATCH($D262, regions_lb[[setting]:[setting]],0), MATCH(AU$139, regions_lb[#Headers],0)),INDEX(lmic_raw_lb[],MATCH($A262,lmic_raw_lb[[setting]:[setting]],0), MATCH(AU$139, lmic_raw_lb[#Headers],0)))</f>
        <v>0.12764772932279556</v>
      </c>
      <c r="AV262" s="98">
        <f>IF(INDEX(lmic_raw_lb[],MATCH($A262,lmic_raw_lb[[setting]:[setting]],0), MATCH(AV$139, lmic_raw_lb[#Headers],0))=0, INDEX(regions_lb[], MATCH($D262, regions_lb[[setting]:[setting]],0), MATCH(AV$139, regions_lb[#Headers],0)),INDEX(lmic_raw_lb[],MATCH($A262,lmic_raw_lb[[setting]:[setting]],0), MATCH(AV$139, lmic_raw_lb[#Headers],0)))</f>
        <v>0.15569502839453303</v>
      </c>
      <c r="AW262" s="98">
        <f>IF(INDEX(lmic_raw_lb[],MATCH($A262,lmic_raw_lb[[setting]:[setting]],0), MATCH(AW$139, lmic_raw_lb[#Headers],0))=0, INDEX(regions_lb[], MATCH($D262, regions_lb[[setting]:[setting]],0), MATCH(AW$139, regions_lb[#Headers],0)),INDEX(lmic_raw_lb[],MATCH($A262,lmic_raw_lb[[setting]:[setting]],0), MATCH(AW$139, lmic_raw_lb[#Headers],0)))</f>
        <v>0.17289009455463905</v>
      </c>
      <c r="AX262" s="98">
        <f>IF(INDEX(lmic_raw_lb[],MATCH($A262,lmic_raw_lb[[setting]:[setting]],0), MATCH(AX$139, lmic_raw_lb[#Headers],0))=0, INDEX(regions_lb[], MATCH($D262, regions_lb[[setting]:[setting]],0), MATCH(AX$139, regions_lb[#Headers],0)),INDEX(lmic_raw_lb[],MATCH($A262,lmic_raw_lb[[setting]:[setting]],0), MATCH(AX$139, lmic_raw_lb[#Headers],0)))</f>
        <v>67.203949999999992</v>
      </c>
      <c r="AY262" s="98" t="str">
        <f>IF(VLOOKUP(lmics_lb[[#This Row],[setting]],lmic_raw_lb[],11,FALSE)=0, "Yes", "No")</f>
        <v>No</v>
      </c>
    </row>
    <row r="263" spans="1:51" x14ac:dyDescent="0.25">
      <c r="A263" s="110" t="s">
        <v>162</v>
      </c>
      <c r="B263" s="104" t="s">
        <v>527</v>
      </c>
      <c r="C263" s="105">
        <v>788</v>
      </c>
      <c r="D263" s="84" t="s">
        <v>673</v>
      </c>
      <c r="E263" s="122" t="s">
        <v>579</v>
      </c>
      <c r="F263" s="94" t="s">
        <v>579</v>
      </c>
      <c r="G263" s="94" t="s">
        <v>678</v>
      </c>
      <c r="H263" s="94"/>
      <c r="I263" s="94"/>
      <c r="J263" s="94">
        <f>IF(INDEX(lmic_raw_lb[],MATCH($A263,lmic_raw_lb[[setting]:[setting]],0), MATCH(J$139, lmic_raw_lb[#Headers],0))=0, INDEX(regions_lb[], MATCH($D263, regions_lb[[setting]:[setting]],0), MATCH(J$139, regions_lb[#Headers],0)),INDEX(lmic_raw_lb[],MATCH($A263,lmic_raw_lb[[setting]:[setting]],0), MATCH(J$139, lmic_raw_lb[#Headers],0)))</f>
        <v>0.94714999999999994</v>
      </c>
      <c r="K263" s="94">
        <f>IF(INDEX(lmic_raw_lb[],MATCH($A263,lmic_raw_lb[[setting]:[setting]],0), MATCH(K$139, lmic_raw_lb[#Headers],0))=0, INDEX(regions_lb[], MATCH($D263, regions_lb[[setting]:[setting]],0), MATCH(K$139, regions_lb[#Headers],0)),INDEX(lmic_raw_lb[],MATCH($A263,lmic_raw_lb[[setting]:[setting]],0), MATCH(K$139, lmic_raw_lb[#Headers],0)))</f>
        <v>0.70299999999999996</v>
      </c>
      <c r="L263" s="94">
        <f>IF(INDEX(lmic_raw_lb[],MATCH($A263,lmic_raw_lb[[setting]:[setting]],0), MATCH(L$139, lmic_raw_lb[#Headers],0))=0, INDEX(regions_lb[], MATCH($D263, regions_lb[[setting]:[setting]],0), MATCH(L$139, regions_lb[#Headers],0)),INDEX(lmic_raw_lb[],MATCH($A263,lmic_raw_lb[[setting]:[setting]],0), MATCH(L$139, lmic_raw_lb[#Headers],0)))</f>
        <v>0.874</v>
      </c>
      <c r="M263" s="94">
        <f>IF(INDEX(lmic_raw_lb[],MATCH($A263,lmic_raw_lb[[setting]:[setting]],0), MATCH(M$139, lmic_raw_lb[#Headers],0))=0, INDEX(regions_lb[], MATCH($D263, regions_lb[[setting]:[setting]],0), MATCH(M$139, regions_lb[#Headers],0)),INDEX(lmic_raw_lb[],MATCH($A263,lmic_raw_lb[[setting]:[setting]],0), MATCH(M$139, lmic_raw_lb[#Headers],0)))</f>
        <v>4.0099999999999997E-2</v>
      </c>
      <c r="N263" s="94">
        <f>IF(INDEX(lmic_raw_lb[],MATCH($A263,lmic_raw_lb[[setting]:[setting]],0), MATCH(N$139, lmic_raw_lb[#Headers],0))=0, INDEX(regions_lb[], MATCH($D263, regions_lb[[setting]:[setting]],0), MATCH(N$139, regions_lb[#Headers],0)),INDEX(lmic_raw_lb[],MATCH($A263,lmic_raw_lb[[setting]:[setting]],0), MATCH(N$139, lmic_raw_lb[#Headers],0)))</f>
        <v>0.14980000000000002</v>
      </c>
      <c r="O263" s="94">
        <f>IF(INDEX(lmic_raw_lb[],MATCH($A263,lmic_raw_lb[[setting]:[setting]],0), MATCH(O$139, lmic_raw_lb[#Headers],0))=0, INDEX(regions_lb[], MATCH($D263, regions_lb[[setting]:[setting]],0), MATCH(O$139, regions_lb[#Headers],0)),INDEX(lmic_raw_lb[],MATCH($A263,lmic_raw_lb[[setting]:[setting]],0), MATCH(O$139, lmic_raw_lb[#Headers],0)))</f>
        <v>0.7</v>
      </c>
      <c r="P263" s="94">
        <f>IF(INDEX(lmic_raw_lb[],MATCH($A263,lmic_raw_lb[[setting]:[setting]],0), MATCH(P$139, lmic_raw_lb[#Headers],0))=0, INDEX(regions_lb[], MATCH($D263, regions_lb[[setting]:[setting]],0), MATCH(P$139, regions_lb[#Headers],0)),INDEX(lmic_raw_lb[],MATCH($A263,lmic_raw_lb[[setting]:[setting]],0), MATCH(P$139, lmic_raw_lb[#Headers],0)))</f>
        <v>0.05</v>
      </c>
      <c r="Q263" s="94">
        <f>IF(INDEX(lmic_raw_lb[],MATCH($A263,lmic_raw_lb[[setting]:[setting]],0), MATCH(Q$139, lmic_raw_lb[#Headers],0))=0, INDEX(regions_lb[], MATCH($D263, regions_lb[[setting]:[setting]],0), MATCH(Q$139, regions_lb[#Headers],0)),INDEX(lmic_raw_lb[],MATCH($A263,lmic_raw_lb[[setting]:[setting]],0), MATCH(Q$139, lmic_raw_lb[#Headers],0)))</f>
        <v>7.8812599017632943</v>
      </c>
      <c r="R263" s="94">
        <f>IF(INDEX(lmic_raw_lb[],MATCH($A263,lmic_raw_lb[[setting]:[setting]],0), MATCH(R$139, lmic_raw_lb[#Headers],0))=0, INDEX(regions_lb[], MATCH($D263, regions_lb[[setting]:[setting]],0), MATCH(R$139, regions_lb[#Headers],0)),INDEX(lmic_raw_lb[],MATCH($A263,lmic_raw_lb[[setting]:[setting]],0), MATCH(R$139, lmic_raw_lb[#Headers],0)))</f>
        <v>44.019105000000003</v>
      </c>
      <c r="S263" s="94">
        <f>IF(INDEX(lmic_raw_lb[],MATCH($A263,lmic_raw_lb[[setting]:[setting]],0), MATCH(S$139, lmic_raw_lb[#Headers],0))=0, INDEX(regions_lb[], MATCH($D263, regions_lb[[setting]:[setting]],0), MATCH(S$139, regions_lb[#Headers],0)),INDEX(lmic_raw_lb[],MATCH($A263,lmic_raw_lb[[setting]:[setting]],0), MATCH(S$139, lmic_raw_lb[#Headers],0)))</f>
        <v>89.374005000000011</v>
      </c>
      <c r="T263" s="94">
        <f>IF(INDEX(lmic_raw_lb[],MATCH($A263,lmic_raw_lb[[setting]:[setting]],0), MATCH(T$139, lmic_raw_lb[#Headers],0))=0, INDEX(regions_lb[], MATCH($D263, regions_lb[[setting]:[setting]],0), MATCH(T$139, regions_lb[#Headers],0)),INDEX(lmic_raw_lb[],MATCH($A263,lmic_raw_lb[[setting]:[setting]],0), MATCH(T$139, lmic_raw_lb[#Headers],0)))</f>
        <v>89.374005000000011</v>
      </c>
      <c r="U263" s="94">
        <f>IF(INDEX(lmic_raw_lb[],MATCH($A263,lmic_raw_lb[[setting]:[setting]],0), MATCH(U$139, lmic_raw_lb[#Headers],0))=0, INDEX(regions_lb[], MATCH($D263, regions_lb[[setting]:[setting]],0), MATCH(U$139, regions_lb[#Headers],0)),INDEX(lmic_raw_lb[],MATCH($A263,lmic_raw_lb[[setting]:[setting]],0), MATCH(U$139, lmic_raw_lb[#Headers],0)))</f>
        <v>89.374005000000011</v>
      </c>
      <c r="V263" s="94">
        <f>IF(INDEX(lmic_raw_lb[],MATCH($A263,lmic_raw_lb[[setting]:[setting]],0), MATCH(V$139, lmic_raw_lb[#Headers],0))=0, INDEX(regions_lb[], MATCH($D263, regions_lb[[setting]:[setting]],0), MATCH(V$139, regions_lb[#Headers],0)),INDEX(lmic_raw_lb[],MATCH($A263,lmic_raw_lb[[setting]:[setting]],0), MATCH(V$139, lmic_raw_lb[#Headers],0)))</f>
        <v>2.1326356500528463</v>
      </c>
      <c r="W263" s="94">
        <f>IF(INDEX(lmic_raw_lb[],MATCH($A263,lmic_raw_lb[[setting]:[setting]],0), MATCH(W$139, lmic_raw_lb[#Headers],0))=0, INDEX(regions_lb[], MATCH($D263, regions_lb[[setting]:[setting]],0), MATCH(W$139, regions_lb[#Headers],0)),INDEX(lmic_raw_lb[],MATCH($A263,lmic_raw_lb[[setting]:[setting]],0), MATCH(W$139, lmic_raw_lb[#Headers],0)))</f>
        <v>2.5882556500528464</v>
      </c>
      <c r="X263" s="94">
        <f>IF(INDEX(lmic_raw_lb[],MATCH($A263,lmic_raw_lb[[setting]:[setting]],0), MATCH(X$139, lmic_raw_lb[#Headers],0))=0, INDEX(regions_lb[], MATCH($D263, regions_lb[[setting]:[setting]],0), MATCH(X$139, regions_lb[#Headers],0)),INDEX(lmic_raw_lb[],MATCH($A263,lmic_raw_lb[[setting]:[setting]],0), MATCH(X$139, lmic_raw_lb[#Headers],0)))</f>
        <v>1.762537445250411</v>
      </c>
      <c r="Y263" s="94">
        <f>IF(INDEX(lmic_raw_lb[],MATCH($A263,lmic_raw_lb[[setting]:[setting]],0), MATCH(Y$139, lmic_raw_lb[#Headers],0))=0, INDEX(regions_lb[], MATCH($D263, regions_lb[[setting]:[setting]],0), MATCH(Y$139, regions_lb[#Headers],0)),INDEX(lmic_raw_lb[],MATCH($A263,lmic_raw_lb[[setting]:[setting]],0), MATCH(Y$139, lmic_raw_lb[#Headers],0)))</f>
        <v>2.2181574452504109</v>
      </c>
      <c r="Z263" s="94">
        <f>IF(INDEX(lmic_raw_lb[],MATCH($A263,lmic_raw_lb[[setting]:[setting]],0), MATCH(Z$139, lmic_raw_lb[#Headers],0))=0, INDEX(regions_lb[], MATCH($D263, regions_lb[[setting]:[setting]],0), MATCH(Z$139, regions_lb[#Headers],0)),INDEX(lmic_raw_lb[],MATCH($A263,lmic_raw_lb[[setting]:[setting]],0), MATCH(Z$139, lmic_raw_lb[#Headers],0)))</f>
        <v>2.2127634325800227</v>
      </c>
      <c r="AA263" s="94">
        <f>IF(INDEX(lmic_raw_lb[],MATCH($A263,lmic_raw_lb[[setting]:[setting]],0), MATCH(AA$139, lmic_raw_lb[#Headers],0))=0, INDEX(regions_lb[], MATCH($D263, regions_lb[[setting]:[setting]],0), MATCH(AA$139, regions_lb[#Headers],0)),INDEX(lmic_raw_lb[],MATCH($A263,lmic_raw_lb[[setting]:[setting]],0), MATCH(AA$139, lmic_raw_lb[#Headers],0)))</f>
        <v>2.3458906980609595</v>
      </c>
      <c r="AB263" s="94">
        <f>IF(INDEX(lmic_raw_lb[],MATCH($A263,lmic_raw_lb[[setting]:[setting]],0), MATCH(AB$139, lmic_raw_lb[#Headers],0))=0, INDEX(regions_lb[], MATCH($D263, regions_lb[[setting]:[setting]],0), MATCH(AB$139, regions_lb[#Headers],0)),INDEX(lmic_raw_lb[],MATCH($A263,lmic_raw_lb[[setting]:[setting]],0), MATCH(AB$139, lmic_raw_lb[#Headers],0)))</f>
        <v>2.8015106980609596</v>
      </c>
      <c r="AC263" s="94">
        <f>IF(INDEX(lmic_raw_lb[],MATCH($A263,lmic_raw_lb[[setting]:[setting]],0), MATCH(AC$139, lmic_raw_lb[#Headers],0))=0, INDEX(regions_lb[], MATCH($D263, regions_lb[[setting]:[setting]],0), MATCH(AC$139, regions_lb[#Headers],0)),INDEX(lmic_raw_lb[],MATCH($A263,lmic_raw_lb[[setting]:[setting]],0), MATCH(AC$139, lmic_raw_lb[#Headers],0)))</f>
        <v>1.2043777000000032E-2</v>
      </c>
      <c r="AD263" s="94">
        <f>IF(INDEX(lmic_raw_lb[],MATCH($A263,lmic_raw_lb[[setting]:[setting]],0), MATCH(AD$139, lmic_raw_lb[#Headers],0))=0, INDEX(regions_lb[], MATCH($D263, regions_lb[[setting]:[setting]],0), MATCH(AD$139, regions_lb[#Headers],0)),INDEX(lmic_raw_lb[],MATCH($A263,lmic_raw_lb[[setting]:[setting]],0), MATCH(AD$139, lmic_raw_lb[#Headers],0)))</f>
        <v>1.8646202718354231E-4</v>
      </c>
      <c r="AE263" s="94">
        <f>IF(INDEX(lmic_raw_lb[],MATCH($A263,lmic_raw_lb[[setting]:[setting]],0), MATCH(AE$139, lmic_raw_lb[#Headers],0))=0, INDEX(regions_lb[], MATCH($D263, regions_lb[[setting]:[setting]],0), MATCH(AE$139, regions_lb[#Headers],0)),INDEX(lmic_raw_lb[],MATCH($A263,lmic_raw_lb[[setting]:[setting]],0), MATCH(AE$139, lmic_raw_lb[#Headers],0)))</f>
        <v>1.3802218624736555E-4</v>
      </c>
      <c r="AF263" s="94">
        <f>IF(INDEX(lmic_raw_lb[],MATCH($A263,lmic_raw_lb[[setting]:[setting]],0), MATCH(AF$139, lmic_raw_lb[#Headers],0))=0, INDEX(regions_lb[], MATCH($D263, regions_lb[[setting]:[setting]],0), MATCH(AF$139, regions_lb[#Headers],0)),INDEX(lmic_raw_lb[],MATCH($A263,lmic_raw_lb[[setting]:[setting]],0), MATCH(AF$139, lmic_raw_lb[#Headers],0)))</f>
        <v>2.3339325877846009E-4</v>
      </c>
      <c r="AG263" s="94">
        <f>IF(INDEX(lmic_raw_lb[],MATCH($A263,lmic_raw_lb[[setting]:[setting]],0), MATCH(AG$139, lmic_raw_lb[#Headers],0))=0, INDEX(regions_lb[], MATCH($D263, regions_lb[[setting]:[setting]],0), MATCH(AG$139, regions_lb[#Headers],0)),INDEX(lmic_raw_lb[],MATCH($A263,lmic_raw_lb[[setting]:[setting]],0), MATCH(AG$139, lmic_raw_lb[#Headers],0)))</f>
        <v>3.509874448460744E-4</v>
      </c>
      <c r="AH263" s="94">
        <f>IF(INDEX(lmic_raw_lb[],MATCH($A263,lmic_raw_lb[[setting]:[setting]],0), MATCH(AH$139, lmic_raw_lb[#Headers],0))=0, INDEX(regions_lb[], MATCH($D263, regions_lb[[setting]:[setting]],0), MATCH(AH$139, regions_lb[#Headers],0)),INDEX(lmic_raw_lb[],MATCH($A263,lmic_raw_lb[[setting]:[setting]],0), MATCH(AH$139, lmic_raw_lb[#Headers],0)))</f>
        <v>4.7707405894497669E-4</v>
      </c>
      <c r="AI263" s="94">
        <f>IF(INDEX(lmic_raw_lb[],MATCH($A263,lmic_raw_lb[[setting]:[setting]],0), MATCH(AI$139, lmic_raw_lb[#Headers],0))=0, INDEX(regions_lb[], MATCH($D263, regions_lb[[setting]:[setting]],0), MATCH(AI$139, regions_lb[#Headers],0)),INDEX(lmic_raw_lb[],MATCH($A263,lmic_raw_lb[[setting]:[setting]],0), MATCH(AI$139, lmic_raw_lb[#Headers],0)))</f>
        <v>5.4175605424169871E-4</v>
      </c>
      <c r="AJ263" s="94">
        <f>IF(INDEX(lmic_raw_lb[],MATCH($A263,lmic_raw_lb[[setting]:[setting]],0), MATCH(AJ$139, lmic_raw_lb[#Headers],0))=0, INDEX(regions_lb[], MATCH($D263, regions_lb[[setting]:[setting]],0), MATCH(AJ$139, regions_lb[#Headers],0)),INDEX(lmic_raw_lb[],MATCH($A263,lmic_raw_lb[[setting]:[setting]],0), MATCH(AJ$139, lmic_raw_lb[#Headers],0)))</f>
        <v>6.3528887470176644E-4</v>
      </c>
      <c r="AK263" s="94">
        <f>IF(INDEX(lmic_raw_lb[],MATCH($A263,lmic_raw_lb[[setting]:[setting]],0), MATCH(AK$139, lmic_raw_lb[#Headers],0))=0, INDEX(regions_lb[], MATCH($D263, regions_lb[[setting]:[setting]],0), MATCH(AK$139, regions_lb[#Headers],0)),INDEX(lmic_raw_lb[],MATCH($A263,lmic_raw_lb[[setting]:[setting]],0), MATCH(AK$139, lmic_raw_lb[#Headers],0)))</f>
        <v>8.9214680452671924E-4</v>
      </c>
      <c r="AL263" s="94">
        <f>IF(INDEX(lmic_raw_lb[],MATCH($A263,lmic_raw_lb[[setting]:[setting]],0), MATCH(AL$139, lmic_raw_lb[#Headers],0))=0, INDEX(regions_lb[], MATCH($D263, regions_lb[[setting]:[setting]],0), MATCH(AL$139, regions_lb[#Headers],0)),INDEX(lmic_raw_lb[],MATCH($A263,lmic_raw_lb[[setting]:[setting]],0), MATCH(AL$139, lmic_raw_lb[#Headers],0)))</f>
        <v>1.4209208890491481E-3</v>
      </c>
      <c r="AM263" s="94">
        <f>IF(INDEX(lmic_raw_lb[],MATCH($A263,lmic_raw_lb[[setting]:[setting]],0), MATCH(AM$139, lmic_raw_lb[#Headers],0))=0, INDEX(regions_lb[], MATCH($D263, regions_lb[[setting]:[setting]],0), MATCH(AM$139, regions_lb[#Headers],0)),INDEX(lmic_raw_lb[],MATCH($A263,lmic_raw_lb[[setting]:[setting]],0), MATCH(AM$139, lmic_raw_lb[#Headers],0)))</f>
        <v>2.3351041333832898E-3</v>
      </c>
      <c r="AN263" s="94">
        <f>IF(INDEX(lmic_raw_lb[],MATCH($A263,lmic_raw_lb[[setting]:[setting]],0), MATCH(AN$139, lmic_raw_lb[#Headers],0))=0, INDEX(regions_lb[], MATCH($D263, regions_lb[[setting]:[setting]],0), MATCH(AN$139, regions_lb[#Headers],0)),INDEX(lmic_raw_lb[],MATCH($A263,lmic_raw_lb[[setting]:[setting]],0), MATCH(AN$139, lmic_raw_lb[#Headers],0)))</f>
        <v>4.0036358811922418E-3</v>
      </c>
      <c r="AO263" s="94">
        <f>IF(INDEX(lmic_raw_lb[],MATCH($A263,lmic_raw_lb[[setting]:[setting]],0), MATCH(AO$139, lmic_raw_lb[#Headers],0))=0, INDEX(regions_lb[], MATCH($D263, regions_lb[[setting]:[setting]],0), MATCH(AO$139, regions_lb[#Headers],0)),INDEX(lmic_raw_lb[],MATCH($A263,lmic_raw_lb[[setting]:[setting]],0), MATCH(AO$139, lmic_raw_lb[#Headers],0)))</f>
        <v>6.7034351583899537E-3</v>
      </c>
      <c r="AP263" s="94">
        <f>IF(INDEX(lmic_raw_lb[],MATCH($A263,lmic_raw_lb[[setting]:[setting]],0), MATCH(AP$139, lmic_raw_lb[#Headers],0))=0, INDEX(regions_lb[], MATCH($D263, regions_lb[[setting]:[setting]],0), MATCH(AP$139, regions_lb[#Headers],0)),INDEX(lmic_raw_lb[],MATCH($A263,lmic_raw_lb[[setting]:[setting]],0), MATCH(AP$139, lmic_raw_lb[#Headers],0)))</f>
        <v>1.0826943884477181E-2</v>
      </c>
      <c r="AQ263" s="94">
        <f>IF(INDEX(lmic_raw_lb[],MATCH($A263,lmic_raw_lb[[setting]:[setting]],0), MATCH(AQ$139, lmic_raw_lb[#Headers],0))=0, INDEX(regions_lb[], MATCH($D263, regions_lb[[setting]:[setting]],0), MATCH(AQ$139, regions_lb[#Headers],0)),INDEX(lmic_raw_lb[],MATCH($A263,lmic_raw_lb[[setting]:[setting]],0), MATCH(AQ$139, lmic_raw_lb[#Headers],0)))</f>
        <v>1.7133976999965696E-2</v>
      </c>
      <c r="AR263" s="94">
        <f>IF(INDEX(lmic_raw_lb[],MATCH($A263,lmic_raw_lb[[setting]:[setting]],0), MATCH(AR$139, lmic_raw_lb[#Headers],0))=0, INDEX(regions_lb[], MATCH($D263, regions_lb[[setting]:[setting]],0), MATCH(AR$139, regions_lb[#Headers],0)),INDEX(lmic_raw_lb[],MATCH($A263,lmic_raw_lb[[setting]:[setting]],0), MATCH(AR$139, lmic_raw_lb[#Headers],0)))</f>
        <v>2.9380928920997477E-2</v>
      </c>
      <c r="AS263" s="94">
        <f>IF(INDEX(lmic_raw_lb[],MATCH($A263,lmic_raw_lb[[setting]:[setting]],0), MATCH(AS$139, lmic_raw_lb[#Headers],0))=0, INDEX(regions_lb[], MATCH($D263, regions_lb[[setting]:[setting]],0), MATCH(AS$139, regions_lb[#Headers],0)),INDEX(lmic_raw_lb[],MATCH($A263,lmic_raw_lb[[setting]:[setting]],0), MATCH(AS$139, lmic_raw_lb[#Headers],0)))</f>
        <v>4.9030699027522745E-2</v>
      </c>
      <c r="AT263" s="94">
        <f>IF(INDEX(lmic_raw_lb[],MATCH($A263,lmic_raw_lb[[setting]:[setting]],0), MATCH(AT$139, lmic_raw_lb[#Headers],0))=0, INDEX(regions_lb[], MATCH($D263, regions_lb[[setting]:[setting]],0), MATCH(AT$139, regions_lb[#Headers],0)),INDEX(lmic_raw_lb[],MATCH($A263,lmic_raw_lb[[setting]:[setting]],0), MATCH(AT$139, lmic_raw_lb[#Headers],0)))</f>
        <v>7.6322755424268973E-2</v>
      </c>
      <c r="AU263" s="94">
        <f>IF(INDEX(lmic_raw_lb[],MATCH($A263,lmic_raw_lb[[setting]:[setting]],0), MATCH(AU$139, lmic_raw_lb[#Headers],0))=0, INDEX(regions_lb[], MATCH($D263, regions_lb[[setting]:[setting]],0), MATCH(AU$139, regions_lb[#Headers],0)),INDEX(lmic_raw_lb[],MATCH($A263,lmic_raw_lb[[setting]:[setting]],0), MATCH(AU$139, lmic_raw_lb[#Headers],0)))</f>
        <v>0.10814500264214966</v>
      </c>
      <c r="AV263" s="94">
        <f>IF(INDEX(lmic_raw_lb[],MATCH($A263,lmic_raw_lb[[setting]:[setting]],0), MATCH(AV$139, lmic_raw_lb[#Headers],0))=0, INDEX(regions_lb[], MATCH($D263, regions_lb[[setting]:[setting]],0), MATCH(AV$139, regions_lb[#Headers],0)),INDEX(lmic_raw_lb[],MATCH($A263,lmic_raw_lb[[setting]:[setting]],0), MATCH(AV$139, lmic_raw_lb[#Headers],0)))</f>
        <v>0.13732782429761964</v>
      </c>
      <c r="AW263" s="94">
        <f>IF(INDEX(lmic_raw_lb[],MATCH($A263,lmic_raw_lb[[setting]:[setting]],0), MATCH(AW$139, lmic_raw_lb[#Headers],0))=0, INDEX(regions_lb[], MATCH($D263, regions_lb[[setting]:[setting]],0), MATCH(AW$139, regions_lb[#Headers],0)),INDEX(lmic_raw_lb[],MATCH($A263,lmic_raw_lb[[setting]:[setting]],0), MATCH(AW$139, lmic_raw_lb[#Headers],0)))</f>
        <v>0.15926850294457592</v>
      </c>
      <c r="AX263" s="94">
        <f>IF(INDEX(lmic_raw_lb[],MATCH($A263,lmic_raw_lb[[setting]:[setting]],0), MATCH(AX$139, lmic_raw_lb[#Headers],0))=0, INDEX(regions_lb[], MATCH($D263, regions_lb[[setting]:[setting]],0), MATCH(AX$139, regions_lb[#Headers],0)),INDEX(lmic_raw_lb[],MATCH($A263,lmic_raw_lb[[setting]:[setting]],0), MATCH(AX$139, lmic_raw_lb[#Headers],0)))</f>
        <v>72.591400000000007</v>
      </c>
      <c r="AY263" s="94" t="str">
        <f>IF(VLOOKUP(lmics_lb[[#This Row],[setting]],lmic_raw_lb[],11,FALSE)=0, "Yes", "No")</f>
        <v>No</v>
      </c>
    </row>
    <row r="264" spans="1:51" x14ac:dyDescent="0.25">
      <c r="A264" s="109" t="s">
        <v>180</v>
      </c>
      <c r="B264" s="101" t="s">
        <v>528</v>
      </c>
      <c r="C264" s="102">
        <v>792</v>
      </c>
      <c r="D264" s="82" t="s">
        <v>675</v>
      </c>
      <c r="E264" s="121" t="s">
        <v>579</v>
      </c>
      <c r="F264" s="98" t="s">
        <v>579</v>
      </c>
      <c r="G264" s="98" t="s">
        <v>676</v>
      </c>
      <c r="H264" s="98"/>
      <c r="I264" s="98"/>
      <c r="J264" s="98">
        <f>IF(INDEX(lmic_raw_lb[],MATCH($A264,lmic_raw_lb[[setting]:[setting]],0), MATCH(J$139, lmic_raw_lb[#Headers],0))=0, INDEX(regions_lb[], MATCH($D264, regions_lb[[setting]:[setting]],0), MATCH(J$139, regions_lb[#Headers],0)),INDEX(lmic_raw_lb[],MATCH($A264,lmic_raw_lb[[setting]:[setting]],0), MATCH(J$139, lmic_raw_lb[#Headers],0)))</f>
        <v>0.92339999999999989</v>
      </c>
      <c r="K264" s="98">
        <f>IF(INDEX(lmic_raw_lb[],MATCH($A264,lmic_raw_lb[[setting]:[setting]],0), MATCH(K$139, lmic_raw_lb[#Headers],0))=0, INDEX(regions_lb[], MATCH($D264, regions_lb[[setting]:[setting]],0), MATCH(K$139, regions_lb[#Headers],0)),INDEX(lmic_raw_lb[],MATCH($A264,lmic_raw_lb[[setting]:[setting]],0), MATCH(K$139, lmic_raw_lb[#Headers],0)))</f>
        <v>0.9405</v>
      </c>
      <c r="L264" s="98">
        <f>IF(INDEX(lmic_raw_lb[],MATCH($A264,lmic_raw_lb[[setting]:[setting]],0), MATCH(L$139, lmic_raw_lb[#Headers],0))=0, INDEX(regions_lb[], MATCH($D264, regions_lb[[setting]:[setting]],0), MATCH(L$139, regions_lb[#Headers],0)),INDEX(lmic_raw_lb[],MATCH($A264,lmic_raw_lb[[setting]:[setting]],0), MATCH(L$139, lmic_raw_lb[#Headers],0)))</f>
        <v>0.9405</v>
      </c>
      <c r="M264" s="98">
        <f>IF(INDEX(lmic_raw_lb[],MATCH($A264,lmic_raw_lb[[setting]:[setting]],0), MATCH(M$139, lmic_raw_lb[#Headers],0))=0, INDEX(regions_lb[], MATCH($D264, regions_lb[[setting]:[setting]],0), MATCH(M$139, regions_lb[#Headers],0)),INDEX(lmic_raw_lb[],MATCH($A264,lmic_raw_lb[[setting]:[setting]],0), MATCH(M$139, lmic_raw_lb[#Headers],0)))</f>
        <v>2.0799999999999999E-2</v>
      </c>
      <c r="N264" s="98">
        <f>IF(INDEX(lmic_raw_lb[],MATCH($A264,lmic_raw_lb[[setting]:[setting]],0), MATCH(N$139, lmic_raw_lb[#Headers],0))=0, INDEX(regions_lb[], MATCH($D264, regions_lb[[setting]:[setting]],0), MATCH(N$139, regions_lb[#Headers],0)),INDEX(lmic_raw_lb[],MATCH($A264,lmic_raw_lb[[setting]:[setting]],0), MATCH(N$139, lmic_raw_lb[#Headers],0)))</f>
        <v>0.14980000000000002</v>
      </c>
      <c r="O264" s="98">
        <f>IF(INDEX(lmic_raw_lb[],MATCH($A264,lmic_raw_lb[[setting]:[setting]],0), MATCH(O$139, lmic_raw_lb[#Headers],0))=0, INDEX(regions_lb[], MATCH($D264, regions_lb[[setting]:[setting]],0), MATCH(O$139, regions_lb[#Headers],0)),INDEX(lmic_raw_lb[],MATCH($A264,lmic_raw_lb[[setting]:[setting]],0), MATCH(O$139, lmic_raw_lb[#Headers],0)))</f>
        <v>0.7</v>
      </c>
      <c r="P264" s="98">
        <f>IF(INDEX(lmic_raw_lb[],MATCH($A264,lmic_raw_lb[[setting]:[setting]],0), MATCH(P$139, lmic_raw_lb[#Headers],0))=0, INDEX(regions_lb[], MATCH($D264, regions_lb[[setting]:[setting]],0), MATCH(P$139, regions_lb[#Headers],0)),INDEX(lmic_raw_lb[],MATCH($A264,lmic_raw_lb[[setting]:[setting]],0), MATCH(P$139, lmic_raw_lb[#Headers],0)))</f>
        <v>0.05</v>
      </c>
      <c r="Q264" s="98">
        <f>IF(INDEX(lmic_raw_lb[],MATCH($A264,lmic_raw_lb[[setting]:[setting]],0), MATCH(Q$139, lmic_raw_lb[#Headers],0))=0, INDEX(regions_lb[], MATCH($D264, regions_lb[[setting]:[setting]],0), MATCH(Q$139, regions_lb[#Headers],0)),INDEX(lmic_raw_lb[],MATCH($A264,lmic_raw_lb[[setting]:[setting]],0), MATCH(Q$139, lmic_raw_lb[#Headers],0)))</f>
        <v>16.416887322687476</v>
      </c>
      <c r="R264" s="98">
        <f>IF(INDEX(lmic_raw_lb[],MATCH($A264,lmic_raw_lb[[setting]:[setting]],0), MATCH(R$139, lmic_raw_lb[#Headers],0))=0, INDEX(regions_lb[], MATCH($D264, regions_lb[[setting]:[setting]],0), MATCH(R$139, regions_lb[#Headers],0)),INDEX(lmic_raw_lb[],MATCH($A264,lmic_raw_lb[[setting]:[setting]],0), MATCH(R$139, lmic_raw_lb[#Headers],0)))</f>
        <v>44.019105000000003</v>
      </c>
      <c r="S264" s="98">
        <f>IF(INDEX(lmic_raw_lb[],MATCH($A264,lmic_raw_lb[[setting]:[setting]],0), MATCH(S$139, lmic_raw_lb[#Headers],0))=0, INDEX(regions_lb[], MATCH($D264, regions_lb[[setting]:[setting]],0), MATCH(S$139, regions_lb[#Headers],0)),INDEX(lmic_raw_lb[],MATCH($A264,lmic_raw_lb[[setting]:[setting]],0), MATCH(S$139, lmic_raw_lb[#Headers],0)))</f>
        <v>89.374005000000011</v>
      </c>
      <c r="T264" s="98">
        <f>IF(INDEX(lmic_raw_lb[],MATCH($A264,lmic_raw_lb[[setting]:[setting]],0), MATCH(T$139, lmic_raw_lb[#Headers],0))=0, INDEX(regions_lb[], MATCH($D264, regions_lb[[setting]:[setting]],0), MATCH(T$139, regions_lb[#Headers],0)),INDEX(lmic_raw_lb[],MATCH($A264,lmic_raw_lb[[setting]:[setting]],0), MATCH(T$139, lmic_raw_lb[#Headers],0)))</f>
        <v>89.374005000000011</v>
      </c>
      <c r="U264" s="98">
        <f>IF(INDEX(lmic_raw_lb[],MATCH($A264,lmic_raw_lb[[setting]:[setting]],0), MATCH(U$139, lmic_raw_lb[#Headers],0))=0, INDEX(regions_lb[], MATCH($D264, regions_lb[[setting]:[setting]],0), MATCH(U$139, regions_lb[#Headers],0)),INDEX(lmic_raw_lb[],MATCH($A264,lmic_raw_lb[[setting]:[setting]],0), MATCH(U$139, lmic_raw_lb[#Headers],0)))</f>
        <v>89.374005000000011</v>
      </c>
      <c r="V264" s="98">
        <f>IF(INDEX(lmic_raw_lb[],MATCH($A264,lmic_raw_lb[[setting]:[setting]],0), MATCH(V$139, lmic_raw_lb[#Headers],0))=0, INDEX(regions_lb[], MATCH($D264, regions_lb[[setting]:[setting]],0), MATCH(V$139, regions_lb[#Headers],0)),INDEX(lmic_raw_lb[],MATCH($A264,lmic_raw_lb[[setting]:[setting]],0), MATCH(V$139, lmic_raw_lb[#Headers],0)))</f>
        <v>1.4310865771298606</v>
      </c>
      <c r="W264" s="98">
        <f>IF(INDEX(lmic_raw_lb[],MATCH($A264,lmic_raw_lb[[setting]:[setting]],0), MATCH(W$139, lmic_raw_lb[#Headers],0))=0, INDEX(regions_lb[], MATCH($D264, regions_lb[[setting]:[setting]],0), MATCH(W$139, regions_lb[#Headers],0)),INDEX(lmic_raw_lb[],MATCH($A264,lmic_raw_lb[[setting]:[setting]],0), MATCH(W$139, lmic_raw_lb[#Headers],0)))</f>
        <v>1.8867065771298606</v>
      </c>
      <c r="X264" s="98">
        <f>IF(INDEX(lmic_raw_lb[],MATCH($A264,lmic_raw_lb[[setting]:[setting]],0), MATCH(X$139, lmic_raw_lb[#Headers],0))=0, INDEX(regions_lb[], MATCH($D264, regions_lb[[setting]:[setting]],0), MATCH(X$139, regions_lb[#Headers],0)),INDEX(lmic_raw_lb[],MATCH($A264,lmic_raw_lb[[setting]:[setting]],0), MATCH(X$139, lmic_raw_lb[#Headers],0)))</f>
        <v>1.0572203435310075</v>
      </c>
      <c r="Y264" s="98">
        <f>IF(INDEX(lmic_raw_lb[],MATCH($A264,lmic_raw_lb[[setting]:[setting]],0), MATCH(Y$139, lmic_raw_lb[#Headers],0))=0, INDEX(regions_lb[], MATCH($D264, regions_lb[[setting]:[setting]],0), MATCH(Y$139, regions_lb[#Headers],0)),INDEX(lmic_raw_lb[],MATCH($A264,lmic_raw_lb[[setting]:[setting]],0), MATCH(Y$139, lmic_raw_lb[#Headers],0)))</f>
        <v>1.5128403435310074</v>
      </c>
      <c r="Z264" s="98">
        <f>IF(INDEX(lmic_raw_lb[],MATCH($A264,lmic_raw_lb[[setting]:[setting]],0), MATCH(Z$139, lmic_raw_lb[#Headers],0))=0, INDEX(regions_lb[], MATCH($D264, regions_lb[[setting]:[setting]],0), MATCH(Z$139, regions_lb[#Headers],0)),INDEX(lmic_raw_lb[],MATCH($A264,lmic_raw_lb[[setting]:[setting]],0), MATCH(Z$139, lmic_raw_lb[#Headers],0)))</f>
        <v>1.5050747297450657</v>
      </c>
      <c r="AA264" s="98">
        <f>IF(INDEX(lmic_raw_lb[],MATCH($A264,lmic_raw_lb[[setting]:[setting]],0), MATCH(AA$139, lmic_raw_lb[#Headers],0))=0, INDEX(regions_lb[], MATCH($D264, regions_lb[[setting]:[setting]],0), MATCH(AA$139, regions_lb[#Headers],0)),INDEX(lmic_raw_lb[],MATCH($A264,lmic_raw_lb[[setting]:[setting]],0), MATCH(AA$139, lmic_raw_lb[#Headers],0)))</f>
        <v>1.6459564946221528</v>
      </c>
      <c r="AB264" s="98">
        <f>IF(INDEX(lmic_raw_lb[],MATCH($A264,lmic_raw_lb[[setting]:[setting]],0), MATCH(AB$139, lmic_raw_lb[#Headers],0))=0, INDEX(regions_lb[], MATCH($D264, regions_lb[[setting]:[setting]],0), MATCH(AB$139, regions_lb[#Headers],0)),INDEX(lmic_raw_lb[],MATCH($A264,lmic_raw_lb[[setting]:[setting]],0), MATCH(AB$139, lmic_raw_lb[#Headers],0)))</f>
        <v>2.1015764946221527</v>
      </c>
      <c r="AC264" s="98">
        <f>IF(INDEX(lmic_raw_lb[],MATCH($A264,lmic_raw_lb[[setting]:[setting]],0), MATCH(AC$139, lmic_raw_lb[#Headers],0))=0, INDEX(regions_lb[], MATCH($D264, regions_lb[[setting]:[setting]],0), MATCH(AC$139, regions_lb[#Headers],0)),INDEX(lmic_raw_lb[],MATCH($A264,lmic_raw_lb[[setting]:[setting]],0), MATCH(AC$139, lmic_raw_lb[#Headers],0)))</f>
        <v>8.4564249999999445E-3</v>
      </c>
      <c r="AD264" s="98">
        <f>IF(INDEX(lmic_raw_lb[],MATCH($A264,lmic_raw_lb[[setting]:[setting]],0), MATCH(AD$139, lmic_raw_lb[#Headers],0))=0, INDEX(regions_lb[], MATCH($D264, regions_lb[[setting]:[setting]],0), MATCH(AD$139, regions_lb[#Headers],0)),INDEX(lmic_raw_lb[],MATCH($A264,lmic_raw_lb[[setting]:[setting]],0), MATCH(AD$139, lmic_raw_lb[#Headers],0)))</f>
        <v>1.0421691184075087E-3</v>
      </c>
      <c r="AE264" s="98">
        <f>IF(INDEX(lmic_raw_lb[],MATCH($A264,lmic_raw_lb[[setting]:[setting]],0), MATCH(AE$139, lmic_raw_lb[#Headers],0))=0, INDEX(regions_lb[], MATCH($D264, regions_lb[[setting]:[setting]],0), MATCH(AE$139, regions_lb[#Headers],0)),INDEX(lmic_raw_lb[],MATCH($A264,lmic_raw_lb[[setting]:[setting]],0), MATCH(AE$139, lmic_raw_lb[#Headers],0)))</f>
        <v>6.4822045814506228E-4</v>
      </c>
      <c r="AF264" s="98">
        <f>IF(INDEX(lmic_raw_lb[],MATCH($A264,lmic_raw_lb[[setting]:[setting]],0), MATCH(AF$139, lmic_raw_lb[#Headers],0))=0, INDEX(regions_lb[], MATCH($D264, regions_lb[[setting]:[setting]],0), MATCH(AF$139, regions_lb[#Headers],0)),INDEX(lmic_raw_lb[],MATCH($A264,lmic_raw_lb[[setting]:[setting]],0), MATCH(AF$139, lmic_raw_lb[#Headers],0)))</f>
        <v>5.5379175763665565E-4</v>
      </c>
      <c r="AG264" s="98">
        <f>IF(INDEX(lmic_raw_lb[],MATCH($A264,lmic_raw_lb[[setting]:[setting]],0), MATCH(AG$139, lmic_raw_lb[#Headers],0))=0, INDEX(regions_lb[], MATCH($D264, regions_lb[[setting]:[setting]],0), MATCH(AG$139, regions_lb[#Headers],0)),INDEX(lmic_raw_lb[],MATCH($A264,lmic_raw_lb[[setting]:[setting]],0), MATCH(AG$139, lmic_raw_lb[#Headers],0)))</f>
        <v>6.5703029200704784E-4</v>
      </c>
      <c r="AH264" s="98">
        <f>IF(INDEX(lmic_raw_lb[],MATCH($A264,lmic_raw_lb[[setting]:[setting]],0), MATCH(AH$139, lmic_raw_lb[#Headers],0))=0, INDEX(regions_lb[], MATCH($D264, regions_lb[[setting]:[setting]],0), MATCH(AH$139, regions_lb[#Headers],0)),INDEX(lmic_raw_lb[],MATCH($A264,lmic_raw_lb[[setting]:[setting]],0), MATCH(AH$139, lmic_raw_lb[#Headers],0)))</f>
        <v>9.1296930510685625E-4</v>
      </c>
      <c r="AI264" s="98">
        <f>IF(INDEX(lmic_raw_lb[],MATCH($A264,lmic_raw_lb[[setting]:[setting]],0), MATCH(AI$139, lmic_raw_lb[#Headers],0))=0, INDEX(regions_lb[], MATCH($D264, regions_lb[[setting]:[setting]],0), MATCH(AI$139, regions_lb[#Headers],0)),INDEX(lmic_raw_lb[],MATCH($A264,lmic_raw_lb[[setting]:[setting]],0), MATCH(AI$139, lmic_raw_lb[#Headers],0)))</f>
        <v>1.1156362199813777E-3</v>
      </c>
      <c r="AJ264" s="98">
        <f>IF(INDEX(lmic_raw_lb[],MATCH($A264,lmic_raw_lb[[setting]:[setting]],0), MATCH(AJ$139, lmic_raw_lb[#Headers],0))=0, INDEX(regions_lb[], MATCH($D264, regions_lb[[setting]:[setting]],0), MATCH(AJ$139, regions_lb[#Headers],0)),INDEX(lmic_raw_lb[],MATCH($A264,lmic_raw_lb[[setting]:[setting]],0), MATCH(AJ$139, lmic_raw_lb[#Headers],0)))</f>
        <v>1.3084990666076151E-3</v>
      </c>
      <c r="AK264" s="98">
        <f>IF(INDEX(lmic_raw_lb[],MATCH($A264,lmic_raw_lb[[setting]:[setting]],0), MATCH(AK$139, lmic_raw_lb[#Headers],0))=0, INDEX(regions_lb[], MATCH($D264, regions_lb[[setting]:[setting]],0), MATCH(AK$139, regions_lb[#Headers],0)),INDEX(lmic_raw_lb[],MATCH($A264,lmic_raw_lb[[setting]:[setting]],0), MATCH(AK$139, lmic_raw_lb[#Headers],0)))</f>
        <v>1.5507449909580358E-3</v>
      </c>
      <c r="AL264" s="98">
        <f>IF(INDEX(lmic_raw_lb[],MATCH($A264,lmic_raw_lb[[setting]:[setting]],0), MATCH(AL$139, lmic_raw_lb[#Headers],0))=0, INDEX(regions_lb[], MATCH($D264, regions_lb[[setting]:[setting]],0), MATCH(AL$139, regions_lb[#Headers],0)),INDEX(lmic_raw_lb[],MATCH($A264,lmic_raw_lb[[setting]:[setting]],0), MATCH(AL$139, lmic_raw_lb[#Headers],0)))</f>
        <v>1.9034709217116033E-3</v>
      </c>
      <c r="AM264" s="98">
        <f>IF(INDEX(lmic_raw_lb[],MATCH($A264,lmic_raw_lb[[setting]:[setting]],0), MATCH(AM$139, lmic_raw_lb[#Headers],0))=0, INDEX(regions_lb[], MATCH($D264, regions_lb[[setting]:[setting]],0), MATCH(AM$139, regions_lb[#Headers],0)),INDEX(lmic_raw_lb[],MATCH($A264,lmic_raw_lb[[setting]:[setting]],0), MATCH(AM$139, lmic_raw_lb[#Headers],0)))</f>
        <v>2.4609762638277332E-3</v>
      </c>
      <c r="AN264" s="98">
        <f>IF(INDEX(lmic_raw_lb[],MATCH($A264,lmic_raw_lb[[setting]:[setting]],0), MATCH(AN$139, lmic_raw_lb[#Headers],0))=0, INDEX(regions_lb[], MATCH($D264, regions_lb[[setting]:[setting]],0), MATCH(AN$139, regions_lb[#Headers],0)),INDEX(lmic_raw_lb[],MATCH($A264,lmic_raw_lb[[setting]:[setting]],0), MATCH(AN$139, lmic_raw_lb[#Headers],0)))</f>
        <v>3.3569917204780315E-3</v>
      </c>
      <c r="AO264" s="98">
        <f>IF(INDEX(lmic_raw_lb[],MATCH($A264,lmic_raw_lb[[setting]:[setting]],0), MATCH(AO$139, lmic_raw_lb[#Headers],0))=0, INDEX(regions_lb[], MATCH($D264, regions_lb[[setting]:[setting]],0), MATCH(AO$139, regions_lb[#Headers],0)),INDEX(lmic_raw_lb[],MATCH($A264,lmic_raw_lb[[setting]:[setting]],0), MATCH(AO$139, lmic_raw_lb[#Headers],0)))</f>
        <v>4.9724966456522008E-3</v>
      </c>
      <c r="AP264" s="98">
        <f>IF(INDEX(lmic_raw_lb[],MATCH($A264,lmic_raw_lb[[setting]:[setting]],0), MATCH(AP$139, lmic_raw_lb[#Headers],0))=0, INDEX(regions_lb[], MATCH($D264, regions_lb[[setting]:[setting]],0), MATCH(AP$139, regions_lb[#Headers],0)),INDEX(lmic_raw_lb[],MATCH($A264,lmic_raw_lb[[setting]:[setting]],0), MATCH(AP$139, lmic_raw_lb[#Headers],0)))</f>
        <v>7.7341605555831259E-3</v>
      </c>
      <c r="AQ264" s="98">
        <f>IF(INDEX(lmic_raw_lb[],MATCH($A264,lmic_raw_lb[[setting]:[setting]],0), MATCH(AQ$139, lmic_raw_lb[#Headers],0))=0, INDEX(regions_lb[], MATCH($D264, regions_lb[[setting]:[setting]],0), MATCH(AQ$139, regions_lb[#Headers],0)),INDEX(lmic_raw_lb[],MATCH($A264,lmic_raw_lb[[setting]:[setting]],0), MATCH(AQ$139, lmic_raw_lb[#Headers],0)))</f>
        <v>1.2591020888198383E-2</v>
      </c>
      <c r="AR264" s="98">
        <f>IF(INDEX(lmic_raw_lb[],MATCH($A264,lmic_raw_lb[[setting]:[setting]],0), MATCH(AR$139, lmic_raw_lb[#Headers],0))=0, INDEX(regions_lb[], MATCH($D264, regions_lb[[setting]:[setting]],0), MATCH(AR$139, regions_lb[#Headers],0)),INDEX(lmic_raw_lb[],MATCH($A264,lmic_raw_lb[[setting]:[setting]],0), MATCH(AR$139, lmic_raw_lb[#Headers],0)))</f>
        <v>2.2501919797720666E-2</v>
      </c>
      <c r="AS264" s="98">
        <f>IF(INDEX(lmic_raw_lb[],MATCH($A264,lmic_raw_lb[[setting]:[setting]],0), MATCH(AS$139, lmic_raw_lb[#Headers],0))=0, INDEX(regions_lb[], MATCH($D264, regions_lb[[setting]:[setting]],0), MATCH(AS$139, regions_lb[#Headers],0)),INDEX(lmic_raw_lb[],MATCH($A264,lmic_raw_lb[[setting]:[setting]],0), MATCH(AS$139, lmic_raw_lb[#Headers],0)))</f>
        <v>3.9819690670288843E-2</v>
      </c>
      <c r="AT264" s="98">
        <f>IF(INDEX(lmic_raw_lb[],MATCH($A264,lmic_raw_lb[[setting]:[setting]],0), MATCH(AT$139, lmic_raw_lb[#Headers],0))=0, INDEX(regions_lb[], MATCH($D264, regions_lb[[setting]:[setting]],0), MATCH(AT$139, regions_lb[#Headers],0)),INDEX(lmic_raw_lb[],MATCH($A264,lmic_raw_lb[[setting]:[setting]],0), MATCH(AT$139, lmic_raw_lb[#Headers],0)))</f>
        <v>6.5836572399523716E-2</v>
      </c>
      <c r="AU264" s="98">
        <f>IF(INDEX(lmic_raw_lb[],MATCH($A264,lmic_raw_lb[[setting]:[setting]],0), MATCH(AU$139, lmic_raw_lb[#Headers],0))=0, INDEX(regions_lb[], MATCH($D264, regions_lb[[setting]:[setting]],0), MATCH(AU$139, regions_lb[#Headers],0)),INDEX(lmic_raw_lb[],MATCH($A264,lmic_raw_lb[[setting]:[setting]],0), MATCH(AU$139, lmic_raw_lb[#Headers],0)))</f>
        <v>9.8746977446668258E-2</v>
      </c>
      <c r="AV264" s="98">
        <f>IF(INDEX(lmic_raw_lb[],MATCH($A264,lmic_raw_lb[[setting]:[setting]],0), MATCH(AV$139, lmic_raw_lb[#Headers],0))=0, INDEX(regions_lb[], MATCH($D264, regions_lb[[setting]:[setting]],0), MATCH(AV$139, regions_lb[#Headers],0)),INDEX(lmic_raw_lb[],MATCH($A264,lmic_raw_lb[[setting]:[setting]],0), MATCH(AV$139, lmic_raw_lb[#Headers],0)))</f>
        <v>0.13286585200449091</v>
      </c>
      <c r="AW264" s="98">
        <f>IF(INDEX(lmic_raw_lb[],MATCH($A264,lmic_raw_lb[[setting]:[setting]],0), MATCH(AW$139, lmic_raw_lb[#Headers],0))=0, INDEX(regions_lb[], MATCH($D264, regions_lb[[setting]:[setting]],0), MATCH(AW$139, regions_lb[#Headers],0)),INDEX(lmic_raw_lb[],MATCH($A264,lmic_raw_lb[[setting]:[setting]],0), MATCH(AW$139, lmic_raw_lb[#Headers],0)))</f>
        <v>0.15986247594708572</v>
      </c>
      <c r="AX264" s="98">
        <f>IF(INDEX(lmic_raw_lb[],MATCH($A264,lmic_raw_lb[[setting]:[setting]],0), MATCH(AX$139, lmic_raw_lb[#Headers],0))=0, INDEX(regions_lb[], MATCH($D264, regions_lb[[setting]:[setting]],0), MATCH(AX$139, regions_lb[#Headers],0)),INDEX(lmic_raw_lb[],MATCH($A264,lmic_raw_lb[[setting]:[setting]],0), MATCH(AX$139, lmic_raw_lb[#Headers],0)))</f>
        <v>73.441649999999996</v>
      </c>
      <c r="AY264" s="98" t="str">
        <f>IF(VLOOKUP(lmics_lb[[#This Row],[setting]],lmic_raw_lb[],11,FALSE)=0, "Yes", "No")</f>
        <v>No</v>
      </c>
    </row>
    <row r="265" spans="1:51" x14ac:dyDescent="0.25">
      <c r="A265" s="110" t="s">
        <v>188</v>
      </c>
      <c r="B265" s="104" t="s">
        <v>529</v>
      </c>
      <c r="C265" s="105">
        <v>795</v>
      </c>
      <c r="D265" s="84" t="s">
        <v>675</v>
      </c>
      <c r="E265" s="122" t="s">
        <v>184</v>
      </c>
      <c r="F265" s="94" t="s">
        <v>663</v>
      </c>
      <c r="G265" s="94" t="s">
        <v>676</v>
      </c>
      <c r="H265" s="94"/>
      <c r="I265" s="94"/>
      <c r="J265" s="94">
        <f>IF(INDEX(lmic_raw_lb[],MATCH($A265,lmic_raw_lb[[setting]:[setting]],0), MATCH(J$139, lmic_raw_lb[#Headers],0))=0, INDEX(regions_lb[], MATCH($D265, regions_lb[[setting]:[setting]],0), MATCH(J$139, regions_lb[#Headers],0)),INDEX(lmic_raw_lb[],MATCH($A265,lmic_raw_lb[[setting]:[setting]],0), MATCH(J$139, lmic_raw_lb[#Headers],0)))</f>
        <v>0.949905</v>
      </c>
      <c r="K265" s="94">
        <f>IF(INDEX(lmic_raw_lb[],MATCH($A265,lmic_raw_lb[[setting]:[setting]],0), MATCH(K$139, lmic_raw_lb[#Headers],0))=0, INDEX(regions_lb[], MATCH($D265, regions_lb[[setting]:[setting]],0), MATCH(K$139, regions_lb[#Headers],0)),INDEX(lmic_raw_lb[],MATCH($A265,lmic_raw_lb[[setting]:[setting]],0), MATCH(K$139, lmic_raw_lb[#Headers],0)))</f>
        <v>0.9405</v>
      </c>
      <c r="L265" s="94">
        <f>IF(INDEX(lmic_raw_lb[],MATCH($A265,lmic_raw_lb[[setting]:[setting]],0), MATCH(L$139, lmic_raw_lb[#Headers],0))=0, INDEX(regions_lb[], MATCH($D265, regions_lb[[setting]:[setting]],0), MATCH(L$139, regions_lb[#Headers],0)),INDEX(lmic_raw_lb[],MATCH($A265,lmic_raw_lb[[setting]:[setting]],0), MATCH(L$139, lmic_raw_lb[#Headers],0)))</f>
        <v>0.9405</v>
      </c>
      <c r="M265" s="94">
        <f>IF(INDEX(lmic_raw_lb[],MATCH($A265,lmic_raw_lb[[setting]:[setting]],0), MATCH(M$139, lmic_raw_lb[#Headers],0))=0, INDEX(regions_lb[], MATCH($D265, regions_lb[[setting]:[setting]],0), MATCH(M$139, regions_lb[#Headers],0)),INDEX(lmic_raw_lb[],MATCH($A265,lmic_raw_lb[[setting]:[setting]],0), MATCH(M$139, lmic_raw_lb[#Headers],0)))</f>
        <v>1.9E-3</v>
      </c>
      <c r="N265" s="94">
        <f>IF(INDEX(lmic_raw_lb[],MATCH($A265,lmic_raw_lb[[setting]:[setting]],0), MATCH(N$139, lmic_raw_lb[#Headers],0))=0, INDEX(regions_lb[], MATCH($D265, regions_lb[[setting]:[setting]],0), MATCH(N$139, regions_lb[#Headers],0)),INDEX(lmic_raw_lb[],MATCH($A265,lmic_raw_lb[[setting]:[setting]],0), MATCH(N$139, lmic_raw_lb[#Headers],0)))</f>
        <v>0.16309999999999999</v>
      </c>
      <c r="O265" s="94">
        <f>IF(INDEX(lmic_raw_lb[],MATCH($A265,lmic_raw_lb[[setting]:[setting]],0), MATCH(O$139, lmic_raw_lb[#Headers],0))=0, INDEX(regions_lb[], MATCH($D265, regions_lb[[setting]:[setting]],0), MATCH(O$139, regions_lb[#Headers],0)),INDEX(lmic_raw_lb[],MATCH($A265,lmic_raw_lb[[setting]:[setting]],0), MATCH(O$139, lmic_raw_lb[#Headers],0)))</f>
        <v>0.7</v>
      </c>
      <c r="P265" s="94">
        <f>IF(INDEX(lmic_raw_lb[],MATCH($A265,lmic_raw_lb[[setting]:[setting]],0), MATCH(P$139, lmic_raw_lb[#Headers],0))=0, INDEX(regions_lb[], MATCH($D265, regions_lb[[setting]:[setting]],0), MATCH(P$139, regions_lb[#Headers],0)),INDEX(lmic_raw_lb[],MATCH($A265,lmic_raw_lb[[setting]:[setting]],0), MATCH(P$139, lmic_raw_lb[#Headers],0)))</f>
        <v>0.05</v>
      </c>
      <c r="Q265" s="94">
        <f>IF(INDEX(lmic_raw_lb[],MATCH($A265,lmic_raw_lb[[setting]:[setting]],0), MATCH(Q$139, lmic_raw_lb[#Headers],0))=0, INDEX(regions_lb[], MATCH($D265, regions_lb[[setting]:[setting]],0), MATCH(Q$139, regions_lb[#Headers],0)),INDEX(lmic_raw_lb[],MATCH($A265,lmic_raw_lb[[setting]:[setting]],0), MATCH(Q$139, lmic_raw_lb[#Headers],0)))</f>
        <v>7.599369960517449</v>
      </c>
      <c r="R265" s="94">
        <f>IF(INDEX(lmic_raw_lb[],MATCH($A265,lmic_raw_lb[[setting]:[setting]],0), MATCH(R$139, lmic_raw_lb[#Headers],0))=0, INDEX(regions_lb[], MATCH($D265, regions_lb[[setting]:[setting]],0), MATCH(R$139, regions_lb[#Headers],0)),INDEX(lmic_raw_lb[],MATCH($A265,lmic_raw_lb[[setting]:[setting]],0), MATCH(R$139, lmic_raw_lb[#Headers],0)))</f>
        <v>42.31053</v>
      </c>
      <c r="S265" s="94">
        <f>IF(INDEX(lmic_raw_lb[],MATCH($A265,lmic_raw_lb[[setting]:[setting]],0), MATCH(S$139, lmic_raw_lb[#Headers],0))=0, INDEX(regions_lb[], MATCH($D265, regions_lb[[setting]:[setting]],0), MATCH(S$139, regions_lb[#Headers],0)),INDEX(lmic_raw_lb[],MATCH($A265,lmic_raw_lb[[setting]:[setting]],0), MATCH(S$139, lmic_raw_lb[#Headers],0)))</f>
        <v>87.665430000000001</v>
      </c>
      <c r="T265" s="94">
        <f>IF(INDEX(lmic_raw_lb[],MATCH($A265,lmic_raw_lb[[setting]:[setting]],0), MATCH(T$139, lmic_raw_lb[#Headers],0))=0, INDEX(regions_lb[], MATCH($D265, regions_lb[[setting]:[setting]],0), MATCH(T$139, regions_lb[#Headers],0)),INDEX(lmic_raw_lb[],MATCH($A265,lmic_raw_lb[[setting]:[setting]],0), MATCH(T$139, lmic_raw_lb[#Headers],0)))</f>
        <v>87.665430000000001</v>
      </c>
      <c r="U265" s="94">
        <f>IF(INDEX(lmic_raw_lb[],MATCH($A265,lmic_raw_lb[[setting]:[setting]],0), MATCH(U$139, lmic_raw_lb[#Headers],0))=0, INDEX(regions_lb[], MATCH($D265, regions_lb[[setting]:[setting]],0), MATCH(U$139, regions_lb[#Headers],0)),INDEX(lmic_raw_lb[],MATCH($A265,lmic_raw_lb[[setting]:[setting]],0), MATCH(U$139, lmic_raw_lb[#Headers],0)))</f>
        <v>87.665430000000001</v>
      </c>
      <c r="V265" s="94">
        <f>IF(INDEX(lmic_raw_lb[],MATCH($A265,lmic_raw_lb[[setting]:[setting]],0), MATCH(V$139, lmic_raw_lb[#Headers],0))=0, INDEX(regions_lb[], MATCH($D265, regions_lb[[setting]:[setting]],0), MATCH(V$139, regions_lb[#Headers],0)),INDEX(lmic_raw_lb[],MATCH($A265,lmic_raw_lb[[setting]:[setting]],0), MATCH(V$139, lmic_raw_lb[#Headers],0)))</f>
        <v>2.8968546485049771</v>
      </c>
      <c r="W265" s="94">
        <f>IF(INDEX(lmic_raw_lb[],MATCH($A265,lmic_raw_lb[[setting]:[setting]],0), MATCH(W$139, lmic_raw_lb[#Headers],0))=0, INDEX(regions_lb[], MATCH($D265, regions_lb[[setting]:[setting]],0), MATCH(W$139, regions_lb[#Headers],0)),INDEX(lmic_raw_lb[],MATCH($A265,lmic_raw_lb[[setting]:[setting]],0), MATCH(W$139, lmic_raw_lb[#Headers],0)))</f>
        <v>6.7592696485049775</v>
      </c>
      <c r="X265" s="94">
        <f>IF(INDEX(lmic_raw_lb[],MATCH($A265,lmic_raw_lb[[setting]:[setting]],0), MATCH(X$139, lmic_raw_lb[#Headers],0))=0, INDEX(regions_lb[], MATCH($D265, regions_lb[[setting]:[setting]],0), MATCH(X$139, regions_lb[#Headers],0)),INDEX(lmic_raw_lb[],MATCH($A265,lmic_raw_lb[[setting]:[setting]],0), MATCH(X$139, lmic_raw_lb[#Headers],0)))</f>
        <v>2.5259250913987232</v>
      </c>
      <c r="Y265" s="94">
        <f>IF(INDEX(lmic_raw_lb[],MATCH($A265,lmic_raw_lb[[setting]:[setting]],0), MATCH(Y$139, lmic_raw_lb[#Headers],0))=0, INDEX(regions_lb[], MATCH($D265, regions_lb[[setting]:[setting]],0), MATCH(Y$139, regions_lb[#Headers],0)),INDEX(lmic_raw_lb[],MATCH($A265,lmic_raw_lb[[setting]:[setting]],0), MATCH(Y$139, lmic_raw_lb[#Headers],0)))</f>
        <v>6.3883400913987236</v>
      </c>
      <c r="Z265" s="94">
        <f>IF(INDEX(lmic_raw_lb[],MATCH($A265,lmic_raw_lb[[setting]:[setting]],0), MATCH(Z$139, lmic_raw_lb[#Headers],0))=0, INDEX(regions_lb[], MATCH($D265, regions_lb[[setting]:[setting]],0), MATCH(Z$139, regions_lb[#Headers],0)),INDEX(lmic_raw_lb[],MATCH($A265,lmic_raw_lb[[setting]:[setting]],0), MATCH(Z$139, lmic_raw_lb[#Headers],0)))</f>
        <v>6.3826031373717749</v>
      </c>
      <c r="AA265" s="94">
        <f>IF(INDEX(lmic_raw_lb[],MATCH($A265,lmic_raw_lb[[setting]:[setting]],0), MATCH(AA$139, lmic_raw_lb[#Headers],0))=0, INDEX(regions_lb[], MATCH($D265, regions_lb[[setting]:[setting]],0), MATCH(AA$139, regions_lb[#Headers],0)),INDEX(lmic_raw_lb[],MATCH($A265,lmic_raw_lb[[setting]:[setting]],0), MATCH(AA$139, lmic_raw_lb[#Headers],0)))</f>
        <v>3.1104659903575835</v>
      </c>
      <c r="AB265" s="94">
        <f>IF(INDEX(lmic_raw_lb[],MATCH($A265,lmic_raw_lb[[setting]:[setting]],0), MATCH(AB$139, lmic_raw_lb[#Headers],0))=0, INDEX(regions_lb[], MATCH($D265, regions_lb[[setting]:[setting]],0), MATCH(AB$139, regions_lb[#Headers],0)),INDEX(lmic_raw_lb[],MATCH($A265,lmic_raw_lb[[setting]:[setting]],0), MATCH(AB$139, lmic_raw_lb[#Headers],0)))</f>
        <v>6.9728809903575844</v>
      </c>
      <c r="AC265" s="94">
        <f>IF(INDEX(lmic_raw_lb[],MATCH($A265,lmic_raw_lb[[setting]:[setting]],0), MATCH(AC$139, lmic_raw_lb[#Headers],0))=0, INDEX(regions_lb[], MATCH($D265, regions_lb[[setting]:[setting]],0), MATCH(AC$139, regions_lb[#Headers],0)),INDEX(lmic_raw_lb[],MATCH($A265,lmic_raw_lb[[setting]:[setting]],0), MATCH(AC$139, lmic_raw_lb[#Headers],0)))</f>
        <v>4.1146637500000055E-2</v>
      </c>
      <c r="AD265" s="94">
        <f>IF(INDEX(lmic_raw_lb[],MATCH($A265,lmic_raw_lb[[setting]:[setting]],0), MATCH(AD$139, lmic_raw_lb[#Headers],0))=0, INDEX(regions_lb[], MATCH($D265, regions_lb[[setting]:[setting]],0), MATCH(AD$139, regions_lb[#Headers],0)),INDEX(lmic_raw_lb[],MATCH($A265,lmic_raw_lb[[setting]:[setting]],0), MATCH(AD$139, lmic_raw_lb[#Headers],0)))</f>
        <v>2.0232443919136513E-3</v>
      </c>
      <c r="AE265" s="94">
        <f>IF(INDEX(lmic_raw_lb[],MATCH($A265,lmic_raw_lb[[setting]:[setting]],0), MATCH(AE$139, lmic_raw_lb[#Headers],0))=0, INDEX(regions_lb[], MATCH($D265, regions_lb[[setting]:[setting]],0), MATCH(AE$139, regions_lb[#Headers],0)),INDEX(lmic_raw_lb[],MATCH($A265,lmic_raw_lb[[setting]:[setting]],0), MATCH(AE$139, lmic_raw_lb[#Headers],0)))</f>
        <v>3.6683862256201558E-4</v>
      </c>
      <c r="AF265" s="94">
        <f>IF(INDEX(lmic_raw_lb[],MATCH($A265,lmic_raw_lb[[setting]:[setting]],0), MATCH(AF$139, lmic_raw_lb[#Headers],0))=0, INDEX(regions_lb[], MATCH($D265, regions_lb[[setting]:[setting]],0), MATCH(AF$139, regions_lb[#Headers],0)),INDEX(lmic_raw_lb[],MATCH($A265,lmic_raw_lb[[setting]:[setting]],0), MATCH(AF$139, lmic_raw_lb[#Headers],0)))</f>
        <v>3.5962278190081567E-4</v>
      </c>
      <c r="AG265" s="94">
        <f>IF(INDEX(lmic_raw_lb[],MATCH($A265,lmic_raw_lb[[setting]:[setting]],0), MATCH(AG$139, lmic_raw_lb[#Headers],0))=0, INDEX(regions_lb[], MATCH($D265, regions_lb[[setting]:[setting]],0), MATCH(AG$139, regions_lb[#Headers],0)),INDEX(lmic_raw_lb[],MATCH($A265,lmic_raw_lb[[setting]:[setting]],0), MATCH(AG$139, lmic_raw_lb[#Headers],0)))</f>
        <v>8.2895749673871566E-4</v>
      </c>
      <c r="AH265" s="94">
        <f>IF(INDEX(lmic_raw_lb[],MATCH($A265,lmic_raw_lb[[setting]:[setting]],0), MATCH(AH$139, lmic_raw_lb[#Headers],0))=0, INDEX(regions_lb[], MATCH($D265, regions_lb[[setting]:[setting]],0), MATCH(AH$139, regions_lb[#Headers],0)),INDEX(lmic_raw_lb[],MATCH($A265,lmic_raw_lb[[setting]:[setting]],0), MATCH(AH$139, lmic_raw_lb[#Headers],0)))</f>
        <v>1.1107501504450845E-3</v>
      </c>
      <c r="AI265" s="94">
        <f>IF(INDEX(lmic_raw_lb[],MATCH($A265,lmic_raw_lb[[setting]:[setting]],0), MATCH(AI$139, lmic_raw_lb[#Headers],0))=0, INDEX(regions_lb[], MATCH($D265, regions_lb[[setting]:[setting]],0), MATCH(AI$139, regions_lb[#Headers],0)),INDEX(lmic_raw_lb[],MATCH($A265,lmic_raw_lb[[setting]:[setting]],0), MATCH(AI$139, lmic_raw_lb[#Headers],0)))</f>
        <v>1.4327499401443626E-3</v>
      </c>
      <c r="AJ265" s="94">
        <f>IF(INDEX(lmic_raw_lb[],MATCH($A265,lmic_raw_lb[[setting]:[setting]],0), MATCH(AJ$139, lmic_raw_lb[#Headers],0))=0, INDEX(regions_lb[], MATCH($D265, regions_lb[[setting]:[setting]],0), MATCH(AJ$139, regions_lb[#Headers],0)),INDEX(lmic_raw_lb[],MATCH($A265,lmic_raw_lb[[setting]:[setting]],0), MATCH(AJ$139, lmic_raw_lb[#Headers],0)))</f>
        <v>1.9559287299645146E-3</v>
      </c>
      <c r="AK265" s="94">
        <f>IF(INDEX(lmic_raw_lb[],MATCH($A265,lmic_raw_lb[[setting]:[setting]],0), MATCH(AK$139, lmic_raw_lb[#Headers],0))=0, INDEX(regions_lb[], MATCH($D265, regions_lb[[setting]:[setting]],0), MATCH(AK$139, regions_lb[#Headers],0)),INDEX(lmic_raw_lb[],MATCH($A265,lmic_raw_lb[[setting]:[setting]],0), MATCH(AK$139, lmic_raw_lb[#Headers],0)))</f>
        <v>2.7638307797736229E-3</v>
      </c>
      <c r="AL265" s="94">
        <f>IF(INDEX(lmic_raw_lb[],MATCH($A265,lmic_raw_lb[[setting]:[setting]],0), MATCH(AL$139, lmic_raw_lb[#Headers],0))=0, INDEX(regions_lb[], MATCH($D265, regions_lb[[setting]:[setting]],0), MATCH(AL$139, regions_lb[#Headers],0)),INDEX(lmic_raw_lb[],MATCH($A265,lmic_raw_lb[[setting]:[setting]],0), MATCH(AL$139, lmic_raw_lb[#Headers],0)))</f>
        <v>3.8999405679726704E-3</v>
      </c>
      <c r="AM265" s="94">
        <f>IF(INDEX(lmic_raw_lb[],MATCH($A265,lmic_raw_lb[[setting]:[setting]],0), MATCH(AM$139, lmic_raw_lb[#Headers],0))=0, INDEX(regions_lb[], MATCH($D265, regions_lb[[setting]:[setting]],0), MATCH(AM$139, regions_lb[#Headers],0)),INDEX(lmic_raw_lb[],MATCH($A265,lmic_raw_lb[[setting]:[setting]],0), MATCH(AM$139, lmic_raw_lb[#Headers],0)))</f>
        <v>5.4123785357637249E-3</v>
      </c>
      <c r="AN265" s="94">
        <f>IF(INDEX(lmic_raw_lb[],MATCH($A265,lmic_raw_lb[[setting]:[setting]],0), MATCH(AN$139, lmic_raw_lb[#Headers],0))=0, INDEX(regions_lb[], MATCH($D265, regions_lb[[setting]:[setting]],0), MATCH(AN$139, regions_lb[#Headers],0)),INDEX(lmic_raw_lb[],MATCH($A265,lmic_raw_lb[[setting]:[setting]],0), MATCH(AN$139, lmic_raw_lb[#Headers],0)))</f>
        <v>8.4984812779280924E-3</v>
      </c>
      <c r="AO265" s="94">
        <f>IF(INDEX(lmic_raw_lb[],MATCH($A265,lmic_raw_lb[[setting]:[setting]],0), MATCH(AO$139, lmic_raw_lb[#Headers],0))=0, INDEX(regions_lb[], MATCH($D265, regions_lb[[setting]:[setting]],0), MATCH(AO$139, regions_lb[#Headers],0)),INDEX(lmic_raw_lb[],MATCH($A265,lmic_raw_lb[[setting]:[setting]],0), MATCH(AO$139, lmic_raw_lb[#Headers],0)))</f>
        <v>1.2486325842538124E-2</v>
      </c>
      <c r="AP265" s="94">
        <f>IF(INDEX(lmic_raw_lb[],MATCH($A265,lmic_raw_lb[[setting]:[setting]],0), MATCH(AP$139, lmic_raw_lb[#Headers],0))=0, INDEX(regions_lb[], MATCH($D265, regions_lb[[setting]:[setting]],0), MATCH(AP$139, regions_lb[#Headers],0)),INDEX(lmic_raw_lb[],MATCH($A265,lmic_raw_lb[[setting]:[setting]],0), MATCH(AP$139, lmic_raw_lb[#Headers],0)))</f>
        <v>2.0551613239709342E-2</v>
      </c>
      <c r="AQ265" s="94">
        <f>IF(INDEX(lmic_raw_lb[],MATCH($A265,lmic_raw_lb[[setting]:[setting]],0), MATCH(AQ$139, lmic_raw_lb[#Headers],0))=0, INDEX(regions_lb[], MATCH($D265, regions_lb[[setting]:[setting]],0), MATCH(AQ$139, regions_lb[#Headers],0)),INDEX(lmic_raw_lb[],MATCH($A265,lmic_raw_lb[[setting]:[setting]],0), MATCH(AQ$139, lmic_raw_lb[#Headers],0)))</f>
        <v>2.648432416332043E-2</v>
      </c>
      <c r="AR265" s="94">
        <f>IF(INDEX(lmic_raw_lb[],MATCH($A265,lmic_raw_lb[[setting]:[setting]],0), MATCH(AR$139, lmic_raw_lb[#Headers],0))=0, INDEX(regions_lb[], MATCH($D265, regions_lb[[setting]:[setting]],0), MATCH(AR$139, regions_lb[#Headers],0)),INDEX(lmic_raw_lb[],MATCH($A265,lmic_raw_lb[[setting]:[setting]],0), MATCH(AR$139, lmic_raw_lb[#Headers],0)))</f>
        <v>4.7713939265110396E-2</v>
      </c>
      <c r="AS265" s="94">
        <f>IF(INDEX(lmic_raw_lb[],MATCH($A265,lmic_raw_lb[[setting]:[setting]],0), MATCH(AS$139, lmic_raw_lb[#Headers],0))=0, INDEX(regions_lb[], MATCH($D265, regions_lb[[setting]:[setting]],0), MATCH(AS$139, regions_lb[#Headers],0)),INDEX(lmic_raw_lb[],MATCH($A265,lmic_raw_lb[[setting]:[setting]],0), MATCH(AS$139, lmic_raw_lb[#Headers],0)))</f>
        <v>5.2015902340051323E-2</v>
      </c>
      <c r="AT265" s="94">
        <f>IF(INDEX(lmic_raw_lb[],MATCH($A265,lmic_raw_lb[[setting]:[setting]],0), MATCH(AT$139, lmic_raw_lb[#Headers],0))=0, INDEX(regions_lb[], MATCH($D265, regions_lb[[setting]:[setting]],0), MATCH(AT$139, regions_lb[#Headers],0)),INDEX(lmic_raw_lb[],MATCH($A265,lmic_raw_lb[[setting]:[setting]],0), MATCH(AT$139, lmic_raw_lb[#Headers],0)))</f>
        <v>8.5331656192873709E-2</v>
      </c>
      <c r="AU265" s="94">
        <f>IF(INDEX(lmic_raw_lb[],MATCH($A265,lmic_raw_lb[[setting]:[setting]],0), MATCH(AU$139, lmic_raw_lb[#Headers],0))=0, INDEX(regions_lb[], MATCH($D265, regions_lb[[setting]:[setting]],0), MATCH(AU$139, regions_lb[#Headers],0)),INDEX(lmic_raw_lb[],MATCH($A265,lmic_raw_lb[[setting]:[setting]],0), MATCH(AU$139, lmic_raw_lb[#Headers],0)))</f>
        <v>0.11309996437800535</v>
      </c>
      <c r="AV265" s="94">
        <f>IF(INDEX(lmic_raw_lb[],MATCH($A265,lmic_raw_lb[[setting]:[setting]],0), MATCH(AV$139, lmic_raw_lb[#Headers],0))=0, INDEX(regions_lb[], MATCH($D265, regions_lb[[setting]:[setting]],0), MATCH(AV$139, regions_lb[#Headers],0)),INDEX(lmic_raw_lb[],MATCH($A265,lmic_raw_lb[[setting]:[setting]],0), MATCH(AV$139, lmic_raw_lb[#Headers],0)))</f>
        <v>0.13985670337863501</v>
      </c>
      <c r="AW265" s="94">
        <f>IF(INDEX(lmic_raw_lb[],MATCH($A265,lmic_raw_lb[[setting]:[setting]],0), MATCH(AW$139, lmic_raw_lb[#Headers],0))=0, INDEX(regions_lb[], MATCH($D265, regions_lb[[setting]:[setting]],0), MATCH(AW$139, regions_lb[#Headers],0)),INDEX(lmic_raw_lb[],MATCH($A265,lmic_raw_lb[[setting]:[setting]],0), MATCH(AW$139, lmic_raw_lb[#Headers],0)))</f>
        <v>0.16040722950004987</v>
      </c>
      <c r="AX265" s="94">
        <f>IF(INDEX(lmic_raw_lb[],MATCH($A265,lmic_raw_lb[[setting]:[setting]],0), MATCH(AX$139, lmic_raw_lb[#Headers],0))=0, INDEX(regions_lb[], MATCH($D265, regions_lb[[setting]:[setting]],0), MATCH(AX$139, regions_lb[#Headers],0)),INDEX(lmic_raw_lb[],MATCH($A265,lmic_raw_lb[[setting]:[setting]],0), MATCH(AX$139, lmic_raw_lb[#Headers],0)))</f>
        <v>64.583849999999998</v>
      </c>
      <c r="AY265" s="94" t="str">
        <f>IF(VLOOKUP(lmics_lb[[#This Row],[setting]],lmic_raw_lb[],11,FALSE)=0, "Yes", "No")</f>
        <v>No</v>
      </c>
    </row>
    <row r="266" spans="1:51" x14ac:dyDescent="0.25">
      <c r="A266" s="109" t="s">
        <v>302</v>
      </c>
      <c r="B266" s="101" t="s">
        <v>530</v>
      </c>
      <c r="C266" s="102">
        <v>798</v>
      </c>
      <c r="D266" s="82" t="s">
        <v>681</v>
      </c>
      <c r="E266" s="121" t="s">
        <v>98</v>
      </c>
      <c r="F266" s="98" t="s">
        <v>666</v>
      </c>
      <c r="G266" s="98" t="s">
        <v>676</v>
      </c>
      <c r="H266" s="98"/>
      <c r="I266" s="98"/>
      <c r="J266" s="98">
        <f>IF(INDEX(lmic_raw_lb[],MATCH($A266,lmic_raw_lb[[setting]:[setting]],0), MATCH(J$139, lmic_raw_lb[#Headers],0))=0, INDEX(regions_lb[], MATCH($D266, regions_lb[[setting]:[setting]],0), MATCH(J$139, regions_lb[#Headers],0)),INDEX(lmic_raw_lb[],MATCH($A266,lmic_raw_lb[[setting]:[setting]],0), MATCH(J$139, lmic_raw_lb[#Headers],0)))</f>
        <v>0.88349999999999995</v>
      </c>
      <c r="K266" s="98">
        <f>IF(INDEX(lmic_raw_lb[],MATCH($A266,lmic_raw_lb[[setting]:[setting]],0), MATCH(K$139, lmic_raw_lb[#Headers],0))=0, INDEX(regions_lb[], MATCH($D266, regions_lb[[setting]:[setting]],0), MATCH(K$139, regions_lb[#Headers],0)),INDEX(lmic_raw_lb[],MATCH($A266,lmic_raw_lb[[setting]:[setting]],0), MATCH(K$139, lmic_raw_lb[#Headers],0)))</f>
        <v>0.93099999999999994</v>
      </c>
      <c r="L266" s="98">
        <f>IF(INDEX(lmic_raw_lb[],MATCH($A266,lmic_raw_lb[[setting]:[setting]],0), MATCH(L$139, lmic_raw_lb[#Headers],0))=0, INDEX(regions_lb[], MATCH($D266, regions_lb[[setting]:[setting]],0), MATCH(L$139, regions_lb[#Headers],0)),INDEX(lmic_raw_lb[],MATCH($A266,lmic_raw_lb[[setting]:[setting]],0), MATCH(L$139, lmic_raw_lb[#Headers],0)))</f>
        <v>0.874</v>
      </c>
      <c r="M266" s="98">
        <f>IF(INDEX(lmic_raw_lb[],MATCH($A266,lmic_raw_lb[[setting]:[setting]],0), MATCH(M$139, lmic_raw_lb[#Headers],0))=0, INDEX(regions_lb[], MATCH($D266, regions_lb[[setting]:[setting]],0), MATCH(M$139, regions_lb[#Headers],0)),INDEX(lmic_raw_lb[],MATCH($A266,lmic_raw_lb[[setting]:[setting]],0), MATCH(M$139, lmic_raw_lb[#Headers],0)))</f>
        <v>2.3E-2</v>
      </c>
      <c r="N266" s="98">
        <f>IF(INDEX(lmic_raw_lb[],MATCH($A266,lmic_raw_lb[[setting]:[setting]],0), MATCH(N$139, lmic_raw_lb[#Headers],0))=0, INDEX(regions_lb[], MATCH($D266, regions_lb[[setting]:[setting]],0), MATCH(N$139, regions_lb[#Headers],0)),INDEX(lmic_raw_lb[],MATCH($A266,lmic_raw_lb[[setting]:[setting]],0), MATCH(N$139, lmic_raw_lb[#Headers],0)))</f>
        <v>0.18307877472872686</v>
      </c>
      <c r="O266" s="98">
        <f>IF(INDEX(lmic_raw_lb[],MATCH($A266,lmic_raw_lb[[setting]:[setting]],0), MATCH(O$139, lmic_raw_lb[#Headers],0))=0, INDEX(regions_lb[], MATCH($D266, regions_lb[[setting]:[setting]],0), MATCH(O$139, regions_lb[#Headers],0)),INDEX(lmic_raw_lb[],MATCH($A266,lmic_raw_lb[[setting]:[setting]],0), MATCH(O$139, lmic_raw_lb[#Headers],0)))</f>
        <v>0.7</v>
      </c>
      <c r="P266" s="98">
        <f>IF(INDEX(lmic_raw_lb[],MATCH($A266,lmic_raw_lb[[setting]:[setting]],0), MATCH(P$139, lmic_raw_lb[#Headers],0))=0, INDEX(regions_lb[], MATCH($D266, regions_lb[[setting]:[setting]],0), MATCH(P$139, regions_lb[#Headers],0)),INDEX(lmic_raw_lb[],MATCH($A266,lmic_raw_lb[[setting]:[setting]],0), MATCH(P$139, lmic_raw_lb[#Headers],0)))</f>
        <v>0.05</v>
      </c>
      <c r="Q266" s="98">
        <f>IF(INDEX(lmic_raw_lb[],MATCH($A266,lmic_raw_lb[[setting]:[setting]],0), MATCH(Q$139, lmic_raw_lb[#Headers],0))=0, INDEX(regions_lb[], MATCH($D266, regions_lb[[setting]:[setting]],0), MATCH(Q$139, regions_lb[#Headers],0)),INDEX(lmic_raw_lb[],MATCH($A266,lmic_raw_lb[[setting]:[setting]],0), MATCH(Q$139, lmic_raw_lb[#Headers],0)))</f>
        <v>6.900282906227754</v>
      </c>
      <c r="R266" s="98">
        <f>IF(INDEX(lmic_raw_lb[],MATCH($A266,lmic_raw_lb[[setting]:[setting]],0), MATCH(R$139, lmic_raw_lb[#Headers],0))=0, INDEX(regions_lb[], MATCH($D266, regions_lb[[setting]:[setting]],0), MATCH(R$139, regions_lb[#Headers],0)),INDEX(lmic_raw_lb[],MATCH($A266,lmic_raw_lb[[setting]:[setting]],0), MATCH(R$139, lmic_raw_lb[#Headers],0)))</f>
        <v>69.430275000000009</v>
      </c>
      <c r="S266" s="98">
        <f>IF(INDEX(lmic_raw_lb[],MATCH($A266,lmic_raw_lb[[setting]:[setting]],0), MATCH(S$139, lmic_raw_lb[#Headers],0))=0, INDEX(regions_lb[], MATCH($D266, regions_lb[[setting]:[setting]],0), MATCH(S$139, regions_lb[#Headers],0)),INDEX(lmic_raw_lb[],MATCH($A266,lmic_raw_lb[[setting]:[setting]],0), MATCH(S$139, lmic_raw_lb[#Headers],0)))</f>
        <v>114.785175</v>
      </c>
      <c r="T266" s="98">
        <f>IF(INDEX(lmic_raw_lb[],MATCH($A266,lmic_raw_lb[[setting]:[setting]],0), MATCH(T$139, lmic_raw_lb[#Headers],0))=0, INDEX(regions_lb[], MATCH($D266, regions_lb[[setting]:[setting]],0), MATCH(T$139, regions_lb[#Headers],0)),INDEX(lmic_raw_lb[],MATCH($A266,lmic_raw_lb[[setting]:[setting]],0), MATCH(T$139, lmic_raw_lb[#Headers],0)))</f>
        <v>114.785175</v>
      </c>
      <c r="U266" s="98">
        <f>IF(INDEX(lmic_raw_lb[],MATCH($A266,lmic_raw_lb[[setting]:[setting]],0), MATCH(U$139, lmic_raw_lb[#Headers],0))=0, INDEX(regions_lb[], MATCH($D266, regions_lb[[setting]:[setting]],0), MATCH(U$139, regions_lb[#Headers],0)),INDEX(lmic_raw_lb[],MATCH($A266,lmic_raw_lb[[setting]:[setting]],0), MATCH(U$139, lmic_raw_lb[#Headers],0)))</f>
        <v>114.785175</v>
      </c>
      <c r="V266" s="98">
        <f>IF(INDEX(lmic_raw_lb[],MATCH($A266,lmic_raw_lb[[setting]:[setting]],0), MATCH(V$139, lmic_raw_lb[#Headers],0))=0, INDEX(regions_lb[], MATCH($D266, regions_lb[[setting]:[setting]],0), MATCH(V$139, regions_lb[#Headers],0)),INDEX(lmic_raw_lb[],MATCH($A266,lmic_raw_lb[[setting]:[setting]],0), MATCH(V$139, lmic_raw_lb[#Headers],0)))</f>
        <v>4.926804650383505</v>
      </c>
      <c r="W266" s="98">
        <f>IF(INDEX(lmic_raw_lb[],MATCH($A266,lmic_raw_lb[[setting]:[setting]],0), MATCH(W$139, lmic_raw_lb[#Headers],0))=0, INDEX(regions_lb[], MATCH($D266, regions_lb[[setting]:[setting]],0), MATCH(W$139, regions_lb[#Headers],0)),INDEX(lmic_raw_lb[],MATCH($A266,lmic_raw_lb[[setting]:[setting]],0), MATCH(W$139, lmic_raw_lb[#Headers],0)))</f>
        <v>5.5273946503835045</v>
      </c>
      <c r="X266" s="98">
        <f>IF(INDEX(lmic_raw_lb[],MATCH($A266,lmic_raw_lb[[setting]:[setting]],0), MATCH(X$139, lmic_raw_lb[#Headers],0))=0, INDEX(regions_lb[], MATCH($D266, regions_lb[[setting]:[setting]],0), MATCH(X$139, regions_lb[#Headers],0)),INDEX(lmic_raw_lb[],MATCH($A266,lmic_raw_lb[[setting]:[setting]],0), MATCH(X$139, lmic_raw_lb[#Headers],0)))</f>
        <v>4.5597662689743279</v>
      </c>
      <c r="Y266" s="98">
        <f>IF(INDEX(lmic_raw_lb[],MATCH($A266,lmic_raw_lb[[setting]:[setting]],0), MATCH(Y$139, lmic_raw_lb[#Headers],0))=0, INDEX(regions_lb[], MATCH($D266, regions_lb[[setting]:[setting]],0), MATCH(Y$139, regions_lb[#Headers],0)),INDEX(lmic_raw_lb[],MATCH($A266,lmic_raw_lb[[setting]:[setting]],0), MATCH(Y$139, lmic_raw_lb[#Headers],0)))</f>
        <v>5.1603562689743274</v>
      </c>
      <c r="Z266" s="98">
        <f>IF(INDEX(lmic_raw_lb[],MATCH($A266,lmic_raw_lb[[setting]:[setting]],0), MATCH(Z$139, lmic_raw_lb[#Headers],0))=0, INDEX(regions_lb[], MATCH($D266, regions_lb[[setting]:[setting]],0), MATCH(Z$139, regions_lb[#Headers],0)),INDEX(lmic_raw_lb[],MATCH($A266,lmic_raw_lb[[setting]:[setting]],0), MATCH(Z$139, lmic_raw_lb[#Headers],0)))</f>
        <v>5.1572615578660521</v>
      </c>
      <c r="AA266" s="98">
        <f>IF(INDEX(lmic_raw_lb[],MATCH($A266,lmic_raw_lb[[setting]:[setting]],0), MATCH(AA$139, lmic_raw_lb[#Headers],0))=0, INDEX(regions_lb[], MATCH($D266, regions_lb[[setting]:[setting]],0), MATCH(AA$139, regions_lb[#Headers],0)),INDEX(lmic_raw_lb[],MATCH($A266,lmic_raw_lb[[setting]:[setting]],0), MATCH(AA$139, lmic_raw_lb[#Headers],0)))</f>
        <v>5.1387483455087937</v>
      </c>
      <c r="AB266" s="98">
        <f>IF(INDEX(lmic_raw_lb[],MATCH($A266,lmic_raw_lb[[setting]:[setting]],0), MATCH(AB$139, lmic_raw_lb[#Headers],0))=0, INDEX(regions_lb[], MATCH($D266, regions_lb[[setting]:[setting]],0), MATCH(AB$139, regions_lb[#Headers],0)),INDEX(lmic_raw_lb[],MATCH($A266,lmic_raw_lb[[setting]:[setting]],0), MATCH(AB$139, lmic_raw_lb[#Headers],0)))</f>
        <v>5.7393383455087932</v>
      </c>
      <c r="AC266" s="98">
        <f>IF(INDEX(lmic_raw_lb[],MATCH($A266,lmic_raw_lb[[setting]:[setting]],0), MATCH(AC$139, lmic_raw_lb[#Headers],0))=0, INDEX(regions_lb[], MATCH($D266, regions_lb[[setting]:[setting]],0), MATCH(AC$139, regions_lb[#Headers],0)),INDEX(lmic_raw_lb[],MATCH($A266,lmic_raw_lb[[setting]:[setting]],0), MATCH(AC$139, lmic_raw_lb[#Headers],0)))</f>
        <v>1.1507390868381481E-2</v>
      </c>
      <c r="AD266" s="98">
        <f>IF(INDEX(lmic_raw_lb[],MATCH($A266,lmic_raw_lb[[setting]:[setting]],0), MATCH(AD$139, lmic_raw_lb[#Headers],0))=0, INDEX(regions_lb[], MATCH($D266, regions_lb[[setting]:[setting]],0), MATCH(AD$139, regions_lb[#Headers],0)),INDEX(lmic_raw_lb[],MATCH($A266,lmic_raw_lb[[setting]:[setting]],0), MATCH(AD$139, lmic_raw_lb[#Headers],0)))</f>
        <v>6.4229433698983389E-4</v>
      </c>
      <c r="AE266" s="98">
        <f>IF(INDEX(lmic_raw_lb[],MATCH($A266,lmic_raw_lb[[setting]:[setting]],0), MATCH(AE$139, lmic_raw_lb[#Headers],0))=0, INDEX(regions_lb[], MATCH($D266, regions_lb[[setting]:[setting]],0), MATCH(AE$139, regions_lb[#Headers],0)),INDEX(lmic_raw_lb[],MATCH($A266,lmic_raw_lb[[setting]:[setting]],0), MATCH(AE$139, lmic_raw_lb[#Headers],0)))</f>
        <v>3.71274097649877E-4</v>
      </c>
      <c r="AF266" s="98">
        <f>IF(INDEX(lmic_raw_lb[],MATCH($A266,lmic_raw_lb[[setting]:[setting]],0), MATCH(AF$139, lmic_raw_lb[#Headers],0))=0, INDEX(regions_lb[], MATCH($D266, regions_lb[[setting]:[setting]],0), MATCH(AF$139, regions_lb[#Headers],0)),INDEX(lmic_raw_lb[],MATCH($A266,lmic_raw_lb[[setting]:[setting]],0), MATCH(AF$139, lmic_raw_lb[#Headers],0)))</f>
        <v>2.9243063494576338E-4</v>
      </c>
      <c r="AG266" s="98">
        <f>IF(INDEX(lmic_raw_lb[],MATCH($A266,lmic_raw_lb[[setting]:[setting]],0), MATCH(AG$139, lmic_raw_lb[#Headers],0))=0, INDEX(regions_lb[], MATCH($D266, regions_lb[[setting]:[setting]],0), MATCH(AG$139, regions_lb[#Headers],0)),INDEX(lmic_raw_lb[],MATCH($A266,lmic_raw_lb[[setting]:[setting]],0), MATCH(AG$139, lmic_raw_lb[#Headers],0)))</f>
        <v>4.6497132841182947E-4</v>
      </c>
      <c r="AH266" s="98">
        <f>IF(INDEX(lmic_raw_lb[],MATCH($A266,lmic_raw_lb[[setting]:[setting]],0), MATCH(AH$139, lmic_raw_lb[#Headers],0))=0, INDEX(regions_lb[], MATCH($D266, regions_lb[[setting]:[setting]],0), MATCH(AH$139, regions_lb[#Headers],0)),INDEX(lmic_raw_lb[],MATCH($A266,lmic_raw_lb[[setting]:[setting]],0), MATCH(AH$139, lmic_raw_lb[#Headers],0)))</f>
        <v>6.469164862597487E-4</v>
      </c>
      <c r="AI266" s="98">
        <f>IF(INDEX(lmic_raw_lb[],MATCH($A266,lmic_raw_lb[[setting]:[setting]],0), MATCH(AI$139, lmic_raw_lb[#Headers],0))=0, INDEX(regions_lb[], MATCH($D266, regions_lb[[setting]:[setting]],0), MATCH(AI$139, regions_lb[#Headers],0)),INDEX(lmic_raw_lb[],MATCH($A266,lmic_raw_lb[[setting]:[setting]],0), MATCH(AI$139, lmic_raw_lb[#Headers],0)))</f>
        <v>8.0772691414096294E-4</v>
      </c>
      <c r="AJ266" s="98">
        <f>IF(INDEX(lmic_raw_lb[],MATCH($A266,lmic_raw_lb[[setting]:[setting]],0), MATCH(AJ$139, lmic_raw_lb[#Headers],0))=0, INDEX(regions_lb[], MATCH($D266, regions_lb[[setting]:[setting]],0), MATCH(AJ$139, regions_lb[#Headers],0)),INDEX(lmic_raw_lb[],MATCH($A266,lmic_raw_lb[[setting]:[setting]],0), MATCH(AJ$139, lmic_raw_lb[#Headers],0)))</f>
        <v>1.0054909339798793E-3</v>
      </c>
      <c r="AK266" s="98">
        <f>IF(INDEX(lmic_raw_lb[],MATCH($A266,lmic_raw_lb[[setting]:[setting]],0), MATCH(AK$139, lmic_raw_lb[#Headers],0))=0, INDEX(regions_lb[], MATCH($D266, regions_lb[[setting]:[setting]],0), MATCH(AK$139, regions_lb[#Headers],0)),INDEX(lmic_raw_lb[],MATCH($A266,lmic_raw_lb[[setting]:[setting]],0), MATCH(AK$139, lmic_raw_lb[#Headers],0)))</f>
        <v>1.2915528273650496E-3</v>
      </c>
      <c r="AL266" s="98">
        <f>IF(INDEX(lmic_raw_lb[],MATCH($A266,lmic_raw_lb[[setting]:[setting]],0), MATCH(AL$139, lmic_raw_lb[#Headers],0))=0, INDEX(regions_lb[], MATCH($D266, regions_lb[[setting]:[setting]],0), MATCH(AL$139, regions_lb[#Headers],0)),INDEX(lmic_raw_lb[],MATCH($A266,lmic_raw_lb[[setting]:[setting]],0), MATCH(AL$139, lmic_raw_lb[#Headers],0)))</f>
        <v>1.8179999544319203E-3</v>
      </c>
      <c r="AM266" s="98">
        <f>IF(INDEX(lmic_raw_lb[],MATCH($A266,lmic_raw_lb[[setting]:[setting]],0), MATCH(AM$139, lmic_raw_lb[#Headers],0))=0, INDEX(regions_lb[], MATCH($D266, regions_lb[[setting]:[setting]],0), MATCH(AM$139, regions_lb[#Headers],0)),INDEX(lmic_raw_lb[],MATCH($A266,lmic_raw_lb[[setting]:[setting]],0), MATCH(AM$139, lmic_raw_lb[#Headers],0)))</f>
        <v>2.6646480782829374E-3</v>
      </c>
      <c r="AN266" s="98">
        <f>IF(INDEX(lmic_raw_lb[],MATCH($A266,lmic_raw_lb[[setting]:[setting]],0), MATCH(AN$139, lmic_raw_lb[#Headers],0))=0, INDEX(regions_lb[], MATCH($D266, regions_lb[[setting]:[setting]],0), MATCH(AN$139, regions_lb[#Headers],0)),INDEX(lmic_raw_lb[],MATCH($A266,lmic_raw_lb[[setting]:[setting]],0), MATCH(AN$139, lmic_raw_lb[#Headers],0)))</f>
        <v>4.2438289474617894E-3</v>
      </c>
      <c r="AO266" s="98">
        <f>IF(INDEX(lmic_raw_lb[],MATCH($A266,lmic_raw_lb[[setting]:[setting]],0), MATCH(AO$139, lmic_raw_lb[#Headers],0))=0, INDEX(regions_lb[], MATCH($D266, regions_lb[[setting]:[setting]],0), MATCH(AO$139, regions_lb[#Headers],0)),INDEX(lmic_raw_lb[],MATCH($A266,lmic_raw_lb[[setting]:[setting]],0), MATCH(AO$139, lmic_raw_lb[#Headers],0)))</f>
        <v>6.7918976984977465E-3</v>
      </c>
      <c r="AP266" s="98">
        <f>IF(INDEX(lmic_raw_lb[],MATCH($A266,lmic_raw_lb[[setting]:[setting]],0), MATCH(AP$139, lmic_raw_lb[#Headers],0))=0, INDEX(regions_lb[], MATCH($D266, regions_lb[[setting]:[setting]],0), MATCH(AP$139, regions_lb[#Headers],0)),INDEX(lmic_raw_lb[],MATCH($A266,lmic_raw_lb[[setting]:[setting]],0), MATCH(AP$139, lmic_raw_lb[#Headers],0)))</f>
        <v>1.1516697256113893E-2</v>
      </c>
      <c r="AQ266" s="98">
        <f>IF(INDEX(lmic_raw_lb[],MATCH($A266,lmic_raw_lb[[setting]:[setting]],0), MATCH(AQ$139, lmic_raw_lb[#Headers],0))=0, INDEX(regions_lb[], MATCH($D266, regions_lb[[setting]:[setting]],0), MATCH(AQ$139, regions_lb[#Headers],0)),INDEX(lmic_raw_lb[],MATCH($A266,lmic_raw_lb[[setting]:[setting]],0), MATCH(AQ$139, lmic_raw_lb[#Headers],0)))</f>
        <v>1.9364389154973488E-2</v>
      </c>
      <c r="AR266" s="98">
        <f>IF(INDEX(lmic_raw_lb[],MATCH($A266,lmic_raw_lb[[setting]:[setting]],0), MATCH(AR$139, lmic_raw_lb[#Headers],0))=0, INDEX(regions_lb[], MATCH($D266, regions_lb[[setting]:[setting]],0), MATCH(AR$139, regions_lb[#Headers],0)),INDEX(lmic_raw_lb[],MATCH($A266,lmic_raw_lb[[setting]:[setting]],0), MATCH(AR$139, lmic_raw_lb[#Headers],0)))</f>
        <v>3.2698337226517778E-2</v>
      </c>
      <c r="AS266" s="98">
        <f>IF(INDEX(lmic_raw_lb[],MATCH($A266,lmic_raw_lb[[setting]:[setting]],0), MATCH(AS$139, lmic_raw_lb[#Headers],0))=0, INDEX(regions_lb[], MATCH($D266, regions_lb[[setting]:[setting]],0), MATCH(AS$139, regions_lb[#Headers],0)),INDEX(lmic_raw_lb[],MATCH($A266,lmic_raw_lb[[setting]:[setting]],0), MATCH(AS$139, lmic_raw_lb[#Headers],0)))</f>
        <v>5.1171751447892391E-2</v>
      </c>
      <c r="AT266" s="98">
        <f>IF(INDEX(lmic_raw_lb[],MATCH($A266,lmic_raw_lb[[setting]:[setting]],0), MATCH(AT$139, lmic_raw_lb[#Headers],0))=0, INDEX(regions_lb[], MATCH($D266, regions_lb[[setting]:[setting]],0), MATCH(AT$139, regions_lb[#Headers],0)),INDEX(lmic_raw_lb[],MATCH($A266,lmic_raw_lb[[setting]:[setting]],0), MATCH(AT$139, lmic_raw_lb[#Headers],0)))</f>
        <v>7.2980537448630436E-2</v>
      </c>
      <c r="AU266" s="98">
        <f>IF(INDEX(lmic_raw_lb[],MATCH($A266,lmic_raw_lb[[setting]:[setting]],0), MATCH(AU$139, lmic_raw_lb[#Headers],0))=0, INDEX(regions_lb[], MATCH($D266, regions_lb[[setting]:[setting]],0), MATCH(AU$139, regions_lb[#Headers],0)),INDEX(lmic_raw_lb[],MATCH($A266,lmic_raw_lb[[setting]:[setting]],0), MATCH(AU$139, lmic_raw_lb[#Headers],0)))</f>
        <v>0.10060939502198542</v>
      </c>
      <c r="AV266" s="98">
        <f>IF(INDEX(lmic_raw_lb[],MATCH($A266,lmic_raw_lb[[setting]:[setting]],0), MATCH(AV$139, lmic_raw_lb[#Headers],0))=0, INDEX(regions_lb[], MATCH($D266, regions_lb[[setting]:[setting]],0), MATCH(AV$139, regions_lb[#Headers],0)),INDEX(lmic_raw_lb[],MATCH($A266,lmic_raw_lb[[setting]:[setting]],0), MATCH(AV$139, lmic_raw_lb[#Headers],0)))</f>
        <v>0.12550463857200858</v>
      </c>
      <c r="AW266" s="98">
        <f>IF(INDEX(lmic_raw_lb[],MATCH($A266,lmic_raw_lb[[setting]:[setting]],0), MATCH(AW$139, lmic_raw_lb[#Headers],0))=0, INDEX(regions_lb[], MATCH($D266, regions_lb[[setting]:[setting]],0), MATCH(AW$139, regions_lb[#Headers],0)),INDEX(lmic_raw_lb[],MATCH($A266,lmic_raw_lb[[setting]:[setting]],0), MATCH(AW$139, lmic_raw_lb[#Headers],0)))</f>
        <v>0.14642284490897409</v>
      </c>
      <c r="AX266" s="98">
        <f>IF(INDEX(lmic_raw_lb[],MATCH($A266,lmic_raw_lb[[setting]:[setting]],0), MATCH(AX$139, lmic_raw_lb[#Headers],0))=0, INDEX(regions_lb[], MATCH($D266, regions_lb[[setting]:[setting]],0), MATCH(AX$139, regions_lb[#Headers],0)),INDEX(lmic_raw_lb[],MATCH($A266,lmic_raw_lb[[setting]:[setting]],0), MATCH(AX$139, lmic_raw_lb[#Headers],0)))</f>
        <v>71.808590600984175</v>
      </c>
      <c r="AY266" s="98" t="str">
        <f>IF(VLOOKUP(lmics_lb[[#This Row],[setting]],lmic_raw_lb[],11,FALSE)=0, "Yes", "No")</f>
        <v>No</v>
      </c>
    </row>
    <row r="267" spans="1:51" x14ac:dyDescent="0.25">
      <c r="A267" s="110" t="s">
        <v>117</v>
      </c>
      <c r="B267" s="104" t="s">
        <v>531</v>
      </c>
      <c r="C267" s="105">
        <v>800</v>
      </c>
      <c r="D267" s="84" t="s">
        <v>677</v>
      </c>
      <c r="E267" s="122" t="s">
        <v>597</v>
      </c>
      <c r="F267" s="94" t="s">
        <v>667</v>
      </c>
      <c r="G267" s="94" t="s">
        <v>674</v>
      </c>
      <c r="H267" s="94"/>
      <c r="I267" s="94"/>
      <c r="J267" s="94">
        <f>IF(INDEX(lmic_raw_lb[],MATCH($A267,lmic_raw_lb[[setting]:[setting]],0), MATCH(J$139, lmic_raw_lb[#Headers],0))=0, INDEX(regions_lb[], MATCH($D267, regions_lb[[setting]:[setting]],0), MATCH(J$139, regions_lb[#Headers],0)),INDEX(lmic_raw_lb[],MATCH($A267,lmic_raw_lb[[setting]:[setting]],0), MATCH(J$139, lmic_raw_lb[#Headers],0)))</f>
        <v>0.69730000000000003</v>
      </c>
      <c r="K267" s="94">
        <f>IF(INDEX(lmic_raw_lb[],MATCH($A267,lmic_raw_lb[[setting]:[setting]],0), MATCH(K$139, lmic_raw_lb[#Headers],0))=0, INDEX(regions_lb[], MATCH($D267, regions_lb[[setting]:[setting]],0), MATCH(K$139, regions_lb[#Headers],0)),INDEX(lmic_raw_lb[],MATCH($A267,lmic_raw_lb[[setting]:[setting]],0), MATCH(K$139, lmic_raw_lb[#Headers],0)))</f>
        <v>0.65789974195504752</v>
      </c>
      <c r="L267" s="94">
        <f>IF(INDEX(lmic_raw_lb[],MATCH($A267,lmic_raw_lb[[setting]:[setting]],0), MATCH(L$139, lmic_raw_lb[#Headers],0))=0, INDEX(regions_lb[], MATCH($D267, regions_lb[[setting]:[setting]],0), MATCH(L$139, regions_lb[#Headers],0)),INDEX(lmic_raw_lb[],MATCH($A267,lmic_raw_lb[[setting]:[setting]],0), MATCH(L$139, lmic_raw_lb[#Headers],0)))</f>
        <v>0.88349999999999995</v>
      </c>
      <c r="M267" s="94">
        <f>IF(INDEX(lmic_raw_lb[],MATCH($A267,lmic_raw_lb[[setting]:[setting]],0), MATCH(M$139, lmic_raw_lb[#Headers],0))=0, INDEX(regions_lb[], MATCH($D267, regions_lb[[setting]:[setting]],0), MATCH(M$139, regions_lb[#Headers],0)),INDEX(lmic_raw_lb[],MATCH($A267,lmic_raw_lb[[setting]:[setting]],0), MATCH(M$139, lmic_raw_lb[#Headers],0)))</f>
        <v>5.0900000000000001E-2</v>
      </c>
      <c r="N267" s="94">
        <f>IF(INDEX(lmic_raw_lb[],MATCH($A267,lmic_raw_lb[[setting]:[setting]],0), MATCH(N$139, lmic_raw_lb[#Headers],0))=0, INDEX(regions_lb[], MATCH($D267, regions_lb[[setting]:[setting]],0), MATCH(N$139, regions_lb[#Headers],0)),INDEX(lmic_raw_lb[],MATCH($A267,lmic_raw_lb[[setting]:[setting]],0), MATCH(N$139, lmic_raw_lb[#Headers],0)))</f>
        <v>0.15560000000000002</v>
      </c>
      <c r="O267" s="94">
        <f>IF(INDEX(lmic_raw_lb[],MATCH($A267,lmic_raw_lb[[setting]:[setting]],0), MATCH(O$139, lmic_raw_lb[#Headers],0))=0, INDEX(regions_lb[], MATCH($D267, regions_lb[[setting]:[setting]],0), MATCH(O$139, regions_lb[#Headers],0)),INDEX(lmic_raw_lb[],MATCH($A267,lmic_raw_lb[[setting]:[setting]],0), MATCH(O$139, lmic_raw_lb[#Headers],0)))</f>
        <v>7.0000000000000007E-2</v>
      </c>
      <c r="P267" s="94">
        <f>IF(INDEX(lmic_raw_lb[],MATCH($A267,lmic_raw_lb[[setting]:[setting]],0), MATCH(P$139, lmic_raw_lb[#Headers],0))=0, INDEX(regions_lb[], MATCH($D267, regions_lb[[setting]:[setting]],0), MATCH(P$139, regions_lb[#Headers],0)),INDEX(lmic_raw_lb[],MATCH($A267,lmic_raw_lb[[setting]:[setting]],0), MATCH(P$139, lmic_raw_lb[#Headers],0)))</f>
        <v>1E-3</v>
      </c>
      <c r="Q267" s="94">
        <f>IF(INDEX(lmic_raw_lb[],MATCH($A267,lmic_raw_lb[[setting]:[setting]],0), MATCH(Q$139, lmic_raw_lb[#Headers],0))=0, INDEX(regions_lb[], MATCH($D267, regions_lb[[setting]:[setting]],0), MATCH(Q$139, regions_lb[#Headers],0)),INDEX(lmic_raw_lb[],MATCH($A267,lmic_raw_lb[[setting]:[setting]],0), MATCH(Q$139, lmic_raw_lb[#Headers],0)))</f>
        <v>2.6832093851899148</v>
      </c>
      <c r="R267" s="94">
        <f>IF(INDEX(lmic_raw_lb[],MATCH($A267,lmic_raw_lb[[setting]:[setting]],0), MATCH(R$139, lmic_raw_lb[#Headers],0))=0, INDEX(regions_lb[], MATCH($D267, regions_lb[[setting]:[setting]],0), MATCH(R$139, regions_lb[#Headers],0)),INDEX(lmic_raw_lb[],MATCH($A267,lmic_raw_lb[[setting]:[setting]],0), MATCH(R$139, lmic_raw_lb[#Headers],0)))</f>
        <v>28.424474999999997</v>
      </c>
      <c r="S267" s="94">
        <f>IF(INDEX(lmic_raw_lb[],MATCH($A267,lmic_raw_lb[[setting]:[setting]],0), MATCH(S$139, lmic_raw_lb[#Headers],0))=0, INDEX(regions_lb[], MATCH($D267, regions_lb[[setting]:[setting]],0), MATCH(S$139, regions_lb[#Headers],0)),INDEX(lmic_raw_lb[],MATCH($A267,lmic_raw_lb[[setting]:[setting]],0), MATCH(S$139, lmic_raw_lb[#Headers],0)))</f>
        <v>73.779375000000002</v>
      </c>
      <c r="T267" s="94">
        <f>IF(INDEX(lmic_raw_lb[],MATCH($A267,lmic_raw_lb[[setting]:[setting]],0), MATCH(T$139, lmic_raw_lb[#Headers],0))=0, INDEX(regions_lb[], MATCH($D267, regions_lb[[setting]:[setting]],0), MATCH(T$139, regions_lb[#Headers],0)),INDEX(lmic_raw_lb[],MATCH($A267,lmic_raw_lb[[setting]:[setting]],0), MATCH(T$139, lmic_raw_lb[#Headers],0)))</f>
        <v>73.779375000000002</v>
      </c>
      <c r="U267" s="94">
        <f>IF(INDEX(lmic_raw_lb[],MATCH($A267,lmic_raw_lb[[setting]:[setting]],0), MATCH(U$139, lmic_raw_lb[#Headers],0))=0, INDEX(regions_lb[], MATCH($D267, regions_lb[[setting]:[setting]],0), MATCH(U$139, regions_lb[#Headers],0)),INDEX(lmic_raw_lb[],MATCH($A267,lmic_raw_lb[[setting]:[setting]],0), MATCH(U$139, lmic_raw_lb[#Headers],0)))</f>
        <v>73.779375000000002</v>
      </c>
      <c r="V267" s="94">
        <f>IF(INDEX(lmic_raw_lb[],MATCH($A267,lmic_raw_lb[[setting]:[setting]],0), MATCH(V$139, lmic_raw_lb[#Headers],0))=0, INDEX(regions_lb[], MATCH($D267, regions_lb[[setting]:[setting]],0), MATCH(V$139, regions_lb[#Headers],0)),INDEX(lmic_raw_lb[],MATCH($A267,lmic_raw_lb[[setting]:[setting]],0), MATCH(V$139, lmic_raw_lb[#Headers],0)))</f>
        <v>0.98686483773765421</v>
      </c>
      <c r="W267" s="94">
        <f>IF(INDEX(lmic_raw_lb[],MATCH($A267,lmic_raw_lb[[setting]:[setting]],0), MATCH(W$139, lmic_raw_lb[#Headers],0))=0, INDEX(regions_lb[], MATCH($D267, regions_lb[[setting]:[setting]],0), MATCH(W$139, regions_lb[#Headers],0)),INDEX(lmic_raw_lb[],MATCH($A267,lmic_raw_lb[[setting]:[setting]],0), MATCH(W$139, lmic_raw_lb[#Headers],0)))</f>
        <v>5.5741298377376545</v>
      </c>
      <c r="X267" s="94">
        <f>IF(INDEX(lmic_raw_lb[],MATCH($A267,lmic_raw_lb[[setting]:[setting]],0), MATCH(X$139, lmic_raw_lb[#Headers],0))=0, INDEX(regions_lb[], MATCH($D267, regions_lb[[setting]:[setting]],0), MATCH(X$139, regions_lb[#Headers],0)),INDEX(lmic_raw_lb[],MATCH($A267,lmic_raw_lb[[setting]:[setting]],0), MATCH(X$139, lmic_raw_lb[#Headers],0)))</f>
        <v>0.62202520271206263</v>
      </c>
      <c r="Y267" s="94">
        <f>IF(INDEX(lmic_raw_lb[],MATCH($A267,lmic_raw_lb[[setting]:[setting]],0), MATCH(Y$139, lmic_raw_lb[#Headers],0))=0, INDEX(regions_lb[], MATCH($D267, regions_lb[[setting]:[setting]],0), MATCH(Y$139, regions_lb[#Headers],0)),INDEX(lmic_raw_lb[],MATCH($A267,lmic_raw_lb[[setting]:[setting]],0), MATCH(Y$139, lmic_raw_lb[#Headers],0)))</f>
        <v>5.2092902027120633</v>
      </c>
      <c r="Z267" s="94">
        <f>IF(INDEX(lmic_raw_lb[],MATCH($A267,lmic_raw_lb[[setting]:[setting]],0), MATCH(Z$139, lmic_raw_lb[#Headers],0))=0, INDEX(regions_lb[], MATCH($D267, regions_lb[[setting]:[setting]],0), MATCH(Z$139, regions_lb[#Headers],0)),INDEX(lmic_raw_lb[],MATCH($A267,lmic_raw_lb[[setting]:[setting]],0), MATCH(Z$139, lmic_raw_lb[#Headers],0)))</f>
        <v>5.2075327947440542</v>
      </c>
      <c r="AA267" s="94">
        <f>IF(INDEX(lmic_raw_lb[],MATCH($A267,lmic_raw_lb[[setting]:[setting]],0), MATCH(AA$139, lmic_raw_lb[#Headers],0))=0, INDEX(regions_lb[], MATCH($D267, regions_lb[[setting]:[setting]],0), MATCH(AA$139, regions_lb[#Headers],0)),INDEX(lmic_raw_lb[],MATCH($A267,lmic_raw_lb[[setting]:[setting]],0), MATCH(AA$139, lmic_raw_lb[#Headers],0)))</f>
        <v>1.1978662129842628</v>
      </c>
      <c r="AB267" s="94">
        <f>IF(INDEX(lmic_raw_lb[],MATCH($A267,lmic_raw_lb[[setting]:[setting]],0), MATCH(AB$139, lmic_raw_lb[#Headers],0))=0, INDEX(regions_lb[], MATCH($D267, regions_lb[[setting]:[setting]],0), MATCH(AB$139, regions_lb[#Headers],0)),INDEX(lmic_raw_lb[],MATCH($A267,lmic_raw_lb[[setting]:[setting]],0), MATCH(AB$139, lmic_raw_lb[#Headers],0)))</f>
        <v>5.7851312129842629</v>
      </c>
      <c r="AC267" s="94">
        <f>IF(INDEX(lmic_raw_lb[],MATCH($A267,lmic_raw_lb[[setting]:[setting]],0), MATCH(AC$139, lmic_raw_lb[#Headers],0))=0, INDEX(regions_lb[], MATCH($D267, regions_lb[[setting]:[setting]],0), MATCH(AC$139, regions_lb[#Headers],0)),INDEX(lmic_raw_lb[],MATCH($A267,lmic_raw_lb[[setting]:[setting]],0), MATCH(AC$139, lmic_raw_lb[#Headers],0)))</f>
        <v>4.3842291000000026E-2</v>
      </c>
      <c r="AD267" s="94">
        <f>IF(INDEX(lmic_raw_lb[],MATCH($A267,lmic_raw_lb[[setting]:[setting]],0), MATCH(AD$139, lmic_raw_lb[#Headers],0))=0, INDEX(regions_lb[], MATCH($D267, regions_lb[[setting]:[setting]],0), MATCH(AD$139, regions_lb[#Headers],0)),INDEX(lmic_raw_lb[],MATCH($A267,lmic_raw_lb[[setting]:[setting]],0), MATCH(AD$139, lmic_raw_lb[#Headers],0)))</f>
        <v>4.1483348664531263E-3</v>
      </c>
      <c r="AE267" s="94">
        <f>IF(INDEX(lmic_raw_lb[],MATCH($A267,lmic_raw_lb[[setting]:[setting]],0), MATCH(AE$139, lmic_raw_lb[#Headers],0))=0, INDEX(regions_lb[], MATCH($D267, regions_lb[[setting]:[setting]],0), MATCH(AE$139, regions_lb[#Headers],0)),INDEX(lmic_raw_lb[],MATCH($A267,lmic_raw_lb[[setting]:[setting]],0), MATCH(AE$139, lmic_raw_lb[#Headers],0)))</f>
        <v>1.4087058346985977E-3</v>
      </c>
      <c r="AF267" s="94">
        <f>IF(INDEX(lmic_raw_lb[],MATCH($A267,lmic_raw_lb[[setting]:[setting]],0), MATCH(AF$139, lmic_raw_lb[#Headers],0))=0, INDEX(regions_lb[], MATCH($D267, regions_lb[[setting]:[setting]],0), MATCH(AF$139, regions_lb[#Headers],0)),INDEX(lmic_raw_lb[],MATCH($A267,lmic_raw_lb[[setting]:[setting]],0), MATCH(AF$139, lmic_raw_lb[#Headers],0)))</f>
        <v>1.0569370898993171E-3</v>
      </c>
      <c r="AG267" s="94">
        <f>IF(INDEX(lmic_raw_lb[],MATCH($A267,lmic_raw_lb[[setting]:[setting]],0), MATCH(AG$139, lmic_raw_lb[#Headers],0))=0, INDEX(regions_lb[], MATCH($D267, regions_lb[[setting]:[setting]],0), MATCH(AG$139, regions_lb[#Headers],0)),INDEX(lmic_raw_lb[],MATCH($A267,lmic_raw_lb[[setting]:[setting]],0), MATCH(AG$139, lmic_raw_lb[#Headers],0)))</f>
        <v>1.7306198298368213E-3</v>
      </c>
      <c r="AH267" s="94">
        <f>IF(INDEX(lmic_raw_lb[],MATCH($A267,lmic_raw_lb[[setting]:[setting]],0), MATCH(AH$139, lmic_raw_lb[#Headers],0))=0, INDEX(regions_lb[], MATCH($D267, regions_lb[[setting]:[setting]],0), MATCH(AH$139, regions_lb[#Headers],0)),INDEX(lmic_raw_lb[],MATCH($A267,lmic_raw_lb[[setting]:[setting]],0), MATCH(AH$139, lmic_raw_lb[#Headers],0)))</f>
        <v>2.6646276044239663E-3</v>
      </c>
      <c r="AI267" s="94">
        <f>IF(INDEX(lmic_raw_lb[],MATCH($A267,lmic_raw_lb[[setting]:[setting]],0), MATCH(AI$139, lmic_raw_lb[#Headers],0))=0, INDEX(regions_lb[], MATCH($D267, regions_lb[[setting]:[setting]],0), MATCH(AI$139, regions_lb[#Headers],0)),INDEX(lmic_raw_lb[],MATCH($A267,lmic_raw_lb[[setting]:[setting]],0), MATCH(AI$139, lmic_raw_lb[#Headers],0)))</f>
        <v>3.4591000030173031E-3</v>
      </c>
      <c r="AJ267" s="94">
        <f>IF(INDEX(lmic_raw_lb[],MATCH($A267,lmic_raw_lb[[setting]:[setting]],0), MATCH(AJ$139, lmic_raw_lb[#Headers],0))=0, INDEX(regions_lb[], MATCH($D267, regions_lb[[setting]:[setting]],0), MATCH(AJ$139, regions_lb[#Headers],0)),INDEX(lmic_raw_lb[],MATCH($A267,lmic_raw_lb[[setting]:[setting]],0), MATCH(AJ$139, lmic_raw_lb[#Headers],0)))</f>
        <v>4.3139011127201615E-3</v>
      </c>
      <c r="AK267" s="94">
        <f>IF(INDEX(lmic_raw_lb[],MATCH($A267,lmic_raw_lb[[setting]:[setting]],0), MATCH(AK$139, lmic_raw_lb[#Headers],0))=0, INDEX(regions_lb[], MATCH($D267, regions_lb[[setting]:[setting]],0), MATCH(AK$139, regions_lb[#Headers],0)),INDEX(lmic_raw_lb[],MATCH($A267,lmic_raw_lb[[setting]:[setting]],0), MATCH(AK$139, lmic_raw_lb[#Headers],0)))</f>
        <v>5.5143766499736952E-3</v>
      </c>
      <c r="AL267" s="94">
        <f>IF(INDEX(lmic_raw_lb[],MATCH($A267,lmic_raw_lb[[setting]:[setting]],0), MATCH(AL$139, lmic_raw_lb[#Headers],0))=0, INDEX(regions_lb[], MATCH($D267, regions_lb[[setting]:[setting]],0), MATCH(AL$139, regions_lb[#Headers],0)),INDEX(lmic_raw_lb[],MATCH($A267,lmic_raw_lb[[setting]:[setting]],0), MATCH(AL$139, lmic_raw_lb[#Headers],0)))</f>
        <v>6.8057453827152243E-3</v>
      </c>
      <c r="AM267" s="94">
        <f>IF(INDEX(lmic_raw_lb[],MATCH($A267,lmic_raw_lb[[setting]:[setting]],0), MATCH(AM$139, lmic_raw_lb[#Headers],0))=0, INDEX(regions_lb[], MATCH($D267, regions_lb[[setting]:[setting]],0), MATCH(AM$139, regions_lb[#Headers],0)),INDEX(lmic_raw_lb[],MATCH($A267,lmic_raw_lb[[setting]:[setting]],0), MATCH(AM$139, lmic_raw_lb[#Headers],0)))</f>
        <v>8.4053673610762335E-3</v>
      </c>
      <c r="AN267" s="94">
        <f>IF(INDEX(lmic_raw_lb[],MATCH($A267,lmic_raw_lb[[setting]:[setting]],0), MATCH(AN$139, lmic_raw_lb[#Headers],0))=0, INDEX(regions_lb[], MATCH($D267, regions_lb[[setting]:[setting]],0), MATCH(AN$139, regions_lb[#Headers],0)),INDEX(lmic_raw_lb[],MATCH($A267,lmic_raw_lb[[setting]:[setting]],0), MATCH(AN$139, lmic_raw_lb[#Headers],0)))</f>
        <v>1.1264111727648114E-2</v>
      </c>
      <c r="AO267" s="94">
        <f>IF(INDEX(lmic_raw_lb[],MATCH($A267,lmic_raw_lb[[setting]:[setting]],0), MATCH(AO$139, lmic_raw_lb[#Headers],0))=0, INDEX(regions_lb[], MATCH($D267, regions_lb[[setting]:[setting]],0), MATCH(AO$139, regions_lb[#Headers],0)),INDEX(lmic_raw_lb[],MATCH($A267,lmic_raw_lb[[setting]:[setting]],0), MATCH(AO$139, lmic_raw_lb[#Headers],0)))</f>
        <v>1.4520928611650177E-2</v>
      </c>
      <c r="AP267" s="94">
        <f>IF(INDEX(lmic_raw_lb[],MATCH($A267,lmic_raw_lb[[setting]:[setting]],0), MATCH(AP$139, lmic_raw_lb[#Headers],0))=0, INDEX(regions_lb[], MATCH($D267, regions_lb[[setting]:[setting]],0), MATCH(AP$139, regions_lb[#Headers],0)),INDEX(lmic_raw_lb[],MATCH($A267,lmic_raw_lb[[setting]:[setting]],0), MATCH(AP$139, lmic_raw_lb[#Headers],0)))</f>
        <v>2.0725823477780011E-2</v>
      </c>
      <c r="AQ267" s="94">
        <f>IF(INDEX(lmic_raw_lb[],MATCH($A267,lmic_raw_lb[[setting]:[setting]],0), MATCH(AQ$139, lmic_raw_lb[#Headers],0))=0, INDEX(regions_lb[], MATCH($D267, regions_lb[[setting]:[setting]],0), MATCH(AQ$139, regions_lb[#Headers],0)),INDEX(lmic_raw_lb[],MATCH($A267,lmic_raw_lb[[setting]:[setting]],0), MATCH(AQ$139, lmic_raw_lb[#Headers],0)))</f>
        <v>3.0745960608434694E-2</v>
      </c>
      <c r="AR267" s="94">
        <f>IF(INDEX(lmic_raw_lb[],MATCH($A267,lmic_raw_lb[[setting]:[setting]],0), MATCH(AR$139, lmic_raw_lb[#Headers],0))=0, INDEX(regions_lb[], MATCH($D267, regions_lb[[setting]:[setting]],0), MATCH(AR$139, regions_lb[#Headers],0)),INDEX(lmic_raw_lb[],MATCH($A267,lmic_raw_lb[[setting]:[setting]],0), MATCH(AR$139, lmic_raw_lb[#Headers],0)))</f>
        <v>4.6342711284988805E-2</v>
      </c>
      <c r="AS267" s="94">
        <f>IF(INDEX(lmic_raw_lb[],MATCH($A267,lmic_raw_lb[[setting]:[setting]],0), MATCH(AS$139, lmic_raw_lb[#Headers],0))=0, INDEX(regions_lb[], MATCH($D267, regions_lb[[setting]:[setting]],0), MATCH(AS$139, regions_lb[#Headers],0)),INDEX(lmic_raw_lb[],MATCH($A267,lmic_raw_lb[[setting]:[setting]],0), MATCH(AS$139, lmic_raw_lb[#Headers],0)))</f>
        <v>6.922120765663406E-2</v>
      </c>
      <c r="AT267" s="94">
        <f>IF(INDEX(lmic_raw_lb[],MATCH($A267,lmic_raw_lb[[setting]:[setting]],0), MATCH(AT$139, lmic_raw_lb[#Headers],0))=0, INDEX(regions_lb[], MATCH($D267, regions_lb[[setting]:[setting]],0), MATCH(AT$139, regions_lb[#Headers],0)),INDEX(lmic_raw_lb[],MATCH($A267,lmic_raw_lb[[setting]:[setting]],0), MATCH(AT$139, lmic_raw_lb[#Headers],0)))</f>
        <v>0.10195471542840176</v>
      </c>
      <c r="AU267" s="94">
        <f>IF(INDEX(lmic_raw_lb[],MATCH($A267,lmic_raw_lb[[setting]:[setting]],0), MATCH(AU$139, lmic_raw_lb[#Headers],0))=0, INDEX(regions_lb[], MATCH($D267, regions_lb[[setting]:[setting]],0), MATCH(AU$139, regions_lb[#Headers],0)),INDEX(lmic_raw_lb[],MATCH($A267,lmic_raw_lb[[setting]:[setting]],0), MATCH(AU$139, lmic_raw_lb[#Headers],0)))</f>
        <v>0.13948640334917306</v>
      </c>
      <c r="AV267" s="94">
        <f>IF(INDEX(lmic_raw_lb[],MATCH($A267,lmic_raw_lb[[setting]:[setting]],0), MATCH(AV$139, lmic_raw_lb[#Headers],0))=0, INDEX(regions_lb[], MATCH($D267, regions_lb[[setting]:[setting]],0), MATCH(AV$139, regions_lb[#Headers],0)),INDEX(lmic_raw_lb[],MATCH($A267,lmic_raw_lb[[setting]:[setting]],0), MATCH(AV$139, lmic_raw_lb[#Headers],0)))</f>
        <v>0.16968953165114517</v>
      </c>
      <c r="AW267" s="94">
        <f>IF(INDEX(lmic_raw_lb[],MATCH($A267,lmic_raw_lb[[setting]:[setting]],0), MATCH(AW$139, lmic_raw_lb[#Headers],0))=0, INDEX(regions_lb[], MATCH($D267, regions_lb[[setting]:[setting]],0), MATCH(AW$139, regions_lb[#Headers],0)),INDEX(lmic_raw_lb[],MATCH($A267,lmic_raw_lb[[setting]:[setting]],0), MATCH(AW$139, lmic_raw_lb[#Headers],0)))</f>
        <v>0.17951145852260728</v>
      </c>
      <c r="AX267" s="94">
        <f>IF(INDEX(lmic_raw_lb[],MATCH($A267,lmic_raw_lb[[setting]:[setting]],0), MATCH(AX$139, lmic_raw_lb[#Headers],0))=0, INDEX(regions_lb[], MATCH($D267, regions_lb[[setting]:[setting]],0), MATCH(AX$139, regions_lb[#Headers],0)),INDEX(lmic_raw_lb[],MATCH($A267,lmic_raw_lb[[setting]:[setting]],0), MATCH(AX$139, lmic_raw_lb[#Headers],0)))</f>
        <v>59.618199999999995</v>
      </c>
      <c r="AY267" s="94" t="str">
        <f>IF(VLOOKUP(lmics_lb[[#This Row],[setting]],lmic_raw_lb[],11,FALSE)=0, "Yes", "No")</f>
        <v>Yes</v>
      </c>
    </row>
    <row r="268" spans="1:51" x14ac:dyDescent="0.25">
      <c r="A268" s="109" t="s">
        <v>316</v>
      </c>
      <c r="B268" s="101" t="s">
        <v>532</v>
      </c>
      <c r="C268" s="102">
        <v>804</v>
      </c>
      <c r="D268" s="82" t="s">
        <v>675</v>
      </c>
      <c r="E268" s="121" t="s">
        <v>306</v>
      </c>
      <c r="F268" s="98" t="s">
        <v>663</v>
      </c>
      <c r="G268" s="98" t="s">
        <v>678</v>
      </c>
      <c r="H268" s="98"/>
      <c r="I268" s="98"/>
      <c r="J268" s="98">
        <f>IF(INDEX(lmic_raw_lb[],MATCH($A268,lmic_raw_lb[[setting]:[setting]],0), MATCH(J$139, lmic_raw_lb[#Headers],0))=0, INDEX(regions_lb[], MATCH($D268, regions_lb[[setting]:[setting]],0), MATCH(J$139, regions_lb[#Headers],0)),INDEX(lmic_raw_lb[],MATCH($A268,lmic_raw_lb[[setting]:[setting]],0), MATCH(J$139, lmic_raw_lb[#Headers],0)))</f>
        <v>0.93955000000000011</v>
      </c>
      <c r="K268" s="98">
        <f>IF(INDEX(lmic_raw_lb[],MATCH($A268,lmic_raw_lb[[setting]:[setting]],0), MATCH(K$139, lmic_raw_lb[#Headers],0))=0, INDEX(regions_lb[], MATCH($D268, regions_lb[[setting]:[setting]],0), MATCH(K$139, regions_lb[#Headers],0)),INDEX(lmic_raw_lb[],MATCH($A268,lmic_raw_lb[[setting]:[setting]],0), MATCH(K$139, lmic_raw_lb[#Headers],0)))</f>
        <v>0.56999999999999995</v>
      </c>
      <c r="L268" s="98">
        <f>IF(INDEX(lmic_raw_lb[],MATCH($A268,lmic_raw_lb[[setting]:[setting]],0), MATCH(L$139, lmic_raw_lb[#Headers],0))=0, INDEX(regions_lb[], MATCH($D268, regions_lb[[setting]:[setting]],0), MATCH(L$139, regions_lb[#Headers],0)),INDEX(lmic_raw_lb[],MATCH($A268,lmic_raw_lb[[setting]:[setting]],0), MATCH(L$139, lmic_raw_lb[#Headers],0)))</f>
        <v>0.72199999999999998</v>
      </c>
      <c r="M268" s="98">
        <f>IF(INDEX(lmic_raw_lb[],MATCH($A268,lmic_raw_lb[[setting]:[setting]],0), MATCH(M$139, lmic_raw_lb[#Headers],0))=0, INDEX(regions_lb[], MATCH($D268, regions_lb[[setting]:[setting]],0), MATCH(M$139, regions_lb[#Headers],0)),INDEX(lmic_raw_lb[],MATCH($A268,lmic_raw_lb[[setting]:[setting]],0), MATCH(M$139, lmic_raw_lb[#Headers],0)))</f>
        <v>7.6E-3</v>
      </c>
      <c r="N268" s="98">
        <f>IF(INDEX(lmic_raw_lb[],MATCH($A268,lmic_raw_lb[[setting]:[setting]],0), MATCH(N$139, lmic_raw_lb[#Headers],0))=0, INDEX(regions_lb[], MATCH($D268, regions_lb[[setting]:[setting]],0), MATCH(N$139, regions_lb[#Headers],0)),INDEX(lmic_raw_lb[],MATCH($A268,lmic_raw_lb[[setting]:[setting]],0), MATCH(N$139, lmic_raw_lb[#Headers],0)))</f>
        <v>0.16339999999999999</v>
      </c>
      <c r="O268" s="98">
        <f>IF(INDEX(lmic_raw_lb[],MATCH($A268,lmic_raw_lb[[setting]:[setting]],0), MATCH(O$139, lmic_raw_lb[#Headers],0))=0, INDEX(regions_lb[], MATCH($D268, regions_lb[[setting]:[setting]],0), MATCH(O$139, regions_lb[#Headers],0)),INDEX(lmic_raw_lb[],MATCH($A268,lmic_raw_lb[[setting]:[setting]],0), MATCH(O$139, lmic_raw_lb[#Headers],0)))</f>
        <v>0.7</v>
      </c>
      <c r="P268" s="98">
        <f>IF(INDEX(lmic_raw_lb[],MATCH($A268,lmic_raw_lb[[setting]:[setting]],0), MATCH(P$139, lmic_raw_lb[#Headers],0))=0, INDEX(regions_lb[], MATCH($D268, regions_lb[[setting]:[setting]],0), MATCH(P$139, regions_lb[#Headers],0)),INDEX(lmic_raw_lb[],MATCH($A268,lmic_raw_lb[[setting]:[setting]],0), MATCH(P$139, lmic_raw_lb[#Headers],0)))</f>
        <v>0.05</v>
      </c>
      <c r="Q268" s="98">
        <f>IF(INDEX(lmic_raw_lb[],MATCH($A268,lmic_raw_lb[[setting]:[setting]],0), MATCH(Q$139, lmic_raw_lb[#Headers],0))=0, INDEX(regions_lb[], MATCH($D268, regions_lb[[setting]:[setting]],0), MATCH(Q$139, regions_lb[#Headers],0)),INDEX(lmic_raw_lb[],MATCH($A268,lmic_raw_lb[[setting]:[setting]],0), MATCH(Q$139, lmic_raw_lb[#Headers],0)))</f>
        <v>5.9982350942410507</v>
      </c>
      <c r="R268" s="98">
        <f>IF(INDEX(lmic_raw_lb[],MATCH($A268,lmic_raw_lb[[setting]:[setting]],0), MATCH(R$139, lmic_raw_lb[#Headers],0))=0, INDEX(regions_lb[], MATCH($D268, regions_lb[[setting]:[setting]],0), MATCH(R$139, regions_lb[#Headers],0)),INDEX(lmic_raw_lb[],MATCH($A268,lmic_raw_lb[[setting]:[setting]],0), MATCH(R$139, lmic_raw_lb[#Headers],0)))</f>
        <v>42.31053</v>
      </c>
      <c r="S268" s="98">
        <f>IF(INDEX(lmic_raw_lb[],MATCH($A268,lmic_raw_lb[[setting]:[setting]],0), MATCH(S$139, lmic_raw_lb[#Headers],0))=0, INDEX(regions_lb[], MATCH($D268, regions_lb[[setting]:[setting]],0), MATCH(S$139, regions_lb[#Headers],0)),INDEX(lmic_raw_lb[],MATCH($A268,lmic_raw_lb[[setting]:[setting]],0), MATCH(S$139, lmic_raw_lb[#Headers],0)))</f>
        <v>87.665430000000001</v>
      </c>
      <c r="T268" s="98">
        <f>IF(INDEX(lmic_raw_lb[],MATCH($A268,lmic_raw_lb[[setting]:[setting]],0), MATCH(T$139, lmic_raw_lb[#Headers],0))=0, INDEX(regions_lb[], MATCH($D268, regions_lb[[setting]:[setting]],0), MATCH(T$139, regions_lb[#Headers],0)),INDEX(lmic_raw_lb[],MATCH($A268,lmic_raw_lb[[setting]:[setting]],0), MATCH(T$139, lmic_raw_lb[#Headers],0)))</f>
        <v>87.665430000000001</v>
      </c>
      <c r="U268" s="98">
        <f>IF(INDEX(lmic_raw_lb[],MATCH($A268,lmic_raw_lb[[setting]:[setting]],0), MATCH(U$139, lmic_raw_lb[#Headers],0))=0, INDEX(regions_lb[], MATCH($D268, regions_lb[[setting]:[setting]],0), MATCH(U$139, regions_lb[#Headers],0)),INDEX(lmic_raw_lb[],MATCH($A268,lmic_raw_lb[[setting]:[setting]],0), MATCH(U$139, lmic_raw_lb[#Headers],0)))</f>
        <v>87.665430000000001</v>
      </c>
      <c r="V268" s="98">
        <f>IF(INDEX(lmic_raw_lb[],MATCH($A268,lmic_raw_lb[[setting]:[setting]],0), MATCH(V$139, lmic_raw_lb[#Headers],0))=0, INDEX(regions_lb[], MATCH($D268, regions_lb[[setting]:[setting]],0), MATCH(V$139, regions_lb[#Headers],0)),INDEX(lmic_raw_lb[],MATCH($A268,lmic_raw_lb[[setting]:[setting]],0), MATCH(V$139, lmic_raw_lb[#Headers],0)))</f>
        <v>0.51741945666110556</v>
      </c>
      <c r="W268" s="98">
        <f>IF(INDEX(lmic_raw_lb[],MATCH($A268,lmic_raw_lb[[setting]:[setting]],0), MATCH(W$139, lmic_raw_lb[#Headers],0))=0, INDEX(regions_lb[], MATCH($D268, regions_lb[[setting]:[setting]],0), MATCH(W$139, regions_lb[#Headers],0)),INDEX(lmic_raw_lb[],MATCH($A268,lmic_raw_lb[[setting]:[setting]],0), MATCH(W$139, lmic_raw_lb[#Headers],0)))</f>
        <v>4.379834456661106</v>
      </c>
      <c r="X268" s="98">
        <f>IF(INDEX(lmic_raw_lb[],MATCH($A268,lmic_raw_lb[[setting]:[setting]],0), MATCH(X$139, lmic_raw_lb[#Headers],0))=0, INDEX(regions_lb[], MATCH($D268, regions_lb[[setting]:[setting]],0), MATCH(X$139, regions_lb[#Headers],0)),INDEX(lmic_raw_lb[],MATCH($A268,lmic_raw_lb[[setting]:[setting]],0), MATCH(X$139, lmic_raw_lb[#Headers],0)))</f>
        <v>0.14654556678468106</v>
      </c>
      <c r="Y268" s="98">
        <f>IF(INDEX(lmic_raw_lb[],MATCH($A268,lmic_raw_lb[[setting]:[setting]],0), MATCH(Y$139, lmic_raw_lb[#Headers],0))=0, INDEX(regions_lb[], MATCH($D268, regions_lb[[setting]:[setting]],0), MATCH(Y$139, regions_lb[#Headers],0)),INDEX(lmic_raw_lb[],MATCH($A268,lmic_raw_lb[[setting]:[setting]],0), MATCH(Y$139, lmic_raw_lb[#Headers],0)))</f>
        <v>4.0089605667846815</v>
      </c>
      <c r="Z268" s="98">
        <f>IF(INDEX(lmic_raw_lb[],MATCH($A268,lmic_raw_lb[[setting]:[setting]],0), MATCH(Z$139, lmic_raw_lb[#Headers],0))=0, INDEX(regions_lb[], MATCH($D268, regions_lb[[setting]:[setting]],0), MATCH(Z$139, regions_lb[#Headers],0)),INDEX(lmic_raw_lb[],MATCH($A268,lmic_raw_lb[[setting]:[setting]],0), MATCH(Z$139, lmic_raw_lb[#Headers],0)))</f>
        <v>4.0030909839116573</v>
      </c>
      <c r="AA268" s="98">
        <f>IF(INDEX(lmic_raw_lb[],MATCH($A268,lmic_raw_lb[[setting]:[setting]],0), MATCH(AA$139, lmic_raw_lb[#Headers],0))=0, INDEX(regions_lb[], MATCH($D268, regions_lb[[setting]:[setting]],0), MATCH(AA$139, regions_lb[#Headers],0)),INDEX(lmic_raw_lb[],MATCH($A268,lmic_raw_lb[[setting]:[setting]],0), MATCH(AA$139, lmic_raw_lb[#Headers],0)))</f>
        <v>0.7310069411294996</v>
      </c>
      <c r="AB268" s="98">
        <f>IF(INDEX(lmic_raw_lb[],MATCH($A268,lmic_raw_lb[[setting]:[setting]],0), MATCH(AB$139, lmic_raw_lb[#Headers],0))=0, INDEX(regions_lb[], MATCH($D268, regions_lb[[setting]:[setting]],0), MATCH(AB$139, regions_lb[#Headers],0)),INDEX(lmic_raw_lb[],MATCH($A268,lmic_raw_lb[[setting]:[setting]],0), MATCH(AB$139, lmic_raw_lb[#Headers],0)))</f>
        <v>4.5934219411294999</v>
      </c>
      <c r="AC268" s="98">
        <f>IF(INDEX(lmic_raw_lb[],MATCH($A268,lmic_raw_lb[[setting]:[setting]],0), MATCH(AC$139, lmic_raw_lb[#Headers],0))=0, INDEX(regions_lb[], MATCH($D268, regions_lb[[setting]:[setting]],0), MATCH(AC$139, regions_lb[#Headers],0)),INDEX(lmic_raw_lb[],MATCH($A268,lmic_raw_lb[[setting]:[setting]],0), MATCH(AC$139, lmic_raw_lb[#Headers],0)))</f>
        <v>6.8388789999999791E-3</v>
      </c>
      <c r="AD268" s="98">
        <f>IF(INDEX(lmic_raw_lb[],MATCH($A268,lmic_raw_lb[[setting]:[setting]],0), MATCH(AD$139, lmic_raw_lb[#Headers],0))=0, INDEX(regions_lb[], MATCH($D268, regions_lb[[setting]:[setting]],0), MATCH(AD$139, regions_lb[#Headers],0)),INDEX(lmic_raw_lb[],MATCH($A268,lmic_raw_lb[[setting]:[setting]],0), MATCH(AD$139, lmic_raw_lb[#Headers],0)))</f>
        <v>3.2875338645348509E-4</v>
      </c>
      <c r="AE268" s="98">
        <f>IF(INDEX(lmic_raw_lb[],MATCH($A268,lmic_raw_lb[[setting]:[setting]],0), MATCH(AE$139, lmic_raw_lb[#Headers],0))=0, INDEX(regions_lb[], MATCH($D268, regions_lb[[setting]:[setting]],0), MATCH(AE$139, regions_lb[#Headers],0)),INDEX(lmic_raw_lb[],MATCH($A268,lmic_raw_lb[[setting]:[setting]],0), MATCH(AE$139, lmic_raw_lb[#Headers],0)))</f>
        <v>1.9368013529427852E-4</v>
      </c>
      <c r="AF268" s="98">
        <f>IF(INDEX(lmic_raw_lb[],MATCH($A268,lmic_raw_lb[[setting]:[setting]],0), MATCH(AF$139, lmic_raw_lb[#Headers],0))=0, INDEX(regions_lb[], MATCH($D268, regions_lb[[setting]:[setting]],0), MATCH(AF$139, regions_lb[#Headers],0)),INDEX(lmic_raw_lb[],MATCH($A268,lmic_raw_lb[[setting]:[setting]],0), MATCH(AF$139, lmic_raw_lb[#Headers],0)))</f>
        <v>2.3745197082734122E-4</v>
      </c>
      <c r="AG268" s="98">
        <f>IF(INDEX(lmic_raw_lb[],MATCH($A268,lmic_raw_lb[[setting]:[setting]],0), MATCH(AG$139, lmic_raw_lb[#Headers],0))=0, INDEX(regions_lb[], MATCH($D268, regions_lb[[setting]:[setting]],0), MATCH(AG$139, regions_lb[#Headers],0)),INDEX(lmic_raw_lb[],MATCH($A268,lmic_raw_lb[[setting]:[setting]],0), MATCH(AG$139, lmic_raw_lb[#Headers],0)))</f>
        <v>4.6952070896160521E-4</v>
      </c>
      <c r="AH268" s="98">
        <f>IF(INDEX(lmic_raw_lb[],MATCH($A268,lmic_raw_lb[[setting]:[setting]],0), MATCH(AH$139, lmic_raw_lb[#Headers],0))=0, INDEX(regions_lb[], MATCH($D268, regions_lb[[setting]:[setting]],0), MATCH(AH$139, regions_lb[#Headers],0)),INDEX(lmic_raw_lb[],MATCH($A268,lmic_raw_lb[[setting]:[setting]],0), MATCH(AH$139, lmic_raw_lb[#Headers],0)))</f>
        <v>8.6812191855941952E-4</v>
      </c>
      <c r="AI268" s="98">
        <f>IF(INDEX(lmic_raw_lb[],MATCH($A268,lmic_raw_lb[[setting]:[setting]],0), MATCH(AI$139, lmic_raw_lb[#Headers],0))=0, INDEX(regions_lb[], MATCH($D268, regions_lb[[setting]:[setting]],0), MATCH(AI$139, regions_lb[#Headers],0)),INDEX(lmic_raw_lb[],MATCH($A268,lmic_raw_lb[[setting]:[setting]],0), MATCH(AI$139, lmic_raw_lb[#Headers],0)))</f>
        <v>1.4095051376432689E-3</v>
      </c>
      <c r="AJ268" s="98">
        <f>IF(INDEX(lmic_raw_lb[],MATCH($A268,lmic_raw_lb[[setting]:[setting]],0), MATCH(AJ$139, lmic_raw_lb[#Headers],0))=0, INDEX(regions_lb[], MATCH($D268, regions_lb[[setting]:[setting]],0), MATCH(AJ$139, regions_lb[#Headers],0)),INDEX(lmic_raw_lb[],MATCH($A268,lmic_raw_lb[[setting]:[setting]],0), MATCH(AJ$139, lmic_raw_lb[#Headers],0)))</f>
        <v>2.4106719039444424E-3</v>
      </c>
      <c r="AK268" s="98">
        <f>IF(INDEX(lmic_raw_lb[],MATCH($A268,lmic_raw_lb[[setting]:[setting]],0), MATCH(AK$139, lmic_raw_lb[#Headers],0))=0, INDEX(regions_lb[], MATCH($D268, regions_lb[[setting]:[setting]],0), MATCH(AK$139, regions_lb[#Headers],0)),INDEX(lmic_raw_lb[],MATCH($A268,lmic_raw_lb[[setting]:[setting]],0), MATCH(AK$139, lmic_raw_lb[#Headers],0)))</f>
        <v>3.3467122491172775E-3</v>
      </c>
      <c r="AL268" s="98">
        <f>IF(INDEX(lmic_raw_lb[],MATCH($A268,lmic_raw_lb[[setting]:[setting]],0), MATCH(AL$139, lmic_raw_lb[#Headers],0))=0, INDEX(regions_lb[], MATCH($D268, regions_lb[[setting]:[setting]],0), MATCH(AL$139, regions_lb[#Headers],0)),INDEX(lmic_raw_lb[],MATCH($A268,lmic_raw_lb[[setting]:[setting]],0), MATCH(AL$139, lmic_raw_lb[#Headers],0)))</f>
        <v>4.3115804337650115E-3</v>
      </c>
      <c r="AM268" s="98">
        <f>IF(INDEX(lmic_raw_lb[],MATCH($A268,lmic_raw_lb[[setting]:[setting]],0), MATCH(AM$139, lmic_raw_lb[#Headers],0))=0, INDEX(regions_lb[], MATCH($D268, regions_lb[[setting]:[setting]],0), MATCH(AM$139, regions_lb[#Headers],0)),INDEX(lmic_raw_lb[],MATCH($A268,lmic_raw_lb[[setting]:[setting]],0), MATCH(AM$139, lmic_raw_lb[#Headers],0)))</f>
        <v>5.872272919654661E-3</v>
      </c>
      <c r="AN268" s="98">
        <f>IF(INDEX(lmic_raw_lb[],MATCH($A268,lmic_raw_lb[[setting]:[setting]],0), MATCH(AN$139, lmic_raw_lb[#Headers],0))=0, INDEX(regions_lb[], MATCH($D268, regions_lb[[setting]:[setting]],0), MATCH(AN$139, regions_lb[#Headers],0)),INDEX(lmic_raw_lb[],MATCH($A268,lmic_raw_lb[[setting]:[setting]],0), MATCH(AN$139, lmic_raw_lb[#Headers],0)))</f>
        <v>8.2989673449220622E-3</v>
      </c>
      <c r="AO268" s="98">
        <f>IF(INDEX(lmic_raw_lb[],MATCH($A268,lmic_raw_lb[[setting]:[setting]],0), MATCH(AO$139, lmic_raw_lb[#Headers],0))=0, INDEX(regions_lb[], MATCH($D268, regions_lb[[setting]:[setting]],0), MATCH(AO$139, regions_lb[#Headers],0)),INDEX(lmic_raw_lb[],MATCH($A268,lmic_raw_lb[[setting]:[setting]],0), MATCH(AO$139, lmic_raw_lb[#Headers],0)))</f>
        <v>1.1992685459986205E-2</v>
      </c>
      <c r="AP268" s="98">
        <f>IF(INDEX(lmic_raw_lb[],MATCH($A268,lmic_raw_lb[[setting]:[setting]],0), MATCH(AP$139, lmic_raw_lb[#Headers],0))=0, INDEX(regions_lb[], MATCH($D268, regions_lb[[setting]:[setting]],0), MATCH(AP$139, regions_lb[#Headers],0)),INDEX(lmic_raw_lb[],MATCH($A268,lmic_raw_lb[[setting]:[setting]],0), MATCH(AP$139, lmic_raw_lb[#Headers],0)))</f>
        <v>1.7456227903493229E-2</v>
      </c>
      <c r="AQ268" s="98">
        <f>IF(INDEX(lmic_raw_lb[],MATCH($A268,lmic_raw_lb[[setting]:[setting]],0), MATCH(AQ$139, lmic_raw_lb[#Headers],0))=0, INDEX(regions_lb[], MATCH($D268, regions_lb[[setting]:[setting]],0), MATCH(AQ$139, regions_lb[#Headers],0)),INDEX(lmic_raw_lb[],MATCH($A268,lmic_raw_lb[[setting]:[setting]],0), MATCH(AQ$139, lmic_raw_lb[#Headers],0)))</f>
        <v>2.3823510332479265E-2</v>
      </c>
      <c r="AR268" s="98">
        <f>IF(INDEX(lmic_raw_lb[],MATCH($A268,lmic_raw_lb[[setting]:[setting]],0), MATCH(AR$139, lmic_raw_lb[#Headers],0))=0, INDEX(regions_lb[], MATCH($D268, regions_lb[[setting]:[setting]],0), MATCH(AR$139, regions_lb[#Headers],0)),INDEX(lmic_raw_lb[],MATCH($A268,lmic_raw_lb[[setting]:[setting]],0), MATCH(AR$139, lmic_raw_lb[#Headers],0)))</f>
        <v>3.666126711416455E-2</v>
      </c>
      <c r="AS268" s="98">
        <f>IF(INDEX(lmic_raw_lb[],MATCH($A268,lmic_raw_lb[[setting]:[setting]],0), MATCH(AS$139, lmic_raw_lb[#Headers],0))=0, INDEX(regions_lb[], MATCH($D268, regions_lb[[setting]:[setting]],0), MATCH(AS$139, regions_lb[#Headers],0)),INDEX(lmic_raw_lb[],MATCH($A268,lmic_raw_lb[[setting]:[setting]],0), MATCH(AS$139, lmic_raw_lb[#Headers],0)))</f>
        <v>5.5510789635308706E-2</v>
      </c>
      <c r="AT268" s="98">
        <f>IF(INDEX(lmic_raw_lb[],MATCH($A268,lmic_raw_lb[[setting]:[setting]],0), MATCH(AT$139, lmic_raw_lb[#Headers],0))=0, INDEX(regions_lb[], MATCH($D268, regions_lb[[setting]:[setting]],0), MATCH(AT$139, regions_lb[#Headers],0)),INDEX(lmic_raw_lb[],MATCH($A268,lmic_raw_lb[[setting]:[setting]],0), MATCH(AT$139, lmic_raw_lb[#Headers],0)))</f>
        <v>8.0809241969243176E-2</v>
      </c>
      <c r="AU268" s="98">
        <f>IF(INDEX(lmic_raw_lb[],MATCH($A268,lmic_raw_lb[[setting]:[setting]],0), MATCH(AU$139, lmic_raw_lb[#Headers],0))=0, INDEX(regions_lb[], MATCH($D268, regions_lb[[setting]:[setting]],0), MATCH(AU$139, regions_lb[#Headers],0)),INDEX(lmic_raw_lb[],MATCH($A268,lmic_raw_lb[[setting]:[setting]],0), MATCH(AU$139, lmic_raw_lb[#Headers],0)))</f>
        <v>0.11117845607389515</v>
      </c>
      <c r="AV268" s="98">
        <f>IF(INDEX(lmic_raw_lb[],MATCH($A268,lmic_raw_lb[[setting]:[setting]],0), MATCH(AV$139, lmic_raw_lb[#Headers],0))=0, INDEX(regions_lb[], MATCH($D268, regions_lb[[setting]:[setting]],0), MATCH(AV$139, regions_lb[#Headers],0)),INDEX(lmic_raw_lb[],MATCH($A268,lmic_raw_lb[[setting]:[setting]],0), MATCH(AV$139, lmic_raw_lb[#Headers],0)))</f>
        <v>0.14213891888752622</v>
      </c>
      <c r="AW268" s="98">
        <f>IF(INDEX(lmic_raw_lb[],MATCH($A268,lmic_raw_lb[[setting]:[setting]],0), MATCH(AW$139, lmic_raw_lb[#Headers],0))=0, INDEX(regions_lb[], MATCH($D268, regions_lb[[setting]:[setting]],0), MATCH(AW$139, regions_lb[#Headers],0)),INDEX(lmic_raw_lb[],MATCH($A268,lmic_raw_lb[[setting]:[setting]],0), MATCH(AW$139, lmic_raw_lb[#Headers],0)))</f>
        <v>0.16494702161247052</v>
      </c>
      <c r="AX268" s="98">
        <f>IF(INDEX(lmic_raw_lb[],MATCH($A268,lmic_raw_lb[[setting]:[setting]],0), MATCH(AX$139, lmic_raw_lb[#Headers],0))=0, INDEX(regions_lb[], MATCH($D268, regions_lb[[setting]:[setting]],0), MATCH(AX$139, regions_lb[#Headers],0)),INDEX(lmic_raw_lb[],MATCH($A268,lmic_raw_lb[[setting]:[setting]],0), MATCH(AX$139, lmic_raw_lb[#Headers],0)))</f>
        <v>68.228049999999996</v>
      </c>
      <c r="AY268" s="98" t="str">
        <f>IF(VLOOKUP(lmics_lb[[#This Row],[setting]],lmic_raw_lb[],11,FALSE)=0, "Yes", "No")</f>
        <v>No</v>
      </c>
    </row>
    <row r="269" spans="1:51" x14ac:dyDescent="0.25">
      <c r="A269" s="110" t="s">
        <v>189</v>
      </c>
      <c r="B269" s="104" t="s">
        <v>536</v>
      </c>
      <c r="C269" s="105">
        <v>860</v>
      </c>
      <c r="D269" s="84" t="s">
        <v>675</v>
      </c>
      <c r="E269" s="122" t="s">
        <v>184</v>
      </c>
      <c r="F269" s="94" t="s">
        <v>663</v>
      </c>
      <c r="G269" s="94" t="s">
        <v>678</v>
      </c>
      <c r="H269" s="94"/>
      <c r="I269" s="94"/>
      <c r="J269" s="94">
        <f>IF(INDEX(lmic_raw_lb[],MATCH($A269,lmic_raw_lb[[setting]:[setting]],0), MATCH(J$139, lmic_raw_lb[#Headers],0))=0, INDEX(regions_lb[], MATCH($D269, regions_lb[[setting]:[setting]],0), MATCH(J$139, regions_lb[#Headers],0)),INDEX(lmic_raw_lb[],MATCH($A269,lmic_raw_lb[[setting]:[setting]],0), MATCH(J$139, lmic_raw_lb[#Headers],0)))</f>
        <v>0.94619999999999993</v>
      </c>
      <c r="K269" s="94">
        <f>IF(INDEX(lmic_raw_lb[],MATCH($A269,lmic_raw_lb[[setting]:[setting]],0), MATCH(K$139, lmic_raw_lb[#Headers],0))=0, INDEX(regions_lb[], MATCH($D269, regions_lb[[setting]:[setting]],0), MATCH(K$139, regions_lb[#Headers],0)),INDEX(lmic_raw_lb[],MATCH($A269,lmic_raw_lb[[setting]:[setting]],0), MATCH(K$139, lmic_raw_lb[#Headers],0)))</f>
        <v>0.9405</v>
      </c>
      <c r="L269" s="94">
        <f>IF(INDEX(lmic_raw_lb[],MATCH($A269,lmic_raw_lb[[setting]:[setting]],0), MATCH(L$139, lmic_raw_lb[#Headers],0))=0, INDEX(regions_lb[], MATCH($D269, regions_lb[[setting]:[setting]],0), MATCH(L$139, regions_lb[#Headers],0)),INDEX(lmic_raw_lb[],MATCH($A269,lmic_raw_lb[[setting]:[setting]],0), MATCH(L$139, lmic_raw_lb[#Headers],0)))</f>
        <v>0.91199999999999992</v>
      </c>
      <c r="M269" s="94">
        <f>IF(INDEX(lmic_raw_lb[],MATCH($A269,lmic_raw_lb[[setting]:[setting]],0), MATCH(M$139, lmic_raw_lb[#Headers],0))=0, INDEX(regions_lb[], MATCH($D269, regions_lb[[setting]:[setting]],0), MATCH(M$139, regions_lb[#Headers],0)),INDEX(lmic_raw_lb[],MATCH($A269,lmic_raw_lb[[setting]:[setting]],0), MATCH(M$139, lmic_raw_lb[#Headers],0)))</f>
        <v>3.6799999999999999E-2</v>
      </c>
      <c r="N269" s="94">
        <f>IF(INDEX(lmic_raw_lb[],MATCH($A269,lmic_raw_lb[[setting]:[setting]],0), MATCH(N$139, lmic_raw_lb[#Headers],0))=0, INDEX(regions_lb[], MATCH($D269, regions_lb[[setting]:[setting]],0), MATCH(N$139, regions_lb[#Headers],0)),INDEX(lmic_raw_lb[],MATCH($A269,lmic_raw_lb[[setting]:[setting]],0), MATCH(N$139, lmic_raw_lb[#Headers],0)))</f>
        <v>0.16309999999999999</v>
      </c>
      <c r="O269" s="94">
        <f>IF(INDEX(lmic_raw_lb[],MATCH($A269,lmic_raw_lb[[setting]:[setting]],0), MATCH(O$139, lmic_raw_lb[#Headers],0))=0, INDEX(regions_lb[], MATCH($D269, regions_lb[[setting]:[setting]],0), MATCH(O$139, regions_lb[#Headers],0)),INDEX(lmic_raw_lb[],MATCH($A269,lmic_raw_lb[[setting]:[setting]],0), MATCH(O$139, lmic_raw_lb[#Headers],0)))</f>
        <v>0.7</v>
      </c>
      <c r="P269" s="94">
        <f>IF(INDEX(lmic_raw_lb[],MATCH($A269,lmic_raw_lb[[setting]:[setting]],0), MATCH(P$139, lmic_raw_lb[#Headers],0))=0, INDEX(regions_lb[], MATCH($D269, regions_lb[[setting]:[setting]],0), MATCH(P$139, regions_lb[#Headers],0)),INDEX(lmic_raw_lb[],MATCH($A269,lmic_raw_lb[[setting]:[setting]],0), MATCH(P$139, lmic_raw_lb[#Headers],0)))</f>
        <v>0.05</v>
      </c>
      <c r="Q269" s="94">
        <f>IF(INDEX(lmic_raw_lb[],MATCH($A269,lmic_raw_lb[[setting]:[setting]],0), MATCH(Q$139, lmic_raw_lb[#Headers],0))=0, INDEX(regions_lb[], MATCH($D269, regions_lb[[setting]:[setting]],0), MATCH(Q$139, regions_lb[#Headers],0)),INDEX(lmic_raw_lb[],MATCH($A269,lmic_raw_lb[[setting]:[setting]],0), MATCH(Q$139, lmic_raw_lb[#Headers],0)))</f>
        <v>3.6529107830756207</v>
      </c>
      <c r="R269" s="94">
        <f>IF(INDEX(lmic_raw_lb[],MATCH($A269,lmic_raw_lb[[setting]:[setting]],0), MATCH(R$139, lmic_raw_lb[#Headers],0))=0, INDEX(regions_lb[], MATCH($D269, regions_lb[[setting]:[setting]],0), MATCH(R$139, regions_lb[#Headers],0)),INDEX(lmic_raw_lb[],MATCH($A269,lmic_raw_lb[[setting]:[setting]],0), MATCH(R$139, lmic_raw_lb[#Headers],0)))</f>
        <v>42.31053</v>
      </c>
      <c r="S269" s="94">
        <f>IF(INDEX(lmic_raw_lb[],MATCH($A269,lmic_raw_lb[[setting]:[setting]],0), MATCH(S$139, lmic_raw_lb[#Headers],0))=0, INDEX(regions_lb[], MATCH($D269, regions_lb[[setting]:[setting]],0), MATCH(S$139, regions_lb[#Headers],0)),INDEX(lmic_raw_lb[],MATCH($A269,lmic_raw_lb[[setting]:[setting]],0), MATCH(S$139, lmic_raw_lb[#Headers],0)))</f>
        <v>87.665430000000001</v>
      </c>
      <c r="T269" s="94">
        <f>IF(INDEX(lmic_raw_lb[],MATCH($A269,lmic_raw_lb[[setting]:[setting]],0), MATCH(T$139, lmic_raw_lb[#Headers],0))=0, INDEX(regions_lb[], MATCH($D269, regions_lb[[setting]:[setting]],0), MATCH(T$139, regions_lb[#Headers],0)),INDEX(lmic_raw_lb[],MATCH($A269,lmic_raw_lb[[setting]:[setting]],0), MATCH(T$139, lmic_raw_lb[#Headers],0)))</f>
        <v>87.665430000000001</v>
      </c>
      <c r="U269" s="94">
        <f>IF(INDEX(lmic_raw_lb[],MATCH($A269,lmic_raw_lb[[setting]:[setting]],0), MATCH(U$139, lmic_raw_lb[#Headers],0))=0, INDEX(regions_lb[], MATCH($D269, regions_lb[[setting]:[setting]],0), MATCH(U$139, regions_lb[#Headers],0)),INDEX(lmic_raw_lb[],MATCH($A269,lmic_raw_lb[[setting]:[setting]],0), MATCH(U$139, lmic_raw_lb[#Headers],0)))</f>
        <v>87.665430000000001</v>
      </c>
      <c r="V269" s="94">
        <f>IF(INDEX(lmic_raw_lb[],MATCH($A269,lmic_raw_lb[[setting]:[setting]],0), MATCH(V$139, lmic_raw_lb[#Headers],0))=0, INDEX(regions_lb[], MATCH($D269, regions_lb[[setting]:[setting]],0), MATCH(V$139, regions_lb[#Headers],0)),INDEX(lmic_raw_lb[],MATCH($A269,lmic_raw_lb[[setting]:[setting]],0), MATCH(V$139, lmic_raw_lb[#Headers],0)))</f>
        <v>1.4533786333900029</v>
      </c>
      <c r="W269" s="94">
        <f>IF(INDEX(lmic_raw_lb[],MATCH($A269,lmic_raw_lb[[setting]:[setting]],0), MATCH(W$139, lmic_raw_lb[#Headers],0))=0, INDEX(regions_lb[], MATCH($D269, regions_lb[[setting]:[setting]],0), MATCH(W$139, regions_lb[#Headers],0)),INDEX(lmic_raw_lb[],MATCH($A269,lmic_raw_lb[[setting]:[setting]],0), MATCH(W$139, lmic_raw_lb[#Headers],0)))</f>
        <v>5.3157936333900029</v>
      </c>
      <c r="X269" s="94">
        <f>IF(INDEX(lmic_raw_lb[],MATCH($A269,lmic_raw_lb[[setting]:[setting]],0), MATCH(X$139, lmic_raw_lb[#Headers],0))=0, INDEX(regions_lb[], MATCH($D269, regions_lb[[setting]:[setting]],0), MATCH(X$139, regions_lb[#Headers],0)),INDEX(lmic_raw_lb[],MATCH($A269,lmic_raw_lb[[setting]:[setting]],0), MATCH(X$139, lmic_raw_lb[#Headers],0)))</f>
        <v>1.0872980236840324</v>
      </c>
      <c r="Y269" s="94">
        <f>IF(INDEX(lmic_raw_lb[],MATCH($A269,lmic_raw_lb[[setting]:[setting]],0), MATCH(Y$139, lmic_raw_lb[#Headers],0))=0, INDEX(regions_lb[], MATCH($D269, regions_lb[[setting]:[setting]],0), MATCH(Y$139, regions_lb[#Headers],0)),INDEX(lmic_raw_lb[],MATCH($A269,lmic_raw_lb[[setting]:[setting]],0), MATCH(Y$139, lmic_raw_lb[#Headers],0)))</f>
        <v>4.9497130236840325</v>
      </c>
      <c r="Z269" s="94">
        <f>IF(INDEX(lmic_raw_lb[],MATCH($A269,lmic_raw_lb[[setting]:[setting]],0), MATCH(Z$139, lmic_raw_lb[#Headers],0))=0, INDEX(regions_lb[], MATCH($D269, regions_lb[[setting]:[setting]],0), MATCH(Z$139, regions_lb[#Headers],0)),INDEX(lmic_raw_lb[],MATCH($A269,lmic_raw_lb[[setting]:[setting]],0), MATCH(Z$139, lmic_raw_lb[#Headers],0)))</f>
        <v>4.9471091502489148</v>
      </c>
      <c r="AA269" s="94">
        <f>IF(INDEX(lmic_raw_lb[],MATCH($A269,lmic_raw_lb[[setting]:[setting]],0), MATCH(AA$139, lmic_raw_lb[#Headers],0))=0, INDEX(regions_lb[], MATCH($D269, regions_lb[[setting]:[setting]],0), MATCH(AA$139, regions_lb[#Headers],0)),INDEX(lmic_raw_lb[],MATCH($A269,lmic_raw_lb[[setting]:[setting]],0), MATCH(AA$139, lmic_raw_lb[#Headers],0)))</f>
        <v>1.6649118549282023</v>
      </c>
      <c r="AB269" s="94">
        <f>IF(INDEX(lmic_raw_lb[],MATCH($A269,lmic_raw_lb[[setting]:[setting]],0), MATCH(AB$139, lmic_raw_lb[#Headers],0))=0, INDEX(regions_lb[], MATCH($D269, regions_lb[[setting]:[setting]],0), MATCH(AB$139, regions_lb[#Headers],0)),INDEX(lmic_raw_lb[],MATCH($A269,lmic_raw_lb[[setting]:[setting]],0), MATCH(AB$139, lmic_raw_lb[#Headers],0)))</f>
        <v>5.5273268549282024</v>
      </c>
      <c r="AC269" s="94">
        <f>IF(INDEX(lmic_raw_lb[],MATCH($A269,lmic_raw_lb[[setting]:[setting]],0), MATCH(AC$139, lmic_raw_lb[#Headers],0))=0, INDEX(regions_lb[], MATCH($D269, regions_lb[[setting]:[setting]],0), MATCH(AC$139, regions_lb[#Headers],0)),INDEX(lmic_raw_lb[],MATCH($A269,lmic_raw_lb[[setting]:[setting]],0), MATCH(AC$139, lmic_raw_lb[#Headers],0)))</f>
        <v>1.9793696500000058E-2</v>
      </c>
      <c r="AD269" s="94">
        <f>IF(INDEX(lmic_raw_lb[],MATCH($A269,lmic_raw_lb[[setting]:[setting]],0), MATCH(AD$139, lmic_raw_lb[#Headers],0))=0, INDEX(regions_lb[], MATCH($D269, regions_lb[[setting]:[setting]],0), MATCH(AD$139, regions_lb[#Headers],0)),INDEX(lmic_raw_lb[],MATCH($A269,lmic_raw_lb[[setting]:[setting]],0), MATCH(AD$139, lmic_raw_lb[#Headers],0)))</f>
        <v>1.1610828315032817E-3</v>
      </c>
      <c r="AE269" s="94">
        <f>IF(INDEX(lmic_raw_lb[],MATCH($A269,lmic_raw_lb[[setting]:[setting]],0), MATCH(AE$139, lmic_raw_lb[#Headers],0))=0, INDEX(regions_lb[], MATCH($D269, regions_lb[[setting]:[setting]],0), MATCH(AE$139, regions_lb[#Headers],0)),INDEX(lmic_raw_lb[],MATCH($A269,lmic_raw_lb[[setting]:[setting]],0), MATCH(AE$139, lmic_raw_lb[#Headers],0)))</f>
        <v>2.7321902159453329E-4</v>
      </c>
      <c r="AF269" s="94">
        <f>IF(INDEX(lmic_raw_lb[],MATCH($A269,lmic_raw_lb[[setting]:[setting]],0), MATCH(AF$139, lmic_raw_lb[#Headers],0))=0, INDEX(regions_lb[], MATCH($D269, regions_lb[[setting]:[setting]],0), MATCH(AF$139, regions_lb[#Headers],0)),INDEX(lmic_raw_lb[],MATCH($A269,lmic_raw_lb[[setting]:[setting]],0), MATCH(AF$139, lmic_raw_lb[#Headers],0)))</f>
        <v>2.9113663971749084E-4</v>
      </c>
      <c r="AG269" s="94">
        <f>IF(INDEX(lmic_raw_lb[],MATCH($A269,lmic_raw_lb[[setting]:[setting]],0), MATCH(AG$139, lmic_raw_lb[#Headers],0))=0, INDEX(regions_lb[], MATCH($D269, regions_lb[[setting]:[setting]],0), MATCH(AG$139, regions_lb[#Headers],0)),INDEX(lmic_raw_lb[],MATCH($A269,lmic_raw_lb[[setting]:[setting]],0), MATCH(AG$139, lmic_raw_lb[#Headers],0)))</f>
        <v>4.7925106618669174E-4</v>
      </c>
      <c r="AH269" s="94">
        <f>IF(INDEX(lmic_raw_lb[],MATCH($A269,lmic_raw_lb[[setting]:[setting]],0), MATCH(AH$139, lmic_raw_lb[#Headers],0))=0, INDEX(regions_lb[], MATCH($D269, regions_lb[[setting]:[setting]],0), MATCH(AH$139, regions_lb[#Headers],0)),INDEX(lmic_raw_lb[],MATCH($A269,lmic_raw_lb[[setting]:[setting]],0), MATCH(AH$139, lmic_raw_lb[#Headers],0)))</f>
        <v>6.8824563666749692E-4</v>
      </c>
      <c r="AI269" s="94">
        <f>IF(INDEX(lmic_raw_lb[],MATCH($A269,lmic_raw_lb[[setting]:[setting]],0), MATCH(AI$139, lmic_raw_lb[#Headers],0))=0, INDEX(regions_lb[], MATCH($D269, regions_lb[[setting]:[setting]],0), MATCH(AI$139, regions_lb[#Headers],0)),INDEX(lmic_raw_lb[],MATCH($A269,lmic_raw_lb[[setting]:[setting]],0), MATCH(AI$139, lmic_raw_lb[#Headers],0)))</f>
        <v>9.2481463063174706E-4</v>
      </c>
      <c r="AJ269" s="94">
        <f>IF(INDEX(lmic_raw_lb[],MATCH($A269,lmic_raw_lb[[setting]:[setting]],0), MATCH(AJ$139, lmic_raw_lb[#Headers],0))=0, INDEX(regions_lb[], MATCH($D269, regions_lb[[setting]:[setting]],0), MATCH(AJ$139, regions_lb[#Headers],0)),INDEX(lmic_raw_lb[],MATCH($A269,lmic_raw_lb[[setting]:[setting]],0), MATCH(AJ$139, lmic_raw_lb[#Headers],0)))</f>
        <v>1.2538720488118732E-3</v>
      </c>
      <c r="AK269" s="94">
        <f>IF(INDEX(lmic_raw_lb[],MATCH($A269,lmic_raw_lb[[setting]:[setting]],0), MATCH(AK$139, lmic_raw_lb[#Headers],0))=0, INDEX(regions_lb[], MATCH($D269, regions_lb[[setting]:[setting]],0), MATCH(AK$139, regions_lb[#Headers],0)),INDEX(lmic_raw_lb[],MATCH($A269,lmic_raw_lb[[setting]:[setting]],0), MATCH(AK$139, lmic_raw_lb[#Headers],0)))</f>
        <v>1.7483767232639577E-3</v>
      </c>
      <c r="AL269" s="94">
        <f>IF(INDEX(lmic_raw_lb[],MATCH($A269,lmic_raw_lb[[setting]:[setting]],0), MATCH(AL$139, lmic_raw_lb[#Headers],0))=0, INDEX(regions_lb[], MATCH($D269, regions_lb[[setting]:[setting]],0), MATCH(AL$139, regions_lb[#Headers],0)),INDEX(lmic_raw_lb[],MATCH($A269,lmic_raw_lb[[setting]:[setting]],0), MATCH(AL$139, lmic_raw_lb[#Headers],0)))</f>
        <v>2.4411017025501697E-3</v>
      </c>
      <c r="AM269" s="94">
        <f>IF(INDEX(lmic_raw_lb[],MATCH($A269,lmic_raw_lb[[setting]:[setting]],0), MATCH(AM$139, lmic_raw_lb[#Headers],0))=0, INDEX(regions_lb[], MATCH($D269, regions_lb[[setting]:[setting]],0), MATCH(AM$139, regions_lb[#Headers],0)),INDEX(lmic_raw_lb[],MATCH($A269,lmic_raw_lb[[setting]:[setting]],0), MATCH(AM$139, lmic_raw_lb[#Headers],0)))</f>
        <v>3.7017912292490692E-3</v>
      </c>
      <c r="AN269" s="94">
        <f>IF(INDEX(lmic_raw_lb[],MATCH($A269,lmic_raw_lb[[setting]:[setting]],0), MATCH(AN$139, lmic_raw_lb[#Headers],0))=0, INDEX(regions_lb[], MATCH($D269, regions_lb[[setting]:[setting]],0), MATCH(AN$139, regions_lb[#Headers],0)),INDEX(lmic_raw_lb[],MATCH($A269,lmic_raw_lb[[setting]:[setting]],0), MATCH(AN$139, lmic_raw_lb[#Headers],0)))</f>
        <v>5.9480109849364615E-3</v>
      </c>
      <c r="AO269" s="94">
        <f>IF(INDEX(lmic_raw_lb[],MATCH($A269,lmic_raw_lb[[setting]:[setting]],0), MATCH(AO$139, lmic_raw_lb[#Headers],0))=0, INDEX(regions_lb[], MATCH($D269, regions_lb[[setting]:[setting]],0), MATCH(AO$139, regions_lb[#Headers],0)),INDEX(lmic_raw_lb[],MATCH($A269,lmic_raw_lb[[setting]:[setting]],0), MATCH(AO$139, lmic_raw_lb[#Headers],0)))</f>
        <v>1.0063866426749715E-2</v>
      </c>
      <c r="AP269" s="94">
        <f>IF(INDEX(lmic_raw_lb[],MATCH($A269,lmic_raw_lb[[setting]:[setting]],0), MATCH(AP$139, lmic_raw_lb[#Headers],0))=0, INDEX(regions_lb[], MATCH($D269, regions_lb[[setting]:[setting]],0), MATCH(AP$139, regions_lb[#Headers],0)),INDEX(lmic_raw_lb[],MATCH($A269,lmic_raw_lb[[setting]:[setting]],0), MATCH(AP$139, lmic_raw_lb[#Headers],0)))</f>
        <v>1.7253268047097037E-2</v>
      </c>
      <c r="AQ269" s="94">
        <f>IF(INDEX(lmic_raw_lb[],MATCH($A269,lmic_raw_lb[[setting]:[setting]],0), MATCH(AQ$139, lmic_raw_lb[#Headers],0))=0, INDEX(regions_lb[], MATCH($D269, regions_lb[[setting]:[setting]],0), MATCH(AQ$139, regions_lb[#Headers],0)),INDEX(lmic_raw_lb[],MATCH($A269,lmic_raw_lb[[setting]:[setting]],0), MATCH(AQ$139, lmic_raw_lb[#Headers],0)))</f>
        <v>2.7184517479848111E-2</v>
      </c>
      <c r="AR269" s="94">
        <f>IF(INDEX(lmic_raw_lb[],MATCH($A269,lmic_raw_lb[[setting]:[setting]],0), MATCH(AR$139, lmic_raw_lb[#Headers],0))=0, INDEX(regions_lb[], MATCH($D269, regions_lb[[setting]:[setting]],0), MATCH(AR$139, regions_lb[#Headers],0)),INDEX(lmic_raw_lb[],MATCH($A269,lmic_raw_lb[[setting]:[setting]],0), MATCH(AR$139, lmic_raw_lb[#Headers],0)))</f>
        <v>4.2076119924946025E-2</v>
      </c>
      <c r="AS269" s="94">
        <f>IF(INDEX(lmic_raw_lb[],MATCH($A269,lmic_raw_lb[[setting]:[setting]],0), MATCH(AS$139, lmic_raw_lb[#Headers],0))=0, INDEX(regions_lb[], MATCH($D269, regions_lb[[setting]:[setting]],0), MATCH(AS$139, regions_lb[#Headers],0)),INDEX(lmic_raw_lb[],MATCH($A269,lmic_raw_lb[[setting]:[setting]],0), MATCH(AS$139, lmic_raw_lb[#Headers],0)))</f>
        <v>6.3590899844076024E-2</v>
      </c>
      <c r="AT269" s="94">
        <f>IF(INDEX(lmic_raw_lb[],MATCH($A269,lmic_raw_lb[[setting]:[setting]],0), MATCH(AT$139, lmic_raw_lb[#Headers],0))=0, INDEX(regions_lb[], MATCH($D269, regions_lb[[setting]:[setting]],0), MATCH(AT$139, regions_lb[#Headers],0)),INDEX(lmic_raw_lb[],MATCH($A269,lmic_raw_lb[[setting]:[setting]],0), MATCH(AT$139, lmic_raw_lb[#Headers],0)))</f>
        <v>9.057540278681965E-2</v>
      </c>
      <c r="AU269" s="94">
        <f>IF(INDEX(lmic_raw_lb[],MATCH($A269,lmic_raw_lb[[setting]:[setting]],0), MATCH(AU$139, lmic_raw_lb[#Headers],0))=0, INDEX(regions_lb[], MATCH($D269, regions_lb[[setting]:[setting]],0), MATCH(AU$139, regions_lb[#Headers],0)),INDEX(lmic_raw_lb[],MATCH($A269,lmic_raw_lb[[setting]:[setting]],0), MATCH(AU$139, lmic_raw_lb[#Headers],0)))</f>
        <v>0.11940951112968243</v>
      </c>
      <c r="AV269" s="94">
        <f>IF(INDEX(lmic_raw_lb[],MATCH($A269,lmic_raw_lb[[setting]:[setting]],0), MATCH(AV$139, lmic_raw_lb[#Headers],0))=0, INDEX(regions_lb[], MATCH($D269, regions_lb[[setting]:[setting]],0), MATCH(AV$139, regions_lb[#Headers],0)),INDEX(lmic_raw_lb[],MATCH($A269,lmic_raw_lb[[setting]:[setting]],0), MATCH(AV$139, lmic_raw_lb[#Headers],0)))</f>
        <v>0.14596056810282015</v>
      </c>
      <c r="AW269" s="94">
        <f>IF(INDEX(lmic_raw_lb[],MATCH($A269,lmic_raw_lb[[setting]:[setting]],0), MATCH(AW$139, lmic_raw_lb[#Headers],0))=0, INDEX(regions_lb[], MATCH($D269, regions_lb[[setting]:[setting]],0), MATCH(AW$139, regions_lb[#Headers],0)),INDEX(lmic_raw_lb[],MATCH($A269,lmic_raw_lb[[setting]:[setting]],0), MATCH(AW$139, lmic_raw_lb[#Headers],0)))</f>
        <v>0.16495408714723009</v>
      </c>
      <c r="AX269" s="94">
        <f>IF(INDEX(lmic_raw_lb[],MATCH($A269,lmic_raw_lb[[setting]:[setting]],0), MATCH(AX$139, lmic_raw_lb[#Headers],0))=0, INDEX(regions_lb[], MATCH($D269, regions_lb[[setting]:[setting]],0), MATCH(AX$139, regions_lb[#Headers],0)),INDEX(lmic_raw_lb[],MATCH($A269,lmic_raw_lb[[setting]:[setting]],0), MATCH(AX$139, lmic_raw_lb[#Headers],0)))</f>
        <v>67.955399999999997</v>
      </c>
      <c r="AY269" s="94" t="str">
        <f>IF(VLOOKUP(lmics_lb[[#This Row],[setting]],lmic_raw_lb[],11,FALSE)=0, "Yes", "No")</f>
        <v>No</v>
      </c>
    </row>
    <row r="270" spans="1:51" x14ac:dyDescent="0.25">
      <c r="A270" s="109" t="s">
        <v>285</v>
      </c>
      <c r="B270" s="101" t="s">
        <v>537</v>
      </c>
      <c r="C270" s="102">
        <v>548</v>
      </c>
      <c r="D270" s="82" t="s">
        <v>681</v>
      </c>
      <c r="E270" s="121" t="s">
        <v>98</v>
      </c>
      <c r="F270" s="98" t="s">
        <v>666</v>
      </c>
      <c r="G270" s="98" t="s">
        <v>678</v>
      </c>
      <c r="H270" s="98"/>
      <c r="I270" s="98"/>
      <c r="J270" s="98">
        <f>IF(INDEX(lmic_raw_lb[],MATCH($A270,lmic_raw_lb[[setting]:[setting]],0), MATCH(J$139, lmic_raw_lb[#Headers],0))=0, INDEX(regions_lb[], MATCH($D270, regions_lb[[setting]:[setting]],0), MATCH(J$139, regions_lb[#Headers],0)),INDEX(lmic_raw_lb[],MATCH($A270,lmic_raw_lb[[setting]:[setting]],0), MATCH(J$139, lmic_raw_lb[#Headers],0)))</f>
        <v>0.84075</v>
      </c>
      <c r="K270" s="98">
        <f>IF(INDEX(lmic_raw_lb[],MATCH($A270,lmic_raw_lb[[setting]:[setting]],0), MATCH(K$139, lmic_raw_lb[#Headers],0))=0, INDEX(regions_lb[], MATCH($D270, regions_lb[[setting]:[setting]],0), MATCH(K$139, regions_lb[#Headers],0)),INDEX(lmic_raw_lb[],MATCH($A270,lmic_raw_lb[[setting]:[setting]],0), MATCH(K$139, lmic_raw_lb[#Headers],0)))</f>
        <v>0.77899999999999991</v>
      </c>
      <c r="L270" s="98">
        <f>IF(INDEX(lmic_raw_lb[],MATCH($A270,lmic_raw_lb[[setting]:[setting]],0), MATCH(L$139, lmic_raw_lb[#Headers],0))=0, INDEX(regions_lb[], MATCH($D270, regions_lb[[setting]:[setting]],0), MATCH(L$139, regions_lb[#Headers],0)),INDEX(lmic_raw_lb[],MATCH($A270,lmic_raw_lb[[setting]:[setting]],0), MATCH(L$139, lmic_raw_lb[#Headers],0)))</f>
        <v>0.85499999999999998</v>
      </c>
      <c r="M270" s="98">
        <f>IF(INDEX(lmic_raw_lb[],MATCH($A270,lmic_raw_lb[[setting]:[setting]],0), MATCH(M$139, lmic_raw_lb[#Headers],0))=0, INDEX(regions_lb[], MATCH($D270, regions_lb[[setting]:[setting]],0), MATCH(M$139, regions_lb[#Headers],0)),INDEX(lmic_raw_lb[],MATCH($A270,lmic_raw_lb[[setting]:[setting]],0), MATCH(M$139, lmic_raw_lb[#Headers],0)))</f>
        <v>0.10980000000000001</v>
      </c>
      <c r="N270" s="98">
        <f>IF(INDEX(lmic_raw_lb[],MATCH($A270,lmic_raw_lb[[setting]:[setting]],0), MATCH(N$139, lmic_raw_lb[#Headers],0))=0, INDEX(regions_lb[], MATCH($D270, regions_lb[[setting]:[setting]],0), MATCH(N$139, regions_lb[#Headers],0)),INDEX(lmic_raw_lb[],MATCH($A270,lmic_raw_lb[[setting]:[setting]],0), MATCH(N$139, lmic_raw_lb[#Headers],0)))</f>
        <v>0.1832</v>
      </c>
      <c r="O270" s="98">
        <f>IF(INDEX(lmic_raw_lb[],MATCH($A270,lmic_raw_lb[[setting]:[setting]],0), MATCH(O$139, lmic_raw_lb[#Headers],0))=0, INDEX(regions_lb[], MATCH($D270, regions_lb[[setting]:[setting]],0), MATCH(O$139, regions_lb[#Headers],0)),INDEX(lmic_raw_lb[],MATCH($A270,lmic_raw_lb[[setting]:[setting]],0), MATCH(O$139, lmic_raw_lb[#Headers],0)))</f>
        <v>0.7</v>
      </c>
      <c r="P270" s="98">
        <f>IF(INDEX(lmic_raw_lb[],MATCH($A270,lmic_raw_lb[[setting]:[setting]],0), MATCH(P$139, lmic_raw_lb[#Headers],0))=0, INDEX(regions_lb[], MATCH($D270, regions_lb[[setting]:[setting]],0), MATCH(P$139, regions_lb[#Headers],0)),INDEX(lmic_raw_lb[],MATCH($A270,lmic_raw_lb[[setting]:[setting]],0), MATCH(P$139, lmic_raw_lb[#Headers],0)))</f>
        <v>0.05</v>
      </c>
      <c r="Q270" s="98">
        <f>IF(INDEX(lmic_raw_lb[],MATCH($A270,lmic_raw_lb[[setting]:[setting]],0), MATCH(Q$139, lmic_raw_lb[#Headers],0))=0, INDEX(regions_lb[], MATCH($D270, regions_lb[[setting]:[setting]],0), MATCH(Q$139, regions_lb[#Headers],0)),INDEX(lmic_raw_lb[],MATCH($A270,lmic_raw_lb[[setting]:[setting]],0), MATCH(Q$139, lmic_raw_lb[#Headers],0)))</f>
        <v>9.7755603069353718</v>
      </c>
      <c r="R270" s="98">
        <f>IF(INDEX(lmic_raw_lb[],MATCH($A270,lmic_raw_lb[[setting]:[setting]],0), MATCH(R$139, lmic_raw_lb[#Headers],0))=0, INDEX(regions_lb[], MATCH($D270, regions_lb[[setting]:[setting]],0), MATCH(R$139, regions_lb[#Headers],0)),INDEX(lmic_raw_lb[],MATCH($A270,lmic_raw_lb[[setting]:[setting]],0), MATCH(R$139, lmic_raw_lb[#Headers],0)))</f>
        <v>69.430275000000009</v>
      </c>
      <c r="S270" s="98">
        <f>IF(INDEX(lmic_raw_lb[],MATCH($A270,lmic_raw_lb[[setting]:[setting]],0), MATCH(S$139, lmic_raw_lb[#Headers],0))=0, INDEX(regions_lb[], MATCH($D270, regions_lb[[setting]:[setting]],0), MATCH(S$139, regions_lb[#Headers],0)),INDEX(lmic_raw_lb[],MATCH($A270,lmic_raw_lb[[setting]:[setting]],0), MATCH(S$139, lmic_raw_lb[#Headers],0)))</f>
        <v>114.785175</v>
      </c>
      <c r="T270" s="98">
        <f>IF(INDEX(lmic_raw_lb[],MATCH($A270,lmic_raw_lb[[setting]:[setting]],0), MATCH(T$139, lmic_raw_lb[#Headers],0))=0, INDEX(regions_lb[], MATCH($D270, regions_lb[[setting]:[setting]],0), MATCH(T$139, regions_lb[#Headers],0)),INDEX(lmic_raw_lb[],MATCH($A270,lmic_raw_lb[[setting]:[setting]],0), MATCH(T$139, lmic_raw_lb[#Headers],0)))</f>
        <v>114.785175</v>
      </c>
      <c r="U270" s="98">
        <f>IF(INDEX(lmic_raw_lb[],MATCH($A270,lmic_raw_lb[[setting]:[setting]],0), MATCH(U$139, lmic_raw_lb[#Headers],0))=0, INDEX(regions_lb[], MATCH($D270, regions_lb[[setting]:[setting]],0), MATCH(U$139, regions_lb[#Headers],0)),INDEX(lmic_raw_lb[],MATCH($A270,lmic_raw_lb[[setting]:[setting]],0), MATCH(U$139, lmic_raw_lb[#Headers],0)))</f>
        <v>114.785175</v>
      </c>
      <c r="V270" s="98">
        <f>IF(INDEX(lmic_raw_lb[],MATCH($A270,lmic_raw_lb[[setting]:[setting]],0), MATCH(V$139, lmic_raw_lb[#Headers],0))=0, INDEX(regions_lb[], MATCH($D270, regions_lb[[setting]:[setting]],0), MATCH(V$139, regions_lb[#Headers],0)),INDEX(lmic_raw_lb[],MATCH($A270,lmic_raw_lb[[setting]:[setting]],0), MATCH(V$139, lmic_raw_lb[#Headers],0)))</f>
        <v>2.8309669755394329</v>
      </c>
      <c r="W270" s="98">
        <f>IF(INDEX(lmic_raw_lb[],MATCH($A270,lmic_raw_lb[[setting]:[setting]],0), MATCH(W$139, lmic_raw_lb[#Headers],0))=0, INDEX(regions_lb[], MATCH($D270, regions_lb[[setting]:[setting]],0), MATCH(W$139, regions_lb[#Headers],0)),INDEX(lmic_raw_lb[],MATCH($A270,lmic_raw_lb[[setting]:[setting]],0), MATCH(W$139, lmic_raw_lb[#Headers],0)))</f>
        <v>3.4315569755394328</v>
      </c>
      <c r="X270" s="98">
        <f>IF(INDEX(lmic_raw_lb[],MATCH($A270,lmic_raw_lb[[setting]:[setting]],0), MATCH(X$139, lmic_raw_lb[#Headers],0))=0, INDEX(regions_lb[], MATCH($D270, regions_lb[[setting]:[setting]],0), MATCH(X$139, regions_lb[#Headers],0)),INDEX(lmic_raw_lb[],MATCH($A270,lmic_raw_lb[[setting]:[setting]],0), MATCH(X$139, lmic_raw_lb[#Headers],0)))</f>
        <v>2.4617205778895794</v>
      </c>
      <c r="Y270" s="98">
        <f>IF(INDEX(lmic_raw_lb[],MATCH($A270,lmic_raw_lb[[setting]:[setting]],0), MATCH(Y$139, lmic_raw_lb[#Headers],0))=0, INDEX(regions_lb[], MATCH($D270, regions_lb[[setting]:[setting]],0), MATCH(Y$139, regions_lb[#Headers],0)),INDEX(lmic_raw_lb[],MATCH($A270,lmic_raw_lb[[setting]:[setting]],0), MATCH(Y$139, lmic_raw_lb[#Headers],0)))</f>
        <v>3.0623105778895794</v>
      </c>
      <c r="Z270" s="98">
        <f>IF(INDEX(lmic_raw_lb[],MATCH($A270,lmic_raw_lb[[setting]:[setting]],0), MATCH(Z$139, lmic_raw_lb[#Headers],0))=0, INDEX(regions_lb[], MATCH($D270, regions_lb[[setting]:[setting]],0), MATCH(Z$139, regions_lb[#Headers],0)),INDEX(lmic_raw_lb[],MATCH($A270,lmic_raw_lb[[setting]:[setting]],0), MATCH(Z$139, lmic_raw_lb[#Headers],0)))</f>
        <v>3.0577591826304307</v>
      </c>
      <c r="AA270" s="98">
        <f>IF(INDEX(lmic_raw_lb[],MATCH($A270,lmic_raw_lb[[setting]:[setting]],0), MATCH(AA$139, lmic_raw_lb[#Headers],0))=0, INDEX(regions_lb[], MATCH($D270, regions_lb[[setting]:[setting]],0), MATCH(AA$139, regions_lb[#Headers],0)),INDEX(lmic_raw_lb[],MATCH($A270,lmic_raw_lb[[setting]:[setting]],0), MATCH(AA$139, lmic_raw_lb[#Headers],0)))</f>
        <v>3.0438569633392967</v>
      </c>
      <c r="AB270" s="98">
        <f>IF(INDEX(lmic_raw_lb[],MATCH($A270,lmic_raw_lb[[setting]:[setting]],0), MATCH(AB$139, lmic_raw_lb[#Headers],0))=0, INDEX(regions_lb[], MATCH($D270, regions_lb[[setting]:[setting]],0), MATCH(AB$139, regions_lb[#Headers],0)),INDEX(lmic_raw_lb[],MATCH($A270,lmic_raw_lb[[setting]:[setting]],0), MATCH(AB$139, lmic_raw_lb[#Headers],0)))</f>
        <v>3.6444469633392966</v>
      </c>
      <c r="AC270" s="98">
        <f>IF(INDEX(lmic_raw_lb[],MATCH($A270,lmic_raw_lb[[setting]:[setting]],0), MATCH(AC$139, lmic_raw_lb[#Headers],0))=0, INDEX(regions_lb[], MATCH($D270, regions_lb[[setting]:[setting]],0), MATCH(AC$139, regions_lb[#Headers],0)),INDEX(lmic_raw_lb[],MATCH($A270,lmic_raw_lb[[setting]:[setting]],0), MATCH(AC$139, lmic_raw_lb[#Headers],0)))</f>
        <v>2.1247319999999976E-2</v>
      </c>
      <c r="AD270" s="98">
        <f>IF(INDEX(lmic_raw_lb[],MATCH($A270,lmic_raw_lb[[setting]:[setting]],0), MATCH(AD$139, lmic_raw_lb[#Headers],0))=0, INDEX(regions_lb[], MATCH($D270, regions_lb[[setting]:[setting]],0), MATCH(AD$139, regions_lb[#Headers],0)),INDEX(lmic_raw_lb[],MATCH($A270,lmic_raw_lb[[setting]:[setting]],0), MATCH(AD$139, lmic_raw_lb[#Headers],0)))</f>
        <v>1.0382947091469076E-3</v>
      </c>
      <c r="AE270" s="98">
        <f>IF(INDEX(lmic_raw_lb[],MATCH($A270,lmic_raw_lb[[setting]:[setting]],0), MATCH(AE$139, lmic_raw_lb[#Headers],0))=0, INDEX(regions_lb[], MATCH($D270, regions_lb[[setting]:[setting]],0), MATCH(AE$139, regions_lb[#Headers],0)),INDEX(lmic_raw_lb[],MATCH($A270,lmic_raw_lb[[setting]:[setting]],0), MATCH(AE$139, lmic_raw_lb[#Headers],0)))</f>
        <v>4.0577795844397887E-4</v>
      </c>
      <c r="AF270" s="98">
        <f>IF(INDEX(lmic_raw_lb[],MATCH($A270,lmic_raw_lb[[setting]:[setting]],0), MATCH(AF$139, lmic_raw_lb[#Headers],0))=0, INDEX(regions_lb[], MATCH($D270, regions_lb[[setting]:[setting]],0), MATCH(AF$139, regions_lb[#Headers],0)),INDEX(lmic_raw_lb[],MATCH($A270,lmic_raw_lb[[setting]:[setting]],0), MATCH(AF$139, lmic_raw_lb[#Headers],0)))</f>
        <v>3.4500920191398192E-4</v>
      </c>
      <c r="AG270" s="98">
        <f>IF(INDEX(lmic_raw_lb[],MATCH($A270,lmic_raw_lb[[setting]:[setting]],0), MATCH(AG$139, lmic_raw_lb[#Headers],0))=0, INDEX(regions_lb[], MATCH($D270, regions_lb[[setting]:[setting]],0), MATCH(AG$139, regions_lb[#Headers],0)),INDEX(lmic_raw_lb[],MATCH($A270,lmic_raw_lb[[setting]:[setting]],0), MATCH(AG$139, lmic_raw_lb[#Headers],0)))</f>
        <v>6.9369391968135885E-4</v>
      </c>
      <c r="AH270" s="98">
        <f>IF(INDEX(lmic_raw_lb[],MATCH($A270,lmic_raw_lb[[setting]:[setting]],0), MATCH(AH$139, lmic_raw_lb[#Headers],0))=0, INDEX(regions_lb[], MATCH($D270, regions_lb[[setting]:[setting]],0), MATCH(AH$139, regions_lb[#Headers],0)),INDEX(lmic_raw_lb[],MATCH($A270,lmic_raw_lb[[setting]:[setting]],0), MATCH(AH$139, lmic_raw_lb[#Headers],0)))</f>
        <v>8.5901016338658909E-4</v>
      </c>
      <c r="AI270" s="98">
        <f>IF(INDEX(lmic_raw_lb[],MATCH($A270,lmic_raw_lb[[setting]:[setting]],0), MATCH(AI$139, lmic_raw_lb[#Headers],0))=0, INDEX(regions_lb[], MATCH($D270, regions_lb[[setting]:[setting]],0), MATCH(AI$139, regions_lb[#Headers],0)),INDEX(lmic_raw_lb[],MATCH($A270,lmic_raw_lb[[setting]:[setting]],0), MATCH(AI$139, lmic_raw_lb[#Headers],0)))</f>
        <v>8.8333980233918155E-4</v>
      </c>
      <c r="AJ270" s="98">
        <f>IF(INDEX(lmic_raw_lb[],MATCH($A270,lmic_raw_lb[[setting]:[setting]],0), MATCH(AJ$139, lmic_raw_lb[#Headers],0))=0, INDEX(regions_lb[], MATCH($D270, regions_lb[[setting]:[setting]],0), MATCH(AJ$139, regions_lb[#Headers],0)),INDEX(lmic_raw_lb[],MATCH($A270,lmic_raw_lb[[setting]:[setting]],0), MATCH(AJ$139, lmic_raw_lb[#Headers],0)))</f>
        <v>1.0709129730038303E-3</v>
      </c>
      <c r="AK270" s="98">
        <f>IF(INDEX(lmic_raw_lb[],MATCH($A270,lmic_raw_lb[[setting]:[setting]],0), MATCH(AK$139, lmic_raw_lb[#Headers],0))=0, INDEX(regions_lb[], MATCH($D270, regions_lb[[setting]:[setting]],0), MATCH(AK$139, regions_lb[#Headers],0)),INDEX(lmic_raw_lb[],MATCH($A270,lmic_raw_lb[[setting]:[setting]],0), MATCH(AK$139, lmic_raw_lb[#Headers],0)))</f>
        <v>1.4931306788623193E-3</v>
      </c>
      <c r="AL270" s="98">
        <f>IF(INDEX(lmic_raw_lb[],MATCH($A270,lmic_raw_lb[[setting]:[setting]],0), MATCH(AL$139, lmic_raw_lb[#Headers],0))=0, INDEX(regions_lb[], MATCH($D270, regions_lb[[setting]:[setting]],0), MATCH(AL$139, regions_lb[#Headers],0)),INDEX(lmic_raw_lb[],MATCH($A270,lmic_raw_lb[[setting]:[setting]],0), MATCH(AL$139, lmic_raw_lb[#Headers],0)))</f>
        <v>2.2335893339214233E-3</v>
      </c>
      <c r="AM270" s="98">
        <f>IF(INDEX(lmic_raw_lb[],MATCH($A270,lmic_raw_lb[[setting]:[setting]],0), MATCH(AM$139, lmic_raw_lb[#Headers],0))=0, INDEX(regions_lb[], MATCH($D270, regions_lb[[setting]:[setting]],0), MATCH(AM$139, regions_lb[#Headers],0)),INDEX(lmic_raw_lb[],MATCH($A270,lmic_raw_lb[[setting]:[setting]],0), MATCH(AM$139, lmic_raw_lb[#Headers],0)))</f>
        <v>3.5805633924408191E-3</v>
      </c>
      <c r="AN270" s="98">
        <f>IF(INDEX(lmic_raw_lb[],MATCH($A270,lmic_raw_lb[[setting]:[setting]],0), MATCH(AN$139, lmic_raw_lb[#Headers],0))=0, INDEX(regions_lb[], MATCH($D270, regions_lb[[setting]:[setting]],0), MATCH(AN$139, regions_lb[#Headers],0)),INDEX(lmic_raw_lb[],MATCH($A270,lmic_raw_lb[[setting]:[setting]],0), MATCH(AN$139, lmic_raw_lb[#Headers],0)))</f>
        <v>5.7645510913601613E-3</v>
      </c>
      <c r="AO270" s="98">
        <f>IF(INDEX(lmic_raw_lb[],MATCH($A270,lmic_raw_lb[[setting]:[setting]],0), MATCH(AO$139, lmic_raw_lb[#Headers],0))=0, INDEX(regions_lb[], MATCH($D270, regions_lb[[setting]:[setting]],0), MATCH(AO$139, regions_lb[#Headers],0)),INDEX(lmic_raw_lb[],MATCH($A270,lmic_raw_lb[[setting]:[setting]],0), MATCH(AO$139, lmic_raw_lb[#Headers],0)))</f>
        <v>9.2980810383636783E-3</v>
      </c>
      <c r="AP270" s="98">
        <f>IF(INDEX(lmic_raw_lb[],MATCH($A270,lmic_raw_lb[[setting]:[setting]],0), MATCH(AP$139, lmic_raw_lb[#Headers],0))=0, INDEX(regions_lb[], MATCH($D270, regions_lb[[setting]:[setting]],0), MATCH(AP$139, regions_lb[#Headers],0)),INDEX(lmic_raw_lb[],MATCH($A270,lmic_raw_lb[[setting]:[setting]],0), MATCH(AP$139, lmic_raw_lb[#Headers],0)))</f>
        <v>1.7339152679292168E-2</v>
      </c>
      <c r="AQ270" s="98">
        <f>IF(INDEX(lmic_raw_lb[],MATCH($A270,lmic_raw_lb[[setting]:[setting]],0), MATCH(AQ$139, lmic_raw_lb[#Headers],0))=0, INDEX(regions_lb[], MATCH($D270, regions_lb[[setting]:[setting]],0), MATCH(AQ$139, regions_lb[#Headers],0)),INDEX(lmic_raw_lb[],MATCH($A270,lmic_raw_lb[[setting]:[setting]],0), MATCH(AQ$139, lmic_raw_lb[#Headers],0)))</f>
        <v>3.1648190803239482E-2</v>
      </c>
      <c r="AR270" s="98">
        <f>IF(INDEX(lmic_raw_lb[],MATCH($A270,lmic_raw_lb[[setting]:[setting]],0), MATCH(AR$139, lmic_raw_lb[#Headers],0))=0, INDEX(regions_lb[], MATCH($D270, regions_lb[[setting]:[setting]],0), MATCH(AR$139, regions_lb[#Headers],0)),INDEX(lmic_raw_lb[],MATCH($A270,lmic_raw_lb[[setting]:[setting]],0), MATCH(AR$139, lmic_raw_lb[#Headers],0)))</f>
        <v>5.2233518281863442E-2</v>
      </c>
      <c r="AS270" s="98">
        <f>IF(INDEX(lmic_raw_lb[],MATCH($A270,lmic_raw_lb[[setting]:[setting]],0), MATCH(AS$139, lmic_raw_lb[#Headers],0))=0, INDEX(regions_lb[], MATCH($D270, regions_lb[[setting]:[setting]],0), MATCH(AS$139, regions_lb[#Headers],0)),INDEX(lmic_raw_lb[],MATCH($A270,lmic_raw_lb[[setting]:[setting]],0), MATCH(AS$139, lmic_raw_lb[#Headers],0)))</f>
        <v>7.903125894731175E-2</v>
      </c>
      <c r="AT270" s="98">
        <f>IF(INDEX(lmic_raw_lb[],MATCH($A270,lmic_raw_lb[[setting]:[setting]],0), MATCH(AT$139, lmic_raw_lb[#Headers],0))=0, INDEX(regions_lb[], MATCH($D270, regions_lb[[setting]:[setting]],0), MATCH(AT$139, regions_lb[#Headers],0)),INDEX(lmic_raw_lb[],MATCH($A270,lmic_raw_lb[[setting]:[setting]],0), MATCH(AT$139, lmic_raw_lb[#Headers],0)))</f>
        <v>0.11116103316514926</v>
      </c>
      <c r="AU270" s="98">
        <f>IF(INDEX(lmic_raw_lb[],MATCH($A270,lmic_raw_lb[[setting]:[setting]],0), MATCH(AU$139, lmic_raw_lb[#Headers],0))=0, INDEX(regions_lb[], MATCH($D270, regions_lb[[setting]:[setting]],0), MATCH(AU$139, regions_lb[#Headers],0)),INDEX(lmic_raw_lb[],MATCH($A270,lmic_raw_lb[[setting]:[setting]],0), MATCH(AU$139, lmic_raw_lb[#Headers],0)))</f>
        <v>0.14390408405989913</v>
      </c>
      <c r="AV270" s="98">
        <f>IF(INDEX(lmic_raw_lb[],MATCH($A270,lmic_raw_lb[[setting]:[setting]],0), MATCH(AV$139, lmic_raw_lb[#Headers],0))=0, INDEX(regions_lb[], MATCH($D270, regions_lb[[setting]:[setting]],0), MATCH(AV$139, regions_lb[#Headers],0)),INDEX(lmic_raw_lb[],MATCH($A270,lmic_raw_lb[[setting]:[setting]],0), MATCH(AV$139, lmic_raw_lb[#Headers],0)))</f>
        <v>0.16714172401712657</v>
      </c>
      <c r="AW270" s="98">
        <f>IF(INDEX(lmic_raw_lb[],MATCH($A270,lmic_raw_lb[[setting]:[setting]],0), MATCH(AW$139, lmic_raw_lb[#Headers],0))=0, INDEX(regions_lb[], MATCH($D270, regions_lb[[setting]:[setting]],0), MATCH(AW$139, regions_lb[#Headers],0)),INDEX(lmic_raw_lb[],MATCH($A270,lmic_raw_lb[[setting]:[setting]],0), MATCH(AW$139, lmic_raw_lb[#Headers],0)))</f>
        <v>0.17861069067552127</v>
      </c>
      <c r="AX270" s="98">
        <f>IF(INDEX(lmic_raw_lb[],MATCH($A270,lmic_raw_lb[[setting]:[setting]],0), MATCH(AX$139, lmic_raw_lb[#Headers],0))=0, INDEX(regions_lb[], MATCH($D270, regions_lb[[setting]:[setting]],0), MATCH(AX$139, regions_lb[#Headers],0)),INDEX(lmic_raw_lb[],MATCH($A270,lmic_raw_lb[[setting]:[setting]],0), MATCH(AX$139, lmic_raw_lb[#Headers],0)))</f>
        <v>66.734650000000002</v>
      </c>
      <c r="AY270" s="98" t="str">
        <f>IF(VLOOKUP(lmics_lb[[#This Row],[setting]],lmic_raw_lb[],11,FALSE)=0, "Yes", "No")</f>
        <v>No</v>
      </c>
    </row>
    <row r="271" spans="1:51" x14ac:dyDescent="0.25">
      <c r="A271" s="84" t="s">
        <v>275</v>
      </c>
      <c r="B271" s="104" t="s">
        <v>538</v>
      </c>
      <c r="C271" s="105">
        <v>862</v>
      </c>
      <c r="D271" s="84" t="s">
        <v>679</v>
      </c>
      <c r="E271" s="122" t="s">
        <v>604</v>
      </c>
      <c r="F271" s="94" t="s">
        <v>665</v>
      </c>
      <c r="G271" s="94" t="s">
        <v>676</v>
      </c>
      <c r="H271" s="94"/>
      <c r="I271" s="94"/>
      <c r="J271" s="94">
        <f>IF(INDEX(lmic_raw_lb[],MATCH($A271,lmic_raw_lb[[setting]:[setting]],0), MATCH(J$139, lmic_raw_lb[#Headers],0))=0, INDEX(regions_lb[], MATCH($D271, regions_lb[[setting]:[setting]],0), MATCH(J$139, regions_lb[#Headers],0)),INDEX(lmic_raw_lb[],MATCH($A271,lmic_raw_lb[[setting]:[setting]],0), MATCH(J$139, lmic_raw_lb[#Headers],0)))</f>
        <v>0.93955000000000011</v>
      </c>
      <c r="K271" s="94">
        <f>IF(INDEX(lmic_raw_lb[],MATCH($A271,lmic_raw_lb[[setting]:[setting]],0), MATCH(K$139, lmic_raw_lb[#Headers],0))=0, INDEX(regions_lb[], MATCH($D271, regions_lb[[setting]:[setting]],0), MATCH(K$139, regions_lb[#Headers],0)),INDEX(lmic_raw_lb[],MATCH($A271,lmic_raw_lb[[setting]:[setting]],0), MATCH(K$139, lmic_raw_lb[#Headers],0)))</f>
        <v>0.49399999999999999</v>
      </c>
      <c r="L271" s="94">
        <f>IF(INDEX(lmic_raw_lb[],MATCH($A271,lmic_raw_lb[[setting]:[setting]],0), MATCH(L$139, lmic_raw_lb[#Headers],0))=0, INDEX(regions_lb[], MATCH($D271, regions_lb[[setting]:[setting]],0), MATCH(L$139, regions_lb[#Headers],0)),INDEX(lmic_raw_lb[],MATCH($A271,lmic_raw_lb[[setting]:[setting]],0), MATCH(L$139, lmic_raw_lb[#Headers],0)))</f>
        <v>0.60799999999999998</v>
      </c>
      <c r="M271" s="94">
        <f>IF(INDEX(lmic_raw_lb[],MATCH($A271,lmic_raw_lb[[setting]:[setting]],0), MATCH(M$139, lmic_raw_lb[#Headers],0))=0, INDEX(regions_lb[], MATCH($D271, regions_lb[[setting]:[setting]],0), MATCH(M$139, regions_lb[#Headers],0)),INDEX(lmic_raw_lb[],MATCH($A271,lmic_raw_lb[[setting]:[setting]],0), MATCH(M$139, lmic_raw_lb[#Headers],0)))</f>
        <v>2.12E-2</v>
      </c>
      <c r="N271" s="94">
        <f>IF(INDEX(lmic_raw_lb[],MATCH($A271,lmic_raw_lb[[setting]:[setting]],0), MATCH(N$139, lmic_raw_lb[#Headers],0))=0, INDEX(regions_lb[], MATCH($D271, regions_lb[[setting]:[setting]],0), MATCH(N$139, regions_lb[#Headers],0)),INDEX(lmic_raw_lb[],MATCH($A271,lmic_raw_lb[[setting]:[setting]],0), MATCH(N$139, lmic_raw_lb[#Headers],0)))</f>
        <v>0.16440000000000002</v>
      </c>
      <c r="O271" s="94">
        <f>IF(INDEX(lmic_raw_lb[],MATCH($A271,lmic_raw_lb[[setting]:[setting]],0), MATCH(O$139, lmic_raw_lb[#Headers],0))=0, INDEX(regions_lb[], MATCH($D271, regions_lb[[setting]:[setting]],0), MATCH(O$139, regions_lb[#Headers],0)),INDEX(lmic_raw_lb[],MATCH($A271,lmic_raw_lb[[setting]:[setting]],0), MATCH(O$139, lmic_raw_lb[#Headers],0)))</f>
        <v>0.7</v>
      </c>
      <c r="P271" s="94">
        <f>IF(INDEX(lmic_raw_lb[],MATCH($A271,lmic_raw_lb[[setting]:[setting]],0), MATCH(P$139, lmic_raw_lb[#Headers],0))=0, INDEX(regions_lb[], MATCH($D271, regions_lb[[setting]:[setting]],0), MATCH(P$139, regions_lb[#Headers],0)),INDEX(lmic_raw_lb[],MATCH($A271,lmic_raw_lb[[setting]:[setting]],0), MATCH(P$139, lmic_raw_lb[#Headers],0)))</f>
        <v>0.05</v>
      </c>
      <c r="Q271" s="94">
        <f>IF(INDEX(lmic_raw_lb[],MATCH($A271,lmic_raw_lb[[setting]:[setting]],0), MATCH(Q$139, lmic_raw_lb[#Headers],0))=0, INDEX(regions_lb[], MATCH($D271, regions_lb[[setting]:[setting]],0), MATCH(Q$139, regions_lb[#Headers],0)),INDEX(lmic_raw_lb[],MATCH($A271,lmic_raw_lb[[setting]:[setting]],0), MATCH(Q$139, lmic_raw_lb[#Headers],0)))</f>
        <v>17.228730353475509</v>
      </c>
      <c r="R271" s="94">
        <f>IF(INDEX(lmic_raw_lb[],MATCH($A271,lmic_raw_lb[[setting]:[setting]],0), MATCH(R$139, lmic_raw_lb[#Headers],0))=0, INDEX(regions_lb[], MATCH($D271, regions_lb[[setting]:[setting]],0), MATCH(R$139, regions_lb[#Headers],0)),INDEX(lmic_raw_lb[],MATCH($A271,lmic_raw_lb[[setting]:[setting]],0), MATCH(R$139, lmic_raw_lb[#Headers],0)))</f>
        <v>82.539704999999998</v>
      </c>
      <c r="S271" s="94">
        <f>IF(INDEX(lmic_raw_lb[],MATCH($A271,lmic_raw_lb[[setting]:[setting]],0), MATCH(S$139, lmic_raw_lb[#Headers],0))=0, INDEX(regions_lb[], MATCH($D271, regions_lb[[setting]:[setting]],0), MATCH(S$139, regions_lb[#Headers],0)),INDEX(lmic_raw_lb[],MATCH($A271,lmic_raw_lb[[setting]:[setting]],0), MATCH(S$139, lmic_raw_lb[#Headers],0)))</f>
        <v>127.894605</v>
      </c>
      <c r="T271" s="94">
        <f>IF(INDEX(lmic_raw_lb[],MATCH($A271,lmic_raw_lb[[setting]:[setting]],0), MATCH(T$139, lmic_raw_lb[#Headers],0))=0, INDEX(regions_lb[], MATCH($D271, regions_lb[[setting]:[setting]],0), MATCH(T$139, regions_lb[#Headers],0)),INDEX(lmic_raw_lb[],MATCH($A271,lmic_raw_lb[[setting]:[setting]],0), MATCH(T$139, lmic_raw_lb[#Headers],0)))</f>
        <v>127.894605</v>
      </c>
      <c r="U271" s="94">
        <f>IF(INDEX(lmic_raw_lb[],MATCH($A271,lmic_raw_lb[[setting]:[setting]],0), MATCH(U$139, lmic_raw_lb[#Headers],0))=0, INDEX(regions_lb[], MATCH($D271, regions_lb[[setting]:[setting]],0), MATCH(U$139, regions_lb[#Headers],0)),INDEX(lmic_raw_lb[],MATCH($A271,lmic_raw_lb[[setting]:[setting]],0), MATCH(U$139, lmic_raw_lb[#Headers],0)))</f>
        <v>127.894605</v>
      </c>
      <c r="V271" s="94">
        <f>IF(INDEX(lmic_raw_lb[],MATCH($A271,lmic_raw_lb[[setting]:[setting]],0), MATCH(V$139, lmic_raw_lb[#Headers],0))=0, INDEX(regions_lb[], MATCH($D271, regions_lb[[setting]:[setting]],0), MATCH(V$139, regions_lb[#Headers],0)),INDEX(lmic_raw_lb[],MATCH($A271,lmic_raw_lb[[setting]:[setting]],0), MATCH(V$139, lmic_raw_lb[#Headers],0)))</f>
        <v>0.68324951874534912</v>
      </c>
      <c r="W271" s="94">
        <f>IF(INDEX(lmic_raw_lb[],MATCH($A271,lmic_raw_lb[[setting]:[setting]],0), MATCH(W$139, lmic_raw_lb[#Headers],0))=0, INDEX(regions_lb[], MATCH($D271, regions_lb[[setting]:[setting]],0), MATCH(W$139, regions_lb[#Headers],0)),INDEX(lmic_raw_lb[],MATCH($A271,lmic_raw_lb[[setting]:[setting]],0), MATCH(W$139, lmic_raw_lb[#Headers],0)))</f>
        <v>0.70395951874534912</v>
      </c>
      <c r="X271" s="94">
        <f>IF(INDEX(lmic_raw_lb[],MATCH($A271,lmic_raw_lb[[setting]:[setting]],0), MATCH(X$139, lmic_raw_lb[#Headers],0))=0, INDEX(regions_lb[], MATCH($D271, regions_lb[[setting]:[setting]],0), MATCH(X$139, regions_lb[#Headers],0)),INDEX(lmic_raw_lb[],MATCH($A271,lmic_raw_lb[[setting]:[setting]],0), MATCH(X$139, lmic_raw_lb[#Headers],0)))</f>
        <v>0.29922795624600079</v>
      </c>
      <c r="Y271" s="94">
        <f>IF(INDEX(lmic_raw_lb[],MATCH($A271,lmic_raw_lb[[setting]:[setting]],0), MATCH(Y$139, lmic_raw_lb[#Headers],0))=0, INDEX(regions_lb[], MATCH($D271, regions_lb[[setting]:[setting]],0), MATCH(Y$139, regions_lb[#Headers],0)),INDEX(lmic_raw_lb[],MATCH($A271,lmic_raw_lb[[setting]:[setting]],0), MATCH(Y$139, lmic_raw_lb[#Headers],0)))</f>
        <v>0.3199379562460008</v>
      </c>
      <c r="Z271" s="94">
        <f>IF(INDEX(lmic_raw_lb[],MATCH($A271,lmic_raw_lb[[setting]:[setting]],0), MATCH(Z$139, lmic_raw_lb[#Headers],0))=0, INDEX(regions_lb[], MATCH($D271, regions_lb[[setting]:[setting]],0), MATCH(Z$139, regions_lb[#Headers],0)),INDEX(lmic_raw_lb[],MATCH($A271,lmic_raw_lb[[setting]:[setting]],0), MATCH(Z$139, lmic_raw_lb[#Headers],0)))</f>
        <v>0.30461404140974158</v>
      </c>
      <c r="AA271" s="94">
        <f>IF(INDEX(lmic_raw_lb[],MATCH($A271,lmic_raw_lb[[setting]:[setting]],0), MATCH(AA$139, lmic_raw_lb[#Headers],0))=0, INDEX(regions_lb[], MATCH($D271, regions_lb[[setting]:[setting]],0), MATCH(AA$139, regions_lb[#Headers],0)),INDEX(lmic_raw_lb[],MATCH($A271,lmic_raw_lb[[setting]:[setting]],0), MATCH(AA$139, lmic_raw_lb[#Headers],0)))</f>
        <v>0.90247172005213905</v>
      </c>
      <c r="AB271" s="94">
        <f>IF(INDEX(lmic_raw_lb[],MATCH($A271,lmic_raw_lb[[setting]:[setting]],0), MATCH(AB$139, lmic_raw_lb[#Headers],0))=0, INDEX(regions_lb[], MATCH($D271, regions_lb[[setting]:[setting]],0), MATCH(AB$139, regions_lb[#Headers],0)),INDEX(lmic_raw_lb[],MATCH($A271,lmic_raw_lb[[setting]:[setting]],0), MATCH(AB$139, lmic_raw_lb[#Headers],0)))</f>
        <v>0.92318172005213905</v>
      </c>
      <c r="AC271" s="94">
        <f>IF(INDEX(lmic_raw_lb[],MATCH($A271,lmic_raw_lb[[setting]:[setting]],0), MATCH(AC$139, lmic_raw_lb[#Headers],0))=0, INDEX(regions_lb[], MATCH($D271, regions_lb[[setting]:[setting]],0), MATCH(AC$139, regions_lb[#Headers],0)),INDEX(lmic_raw_lb[],MATCH($A271,lmic_raw_lb[[setting]:[setting]],0), MATCH(AC$139, lmic_raw_lb[#Headers],0)))</f>
        <v>2.4414990499999963E-2</v>
      </c>
      <c r="AD271" s="94">
        <f>IF(INDEX(lmic_raw_lb[],MATCH($A271,lmic_raw_lb[[setting]:[setting]],0), MATCH(AD$139, lmic_raw_lb[#Headers],0))=0, INDEX(regions_lb[], MATCH($D271, regions_lb[[setting]:[setting]],0), MATCH(AD$139, regions_lb[#Headers],0)),INDEX(lmic_raw_lb[],MATCH($A271,lmic_raw_lb[[setting]:[setting]],0), MATCH(AD$139, lmic_raw_lb[#Headers],0)))</f>
        <v>1.2561002642297037E-3</v>
      </c>
      <c r="AE271" s="94">
        <f>IF(INDEX(lmic_raw_lb[],MATCH($A271,lmic_raw_lb[[setting]:[setting]],0), MATCH(AE$139, lmic_raw_lb[#Headers],0))=0, INDEX(regions_lb[], MATCH($D271, regions_lb[[setting]:[setting]],0), MATCH(AE$139, regions_lb[#Headers],0)),INDEX(lmic_raw_lb[],MATCH($A271,lmic_raw_lb[[setting]:[setting]],0), MATCH(AE$139, lmic_raw_lb[#Headers],0)))</f>
        <v>2.2869861787442206E-4</v>
      </c>
      <c r="AF271" s="94">
        <f>IF(INDEX(lmic_raw_lb[],MATCH($A271,lmic_raw_lb[[setting]:[setting]],0), MATCH(AF$139, lmic_raw_lb[#Headers],0))=0, INDEX(regions_lb[], MATCH($D271, regions_lb[[setting]:[setting]],0), MATCH(AF$139, regions_lb[#Headers],0)),INDEX(lmic_raw_lb[],MATCH($A271,lmic_raw_lb[[setting]:[setting]],0), MATCH(AF$139, lmic_raw_lb[#Headers],0)))</f>
        <v>3.2978224614118229E-4</v>
      </c>
      <c r="AG271" s="94">
        <f>IF(INDEX(lmic_raw_lb[],MATCH($A271,lmic_raw_lb[[setting]:[setting]],0), MATCH(AG$139, lmic_raw_lb[#Headers],0))=0, INDEX(regions_lb[], MATCH($D271, regions_lb[[setting]:[setting]],0), MATCH(AG$139, regions_lb[#Headers],0)),INDEX(lmic_raw_lb[],MATCH($A271,lmic_raw_lb[[setting]:[setting]],0), MATCH(AG$139, lmic_raw_lb[#Headers],0)))</f>
        <v>1.3475423994171439E-3</v>
      </c>
      <c r="AH271" s="94">
        <f>IF(INDEX(lmic_raw_lb[],MATCH($A271,lmic_raw_lb[[setting]:[setting]],0), MATCH(AH$139, lmic_raw_lb[#Headers],0))=0, INDEX(regions_lb[], MATCH($D271, regions_lb[[setting]:[setting]],0), MATCH(AH$139, regions_lb[#Headers],0)),INDEX(lmic_raw_lb[],MATCH($A271,lmic_raw_lb[[setting]:[setting]],0), MATCH(AH$139, lmic_raw_lb[#Headers],0)))</f>
        <v>2.0931609247329904E-3</v>
      </c>
      <c r="AI271" s="94">
        <f>IF(INDEX(lmic_raw_lb[],MATCH($A271,lmic_raw_lb[[setting]:[setting]],0), MATCH(AI$139, lmic_raw_lb[#Headers],0))=0, INDEX(regions_lb[], MATCH($D271, regions_lb[[setting]:[setting]],0), MATCH(AI$139, regions_lb[#Headers],0)),INDEX(lmic_raw_lb[],MATCH($A271,lmic_raw_lb[[setting]:[setting]],0), MATCH(AI$139, lmic_raw_lb[#Headers],0)))</f>
        <v>2.0571432618316696E-3</v>
      </c>
      <c r="AJ271" s="94">
        <f>IF(INDEX(lmic_raw_lb[],MATCH($A271,lmic_raw_lb[[setting]:[setting]],0), MATCH(AJ$139, lmic_raw_lb[#Headers],0))=0, INDEX(regions_lb[], MATCH($D271, regions_lb[[setting]:[setting]],0), MATCH(AJ$139, regions_lb[#Headers],0)),INDEX(lmic_raw_lb[],MATCH($A271,lmic_raw_lb[[setting]:[setting]],0), MATCH(AJ$139, lmic_raw_lb[#Headers],0)))</f>
        <v>2.0221378422694688E-3</v>
      </c>
      <c r="AK271" s="94">
        <f>IF(INDEX(lmic_raw_lb[],MATCH($A271,lmic_raw_lb[[setting]:[setting]],0), MATCH(AK$139, lmic_raw_lb[#Headers],0))=0, INDEX(regions_lb[], MATCH($D271, regions_lb[[setting]:[setting]],0), MATCH(AK$139, regions_lb[#Headers],0)),INDEX(lmic_raw_lb[],MATCH($A271,lmic_raw_lb[[setting]:[setting]],0), MATCH(AK$139, lmic_raw_lb[#Headers],0)))</f>
        <v>1.9918552403895354E-3</v>
      </c>
      <c r="AL271" s="94">
        <f>IF(INDEX(lmic_raw_lb[],MATCH($A271,lmic_raw_lb[[setting]:[setting]],0), MATCH(AL$139, lmic_raw_lb[#Headers],0))=0, INDEX(regions_lb[], MATCH($D271, regions_lb[[setting]:[setting]],0), MATCH(AL$139, regions_lb[#Headers],0)),INDEX(lmic_raw_lb[],MATCH($A271,lmic_raw_lb[[setting]:[setting]],0), MATCH(AL$139, lmic_raw_lb[#Headers],0)))</f>
        <v>2.5165882796845001E-3</v>
      </c>
      <c r="AM271" s="94">
        <f>IF(INDEX(lmic_raw_lb[],MATCH($A271,lmic_raw_lb[[setting]:[setting]],0), MATCH(AM$139, lmic_raw_lb[#Headers],0))=0, INDEX(regions_lb[], MATCH($D271, regions_lb[[setting]:[setting]],0), MATCH(AM$139, regions_lb[#Headers],0)),INDEX(lmic_raw_lb[],MATCH($A271,lmic_raw_lb[[setting]:[setting]],0), MATCH(AM$139, lmic_raw_lb[#Headers],0)))</f>
        <v>3.7449055426802295E-3</v>
      </c>
      <c r="AN271" s="94">
        <f>IF(INDEX(lmic_raw_lb[],MATCH($A271,lmic_raw_lb[[setting]:[setting]],0), MATCH(AN$139, lmic_raw_lb[#Headers],0))=0, INDEX(regions_lb[], MATCH($D271, regions_lb[[setting]:[setting]],0), MATCH(AN$139, regions_lb[#Headers],0)),INDEX(lmic_raw_lb[],MATCH($A271,lmic_raw_lb[[setting]:[setting]],0), MATCH(AN$139, lmic_raw_lb[#Headers],0)))</f>
        <v>6.007091962397626E-3</v>
      </c>
      <c r="AO271" s="94">
        <f>IF(INDEX(lmic_raw_lb[],MATCH($A271,lmic_raw_lb[[setting]:[setting]],0), MATCH(AO$139, lmic_raw_lb[#Headers],0))=0, INDEX(regions_lb[], MATCH($D271, regions_lb[[setting]:[setting]],0), MATCH(AO$139, regions_lb[#Headers],0)),INDEX(lmic_raw_lb[],MATCH($A271,lmic_raw_lb[[setting]:[setting]],0), MATCH(AO$139, lmic_raw_lb[#Headers],0)))</f>
        <v>9.0955191018732076E-3</v>
      </c>
      <c r="AP271" s="94">
        <f>IF(INDEX(lmic_raw_lb[],MATCH($A271,lmic_raw_lb[[setting]:[setting]],0), MATCH(AP$139, lmic_raw_lb[#Headers],0))=0, INDEX(regions_lb[], MATCH($D271, regions_lb[[setting]:[setting]],0), MATCH(AP$139, regions_lb[#Headers],0)),INDEX(lmic_raw_lb[],MATCH($A271,lmic_raw_lb[[setting]:[setting]],0), MATCH(AP$139, lmic_raw_lb[#Headers],0)))</f>
        <v>1.4162148676533407E-2</v>
      </c>
      <c r="AQ271" s="94">
        <f>IF(INDEX(lmic_raw_lb[],MATCH($A271,lmic_raw_lb[[setting]:[setting]],0), MATCH(AQ$139, lmic_raw_lb[#Headers],0))=0, INDEX(regions_lb[], MATCH($D271, regions_lb[[setting]:[setting]],0), MATCH(AQ$139, regions_lb[#Headers],0)),INDEX(lmic_raw_lb[],MATCH($A271,lmic_raw_lb[[setting]:[setting]],0), MATCH(AQ$139, lmic_raw_lb[#Headers],0)))</f>
        <v>2.3380143967689275E-2</v>
      </c>
      <c r="AR271" s="94">
        <f>IF(INDEX(lmic_raw_lb[],MATCH($A271,lmic_raw_lb[[setting]:[setting]],0), MATCH(AR$139, lmic_raw_lb[#Headers],0))=0, INDEX(regions_lb[], MATCH($D271, regions_lb[[setting]:[setting]],0), MATCH(AR$139, regions_lb[#Headers],0)),INDEX(lmic_raw_lb[],MATCH($A271,lmic_raw_lb[[setting]:[setting]],0), MATCH(AR$139, lmic_raw_lb[#Headers],0)))</f>
        <v>3.4589444279285238E-2</v>
      </c>
      <c r="AS271" s="94">
        <f>IF(INDEX(lmic_raw_lb[],MATCH($A271,lmic_raw_lb[[setting]:[setting]],0), MATCH(AS$139, lmic_raw_lb[#Headers],0))=0, INDEX(regions_lb[], MATCH($D271, regions_lb[[setting]:[setting]],0), MATCH(AS$139, regions_lb[#Headers],0)),INDEX(lmic_raw_lb[],MATCH($A271,lmic_raw_lb[[setting]:[setting]],0), MATCH(AS$139, lmic_raw_lb[#Headers],0)))</f>
        <v>4.9607499944350694E-2</v>
      </c>
      <c r="AT271" s="94">
        <f>IF(INDEX(lmic_raw_lb[],MATCH($A271,lmic_raw_lb[[setting]:[setting]],0), MATCH(AT$139, lmic_raw_lb[#Headers],0))=0, INDEX(regions_lb[], MATCH($D271, regions_lb[[setting]:[setting]],0), MATCH(AT$139, regions_lb[#Headers],0)),INDEX(lmic_raw_lb[],MATCH($A271,lmic_raw_lb[[setting]:[setting]],0), MATCH(AT$139, lmic_raw_lb[#Headers],0)))</f>
        <v>6.26581931756056E-2</v>
      </c>
      <c r="AU271" s="94">
        <f>IF(INDEX(lmic_raw_lb[],MATCH($A271,lmic_raw_lb[[setting]:[setting]],0), MATCH(AU$139, lmic_raw_lb[#Headers],0))=0, INDEX(regions_lb[], MATCH($D271, regions_lb[[setting]:[setting]],0), MATCH(AU$139, regions_lb[#Headers],0)),INDEX(lmic_raw_lb[],MATCH($A271,lmic_raw_lb[[setting]:[setting]],0), MATCH(AU$139, lmic_raw_lb[#Headers],0)))</f>
        <v>8.77897852408345E-2</v>
      </c>
      <c r="AV271" s="94">
        <f>IF(INDEX(lmic_raw_lb[],MATCH($A271,lmic_raw_lb[[setting]:[setting]],0), MATCH(AV$139, lmic_raw_lb[#Headers],0))=0, INDEX(regions_lb[], MATCH($D271, regions_lb[[setting]:[setting]],0), MATCH(AV$139, regions_lb[#Headers],0)),INDEX(lmic_raw_lb[],MATCH($A271,lmic_raw_lb[[setting]:[setting]],0), MATCH(AV$139, lmic_raw_lb[#Headers],0)))</f>
        <v>0.1077313035930639</v>
      </c>
      <c r="AW271" s="94">
        <f>IF(INDEX(lmic_raw_lb[],MATCH($A271,lmic_raw_lb[[setting]:[setting]],0), MATCH(AW$139, lmic_raw_lb[#Headers],0))=0, INDEX(regions_lb[], MATCH($D271, regions_lb[[setting]:[setting]],0), MATCH(AW$139, regions_lb[#Headers],0)),INDEX(lmic_raw_lb[],MATCH($A271,lmic_raw_lb[[setting]:[setting]],0), MATCH(AW$139, lmic_raw_lb[#Headers],0)))</f>
        <v>0.13792673627131105</v>
      </c>
      <c r="AX271" s="94">
        <f>IF(INDEX(lmic_raw_lb[],MATCH($A271,lmic_raw_lb[[setting]:[setting]],0), MATCH(AX$139, lmic_raw_lb[#Headers],0))=0, INDEX(regions_lb[], MATCH($D271, regions_lb[[setting]:[setting]],0), MATCH(AX$139, regions_lb[#Headers],0)),INDEX(lmic_raw_lb[],MATCH($A271,lmic_raw_lb[[setting]:[setting]],0), MATCH(AX$139, lmic_raw_lb[#Headers],0)))</f>
        <v>68.5197</v>
      </c>
      <c r="AY271" s="94" t="str">
        <f>IF(VLOOKUP(lmics_lb[[#This Row],[setting]],lmic_raw_lb[],11,FALSE)=0, "Yes", "No")</f>
        <v>No</v>
      </c>
    </row>
    <row r="272" spans="1:51" x14ac:dyDescent="0.25">
      <c r="A272" s="109" t="s">
        <v>221</v>
      </c>
      <c r="B272" s="101" t="s">
        <v>539</v>
      </c>
      <c r="C272" s="102">
        <v>704</v>
      </c>
      <c r="D272" s="82" t="s">
        <v>681</v>
      </c>
      <c r="E272" s="121" t="s">
        <v>598</v>
      </c>
      <c r="F272" s="98" t="s">
        <v>666</v>
      </c>
      <c r="G272" s="98" t="s">
        <v>678</v>
      </c>
      <c r="H272" s="98"/>
      <c r="I272" s="98"/>
      <c r="J272" s="98">
        <f>IF(INDEX(lmic_raw_lb[],MATCH($A272,lmic_raw_lb[[setting]:[setting]],0), MATCH(J$139, lmic_raw_lb[#Headers],0))=0, INDEX(regions_lb[], MATCH($D272, regions_lb[[setting]:[setting]],0), MATCH(J$139, regions_lb[#Headers],0)),INDEX(lmic_raw_lb[],MATCH($A272,lmic_raw_lb[[setting]:[setting]],0), MATCH(J$139, lmic_raw_lb[#Headers],0)))</f>
        <v>0.88919999999999988</v>
      </c>
      <c r="K272" s="98">
        <f>IF(INDEX(lmic_raw_lb[],MATCH($A272,lmic_raw_lb[[setting]:[setting]],0), MATCH(K$139, lmic_raw_lb[#Headers],0))=0, INDEX(regions_lb[], MATCH($D272, regions_lb[[setting]:[setting]],0), MATCH(K$139, regions_lb[#Headers],0)),INDEX(lmic_raw_lb[],MATCH($A272,lmic_raw_lb[[setting]:[setting]],0), MATCH(K$139, lmic_raw_lb[#Headers],0)))</f>
        <v>0.75049999999999994</v>
      </c>
      <c r="L272" s="98">
        <f>IF(INDEX(lmic_raw_lb[],MATCH($A272,lmic_raw_lb[[setting]:[setting]],0), MATCH(L$139, lmic_raw_lb[#Headers],0))=0, INDEX(regions_lb[], MATCH($D272, regions_lb[[setting]:[setting]],0), MATCH(L$139, regions_lb[#Headers],0)),INDEX(lmic_raw_lb[],MATCH($A272,lmic_raw_lb[[setting]:[setting]],0), MATCH(L$139, lmic_raw_lb[#Headers],0)))</f>
        <v>0.84549999999999992</v>
      </c>
      <c r="M272" s="98">
        <f>IF(INDEX(lmic_raw_lb[],MATCH($A272,lmic_raw_lb[[setting]:[setting]],0), MATCH(M$139, lmic_raw_lb[#Headers],0))=0, INDEX(regions_lb[], MATCH($D272, regions_lb[[setting]:[setting]],0), MATCH(M$139, regions_lb[#Headers],0)),INDEX(lmic_raw_lb[],MATCH($A272,lmic_raw_lb[[setting]:[setting]],0), MATCH(M$139, lmic_raw_lb[#Headers],0)))</f>
        <v>4.9100000000000005E-2</v>
      </c>
      <c r="N272" s="98">
        <f>IF(INDEX(lmic_raw_lb[],MATCH($A272,lmic_raw_lb[[setting]:[setting]],0), MATCH(N$139, lmic_raw_lb[#Headers],0))=0, INDEX(regions_lb[], MATCH($D272, regions_lb[[setting]:[setting]],0), MATCH(N$139, regions_lb[#Headers],0)),INDEX(lmic_raw_lb[],MATCH($A272,lmic_raw_lb[[setting]:[setting]],0), MATCH(N$139, lmic_raw_lb[#Headers],0)))</f>
        <v>0.18100000000000002</v>
      </c>
      <c r="O272" s="98">
        <f>IF(INDEX(lmic_raw_lb[],MATCH($A272,lmic_raw_lb[[setting]:[setting]],0), MATCH(O$139, lmic_raw_lb[#Headers],0))=0, INDEX(regions_lb[], MATCH($D272, regions_lb[[setting]:[setting]],0), MATCH(O$139, regions_lb[#Headers],0)),INDEX(lmic_raw_lb[],MATCH($A272,lmic_raw_lb[[setting]:[setting]],0), MATCH(O$139, lmic_raw_lb[#Headers],0)))</f>
        <v>0.7</v>
      </c>
      <c r="P272" s="98">
        <f>IF(INDEX(lmic_raw_lb[],MATCH($A272,lmic_raw_lb[[setting]:[setting]],0), MATCH(P$139, lmic_raw_lb[#Headers],0))=0, INDEX(regions_lb[], MATCH($D272, regions_lb[[setting]:[setting]],0), MATCH(P$139, regions_lb[#Headers],0)),INDEX(lmic_raw_lb[],MATCH($A272,lmic_raw_lb[[setting]:[setting]],0), MATCH(P$139, lmic_raw_lb[#Headers],0)))</f>
        <v>0.05</v>
      </c>
      <c r="Q272" s="98">
        <f>IF(INDEX(lmic_raw_lb[],MATCH($A272,lmic_raw_lb[[setting]:[setting]],0), MATCH(Q$139, lmic_raw_lb[#Headers],0))=0, INDEX(regions_lb[], MATCH($D272, regions_lb[[setting]:[setting]],0), MATCH(Q$139, regions_lb[#Headers],0)),INDEX(lmic_raw_lb[],MATCH($A272,lmic_raw_lb[[setting]:[setting]],0), MATCH(Q$139, lmic_raw_lb[#Headers],0)))</f>
        <v>3.4499500253786128</v>
      </c>
      <c r="R272" s="98">
        <f>IF(INDEX(lmic_raw_lb[],MATCH($A272,lmic_raw_lb[[setting]:[setting]],0), MATCH(R$139, lmic_raw_lb[#Headers],0))=0, INDEX(regions_lb[], MATCH($D272, regions_lb[[setting]:[setting]],0), MATCH(R$139, regions_lb[#Headers],0)),INDEX(lmic_raw_lb[],MATCH($A272,lmic_raw_lb[[setting]:[setting]],0), MATCH(R$139, lmic_raw_lb[#Headers],0)))</f>
        <v>69.430275000000009</v>
      </c>
      <c r="S272" s="98">
        <f>IF(INDEX(lmic_raw_lb[],MATCH($A272,lmic_raw_lb[[setting]:[setting]],0), MATCH(S$139, lmic_raw_lb[#Headers],0))=0, INDEX(regions_lb[], MATCH($D272, regions_lb[[setting]:[setting]],0), MATCH(S$139, regions_lb[#Headers],0)),INDEX(lmic_raw_lb[],MATCH($A272,lmic_raw_lb[[setting]:[setting]],0), MATCH(S$139, lmic_raw_lb[#Headers],0)))</f>
        <v>114.785175</v>
      </c>
      <c r="T272" s="98">
        <f>IF(INDEX(lmic_raw_lb[],MATCH($A272,lmic_raw_lb[[setting]:[setting]],0), MATCH(T$139, lmic_raw_lb[#Headers],0))=0, INDEX(regions_lb[], MATCH($D272, regions_lb[[setting]:[setting]],0), MATCH(T$139, regions_lb[#Headers],0)),INDEX(lmic_raw_lb[],MATCH($A272,lmic_raw_lb[[setting]:[setting]],0), MATCH(T$139, lmic_raw_lb[#Headers],0)))</f>
        <v>114.785175</v>
      </c>
      <c r="U272" s="98">
        <f>IF(INDEX(lmic_raw_lb[],MATCH($A272,lmic_raw_lb[[setting]:[setting]],0), MATCH(U$139, lmic_raw_lb[#Headers],0))=0, INDEX(regions_lb[], MATCH($D272, regions_lb[[setting]:[setting]],0), MATCH(U$139, regions_lb[#Headers],0)),INDEX(lmic_raw_lb[],MATCH($A272,lmic_raw_lb[[setting]:[setting]],0), MATCH(U$139, lmic_raw_lb[#Headers],0)))</f>
        <v>114.785175</v>
      </c>
      <c r="V272" s="98">
        <f>IF(INDEX(lmic_raw_lb[],MATCH($A272,lmic_raw_lb[[setting]:[setting]],0), MATCH(V$139, lmic_raw_lb[#Headers],0))=0, INDEX(regions_lb[], MATCH($D272, regions_lb[[setting]:[setting]],0), MATCH(V$139, regions_lb[#Headers],0)),INDEX(lmic_raw_lb[],MATCH($A272,lmic_raw_lb[[setting]:[setting]],0), MATCH(V$139, lmic_raw_lb[#Headers],0)))</f>
        <v>0.74894833937093241</v>
      </c>
      <c r="W272" s="98">
        <f>IF(INDEX(lmic_raw_lb[],MATCH($A272,lmic_raw_lb[[setting]:[setting]],0), MATCH(W$139, lmic_raw_lb[#Headers],0))=0, INDEX(regions_lb[], MATCH($D272, regions_lb[[setting]:[setting]],0), MATCH(W$139, regions_lb[#Headers],0)),INDEX(lmic_raw_lb[],MATCH($A272,lmic_raw_lb[[setting]:[setting]],0), MATCH(W$139, lmic_raw_lb[#Headers],0)))</f>
        <v>1.3495383393709324</v>
      </c>
      <c r="X272" s="98">
        <f>IF(INDEX(lmic_raw_lb[],MATCH($A272,lmic_raw_lb[[setting]:[setting]],0), MATCH(X$139, lmic_raw_lb[#Headers],0))=0, INDEX(regions_lb[], MATCH($D272, regions_lb[[setting]:[setting]],0), MATCH(X$139, regions_lb[#Headers],0)),INDEX(lmic_raw_lb[],MATCH($A272,lmic_raw_lb[[setting]:[setting]],0), MATCH(X$139, lmic_raw_lb[#Headers],0)))</f>
        <v>0.3802860860257557</v>
      </c>
      <c r="Y272" s="98">
        <f>IF(INDEX(lmic_raw_lb[],MATCH($A272,lmic_raw_lb[[setting]:[setting]],0), MATCH(Y$139, lmic_raw_lb[#Headers],0))=0, INDEX(regions_lb[], MATCH($D272, regions_lb[[setting]:[setting]],0), MATCH(Y$139, regions_lb[#Headers],0)),INDEX(lmic_raw_lb[],MATCH($A272,lmic_raw_lb[[setting]:[setting]],0), MATCH(Y$139, lmic_raw_lb[#Headers],0)))</f>
        <v>0.98087608602575571</v>
      </c>
      <c r="Z272" s="98">
        <f>IF(INDEX(lmic_raw_lb[],MATCH($A272,lmic_raw_lb[[setting]:[setting]],0), MATCH(Z$139, lmic_raw_lb[#Headers],0))=0, INDEX(regions_lb[], MATCH($D272, regions_lb[[setting]:[setting]],0), MATCH(Z$139, regions_lb[#Headers],0)),INDEX(lmic_raw_lb[],MATCH($A272,lmic_raw_lb[[setting]:[setting]],0), MATCH(Z$139, lmic_raw_lb[#Headers],0)))</f>
        <v>0.97641828895630955</v>
      </c>
      <c r="AA272" s="98">
        <f>IF(INDEX(lmic_raw_lb[],MATCH($A272,lmic_raw_lb[[setting]:[setting]],0), MATCH(AA$139, lmic_raw_lb[#Headers],0))=0, INDEX(regions_lb[], MATCH($D272, regions_lb[[setting]:[setting]],0), MATCH(AA$139, regions_lb[#Headers],0)),INDEX(lmic_raw_lb[],MATCH($A272,lmic_raw_lb[[setting]:[setting]],0), MATCH(AA$139, lmic_raw_lb[#Headers],0)))</f>
        <v>0.96158797961164888</v>
      </c>
      <c r="AB272" s="98">
        <f>IF(INDEX(lmic_raw_lb[],MATCH($A272,lmic_raw_lb[[setting]:[setting]],0), MATCH(AB$139, lmic_raw_lb[#Headers],0))=0, INDEX(regions_lb[], MATCH($D272, regions_lb[[setting]:[setting]],0), MATCH(AB$139, regions_lb[#Headers],0)),INDEX(lmic_raw_lb[],MATCH($A272,lmic_raw_lb[[setting]:[setting]],0), MATCH(AB$139, lmic_raw_lb[#Headers],0)))</f>
        <v>1.5621779796116488</v>
      </c>
      <c r="AC272" s="98">
        <f>IF(INDEX(lmic_raw_lb[],MATCH($A272,lmic_raw_lb[[setting]:[setting]],0), MATCH(AC$139, lmic_raw_lb[#Headers],0))=0, INDEX(regions_lb[], MATCH($D272, regions_lb[[setting]:[setting]],0), MATCH(AC$139, regions_lb[#Headers],0)),INDEX(lmic_raw_lb[],MATCH($A272,lmic_raw_lb[[setting]:[setting]],0), MATCH(AC$139, lmic_raw_lb[#Headers],0)))</f>
        <v>1.5883990499999962E-2</v>
      </c>
      <c r="AD272" s="98">
        <f>IF(INDEX(lmic_raw_lb[],MATCH($A272,lmic_raw_lb[[setting]:[setting]],0), MATCH(AD$139, lmic_raw_lb[#Headers],0))=0, INDEX(regions_lb[], MATCH($D272, regions_lb[[setting]:[setting]],0), MATCH(AD$139, regions_lb[#Headers],0)),INDEX(lmic_raw_lb[],MATCH($A272,lmic_raw_lb[[setting]:[setting]],0), MATCH(AD$139, lmic_raw_lb[#Headers],0)))</f>
        <v>1.0203070232252516E-3</v>
      </c>
      <c r="AE272" s="98">
        <f>IF(INDEX(lmic_raw_lb[],MATCH($A272,lmic_raw_lb[[setting]:[setting]],0), MATCH(AE$139, lmic_raw_lb[#Headers],0))=0, INDEX(regions_lb[], MATCH($D272, regions_lb[[setting]:[setting]],0), MATCH(AE$139, regions_lb[#Headers],0)),INDEX(lmic_raw_lb[],MATCH($A272,lmic_raw_lb[[setting]:[setting]],0), MATCH(AE$139, lmic_raw_lb[#Headers],0)))</f>
        <v>4.9386704523004502E-4</v>
      </c>
      <c r="AF272" s="98">
        <f>IF(INDEX(lmic_raw_lb[],MATCH($A272,lmic_raw_lb[[setting]:[setting]],0), MATCH(AF$139, lmic_raw_lb[#Headers],0))=0, INDEX(regions_lb[], MATCH($D272, regions_lb[[setting]:[setting]],0), MATCH(AF$139, regions_lb[#Headers],0)),INDEX(lmic_raw_lb[],MATCH($A272,lmic_raw_lb[[setting]:[setting]],0), MATCH(AF$139, lmic_raw_lb[#Headers],0)))</f>
        <v>4.4104410708350257E-4</v>
      </c>
      <c r="AG272" s="98">
        <f>IF(INDEX(lmic_raw_lb[],MATCH($A272,lmic_raw_lb[[setting]:[setting]],0), MATCH(AG$139, lmic_raw_lb[#Headers],0))=0, INDEX(regions_lb[], MATCH($D272, regions_lb[[setting]:[setting]],0), MATCH(AG$139, regions_lb[#Headers],0)),INDEX(lmic_raw_lb[],MATCH($A272,lmic_raw_lb[[setting]:[setting]],0), MATCH(AG$139, lmic_raw_lb[#Headers],0)))</f>
        <v>7.0973736060974389E-4</v>
      </c>
      <c r="AH272" s="98">
        <f>IF(INDEX(lmic_raw_lb[],MATCH($A272,lmic_raw_lb[[setting]:[setting]],0), MATCH(AH$139, lmic_raw_lb[#Headers],0))=0, INDEX(regions_lb[], MATCH($D272, regions_lb[[setting]:[setting]],0), MATCH(AH$139, regions_lb[#Headers],0)),INDEX(lmic_raw_lb[],MATCH($A272,lmic_raw_lb[[setting]:[setting]],0), MATCH(AH$139, lmic_raw_lb[#Headers],0)))</f>
        <v>1.0402280664262924E-3</v>
      </c>
      <c r="AI272" s="98">
        <f>IF(INDEX(lmic_raw_lb[],MATCH($A272,lmic_raw_lb[[setting]:[setting]],0), MATCH(AI$139, lmic_raw_lb[#Headers],0))=0, INDEX(regions_lb[], MATCH($D272, regions_lb[[setting]:[setting]],0), MATCH(AI$139, regions_lb[#Headers],0)),INDEX(lmic_raw_lb[],MATCH($A272,lmic_raw_lb[[setting]:[setting]],0), MATCH(AI$139, lmic_raw_lb[#Headers],0)))</f>
        <v>1.2804973969559241E-3</v>
      </c>
      <c r="AJ272" s="98">
        <f>IF(INDEX(lmic_raw_lb[],MATCH($A272,lmic_raw_lb[[setting]:[setting]],0), MATCH(AJ$139, lmic_raw_lb[#Headers],0))=0, INDEX(regions_lb[], MATCH($D272, regions_lb[[setting]:[setting]],0), MATCH(AJ$139, regions_lb[#Headers],0)),INDEX(lmic_raw_lb[],MATCH($A272,lmic_raw_lb[[setting]:[setting]],0), MATCH(AJ$139, lmic_raw_lb[#Headers],0)))</f>
        <v>1.4953631179947604E-3</v>
      </c>
      <c r="AK272" s="98">
        <f>IF(INDEX(lmic_raw_lb[],MATCH($A272,lmic_raw_lb[[setting]:[setting]],0), MATCH(AK$139, lmic_raw_lb[#Headers],0))=0, INDEX(regions_lb[], MATCH($D272, regions_lb[[setting]:[setting]],0), MATCH(AK$139, regions_lb[#Headers],0)),INDEX(lmic_raw_lb[],MATCH($A272,lmic_raw_lb[[setting]:[setting]],0), MATCH(AK$139, lmic_raw_lb[#Headers],0)))</f>
        <v>1.8495588319193735E-3</v>
      </c>
      <c r="AL272" s="98">
        <f>IF(INDEX(lmic_raw_lb[],MATCH($A272,lmic_raw_lb[[setting]:[setting]],0), MATCH(AL$139, lmic_raw_lb[#Headers],0))=0, INDEX(regions_lb[], MATCH($D272, regions_lb[[setting]:[setting]],0), MATCH(AL$139, regions_lb[#Headers],0)),INDEX(lmic_raw_lb[],MATCH($A272,lmic_raw_lb[[setting]:[setting]],0), MATCH(AL$139, lmic_raw_lb[#Headers],0)))</f>
        <v>2.6092304140377409E-3</v>
      </c>
      <c r="AM272" s="98">
        <f>IF(INDEX(lmic_raw_lb[],MATCH($A272,lmic_raw_lb[[setting]:[setting]],0), MATCH(AM$139, lmic_raw_lb[#Headers],0))=0, INDEX(regions_lb[], MATCH($D272, regions_lb[[setting]:[setting]],0), MATCH(AM$139, regions_lb[#Headers],0)),INDEX(lmic_raw_lb[],MATCH($A272,lmic_raw_lb[[setting]:[setting]],0), MATCH(AM$139, lmic_raw_lb[#Headers],0)))</f>
        <v>3.6543505890498274E-3</v>
      </c>
      <c r="AN272" s="98">
        <f>IF(INDEX(lmic_raw_lb[],MATCH($A272,lmic_raw_lb[[setting]:[setting]],0), MATCH(AN$139, lmic_raw_lb[#Headers],0))=0, INDEX(regions_lb[], MATCH($D272, regions_lb[[setting]:[setting]],0), MATCH(AN$139, regions_lb[#Headers],0)),INDEX(lmic_raw_lb[],MATCH($A272,lmic_raw_lb[[setting]:[setting]],0), MATCH(AN$139, lmic_raw_lb[#Headers],0)))</f>
        <v>5.7918001541153001E-3</v>
      </c>
      <c r="AO272" s="98">
        <f>IF(INDEX(lmic_raw_lb[],MATCH($A272,lmic_raw_lb[[setting]:[setting]],0), MATCH(AO$139, lmic_raw_lb[#Headers],0))=0, INDEX(regions_lb[], MATCH($D272, regions_lb[[setting]:[setting]],0), MATCH(AO$139, regions_lb[#Headers],0)),INDEX(lmic_raw_lb[],MATCH($A272,lmic_raw_lb[[setting]:[setting]],0), MATCH(AO$139, lmic_raw_lb[#Headers],0)))</f>
        <v>8.6385789422732777E-3</v>
      </c>
      <c r="AP272" s="98">
        <f>IF(INDEX(lmic_raw_lb[],MATCH($A272,lmic_raw_lb[[setting]:[setting]],0), MATCH(AP$139, lmic_raw_lb[#Headers],0))=0, INDEX(regions_lb[], MATCH($D272, regions_lb[[setting]:[setting]],0), MATCH(AP$139, regions_lb[#Headers],0)),INDEX(lmic_raw_lb[],MATCH($A272,lmic_raw_lb[[setting]:[setting]],0), MATCH(AP$139, lmic_raw_lb[#Headers],0)))</f>
        <v>1.1751571822323887E-2</v>
      </c>
      <c r="AQ272" s="98">
        <f>IF(INDEX(lmic_raw_lb[],MATCH($A272,lmic_raw_lb[[setting]:[setting]],0), MATCH(AQ$139, lmic_raw_lb[#Headers],0))=0, INDEX(regions_lb[], MATCH($D272, regions_lb[[setting]:[setting]],0), MATCH(AQ$139, regions_lb[#Headers],0)),INDEX(lmic_raw_lb[],MATCH($A272,lmic_raw_lb[[setting]:[setting]],0), MATCH(AQ$139, lmic_raw_lb[#Headers],0)))</f>
        <v>1.8683240400493382E-2</v>
      </c>
      <c r="AR272" s="98">
        <f>IF(INDEX(lmic_raw_lb[],MATCH($A272,lmic_raw_lb[[setting]:[setting]],0), MATCH(AR$139, lmic_raw_lb[#Headers],0))=0, INDEX(regions_lb[], MATCH($D272, regions_lb[[setting]:[setting]],0), MATCH(AR$139, regions_lb[#Headers],0)),INDEX(lmic_raw_lb[],MATCH($A272,lmic_raw_lb[[setting]:[setting]],0), MATCH(AR$139, lmic_raw_lb[#Headers],0)))</f>
        <v>2.7144443571962846E-2</v>
      </c>
      <c r="AS272" s="98">
        <f>IF(INDEX(lmic_raw_lb[],MATCH($A272,lmic_raw_lb[[setting]:[setting]],0), MATCH(AS$139, lmic_raw_lb[#Headers],0))=0, INDEX(regions_lb[], MATCH($D272, regions_lb[[setting]:[setting]],0), MATCH(AS$139, regions_lb[#Headers],0)),INDEX(lmic_raw_lb[],MATCH($A272,lmic_raw_lb[[setting]:[setting]],0), MATCH(AS$139, lmic_raw_lb[#Headers],0)))</f>
        <v>3.9290248675637018E-2</v>
      </c>
      <c r="AT272" s="98">
        <f>IF(INDEX(lmic_raw_lb[],MATCH($A272,lmic_raw_lb[[setting]:[setting]],0), MATCH(AT$139, lmic_raw_lb[#Headers],0))=0, INDEX(regions_lb[], MATCH($D272, regions_lb[[setting]:[setting]],0), MATCH(AT$139, regions_lb[#Headers],0)),INDEX(lmic_raw_lb[],MATCH($A272,lmic_raw_lb[[setting]:[setting]],0), MATCH(AT$139, lmic_raw_lb[#Headers],0)))</f>
        <v>5.5866357888978764E-2</v>
      </c>
      <c r="AU272" s="98">
        <f>IF(INDEX(lmic_raw_lb[],MATCH($A272,lmic_raw_lb[[setting]:[setting]],0), MATCH(AU$139, lmic_raw_lb[#Headers],0))=0, INDEX(regions_lb[], MATCH($D272, regions_lb[[setting]:[setting]],0), MATCH(AU$139, regions_lb[#Headers],0)),INDEX(lmic_raw_lb[],MATCH($A272,lmic_raw_lb[[setting]:[setting]],0), MATCH(AU$139, lmic_raw_lb[#Headers],0)))</f>
        <v>7.719858335423703E-2</v>
      </c>
      <c r="AV272" s="98">
        <f>IF(INDEX(lmic_raw_lb[],MATCH($A272,lmic_raw_lb[[setting]:[setting]],0), MATCH(AV$139, lmic_raw_lb[#Headers],0))=0, INDEX(regions_lb[], MATCH($D272, regions_lb[[setting]:[setting]],0), MATCH(AV$139, regions_lb[#Headers],0)),INDEX(lmic_raw_lb[],MATCH($A272,lmic_raw_lb[[setting]:[setting]],0), MATCH(AV$139, lmic_raw_lb[#Headers],0)))</f>
        <v>0.1021485679020266</v>
      </c>
      <c r="AW272" s="98">
        <f>IF(INDEX(lmic_raw_lb[],MATCH($A272,lmic_raw_lb[[setting]:[setting]],0), MATCH(AW$139, lmic_raw_lb[#Headers],0))=0, INDEX(regions_lb[], MATCH($D272, regions_lb[[setting]:[setting]],0), MATCH(AW$139, regions_lb[#Headers],0)),INDEX(lmic_raw_lb[],MATCH($A272,lmic_raw_lb[[setting]:[setting]],0), MATCH(AW$139, lmic_raw_lb[#Headers],0)))</f>
        <v>0.12819830636173279</v>
      </c>
      <c r="AX272" s="98">
        <f>IF(INDEX(lmic_raw_lb[],MATCH($A272,lmic_raw_lb[[setting]:[setting]],0), MATCH(AX$139, lmic_raw_lb[#Headers],0))=0, INDEX(regions_lb[], MATCH($D272, regions_lb[[setting]:[setting]],0), MATCH(AX$139, regions_lb[#Headers],0)),INDEX(lmic_raw_lb[],MATCH($A272,lmic_raw_lb[[setting]:[setting]],0), MATCH(AX$139, lmic_raw_lb[#Headers],0)))</f>
        <v>71.510300000000001</v>
      </c>
      <c r="AY272" s="98" t="str">
        <f>IF(VLOOKUP(lmics_lb[[#This Row],[setting]],lmic_raw_lb[],11,FALSE)=0, "Yes", "No")</f>
        <v>No</v>
      </c>
    </row>
    <row r="273" spans="1:51" x14ac:dyDescent="0.25">
      <c r="A273" s="110" t="s">
        <v>182</v>
      </c>
      <c r="B273" s="104" t="s">
        <v>540</v>
      </c>
      <c r="C273" s="105">
        <v>887</v>
      </c>
      <c r="D273" s="84" t="s">
        <v>673</v>
      </c>
      <c r="E273" s="122" t="s">
        <v>579</v>
      </c>
      <c r="F273" s="94" t="s">
        <v>579</v>
      </c>
      <c r="G273" s="94" t="s">
        <v>674</v>
      </c>
      <c r="H273" s="94"/>
      <c r="I273" s="94"/>
      <c r="J273" s="94">
        <f>IF(INDEX(lmic_raw_lb[],MATCH($A273,lmic_raw_lb[[setting]:[setting]],0), MATCH(J$139, lmic_raw_lb[#Headers],0))=0, INDEX(regions_lb[], MATCH($D273, regions_lb[[setting]:[setting]],0), MATCH(J$139, regions_lb[#Headers],0)),INDEX(lmic_raw_lb[],MATCH($A273,lmic_raw_lb[[setting]:[setting]],0), MATCH(J$139, lmic_raw_lb[#Headers],0)))</f>
        <v>0.28309999999999996</v>
      </c>
      <c r="K273" s="94">
        <f>IF(INDEX(lmic_raw_lb[],MATCH($A273,lmic_raw_lb[[setting]:[setting]],0), MATCH(K$139, lmic_raw_lb[#Headers],0))=0, INDEX(regions_lb[], MATCH($D273, regions_lb[[setting]:[setting]],0), MATCH(K$139, regions_lb[#Headers],0)),INDEX(lmic_raw_lb[],MATCH($A273,lmic_raw_lb[[setting]:[setting]],0), MATCH(K$139, lmic_raw_lb[#Headers],0)))</f>
        <v>0.67438226776312915</v>
      </c>
      <c r="L273" s="94">
        <f>IF(INDEX(lmic_raw_lb[],MATCH($A273,lmic_raw_lb[[setting]:[setting]],0), MATCH(L$139, lmic_raw_lb[#Headers],0))=0, INDEX(regions_lb[], MATCH($D273, regions_lb[[setting]:[setting]],0), MATCH(L$139, regions_lb[#Headers],0)),INDEX(lmic_raw_lb[],MATCH($A273,lmic_raw_lb[[setting]:[setting]],0), MATCH(L$139, lmic_raw_lb[#Headers],0)))</f>
        <v>0.69350000000000001</v>
      </c>
      <c r="M273" s="94">
        <f>IF(INDEX(lmic_raw_lb[],MATCH($A273,lmic_raw_lb[[setting]:[setting]],0), MATCH(M$139, lmic_raw_lb[#Headers],0))=0, INDEX(regions_lb[], MATCH($D273, regions_lb[[setting]:[setting]],0), MATCH(M$139, regions_lb[#Headers],0)),INDEX(lmic_raw_lb[],MATCH($A273,lmic_raw_lb[[setting]:[setting]],0), MATCH(M$139, lmic_raw_lb[#Headers],0)))</f>
        <v>3.9199999999999999E-2</v>
      </c>
      <c r="N273" s="94">
        <f>IF(INDEX(lmic_raw_lb[],MATCH($A273,lmic_raw_lb[[setting]:[setting]],0), MATCH(N$139, lmic_raw_lb[#Headers],0))=0, INDEX(regions_lb[], MATCH($D273, regions_lb[[setting]:[setting]],0), MATCH(N$139, regions_lb[#Headers],0)),INDEX(lmic_raw_lb[],MATCH($A273,lmic_raw_lb[[setting]:[setting]],0), MATCH(N$139, lmic_raw_lb[#Headers],0)))</f>
        <v>0.14980000000000002</v>
      </c>
      <c r="O273" s="94">
        <f>IF(INDEX(lmic_raw_lb[],MATCH($A273,lmic_raw_lb[[setting]:[setting]],0), MATCH(O$139, lmic_raw_lb[#Headers],0))=0, INDEX(regions_lb[], MATCH($D273, regions_lb[[setting]:[setting]],0), MATCH(O$139, regions_lb[#Headers],0)),INDEX(lmic_raw_lb[],MATCH($A273,lmic_raw_lb[[setting]:[setting]],0), MATCH(O$139, lmic_raw_lb[#Headers],0)))</f>
        <v>0.7</v>
      </c>
      <c r="P273" s="94">
        <f>IF(INDEX(lmic_raw_lb[],MATCH($A273,lmic_raw_lb[[setting]:[setting]],0), MATCH(P$139, lmic_raw_lb[#Headers],0))=0, INDEX(regions_lb[], MATCH($D273, regions_lb[[setting]:[setting]],0), MATCH(P$139, regions_lb[#Headers],0)),INDEX(lmic_raw_lb[],MATCH($A273,lmic_raw_lb[[setting]:[setting]],0), MATCH(P$139, lmic_raw_lb[#Headers],0)))</f>
        <v>0.05</v>
      </c>
      <c r="Q273" s="94">
        <f>IF(INDEX(lmic_raw_lb[],MATCH($A273,lmic_raw_lb[[setting]:[setting]],0), MATCH(Q$139, lmic_raw_lb[#Headers],0))=0, INDEX(regions_lb[], MATCH($D273, regions_lb[[setting]:[setting]],0), MATCH(Q$139, regions_lb[#Headers],0)),INDEX(lmic_raw_lb[],MATCH($A273,lmic_raw_lb[[setting]:[setting]],0), MATCH(Q$139, lmic_raw_lb[#Headers],0)))</f>
        <v>4.1715882749679762</v>
      </c>
      <c r="R273" s="94">
        <f>IF(INDEX(lmic_raw_lb[],MATCH($A273,lmic_raw_lb[[setting]:[setting]],0), MATCH(R$139, lmic_raw_lb[#Headers],0))=0, INDEX(regions_lb[], MATCH($D273, regions_lb[[setting]:[setting]],0), MATCH(R$139, regions_lb[#Headers],0)),INDEX(lmic_raw_lb[],MATCH($A273,lmic_raw_lb[[setting]:[setting]],0), MATCH(R$139, lmic_raw_lb[#Headers],0)))</f>
        <v>44.019105000000003</v>
      </c>
      <c r="S273" s="94">
        <f>IF(INDEX(lmic_raw_lb[],MATCH($A273,lmic_raw_lb[[setting]:[setting]],0), MATCH(S$139, lmic_raw_lb[#Headers],0))=0, INDEX(regions_lb[], MATCH($D273, regions_lb[[setting]:[setting]],0), MATCH(S$139, regions_lb[#Headers],0)),INDEX(lmic_raw_lb[],MATCH($A273,lmic_raw_lb[[setting]:[setting]],0), MATCH(S$139, lmic_raw_lb[#Headers],0)))</f>
        <v>89.374005000000011</v>
      </c>
      <c r="T273" s="94">
        <f>IF(INDEX(lmic_raw_lb[],MATCH($A273,lmic_raw_lb[[setting]:[setting]],0), MATCH(T$139, lmic_raw_lb[#Headers],0))=0, INDEX(regions_lb[], MATCH($D273, regions_lb[[setting]:[setting]],0), MATCH(T$139, regions_lb[#Headers],0)),INDEX(lmic_raw_lb[],MATCH($A273,lmic_raw_lb[[setting]:[setting]],0), MATCH(T$139, lmic_raw_lb[#Headers],0)))</f>
        <v>89.374005000000011</v>
      </c>
      <c r="U273" s="94">
        <f>IF(INDEX(lmic_raw_lb[],MATCH($A273,lmic_raw_lb[[setting]:[setting]],0), MATCH(U$139, lmic_raw_lb[#Headers],0))=0, INDEX(regions_lb[], MATCH($D273, regions_lb[[setting]:[setting]],0), MATCH(U$139, regions_lb[#Headers],0)),INDEX(lmic_raw_lb[],MATCH($A273,lmic_raw_lb[[setting]:[setting]],0), MATCH(U$139, lmic_raw_lb[#Headers],0)))</f>
        <v>89.374005000000011</v>
      </c>
      <c r="V273" s="94">
        <f>IF(INDEX(lmic_raw_lb[],MATCH($A273,lmic_raw_lb[[setting]:[setting]],0), MATCH(V$139, lmic_raw_lb[#Headers],0))=0, INDEX(regions_lb[], MATCH($D273, regions_lb[[setting]:[setting]],0), MATCH(V$139, regions_lb[#Headers],0)),INDEX(lmic_raw_lb[],MATCH($A273,lmic_raw_lb[[setting]:[setting]],0), MATCH(V$139, lmic_raw_lb[#Headers],0)))</f>
        <v>0.6265924657272125</v>
      </c>
      <c r="W273" s="94">
        <f>IF(INDEX(lmic_raw_lb[],MATCH($A273,lmic_raw_lb[[setting]:[setting]],0), MATCH(W$139, lmic_raw_lb[#Headers],0))=0, INDEX(regions_lb[], MATCH($D273, regions_lb[[setting]:[setting]],0), MATCH(W$139, regions_lb[#Headers],0)),INDEX(lmic_raw_lb[],MATCH($A273,lmic_raw_lb[[setting]:[setting]],0), MATCH(W$139, lmic_raw_lb[#Headers],0)))</f>
        <v>1.0822124657272125</v>
      </c>
      <c r="X273" s="94">
        <f>IF(INDEX(lmic_raw_lb[],MATCH($A273,lmic_raw_lb[[setting]:[setting]],0), MATCH(X$139, lmic_raw_lb[#Headers],0))=0, INDEX(regions_lb[], MATCH($D273, regions_lb[[setting]:[setting]],0), MATCH(X$139, regions_lb[#Headers],0)),INDEX(lmic_raw_lb[],MATCH($A273,lmic_raw_lb[[setting]:[setting]],0), MATCH(X$139, lmic_raw_lb[#Headers],0)))</f>
        <v>0.26165910152944982</v>
      </c>
      <c r="Y273" s="94">
        <f>IF(INDEX(lmic_raw_lb[],MATCH($A273,lmic_raw_lb[[setting]:[setting]],0), MATCH(Y$139, lmic_raw_lb[#Headers],0))=0, INDEX(regions_lb[], MATCH($D273, regions_lb[[setting]:[setting]],0), MATCH(Y$139, regions_lb[#Headers],0)),INDEX(lmic_raw_lb[],MATCH($A273,lmic_raw_lb[[setting]:[setting]],0), MATCH(Y$139, lmic_raw_lb[#Headers],0)))</f>
        <v>0.71727910152944985</v>
      </c>
      <c r="Z273" s="94">
        <f>IF(INDEX(lmic_raw_lb[],MATCH($A273,lmic_raw_lb[[setting]:[setting]],0), MATCH(Z$139, lmic_raw_lb[#Headers],0))=0, INDEX(regions_lb[], MATCH($D273, regions_lb[[setting]:[setting]],0), MATCH(Z$139, regions_lb[#Headers],0)),INDEX(lmic_raw_lb[],MATCH($A273,lmic_raw_lb[[setting]:[setting]],0), MATCH(Z$139, lmic_raw_lb[#Headers],0)))</f>
        <v>0.71533067717000143</v>
      </c>
      <c r="AA273" s="94">
        <f>IF(INDEX(lmic_raw_lb[],MATCH($A273,lmic_raw_lb[[setting]:[setting]],0), MATCH(AA$139, lmic_raw_lb[#Headers],0))=0, INDEX(regions_lb[], MATCH($D273, regions_lb[[setting]:[setting]],0), MATCH(AA$139, regions_lb[#Headers],0)),INDEX(lmic_raw_lb[],MATCH($A273,lmic_raw_lb[[setting]:[setting]],0), MATCH(AA$139, lmic_raw_lb[#Headers],0)))</f>
        <v>0.83763401061903708</v>
      </c>
      <c r="AB273" s="94">
        <f>IF(INDEX(lmic_raw_lb[],MATCH($A273,lmic_raw_lb[[setting]:[setting]],0), MATCH(AB$139, lmic_raw_lb[#Headers],0))=0, INDEX(regions_lb[], MATCH($D273, regions_lb[[setting]:[setting]],0), MATCH(AB$139, regions_lb[#Headers],0)),INDEX(lmic_raw_lb[],MATCH($A273,lmic_raw_lb[[setting]:[setting]],0), MATCH(AB$139, lmic_raw_lb[#Headers],0)))</f>
        <v>1.2932540106190371</v>
      </c>
      <c r="AC273" s="94">
        <f>IF(INDEX(lmic_raw_lb[],MATCH($A273,lmic_raw_lb[[setting]:[setting]],0), MATCH(AC$139, lmic_raw_lb[#Headers],0))=0, INDEX(regions_lb[], MATCH($D273, regions_lb[[setting]:[setting]],0), MATCH(AC$139, regions_lb[#Headers],0)),INDEX(lmic_raw_lb[],MATCH($A273,lmic_raw_lb[[setting]:[setting]],0), MATCH(AC$139, lmic_raw_lb[#Headers],0)))</f>
        <v>4.1081628999999974E-2</v>
      </c>
      <c r="AD273" s="94">
        <f>IF(INDEX(lmic_raw_lb[],MATCH($A273,lmic_raw_lb[[setting]:[setting]],0), MATCH(AD$139, lmic_raw_lb[#Headers],0))=0, INDEX(regions_lb[], MATCH($D273, regions_lb[[setting]:[setting]],0), MATCH(AD$139, regions_lb[#Headers],0)),INDEX(lmic_raw_lb[],MATCH($A273,lmic_raw_lb[[setting]:[setting]],0), MATCH(AD$139, lmic_raw_lb[#Headers],0)))</f>
        <v>3.0284697246481256E-3</v>
      </c>
      <c r="AE273" s="94">
        <f>IF(INDEX(lmic_raw_lb[],MATCH($A273,lmic_raw_lb[[setting]:[setting]],0), MATCH(AE$139, lmic_raw_lb[#Headers],0))=0, INDEX(regions_lb[], MATCH($D273, regions_lb[[setting]:[setting]],0), MATCH(AE$139, regions_lb[#Headers],0)),INDEX(lmic_raw_lb[],MATCH($A273,lmic_raw_lb[[setting]:[setting]],0), MATCH(AE$139, lmic_raw_lb[#Headers],0)))</f>
        <v>1.0217349175059675E-3</v>
      </c>
      <c r="AF273" s="94">
        <f>IF(INDEX(lmic_raw_lb[],MATCH($A273,lmic_raw_lb[[setting]:[setting]],0), MATCH(AF$139, lmic_raw_lb[#Headers],0))=0, INDEX(regions_lb[], MATCH($D273, regions_lb[[setting]:[setting]],0), MATCH(AF$139, regions_lb[#Headers],0)),INDEX(lmic_raw_lb[],MATCH($A273,lmic_raw_lb[[setting]:[setting]],0), MATCH(AF$139, lmic_raw_lb[#Headers],0)))</f>
        <v>7.8833041903378473E-4</v>
      </c>
      <c r="AG273" s="94">
        <f>IF(INDEX(lmic_raw_lb[],MATCH($A273,lmic_raw_lb[[setting]:[setting]],0), MATCH(AG$139, lmic_raw_lb[#Headers],0))=0, INDEX(regions_lb[], MATCH($D273, regions_lb[[setting]:[setting]],0), MATCH(AG$139, regions_lb[#Headers],0)),INDEX(lmic_raw_lb[],MATCH($A273,lmic_raw_lb[[setting]:[setting]],0), MATCH(AG$139, lmic_raw_lb[#Headers],0)))</f>
        <v>1.3740788642957232E-3</v>
      </c>
      <c r="AH273" s="94">
        <f>IF(INDEX(lmic_raw_lb[],MATCH($A273,lmic_raw_lb[[setting]:[setting]],0), MATCH(AH$139, lmic_raw_lb[#Headers],0))=0, INDEX(regions_lb[], MATCH($D273, regions_lb[[setting]:[setting]],0), MATCH(AH$139, regions_lb[#Headers],0)),INDEX(lmic_raw_lb[],MATCH($A273,lmic_raw_lb[[setting]:[setting]],0), MATCH(AH$139, lmic_raw_lb[#Headers],0)))</f>
        <v>1.7924377774954094E-3</v>
      </c>
      <c r="AI273" s="94">
        <f>IF(INDEX(lmic_raw_lb[],MATCH($A273,lmic_raw_lb[[setting]:[setting]],0), MATCH(AI$139, lmic_raw_lb[#Headers],0))=0, INDEX(regions_lb[], MATCH($D273, regions_lb[[setting]:[setting]],0), MATCH(AI$139, regions_lb[#Headers],0)),INDEX(lmic_raw_lb[],MATCH($A273,lmic_raw_lb[[setting]:[setting]],0), MATCH(AI$139, lmic_raw_lb[#Headers],0)))</f>
        <v>1.9179698154563108E-3</v>
      </c>
      <c r="AJ273" s="94">
        <f>IF(INDEX(lmic_raw_lb[],MATCH($A273,lmic_raw_lb[[setting]:[setting]],0), MATCH(AJ$139, lmic_raw_lb[#Headers],0))=0, INDEX(regions_lb[], MATCH($D273, regions_lb[[setting]:[setting]],0), MATCH(AJ$139, regions_lb[#Headers],0)),INDEX(lmic_raw_lb[],MATCH($A273,lmic_raw_lb[[setting]:[setting]],0), MATCH(AJ$139, lmic_raw_lb[#Headers],0)))</f>
        <v>2.2407250634064479E-3</v>
      </c>
      <c r="AK273" s="94">
        <f>IF(INDEX(lmic_raw_lb[],MATCH($A273,lmic_raw_lb[[setting]:[setting]],0), MATCH(AK$139, lmic_raw_lb[#Headers],0))=0, INDEX(regions_lb[], MATCH($D273, regions_lb[[setting]:[setting]],0), MATCH(AK$139, regions_lb[#Headers],0)),INDEX(lmic_raw_lb[],MATCH($A273,lmic_raw_lb[[setting]:[setting]],0), MATCH(AK$139, lmic_raw_lb[#Headers],0)))</f>
        <v>2.9014087145475781E-3</v>
      </c>
      <c r="AL273" s="94">
        <f>IF(INDEX(lmic_raw_lb[],MATCH($A273,lmic_raw_lb[[setting]:[setting]],0), MATCH(AL$139, lmic_raw_lb[#Headers],0))=0, INDEX(regions_lb[], MATCH($D273, regions_lb[[setting]:[setting]],0), MATCH(AL$139, regions_lb[#Headers],0)),INDEX(lmic_raw_lb[],MATCH($A273,lmic_raw_lb[[setting]:[setting]],0), MATCH(AL$139, lmic_raw_lb[#Headers],0)))</f>
        <v>3.948247440033182E-3</v>
      </c>
      <c r="AM273" s="94">
        <f>IF(INDEX(lmic_raw_lb[],MATCH($A273,lmic_raw_lb[[setting]:[setting]],0), MATCH(AM$139, lmic_raw_lb[#Headers],0))=0, INDEX(regions_lb[], MATCH($D273, regions_lb[[setting]:[setting]],0), MATCH(AM$139, regions_lb[#Headers],0)),INDEX(lmic_raw_lb[],MATCH($A273,lmic_raw_lb[[setting]:[setting]],0), MATCH(AM$139, lmic_raw_lb[#Headers],0)))</f>
        <v>5.6927906001906772E-3</v>
      </c>
      <c r="AN273" s="94">
        <f>IF(INDEX(lmic_raw_lb[],MATCH($A273,lmic_raw_lb[[setting]:[setting]],0), MATCH(AN$139, lmic_raw_lb[#Headers],0))=0, INDEX(regions_lb[], MATCH($D273, regions_lb[[setting]:[setting]],0), MATCH(AN$139, regions_lb[#Headers],0)),INDEX(lmic_raw_lb[],MATCH($A273,lmic_raw_lb[[setting]:[setting]],0), MATCH(AN$139, lmic_raw_lb[#Headers],0)))</f>
        <v>8.4230159640559712E-3</v>
      </c>
      <c r="AO273" s="94">
        <f>IF(INDEX(lmic_raw_lb[],MATCH($A273,lmic_raw_lb[[setting]:[setting]],0), MATCH(AO$139, lmic_raw_lb[#Headers],0))=0, INDEX(regions_lb[], MATCH($D273, regions_lb[[setting]:[setting]],0), MATCH(AO$139, regions_lb[#Headers],0)),INDEX(lmic_raw_lb[],MATCH($A273,lmic_raw_lb[[setting]:[setting]],0), MATCH(AO$139, lmic_raw_lb[#Headers],0)))</f>
        <v>1.268259585878161E-2</v>
      </c>
      <c r="AP273" s="94">
        <f>IF(INDEX(lmic_raw_lb[],MATCH($A273,lmic_raw_lb[[setting]:[setting]],0), MATCH(AP$139, lmic_raw_lb[#Headers],0))=0, INDEX(regions_lb[], MATCH($D273, regions_lb[[setting]:[setting]],0), MATCH(AP$139, regions_lb[#Headers],0)),INDEX(lmic_raw_lb[],MATCH($A273,lmic_raw_lb[[setting]:[setting]],0), MATCH(AP$139, lmic_raw_lb[#Headers],0)))</f>
        <v>1.9683276279434808E-2</v>
      </c>
      <c r="AQ273" s="94">
        <f>IF(INDEX(lmic_raw_lb[],MATCH($A273,lmic_raw_lb[[setting]:[setting]],0), MATCH(AQ$139, lmic_raw_lb[#Headers],0))=0, INDEX(regions_lb[], MATCH($D273, regions_lb[[setting]:[setting]],0), MATCH(AQ$139, regions_lb[#Headers],0)),INDEX(lmic_raw_lb[],MATCH($A273,lmic_raw_lb[[setting]:[setting]],0), MATCH(AQ$139, lmic_raw_lb[#Headers],0)))</f>
        <v>3.0335219645900188E-2</v>
      </c>
      <c r="AR273" s="94">
        <f>IF(INDEX(lmic_raw_lb[],MATCH($A273,lmic_raw_lb[[setting]:[setting]],0), MATCH(AR$139, lmic_raw_lb[#Headers],0))=0, INDEX(regions_lb[], MATCH($D273, regions_lb[[setting]:[setting]],0), MATCH(AR$139, regions_lb[#Headers],0)),INDEX(lmic_raw_lb[],MATCH($A273,lmic_raw_lb[[setting]:[setting]],0), MATCH(AR$139, lmic_raw_lb[#Headers],0)))</f>
        <v>4.6816352013042906E-2</v>
      </c>
      <c r="AS273" s="94">
        <f>IF(INDEX(lmic_raw_lb[],MATCH($A273,lmic_raw_lb[[setting]:[setting]],0), MATCH(AS$139, lmic_raw_lb[#Headers],0))=0, INDEX(regions_lb[], MATCH($D273, regions_lb[[setting]:[setting]],0), MATCH(AS$139, regions_lb[#Headers],0)),INDEX(lmic_raw_lb[],MATCH($A273,lmic_raw_lb[[setting]:[setting]],0), MATCH(AS$139, lmic_raw_lb[#Headers],0)))</f>
        <v>7.0207646872193635E-2</v>
      </c>
      <c r="AT273" s="94">
        <f>IF(INDEX(lmic_raw_lb[],MATCH($A273,lmic_raw_lb[[setting]:[setting]],0), MATCH(AT$139, lmic_raw_lb[#Headers],0))=0, INDEX(regions_lb[], MATCH($D273, regions_lb[[setting]:[setting]],0), MATCH(AT$139, regions_lb[#Headers],0)),INDEX(lmic_raw_lb[],MATCH($A273,lmic_raw_lb[[setting]:[setting]],0), MATCH(AT$139, lmic_raw_lb[#Headers],0)))</f>
        <v>9.8538052067531065E-2</v>
      </c>
      <c r="AU273" s="94">
        <f>IF(INDEX(lmic_raw_lb[],MATCH($A273,lmic_raw_lb[[setting]:[setting]],0), MATCH(AU$139, lmic_raw_lb[#Headers],0))=0, INDEX(regions_lb[], MATCH($D273, regions_lb[[setting]:[setting]],0), MATCH(AU$139, regions_lb[#Headers],0)),INDEX(lmic_raw_lb[],MATCH($A273,lmic_raw_lb[[setting]:[setting]],0), MATCH(AU$139, lmic_raw_lb[#Headers],0)))</f>
        <v>0.12614008983812502</v>
      </c>
      <c r="AV273" s="94">
        <f>IF(INDEX(lmic_raw_lb[],MATCH($A273,lmic_raw_lb[[setting]:[setting]],0), MATCH(AV$139, lmic_raw_lb[#Headers],0))=0, INDEX(regions_lb[], MATCH($D273, regions_lb[[setting]:[setting]],0), MATCH(AV$139, regions_lb[#Headers],0)),INDEX(lmic_raw_lb[],MATCH($A273,lmic_raw_lb[[setting]:[setting]],0), MATCH(AV$139, lmic_raw_lb[#Headers],0)))</f>
        <v>0.15042408475440117</v>
      </c>
      <c r="AW273" s="94">
        <f>IF(INDEX(lmic_raw_lb[],MATCH($A273,lmic_raw_lb[[setting]:[setting]],0), MATCH(AW$139, lmic_raw_lb[#Headers],0))=0, INDEX(regions_lb[], MATCH($D273, regions_lb[[setting]:[setting]],0), MATCH(AW$139, regions_lb[#Headers],0)),INDEX(lmic_raw_lb[],MATCH($A273,lmic_raw_lb[[setting]:[setting]],0), MATCH(AW$139, lmic_raw_lb[#Headers],0)))</f>
        <v>0.1683456284203991</v>
      </c>
      <c r="AX273" s="94">
        <f>IF(INDEX(lmic_raw_lb[],MATCH($A273,lmic_raw_lb[[setting]:[setting]],0), MATCH(AX$139, lmic_raw_lb[#Headers],0))=0, INDEX(regions_lb[], MATCH($D273, regions_lb[[setting]:[setting]],0), MATCH(AX$139, regions_lb[#Headers],0)),INDEX(lmic_raw_lb[],MATCH($A273,lmic_raw_lb[[setting]:[setting]],0), MATCH(AX$139, lmic_raw_lb[#Headers],0)))</f>
        <v>62.731349999999999</v>
      </c>
      <c r="AY273" s="94" t="str">
        <f>IF(VLOOKUP(lmics_lb[[#This Row],[setting]],lmic_raw_lb[],11,FALSE)=0, "Yes", "No")</f>
        <v>Yes</v>
      </c>
    </row>
    <row r="274" spans="1:51" x14ac:dyDescent="0.25">
      <c r="A274" s="109" t="s">
        <v>119</v>
      </c>
      <c r="B274" s="101" t="s">
        <v>541</v>
      </c>
      <c r="C274" s="102">
        <v>894</v>
      </c>
      <c r="D274" s="82" t="s">
        <v>677</v>
      </c>
      <c r="E274" s="121" t="s">
        <v>597</v>
      </c>
      <c r="F274" s="98" t="s">
        <v>667</v>
      </c>
      <c r="G274" s="98" t="s">
        <v>678</v>
      </c>
      <c r="H274" s="98"/>
      <c r="I274" s="98"/>
      <c r="J274" s="98">
        <f>IF(INDEX(lmic_raw_lb[],MATCH($A274,lmic_raw_lb[[setting]:[setting]],0), MATCH(J$139, lmic_raw_lb[#Headers],0))=0, INDEX(regions_lb[], MATCH($D274, regions_lb[[setting]:[setting]],0), MATCH(J$139, regions_lb[#Headers],0)),INDEX(lmic_raw_lb[],MATCH($A274,lmic_raw_lb[[setting]:[setting]],0), MATCH(J$139, lmic_raw_lb[#Headers],0)))</f>
        <v>0.79609999999999992</v>
      </c>
      <c r="K274" s="98">
        <f>IF(INDEX(lmic_raw_lb[],MATCH($A274,lmic_raw_lb[[setting]:[setting]],0), MATCH(K$139, lmic_raw_lb[#Headers],0))=0, INDEX(regions_lb[], MATCH($D274, regions_lb[[setting]:[setting]],0), MATCH(K$139, regions_lb[#Headers],0)),INDEX(lmic_raw_lb[],MATCH($A274,lmic_raw_lb[[setting]:[setting]],0), MATCH(K$139, lmic_raw_lb[#Headers],0)))</f>
        <v>0.8929999999999999</v>
      </c>
      <c r="L274" s="98">
        <f>IF(INDEX(lmic_raw_lb[],MATCH($A274,lmic_raw_lb[[setting]:[setting]],0), MATCH(L$139, lmic_raw_lb[#Headers],0))=0, INDEX(regions_lb[], MATCH($D274, regions_lb[[setting]:[setting]],0), MATCH(L$139, regions_lb[#Headers],0)),INDEX(lmic_raw_lb[],MATCH($A274,lmic_raw_lb[[setting]:[setting]],0), MATCH(L$139, lmic_raw_lb[#Headers],0)))</f>
        <v>0.83599999999999997</v>
      </c>
      <c r="M274" s="98">
        <f>IF(INDEX(lmic_raw_lb[],MATCH($A274,lmic_raw_lb[[setting]:[setting]],0), MATCH(M$139, lmic_raw_lb[#Headers],0))=0, INDEX(regions_lb[], MATCH($D274, regions_lb[[setting]:[setting]],0), MATCH(M$139, regions_lb[#Headers],0)),INDEX(lmic_raw_lb[],MATCH($A274,lmic_raw_lb[[setting]:[setting]],0), MATCH(M$139, lmic_raw_lb[#Headers],0)))</f>
        <v>2.8900000000000002E-2</v>
      </c>
      <c r="N274" s="98">
        <f>IF(INDEX(lmic_raw_lb[],MATCH($A274,lmic_raw_lb[[setting]:[setting]],0), MATCH(N$139, lmic_raw_lb[#Headers],0))=0, INDEX(regions_lb[], MATCH($D274, regions_lb[[setting]:[setting]],0), MATCH(N$139, regions_lb[#Headers],0)),INDEX(lmic_raw_lb[],MATCH($A274,lmic_raw_lb[[setting]:[setting]],0), MATCH(N$139, lmic_raw_lb[#Headers],0)))</f>
        <v>0.15560000000000002</v>
      </c>
      <c r="O274" s="98">
        <f>IF(INDEX(lmic_raw_lb[],MATCH($A274,lmic_raw_lb[[setting]:[setting]],0), MATCH(O$139, lmic_raw_lb[#Headers],0))=0, INDEX(regions_lb[], MATCH($D274, regions_lb[[setting]:[setting]],0), MATCH(O$139, regions_lb[#Headers],0)),INDEX(lmic_raw_lb[],MATCH($A274,lmic_raw_lb[[setting]:[setting]],0), MATCH(O$139, lmic_raw_lb[#Headers],0)))</f>
        <v>7.0000000000000007E-2</v>
      </c>
      <c r="P274" s="98">
        <f>IF(INDEX(lmic_raw_lb[],MATCH($A274,lmic_raw_lb[[setting]:[setting]],0), MATCH(P$139, lmic_raw_lb[#Headers],0))=0, INDEX(regions_lb[], MATCH($D274, regions_lb[[setting]:[setting]],0), MATCH(P$139, regions_lb[#Headers],0)),INDEX(lmic_raw_lb[],MATCH($A274,lmic_raw_lb[[setting]:[setting]],0), MATCH(P$139, lmic_raw_lb[#Headers],0)))</f>
        <v>1E-3</v>
      </c>
      <c r="Q274" s="98">
        <f>IF(INDEX(lmic_raw_lb[],MATCH($A274,lmic_raw_lb[[setting]:[setting]],0), MATCH(Q$139, lmic_raw_lb[#Headers],0))=0, INDEX(regions_lb[], MATCH($D274, regions_lb[[setting]:[setting]],0), MATCH(Q$139, regions_lb[#Headers],0)),INDEX(lmic_raw_lb[],MATCH($A274,lmic_raw_lb[[setting]:[setting]],0), MATCH(Q$139, lmic_raw_lb[#Headers],0)))</f>
        <v>3.1004064982337654</v>
      </c>
      <c r="R274" s="98">
        <f>IF(INDEX(lmic_raw_lb[],MATCH($A274,lmic_raw_lb[[setting]:[setting]],0), MATCH(R$139, lmic_raw_lb[#Headers],0))=0, INDEX(regions_lb[], MATCH($D274, regions_lb[[setting]:[setting]],0), MATCH(R$139, regions_lb[#Headers],0)),INDEX(lmic_raw_lb[],MATCH($A274,lmic_raw_lb[[setting]:[setting]],0), MATCH(R$139, lmic_raw_lb[#Headers],0)))</f>
        <v>28.424474999999997</v>
      </c>
      <c r="S274" s="98">
        <f>IF(INDEX(lmic_raw_lb[],MATCH($A274,lmic_raw_lb[[setting]:[setting]],0), MATCH(S$139, lmic_raw_lb[#Headers],0))=0, INDEX(regions_lb[], MATCH($D274, regions_lb[[setting]:[setting]],0), MATCH(S$139, regions_lb[#Headers],0)),INDEX(lmic_raw_lb[],MATCH($A274,lmic_raw_lb[[setting]:[setting]],0), MATCH(S$139, lmic_raw_lb[#Headers],0)))</f>
        <v>73.779375000000002</v>
      </c>
      <c r="T274" s="98">
        <f>IF(INDEX(lmic_raw_lb[],MATCH($A274,lmic_raw_lb[[setting]:[setting]],0), MATCH(T$139, lmic_raw_lb[#Headers],0))=0, INDEX(regions_lb[], MATCH($D274, regions_lb[[setting]:[setting]],0), MATCH(T$139, regions_lb[#Headers],0)),INDEX(lmic_raw_lb[],MATCH($A274,lmic_raw_lb[[setting]:[setting]],0), MATCH(T$139, lmic_raw_lb[#Headers],0)))</f>
        <v>73.779375000000002</v>
      </c>
      <c r="U274" s="98">
        <f>IF(INDEX(lmic_raw_lb[],MATCH($A274,lmic_raw_lb[[setting]:[setting]],0), MATCH(U$139, lmic_raw_lb[#Headers],0))=0, INDEX(regions_lb[], MATCH($D274, regions_lb[[setting]:[setting]],0), MATCH(U$139, regions_lb[#Headers],0)),INDEX(lmic_raw_lb[],MATCH($A274,lmic_raw_lb[[setting]:[setting]],0), MATCH(U$139, lmic_raw_lb[#Headers],0)))</f>
        <v>73.779375000000002</v>
      </c>
      <c r="V274" s="98">
        <f>IF(INDEX(lmic_raw_lb[],MATCH($A274,lmic_raw_lb[[setting]:[setting]],0), MATCH(V$139, lmic_raw_lb[#Headers],0))=0, INDEX(regions_lb[], MATCH($D274, regions_lb[[setting]:[setting]],0), MATCH(V$139, regions_lb[#Headers],0)),INDEX(lmic_raw_lb[],MATCH($A274,lmic_raw_lb[[setting]:[setting]],0), MATCH(V$139, lmic_raw_lb[#Headers],0)))</f>
        <v>1.3793362063318741</v>
      </c>
      <c r="W274" s="98">
        <f>IF(INDEX(lmic_raw_lb[],MATCH($A274,lmic_raw_lb[[setting]:[setting]],0), MATCH(W$139, lmic_raw_lb[#Headers],0))=0, INDEX(regions_lb[], MATCH($D274, regions_lb[[setting]:[setting]],0), MATCH(W$139, regions_lb[#Headers],0)),INDEX(lmic_raw_lb[],MATCH($A274,lmic_raw_lb[[setting]:[setting]],0), MATCH(W$139, lmic_raw_lb[#Headers],0)))</f>
        <v>5.966601206331875</v>
      </c>
      <c r="X274" s="98">
        <f>IF(INDEX(lmic_raw_lb[],MATCH($A274,lmic_raw_lb[[setting]:[setting]],0), MATCH(X$139, lmic_raw_lb[#Headers],0))=0, INDEX(regions_lb[], MATCH($D274, regions_lb[[setting]:[setting]],0), MATCH(X$139, regions_lb[#Headers],0)),INDEX(lmic_raw_lb[],MATCH($A274,lmic_raw_lb[[setting]:[setting]],0), MATCH(X$139, lmic_raw_lb[#Headers],0)))</f>
        <v>1.014055419532192</v>
      </c>
      <c r="Y274" s="98">
        <f>IF(INDEX(lmic_raw_lb[],MATCH($A274,lmic_raw_lb[[setting]:[setting]],0), MATCH(Y$139, lmic_raw_lb[#Headers],0))=0, INDEX(regions_lb[], MATCH($D274, regions_lb[[setting]:[setting]],0), MATCH(Y$139, regions_lb[#Headers],0)),INDEX(lmic_raw_lb[],MATCH($A274,lmic_raw_lb[[setting]:[setting]],0), MATCH(Y$139, lmic_raw_lb[#Headers],0)))</f>
        <v>5.6013204195321924</v>
      </c>
      <c r="Z274" s="98">
        <f>IF(INDEX(lmic_raw_lb[],MATCH($A274,lmic_raw_lb[[setting]:[setting]],0), MATCH(Z$139, lmic_raw_lb[#Headers],0))=0, INDEX(regions_lb[], MATCH($D274, regions_lb[[setting]:[setting]],0), MATCH(Z$139, regions_lb[#Headers],0)),INDEX(lmic_raw_lb[],MATCH($A274,lmic_raw_lb[[setting]:[setting]],0), MATCH(Z$139, lmic_raw_lb[#Headers],0)))</f>
        <v>5.599081783802788</v>
      </c>
      <c r="AA274" s="98">
        <f>IF(INDEX(lmic_raw_lb[],MATCH($A274,lmic_raw_lb[[setting]:[setting]],0), MATCH(AA$139, lmic_raw_lb[#Headers],0))=0, INDEX(regions_lb[], MATCH($D274, regions_lb[[setting]:[setting]],0), MATCH(AA$139, regions_lb[#Headers],0)),INDEX(lmic_raw_lb[],MATCH($A274,lmic_raw_lb[[setting]:[setting]],0), MATCH(AA$139, lmic_raw_lb[#Headers],0)))</f>
        <v>1.5905266466245216</v>
      </c>
      <c r="AB274" s="98">
        <f>IF(INDEX(lmic_raw_lb[],MATCH($A274,lmic_raw_lb[[setting]:[setting]],0), MATCH(AB$139, lmic_raw_lb[#Headers],0))=0, INDEX(regions_lb[], MATCH($D274, regions_lb[[setting]:[setting]],0), MATCH(AB$139, regions_lb[#Headers],0)),INDEX(lmic_raw_lb[],MATCH($A274,lmic_raw_lb[[setting]:[setting]],0), MATCH(AB$139, lmic_raw_lb[#Headers],0)))</f>
        <v>6.177791646624522</v>
      </c>
      <c r="AC274" s="98">
        <f>IF(INDEX(lmic_raw_lb[],MATCH($A274,lmic_raw_lb[[setting]:[setting]],0), MATCH(AC$139, lmic_raw_lb[#Headers],0))=0, INDEX(regions_lb[], MATCH($D274, regions_lb[[setting]:[setting]],0), MATCH(AC$139, regions_lb[#Headers],0)),INDEX(lmic_raw_lb[],MATCH($A274,lmic_raw_lb[[setting]:[setting]],0), MATCH(AC$139, lmic_raw_lb[#Headers],0)))</f>
        <v>4.3340776500000046E-2</v>
      </c>
      <c r="AD274" s="98">
        <f>IF(INDEX(lmic_raw_lb[],MATCH($A274,lmic_raw_lb[[setting]:[setting]],0), MATCH(AD$139, lmic_raw_lb[#Headers],0))=0, INDEX(regions_lb[], MATCH($D274, regions_lb[[setting]:[setting]],0), MATCH(AD$139, regions_lb[#Headers],0)),INDEX(lmic_raw_lb[],MATCH($A274,lmic_raw_lb[[setting]:[setting]],0), MATCH(AD$139, lmic_raw_lb[#Headers],0)))</f>
        <v>3.7605418252825815E-3</v>
      </c>
      <c r="AE274" s="98">
        <f>IF(INDEX(lmic_raw_lb[],MATCH($A274,lmic_raw_lb[[setting]:[setting]],0), MATCH(AE$139, lmic_raw_lb[#Headers],0))=0, INDEX(regions_lb[], MATCH($D274, regions_lb[[setting]:[setting]],0), MATCH(AE$139, regions_lb[#Headers],0)),INDEX(lmic_raw_lb[],MATCH($A274,lmic_raw_lb[[setting]:[setting]],0), MATCH(AE$139, lmic_raw_lb[#Headers],0)))</f>
        <v>1.1004370388370383E-3</v>
      </c>
      <c r="AF274" s="98">
        <f>IF(INDEX(lmic_raw_lb[],MATCH($A274,lmic_raw_lb[[setting]:[setting]],0), MATCH(AF$139, lmic_raw_lb[#Headers],0))=0, INDEX(regions_lb[], MATCH($D274, regions_lb[[setting]:[setting]],0), MATCH(AF$139, regions_lb[#Headers],0)),INDEX(lmic_raw_lb[],MATCH($A274,lmic_raw_lb[[setting]:[setting]],0), MATCH(AF$139, lmic_raw_lb[#Headers],0)))</f>
        <v>8.6896987365813838E-4</v>
      </c>
      <c r="AG274" s="98">
        <f>IF(INDEX(lmic_raw_lb[],MATCH($A274,lmic_raw_lb[[setting]:[setting]],0), MATCH(AG$139, lmic_raw_lb[#Headers],0))=0, INDEX(regions_lb[], MATCH($D274, regions_lb[[setting]:[setting]],0), MATCH(AG$139, regions_lb[#Headers],0)),INDEX(lmic_raw_lb[],MATCH($A274,lmic_raw_lb[[setting]:[setting]],0), MATCH(AG$139, lmic_raw_lb[#Headers],0)))</f>
        <v>1.4548794029285203E-3</v>
      </c>
      <c r="AH274" s="98">
        <f>IF(INDEX(lmic_raw_lb[],MATCH($A274,lmic_raw_lb[[setting]:[setting]],0), MATCH(AH$139, lmic_raw_lb[#Headers],0))=0, INDEX(regions_lb[], MATCH($D274, regions_lb[[setting]:[setting]],0), MATCH(AH$139, regions_lb[#Headers],0)),INDEX(lmic_raw_lb[],MATCH($A274,lmic_raw_lb[[setting]:[setting]],0), MATCH(AH$139, lmic_raw_lb[#Headers],0)))</f>
        <v>2.3504613410882439E-3</v>
      </c>
      <c r="AI274" s="98">
        <f>IF(INDEX(lmic_raw_lb[],MATCH($A274,lmic_raw_lb[[setting]:[setting]],0), MATCH(AI$139, lmic_raw_lb[#Headers],0))=0, INDEX(regions_lb[], MATCH($D274, regions_lb[[setting]:[setting]],0), MATCH(AI$139, regions_lb[#Headers],0)),INDEX(lmic_raw_lb[],MATCH($A274,lmic_raw_lb[[setting]:[setting]],0), MATCH(AI$139, lmic_raw_lb[#Headers],0)))</f>
        <v>3.3165462631138507E-3</v>
      </c>
      <c r="AJ274" s="98">
        <f>IF(INDEX(lmic_raw_lb[],MATCH($A274,lmic_raw_lb[[setting]:[setting]],0), MATCH(AJ$139, lmic_raw_lb[#Headers],0))=0, INDEX(regions_lb[], MATCH($D274, regions_lb[[setting]:[setting]],0), MATCH(AJ$139, regions_lb[#Headers],0)),INDEX(lmic_raw_lb[],MATCH($A274,lmic_raw_lb[[setting]:[setting]],0), MATCH(AJ$139, lmic_raw_lb[#Headers],0)))</f>
        <v>4.3709053443895573E-3</v>
      </c>
      <c r="AK274" s="98">
        <f>IF(INDEX(lmic_raw_lb[],MATCH($A274,lmic_raw_lb[[setting]:[setting]],0), MATCH(AK$139, lmic_raw_lb[#Headers],0))=0, INDEX(regions_lb[], MATCH($D274, regions_lb[[setting]:[setting]],0), MATCH(AK$139, regions_lb[#Headers],0)),INDEX(lmic_raw_lb[],MATCH($A274,lmic_raw_lb[[setting]:[setting]],0), MATCH(AK$139, lmic_raw_lb[#Headers],0)))</f>
        <v>5.8631832797427456E-3</v>
      </c>
      <c r="AL274" s="98">
        <f>IF(INDEX(lmic_raw_lb[],MATCH($A274,lmic_raw_lb[[setting]:[setting]],0), MATCH(AL$139, lmic_raw_lb[#Headers],0))=0, INDEX(regions_lb[], MATCH($D274, regions_lb[[setting]:[setting]],0), MATCH(AL$139, regions_lb[#Headers],0)),INDEX(lmic_raw_lb[],MATCH($A274,lmic_raw_lb[[setting]:[setting]],0), MATCH(AL$139, lmic_raw_lb[#Headers],0)))</f>
        <v>7.2210944944111144E-3</v>
      </c>
      <c r="AM274" s="98">
        <f>IF(INDEX(lmic_raw_lb[],MATCH($A274,lmic_raw_lb[[setting]:[setting]],0), MATCH(AM$139, lmic_raw_lb[#Headers],0))=0, INDEX(regions_lb[], MATCH($D274, regions_lb[[setting]:[setting]],0), MATCH(AM$139, regions_lb[#Headers],0)),INDEX(lmic_raw_lb[],MATCH($A274,lmic_raw_lb[[setting]:[setting]],0), MATCH(AM$139, lmic_raw_lb[#Headers],0)))</f>
        <v>8.8788567277421175E-3</v>
      </c>
      <c r="AN274" s="98">
        <f>IF(INDEX(lmic_raw_lb[],MATCH($A274,lmic_raw_lb[[setting]:[setting]],0), MATCH(AN$139, lmic_raw_lb[#Headers],0))=0, INDEX(regions_lb[], MATCH($D274, regions_lb[[setting]:[setting]],0), MATCH(AN$139, regions_lb[#Headers],0)),INDEX(lmic_raw_lb[],MATCH($A274,lmic_raw_lb[[setting]:[setting]],0), MATCH(AN$139, lmic_raw_lb[#Headers],0)))</f>
        <v>1.1551399926006668E-2</v>
      </c>
      <c r="AO274" s="98">
        <f>IF(INDEX(lmic_raw_lb[],MATCH($A274,lmic_raw_lb[[setting]:[setting]],0), MATCH(AO$139, lmic_raw_lb[#Headers],0))=0, INDEX(regions_lb[], MATCH($D274, regions_lb[[setting]:[setting]],0), MATCH(AO$139, regions_lb[#Headers],0)),INDEX(lmic_raw_lb[],MATCH($A274,lmic_raw_lb[[setting]:[setting]],0), MATCH(AO$139, lmic_raw_lb[#Headers],0)))</f>
        <v>1.4622247637873467E-2</v>
      </c>
      <c r="AP274" s="98">
        <f>IF(INDEX(lmic_raw_lb[],MATCH($A274,lmic_raw_lb[[setting]:[setting]],0), MATCH(AP$139, lmic_raw_lb[#Headers],0))=0, INDEX(regions_lb[], MATCH($D274, regions_lb[[setting]:[setting]],0), MATCH(AP$139, regions_lb[#Headers],0)),INDEX(lmic_raw_lb[],MATCH($A274,lmic_raw_lb[[setting]:[setting]],0), MATCH(AP$139, lmic_raw_lb[#Headers],0)))</f>
        <v>2.0323138769751201E-2</v>
      </c>
      <c r="AQ274" s="98">
        <f>IF(INDEX(lmic_raw_lb[],MATCH($A274,lmic_raw_lb[[setting]:[setting]],0), MATCH(AQ$139, lmic_raw_lb[#Headers],0))=0, INDEX(regions_lb[], MATCH($D274, regions_lb[[setting]:[setting]],0), MATCH(AQ$139, regions_lb[#Headers],0)),INDEX(lmic_raw_lb[],MATCH($A274,lmic_raw_lb[[setting]:[setting]],0), MATCH(AQ$139, lmic_raw_lb[#Headers],0)))</f>
        <v>2.9586628177515433E-2</v>
      </c>
      <c r="AR274" s="98">
        <f>IF(INDEX(lmic_raw_lb[],MATCH($A274,lmic_raw_lb[[setting]:[setting]],0), MATCH(AR$139, lmic_raw_lb[#Headers],0))=0, INDEX(regions_lb[], MATCH($D274, regions_lb[[setting]:[setting]],0), MATCH(AR$139, regions_lb[#Headers],0)),INDEX(lmic_raw_lb[],MATCH($A274,lmic_raw_lb[[setting]:[setting]],0), MATCH(AR$139, lmic_raw_lb[#Headers],0)))</f>
        <v>4.4001636446974732E-2</v>
      </c>
      <c r="AS274" s="98">
        <f>IF(INDEX(lmic_raw_lb[],MATCH($A274,lmic_raw_lb[[setting]:[setting]],0), MATCH(AS$139, lmic_raw_lb[#Headers],0))=0, INDEX(regions_lb[], MATCH($D274, regions_lb[[setting]:[setting]],0), MATCH(AS$139, regions_lb[#Headers],0)),INDEX(lmic_raw_lb[],MATCH($A274,lmic_raw_lb[[setting]:[setting]],0), MATCH(AS$139, lmic_raw_lb[#Headers],0)))</f>
        <v>6.5254320580574621E-2</v>
      </c>
      <c r="AT274" s="98">
        <f>IF(INDEX(lmic_raw_lb[],MATCH($A274,lmic_raw_lb[[setting]:[setting]],0), MATCH(AT$139, lmic_raw_lb[#Headers],0))=0, INDEX(regions_lb[], MATCH($D274, regions_lb[[setting]:[setting]],0), MATCH(AT$139, regions_lb[#Headers],0)),INDEX(lmic_raw_lb[],MATCH($A274,lmic_raw_lb[[setting]:[setting]],0), MATCH(AT$139, lmic_raw_lb[#Headers],0)))</f>
        <v>9.6787662705936028E-2</v>
      </c>
      <c r="AU274" s="98">
        <f>IF(INDEX(lmic_raw_lb[],MATCH($A274,lmic_raw_lb[[setting]:[setting]],0), MATCH(AU$139, lmic_raw_lb[#Headers],0))=0, INDEX(regions_lb[], MATCH($D274, regions_lb[[setting]:[setting]],0), MATCH(AU$139, regions_lb[#Headers],0)),INDEX(lmic_raw_lb[],MATCH($A274,lmic_raw_lb[[setting]:[setting]],0), MATCH(AU$139, lmic_raw_lb[#Headers],0)))</f>
        <v>0.13442612932484865</v>
      </c>
      <c r="AV274" s="98">
        <f>IF(INDEX(lmic_raw_lb[],MATCH($A274,lmic_raw_lb[[setting]:[setting]],0), MATCH(AV$139, lmic_raw_lb[#Headers],0))=0, INDEX(regions_lb[], MATCH($D274, regions_lb[[setting]:[setting]],0), MATCH(AV$139, regions_lb[#Headers],0)),INDEX(lmic_raw_lb[],MATCH($A274,lmic_raw_lb[[setting]:[setting]],0), MATCH(AV$139, lmic_raw_lb[#Headers],0)))</f>
        <v>0.16608537688153641</v>
      </c>
      <c r="AW274" s="98">
        <f>IF(INDEX(lmic_raw_lb[],MATCH($A274,lmic_raw_lb[[setting]:[setting]],0), MATCH(AW$139, lmic_raw_lb[#Headers],0))=0, INDEX(regions_lb[], MATCH($D274, regions_lb[[setting]:[setting]],0), MATCH(AW$139, regions_lb[#Headers],0)),INDEX(lmic_raw_lb[],MATCH($A274,lmic_raw_lb[[setting]:[setting]],0), MATCH(AW$139, lmic_raw_lb[#Headers],0)))</f>
        <v>0.17807340063957888</v>
      </c>
      <c r="AX274" s="98">
        <f>IF(INDEX(lmic_raw_lb[],MATCH($A274,lmic_raw_lb[[setting]:[setting]],0), MATCH(AX$139, lmic_raw_lb[#Headers],0))=0, INDEX(regions_lb[], MATCH($D274, regions_lb[[setting]:[setting]],0), MATCH(AX$139, regions_lb[#Headers],0)),INDEX(lmic_raw_lb[],MATCH($A274,lmic_raw_lb[[setting]:[setting]],0), MATCH(AX$139, lmic_raw_lb[#Headers],0)))</f>
        <v>60.095100000000002</v>
      </c>
      <c r="AY274" s="98" t="str">
        <f>IF(VLOOKUP(lmics_lb[[#This Row],[setting]],lmic_raw_lb[],11,FALSE)=0, "Yes", "No")</f>
        <v>No</v>
      </c>
    </row>
    <row r="275" spans="1:51" x14ac:dyDescent="0.25">
      <c r="A275" s="111" t="s">
        <v>120</v>
      </c>
      <c r="B275" s="104" t="s">
        <v>542</v>
      </c>
      <c r="C275" s="105">
        <v>716</v>
      </c>
      <c r="D275" s="84" t="s">
        <v>677</v>
      </c>
      <c r="E275" s="83" t="s">
        <v>594</v>
      </c>
      <c r="F275" s="84" t="s">
        <v>667</v>
      </c>
      <c r="G275" s="84" t="s">
        <v>678</v>
      </c>
      <c r="H275" s="84"/>
      <c r="I275" s="84"/>
      <c r="J275" s="84">
        <f>IF(INDEX(lmic_raw_lb[],MATCH($A275,lmic_raw_lb[[setting]:[setting]],0), MATCH(J$139, lmic_raw_lb[#Headers],0))=0, INDEX(regions_lb[], MATCH($D275, regions_lb[[setting]:[setting]],0), MATCH(J$139, regions_lb[#Headers],0)),INDEX(lmic_raw_lb[],MATCH($A275,lmic_raw_lb[[setting]:[setting]],0), MATCH(J$139, lmic_raw_lb[#Headers],0)))</f>
        <v>0.81224999999999992</v>
      </c>
      <c r="K275" s="84">
        <f>IF(INDEX(lmic_raw_lb[],MATCH($A275,lmic_raw_lb[[setting]:[setting]],0), MATCH(K$139, lmic_raw_lb[#Headers],0))=0, INDEX(regions_lb[], MATCH($D275, regions_lb[[setting]:[setting]],0), MATCH(K$139, regions_lb[#Headers],0)),INDEX(lmic_raw_lb[],MATCH($A275,lmic_raw_lb[[setting]:[setting]],0), MATCH(K$139, lmic_raw_lb[#Headers],0)))</f>
        <v>0.65789974195504752</v>
      </c>
      <c r="L275" s="84">
        <f>IF(INDEX(lmic_raw_lb[],MATCH($A275,lmic_raw_lb[[setting]:[setting]],0), MATCH(L$139, lmic_raw_lb[#Headers],0))=0, INDEX(regions_lb[], MATCH($D275, regions_lb[[setting]:[setting]],0), MATCH(L$139, regions_lb[#Headers],0)),INDEX(lmic_raw_lb[],MATCH($A275,lmic_raw_lb[[setting]:[setting]],0), MATCH(L$139, lmic_raw_lb[#Headers],0)))</f>
        <v>0.85499999999999998</v>
      </c>
      <c r="M275" s="84">
        <f>IF(INDEX(lmic_raw_lb[],MATCH($A275,lmic_raw_lb[[setting]:[setting]],0), MATCH(M$139, lmic_raw_lb[#Headers],0))=0, INDEX(regions_lb[], MATCH($D275, regions_lb[[setting]:[setting]],0), MATCH(M$139, regions_lb[#Headers],0)),INDEX(lmic_raw_lb[],MATCH($A275,lmic_raw_lb[[setting]:[setting]],0), MATCH(M$139, lmic_raw_lb[#Headers],0)))</f>
        <v>8.14E-2</v>
      </c>
      <c r="N275" s="84">
        <f>IF(INDEX(lmic_raw_lb[],MATCH($A275,lmic_raw_lb[[setting]:[setting]],0), MATCH(N$139, lmic_raw_lb[#Headers],0))=0, INDEX(regions_lb[], MATCH($D275, regions_lb[[setting]:[setting]],0), MATCH(N$139, regions_lb[#Headers],0)),INDEX(lmic_raw_lb[],MATCH($A275,lmic_raw_lb[[setting]:[setting]],0), MATCH(N$139, lmic_raw_lb[#Headers],0)))</f>
        <v>0.15109999999999998</v>
      </c>
      <c r="O275" s="84">
        <f>IF(INDEX(lmic_raw_lb[],MATCH($A275,lmic_raw_lb[[setting]:[setting]],0), MATCH(O$139, lmic_raw_lb[#Headers],0))=0, INDEX(regions_lb[], MATCH($D275, regions_lb[[setting]:[setting]],0), MATCH(O$139, regions_lb[#Headers],0)),INDEX(lmic_raw_lb[],MATCH($A275,lmic_raw_lb[[setting]:[setting]],0), MATCH(O$139, lmic_raw_lb[#Headers],0)))</f>
        <v>7.0000000000000007E-2</v>
      </c>
      <c r="P275" s="84">
        <f>IF(INDEX(lmic_raw_lb[],MATCH($A275,lmic_raw_lb[[setting]:[setting]],0), MATCH(P$139, lmic_raw_lb[#Headers],0))=0, INDEX(regions_lb[], MATCH($D275, regions_lb[[setting]:[setting]],0), MATCH(P$139, regions_lb[#Headers],0)),INDEX(lmic_raw_lb[],MATCH($A275,lmic_raw_lb[[setting]:[setting]],0), MATCH(P$139, lmic_raw_lb[#Headers],0)))</f>
        <v>1E-3</v>
      </c>
      <c r="Q275" s="84">
        <f>IF(INDEX(lmic_raw_lb[],MATCH($A275,lmic_raw_lb[[setting]:[setting]],0), MATCH(Q$139, lmic_raw_lb[#Headers],0))=0, INDEX(regions_lb[], MATCH($D275, regions_lb[[setting]:[setting]],0), MATCH(Q$139, regions_lb[#Headers],0)),INDEX(lmic_raw_lb[],MATCH($A275,lmic_raw_lb[[setting]:[setting]],0), MATCH(Q$139, lmic_raw_lb[#Headers],0)))</f>
        <v>4.4249775953899046</v>
      </c>
      <c r="R275" s="84">
        <f>IF(INDEX(lmic_raw_lb[],MATCH($A275,lmic_raw_lb[[setting]:[setting]],0), MATCH(R$139, lmic_raw_lb[#Headers],0))=0, INDEX(regions_lb[], MATCH($D275, regions_lb[[setting]:[setting]],0), MATCH(R$139, regions_lb[#Headers],0)),INDEX(lmic_raw_lb[],MATCH($A275,lmic_raw_lb[[setting]:[setting]],0), MATCH(R$139, lmic_raw_lb[#Headers],0)))</f>
        <v>28.424474999999997</v>
      </c>
      <c r="S275" s="84">
        <f>IF(INDEX(lmic_raw_lb[],MATCH($A275,lmic_raw_lb[[setting]:[setting]],0), MATCH(S$139, lmic_raw_lb[#Headers],0))=0, INDEX(regions_lb[], MATCH($D275, regions_lb[[setting]:[setting]],0), MATCH(S$139, regions_lb[#Headers],0)),INDEX(lmic_raw_lb[],MATCH($A275,lmic_raw_lb[[setting]:[setting]],0), MATCH(S$139, lmic_raw_lb[#Headers],0)))</f>
        <v>73.779375000000002</v>
      </c>
      <c r="T275" s="84">
        <f>IF(INDEX(lmic_raw_lb[],MATCH($A275,lmic_raw_lb[[setting]:[setting]],0), MATCH(T$139, lmic_raw_lb[#Headers],0))=0, INDEX(regions_lb[], MATCH($D275, regions_lb[[setting]:[setting]],0), MATCH(T$139, regions_lb[#Headers],0)),INDEX(lmic_raw_lb[],MATCH($A275,lmic_raw_lb[[setting]:[setting]],0), MATCH(T$139, lmic_raw_lb[#Headers],0)))</f>
        <v>73.779375000000002</v>
      </c>
      <c r="U275" s="84">
        <f>IF(INDEX(lmic_raw_lb[],MATCH($A275,lmic_raw_lb[[setting]:[setting]],0), MATCH(U$139, lmic_raw_lb[#Headers],0))=0, INDEX(regions_lb[], MATCH($D275, regions_lb[[setting]:[setting]],0), MATCH(U$139, regions_lb[#Headers],0)),INDEX(lmic_raw_lb[],MATCH($A275,lmic_raw_lb[[setting]:[setting]],0), MATCH(U$139, lmic_raw_lb[#Headers],0)))</f>
        <v>73.779375000000002</v>
      </c>
      <c r="V275" s="84">
        <f>IF(INDEX(lmic_raw_lb[],MATCH($A275,lmic_raw_lb[[setting]:[setting]],0), MATCH(V$139, lmic_raw_lb[#Headers],0))=0, INDEX(regions_lb[], MATCH($D275, regions_lb[[setting]:[setting]],0), MATCH(V$139, regions_lb[#Headers],0)),INDEX(lmic_raw_lb[],MATCH($A275,lmic_raw_lb[[setting]:[setting]],0), MATCH(V$139, lmic_raw_lb[#Headers],0)))</f>
        <v>1.4723566768889571</v>
      </c>
      <c r="W275" s="84">
        <f>IF(INDEX(lmic_raw_lb[],MATCH($A275,lmic_raw_lb[[setting]:[setting]],0), MATCH(W$139, lmic_raw_lb[#Headers],0))=0, INDEX(regions_lb[], MATCH($D275, regions_lb[[setting]:[setting]],0), MATCH(W$139, regions_lb[#Headers],0)),INDEX(lmic_raw_lb[],MATCH($A275,lmic_raw_lb[[setting]:[setting]],0), MATCH(W$139, lmic_raw_lb[#Headers],0)))</f>
        <v>6.0596216768889573</v>
      </c>
      <c r="X275" s="84">
        <f>IF(INDEX(lmic_raw_lb[],MATCH($A275,lmic_raw_lb[[setting]:[setting]],0), MATCH(X$139, lmic_raw_lb[#Headers],0))=0, INDEX(regions_lb[], MATCH($D275, regions_lb[[setting]:[setting]],0), MATCH(X$139, regions_lb[#Headers],0)),INDEX(lmic_raw_lb[],MATCH($A275,lmic_raw_lb[[setting]:[setting]],0), MATCH(X$139, lmic_raw_lb[#Headers],0)))</f>
        <v>1.1069439316245939</v>
      </c>
      <c r="Y275" s="84">
        <f>IF(INDEX(lmic_raw_lb[],MATCH($A275,lmic_raw_lb[[setting]:[setting]],0), MATCH(Y$139, lmic_raw_lb[#Headers],0))=0, INDEX(regions_lb[], MATCH($D275, regions_lb[[setting]:[setting]],0), MATCH(Y$139, regions_lb[#Headers],0)),INDEX(lmic_raw_lb[],MATCH($A275,lmic_raw_lb[[setting]:[setting]],0), MATCH(Y$139, lmic_raw_lb[#Headers],0)))</f>
        <v>5.6942089316245941</v>
      </c>
      <c r="Z275" s="84">
        <f>IF(INDEX(lmic_raw_lb[],MATCH($A275,lmic_raw_lb[[setting]:[setting]],0), MATCH(Z$139, lmic_raw_lb[#Headers],0))=0, INDEX(regions_lb[], MATCH($D275, regions_lb[[setting]:[setting]],0), MATCH(Z$139, regions_lb[#Headers],0)),INDEX(lmic_raw_lb[],MATCH($A275,lmic_raw_lb[[setting]:[setting]],0), MATCH(Z$139, lmic_raw_lb[#Headers],0)))</f>
        <v>5.6920760850188534</v>
      </c>
      <c r="AA275" s="84">
        <f>IF(INDEX(lmic_raw_lb[],MATCH($A275,lmic_raw_lb[[setting]:[setting]],0), MATCH(AA$139, lmic_raw_lb[#Headers],0))=0, INDEX(regions_lb[], MATCH($D275, regions_lb[[setting]:[setting]],0), MATCH(AA$139, regions_lb[#Headers],0)),INDEX(lmic_raw_lb[],MATCH($A275,lmic_raw_lb[[setting]:[setting]],0), MATCH(AA$139, lmic_raw_lb[#Headers],0)))</f>
        <v>1.6836036708093249</v>
      </c>
      <c r="AB275" s="84">
        <f>IF(INDEX(lmic_raw_lb[],MATCH($A275,lmic_raw_lb[[setting]:[setting]],0), MATCH(AB$139, lmic_raw_lb[#Headers],0))=0, INDEX(regions_lb[], MATCH($D275, regions_lb[[setting]:[setting]],0), MATCH(AB$139, regions_lb[#Headers],0)),INDEX(lmic_raw_lb[],MATCH($A275,lmic_raw_lb[[setting]:[setting]],0), MATCH(AB$139, lmic_raw_lb[#Headers],0)))</f>
        <v>6.2708686708093255</v>
      </c>
      <c r="AC275" s="84">
        <f>IF(INDEX(lmic_raw_lb[],MATCH($A275,lmic_raw_lb[[setting]:[setting]],0), MATCH(AC$139, lmic_raw_lb[#Headers],0))=0, INDEX(regions_lb[], MATCH($D275, regions_lb[[setting]:[setting]],0), MATCH(AC$139, regions_lb[#Headers],0)),INDEX(lmic_raw_lb[],MATCH($A275,lmic_raw_lb[[setting]:[setting]],0), MATCH(AC$139, lmic_raw_lb[#Headers],0)))</f>
        <v>3.6818684499999976E-2</v>
      </c>
      <c r="AD275" s="84">
        <f>IF(INDEX(lmic_raw_lb[],MATCH($A275,lmic_raw_lb[[setting]:[setting]],0), MATCH(AD$139, lmic_raw_lb[#Headers],0))=0, INDEX(regions_lb[], MATCH($D275, regions_lb[[setting]:[setting]],0), MATCH(AD$139, regions_lb[#Headers],0)),INDEX(lmic_raw_lb[],MATCH($A275,lmic_raw_lb[[setting]:[setting]],0), MATCH(AD$139, lmic_raw_lb[#Headers],0)))</f>
        <v>3.090046024654995E-3</v>
      </c>
      <c r="AE275" s="84">
        <f>IF(INDEX(lmic_raw_lb[],MATCH($A275,lmic_raw_lb[[setting]:[setting]],0), MATCH(AE$139, lmic_raw_lb[#Headers],0))=0, INDEX(regions_lb[], MATCH($D275, regions_lb[[setting]:[setting]],0), MATCH(AE$139, regions_lb[#Headers],0)),INDEX(lmic_raw_lb[],MATCH($A275,lmic_raw_lb[[setting]:[setting]],0), MATCH(AE$139, lmic_raw_lb[#Headers],0)))</f>
        <v>1.0106596240969069E-3</v>
      </c>
      <c r="AF275" s="84">
        <f>IF(INDEX(lmic_raw_lb[],MATCH($A275,lmic_raw_lb[[setting]:[setting]],0), MATCH(AF$139, lmic_raw_lb[#Headers],0))=0, INDEX(regions_lb[], MATCH($D275, regions_lb[[setting]:[setting]],0), MATCH(AF$139, regions_lb[#Headers],0)),INDEX(lmic_raw_lb[],MATCH($A275,lmic_raw_lb[[setting]:[setting]],0), MATCH(AF$139, lmic_raw_lb[#Headers],0)))</f>
        <v>8.6507149526702945E-4</v>
      </c>
      <c r="AG275" s="84">
        <f>IF(INDEX(lmic_raw_lb[],MATCH($A275,lmic_raw_lb[[setting]:[setting]],0), MATCH(AG$139, lmic_raw_lb[#Headers],0))=0, INDEX(regions_lb[], MATCH($D275, regions_lb[[setting]:[setting]],0), MATCH(AG$139, regions_lb[#Headers],0)),INDEX(lmic_raw_lb[],MATCH($A275,lmic_raw_lb[[setting]:[setting]],0), MATCH(AG$139, lmic_raw_lb[#Headers],0)))</f>
        <v>1.4921327829485998E-3</v>
      </c>
      <c r="AH275" s="84">
        <f>IF(INDEX(lmic_raw_lb[],MATCH($A275,lmic_raw_lb[[setting]:[setting]],0), MATCH(AH$139, lmic_raw_lb[#Headers],0))=0, INDEX(regions_lb[], MATCH($D275, regions_lb[[setting]:[setting]],0), MATCH(AH$139, regions_lb[#Headers],0)),INDEX(lmic_raw_lb[],MATCH($A275,lmic_raw_lb[[setting]:[setting]],0), MATCH(AH$139, lmic_raw_lb[#Headers],0)))</f>
        <v>2.6935490537055309E-3</v>
      </c>
      <c r="AI275" s="84">
        <f>IF(INDEX(lmic_raw_lb[],MATCH($A275,lmic_raw_lb[[setting]:[setting]],0), MATCH(AI$139, lmic_raw_lb[#Headers],0))=0, INDEX(regions_lb[], MATCH($D275, regions_lb[[setting]:[setting]],0), MATCH(AI$139, regions_lb[#Headers],0)),INDEX(lmic_raw_lb[],MATCH($A275,lmic_raw_lb[[setting]:[setting]],0), MATCH(AI$139, lmic_raw_lb[#Headers],0)))</f>
        <v>4.5804480051907645E-3</v>
      </c>
      <c r="AJ275" s="84">
        <f>IF(INDEX(lmic_raw_lb[],MATCH($A275,lmic_raw_lb[[setting]:[setting]],0), MATCH(AJ$139, lmic_raw_lb[#Headers],0))=0, INDEX(regions_lb[], MATCH($D275, regions_lb[[setting]:[setting]],0), MATCH(AJ$139, regions_lb[#Headers],0)),INDEX(lmic_raw_lb[],MATCH($A275,lmic_raw_lb[[setting]:[setting]],0), MATCH(AJ$139, lmic_raw_lb[#Headers],0)))</f>
        <v>6.5483305384408993E-3</v>
      </c>
      <c r="AK275" s="84">
        <f>IF(INDEX(lmic_raw_lb[],MATCH($A275,lmic_raw_lb[[setting]:[setting]],0), MATCH(AK$139, lmic_raw_lb[#Headers],0))=0, INDEX(regions_lb[], MATCH($D275, regions_lb[[setting]:[setting]],0), MATCH(AK$139, regions_lb[#Headers],0)),INDEX(lmic_raw_lb[],MATCH($A275,lmic_raw_lb[[setting]:[setting]],0), MATCH(AK$139, lmic_raw_lb[#Headers],0)))</f>
        <v>9.2020068370745143E-3</v>
      </c>
      <c r="AL275" s="84">
        <f>IF(INDEX(lmic_raw_lb[],MATCH($A275,lmic_raw_lb[[setting]:[setting]],0), MATCH(AL$139, lmic_raw_lb[#Headers],0))=0, INDEX(regions_lb[], MATCH($D275, regions_lb[[setting]:[setting]],0), MATCH(AL$139, regions_lb[#Headers],0)),INDEX(lmic_raw_lb[],MATCH($A275,lmic_raw_lb[[setting]:[setting]],0), MATCH(AL$139, lmic_raw_lb[#Headers],0)))</f>
        <v>1.075725602965236E-2</v>
      </c>
      <c r="AM275" s="84">
        <f>IF(INDEX(lmic_raw_lb[],MATCH($A275,lmic_raw_lb[[setting]:[setting]],0), MATCH(AM$139, lmic_raw_lb[#Headers],0))=0, INDEX(regions_lb[], MATCH($D275, regions_lb[[setting]:[setting]],0), MATCH(AM$139, regions_lb[#Headers],0)),INDEX(lmic_raw_lb[],MATCH($A275,lmic_raw_lb[[setting]:[setting]],0), MATCH(AM$139, lmic_raw_lb[#Headers],0)))</f>
        <v>1.2731019755388451E-2</v>
      </c>
      <c r="AN275" s="84">
        <f>IF(INDEX(lmic_raw_lb[],MATCH($A275,lmic_raw_lb[[setting]:[setting]],0), MATCH(AN$139, lmic_raw_lb[#Headers],0))=0, INDEX(regions_lb[], MATCH($D275, regions_lb[[setting]:[setting]],0), MATCH(AN$139, regions_lb[#Headers],0)),INDEX(lmic_raw_lb[],MATCH($A275,lmic_raw_lb[[setting]:[setting]],0), MATCH(AN$139, lmic_raw_lb[#Headers],0)))</f>
        <v>1.5229751703488486E-2</v>
      </c>
      <c r="AO275" s="84">
        <f>IF(INDEX(lmic_raw_lb[],MATCH($A275,lmic_raw_lb[[setting]:[setting]],0), MATCH(AO$139, lmic_raw_lb[#Headers],0))=0, INDEX(regions_lb[], MATCH($D275, regions_lb[[setting]:[setting]],0), MATCH(AO$139, regions_lb[#Headers],0)),INDEX(lmic_raw_lb[],MATCH($A275,lmic_raw_lb[[setting]:[setting]],0), MATCH(AO$139, lmic_raw_lb[#Headers],0)))</f>
        <v>1.8199726763003399E-2</v>
      </c>
      <c r="AP275" s="84">
        <f>IF(INDEX(lmic_raw_lb[],MATCH($A275,lmic_raw_lb[[setting]:[setting]],0), MATCH(AP$139, lmic_raw_lb[#Headers],0))=0, INDEX(regions_lb[], MATCH($D275, regions_lb[[setting]:[setting]],0), MATCH(AP$139, regions_lb[#Headers],0)),INDEX(lmic_raw_lb[],MATCH($A275,lmic_raw_lb[[setting]:[setting]],0), MATCH(AP$139, lmic_raw_lb[#Headers],0)))</f>
        <v>2.3601311592989591E-2</v>
      </c>
      <c r="AQ275" s="84">
        <f>IF(INDEX(lmic_raw_lb[],MATCH($A275,lmic_raw_lb[[setting]:[setting]],0), MATCH(AQ$139, lmic_raw_lb[#Headers],0))=0, INDEX(regions_lb[], MATCH($D275, regions_lb[[setting]:[setting]],0), MATCH(AQ$139, regions_lb[#Headers],0)),INDEX(lmic_raw_lb[],MATCH($A275,lmic_raw_lb[[setting]:[setting]],0), MATCH(AQ$139, lmic_raw_lb[#Headers],0)))</f>
        <v>3.2661488134387733E-2</v>
      </c>
      <c r="AR275" s="84">
        <f>IF(INDEX(lmic_raw_lb[],MATCH($A275,lmic_raw_lb[[setting]:[setting]],0), MATCH(AR$139, lmic_raw_lb[#Headers],0))=0, INDEX(regions_lb[], MATCH($D275, regions_lb[[setting]:[setting]],0), MATCH(AR$139, regions_lb[#Headers],0)),INDEX(lmic_raw_lb[],MATCH($A275,lmic_raw_lb[[setting]:[setting]],0), MATCH(AR$139, lmic_raw_lb[#Headers],0)))</f>
        <v>4.6813186443857104E-2</v>
      </c>
      <c r="AS275" s="84">
        <f>IF(INDEX(lmic_raw_lb[],MATCH($A275,lmic_raw_lb[[setting]:[setting]],0), MATCH(AS$139, lmic_raw_lb[#Headers],0))=0, INDEX(regions_lb[], MATCH($D275, regions_lb[[setting]:[setting]],0), MATCH(AS$139, regions_lb[#Headers],0)),INDEX(lmic_raw_lb[],MATCH($A275,lmic_raw_lb[[setting]:[setting]],0), MATCH(AS$139, lmic_raw_lb[#Headers],0)))</f>
        <v>6.74516310796823E-2</v>
      </c>
      <c r="AT275" s="84">
        <f>IF(INDEX(lmic_raw_lb[],MATCH($A275,lmic_raw_lb[[setting]:[setting]],0), MATCH(AT$139, lmic_raw_lb[#Headers],0))=0, INDEX(regions_lb[], MATCH($D275, regions_lb[[setting]:[setting]],0), MATCH(AT$139, regions_lb[#Headers],0)),INDEX(lmic_raw_lb[],MATCH($A275,lmic_raw_lb[[setting]:[setting]],0), MATCH(AT$139, lmic_raw_lb[#Headers],0)))</f>
        <v>9.8729485092936331E-2</v>
      </c>
      <c r="AU275" s="84">
        <f>IF(INDEX(lmic_raw_lb[],MATCH($A275,lmic_raw_lb[[setting]:[setting]],0), MATCH(AU$139, lmic_raw_lb[#Headers],0))=0, INDEX(regions_lb[], MATCH($D275, regions_lb[[setting]:[setting]],0), MATCH(AU$139, regions_lb[#Headers],0)),INDEX(lmic_raw_lb[],MATCH($A275,lmic_raw_lb[[setting]:[setting]],0), MATCH(AU$139, lmic_raw_lb[#Headers],0)))</f>
        <v>0.135880447770445</v>
      </c>
      <c r="AV275" s="84">
        <f>IF(INDEX(lmic_raw_lb[],MATCH($A275,lmic_raw_lb[[setting]:[setting]],0), MATCH(AV$139, lmic_raw_lb[#Headers],0))=0, INDEX(regions_lb[], MATCH($D275, regions_lb[[setting]:[setting]],0), MATCH(AV$139, regions_lb[#Headers],0)),INDEX(lmic_raw_lb[],MATCH($A275,lmic_raw_lb[[setting]:[setting]],0), MATCH(AV$139, lmic_raw_lb[#Headers],0)))</f>
        <v>0.16504542734609509</v>
      </c>
      <c r="AW275" s="84">
        <f>IF(INDEX(lmic_raw_lb[],MATCH($A275,lmic_raw_lb[[setting]:[setting]],0), MATCH(AW$139, lmic_raw_lb[#Headers],0))=0, INDEX(regions_lb[], MATCH($D275, regions_lb[[setting]:[setting]],0), MATCH(AW$139, regions_lb[#Headers],0)),INDEX(lmic_raw_lb[],MATCH($A275,lmic_raw_lb[[setting]:[setting]],0), MATCH(AW$139, lmic_raw_lb[#Headers],0)))</f>
        <v>0.17631480145230166</v>
      </c>
      <c r="AX275" s="84">
        <f>IF(INDEX(lmic_raw_lb[],MATCH($A275,lmic_raw_lb[[setting]:[setting]],0), MATCH(AX$139, lmic_raw_lb[#Headers],0))=0, INDEX(regions_lb[], MATCH($D275, regions_lb[[setting]:[setting]],0), MATCH(AX$139, regions_lb[#Headers],0)),INDEX(lmic_raw_lb[],MATCH($A275,lmic_raw_lb[[setting]:[setting]],0), MATCH(AX$139, lmic_raw_lb[#Headers],0)))</f>
        <v>57.791349999999994</v>
      </c>
      <c r="AY275" s="84" t="str">
        <f>IF(VLOOKUP(lmics_lb[[#This Row],[setting]],lmic_raw_lb[],11,FALSE)=0, "Yes", "No")</f>
        <v>Yes</v>
      </c>
    </row>
    <row r="277" spans="1:51" x14ac:dyDescent="0.25">
      <c r="A277" s="80" t="s">
        <v>668</v>
      </c>
      <c r="B277" s="80" t="s">
        <v>571</v>
      </c>
      <c r="C277" s="80" t="s">
        <v>669</v>
      </c>
      <c r="D277" s="80" t="s">
        <v>670</v>
      </c>
      <c r="E277" s="80" t="s">
        <v>575</v>
      </c>
      <c r="F277" s="80" t="s">
        <v>671</v>
      </c>
      <c r="G277" s="80" t="s">
        <v>672</v>
      </c>
      <c r="H277" s="108" t="s">
        <v>685</v>
      </c>
      <c r="I277" s="108" t="s">
        <v>686</v>
      </c>
      <c r="J277" s="108" t="s">
        <v>687</v>
      </c>
      <c r="K277" s="108" t="s">
        <v>688</v>
      </c>
      <c r="L277" s="108" t="s">
        <v>689</v>
      </c>
      <c r="M277" s="108" t="s">
        <v>690</v>
      </c>
      <c r="N277" s="108" t="s">
        <v>691</v>
      </c>
      <c r="O277" s="108" t="s">
        <v>657</v>
      </c>
      <c r="P277" s="108" t="s">
        <v>660</v>
      </c>
      <c r="Q277" s="108" t="s">
        <v>692</v>
      </c>
      <c r="R277" s="108" t="s">
        <v>693</v>
      </c>
      <c r="S277" s="108" t="s">
        <v>694</v>
      </c>
      <c r="T277" s="108" t="s">
        <v>695</v>
      </c>
      <c r="U277" s="108" t="s">
        <v>696</v>
      </c>
      <c r="V277" s="108" t="s">
        <v>697</v>
      </c>
      <c r="W277" s="108" t="s">
        <v>698</v>
      </c>
      <c r="X277" s="108" t="s">
        <v>699</v>
      </c>
      <c r="Y277" s="108" t="s">
        <v>700</v>
      </c>
      <c r="Z277" s="108" t="s">
        <v>701</v>
      </c>
      <c r="AA277" s="108" t="s">
        <v>702</v>
      </c>
      <c r="AB277" s="108" t="s">
        <v>703</v>
      </c>
      <c r="AC277" s="80" t="s">
        <v>544</v>
      </c>
      <c r="AD277" s="80" t="s">
        <v>545</v>
      </c>
      <c r="AE277" s="80" t="s">
        <v>546</v>
      </c>
      <c r="AF277" s="80" t="s">
        <v>547</v>
      </c>
      <c r="AG277" s="80" t="s">
        <v>548</v>
      </c>
      <c r="AH277" s="80" t="s">
        <v>549</v>
      </c>
      <c r="AI277" s="80" t="s">
        <v>550</v>
      </c>
      <c r="AJ277" s="80" t="s">
        <v>551</v>
      </c>
      <c r="AK277" s="80" t="s">
        <v>552</v>
      </c>
      <c r="AL277" s="80" t="s">
        <v>553</v>
      </c>
      <c r="AM277" s="80" t="s">
        <v>554</v>
      </c>
      <c r="AN277" s="80" t="s">
        <v>555</v>
      </c>
      <c r="AO277" s="80" t="s">
        <v>556</v>
      </c>
      <c r="AP277" s="80" t="s">
        <v>557</v>
      </c>
      <c r="AQ277" s="80" t="s">
        <v>558</v>
      </c>
      <c r="AR277" s="80" t="s">
        <v>559</v>
      </c>
      <c r="AS277" s="80" t="s">
        <v>560</v>
      </c>
      <c r="AT277" s="80" t="s">
        <v>561</v>
      </c>
      <c r="AU277" s="80" t="s">
        <v>562</v>
      </c>
      <c r="AV277" s="80" t="s">
        <v>563</v>
      </c>
      <c r="AW277" s="80" t="s">
        <v>564</v>
      </c>
      <c r="AX277" s="108" t="s">
        <v>704</v>
      </c>
      <c r="AY277" s="108" t="s">
        <v>725</v>
      </c>
    </row>
    <row r="278" spans="1:51" x14ac:dyDescent="0.25">
      <c r="A278" s="109" t="s">
        <v>191</v>
      </c>
      <c r="B278" s="101" t="s">
        <v>369</v>
      </c>
      <c r="C278" s="102">
        <v>4</v>
      </c>
      <c r="D278" s="82" t="s">
        <v>673</v>
      </c>
      <c r="E278" s="82" t="s">
        <v>579</v>
      </c>
      <c r="F278" s="82" t="s">
        <v>579</v>
      </c>
      <c r="G278" s="82" t="s">
        <v>674</v>
      </c>
      <c r="J278" s="84">
        <f>IF(INDEX(lmic_raw_ub[],MATCH($A278,lmic_raw_ub[[setting]:[setting]],0), MATCH(J$277, lmic_raw_ub[#Headers],0))=0, INDEX(regions_ub[], MATCH($D278, regions_ub[[setting]:[setting]],0), MATCH(J$139, regions_ub[#Headers],0)),INDEX(lmic_raw_ub[],MATCH($A278,lmic_raw_ub[[setting]:[setting]],0), MATCH(J$277, lmic_raw_ub[#Headers],0)))</f>
        <v>0.59114999999999995</v>
      </c>
      <c r="K278" s="84">
        <f>IF(INDEX(lmic_raw_ub[],MATCH($A278,lmic_raw_ub[[setting]:[setting]],0), MATCH(K$277, lmic_raw_ub[#Headers],0))=0, INDEX(regions_ub[], MATCH($D278, regions_ub[[setting]:[setting]],0), MATCH(K$139, regions_ub[#Headers],0)),INDEX(lmic_raw_ub[],MATCH($A278,lmic_raw_ub[[setting]:[setting]],0), MATCH(K$277, lmic_raw_ub[#Headers],0)))</f>
        <v>0.38850000000000001</v>
      </c>
      <c r="L278" s="84">
        <f>IF(INDEX(lmic_raw_ub[],MATCH($A278,lmic_raw_ub[[setting]:[setting]],0), MATCH(L$277, lmic_raw_ub[#Headers],0))=0, INDEX(regions_ub[], MATCH($D278, regions_ub[[setting]:[setting]],0), MATCH(L$139, regions_ub[#Headers],0)),INDEX(lmic_raw_ub[],MATCH($A278,lmic_raw_ub[[setting]:[setting]],0), MATCH(L$277, lmic_raw_ub[#Headers],0)))</f>
        <v>0.69300000000000006</v>
      </c>
      <c r="M278" s="84">
        <f>IF(INDEX(lmic_raw_ub[],MATCH($A278,lmic_raw_ub[[setting]:[setting]],0), MATCH(M$277, lmic_raw_ub[#Headers],0))=0, INDEX(regions_ub[], MATCH($D278, regions_ub[[setting]:[setting]],0), MATCH(M$139, regions_ub[#Headers],0)),INDEX(lmic_raw_ub[],MATCH($A278,lmic_raw_ub[[setting]:[setting]],0), MATCH(M$277, lmic_raw_ub[#Headers],0)))</f>
        <v>1.61E-2</v>
      </c>
      <c r="N278" s="84">
        <f>IF(INDEX(lmic_raw_ub[],MATCH($A278,lmic_raw_ub[[setting]:[setting]],0), MATCH(N$277, lmic_raw_ub[#Headers],0))=0, INDEX(regions_ub[], MATCH($D278, regions_ub[[setting]:[setting]],0), MATCH(N$139, regions_ub[#Headers],0)),INDEX(lmic_raw_ub[],MATCH($A278,lmic_raw_ub[[setting]:[setting]],0), MATCH(N$277, lmic_raw_ub[#Headers],0)))</f>
        <v>0.37619999999999998</v>
      </c>
      <c r="O278" s="84">
        <f>IF(INDEX(lmic_raw_ub[],MATCH($A278,lmic_raw_ub[[setting]:[setting]],0), MATCH(O$277, lmic_raw_ub[#Headers],0))=0, INDEX(regions_ub[], MATCH($D278, regions_ub[[setting]:[setting]],0), MATCH(O$139, regions_ub[#Headers],0)),INDEX(lmic_raw_ub[],MATCH($A278,lmic_raw_ub[[setting]:[setting]],0), MATCH(O$277, lmic_raw_ub[#Headers],0)))</f>
        <v>0.9</v>
      </c>
      <c r="P278" s="84">
        <f>IF(INDEX(lmic_raw_ub[],MATCH($A278,lmic_raw_ub[[setting]:[setting]],0), MATCH(P$277, lmic_raw_ub[#Headers],0))=0, INDEX(regions_ub[], MATCH($D278, regions_ub[[setting]:[setting]],0), MATCH(P$139, regions_ub[#Headers],0)),INDEX(lmic_raw_ub[],MATCH($A278,lmic_raw_ub[[setting]:[setting]],0), MATCH(P$277, lmic_raw_ub[#Headers],0)))</f>
        <v>0.3</v>
      </c>
      <c r="Q278" s="84">
        <f>IF(INDEX(lmic_raw_ub[],MATCH($A278,lmic_raw_ub[[setting]:[setting]],0), MATCH(Q$277, lmic_raw_ub[#Headers],0))=0, INDEX(regions_ub[], MATCH($D278, regions_ub[[setting]:[setting]],0), MATCH(Q$139, regions_ub[#Headers],0)),INDEX(lmic_raw_ub[],MATCH($A278,lmic_raw_ub[[setting]:[setting]],0), MATCH(Q$277, lmic_raw_ub[#Headers],0)))</f>
        <v>2.4173023610811466</v>
      </c>
      <c r="R278" s="84">
        <f>IF(INDEX(lmic_raw_ub[],MATCH($A278,lmic_raw_ub[[setting]:[setting]],0), MATCH(R$277, lmic_raw_ub[#Headers],0))=0, INDEX(regions_ub[], MATCH($D278, regions_ub[[setting]:[setting]],0), MATCH(R$139, regions_ub[#Headers],0)),INDEX(lmic_raw_ub[],MATCH($A278,lmic_raw_ub[[setting]:[setting]],0), MATCH(R$277, lmic_raw_ub[#Headers],0)))</f>
        <v>48.652695000000001</v>
      </c>
      <c r="S278" s="84">
        <f>IF(INDEX(lmic_raw_ub[],MATCH($A278,lmic_raw_ub[[setting]:[setting]],0), MATCH(S$277, lmic_raw_ub[#Headers],0))=0, INDEX(regions_ub[], MATCH($D278, regions_ub[[setting]:[setting]],0), MATCH(S$139, regions_ub[#Headers],0)),INDEX(lmic_raw_ub[],MATCH($A278,lmic_raw_ub[[setting]:[setting]],0), MATCH(S$277, lmic_raw_ub[#Headers],0)))</f>
        <v>98.781795000000017</v>
      </c>
      <c r="T278" s="84">
        <f>IF(INDEX(lmic_raw_ub[],MATCH($A278,lmic_raw_ub[[setting]:[setting]],0), MATCH(T$277, lmic_raw_ub[#Headers],0))=0, INDEX(regions_ub[], MATCH($D278, regions_ub[[setting]:[setting]],0), MATCH(T$139, regions_ub[#Headers],0)),INDEX(lmic_raw_ub[],MATCH($A278,lmic_raw_ub[[setting]:[setting]],0), MATCH(T$277, lmic_raw_ub[#Headers],0)))</f>
        <v>98.781795000000017</v>
      </c>
      <c r="U278" s="84">
        <f>IF(INDEX(lmic_raw_ub[],MATCH($A278,lmic_raw_ub[[setting]:[setting]],0), MATCH(U$277, lmic_raw_ub[#Headers],0))=0, INDEX(regions_ub[], MATCH($D278, regions_ub[[setting]:[setting]],0), MATCH(U$139, regions_ub[#Headers],0)),INDEX(lmic_raw_ub[],MATCH($A278,lmic_raw_ub[[setting]:[setting]],0), MATCH(U$277, lmic_raw_ub[#Headers],0)))</f>
        <v>98.781795000000017</v>
      </c>
      <c r="V278" s="84">
        <f>IF(INDEX(lmic_raw_ub[],MATCH($A278,lmic_raw_ub[[setting]:[setting]],0), MATCH(V$277, lmic_raw_ub[#Headers],0))=0, INDEX(regions_ub[], MATCH($D278, regions_ub[[setting]:[setting]],0), MATCH(V$139, regions_ub[#Headers],0)),INDEX(lmic_raw_ub[],MATCH($A278,lmic_raw_ub[[setting]:[setting]],0), MATCH(V$277, lmic_raw_ub[#Headers],0)))</f>
        <v>2.5845550373465871</v>
      </c>
      <c r="W278" s="84">
        <f>IF(INDEX(lmic_raw_ub[],MATCH($A278,lmic_raw_ub[[setting]:[setting]],0), MATCH(W$277, lmic_raw_ub[#Headers],0))=0, INDEX(regions_ub[], MATCH($D278, regions_ub[[setting]:[setting]],0), MATCH(W$139, regions_ub[#Headers],0)),INDEX(lmic_raw_ub[],MATCH($A278,lmic_raw_ub[[setting]:[setting]],0), MATCH(W$277, lmic_raw_ub[#Headers],0)))</f>
        <v>3.088135037346587</v>
      </c>
      <c r="X278" s="84">
        <f>IF(INDEX(lmic_raw_ub[],MATCH($A278,lmic_raw_ub[[setting]:[setting]],0), MATCH(X$277, lmic_raw_ub[#Headers],0))=0, INDEX(regions_ub[], MATCH($D278, regions_ub[[setting]:[setting]],0), MATCH(X$139, regions_ub[#Headers],0)),INDEX(lmic_raw_ub[],MATCH($A278,lmic_raw_ub[[setting]:[setting]],0), MATCH(X$277, lmic_raw_ub[#Headers],0)))</f>
        <v>2.0919585983801858</v>
      </c>
      <c r="Y278" s="84">
        <f>IF(INDEX(lmic_raw_ub[],MATCH($A278,lmic_raw_ub[[setting]:[setting]],0), MATCH(Y$277, lmic_raw_ub[#Headers],0))=0, INDEX(regions_ub[], MATCH($D278, regions_ub[[setting]:[setting]],0), MATCH(Y$139, regions_ub[#Headers],0)),INDEX(lmic_raw_ub[],MATCH($A278,lmic_raw_ub[[setting]:[setting]],0), MATCH(Y$277, lmic_raw_ub[#Headers],0)))</f>
        <v>2.5955385983801857</v>
      </c>
      <c r="Z278" s="84">
        <f>IF(INDEX(lmic_raw_ub[],MATCH($A278,lmic_raw_ub[[setting]:[setting]],0), MATCH(Z$277, lmic_raw_ub[#Headers],0))=0, INDEX(regions_ub[], MATCH($D278, regions_ub[[setting]:[setting]],0), MATCH(Z$139, regions_ub[#Headers],0)),INDEX(lmic_raw_ub[],MATCH($A278,lmic_raw_ub[[setting]:[setting]],0), MATCH(Z$277, lmic_raw_ub[#Headers],0)))</f>
        <v>2.589970995981254</v>
      </c>
      <c r="AA278" s="84">
        <f>IF(INDEX(lmic_raw_ub[],MATCH($A278,lmic_raw_ub[[setting]:[setting]],0), MATCH(AA$277, lmic_raw_ub[#Headers],0))=0, INDEX(regions_ub[], MATCH($D278, regions_ub[[setting]:[setting]],0), MATCH(AA$139, regions_ub[#Headers],0)),INDEX(lmic_raw_ub[],MATCH($A278,lmic_raw_ub[[setting]:[setting]],0), MATCH(AA$277, lmic_raw_ub[#Headers],0)))</f>
        <v>2.8524458517311317</v>
      </c>
      <c r="AB278" s="84">
        <f>IF(INDEX(lmic_raw_ub[],MATCH($A278,lmic_raw_ub[[setting]:[setting]],0), MATCH(AB$277, lmic_raw_ub[#Headers],0))=0, INDEX(regions_ub[], MATCH($D278, regions_ub[[setting]:[setting]],0), MATCH(AB$139, regions_ub[#Headers],0)),INDEX(lmic_raw_ub[],MATCH($A278,lmic_raw_ub[[setting]:[setting]],0), MATCH(AB$277, lmic_raw_ub[#Headers],0)))</f>
        <v>3.3560258517311317</v>
      </c>
      <c r="AC278" s="84">
        <f>IF(INDEX(lmic_raw_ub[],MATCH($A278,lmic_raw_ub[[setting]:[setting]],0), MATCH(AC$277, lmic_raw_ub[#Headers],0))=0, INDEX(regions_ub[], MATCH($D278, regions_ub[[setting]:[setting]],0), MATCH(AC$139, regions_ub[#Headers],0)),INDEX(lmic_raw_ub[],MATCH($A278,lmic_raw_ub[[setting]:[setting]],0), MATCH(AC$277, lmic_raw_ub[#Headers],0)))</f>
        <v>5.4291216000000052E-2</v>
      </c>
      <c r="AD278" s="84">
        <f>IF(INDEX(lmic_raw_ub[],MATCH($A278,lmic_raw_ub[[setting]:[setting]],0), MATCH(AD$277, lmic_raw_ub[#Headers],0))=0, INDEX(regions_ub[], MATCH($D278, regions_ub[[setting]:[setting]],0), MATCH(AD$139, regions_ub[#Headers],0)),INDEX(lmic_raw_ub[],MATCH($A278,lmic_raw_ub[[setting]:[setting]],0), MATCH(AD$277, lmic_raw_ub[#Headers],0)))</f>
        <v>4.4736446630563925E-3</v>
      </c>
      <c r="AE278" s="84">
        <f>IF(INDEX(lmic_raw_ub[],MATCH($A278,lmic_raw_ub[[setting]:[setting]],0), MATCH(AE$277, lmic_raw_ub[#Headers],0))=0, INDEX(regions_ub[], MATCH($D278, regions_ub[[setting]:[setting]],0), MATCH(AE$139, regions_ub[#Headers],0)),INDEX(lmic_raw_ub[],MATCH($A278,lmic_raw_ub[[setting]:[setting]],0), MATCH(AE$277, lmic_raw_ub[#Headers],0)))</f>
        <v>1.3884924682729519E-3</v>
      </c>
      <c r="AF278" s="84">
        <f>IF(INDEX(lmic_raw_ub[],MATCH($A278,lmic_raw_ub[[setting]:[setting]],0), MATCH(AF$277, lmic_raw_ub[#Headers],0))=0, INDEX(regions_ub[], MATCH($D278, regions_ub[[setting]:[setting]],0), MATCH(AF$139, regions_ub[#Headers],0)),INDEX(lmic_raw_ub[],MATCH($A278,lmic_raw_ub[[setting]:[setting]],0), MATCH(AF$277, lmic_raw_ub[#Headers],0)))</f>
        <v>1.0923600651805371E-3</v>
      </c>
      <c r="AG278" s="84">
        <f>IF(INDEX(lmic_raw_ub[],MATCH($A278,lmic_raw_ub[[setting]:[setting]],0), MATCH(AG$277, lmic_raw_ub[#Headers],0))=0, INDEX(regions_ub[], MATCH($D278, regions_ub[[setting]:[setting]],0), MATCH(AG$139, regions_ub[#Headers],0)),INDEX(lmic_raw_ub[],MATCH($A278,lmic_raw_ub[[setting]:[setting]],0), MATCH(AG$277, lmic_raw_ub[#Headers],0)))</f>
        <v>1.7615115099493964E-3</v>
      </c>
      <c r="AH278" s="84">
        <f>IF(INDEX(lmic_raw_ub[],MATCH($A278,lmic_raw_ub[[setting]:[setting]],0), MATCH(AH$277, lmic_raw_ub[#Headers],0))=0, INDEX(regions_ub[], MATCH($D278, regions_ub[[setting]:[setting]],0), MATCH(AH$139, regions_ub[#Headers],0)),INDEX(lmic_raw_ub[],MATCH($A278,lmic_raw_ub[[setting]:[setting]],0), MATCH(AH$277, lmic_raw_ub[#Headers],0)))</f>
        <v>2.4545452097130454E-3</v>
      </c>
      <c r="AI278" s="84">
        <f>IF(INDEX(lmic_raw_ub[],MATCH($A278,lmic_raw_ub[[setting]:[setting]],0), MATCH(AI$277, lmic_raw_ub[#Headers],0))=0, INDEX(regions_ub[], MATCH($D278, regions_ub[[setting]:[setting]],0), MATCH(AI$139, regions_ub[#Headers],0)),INDEX(lmic_raw_ub[],MATCH($A278,lmic_raw_ub[[setting]:[setting]],0), MATCH(AI$277, lmic_raw_ub[#Headers],0)))</f>
        <v>2.6732823567174801E-3</v>
      </c>
      <c r="AJ278" s="84">
        <f>IF(INDEX(lmic_raw_ub[],MATCH($A278,lmic_raw_ub[[setting]:[setting]],0), MATCH(AJ$277, lmic_raw_ub[#Headers],0))=0, INDEX(regions_ub[], MATCH($D278, regions_ub[[setting]:[setting]],0), MATCH(AJ$139, regions_ub[#Headers],0)),INDEX(lmic_raw_ub[],MATCH($A278,lmic_raw_ub[[setting]:[setting]],0), MATCH(AJ$277, lmic_raw_ub[#Headers],0)))</f>
        <v>3.0601646028533438E-3</v>
      </c>
      <c r="AK278" s="84">
        <f>IF(INDEX(lmic_raw_ub[],MATCH($A278,lmic_raw_ub[[setting]:[setting]],0), MATCH(AK$277, lmic_raw_ub[#Headers],0))=0, INDEX(regions_ub[], MATCH($D278, regions_ub[[setting]:[setting]],0), MATCH(AK$139, regions_ub[#Headers],0)),INDEX(lmic_raw_ub[],MATCH($A278,lmic_raw_ub[[setting]:[setting]],0), MATCH(AK$277, lmic_raw_ub[#Headers],0)))</f>
        <v>3.7894886670088298E-3</v>
      </c>
      <c r="AL278" s="84">
        <f>IF(INDEX(lmic_raw_ub[],MATCH($A278,lmic_raw_ub[[setting]:[setting]],0), MATCH(AL$277, lmic_raw_ub[#Headers],0))=0, INDEX(regions_ub[], MATCH($D278, regions_ub[[setting]:[setting]],0), MATCH(AL$139, regions_ub[#Headers],0)),INDEX(lmic_raw_ub[],MATCH($A278,lmic_raw_ub[[setting]:[setting]],0), MATCH(AL$277, lmic_raw_ub[#Headers],0)))</f>
        <v>5.0029093072891904E-3</v>
      </c>
      <c r="AM278" s="84">
        <f>IF(INDEX(lmic_raw_ub[],MATCH($A278,lmic_raw_ub[[setting]:[setting]],0), MATCH(AM$277, lmic_raw_ub[#Headers],0))=0, INDEX(regions_ub[], MATCH($D278, regions_ub[[setting]:[setting]],0), MATCH(AM$139, regions_ub[#Headers],0)),INDEX(lmic_raw_ub[],MATCH($A278,lmic_raw_ub[[setting]:[setting]],0), MATCH(AM$277, lmic_raw_ub[#Headers],0)))</f>
        <v>7.0028678451799211E-3</v>
      </c>
      <c r="AN278" s="84">
        <f>IF(INDEX(lmic_raw_ub[],MATCH($A278,lmic_raw_ub[[setting]:[setting]],0), MATCH(AN$277, lmic_raw_ub[#Headers],0))=0, INDEX(regions_ub[], MATCH($D278, regions_ub[[setting]:[setting]],0), MATCH(AN$139, regions_ub[#Headers],0)),INDEX(lmic_raw_ub[],MATCH($A278,lmic_raw_ub[[setting]:[setting]],0), MATCH(AN$277, lmic_raw_ub[#Headers],0)))</f>
        <v>1.0196667626605361E-2</v>
      </c>
      <c r="AO278" s="84">
        <f>IF(INDEX(lmic_raw_ub[],MATCH($A278,lmic_raw_ub[[setting]:[setting]],0), MATCH(AO$277, lmic_raw_ub[#Headers],0))=0, INDEX(regions_ub[], MATCH($D278, regions_ub[[setting]:[setting]],0), MATCH(AO$139, regions_ub[#Headers],0)),INDEX(lmic_raw_ub[],MATCH($A278,lmic_raw_ub[[setting]:[setting]],0), MATCH(AO$277, lmic_raw_ub[#Headers],0)))</f>
        <v>1.5035255709653549E-2</v>
      </c>
      <c r="AP278" s="84">
        <f>IF(INDEX(lmic_raw_ub[],MATCH($A278,lmic_raw_ub[[setting]:[setting]],0), MATCH(AP$277, lmic_raw_ub[#Headers],0))=0, INDEX(regions_ub[], MATCH($D278, regions_ub[[setting]:[setting]],0), MATCH(AP$139, regions_ub[#Headers],0)),INDEX(lmic_raw_ub[],MATCH($A278,lmic_raw_ub[[setting]:[setting]],0), MATCH(AP$277, lmic_raw_ub[#Headers],0)))</f>
        <v>2.265522685698812E-2</v>
      </c>
      <c r="AQ278" s="84">
        <f>IF(INDEX(lmic_raw_ub[],MATCH($A278,lmic_raw_ub[[setting]:[setting]],0), MATCH(AQ$277, lmic_raw_ub[#Headers],0))=0, INDEX(regions_ub[], MATCH($D278, regions_ub[[setting]:[setting]],0), MATCH(AQ$139, regions_ub[#Headers],0)),INDEX(lmic_raw_ub[],MATCH($A278,lmic_raw_ub[[setting]:[setting]],0), MATCH(AQ$277, lmic_raw_ub[#Headers],0)))</f>
        <v>3.4122288632465303E-2</v>
      </c>
      <c r="AR278" s="84">
        <f>IF(INDEX(lmic_raw_ub[],MATCH($A278,lmic_raw_ub[[setting]:[setting]],0), MATCH(AR$277, lmic_raw_ub[#Headers],0))=0, INDEX(regions_ub[], MATCH($D278, regions_ub[[setting]:[setting]],0), MATCH(AR$139, regions_ub[#Headers],0)),INDEX(lmic_raw_ub[],MATCH($A278,lmic_raw_ub[[setting]:[setting]],0), MATCH(AR$277, lmic_raw_ub[#Headers],0)))</f>
        <v>5.201871084634372E-2</v>
      </c>
      <c r="AS278" s="84">
        <f>IF(INDEX(lmic_raw_ub[],MATCH($A278,lmic_raw_ub[[setting]:[setting]],0), MATCH(AS$277, lmic_raw_ub[#Headers],0))=0, INDEX(regions_ub[], MATCH($D278, regions_ub[[setting]:[setting]],0), MATCH(AS$139, regions_ub[#Headers],0)),INDEX(lmic_raw_ub[],MATCH($A278,lmic_raw_ub[[setting]:[setting]],0), MATCH(AS$277, lmic_raw_ub[#Headers],0)))</f>
        <v>7.7473330773937699E-2</v>
      </c>
      <c r="AT278" s="84">
        <f>IF(INDEX(lmic_raw_ub[],MATCH($A278,lmic_raw_ub[[setting]:[setting]],0), MATCH(AT$277, lmic_raw_ub[#Headers],0))=0, INDEX(regions_ub[], MATCH($D278, regions_ub[[setting]:[setting]],0), MATCH(AT$139, regions_ub[#Headers],0)),INDEX(lmic_raw_ub[],MATCH($A278,lmic_raw_ub[[setting]:[setting]],0), MATCH(AT$277, lmic_raw_ub[#Headers],0)))</f>
        <v>0.11008928664919644</v>
      </c>
      <c r="AU278" s="84">
        <f>IF(INDEX(lmic_raw_ub[],MATCH($A278,lmic_raw_ub[[setting]:[setting]],0), MATCH(AU$277, lmic_raw_ub[#Headers],0))=0, INDEX(regions_ub[], MATCH($D278, regions_ub[[setting]:[setting]],0), MATCH(AU$139, regions_ub[#Headers],0)),INDEX(lmic_raw_ub[],MATCH($A278,lmic_raw_ub[[setting]:[setting]],0), MATCH(AU$277, lmic_raw_ub[#Headers],0)))</f>
        <v>0.14416872971918321</v>
      </c>
      <c r="AV278" s="84">
        <f>IF(INDEX(lmic_raw_ub[],MATCH($A278,lmic_raw_ub[[setting]:[setting]],0), MATCH(AV$277, lmic_raw_ub[#Headers],0))=0, INDEX(regions_ub[], MATCH($D278, regions_ub[[setting]:[setting]],0), MATCH(AV$139, regions_ub[#Headers],0)),INDEX(lmic_raw_ub[],MATCH($A278,lmic_raw_ub[[setting]:[setting]],0), MATCH(AV$277, lmic_raw_ub[#Headers],0)))</f>
        <v>0.17154248430925337</v>
      </c>
      <c r="AW278" s="84">
        <f>IF(INDEX(lmic_raw_ub[],MATCH($A278,lmic_raw_ub[[setting]:[setting]],0), MATCH(AW$277, lmic_raw_ub[#Headers],0))=0, INDEX(regions_ub[], MATCH($D278, regions_ub[[setting]:[setting]],0), MATCH(AW$139, regions_ub[#Headers],0)),INDEX(lmic_raw_ub[],MATCH($A278,lmic_raw_ub[[setting]:[setting]],0), MATCH(AW$277, lmic_raw_ub[#Headers],0)))</f>
        <v>0.18904832780332212</v>
      </c>
      <c r="AX278" s="84">
        <f>IF(INDEX(lmic_raw_ub[],MATCH($A278,lmic_raw_ub[[setting]:[setting]],0), MATCH(AX$277, lmic_raw_ub[#Headers],0))=0, INDEX(regions_ub[], MATCH($D278, regions_ub[[setting]:[setting]],0), MATCH(AX$139, regions_ub[#Headers],0)),INDEX(lmic_raw_ub[],MATCH($A278,lmic_raw_ub[[setting]:[setting]],0), MATCH(AX$277, lmic_raw_ub[#Headers],0)))</f>
        <v>67.492949999999993</v>
      </c>
      <c r="AY278" s="33" t="str">
        <f>IF(VLOOKUP(lmics_ub[[#This Row],[setting]],lmic_raw_ub[],11,FALSE)=0, "Yes", "No")</f>
        <v>No</v>
      </c>
    </row>
    <row r="279" spans="1:51" x14ac:dyDescent="0.25">
      <c r="A279" s="110" t="s">
        <v>332</v>
      </c>
      <c r="B279" s="104" t="s">
        <v>370</v>
      </c>
      <c r="C279" s="105">
        <v>8</v>
      </c>
      <c r="D279" s="84" t="s">
        <v>675</v>
      </c>
      <c r="E279" s="84" t="s">
        <v>580</v>
      </c>
      <c r="F279" s="84" t="s">
        <v>663</v>
      </c>
      <c r="G279" s="84" t="s">
        <v>676</v>
      </c>
      <c r="J279" s="84">
        <f>IF(INDEX(lmic_raw_ub[],MATCH($A279,lmic_raw_ub[[setting]:[setting]],0), MATCH(J$277, lmic_raw_ub[#Headers],0))=0, INDEX(regions_ub[], MATCH($D279, regions_ub[[setting]:[setting]],0), MATCH(J$139, regions_ub[#Headers],0)),INDEX(lmic_raw_ub[],MATCH($A279,lmic_raw_ub[[setting]:[setting]],0), MATCH(J$277, lmic_raw_ub[#Headers],0)))</f>
        <v>0.99990000000000001</v>
      </c>
      <c r="K279" s="84">
        <f>IF(INDEX(lmic_raw_ub[],MATCH($A279,lmic_raw_ub[[setting]:[setting]],0), MATCH(K$277, lmic_raw_ub[#Headers],0))=0, INDEX(regions_ub[], MATCH($D279, regions_ub[[setting]:[setting]],0), MATCH(K$139, regions_ub[#Headers],0)),INDEX(lmic_raw_ub[],MATCH($A279,lmic_raw_ub[[setting]:[setting]],0), MATCH(K$277, lmic_raw_ub[#Headers],0)))</f>
        <v>0.99990000000000001</v>
      </c>
      <c r="L279" s="84">
        <f>IF(INDEX(lmic_raw_ub[],MATCH($A279,lmic_raw_ub[[setting]:[setting]],0), MATCH(L$277, lmic_raw_ub[#Headers],0))=0, INDEX(regions_ub[], MATCH($D279, regions_ub[[setting]:[setting]],0), MATCH(L$139, regions_ub[#Headers],0)),INDEX(lmic_raw_ub[],MATCH($A279,lmic_raw_ub[[setting]:[setting]],0), MATCH(L$277, lmic_raw_ub[#Headers],0)))</f>
        <v>0.99990000000000001</v>
      </c>
      <c r="M279" s="84">
        <f>IF(INDEX(lmic_raw_ub[],MATCH($A279,lmic_raw_ub[[setting]:[setting]],0), MATCH(M$277, lmic_raw_ub[#Headers],0))=0, INDEX(regions_ub[], MATCH($D279, regions_ub[[setting]:[setting]],0), MATCH(M$139, regions_ub[#Headers],0)),INDEX(lmic_raw_ub[],MATCH($A279,lmic_raw_ub[[setting]:[setting]],0), MATCH(M$277, lmic_raw_ub[#Headers],0)))</f>
        <v>0.1137</v>
      </c>
      <c r="N279" s="84">
        <f>IF(INDEX(lmic_raw_ub[],MATCH($A279,lmic_raw_ub[[setting]:[setting]],0), MATCH(N$277, lmic_raw_ub[#Headers],0))=0, INDEX(regions_ub[], MATCH($D279, regions_ub[[setting]:[setting]],0), MATCH(N$139, regions_ub[#Headers],0)),INDEX(lmic_raw_ub[],MATCH($A279,lmic_raw_ub[[setting]:[setting]],0), MATCH(N$277, lmic_raw_ub[#Headers],0)))</f>
        <v>0.42849999999999999</v>
      </c>
      <c r="O279" s="84">
        <f>IF(INDEX(lmic_raw_ub[],MATCH($A279,lmic_raw_ub[[setting]:[setting]],0), MATCH(O$277, lmic_raw_ub[#Headers],0))=0, INDEX(regions_ub[], MATCH($D279, regions_ub[[setting]:[setting]],0), MATCH(O$139, regions_ub[#Headers],0)),INDEX(lmic_raw_ub[],MATCH($A279,lmic_raw_ub[[setting]:[setting]],0), MATCH(O$277, lmic_raw_ub[#Headers],0)))</f>
        <v>0.9</v>
      </c>
      <c r="P279" s="84">
        <f>IF(INDEX(lmic_raw_ub[],MATCH($A279,lmic_raw_ub[[setting]:[setting]],0), MATCH(P$277, lmic_raw_ub[#Headers],0))=0, INDEX(regions_ub[], MATCH($D279, regions_ub[[setting]:[setting]],0), MATCH(P$139, regions_ub[#Headers],0)),INDEX(lmic_raw_ub[],MATCH($A279,lmic_raw_ub[[setting]:[setting]],0), MATCH(P$277, lmic_raw_ub[#Headers],0)))</f>
        <v>0.3</v>
      </c>
      <c r="Q279" s="84">
        <f>IF(INDEX(lmic_raw_ub[],MATCH($A279,lmic_raw_ub[[setting]:[setting]],0), MATCH(Q$277, lmic_raw_ub[#Headers],0))=0, INDEX(regions_ub[], MATCH($D279, regions_ub[[setting]:[setting]],0), MATCH(Q$139, regions_ub[#Headers],0)),INDEX(lmic_raw_ub[],MATCH($A279,lmic_raw_ub[[setting]:[setting]],0), MATCH(Q$277, lmic_raw_ub[#Headers],0)))</f>
        <v>8.6360911912184282</v>
      </c>
      <c r="R279" s="84">
        <f>IF(INDEX(lmic_raw_ub[],MATCH($A279,lmic_raw_ub[[setting]:[setting]],0), MATCH(R$277, lmic_raw_ub[#Headers],0))=0, INDEX(regions_ub[], MATCH($D279, regions_ub[[setting]:[setting]],0), MATCH(R$139, regions_ub[#Headers],0)),INDEX(lmic_raw_ub[],MATCH($A279,lmic_raw_ub[[setting]:[setting]],0), MATCH(R$277, lmic_raw_ub[#Headers],0)))</f>
        <v>46.76427000000001</v>
      </c>
      <c r="S279" s="84">
        <f>IF(INDEX(lmic_raw_ub[],MATCH($A279,lmic_raw_ub[[setting]:[setting]],0), MATCH(S$277, lmic_raw_ub[#Headers],0))=0, INDEX(regions_ub[], MATCH($D279, regions_ub[[setting]:[setting]],0), MATCH(S$139, regions_ub[#Headers],0)),INDEX(lmic_raw_ub[],MATCH($A279,lmic_raw_ub[[setting]:[setting]],0), MATCH(S$277, lmic_raw_ub[#Headers],0)))</f>
        <v>96.893370000000019</v>
      </c>
      <c r="T279" s="84">
        <f>IF(INDEX(lmic_raw_ub[],MATCH($A279,lmic_raw_ub[[setting]:[setting]],0), MATCH(T$277, lmic_raw_ub[#Headers],0))=0, INDEX(regions_ub[], MATCH($D279, regions_ub[[setting]:[setting]],0), MATCH(T$139, regions_ub[#Headers],0)),INDEX(lmic_raw_ub[],MATCH($A279,lmic_raw_ub[[setting]:[setting]],0), MATCH(T$277, lmic_raw_ub[#Headers],0)))</f>
        <v>96.893370000000019</v>
      </c>
      <c r="U279" s="84">
        <f>IF(INDEX(lmic_raw_ub[],MATCH($A279,lmic_raw_ub[[setting]:[setting]],0), MATCH(U$277, lmic_raw_ub[#Headers],0))=0, INDEX(regions_ub[], MATCH($D279, regions_ub[[setting]:[setting]],0), MATCH(U$139, regions_ub[#Headers],0)),INDEX(lmic_raw_ub[],MATCH($A279,lmic_raw_ub[[setting]:[setting]],0), MATCH(U$277, lmic_raw_ub[#Headers],0)))</f>
        <v>96.893370000000019</v>
      </c>
      <c r="V279" s="84">
        <f>IF(INDEX(lmic_raw_ub[],MATCH($A279,lmic_raw_ub[[setting]:[setting]],0), MATCH(V$277, lmic_raw_ub[#Headers],0))=0, INDEX(regions_ub[], MATCH($D279, regions_ub[[setting]:[setting]],0), MATCH(V$139, regions_ub[#Headers],0)),INDEX(lmic_raw_ub[],MATCH($A279,lmic_raw_ub[[setting]:[setting]],0), MATCH(V$277, lmic_raw_ub[#Headers],0)))</f>
        <v>13.716459937315173</v>
      </c>
      <c r="W279" s="84">
        <f>IF(INDEX(lmic_raw_ub[],MATCH($A279,lmic_raw_ub[[setting]:[setting]],0), MATCH(W$277, lmic_raw_ub[#Headers],0))=0, INDEX(regions_ub[], MATCH($D279, regions_ub[[setting]:[setting]],0), MATCH(W$139, regions_ub[#Headers],0)),INDEX(lmic_raw_ub[],MATCH($A279,lmic_raw_ub[[setting]:[setting]],0), MATCH(W$277, lmic_raw_ub[#Headers],0)))</f>
        <v>17.985444937315172</v>
      </c>
      <c r="X279" s="84">
        <f>IF(INDEX(lmic_raw_ub[],MATCH($A279,lmic_raw_ub[[setting]:[setting]],0), MATCH(X$277, lmic_raw_ub[#Headers],0))=0, INDEX(regions_ub[], MATCH($D279, regions_ub[[setting]:[setting]],0), MATCH(X$139, regions_ub[#Headers],0)),INDEX(lmic_raw_ub[],MATCH($A279,lmic_raw_ub[[setting]:[setting]],0), MATCH(X$277, lmic_raw_ub[#Headers],0)))</f>
        <v>13.201813639685192</v>
      </c>
      <c r="Y279" s="84">
        <f>IF(INDEX(lmic_raw_ub[],MATCH($A279,lmic_raw_ub[[setting]:[setting]],0), MATCH(Y$277, lmic_raw_ub[#Headers],0))=0, INDEX(regions_ub[], MATCH($D279, regions_ub[[setting]:[setting]],0), MATCH(Y$139, regions_ub[#Headers],0)),INDEX(lmic_raw_ub[],MATCH($A279,lmic_raw_ub[[setting]:[setting]],0), MATCH(Y$277, lmic_raw_ub[#Headers],0)))</f>
        <v>17.470798639685192</v>
      </c>
      <c r="Z279" s="84">
        <f>IF(INDEX(lmic_raw_ub[],MATCH($A279,lmic_raw_ub[[setting]:[setting]],0), MATCH(Z$277, lmic_raw_ub[#Headers],0))=0, INDEX(regions_ub[], MATCH($D279, regions_ub[[setting]:[setting]],0), MATCH(Z$139, regions_ub[#Headers],0)),INDEX(lmic_raw_ub[],MATCH($A279,lmic_raw_ub[[setting]:[setting]],0), MATCH(Z$277, lmic_raw_ub[#Headers],0)))</f>
        <v>17.453864068868278</v>
      </c>
      <c r="AA279" s="84">
        <f>IF(INDEX(lmic_raw_ub[],MATCH($A279,lmic_raw_ub[[setting]:[setting]],0), MATCH(AA$277, lmic_raw_ub[#Headers],0))=0, INDEX(regions_ub[], MATCH($D279, regions_ub[[setting]:[setting]],0), MATCH(AA$139, regions_ub[#Headers],0)),INDEX(lmic_raw_ub[],MATCH($A279,lmic_raw_ub[[setting]:[setting]],0), MATCH(AA$277, lmic_raw_ub[#Headers],0)))</f>
        <v>13.989355934341146</v>
      </c>
      <c r="AB279" s="84">
        <f>IF(INDEX(lmic_raw_ub[],MATCH($A279,lmic_raw_ub[[setting]:[setting]],0), MATCH(AB$277, lmic_raw_ub[#Headers],0))=0, INDEX(regions_ub[], MATCH($D279, regions_ub[[setting]:[setting]],0), MATCH(AB$139, regions_ub[#Headers],0)),INDEX(lmic_raw_ub[],MATCH($A279,lmic_raw_ub[[setting]:[setting]],0), MATCH(AB$277, lmic_raw_ub[#Headers],0)))</f>
        <v>18.258340934341149</v>
      </c>
      <c r="AC279" s="84">
        <f>IF(INDEX(lmic_raw_ub[],MATCH($A279,lmic_raw_ub[[setting]:[setting]],0), MATCH(AC$277, lmic_raw_ub[#Headers],0))=0, INDEX(regions_ub[], MATCH($D279, regions_ub[[setting]:[setting]],0), MATCH(AC$139, regions_ub[#Headers],0)),INDEX(lmic_raw_ub[],MATCH($A279,lmic_raw_ub[[setting]:[setting]],0), MATCH(AC$277, lmic_raw_ub[#Headers],0)))</f>
        <v>8.4334319999999352E-3</v>
      </c>
      <c r="AD279" s="84">
        <f>IF(INDEX(lmic_raw_ub[],MATCH($A279,lmic_raw_ub[[setting]:[setting]],0), MATCH(AD$277, lmic_raw_ub[#Headers],0))=0, INDEX(regions_ub[], MATCH($D279, regions_ub[[setting]:[setting]],0), MATCH(AD$139, regions_ub[#Headers],0)),INDEX(lmic_raw_ub[],MATCH($A279,lmic_raw_ub[[setting]:[setting]],0), MATCH(AD$277, lmic_raw_ub[#Headers],0)))</f>
        <v>8.8462957823165782E-4</v>
      </c>
      <c r="AE279" s="84">
        <f>IF(INDEX(lmic_raw_ub[],MATCH($A279,lmic_raw_ub[[setting]:[setting]],0), MATCH(AE$277, lmic_raw_ub[#Headers],0))=0, INDEX(regions_ub[], MATCH($D279, regions_ub[[setting]:[setting]],0), MATCH(AE$139, regions_ub[#Headers],0)),INDEX(lmic_raw_ub[],MATCH($A279,lmic_raw_ub[[setting]:[setting]],0), MATCH(AE$277, lmic_raw_ub[#Headers],0)))</f>
        <v>2.3433754031012836E-4</v>
      </c>
      <c r="AF279" s="84">
        <f>IF(INDEX(lmic_raw_ub[],MATCH($A279,lmic_raw_ub[[setting]:[setting]],0), MATCH(AF$277, lmic_raw_ub[#Headers],0))=0, INDEX(regions_ub[], MATCH($D279, regions_ub[[setting]:[setting]],0), MATCH(AF$139, regions_ub[#Headers],0)),INDEX(lmic_raw_ub[],MATCH($A279,lmic_raw_ub[[setting]:[setting]],0), MATCH(AF$277, lmic_raw_ub[#Headers],0)))</f>
        <v>2.8138947505586064E-4</v>
      </c>
      <c r="AG279" s="84">
        <f>IF(INDEX(lmic_raw_ub[],MATCH($A279,lmic_raw_ub[[setting]:[setting]],0), MATCH(AG$277, lmic_raw_ub[#Headers],0))=0, INDEX(regions_ub[], MATCH($D279, regions_ub[[setting]:[setting]],0), MATCH(AG$139, regions_ub[#Headers],0)),INDEX(lmic_raw_ub[],MATCH($A279,lmic_raw_ub[[setting]:[setting]],0), MATCH(AG$277, lmic_raw_ub[#Headers],0)))</f>
        <v>3.9034878952091679E-4</v>
      </c>
      <c r="AH279" s="84">
        <f>IF(INDEX(lmic_raw_ub[],MATCH($A279,lmic_raw_ub[[setting]:[setting]],0), MATCH(AH$277, lmic_raw_ub[#Headers],0))=0, INDEX(regions_ub[], MATCH($D279, regions_ub[[setting]:[setting]],0), MATCH(AH$139, regions_ub[#Headers],0)),INDEX(lmic_raw_ub[],MATCH($A279,lmic_raw_ub[[setting]:[setting]],0), MATCH(AH$277, lmic_raw_ub[#Headers],0)))</f>
        <v>4.4526077165045339E-4</v>
      </c>
      <c r="AI279" s="84">
        <f>IF(INDEX(lmic_raw_ub[],MATCH($A279,lmic_raw_ub[[setting]:[setting]],0), MATCH(AI$277, lmic_raw_ub[#Headers],0))=0, INDEX(regions_ub[], MATCH($D279, regions_ub[[setting]:[setting]],0), MATCH(AI$139, regions_ub[#Headers],0)),INDEX(lmic_raw_ub[],MATCH($A279,lmic_raw_ub[[setting]:[setting]],0), MATCH(AI$277, lmic_raw_ub[#Headers],0)))</f>
        <v>5.1355028653840844E-4</v>
      </c>
      <c r="AJ279" s="84">
        <f>IF(INDEX(lmic_raw_ub[],MATCH($A279,lmic_raw_ub[[setting]:[setting]],0), MATCH(AJ$277, lmic_raw_ub[#Headers],0))=0, INDEX(regions_ub[], MATCH($D279, regions_ub[[setting]:[setting]],0), MATCH(AJ$139, regions_ub[#Headers],0)),INDEX(lmic_raw_ub[],MATCH($A279,lmic_raw_ub[[setting]:[setting]],0), MATCH(AJ$277, lmic_raw_ub[#Headers],0)))</f>
        <v>6.6140345156813778E-4</v>
      </c>
      <c r="AK279" s="84">
        <f>IF(INDEX(lmic_raw_ub[],MATCH($A279,lmic_raw_ub[[setting]:[setting]],0), MATCH(AK$277, lmic_raw_ub[#Headers],0))=0, INDEX(regions_ub[], MATCH($D279, regions_ub[[setting]:[setting]],0), MATCH(AK$139, regions_ub[#Headers],0)),INDEX(lmic_raw_ub[],MATCH($A279,lmic_raw_ub[[setting]:[setting]],0), MATCH(AK$277, lmic_raw_ub[#Headers],0)))</f>
        <v>1.0829620432613045E-3</v>
      </c>
      <c r="AL279" s="84">
        <f>IF(INDEX(lmic_raw_ub[],MATCH($A279,lmic_raw_ub[[setting]:[setting]],0), MATCH(AL$277, lmic_raw_ub[#Headers],0))=0, INDEX(regions_ub[], MATCH($D279, regions_ub[[setting]:[setting]],0), MATCH(AL$139, regions_ub[#Headers],0)),INDEX(lmic_raw_ub[],MATCH($A279,lmic_raw_ub[[setting]:[setting]],0), MATCH(AL$277, lmic_raw_ub[#Headers],0)))</f>
        <v>1.4657750655382585E-3</v>
      </c>
      <c r="AM279" s="84">
        <f>IF(INDEX(lmic_raw_ub[],MATCH($A279,lmic_raw_ub[[setting]:[setting]],0), MATCH(AM$277, lmic_raw_ub[#Headers],0))=0, INDEX(regions_ub[], MATCH($D279, regions_ub[[setting]:[setting]],0), MATCH(AM$139, regions_ub[#Headers],0)),INDEX(lmic_raw_ub[],MATCH($A279,lmic_raw_ub[[setting]:[setting]],0), MATCH(AM$277, lmic_raw_ub[#Headers],0)))</f>
        <v>2.2789773197141208E-3</v>
      </c>
      <c r="AN279" s="84">
        <f>IF(INDEX(lmic_raw_ub[],MATCH($A279,lmic_raw_ub[[setting]:[setting]],0), MATCH(AN$277, lmic_raw_ub[#Headers],0))=0, INDEX(regions_ub[], MATCH($D279, regions_ub[[setting]:[setting]],0), MATCH(AN$139, regions_ub[#Headers],0)),INDEX(lmic_raw_ub[],MATCH($A279,lmic_raw_ub[[setting]:[setting]],0), MATCH(AN$277, lmic_raw_ub[#Headers],0)))</f>
        <v>3.4671124744431077E-3</v>
      </c>
      <c r="AO279" s="84">
        <f>IF(INDEX(lmic_raw_ub[],MATCH($A279,lmic_raw_ub[[setting]:[setting]],0), MATCH(AO$277, lmic_raw_ub[#Headers],0))=0, INDEX(regions_ub[], MATCH($D279, regions_ub[[setting]:[setting]],0), MATCH(AO$139, regions_ub[#Headers],0)),INDEX(lmic_raw_ub[],MATCH($A279,lmic_raw_ub[[setting]:[setting]],0), MATCH(AO$277, lmic_raw_ub[#Headers],0)))</f>
        <v>5.3132878452319355E-3</v>
      </c>
      <c r="AP279" s="84">
        <f>IF(INDEX(lmic_raw_ub[],MATCH($A279,lmic_raw_ub[[setting]:[setting]],0), MATCH(AP$277, lmic_raw_ub[#Headers],0))=0, INDEX(regions_ub[], MATCH($D279, regions_ub[[setting]:[setting]],0), MATCH(AP$139, regions_ub[#Headers],0)),INDEX(lmic_raw_ub[],MATCH($A279,lmic_raw_ub[[setting]:[setting]],0), MATCH(AP$277, lmic_raw_ub[#Headers],0)))</f>
        <v>8.2601003224228534E-3</v>
      </c>
      <c r="AQ279" s="84">
        <f>IF(INDEX(lmic_raw_ub[],MATCH($A279,lmic_raw_ub[[setting]:[setting]],0), MATCH(AQ$277, lmic_raw_ub[#Headers],0))=0, INDEX(regions_ub[], MATCH($D279, regions_ub[[setting]:[setting]],0), MATCH(AQ$139, regions_ub[#Headers],0)),INDEX(lmic_raw_ub[],MATCH($A279,lmic_raw_ub[[setting]:[setting]],0), MATCH(AQ$277, lmic_raw_ub[#Headers],0)))</f>
        <v>1.377969761043002E-2</v>
      </c>
      <c r="AR279" s="84">
        <f>IF(INDEX(lmic_raw_ub[],MATCH($A279,lmic_raw_ub[[setting]:[setting]],0), MATCH(AR$277, lmic_raw_ub[#Headers],0))=0, INDEX(regions_ub[], MATCH($D279, regions_ub[[setting]:[setting]],0), MATCH(AR$139, regions_ub[#Headers],0)),INDEX(lmic_raw_ub[],MATCH($A279,lmic_raw_ub[[setting]:[setting]],0), MATCH(AR$277, lmic_raw_ub[#Headers],0)))</f>
        <v>2.4207567799047237E-2</v>
      </c>
      <c r="AS279" s="84">
        <f>IF(INDEX(lmic_raw_ub[],MATCH($A279,lmic_raw_ub[[setting]:[setting]],0), MATCH(AS$277, lmic_raw_ub[#Headers],0))=0, INDEX(regions_ub[], MATCH($D279, regions_ub[[setting]:[setting]],0), MATCH(AS$139, regions_ub[#Headers],0)),INDEX(lmic_raw_ub[],MATCH($A279,lmic_raw_ub[[setting]:[setting]],0), MATCH(AS$277, lmic_raw_ub[#Headers],0)))</f>
        <v>4.4024217800428062E-2</v>
      </c>
      <c r="AT279" s="84">
        <f>IF(INDEX(lmic_raw_ub[],MATCH($A279,lmic_raw_ub[[setting]:[setting]],0), MATCH(AT$277, lmic_raw_ub[#Headers],0))=0, INDEX(regions_ub[], MATCH($D279, regions_ub[[setting]:[setting]],0), MATCH(AT$139, regions_ub[#Headers],0)),INDEX(lmic_raw_ub[],MATCH($A279,lmic_raw_ub[[setting]:[setting]],0), MATCH(AT$277, lmic_raw_ub[#Headers],0)))</f>
        <v>7.9856580505644731E-2</v>
      </c>
      <c r="AU279" s="84">
        <f>IF(INDEX(lmic_raw_ub[],MATCH($A279,lmic_raw_ub[[setting]:[setting]],0), MATCH(AU$277, lmic_raw_ub[#Headers],0))=0, INDEX(regions_ub[], MATCH($D279, regions_ub[[setting]:[setting]],0), MATCH(AU$139, regions_ub[#Headers],0)),INDEX(lmic_raw_ub[],MATCH($A279,lmic_raw_ub[[setting]:[setting]],0), MATCH(AU$277, lmic_raw_ub[#Headers],0)))</f>
        <v>0.11859226071601725</v>
      </c>
      <c r="AV279" s="84">
        <f>IF(INDEX(lmic_raw_ub[],MATCH($A279,lmic_raw_ub[[setting]:[setting]],0), MATCH(AV$277, lmic_raw_ub[#Headers],0))=0, INDEX(regions_ub[], MATCH($D279, regions_ub[[setting]:[setting]],0), MATCH(AV$139, regions_ub[#Headers],0)),INDEX(lmic_raw_ub[],MATCH($A279,lmic_raw_ub[[setting]:[setting]],0), MATCH(AV$277, lmic_raw_ub[#Headers],0)))</f>
        <v>0.15762620911613293</v>
      </c>
      <c r="AW279" s="84">
        <f>IF(INDEX(lmic_raw_ub[],MATCH($A279,lmic_raw_ub[[setting]:[setting]],0), MATCH(AW$277, lmic_raw_ub[#Headers],0))=0, INDEX(regions_ub[], MATCH($D279, regions_ub[[setting]:[setting]],0), MATCH(AW$139, regions_ub[#Headers],0)),INDEX(lmic_raw_ub[],MATCH($A279,lmic_raw_ub[[setting]:[setting]],0), MATCH(AW$277, lmic_raw_ub[#Headers],0)))</f>
        <v>0.18670022109404086</v>
      </c>
      <c r="AX279" s="84">
        <f>IF(INDEX(lmic_raw_ub[],MATCH($A279,lmic_raw_ub[[setting]:[setting]],0), MATCH(AX$277, lmic_raw_ub[#Headers],0))=0, INDEX(regions_ub[], MATCH($D279, regions_ub[[setting]:[setting]],0), MATCH(AX$139, regions_ub[#Headers],0)),INDEX(lmic_raw_ub[],MATCH($A279,lmic_raw_ub[[setting]:[setting]],0), MATCH(AX$277, lmic_raw_ub[#Headers],0)))</f>
        <v>82.295850000000002</v>
      </c>
      <c r="AY279" s="33" t="str">
        <f>IF(VLOOKUP(lmics_ub[[#This Row],[setting]],lmic_raw_ub[],11,FALSE)=0, "Yes", "No")</f>
        <v>No</v>
      </c>
    </row>
    <row r="280" spans="1:51" x14ac:dyDescent="0.25">
      <c r="A280" s="109" t="s">
        <v>157</v>
      </c>
      <c r="B280" s="101" t="s">
        <v>371</v>
      </c>
      <c r="C280" s="102">
        <v>12</v>
      </c>
      <c r="D280" s="82" t="s">
        <v>677</v>
      </c>
      <c r="E280" s="82" t="s">
        <v>579</v>
      </c>
      <c r="F280" s="82" t="s">
        <v>579</v>
      </c>
      <c r="G280" s="82" t="s">
        <v>676</v>
      </c>
      <c r="J280" s="84">
        <f>IF(INDEX(lmic_raw_ub[],MATCH($A280,lmic_raw_ub[[setting]:[setting]],0), MATCH(J$277, lmic_raw_ub[#Headers],0))=0, INDEX(regions_ub[], MATCH($D280, regions_ub[[setting]:[setting]],0), MATCH(J$139, regions_ub[#Headers],0)),INDEX(lmic_raw_ub[],MATCH($A280,lmic_raw_ub[[setting]:[setting]],0), MATCH(J$277, lmic_raw_ub[#Headers],0)))</f>
        <v>0.99990000000000001</v>
      </c>
      <c r="K280" s="84">
        <f>IF(INDEX(lmic_raw_ub[],MATCH($A280,lmic_raw_ub[[setting]:[setting]],0), MATCH(K$277, lmic_raw_ub[#Headers],0))=0, INDEX(regions_ub[], MATCH($D280, regions_ub[[setting]:[setting]],0), MATCH(K$139, regions_ub[#Headers],0)),INDEX(lmic_raw_ub[],MATCH($A280,lmic_raw_ub[[setting]:[setting]],0), MATCH(K$277, lmic_raw_ub[#Headers],0)))</f>
        <v>0.99990000000000001</v>
      </c>
      <c r="L280" s="84">
        <f>IF(INDEX(lmic_raw_ub[],MATCH($A280,lmic_raw_ub[[setting]:[setting]],0), MATCH(L$277, lmic_raw_ub[#Headers],0))=0, INDEX(regions_ub[], MATCH($D280, regions_ub[[setting]:[setting]],0), MATCH(L$139, regions_ub[#Headers],0)),INDEX(lmic_raw_ub[],MATCH($A280,lmic_raw_ub[[setting]:[setting]],0), MATCH(L$277, lmic_raw_ub[#Headers],0)))</f>
        <v>0.95550000000000013</v>
      </c>
      <c r="M280" s="84">
        <f>IF(INDEX(lmic_raw_ub[],MATCH($A280,lmic_raw_ub[[setting]:[setting]],0), MATCH(M$277, lmic_raw_ub[#Headers],0))=0, INDEX(regions_ub[], MATCH($D280, regions_ub[[setting]:[setting]],0), MATCH(M$139, regions_ub[#Headers],0)),INDEX(lmic_raw_ub[],MATCH($A280,lmic_raw_ub[[setting]:[setting]],0), MATCH(M$277, lmic_raw_ub[#Headers],0)))</f>
        <v>2.4300000000000002E-2</v>
      </c>
      <c r="N280" s="84">
        <f>IF(INDEX(lmic_raw_ub[],MATCH($A280,lmic_raw_ub[[setting]:[setting]],0), MATCH(N$277, lmic_raw_ub[#Headers],0))=0, INDEX(regions_ub[], MATCH($D280, regions_ub[[setting]:[setting]],0), MATCH(N$139, regions_ub[#Headers],0)),INDEX(lmic_raw_ub[],MATCH($A280,lmic_raw_ub[[setting]:[setting]],0), MATCH(N$277, lmic_raw_ub[#Headers],0)))</f>
        <v>0.37619999999999998</v>
      </c>
      <c r="O280" s="84">
        <f>IF(INDEX(lmic_raw_ub[],MATCH($A280,lmic_raw_ub[[setting]:[setting]],0), MATCH(O$277, lmic_raw_ub[#Headers],0))=0, INDEX(regions_ub[], MATCH($D280, regions_ub[[setting]:[setting]],0), MATCH(O$139, regions_ub[#Headers],0)),INDEX(lmic_raw_ub[],MATCH($A280,lmic_raw_ub[[setting]:[setting]],0), MATCH(O$277, lmic_raw_ub[#Headers],0)))</f>
        <v>0.9</v>
      </c>
      <c r="P280" s="84">
        <f>IF(INDEX(lmic_raw_ub[],MATCH($A280,lmic_raw_ub[[setting]:[setting]],0), MATCH(P$277, lmic_raw_ub[#Headers],0))=0, INDEX(regions_ub[], MATCH($D280, regions_ub[[setting]:[setting]],0), MATCH(P$139, regions_ub[#Headers],0)),INDEX(lmic_raw_ub[],MATCH($A280,lmic_raw_ub[[setting]:[setting]],0), MATCH(P$277, lmic_raw_ub[#Headers],0)))</f>
        <v>0.3</v>
      </c>
      <c r="Q280" s="84">
        <f>IF(INDEX(lmic_raw_ub[],MATCH($A280,lmic_raw_ub[[setting]:[setting]],0), MATCH(Q$277, lmic_raw_ub[#Headers],0))=0, INDEX(regions_ub[], MATCH($D280, regions_ub[[setting]:[setting]],0), MATCH(Q$139, regions_ub[#Headers],0)),INDEX(lmic_raw_ub[],MATCH($A280,lmic_raw_ub[[setting]:[setting]],0), MATCH(Q$277, lmic_raw_ub[#Headers],0)))</f>
        <v>7.0035033420240715</v>
      </c>
      <c r="R280" s="84">
        <f>IF(INDEX(lmic_raw_ub[],MATCH($A280,lmic_raw_ub[[setting]:[setting]],0), MATCH(R$277, lmic_raw_ub[#Headers],0))=0, INDEX(regions_ub[], MATCH($D280, regions_ub[[setting]:[setting]],0), MATCH(R$139, regions_ub[#Headers],0)),INDEX(lmic_raw_ub[],MATCH($A280,lmic_raw_ub[[setting]:[setting]],0), MATCH(R$277, lmic_raw_ub[#Headers],0)))</f>
        <v>48.652695000000001</v>
      </c>
      <c r="S280" s="84">
        <f>IF(INDEX(lmic_raw_ub[],MATCH($A280,lmic_raw_ub[[setting]:[setting]],0), MATCH(S$277, lmic_raw_ub[#Headers],0))=0, INDEX(regions_ub[], MATCH($D280, regions_ub[[setting]:[setting]],0), MATCH(S$139, regions_ub[#Headers],0)),INDEX(lmic_raw_ub[],MATCH($A280,lmic_raw_ub[[setting]:[setting]],0), MATCH(S$277, lmic_raw_ub[#Headers],0)))</f>
        <v>98.781795000000017</v>
      </c>
      <c r="T280" s="84">
        <f>IF(INDEX(lmic_raw_ub[],MATCH($A280,lmic_raw_ub[[setting]:[setting]],0), MATCH(T$277, lmic_raw_ub[#Headers],0))=0, INDEX(regions_ub[], MATCH($D280, regions_ub[[setting]:[setting]],0), MATCH(T$139, regions_ub[#Headers],0)),INDEX(lmic_raw_ub[],MATCH($A280,lmic_raw_ub[[setting]:[setting]],0), MATCH(T$277, lmic_raw_ub[#Headers],0)))</f>
        <v>98.781795000000017</v>
      </c>
      <c r="U280" s="84">
        <f>IF(INDEX(lmic_raw_ub[],MATCH($A280,lmic_raw_ub[[setting]:[setting]],0), MATCH(U$277, lmic_raw_ub[#Headers],0))=0, INDEX(regions_ub[], MATCH($D280, regions_ub[[setting]:[setting]],0), MATCH(U$139, regions_ub[#Headers],0)),INDEX(lmic_raw_ub[],MATCH($A280,lmic_raw_ub[[setting]:[setting]],0), MATCH(U$277, lmic_raw_ub[#Headers],0)))</f>
        <v>98.781795000000017</v>
      </c>
      <c r="V280" s="84">
        <f>IF(INDEX(lmic_raw_ub[],MATCH($A280,lmic_raw_ub[[setting]:[setting]],0), MATCH(V$277, lmic_raw_ub[#Headers],0))=0, INDEX(regions_ub[], MATCH($D280, regions_ub[[setting]:[setting]],0), MATCH(V$139, regions_ub[#Headers],0)),INDEX(lmic_raw_ub[],MATCH($A280,lmic_raw_ub[[setting]:[setting]],0), MATCH(V$277, lmic_raw_ub[#Headers],0)))</f>
        <v>7.5627712997541403</v>
      </c>
      <c r="W280" s="84">
        <f>IF(INDEX(lmic_raw_ub[],MATCH($A280,lmic_raw_ub[[setting]:[setting]],0), MATCH(W$277, lmic_raw_ub[#Headers],0))=0, INDEX(regions_ub[], MATCH($D280, regions_ub[[setting]:[setting]],0), MATCH(W$139, regions_ub[#Headers],0)),INDEX(lmic_raw_ub[],MATCH($A280,lmic_raw_ub[[setting]:[setting]],0), MATCH(W$277, lmic_raw_ub[#Headers],0)))</f>
        <v>8.0663512997541407</v>
      </c>
      <c r="X280" s="84">
        <f>IF(INDEX(lmic_raw_ub[],MATCH($A280,lmic_raw_ub[[setting]:[setting]],0), MATCH(X$277, lmic_raw_ub[#Headers],0))=0, INDEX(regions_ub[], MATCH($D280, regions_ub[[setting]:[setting]],0), MATCH(X$139, regions_ub[#Headers],0)),INDEX(lmic_raw_ub[],MATCH($A280,lmic_raw_ub[[setting]:[setting]],0), MATCH(X$277, lmic_raw_ub[#Headers],0)))</f>
        <v>7.0548105335909588</v>
      </c>
      <c r="Y280" s="84">
        <f>IF(INDEX(lmic_raw_ub[],MATCH($A280,lmic_raw_ub[[setting]:[setting]],0), MATCH(Y$277, lmic_raw_ub[#Headers],0))=0, INDEX(regions_ub[], MATCH($D280, regions_ub[[setting]:[setting]],0), MATCH(Y$139, regions_ub[#Headers],0)),INDEX(lmic_raw_ub[],MATCH($A280,lmic_raw_ub[[setting]:[setting]],0), MATCH(Y$277, lmic_raw_ub[#Headers],0)))</f>
        <v>7.5583905335909591</v>
      </c>
      <c r="Z280" s="84">
        <f>IF(INDEX(lmic_raw_ub[],MATCH($A280,lmic_raw_ub[[setting]:[setting]],0), MATCH(Z$277, lmic_raw_ub[#Headers],0))=0, INDEX(regions_ub[], MATCH($D280, regions_ub[[setting]:[setting]],0), MATCH(Z$139, regions_ub[#Headers],0)),INDEX(lmic_raw_ub[],MATCH($A280,lmic_raw_ub[[setting]:[setting]],0), MATCH(Z$277, lmic_raw_ub[#Headers],0)))</f>
        <v>7.5441249175725016</v>
      </c>
      <c r="AA280" s="84">
        <f>IF(INDEX(lmic_raw_ub[],MATCH($A280,lmic_raw_ub[[setting]:[setting]],0), MATCH(AA$277, lmic_raw_ub[#Headers],0))=0, INDEX(regions_ub[], MATCH($D280, regions_ub[[setting]:[setting]],0), MATCH(AA$139, regions_ub[#Headers],0)),INDEX(lmic_raw_ub[],MATCH($A280,lmic_raw_ub[[setting]:[setting]],0), MATCH(AA$277, lmic_raw_ub[#Headers],0)))</f>
        <v>7.8341497221526772</v>
      </c>
      <c r="AB280" s="84">
        <f>IF(INDEX(lmic_raw_ub[],MATCH($A280,lmic_raw_ub[[setting]:[setting]],0), MATCH(AB$277, lmic_raw_ub[#Headers],0))=0, INDEX(regions_ub[], MATCH($D280, regions_ub[[setting]:[setting]],0), MATCH(AB$139, regions_ub[#Headers],0)),INDEX(lmic_raw_ub[],MATCH($A280,lmic_raw_ub[[setting]:[setting]],0), MATCH(AB$277, lmic_raw_ub[#Headers],0)))</f>
        <v>8.3377297221526767</v>
      </c>
      <c r="AC280" s="84">
        <f>IF(INDEX(lmic_raw_ub[],MATCH($A280,lmic_raw_ub[[setting]:[setting]],0), MATCH(AC$277, lmic_raw_ub[#Headers],0))=0, INDEX(regions_ub[], MATCH($D280, regions_ub[[setting]:[setting]],0), MATCH(AC$139, regions_ub[#Headers],0)),INDEX(lmic_raw_ub[],MATCH($A280,lmic_raw_ub[[setting]:[setting]],0), MATCH(AC$277, lmic_raw_ub[#Headers],0)))</f>
        <v>2.2311575999999965E-2</v>
      </c>
      <c r="AD280" s="84">
        <f>IF(INDEX(lmic_raw_ub[],MATCH($A280,lmic_raw_ub[[setting]:[setting]],0), MATCH(AD$277, lmic_raw_ub[#Headers],0))=0, INDEX(regions_ub[], MATCH($D280, regions_ub[[setting]:[setting]],0), MATCH(AD$139, regions_ub[#Headers],0)),INDEX(lmic_raw_ub[],MATCH($A280,lmic_raw_ub[[setting]:[setting]],0), MATCH(AD$277, lmic_raw_ub[#Headers],0)))</f>
        <v>9.1728614844261357E-4</v>
      </c>
      <c r="AE280" s="84">
        <f>IF(INDEX(lmic_raw_ub[],MATCH($A280,lmic_raw_ub[[setting]:[setting]],0), MATCH(AE$277, lmic_raw_ub[#Headers],0))=0, INDEX(regions_ub[], MATCH($D280, regions_ub[[setting]:[setting]],0), MATCH(AE$139, regions_ub[#Headers],0)),INDEX(lmic_raw_ub[],MATCH($A280,lmic_raw_ub[[setting]:[setting]],0), MATCH(AE$277, lmic_raw_ub[#Headers],0)))</f>
        <v>4.6792589971866454E-4</v>
      </c>
      <c r="AF280" s="84">
        <f>IF(INDEX(lmic_raw_ub[],MATCH($A280,lmic_raw_ub[[setting]:[setting]],0), MATCH(AF$277, lmic_raw_ub[#Headers],0))=0, INDEX(regions_ub[], MATCH($D280, regions_ub[[setting]:[setting]],0), MATCH(AF$139, regions_ub[#Headers],0)),INDEX(lmic_raw_ub[],MATCH($A280,lmic_raw_ub[[setting]:[setting]],0), MATCH(AF$277, lmic_raw_ub[#Headers],0)))</f>
        <v>4.1573488014981416E-4</v>
      </c>
      <c r="AG280" s="84">
        <f>IF(INDEX(lmic_raw_ub[],MATCH($A280,lmic_raw_ub[[setting]:[setting]],0), MATCH(AG$277, lmic_raw_ub[#Headers],0))=0, INDEX(regions_ub[], MATCH($D280, regions_ub[[setting]:[setting]],0), MATCH(AG$139, regions_ub[#Headers],0)),INDEX(lmic_raw_ub[],MATCH($A280,lmic_raw_ub[[setting]:[setting]],0), MATCH(AG$277, lmic_raw_ub[#Headers],0)))</f>
        <v>5.9540197294586175E-4</v>
      </c>
      <c r="AH280" s="84">
        <f>IF(INDEX(lmic_raw_ub[],MATCH($A280,lmic_raw_ub[[setting]:[setting]],0), MATCH(AH$277, lmic_raw_ub[#Headers],0))=0, INDEX(regions_ub[], MATCH($D280, regions_ub[[setting]:[setting]],0), MATCH(AH$139, regions_ub[#Headers],0)),INDEX(lmic_raw_ub[],MATCH($A280,lmic_raw_ub[[setting]:[setting]],0), MATCH(AH$277, lmic_raw_ub[#Headers],0)))</f>
        <v>7.747306562901707E-4</v>
      </c>
      <c r="AI280" s="84">
        <f>IF(INDEX(lmic_raw_ub[],MATCH($A280,lmic_raw_ub[[setting]:[setting]],0), MATCH(AI$277, lmic_raw_ub[#Headers],0))=0, INDEX(regions_ub[], MATCH($D280, regions_ub[[setting]:[setting]],0), MATCH(AI$139, regions_ub[#Headers],0)),INDEX(lmic_raw_ub[],MATCH($A280,lmic_raw_ub[[setting]:[setting]],0), MATCH(AI$277, lmic_raw_ub[#Headers],0)))</f>
        <v>9.1424131136401507E-4</v>
      </c>
      <c r="AJ280" s="84">
        <f>IF(INDEX(lmic_raw_ub[],MATCH($A280,lmic_raw_ub[[setting]:[setting]],0), MATCH(AJ$277, lmic_raw_ub[#Headers],0))=0, INDEX(regions_ub[], MATCH($D280, regions_ub[[setting]:[setting]],0), MATCH(AJ$139, regions_ub[#Headers],0)),INDEX(lmic_raw_ub[],MATCH($A280,lmic_raw_ub[[setting]:[setting]],0), MATCH(AJ$277, lmic_raw_ub[#Headers],0)))</f>
        <v>1.0799953396655735E-3</v>
      </c>
      <c r="AK280" s="84">
        <f>IF(INDEX(lmic_raw_ub[],MATCH($A280,lmic_raw_ub[[setting]:[setting]],0), MATCH(AK$277, lmic_raw_ub[#Headers],0))=0, INDEX(regions_ub[], MATCH($D280, regions_ub[[setting]:[setting]],0), MATCH(AK$139, regions_ub[#Headers],0)),INDEX(lmic_raw_ub[],MATCH($A280,lmic_raw_ub[[setting]:[setting]],0), MATCH(AK$277, lmic_raw_ub[#Headers],0)))</f>
        <v>1.4499923281177959E-3</v>
      </c>
      <c r="AL280" s="84">
        <f>IF(INDEX(lmic_raw_ub[],MATCH($A280,lmic_raw_ub[[setting]:[setting]],0), MATCH(AL$277, lmic_raw_ub[#Headers],0))=0, INDEX(regions_ub[], MATCH($D280, regions_ub[[setting]:[setting]],0), MATCH(AL$139, regions_ub[#Headers],0)),INDEX(lmic_raw_ub[],MATCH($A280,lmic_raw_ub[[setting]:[setting]],0), MATCH(AL$277, lmic_raw_ub[#Headers],0)))</f>
        <v>1.9653541907429014E-3</v>
      </c>
      <c r="AM280" s="84">
        <f>IF(INDEX(lmic_raw_ub[],MATCH($A280,lmic_raw_ub[[setting]:[setting]],0), MATCH(AM$277, lmic_raw_ub[#Headers],0))=0, INDEX(regions_ub[], MATCH($D280, regions_ub[[setting]:[setting]],0), MATCH(AM$139, regions_ub[#Headers],0)),INDEX(lmic_raw_ub[],MATCH($A280,lmic_raw_ub[[setting]:[setting]],0), MATCH(AM$277, lmic_raw_ub[#Headers],0)))</f>
        <v>2.8736961696675003E-3</v>
      </c>
      <c r="AN280" s="84">
        <f>IF(INDEX(lmic_raw_ub[],MATCH($A280,lmic_raw_ub[[setting]:[setting]],0), MATCH(AN$277, lmic_raw_ub[#Headers],0))=0, INDEX(regions_ub[], MATCH($D280, regions_ub[[setting]:[setting]],0), MATCH(AN$139, regions_ub[#Headers],0)),INDEX(lmic_raw_ub[],MATCH($A280,lmic_raw_ub[[setting]:[setting]],0), MATCH(AN$277, lmic_raw_ub[#Headers],0)))</f>
        <v>4.248034096895701E-3</v>
      </c>
      <c r="AO280" s="84">
        <f>IF(INDEX(lmic_raw_ub[],MATCH($A280,lmic_raw_ub[[setting]:[setting]],0), MATCH(AO$277, lmic_raw_ub[#Headers],0))=0, INDEX(regions_ub[], MATCH($D280, regions_ub[[setting]:[setting]],0), MATCH(AO$139, regions_ub[#Headers],0)),INDEX(lmic_raw_ub[],MATCH($A280,lmic_raw_ub[[setting]:[setting]],0), MATCH(AO$277, lmic_raw_ub[#Headers],0)))</f>
        <v>6.4292786291832828E-3</v>
      </c>
      <c r="AP280" s="84">
        <f>IF(INDEX(lmic_raw_ub[],MATCH($A280,lmic_raw_ub[[setting]:[setting]],0), MATCH(AP$277, lmic_raw_ub[#Headers],0))=0, INDEX(regions_ub[], MATCH($D280, regions_ub[[setting]:[setting]],0), MATCH(AP$139, regions_ub[#Headers],0)),INDEX(lmic_raw_ub[],MATCH($A280,lmic_raw_ub[[setting]:[setting]],0), MATCH(AP$277, lmic_raw_ub[#Headers],0)))</f>
        <v>1.0189366876116235E-2</v>
      </c>
      <c r="AQ280" s="84">
        <f>IF(INDEX(lmic_raw_ub[],MATCH($A280,lmic_raw_ub[[setting]:[setting]],0), MATCH(AQ$277, lmic_raw_ub[#Headers],0))=0, INDEX(regions_ub[], MATCH($D280, regions_ub[[setting]:[setting]],0), MATCH(AQ$139, regions_ub[#Headers],0)),INDEX(lmic_raw_ub[],MATCH($A280,lmic_raw_ub[[setting]:[setting]],0), MATCH(AQ$277, lmic_raw_ub[#Headers],0)))</f>
        <v>1.5479331515656235E-2</v>
      </c>
      <c r="AR280" s="84">
        <f>IF(INDEX(lmic_raw_ub[],MATCH($A280,lmic_raw_ub[[setting]:[setting]],0), MATCH(AR$277, lmic_raw_ub[#Headers],0))=0, INDEX(regions_ub[], MATCH($D280, regions_ub[[setting]:[setting]],0), MATCH(AR$139, regions_ub[#Headers],0)),INDEX(lmic_raw_ub[],MATCH($A280,lmic_raw_ub[[setting]:[setting]],0), MATCH(AR$277, lmic_raw_ub[#Headers],0)))</f>
        <v>2.5223232055600318E-2</v>
      </c>
      <c r="AS280" s="84">
        <f>IF(INDEX(lmic_raw_ub[],MATCH($A280,lmic_raw_ub[[setting]:[setting]],0), MATCH(AS$277, lmic_raw_ub[#Headers],0))=0, INDEX(regions_ub[], MATCH($D280, regions_ub[[setting]:[setting]],0), MATCH(AS$139, regions_ub[#Headers],0)),INDEX(lmic_raw_ub[],MATCH($A280,lmic_raw_ub[[setting]:[setting]],0), MATCH(AS$277, lmic_raw_ub[#Headers],0)))</f>
        <v>4.2652761493149408E-2</v>
      </c>
      <c r="AT280" s="84">
        <f>IF(INDEX(lmic_raw_ub[],MATCH($A280,lmic_raw_ub[[setting]:[setting]],0), MATCH(AT$277, lmic_raw_ub[#Headers],0))=0, INDEX(regions_ub[], MATCH($D280, regions_ub[[setting]:[setting]],0), MATCH(AT$139, regions_ub[#Headers],0)),INDEX(lmic_raw_ub[],MATCH($A280,lmic_raw_ub[[setting]:[setting]],0), MATCH(AT$277, lmic_raw_ub[#Headers],0)))</f>
        <v>7.0468302694853033E-2</v>
      </c>
      <c r="AU280" s="84">
        <f>IF(INDEX(lmic_raw_ub[],MATCH($A280,lmic_raw_ub[[setting]:[setting]],0), MATCH(AU$277, lmic_raw_ub[#Headers],0))=0, INDEX(regions_ub[], MATCH($D280, regions_ub[[setting]:[setting]],0), MATCH(AU$139, regions_ub[#Headers],0)),INDEX(lmic_raw_ub[],MATCH($A280,lmic_raw_ub[[setting]:[setting]],0), MATCH(AU$277, lmic_raw_ub[#Headers],0)))</f>
        <v>0.10594771670660426</v>
      </c>
      <c r="AV280" s="84">
        <f>IF(INDEX(lmic_raw_ub[],MATCH($A280,lmic_raw_ub[[setting]:[setting]],0), MATCH(AV$277, lmic_raw_ub[#Headers],0))=0, INDEX(regions_ub[], MATCH($D280, regions_ub[[setting]:[setting]],0), MATCH(AV$139, regions_ub[#Headers],0)),INDEX(lmic_raw_ub[],MATCH($A280,lmic_raw_ub[[setting]:[setting]],0), MATCH(AV$277, lmic_raw_ub[#Headers],0)))</f>
        <v>0.14176084972045894</v>
      </c>
      <c r="AW280" s="84">
        <f>IF(INDEX(lmic_raw_ub[],MATCH($A280,lmic_raw_ub[[setting]:[setting]],0), MATCH(AW$277, lmic_raw_ub[#Headers],0))=0, INDEX(regions_ub[], MATCH($D280, regions_ub[[setting]:[setting]],0), MATCH(AW$139, regions_ub[#Headers],0)),INDEX(lmic_raw_ub[],MATCH($A280,lmic_raw_ub[[setting]:[setting]],0), MATCH(AW$277, lmic_raw_ub[#Headers],0)))</f>
        <v>0.1708921147588971</v>
      </c>
      <c r="AX280" s="84">
        <f>IF(INDEX(lmic_raw_ub[],MATCH($A280,lmic_raw_ub[[setting]:[setting]],0), MATCH(AX$277, lmic_raw_ub[#Headers],0))=0, INDEX(regions_ub[], MATCH($D280, regions_ub[[setting]:[setting]],0), MATCH(AX$139, regions_ub[#Headers],0)),INDEX(lmic_raw_ub[],MATCH($A280,lmic_raw_ub[[setting]:[setting]],0), MATCH(AX$277, lmic_raw_ub[#Headers],0)))</f>
        <v>80.422650000000004</v>
      </c>
      <c r="AY280" s="33" t="str">
        <f>IF(VLOOKUP(lmics_ub[[#This Row],[setting]],lmic_raw_ub[],11,FALSE)=0, "Yes", "No")</f>
        <v>No</v>
      </c>
    </row>
    <row r="281" spans="1:51" x14ac:dyDescent="0.25">
      <c r="A281" s="110" t="s">
        <v>122</v>
      </c>
      <c r="B281" s="104" t="s">
        <v>372</v>
      </c>
      <c r="C281" s="105">
        <v>24</v>
      </c>
      <c r="D281" s="84" t="s">
        <v>677</v>
      </c>
      <c r="E281" s="84" t="s">
        <v>582</v>
      </c>
      <c r="F281" s="84" t="s">
        <v>667</v>
      </c>
      <c r="G281" s="84" t="s">
        <v>678</v>
      </c>
      <c r="J281" s="84">
        <f>IF(INDEX(lmic_raw_ub[],MATCH($A281,lmic_raw_ub[[setting]:[setting]],0), MATCH(J$277, lmic_raw_ub[#Headers],0))=0, INDEX(regions_ub[], MATCH($D281, regions_ub[[setting]:[setting]],0), MATCH(J$139, regions_ub[#Headers],0)),INDEX(lmic_raw_ub[],MATCH($A281,lmic_raw_ub[[setting]:[setting]],0), MATCH(J$277, lmic_raw_ub[#Headers],0)))</f>
        <v>0.47880000000000006</v>
      </c>
      <c r="K281" s="84">
        <f>IF(INDEX(lmic_raw_ub[],MATCH($A281,lmic_raw_ub[[setting]:[setting]],0), MATCH(K$277, lmic_raw_ub[#Headers],0))=0, INDEX(regions_ub[], MATCH($D281, regions_ub[[setting]:[setting]],0), MATCH(K$139, regions_ub[#Headers],0)),INDEX(lmic_raw_ub[],MATCH($A281,lmic_raw_ub[[setting]:[setting]],0), MATCH(K$277, lmic_raw_ub[#Headers],0)))</f>
        <v>0.71433037619548323</v>
      </c>
      <c r="L281" s="84">
        <f>IF(INDEX(lmic_raw_ub[],MATCH($A281,lmic_raw_ub[[setting]:[setting]],0), MATCH(L$277, lmic_raw_ub[#Headers],0))=0, INDEX(regions_ub[], MATCH($D281, regions_ub[[setting]:[setting]],0), MATCH(L$139, regions_ub[#Headers],0)),INDEX(lmic_raw_ub[],MATCH($A281,lmic_raw_ub[[setting]:[setting]],0), MATCH(L$277, lmic_raw_ub[#Headers],0)))</f>
        <v>0.55650000000000011</v>
      </c>
      <c r="M281" s="84">
        <f>IF(INDEX(lmic_raw_ub[],MATCH($A281,lmic_raw_ub[[setting]:[setting]],0), MATCH(M$277, lmic_raw_ub[#Headers],0))=0, INDEX(regions_ub[], MATCH($D281, regions_ub[[setting]:[setting]],0), MATCH(M$139, regions_ub[#Headers],0)),INDEX(lmic_raw_ub[],MATCH($A281,lmic_raw_ub[[setting]:[setting]],0), MATCH(M$277, lmic_raw_ub[#Headers],0)))</f>
        <v>0.1182</v>
      </c>
      <c r="N281" s="84">
        <f>IF(INDEX(lmic_raw_ub[],MATCH($A281,lmic_raw_ub[[setting]:[setting]],0), MATCH(N$277, lmic_raw_ub[#Headers],0))=0, INDEX(regions_ub[], MATCH($D281, regions_ub[[setting]:[setting]],0), MATCH(N$139, regions_ub[#Headers],0)),INDEX(lmic_raw_ub[],MATCH($A281,lmic_raw_ub[[setting]:[setting]],0), MATCH(N$277, lmic_raw_ub[#Headers],0)))</f>
        <v>0.40200000000000002</v>
      </c>
      <c r="O281" s="84">
        <f>IF(INDEX(lmic_raw_ub[],MATCH($A281,lmic_raw_ub[[setting]:[setting]],0), MATCH(O$277, lmic_raw_ub[#Headers],0))=0, INDEX(regions_ub[], MATCH($D281, regions_ub[[setting]:[setting]],0), MATCH(O$139, regions_ub[#Headers],0)),INDEX(lmic_raw_ub[],MATCH($A281,lmic_raw_ub[[setting]:[setting]],0), MATCH(O$277, lmic_raw_ub[#Headers],0)))</f>
        <v>0.74399999999999999</v>
      </c>
      <c r="P281" s="84">
        <f>IF(INDEX(lmic_raw_ub[],MATCH($A281,lmic_raw_ub[[setting]:[setting]],0), MATCH(P$277, lmic_raw_ub[#Headers],0))=0, INDEX(regions_ub[], MATCH($D281, regions_ub[[setting]:[setting]],0), MATCH(P$139, regions_ub[#Headers],0)),INDEX(lmic_raw_ub[],MATCH($A281,lmic_raw_ub[[setting]:[setting]],0), MATCH(P$277, lmic_raw_ub[#Headers],0)))</f>
        <v>0.13300000000000001</v>
      </c>
      <c r="Q281" s="84">
        <f>IF(INDEX(lmic_raw_ub[],MATCH($A281,lmic_raw_ub[[setting]:[setting]],0), MATCH(Q$277, lmic_raw_ub[#Headers],0))=0, INDEX(regions_ub[], MATCH($D281, regions_ub[[setting]:[setting]],0), MATCH(Q$139, regions_ub[#Headers],0)),INDEX(lmic_raw_ub[],MATCH($A281,lmic_raw_ub[[setting]:[setting]],0), MATCH(Q$277, lmic_raw_ub[#Headers],0)))</f>
        <v>8.3245286245782832</v>
      </c>
      <c r="R281" s="84">
        <f>IF(INDEX(lmic_raw_ub[],MATCH($A281,lmic_raw_ub[[setting]:[setting]],0), MATCH(R$277, lmic_raw_ub[#Headers],0))=0, INDEX(regions_ub[], MATCH($D281, regions_ub[[setting]:[setting]],0), MATCH(R$139, regions_ub[#Headers],0)),INDEX(lmic_raw_ub[],MATCH($A281,lmic_raw_ub[[setting]:[setting]],0), MATCH(R$277, lmic_raw_ub[#Headers],0)))</f>
        <v>31.416525000000004</v>
      </c>
      <c r="S281" s="84">
        <f>IF(INDEX(lmic_raw_ub[],MATCH($A281,lmic_raw_ub[[setting]:[setting]],0), MATCH(S$277, lmic_raw_ub[#Headers],0))=0, INDEX(regions_ub[], MATCH($D281, regions_ub[[setting]:[setting]],0), MATCH(S$139, regions_ub[#Headers],0)),INDEX(lmic_raw_ub[],MATCH($A281,lmic_raw_ub[[setting]:[setting]],0), MATCH(S$277, lmic_raw_ub[#Headers],0)))</f>
        <v>81.545625000000015</v>
      </c>
      <c r="T281" s="84">
        <f>IF(INDEX(lmic_raw_ub[],MATCH($A281,lmic_raw_ub[[setting]:[setting]],0), MATCH(T$277, lmic_raw_ub[#Headers],0))=0, INDEX(regions_ub[], MATCH($D281, regions_ub[[setting]:[setting]],0), MATCH(T$139, regions_ub[#Headers],0)),INDEX(lmic_raw_ub[],MATCH($A281,lmic_raw_ub[[setting]:[setting]],0), MATCH(T$277, lmic_raw_ub[#Headers],0)))</f>
        <v>81.545625000000015</v>
      </c>
      <c r="U281" s="84">
        <f>IF(INDEX(lmic_raw_ub[],MATCH($A281,lmic_raw_ub[[setting]:[setting]],0), MATCH(U$277, lmic_raw_ub[#Headers],0))=0, INDEX(regions_ub[], MATCH($D281, regions_ub[[setting]:[setting]],0), MATCH(U$139, regions_ub[#Headers],0)),INDEX(lmic_raw_ub[],MATCH($A281,lmic_raw_ub[[setting]:[setting]],0), MATCH(U$277, lmic_raw_ub[#Headers],0)))</f>
        <v>81.545625000000015</v>
      </c>
      <c r="V281" s="84">
        <f>IF(INDEX(lmic_raw_ub[],MATCH($A281,lmic_raw_ub[[setting]:[setting]],0), MATCH(V$277, lmic_raw_ub[#Headers],0))=0, INDEX(regions_ub[], MATCH($D281, regions_ub[[setting]:[setting]],0), MATCH(V$139, regions_ub[#Headers],0)),INDEX(lmic_raw_ub[],MATCH($A281,lmic_raw_ub[[setting]:[setting]],0), MATCH(V$277, lmic_raw_ub[#Headers],0)))</f>
        <v>3.7777543650024743</v>
      </c>
      <c r="W281" s="84">
        <f>IF(INDEX(lmic_raw_ub[],MATCH($A281,lmic_raw_ub[[setting]:[setting]],0), MATCH(W$277, lmic_raw_ub[#Headers],0))=0, INDEX(regions_ub[], MATCH($D281, regions_ub[[setting]:[setting]],0), MATCH(W$139, regions_ub[#Headers],0)),INDEX(lmic_raw_ub[],MATCH($A281,lmic_raw_ub[[setting]:[setting]],0), MATCH(W$277, lmic_raw_ub[#Headers],0)))</f>
        <v>8.8478893650024748</v>
      </c>
      <c r="X281" s="84">
        <f>IF(INDEX(lmic_raw_ub[],MATCH($A281,lmic_raw_ub[[setting]:[setting]],0), MATCH(X$277, lmic_raw_ub[#Headers],0))=0, INDEX(regions_ub[], MATCH($D281, regions_ub[[setting]:[setting]],0), MATCH(X$139, regions_ub[#Headers],0)),INDEX(lmic_raw_ub[],MATCH($A281,lmic_raw_ub[[setting]:[setting]],0), MATCH(X$277, lmic_raw_ub[#Headers],0)))</f>
        <v>3.2627513408903166</v>
      </c>
      <c r="Y281" s="84">
        <f>IF(INDEX(lmic_raw_ub[],MATCH($A281,lmic_raw_ub[[setting]:[setting]],0), MATCH(Y$277, lmic_raw_ub[#Headers],0))=0, INDEX(regions_ub[], MATCH($D281, regions_ub[[setting]:[setting]],0), MATCH(Y$139, regions_ub[#Headers],0)),INDEX(lmic_raw_ub[],MATCH($A281,lmic_raw_ub[[setting]:[setting]],0), MATCH(Y$277, lmic_raw_ub[#Headers],0)))</f>
        <v>8.3328863408903171</v>
      </c>
      <c r="Z281" s="84">
        <f>IF(INDEX(lmic_raw_ub[],MATCH($A281,lmic_raw_ub[[setting]:[setting]],0), MATCH(Z$277, lmic_raw_ub[#Headers],0))=0, INDEX(regions_ub[], MATCH($D281, regions_ub[[setting]:[setting]],0), MATCH(Z$139, regions_ub[#Headers],0)),INDEX(lmic_raw_ub[],MATCH($A281,lmic_raw_ub[[setting]:[setting]],0), MATCH(Z$277, lmic_raw_ub[#Headers],0)))</f>
        <v>8.3147070490015302</v>
      </c>
      <c r="AA281" s="84">
        <f>IF(INDEX(lmic_raw_ub[],MATCH($A281,lmic_raw_ub[[setting]:[setting]],0), MATCH(AA$277, lmic_raw_ub[#Headers],0))=0, INDEX(regions_ub[], MATCH($D281, regions_ub[[setting]:[setting]],0), MATCH(AA$139, regions_ub[#Headers],0)),INDEX(lmic_raw_ub[],MATCH($A281,lmic_raw_ub[[setting]:[setting]],0), MATCH(AA$277, lmic_raw_ub[#Headers],0)))</f>
        <v>4.0507313367513937</v>
      </c>
      <c r="AB281" s="84">
        <f>IF(INDEX(lmic_raw_ub[],MATCH($A281,lmic_raw_ub[[setting]:[setting]],0), MATCH(AB$277, lmic_raw_ub[#Headers],0))=0, INDEX(regions_ub[], MATCH($D281, regions_ub[[setting]:[setting]],0), MATCH(AB$139, regions_ub[#Headers],0)),INDEX(lmic_raw_ub[],MATCH($A281,lmic_raw_ub[[setting]:[setting]],0), MATCH(AB$277, lmic_raw_ub[#Headers],0)))</f>
        <v>9.1208663367513942</v>
      </c>
      <c r="AC281" s="84">
        <f>IF(INDEX(lmic_raw_ub[],MATCH($A281,lmic_raw_ub[[setting]:[setting]],0), MATCH(AC$277, lmic_raw_ub[#Headers],0))=0, INDEX(regions_ub[], MATCH($D281, regions_ub[[setting]:[setting]],0), MATCH(AC$139, regions_ub[#Headers],0)),INDEX(lmic_raw_ub[],MATCH($A281,lmic_raw_ub[[setting]:[setting]],0), MATCH(AC$277, lmic_raw_ub[#Headers],0)))</f>
        <v>6.4532390999999953E-2</v>
      </c>
      <c r="AD281" s="84">
        <f>IF(INDEX(lmic_raw_ub[],MATCH($A281,lmic_raw_ub[[setting]:[setting]],0), MATCH(AD$277, lmic_raw_ub[#Headers],0))=0, INDEX(regions_ub[], MATCH($D281, regions_ub[[setting]:[setting]],0), MATCH(AD$139, regions_ub[#Headers],0)),INDEX(lmic_raw_ub[],MATCH($A281,lmic_raw_ub[[setting]:[setting]],0), MATCH(AD$277, lmic_raw_ub[#Headers],0)))</f>
        <v>5.4345303321887391E-3</v>
      </c>
      <c r="AE281" s="84">
        <f>IF(INDEX(lmic_raw_ub[],MATCH($A281,lmic_raw_ub[[setting]:[setting]],0), MATCH(AE$277, lmic_raw_ub[#Headers],0))=0, INDEX(regions_ub[], MATCH($D281, regions_ub[[setting]:[setting]],0), MATCH(AE$139, regions_ub[#Headers],0)),INDEX(lmic_raw_ub[],MATCH($A281,lmic_raw_ub[[setting]:[setting]],0), MATCH(AE$277, lmic_raw_ub[#Headers],0)))</f>
        <v>2.0035212324966667E-3</v>
      </c>
      <c r="AF281" s="84">
        <f>IF(INDEX(lmic_raw_ub[],MATCH($A281,lmic_raw_ub[[setting]:[setting]],0), MATCH(AF$277, lmic_raw_ub[#Headers],0))=0, INDEX(regions_ub[], MATCH($D281, regions_ub[[setting]:[setting]],0), MATCH(AF$139, regions_ub[#Headers],0)),INDEX(lmic_raw_ub[],MATCH($A281,lmic_raw_ub[[setting]:[setting]],0), MATCH(AF$277, lmic_raw_ub[#Headers],0)))</f>
        <v>1.4609876587366316E-3</v>
      </c>
      <c r="AG281" s="84">
        <f>IF(INDEX(lmic_raw_ub[],MATCH($A281,lmic_raw_ub[[setting]:[setting]],0), MATCH(AG$277, lmic_raw_ub[#Headers],0))=0, INDEX(regions_ub[], MATCH($D281, regions_ub[[setting]:[setting]],0), MATCH(AG$139, regions_ub[#Headers],0)),INDEX(lmic_raw_ub[],MATCH($A281,lmic_raw_ub[[setting]:[setting]],0), MATCH(AG$277, lmic_raw_ub[#Headers],0)))</f>
        <v>2.4542422109967385E-3</v>
      </c>
      <c r="AH281" s="84">
        <f>IF(INDEX(lmic_raw_ub[],MATCH($A281,lmic_raw_ub[[setting]:[setting]],0), MATCH(AH$277, lmic_raw_ub[#Headers],0))=0, INDEX(regions_ub[], MATCH($D281, regions_ub[[setting]:[setting]],0), MATCH(AH$139, regions_ub[#Headers],0)),INDEX(lmic_raw_ub[],MATCH($A281,lmic_raw_ub[[setting]:[setting]],0), MATCH(AH$277, lmic_raw_ub[#Headers],0)))</f>
        <v>3.4179070351698709E-3</v>
      </c>
      <c r="AI281" s="84">
        <f>IF(INDEX(lmic_raw_ub[],MATCH($A281,lmic_raw_ub[[setting]:[setting]],0), MATCH(AI$277, lmic_raw_ub[#Headers],0))=0, INDEX(regions_ub[], MATCH($D281, regions_ub[[setting]:[setting]],0), MATCH(AI$139, regions_ub[#Headers],0)),INDEX(lmic_raw_ub[],MATCH($A281,lmic_raw_ub[[setting]:[setting]],0), MATCH(AI$277, lmic_raw_ub[#Headers],0)))</f>
        <v>3.768052153565302E-3</v>
      </c>
      <c r="AJ281" s="84">
        <f>IF(INDEX(lmic_raw_ub[],MATCH($A281,lmic_raw_ub[[setting]:[setting]],0), MATCH(AJ$277, lmic_raw_ub[#Headers],0))=0, INDEX(regions_ub[], MATCH($D281, regions_ub[[setting]:[setting]],0), MATCH(AJ$139, regions_ub[#Headers],0)),INDEX(lmic_raw_ub[],MATCH($A281,lmic_raw_ub[[setting]:[setting]],0), MATCH(AJ$277, lmic_raw_ub[#Headers],0)))</f>
        <v>4.3477773916513248E-3</v>
      </c>
      <c r="AK281" s="84">
        <f>IF(INDEX(lmic_raw_ub[],MATCH($A281,lmic_raw_ub[[setting]:[setting]],0), MATCH(AK$277, lmic_raw_ub[#Headers],0))=0, INDEX(regions_ub[], MATCH($D281, regions_ub[[setting]:[setting]],0), MATCH(AK$139, regions_ub[#Headers],0)),INDEX(lmic_raw_ub[],MATCH($A281,lmic_raw_ub[[setting]:[setting]],0), MATCH(AK$277, lmic_raw_ub[#Headers],0)))</f>
        <v>5.3956705024911181E-3</v>
      </c>
      <c r="AL281" s="84">
        <f>IF(INDEX(lmic_raw_ub[],MATCH($A281,lmic_raw_ub[[setting]:[setting]],0), MATCH(AL$277, lmic_raw_ub[#Headers],0))=0, INDEX(regions_ub[], MATCH($D281, regions_ub[[setting]:[setting]],0), MATCH(AL$139, regions_ub[#Headers],0)),INDEX(lmic_raw_ub[],MATCH($A281,lmic_raw_ub[[setting]:[setting]],0), MATCH(AL$277, lmic_raw_ub[#Headers],0)))</f>
        <v>6.9254589752708491E-3</v>
      </c>
      <c r="AM281" s="84">
        <f>IF(INDEX(lmic_raw_ub[],MATCH($A281,lmic_raw_ub[[setting]:[setting]],0), MATCH(AM$277, lmic_raw_ub[#Headers],0))=0, INDEX(regions_ub[], MATCH($D281, regions_ub[[setting]:[setting]],0), MATCH(AM$139, regions_ub[#Headers],0)),INDEX(lmic_raw_ub[],MATCH($A281,lmic_raw_ub[[setting]:[setting]],0), MATCH(AM$277, lmic_raw_ub[#Headers],0)))</f>
        <v>9.2541198961064025E-3</v>
      </c>
      <c r="AN281" s="84">
        <f>IF(INDEX(lmic_raw_ub[],MATCH($A281,lmic_raw_ub[[setting]:[setting]],0), MATCH(AN$277, lmic_raw_ub[#Headers],0))=0, INDEX(regions_ub[], MATCH($D281, regions_ub[[setting]:[setting]],0), MATCH(AN$139, regions_ub[#Headers],0)),INDEX(lmic_raw_ub[],MATCH($A281,lmic_raw_ub[[setting]:[setting]],0), MATCH(AN$277, lmic_raw_ub[#Headers],0)))</f>
        <v>1.2954744915703672E-2</v>
      </c>
      <c r="AO281" s="84">
        <f>IF(INDEX(lmic_raw_ub[],MATCH($A281,lmic_raw_ub[[setting]:[setting]],0), MATCH(AO$277, lmic_raw_ub[#Headers],0))=0, INDEX(regions_ub[], MATCH($D281, regions_ub[[setting]:[setting]],0), MATCH(AO$139, regions_ub[#Headers],0)),INDEX(lmic_raw_ub[],MATCH($A281,lmic_raw_ub[[setting]:[setting]],0), MATCH(AO$277, lmic_raw_ub[#Headers],0)))</f>
        <v>1.8256968023479328E-2</v>
      </c>
      <c r="AP281" s="84">
        <f>IF(INDEX(lmic_raw_ub[],MATCH($A281,lmic_raw_ub[[setting]:[setting]],0), MATCH(AP$277, lmic_raw_ub[#Headers],0))=0, INDEX(regions_ub[], MATCH($D281, regions_ub[[setting]:[setting]],0), MATCH(AP$139, regions_ub[#Headers],0)),INDEX(lmic_raw_ub[],MATCH($A281,lmic_raw_ub[[setting]:[setting]],0), MATCH(AP$277, lmic_raw_ub[#Headers],0)))</f>
        <v>2.692097326954649E-2</v>
      </c>
      <c r="AQ281" s="84">
        <f>IF(INDEX(lmic_raw_ub[],MATCH($A281,lmic_raw_ub[[setting]:[setting]],0), MATCH(AQ$277, lmic_raw_ub[#Headers],0))=0, INDEX(regions_ub[], MATCH($D281, regions_ub[[setting]:[setting]],0), MATCH(AQ$139, regions_ub[#Headers],0)),INDEX(lmic_raw_ub[],MATCH($A281,lmic_raw_ub[[setting]:[setting]],0), MATCH(AQ$277, lmic_raw_ub[#Headers],0)))</f>
        <v>3.9478208605023296E-2</v>
      </c>
      <c r="AR281" s="84">
        <f>IF(INDEX(lmic_raw_ub[],MATCH($A281,lmic_raw_ub[[setting]:[setting]],0), MATCH(AR$277, lmic_raw_ub[#Headers],0))=0, INDEX(regions_ub[], MATCH($D281, regions_ub[[setting]:[setting]],0), MATCH(AR$139, regions_ub[#Headers],0)),INDEX(lmic_raw_ub[],MATCH($A281,lmic_raw_ub[[setting]:[setting]],0), MATCH(AR$277, lmic_raw_ub[#Headers],0)))</f>
        <v>5.8337463884613729E-2</v>
      </c>
      <c r="AS281" s="84">
        <f>IF(INDEX(lmic_raw_ub[],MATCH($A281,lmic_raw_ub[[setting]:[setting]],0), MATCH(AS$277, lmic_raw_ub[#Headers],0))=0, INDEX(regions_ub[], MATCH($D281, regions_ub[[setting]:[setting]],0), MATCH(AS$139, regions_ub[#Headers],0)),INDEX(lmic_raw_ub[],MATCH($A281,lmic_raw_ub[[setting]:[setting]],0), MATCH(AS$277, lmic_raw_ub[#Headers],0)))</f>
        <v>8.3809307516354445E-2</v>
      </c>
      <c r="AT281" s="84">
        <f>IF(INDEX(lmic_raw_ub[],MATCH($A281,lmic_raw_ub[[setting]:[setting]],0), MATCH(AT$277, lmic_raw_ub[#Headers],0))=0, INDEX(regions_ub[], MATCH($D281, regions_ub[[setting]:[setting]],0), MATCH(AT$139, regions_ub[#Headers],0)),INDEX(lmic_raw_ub[],MATCH($A281,lmic_raw_ub[[setting]:[setting]],0), MATCH(AT$277, lmic_raw_ub[#Headers],0)))</f>
        <v>0.1142624331279386</v>
      </c>
      <c r="AU281" s="84">
        <f>IF(INDEX(lmic_raw_ub[],MATCH($A281,lmic_raw_ub[[setting]:[setting]],0), MATCH(AU$277, lmic_raw_ub[#Headers],0))=0, INDEX(regions_ub[], MATCH($D281, regions_ub[[setting]:[setting]],0), MATCH(AU$139, regions_ub[#Headers],0)),INDEX(lmic_raw_ub[],MATCH($A281,lmic_raw_ub[[setting]:[setting]],0), MATCH(AU$277, lmic_raw_ub[#Headers],0)))</f>
        <v>0.14275897860953365</v>
      </c>
      <c r="AV281" s="84">
        <f>IF(INDEX(lmic_raw_ub[],MATCH($A281,lmic_raw_ub[[setting]:[setting]],0), MATCH(AV$277, lmic_raw_ub[#Headers],0))=0, INDEX(regions_ub[], MATCH($D281, regions_ub[[setting]:[setting]],0), MATCH(AV$139, regions_ub[#Headers],0)),INDEX(lmic_raw_ub[],MATCH($A281,lmic_raw_ub[[setting]:[setting]],0), MATCH(AV$277, lmic_raw_ub[#Headers],0)))</f>
        <v>0.16790287143768604</v>
      </c>
      <c r="AW281" s="84">
        <f>IF(INDEX(lmic_raw_ub[],MATCH($A281,lmic_raw_ub[[setting]:[setting]],0), MATCH(AW$277, lmic_raw_ub[#Headers],0))=0, INDEX(regions_ub[], MATCH($D281, regions_ub[[setting]:[setting]],0), MATCH(AW$139, regions_ub[#Headers],0)),INDEX(lmic_raw_ub[],MATCH($A281,lmic_raw_ub[[setting]:[setting]],0), MATCH(AW$277, lmic_raw_ub[#Headers],0)))</f>
        <v>0.18688489258104082</v>
      </c>
      <c r="AX281" s="84">
        <f>IF(INDEX(lmic_raw_ub[],MATCH($A281,lmic_raw_ub[[setting]:[setting]],0), MATCH(AX$277, lmic_raw_ub[#Headers],0))=0, INDEX(regions_ub[], MATCH($D281, regions_ub[[setting]:[setting]],0), MATCH(AX$139, regions_ub[#Headers],0)),INDEX(lmic_raw_ub[],MATCH($A281,lmic_raw_ub[[setting]:[setting]],0), MATCH(AX$277, lmic_raw_ub[#Headers],0)))</f>
        <v>63.567</v>
      </c>
      <c r="AY281" s="33" t="str">
        <f>IF(VLOOKUP(lmics_ub[[#This Row],[setting]],lmic_raw_ub[],11,FALSE)=0, "Yes", "No")</f>
        <v>Yes</v>
      </c>
    </row>
    <row r="282" spans="1:51" x14ac:dyDescent="0.25">
      <c r="A282" s="109" t="s">
        <v>262</v>
      </c>
      <c r="B282" s="101" t="s">
        <v>373</v>
      </c>
      <c r="C282" s="102">
        <v>32</v>
      </c>
      <c r="D282" s="82" t="s">
        <v>679</v>
      </c>
      <c r="E282" s="82" t="s">
        <v>583</v>
      </c>
      <c r="F282" s="82" t="s">
        <v>665</v>
      </c>
      <c r="G282" s="82" t="s">
        <v>676</v>
      </c>
      <c r="J282" s="84">
        <f>IF(INDEX(lmic_raw_ub[],MATCH($A282,lmic_raw_ub[[setting]:[setting]],0), MATCH(J$277, lmic_raw_ub[#Headers],0))=0, INDEX(regions_ub[], MATCH($D282, regions_ub[[setting]:[setting]],0), MATCH(J$139, regions_ub[#Headers],0)),INDEX(lmic_raw_ub[],MATCH($A282,lmic_raw_ub[[setting]:[setting]],0), MATCH(J$277, lmic_raw_ub[#Headers],0)))</f>
        <v>0.99990000000000001</v>
      </c>
      <c r="K282" s="84">
        <f>IF(INDEX(lmic_raw_ub[],MATCH($A282,lmic_raw_ub[[setting]:[setting]],0), MATCH(K$277, lmic_raw_ub[#Headers],0))=0, INDEX(regions_ub[], MATCH($D282, regions_ub[[setting]:[setting]],0), MATCH(K$139, regions_ub[#Headers],0)),INDEX(lmic_raw_ub[],MATCH($A282,lmic_raw_ub[[setting]:[setting]],0), MATCH(K$277, lmic_raw_ub[#Headers],0)))</f>
        <v>0.86099999999999999</v>
      </c>
      <c r="L282" s="84">
        <f>IF(INDEX(lmic_raw_ub[],MATCH($A282,lmic_raw_ub[[setting]:[setting]],0), MATCH(L$277, lmic_raw_ub[#Headers],0))=0, INDEX(regions_ub[], MATCH($D282, regions_ub[[setting]:[setting]],0), MATCH(L$139, regions_ub[#Headers],0)),INDEX(lmic_raw_ub[],MATCH($A282,lmic_raw_ub[[setting]:[setting]],0), MATCH(L$277, lmic_raw_ub[#Headers],0)))</f>
        <v>0.90300000000000002</v>
      </c>
      <c r="M282" s="84">
        <f>IF(INDEX(lmic_raw_ub[],MATCH($A282,lmic_raw_ub[[setting]:[setting]],0), MATCH(M$277, lmic_raw_ub[#Headers],0))=0, INDEX(regions_ub[], MATCH($D282, regions_ub[[setting]:[setting]],0), MATCH(M$139, regions_ub[#Headers],0)),INDEX(lmic_raw_ub[],MATCH($A282,lmic_raw_ub[[setting]:[setting]],0), MATCH(M$277, lmic_raw_ub[#Headers],0)))</f>
        <v>8.9999999999999998E-4</v>
      </c>
      <c r="N282" s="84">
        <f>IF(INDEX(lmic_raw_ub[],MATCH($A282,lmic_raw_ub[[setting]:[setting]],0), MATCH(N$277, lmic_raw_ub[#Headers],0))=0, INDEX(regions_ub[], MATCH($D282, regions_ub[[setting]:[setting]],0), MATCH(N$139, regions_ub[#Headers],0)),INDEX(lmic_raw_ub[],MATCH($A282,lmic_raw_ub[[setting]:[setting]],0), MATCH(N$277, lmic_raw_ub[#Headers],0)))</f>
        <v>0.45710000000000001</v>
      </c>
      <c r="O282" s="84">
        <f>IF(INDEX(lmic_raw_ub[],MATCH($A282,lmic_raw_ub[[setting]:[setting]],0), MATCH(O$277, lmic_raw_ub[#Headers],0))=0, INDEX(regions_ub[], MATCH($D282, regions_ub[[setting]:[setting]],0), MATCH(O$139, regions_ub[#Headers],0)),INDEX(lmic_raw_ub[],MATCH($A282,lmic_raw_ub[[setting]:[setting]],0), MATCH(O$277, lmic_raw_ub[#Headers],0)))</f>
        <v>0.9</v>
      </c>
      <c r="P282" s="84">
        <f>IF(INDEX(lmic_raw_ub[],MATCH($A282,lmic_raw_ub[[setting]:[setting]],0), MATCH(P$277, lmic_raw_ub[#Headers],0))=0, INDEX(regions_ub[], MATCH($D282, regions_ub[[setting]:[setting]],0), MATCH(P$139, regions_ub[#Headers],0)),INDEX(lmic_raw_ub[],MATCH($A282,lmic_raw_ub[[setting]:[setting]],0), MATCH(P$277, lmic_raw_ub[#Headers],0)))</f>
        <v>0.3</v>
      </c>
      <c r="Q282" s="84">
        <f>IF(INDEX(lmic_raw_ub[],MATCH($A282,lmic_raw_ub[[setting]:[setting]],0), MATCH(Q$277, lmic_raw_ub[#Headers],0))=0, INDEX(regions_ub[], MATCH($D282, regions_ub[[setting]:[setting]],0), MATCH(Q$139, regions_ub[#Headers],0)),INDEX(lmic_raw_ub[],MATCH($A282,lmic_raw_ub[[setting]:[setting]],0), MATCH(Q$277, lmic_raw_ub[#Headers],0)))</f>
        <v>16.873805453183842</v>
      </c>
      <c r="R282" s="84">
        <f>IF(INDEX(lmic_raw_ub[],MATCH($A282,lmic_raw_ub[[setting]:[setting]],0), MATCH(R$277, lmic_raw_ub[#Headers],0))=0, INDEX(regions_ub[], MATCH($D282, regions_ub[[setting]:[setting]],0), MATCH(R$139, regions_ub[#Headers],0)),INDEX(lmic_raw_ub[],MATCH($A282,lmic_raw_ub[[setting]:[setting]],0), MATCH(R$277, lmic_raw_ub[#Headers],0)))</f>
        <v>91.228094999999996</v>
      </c>
      <c r="S282" s="84">
        <f>IF(INDEX(lmic_raw_ub[],MATCH($A282,lmic_raw_ub[[setting]:[setting]],0), MATCH(S$277, lmic_raw_ub[#Headers],0))=0, INDEX(regions_ub[], MATCH($D282, regions_ub[[setting]:[setting]],0), MATCH(S$139, regions_ub[#Headers],0)),INDEX(lmic_raw_ub[],MATCH($A282,lmic_raw_ub[[setting]:[setting]],0), MATCH(S$277, lmic_raw_ub[#Headers],0)))</f>
        <v>141.35719500000002</v>
      </c>
      <c r="T282" s="84">
        <f>IF(INDEX(lmic_raw_ub[],MATCH($A282,lmic_raw_ub[[setting]:[setting]],0), MATCH(T$277, lmic_raw_ub[#Headers],0))=0, INDEX(regions_ub[], MATCH($D282, regions_ub[[setting]:[setting]],0), MATCH(T$139, regions_ub[#Headers],0)),INDEX(lmic_raw_ub[],MATCH($A282,lmic_raw_ub[[setting]:[setting]],0), MATCH(T$277, lmic_raw_ub[#Headers],0)))</f>
        <v>141.35719500000002</v>
      </c>
      <c r="U282" s="84">
        <f>IF(INDEX(lmic_raw_ub[],MATCH($A282,lmic_raw_ub[[setting]:[setting]],0), MATCH(U$277, lmic_raw_ub[#Headers],0))=0, INDEX(regions_ub[], MATCH($D282, regions_ub[[setting]:[setting]],0), MATCH(U$139, regions_ub[#Headers],0)),INDEX(lmic_raw_ub[],MATCH($A282,lmic_raw_ub[[setting]:[setting]],0), MATCH(U$277, lmic_raw_ub[#Headers],0)))</f>
        <v>141.35719500000002</v>
      </c>
      <c r="V282" s="84">
        <f>IF(INDEX(lmic_raw_ub[],MATCH($A282,lmic_raw_ub[[setting]:[setting]],0), MATCH(V$277, lmic_raw_ub[#Headers],0))=0, INDEX(regions_ub[], MATCH($D282, regions_ub[[setting]:[setting]],0), MATCH(V$139, regions_ub[#Headers],0)),INDEX(lmic_raw_ub[],MATCH($A282,lmic_raw_ub[[setting]:[setting]],0), MATCH(V$277, lmic_raw_ub[#Headers],0)))</f>
        <v>9.4288086842383727</v>
      </c>
      <c r="W282" s="84">
        <f>IF(INDEX(lmic_raw_ub[],MATCH($A282,lmic_raw_ub[[setting]:[setting]],0), MATCH(W$277, lmic_raw_ub[#Headers],0))=0, INDEX(regions_ub[], MATCH($D282, regions_ub[[setting]:[setting]],0), MATCH(W$139, regions_ub[#Headers],0)),INDEX(lmic_raw_ub[],MATCH($A282,lmic_raw_ub[[setting]:[setting]],0), MATCH(W$277, lmic_raw_ub[#Headers],0)))</f>
        <v>9.451698684238373</v>
      </c>
      <c r="X282" s="84">
        <f>IF(INDEX(lmic_raw_ub[],MATCH($A282,lmic_raw_ub[[setting]:[setting]],0), MATCH(X$277, lmic_raw_ub[#Headers],0))=0, INDEX(regions_ub[], MATCH($D282, regions_ub[[setting]:[setting]],0), MATCH(X$139, regions_ub[#Headers],0)),INDEX(lmic_raw_ub[],MATCH($A282,lmic_raw_ub[[setting]:[setting]],0), MATCH(X$277, lmic_raw_ub[#Headers],0)))</f>
        <v>8.8830672192572031</v>
      </c>
      <c r="Y282" s="84">
        <f>IF(INDEX(lmic_raw_ub[],MATCH($A282,lmic_raw_ub[[setting]:[setting]],0), MATCH(Y$277, lmic_raw_ub[#Headers],0))=0, INDEX(regions_ub[], MATCH($D282, regions_ub[[setting]:[setting]],0), MATCH(Y$139, regions_ub[#Headers],0)),INDEX(lmic_raw_ub[],MATCH($A282,lmic_raw_ub[[setting]:[setting]],0), MATCH(Y$277, lmic_raw_ub[#Headers],0)))</f>
        <v>8.9059572192572034</v>
      </c>
      <c r="Z282" s="84">
        <f>IF(INDEX(lmic_raw_ub[],MATCH($A282,lmic_raw_ub[[setting]:[setting]],0), MATCH(Z$277, lmic_raw_ub[#Headers],0))=0, INDEX(regions_ub[], MATCH($D282, regions_ub[[setting]:[setting]],0), MATCH(Z$139, regions_ub[#Headers],0)),INDEX(lmic_raw_ub[],MATCH($A282,lmic_raw_ub[[setting]:[setting]],0), MATCH(Z$277, lmic_raw_ub[#Headers],0)))</f>
        <v>8.869161501083882</v>
      </c>
      <c r="AA282" s="84">
        <f>IF(INDEX(lmic_raw_ub[],MATCH($A282,lmic_raw_ub[[setting]:[setting]],0), MATCH(AA$277, lmic_raw_ub[#Headers],0))=0, INDEX(regions_ub[], MATCH($D282, regions_ub[[setting]:[setting]],0), MATCH(AA$139, regions_ub[#Headers],0)),INDEX(lmic_raw_ub[],MATCH($A282,lmic_raw_ub[[setting]:[setting]],0), MATCH(AA$277, lmic_raw_ub[#Headers],0)))</f>
        <v>9.7087630934851656</v>
      </c>
      <c r="AB282" s="84">
        <f>IF(INDEX(lmic_raw_ub[],MATCH($A282,lmic_raw_ub[[setting]:[setting]],0), MATCH(AB$277, lmic_raw_ub[#Headers],0))=0, INDEX(regions_ub[], MATCH($D282, regions_ub[[setting]:[setting]],0), MATCH(AB$139, regions_ub[#Headers],0)),INDEX(lmic_raw_ub[],MATCH($A282,lmic_raw_ub[[setting]:[setting]],0), MATCH(AB$277, lmic_raw_ub[#Headers],0)))</f>
        <v>9.7316530934851659</v>
      </c>
      <c r="AC282" s="84">
        <f>IF(INDEX(lmic_raw_ub[],MATCH($A282,lmic_raw_ub[[setting]:[setting]],0), MATCH(AC$277, lmic_raw_ub[#Headers],0))=0, INDEX(regions_ub[], MATCH($D282, regions_ub[[setting]:[setting]],0), MATCH(AC$139, regions_ub[#Headers],0)),INDEX(lmic_raw_ub[],MATCH($A282,lmic_raw_ub[[setting]:[setting]],0), MATCH(AC$277, lmic_raw_ub[#Headers],0)))</f>
        <v>1.0736449500000002E-2</v>
      </c>
      <c r="AD282" s="84">
        <f>IF(INDEX(lmic_raw_ub[],MATCH($A282,lmic_raw_ub[[setting]:[setting]],0), MATCH(AD$277, lmic_raw_ub[#Headers],0))=0, INDEX(regions_ub[], MATCH($D282, regions_ub[[setting]:[setting]],0), MATCH(AD$139, regions_ub[#Headers],0)),INDEX(lmic_raw_ub[],MATCH($A282,lmic_raw_ub[[setting]:[setting]],0), MATCH(AD$277, lmic_raw_ub[#Headers],0)))</f>
        <v>4.3416769719570319E-4</v>
      </c>
      <c r="AE282" s="84">
        <f>IF(INDEX(lmic_raw_ub[],MATCH($A282,lmic_raw_ub[[setting]:[setting]],0), MATCH(AE$277, lmic_raw_ub[#Headers],0))=0, INDEX(regions_ub[], MATCH($D282, regions_ub[[setting]:[setting]],0), MATCH(AE$139, regions_ub[#Headers],0)),INDEX(lmic_raw_ub[],MATCH($A282,lmic_raw_ub[[setting]:[setting]],0), MATCH(AE$277, lmic_raw_ub[#Headers],0)))</f>
        <v>1.9141551873711539E-4</v>
      </c>
      <c r="AF282" s="84">
        <f>IF(INDEX(lmic_raw_ub[],MATCH($A282,lmic_raw_ub[[setting]:[setting]],0), MATCH(AF$277, lmic_raw_ub[#Headers],0))=0, INDEX(regions_ub[], MATCH($D282, regions_ub[[setting]:[setting]],0), MATCH(AF$139, regions_ub[#Headers],0)),INDEX(lmic_raw_ub[],MATCH($A282,lmic_raw_ub[[setting]:[setting]],0), MATCH(AF$277, lmic_raw_ub[#Headers],0)))</f>
        <v>2.5058662202167312E-4</v>
      </c>
      <c r="AG282" s="84">
        <f>IF(INDEX(lmic_raw_ub[],MATCH($A282,lmic_raw_ub[[setting]:[setting]],0), MATCH(AG$277, lmic_raw_ub[#Headers],0))=0, INDEX(regions_ub[], MATCH($D282, regions_ub[[setting]:[setting]],0), MATCH(AG$139, regions_ub[#Headers],0)),INDEX(lmic_raw_ub[],MATCH($A282,lmic_raw_ub[[setting]:[setting]],0), MATCH(AG$277, lmic_raw_ub[#Headers],0)))</f>
        <v>7.8013312022640264E-4</v>
      </c>
      <c r="AH282" s="84">
        <f>IF(INDEX(lmic_raw_ub[],MATCH($A282,lmic_raw_ub[[setting]:[setting]],0), MATCH(AH$277, lmic_raw_ub[#Headers],0))=0, INDEX(regions_ub[], MATCH($D282, regions_ub[[setting]:[setting]],0), MATCH(AH$139, regions_ub[#Headers],0)),INDEX(lmic_raw_ub[],MATCH($A282,lmic_raw_ub[[setting]:[setting]],0), MATCH(AH$277, lmic_raw_ub[#Headers],0)))</f>
        <v>1.0731976901898542E-3</v>
      </c>
      <c r="AI282" s="84">
        <f>IF(INDEX(lmic_raw_ub[],MATCH($A282,lmic_raw_ub[[setting]:[setting]],0), MATCH(AI$277, lmic_raw_ub[#Headers],0))=0, INDEX(regions_ub[], MATCH($D282, regions_ub[[setting]:[setting]],0), MATCH(AI$139, regions_ub[#Headers],0)),INDEX(lmic_raw_ub[],MATCH($A282,lmic_raw_ub[[setting]:[setting]],0), MATCH(AI$277, lmic_raw_ub[#Headers],0)))</f>
        <v>1.0793786203272516E-3</v>
      </c>
      <c r="AJ282" s="84">
        <f>IF(INDEX(lmic_raw_ub[],MATCH($A282,lmic_raw_ub[[setting]:[setting]],0), MATCH(AJ$277, lmic_raw_ub[#Headers],0))=0, INDEX(regions_ub[], MATCH($D282, regions_ub[[setting]:[setting]],0), MATCH(AJ$139, regions_ub[#Headers],0)),INDEX(lmic_raw_ub[],MATCH($A282,lmic_raw_ub[[setting]:[setting]],0), MATCH(AJ$277, lmic_raw_ub[#Headers],0)))</f>
        <v>1.2233884119593069E-3</v>
      </c>
      <c r="AK282" s="84">
        <f>IF(INDEX(lmic_raw_ub[],MATCH($A282,lmic_raw_ub[[setting]:[setting]],0), MATCH(AK$277, lmic_raw_ub[#Headers],0))=0, INDEX(regions_ub[], MATCH($D282, regions_ub[[setting]:[setting]],0), MATCH(AK$139, regions_ub[#Headers],0)),INDEX(lmic_raw_ub[],MATCH($A282,lmic_raw_ub[[setting]:[setting]],0), MATCH(AK$277, lmic_raw_ub[#Headers],0)))</f>
        <v>1.4810442455537233E-3</v>
      </c>
      <c r="AL282" s="84">
        <f>IF(INDEX(lmic_raw_ub[],MATCH($A282,lmic_raw_ub[[setting]:[setting]],0), MATCH(AL$277, lmic_raw_ub[#Headers],0))=0, INDEX(regions_ub[], MATCH($D282, regions_ub[[setting]:[setting]],0), MATCH(AL$139, regions_ub[#Headers],0)),INDEX(lmic_raw_ub[],MATCH($A282,lmic_raw_ub[[setting]:[setting]],0), MATCH(AL$277, lmic_raw_ub[#Headers],0)))</f>
        <v>2.0877274634634089E-3</v>
      </c>
      <c r="AM282" s="84">
        <f>IF(INDEX(lmic_raw_ub[],MATCH($A282,lmic_raw_ub[[setting]:[setting]],0), MATCH(AM$277, lmic_raw_ub[#Headers],0))=0, INDEX(regions_ub[], MATCH($D282, regions_ub[[setting]:[setting]],0), MATCH(AM$139, regions_ub[#Headers],0)),INDEX(lmic_raw_ub[],MATCH($A282,lmic_raw_ub[[setting]:[setting]],0), MATCH(AM$277, lmic_raw_ub[#Headers],0)))</f>
        <v>3.3055776573060304E-3</v>
      </c>
      <c r="AN282" s="84">
        <f>IF(INDEX(lmic_raw_ub[],MATCH($A282,lmic_raw_ub[[setting]:[setting]],0), MATCH(AN$277, lmic_raw_ub[#Headers],0))=0, INDEX(regions_ub[], MATCH($D282, regions_ub[[setting]:[setting]],0), MATCH(AN$139, regions_ub[#Headers],0)),INDEX(lmic_raw_ub[],MATCH($A282,lmic_raw_ub[[setting]:[setting]],0), MATCH(AN$277, lmic_raw_ub[#Headers],0)))</f>
        <v>5.3326199456536919E-3</v>
      </c>
      <c r="AO282" s="84">
        <f>IF(INDEX(lmic_raw_ub[],MATCH($A282,lmic_raw_ub[[setting]:[setting]],0), MATCH(AO$277, lmic_raw_ub[#Headers],0))=0, INDEX(regions_ub[], MATCH($D282, regions_ub[[setting]:[setting]],0), MATCH(AO$139, regions_ub[#Headers],0)),INDEX(lmic_raw_ub[],MATCH($A282,lmic_raw_ub[[setting]:[setting]],0), MATCH(AO$277, lmic_raw_ub[#Headers],0)))</f>
        <v>8.7721580601406567E-3</v>
      </c>
      <c r="AP282" s="84">
        <f>IF(INDEX(lmic_raw_ub[],MATCH($A282,lmic_raw_ub[[setting]:[setting]],0), MATCH(AP$277, lmic_raw_ub[#Headers],0))=0, INDEX(regions_ub[], MATCH($D282, regions_ub[[setting]:[setting]],0), MATCH(AP$139, regions_ub[#Headers],0)),INDEX(lmic_raw_ub[],MATCH($A282,lmic_raw_ub[[setting]:[setting]],0), MATCH(AP$277, lmic_raw_ub[#Headers],0)))</f>
        <v>1.317808429126319E-2</v>
      </c>
      <c r="AQ282" s="84">
        <f>IF(INDEX(lmic_raw_ub[],MATCH($A282,lmic_raw_ub[[setting]:[setting]],0), MATCH(AQ$277, lmic_raw_ub[#Headers],0))=0, INDEX(regions_ub[], MATCH($D282, regions_ub[[setting]:[setting]],0), MATCH(AQ$139, regions_ub[#Headers],0)),INDEX(lmic_raw_ub[],MATCH($A282,lmic_raw_ub[[setting]:[setting]],0), MATCH(AQ$277, lmic_raw_ub[#Headers],0)))</f>
        <v>1.9845803227046845E-2</v>
      </c>
      <c r="AR282" s="84">
        <f>IF(INDEX(lmic_raw_ub[],MATCH($A282,lmic_raw_ub[[setting]:[setting]],0), MATCH(AR$277, lmic_raw_ub[#Headers],0))=0, INDEX(regions_ub[], MATCH($D282, regions_ub[[setting]:[setting]],0), MATCH(AR$139, regions_ub[#Headers],0)),INDEX(lmic_raw_ub[],MATCH($A282,lmic_raw_ub[[setting]:[setting]],0), MATCH(AR$277, lmic_raw_ub[#Headers],0)))</f>
        <v>2.8971093230379819E-2</v>
      </c>
      <c r="AS282" s="84">
        <f>IF(INDEX(lmic_raw_ub[],MATCH($A282,lmic_raw_ub[[setting]:[setting]],0), MATCH(AS$277, lmic_raw_ub[#Headers],0))=0, INDEX(regions_ub[], MATCH($D282, regions_ub[[setting]:[setting]],0), MATCH(AS$139, regions_ub[#Headers],0)),INDEX(lmic_raw_ub[],MATCH($A282,lmic_raw_ub[[setting]:[setting]],0), MATCH(AS$277, lmic_raw_ub[#Headers],0)))</f>
        <v>4.3838290922772687E-2</v>
      </c>
      <c r="AT282" s="84">
        <f>IF(INDEX(lmic_raw_ub[],MATCH($A282,lmic_raw_ub[[setting]:[setting]],0), MATCH(AT$277, lmic_raw_ub[#Headers],0))=0, INDEX(regions_ub[], MATCH($D282, regions_ub[[setting]:[setting]],0), MATCH(AT$139, regions_ub[#Headers],0)),INDEX(lmic_raw_ub[],MATCH($A282,lmic_raw_ub[[setting]:[setting]],0), MATCH(AT$277, lmic_raw_ub[#Headers],0)))</f>
        <v>6.7833779370984573E-2</v>
      </c>
      <c r="AU282" s="84">
        <f>IF(INDEX(lmic_raw_ub[],MATCH($A282,lmic_raw_ub[[setting]:[setting]],0), MATCH(AU$277, lmic_raw_ub[#Headers],0))=0, INDEX(regions_ub[], MATCH($D282, regions_ub[[setting]:[setting]],0), MATCH(AU$139, regions_ub[#Headers],0)),INDEX(lmic_raw_ub[],MATCH($A282,lmic_raw_ub[[setting]:[setting]],0), MATCH(AU$277, lmic_raw_ub[#Headers],0)))</f>
        <v>9.9899218330876352E-2</v>
      </c>
      <c r="AV282" s="84">
        <f>IF(INDEX(lmic_raw_ub[],MATCH($A282,lmic_raw_ub[[setting]:[setting]],0), MATCH(AV$277, lmic_raw_ub[#Headers],0))=0, INDEX(regions_ub[], MATCH($D282, regions_ub[[setting]:[setting]],0), MATCH(AV$139, regions_ub[#Headers],0)),INDEX(lmic_raw_ub[],MATCH($A282,lmic_raw_ub[[setting]:[setting]],0), MATCH(AV$277, lmic_raw_ub[#Headers],0)))</f>
        <v>0.13596107349635994</v>
      </c>
      <c r="AW282" s="84">
        <f>IF(INDEX(lmic_raw_ub[],MATCH($A282,lmic_raw_ub[[setting]:[setting]],0), MATCH(AW$277, lmic_raw_ub[#Headers],0))=0, INDEX(regions_ub[], MATCH($D282, regions_ub[[setting]:[setting]],0), MATCH(AW$139, regions_ub[#Headers],0)),INDEX(lmic_raw_ub[],MATCH($A282,lmic_raw_ub[[setting]:[setting]],0), MATCH(AW$277, lmic_raw_ub[#Headers],0)))</f>
        <v>0.16932898311248859</v>
      </c>
      <c r="AX282" s="84">
        <f>IF(INDEX(lmic_raw_ub[],MATCH($A282,lmic_raw_ub[[setting]:[setting]],0), MATCH(AX$277, lmic_raw_ub[#Headers],0))=0, INDEX(regions_ub[], MATCH($D282, regions_ub[[setting]:[setting]],0), MATCH(AX$139, regions_ub[#Headers],0)),INDEX(lmic_raw_ub[],MATCH($A282,lmic_raw_ub[[setting]:[setting]],0), MATCH(AX$277, lmic_raw_ub[#Headers],0)))</f>
        <v>80.270399999999995</v>
      </c>
      <c r="AY282" s="33" t="str">
        <f>IF(VLOOKUP(lmics_ub[[#This Row],[setting]],lmic_raw_ub[],11,FALSE)=0, "Yes", "No")</f>
        <v>No</v>
      </c>
    </row>
    <row r="283" spans="1:51" x14ac:dyDescent="0.25">
      <c r="A283" s="110" t="s">
        <v>165</v>
      </c>
      <c r="B283" s="104" t="s">
        <v>374</v>
      </c>
      <c r="C283" s="105">
        <v>51</v>
      </c>
      <c r="D283" s="84" t="s">
        <v>675</v>
      </c>
      <c r="E283" s="84" t="s">
        <v>184</v>
      </c>
      <c r="F283" s="84" t="s">
        <v>663</v>
      </c>
      <c r="G283" s="84" t="s">
        <v>676</v>
      </c>
      <c r="J283" s="84">
        <f>IF(INDEX(lmic_raw_ub[],MATCH($A283,lmic_raw_ub[[setting]:[setting]],0), MATCH(J$277, lmic_raw_ub[#Headers],0))=0, INDEX(regions_ub[], MATCH($D283, regions_ub[[setting]:[setting]],0), MATCH(J$139, regions_ub[#Headers],0)),INDEX(lmic_raw_ub[],MATCH($A283,lmic_raw_ub[[setting]:[setting]],0), MATCH(J$277, lmic_raw_ub[#Headers],0)))</f>
        <v>0.99990000000000001</v>
      </c>
      <c r="K283" s="84">
        <f>IF(INDEX(lmic_raw_ub[],MATCH($A283,lmic_raw_ub[[setting]:[setting]],0), MATCH(K$277, lmic_raw_ub[#Headers],0))=0, INDEX(regions_ub[], MATCH($D283, regions_ub[[setting]:[setting]],0), MATCH(K$139, regions_ub[#Headers],0)),INDEX(lmic_raw_ub[],MATCH($A283,lmic_raw_ub[[setting]:[setting]],0), MATCH(K$277, lmic_raw_ub[#Headers],0)))</f>
        <v>0.99990000000000001</v>
      </c>
      <c r="L283" s="84">
        <f>IF(INDEX(lmic_raw_ub[],MATCH($A283,lmic_raw_ub[[setting]:[setting]],0), MATCH(L$277, lmic_raw_ub[#Headers],0))=0, INDEX(regions_ub[], MATCH($D283, regions_ub[[setting]:[setting]],0), MATCH(L$139, regions_ub[#Headers],0)),INDEX(lmic_raw_ub[],MATCH($A283,lmic_raw_ub[[setting]:[setting]],0), MATCH(L$277, lmic_raw_ub[#Headers],0)))</f>
        <v>0.96600000000000008</v>
      </c>
      <c r="M283" s="84">
        <f>IF(INDEX(lmic_raw_ub[],MATCH($A283,lmic_raw_ub[[setting]:[setting]],0), MATCH(M$277, lmic_raw_ub[#Headers],0))=0, INDEX(regions_ub[], MATCH($D283, regions_ub[[setting]:[setting]],0), MATCH(M$139, regions_ub[#Headers],0)),INDEX(lmic_raw_ub[],MATCH($A283,lmic_raw_ub[[setting]:[setting]],0), MATCH(M$277, lmic_raw_ub[#Headers],0)))</f>
        <v>0.1386</v>
      </c>
      <c r="N283" s="84">
        <f>IF(INDEX(lmic_raw_ub[],MATCH($A283,lmic_raw_ub[[setting]:[setting]],0), MATCH(N$277, lmic_raw_ub[#Headers],0))=0, INDEX(regions_ub[], MATCH($D283, regions_ub[[setting]:[setting]],0), MATCH(N$139, regions_ub[#Headers],0)),INDEX(lmic_raw_ub[],MATCH($A283,lmic_raw_ub[[setting]:[setting]],0), MATCH(N$277, lmic_raw_ub[#Headers],0)))</f>
        <v>0.43079999999999996</v>
      </c>
      <c r="O283" s="84">
        <f>IF(INDEX(lmic_raw_ub[],MATCH($A283,lmic_raw_ub[[setting]:[setting]],0), MATCH(O$277, lmic_raw_ub[#Headers],0))=0, INDEX(regions_ub[], MATCH($D283, regions_ub[[setting]:[setting]],0), MATCH(O$139, regions_ub[#Headers],0)),INDEX(lmic_raw_ub[],MATCH($A283,lmic_raw_ub[[setting]:[setting]],0), MATCH(O$277, lmic_raw_ub[#Headers],0)))</f>
        <v>0.9</v>
      </c>
      <c r="P283" s="84">
        <f>IF(INDEX(lmic_raw_ub[],MATCH($A283,lmic_raw_ub[[setting]:[setting]],0), MATCH(P$277, lmic_raw_ub[#Headers],0))=0, INDEX(regions_ub[], MATCH($D283, regions_ub[[setting]:[setting]],0), MATCH(P$139, regions_ub[#Headers],0)),INDEX(lmic_raw_ub[],MATCH($A283,lmic_raw_ub[[setting]:[setting]],0), MATCH(P$277, lmic_raw_ub[#Headers],0)))</f>
        <v>0.3</v>
      </c>
      <c r="Q283" s="84">
        <f>IF(INDEX(lmic_raw_ub[],MATCH($A283,lmic_raw_ub[[setting]:[setting]],0), MATCH(Q$277, lmic_raw_ub[#Headers],0))=0, INDEX(regions_ub[], MATCH($D283, regions_ub[[setting]:[setting]],0), MATCH(Q$139, regions_ub[#Headers],0)),INDEX(lmic_raw_ub[],MATCH($A283,lmic_raw_ub[[setting]:[setting]],0), MATCH(Q$277, lmic_raw_ub[#Headers],0)))</f>
        <v>7.1281283686801302</v>
      </c>
      <c r="R283" s="84">
        <f>IF(INDEX(lmic_raw_ub[],MATCH($A283,lmic_raw_ub[[setting]:[setting]],0), MATCH(R$277, lmic_raw_ub[#Headers],0))=0, INDEX(regions_ub[], MATCH($D283, regions_ub[[setting]:[setting]],0), MATCH(R$139, regions_ub[#Headers],0)),INDEX(lmic_raw_ub[],MATCH($A283,lmic_raw_ub[[setting]:[setting]],0), MATCH(R$277, lmic_raw_ub[#Headers],0)))</f>
        <v>46.76427000000001</v>
      </c>
      <c r="S283" s="84">
        <f>IF(INDEX(lmic_raw_ub[],MATCH($A283,lmic_raw_ub[[setting]:[setting]],0), MATCH(S$277, lmic_raw_ub[#Headers],0))=0, INDEX(regions_ub[], MATCH($D283, regions_ub[[setting]:[setting]],0), MATCH(S$139, regions_ub[#Headers],0)),INDEX(lmic_raw_ub[],MATCH($A283,lmic_raw_ub[[setting]:[setting]],0), MATCH(S$277, lmic_raw_ub[#Headers],0)))</f>
        <v>96.893370000000019</v>
      </c>
      <c r="T283" s="84">
        <f>IF(INDEX(lmic_raw_ub[],MATCH($A283,lmic_raw_ub[[setting]:[setting]],0), MATCH(T$277, lmic_raw_ub[#Headers],0))=0, INDEX(regions_ub[], MATCH($D283, regions_ub[[setting]:[setting]],0), MATCH(T$139, regions_ub[#Headers],0)),INDEX(lmic_raw_ub[],MATCH($A283,lmic_raw_ub[[setting]:[setting]],0), MATCH(T$277, lmic_raw_ub[#Headers],0)))</f>
        <v>96.893370000000019</v>
      </c>
      <c r="U283" s="84">
        <f>IF(INDEX(lmic_raw_ub[],MATCH($A283,lmic_raw_ub[[setting]:[setting]],0), MATCH(U$277, lmic_raw_ub[#Headers],0))=0, INDEX(regions_ub[], MATCH($D283, regions_ub[[setting]:[setting]],0), MATCH(U$139, regions_ub[#Headers],0)),INDEX(lmic_raw_ub[],MATCH($A283,lmic_raw_ub[[setting]:[setting]],0), MATCH(U$277, lmic_raw_ub[#Headers],0)))</f>
        <v>96.893370000000019</v>
      </c>
      <c r="V283" s="84">
        <f>IF(INDEX(lmic_raw_ub[],MATCH($A283,lmic_raw_ub[[setting]:[setting]],0), MATCH(V$277, lmic_raw_ub[#Headers],0))=0, INDEX(regions_ub[], MATCH($D283, regions_ub[[setting]:[setting]],0), MATCH(V$139, regions_ub[#Headers],0)),INDEX(lmic_raw_ub[],MATCH($A283,lmic_raw_ub[[setting]:[setting]],0), MATCH(V$277, lmic_raw_ub[#Headers],0)))</f>
        <v>10.423433709691896</v>
      </c>
      <c r="W283" s="84">
        <f>IF(INDEX(lmic_raw_ub[],MATCH($A283,lmic_raw_ub[[setting]:[setting]],0), MATCH(W$277, lmic_raw_ub[#Headers],0))=0, INDEX(regions_ub[], MATCH($D283, regions_ub[[setting]:[setting]],0), MATCH(W$139, regions_ub[#Headers],0)),INDEX(lmic_raw_ub[],MATCH($A283,lmic_raw_ub[[setting]:[setting]],0), MATCH(W$277, lmic_raw_ub[#Headers],0)))</f>
        <v>14.692418709691896</v>
      </c>
      <c r="X283" s="84">
        <f>IF(INDEX(lmic_raw_ub[],MATCH($A283,lmic_raw_ub[[setting]:[setting]],0), MATCH(X$277, lmic_raw_ub[#Headers],0))=0, INDEX(regions_ub[], MATCH($D283, regions_ub[[setting]:[setting]],0), MATCH(X$139, regions_ub[#Headers],0)),INDEX(lmic_raw_ub[],MATCH($A283,lmic_raw_ub[[setting]:[setting]],0), MATCH(X$277, lmic_raw_ub[#Headers],0)))</f>
        <v>9.9120771506365557</v>
      </c>
      <c r="Y283" s="84">
        <f>IF(INDEX(lmic_raw_ub[],MATCH($A283,lmic_raw_ub[[setting]:[setting]],0), MATCH(Y$277, lmic_raw_ub[#Headers],0))=0, INDEX(regions_ub[], MATCH($D283, regions_ub[[setting]:[setting]],0), MATCH(Y$139, regions_ub[#Headers],0)),INDEX(lmic_raw_ub[],MATCH($A283,lmic_raw_ub[[setting]:[setting]],0), MATCH(Y$277, lmic_raw_ub[#Headers],0)))</f>
        <v>14.181062150636556</v>
      </c>
      <c r="Z283" s="84">
        <f>IF(INDEX(lmic_raw_ub[],MATCH($A283,lmic_raw_ub[[setting]:[setting]],0), MATCH(Z$277, lmic_raw_ub[#Headers],0))=0, INDEX(regions_ub[], MATCH($D283, regions_ub[[setting]:[setting]],0), MATCH(Z$139, regions_ub[#Headers],0)),INDEX(lmic_raw_ub[],MATCH($A283,lmic_raw_ub[[setting]:[setting]],0), MATCH(Z$277, lmic_raw_ub[#Headers],0)))</f>
        <v>14.165233004757017</v>
      </c>
      <c r="AA283" s="84">
        <f>IF(INDEX(lmic_raw_ub[],MATCH($A283,lmic_raw_ub[[setting]:[setting]],0), MATCH(AA$277, lmic_raw_ub[#Headers],0))=0, INDEX(regions_ub[], MATCH($D283, regions_ub[[setting]:[setting]],0), MATCH(AA$139, regions_ub[#Headers],0)),INDEX(lmic_raw_ub[],MATCH($A283,lmic_raw_ub[[setting]:[setting]],0), MATCH(AA$277, lmic_raw_ub[#Headers],0)))</f>
        <v>10.69558295624387</v>
      </c>
      <c r="AB283" s="84">
        <f>IF(INDEX(lmic_raw_ub[],MATCH($A283,lmic_raw_ub[[setting]:[setting]],0), MATCH(AB$277, lmic_raw_ub[#Headers],0))=0, INDEX(regions_ub[], MATCH($D283, regions_ub[[setting]:[setting]],0), MATCH(AB$139, regions_ub[#Headers],0)),INDEX(lmic_raw_ub[],MATCH($A283,lmic_raw_ub[[setting]:[setting]],0), MATCH(AB$277, lmic_raw_ub[#Headers],0)))</f>
        <v>14.96456795624387</v>
      </c>
      <c r="AC283" s="84">
        <f>IF(INDEX(lmic_raw_ub[],MATCH($A283,lmic_raw_ub[[setting]:[setting]],0), MATCH(AC$277, lmic_raw_ub[#Headers],0))=0, INDEX(regions_ub[], MATCH($D283, regions_ub[[setting]:[setting]],0), MATCH(AC$139, regions_ub[#Headers],0)),INDEX(lmic_raw_ub[],MATCH($A283,lmic_raw_ub[[setting]:[setting]],0), MATCH(AC$277, lmic_raw_ub[#Headers],0)))</f>
        <v>1.1305622999999949E-2</v>
      </c>
      <c r="AD283" s="84">
        <f>IF(INDEX(lmic_raw_ub[],MATCH($A283,lmic_raw_ub[[setting]:[setting]],0), MATCH(AD$277, lmic_raw_ub[#Headers],0))=0, INDEX(regions_ub[], MATCH($D283, regions_ub[[setting]:[setting]],0), MATCH(AD$139, regions_ub[#Headers],0)),INDEX(lmic_raw_ub[],MATCH($A283,lmic_raw_ub[[setting]:[setting]],0), MATCH(AD$277, lmic_raw_ub[#Headers],0)))</f>
        <v>6.3538712841229702E-4</v>
      </c>
      <c r="AE283" s="84">
        <f>IF(INDEX(lmic_raw_ub[],MATCH($A283,lmic_raw_ub[[setting]:[setting]],0), MATCH(AE$277, lmic_raw_ub[#Headers],0))=0, INDEX(regions_ub[], MATCH($D283, regions_ub[[setting]:[setting]],0), MATCH(AE$139, regions_ub[#Headers],0)),INDEX(lmic_raw_ub[],MATCH($A283,lmic_raw_ub[[setting]:[setting]],0), MATCH(AE$277, lmic_raw_ub[#Headers],0)))</f>
        <v>2.036205972877062E-4</v>
      </c>
      <c r="AF283" s="84">
        <f>IF(INDEX(lmic_raw_ub[],MATCH($A283,lmic_raw_ub[[setting]:[setting]],0), MATCH(AF$277, lmic_raw_ub[#Headers],0))=0, INDEX(regions_ub[], MATCH($D283, regions_ub[[setting]:[setting]],0), MATCH(AF$139, regions_ub[#Headers],0)),INDEX(lmic_raw_ub[],MATCH($A283,lmic_raw_ub[[setting]:[setting]],0), MATCH(AF$277, lmic_raw_ub[#Headers],0)))</f>
        <v>2.6074018110619208E-4</v>
      </c>
      <c r="AG283" s="84">
        <f>IF(INDEX(lmic_raw_ub[],MATCH($A283,lmic_raw_ub[[setting]:[setting]],0), MATCH(AG$277, lmic_raw_ub[#Headers],0))=0, INDEX(regions_ub[], MATCH($D283, regions_ub[[setting]:[setting]],0), MATCH(AG$139, regions_ub[#Headers],0)),INDEX(lmic_raw_ub[],MATCH($A283,lmic_raw_ub[[setting]:[setting]],0), MATCH(AG$277, lmic_raw_ub[#Headers],0)))</f>
        <v>6.6139323819383599E-4</v>
      </c>
      <c r="AH283" s="84">
        <f>IF(INDEX(lmic_raw_ub[],MATCH($A283,lmic_raw_ub[[setting]:[setting]],0), MATCH(AH$277, lmic_raw_ub[#Headers],0))=0, INDEX(regions_ub[], MATCH($D283, regions_ub[[setting]:[setting]],0), MATCH(AH$139, regions_ub[#Headers],0)),INDEX(lmic_raw_ub[],MATCH($A283,lmic_raw_ub[[setting]:[setting]],0), MATCH(AH$277, lmic_raw_ub[#Headers],0)))</f>
        <v>6.4808945827407572E-4</v>
      </c>
      <c r="AI283" s="84">
        <f>IF(INDEX(lmic_raw_ub[],MATCH($A283,lmic_raw_ub[[setting]:[setting]],0), MATCH(AI$277, lmic_raw_ub[#Headers],0))=0, INDEX(regions_ub[], MATCH($D283, regions_ub[[setting]:[setting]],0), MATCH(AI$139, regions_ub[#Headers],0)),INDEX(lmic_raw_ub[],MATCH($A283,lmic_raw_ub[[setting]:[setting]],0), MATCH(AI$277, lmic_raw_ub[#Headers],0)))</f>
        <v>6.1303933032236962E-4</v>
      </c>
      <c r="AJ283" s="84">
        <f>IF(INDEX(lmic_raw_ub[],MATCH($A283,lmic_raw_ub[[setting]:[setting]],0), MATCH(AJ$277, lmic_raw_ub[#Headers],0))=0, INDEX(regions_ub[], MATCH($D283, regions_ub[[setting]:[setting]],0), MATCH(AJ$139, regions_ub[#Headers],0)),INDEX(lmic_raw_ub[],MATCH($A283,lmic_raw_ub[[setting]:[setting]],0), MATCH(AJ$277, lmic_raw_ub[#Headers],0)))</f>
        <v>8.0725571675903374E-4</v>
      </c>
      <c r="AK283" s="84">
        <f>IF(INDEX(lmic_raw_ub[],MATCH($A283,lmic_raw_ub[[setting]:[setting]],0), MATCH(AK$277, lmic_raw_ub[#Headers],0))=0, INDEX(regions_ub[], MATCH($D283, regions_ub[[setting]:[setting]],0), MATCH(AK$139, regions_ub[#Headers],0)),INDEX(lmic_raw_ub[],MATCH($A283,lmic_raw_ub[[setting]:[setting]],0), MATCH(AK$277, lmic_raw_ub[#Headers],0)))</f>
        <v>1.2139930181896412E-3</v>
      </c>
      <c r="AL283" s="84">
        <f>IF(INDEX(lmic_raw_ub[],MATCH($A283,lmic_raw_ub[[setting]:[setting]],0), MATCH(AL$277, lmic_raw_ub[#Headers],0))=0, INDEX(regions_ub[], MATCH($D283, regions_ub[[setting]:[setting]],0), MATCH(AL$139, regions_ub[#Headers],0)),INDEX(lmic_raw_ub[],MATCH($A283,lmic_raw_ub[[setting]:[setting]],0), MATCH(AL$277, lmic_raw_ub[#Headers],0)))</f>
        <v>2.2839225345098143E-3</v>
      </c>
      <c r="AM283" s="84">
        <f>IF(INDEX(lmic_raw_ub[],MATCH($A283,lmic_raw_ub[[setting]:[setting]],0), MATCH(AM$277, lmic_raw_ub[#Headers],0))=0, INDEX(regions_ub[], MATCH($D283, regions_ub[[setting]:[setting]],0), MATCH(AM$139, regions_ub[#Headers],0)),INDEX(lmic_raw_ub[],MATCH($A283,lmic_raw_ub[[setting]:[setting]],0), MATCH(AM$277, lmic_raw_ub[#Headers],0)))</f>
        <v>3.7918392970737861E-3</v>
      </c>
      <c r="AN283" s="84">
        <f>IF(INDEX(lmic_raw_ub[],MATCH($A283,lmic_raw_ub[[setting]:[setting]],0), MATCH(AN$277, lmic_raw_ub[#Headers],0))=0, INDEX(regions_ub[], MATCH($D283, regions_ub[[setting]:[setting]],0), MATCH(AN$139, regions_ub[#Headers],0)),INDEX(lmic_raw_ub[],MATCH($A283,lmic_raw_ub[[setting]:[setting]],0), MATCH(AN$277, lmic_raw_ub[#Headers],0)))</f>
        <v>6.2356902461657782E-3</v>
      </c>
      <c r="AO283" s="84">
        <f>IF(INDEX(lmic_raw_ub[],MATCH($A283,lmic_raw_ub[[setting]:[setting]],0), MATCH(AO$277, lmic_raw_ub[#Headers],0))=0, INDEX(regions_ub[], MATCH($D283, regions_ub[[setting]:[setting]],0), MATCH(AO$139, regions_ub[#Headers],0)),INDEX(lmic_raw_ub[],MATCH($A283,lmic_raw_ub[[setting]:[setting]],0), MATCH(AO$277, lmic_raw_ub[#Headers],0)))</f>
        <v>9.3726257396530184E-3</v>
      </c>
      <c r="AP283" s="84">
        <f>IF(INDEX(lmic_raw_ub[],MATCH($A283,lmic_raw_ub[[setting]:[setting]],0), MATCH(AP$277, lmic_raw_ub[#Headers],0))=0, INDEX(regions_ub[], MATCH($D283, regions_ub[[setting]:[setting]],0), MATCH(AP$139, regions_ub[#Headers],0)),INDEX(lmic_raw_ub[],MATCH($A283,lmic_raw_ub[[setting]:[setting]],0), MATCH(AP$277, lmic_raw_ub[#Headers],0)))</f>
        <v>1.4598259772619906E-2</v>
      </c>
      <c r="AQ283" s="84">
        <f>IF(INDEX(lmic_raw_ub[],MATCH($A283,lmic_raw_ub[[setting]:[setting]],0), MATCH(AQ$277, lmic_raw_ub[#Headers],0))=0, INDEX(regions_ub[], MATCH($D283, regions_ub[[setting]:[setting]],0), MATCH(AQ$139, regions_ub[#Headers],0)),INDEX(lmic_raw_ub[],MATCH($A283,lmic_raw_ub[[setting]:[setting]],0), MATCH(AQ$277, lmic_raw_ub[#Headers],0)))</f>
        <v>2.2032205194243204E-2</v>
      </c>
      <c r="AR283" s="84">
        <f>IF(INDEX(lmic_raw_ub[],MATCH($A283,lmic_raw_ub[[setting]:[setting]],0), MATCH(AR$277, lmic_raw_ub[#Headers],0))=0, INDEX(regions_ub[], MATCH($D283, regions_ub[[setting]:[setting]],0), MATCH(AR$139, regions_ub[#Headers],0)),INDEX(lmic_raw_ub[],MATCH($A283,lmic_raw_ub[[setting]:[setting]],0), MATCH(AR$277, lmic_raw_ub[#Headers],0)))</f>
        <v>3.5071574389257419E-2</v>
      </c>
      <c r="AS283" s="84">
        <f>IF(INDEX(lmic_raw_ub[],MATCH($A283,lmic_raw_ub[[setting]:[setting]],0), MATCH(AS$277, lmic_raw_ub[#Headers],0))=0, INDEX(regions_ub[], MATCH($D283, regions_ub[[setting]:[setting]],0), MATCH(AS$139, regions_ub[#Headers],0)),INDEX(lmic_raw_ub[],MATCH($A283,lmic_raw_ub[[setting]:[setting]],0), MATCH(AS$277, lmic_raw_ub[#Headers],0)))</f>
        <v>5.7391741988149142E-2</v>
      </c>
      <c r="AT283" s="84">
        <f>IF(INDEX(lmic_raw_ub[],MATCH($A283,lmic_raw_ub[[setting]:[setting]],0), MATCH(AT$277, lmic_raw_ub[#Headers],0))=0, INDEX(regions_ub[], MATCH($D283, regions_ub[[setting]:[setting]],0), MATCH(AT$139, regions_ub[#Headers],0)),INDEX(lmic_raw_ub[],MATCH($A283,lmic_raw_ub[[setting]:[setting]],0), MATCH(AT$277, lmic_raw_ub[#Headers],0)))</f>
        <v>8.7063913993442293E-2</v>
      </c>
      <c r="AU283" s="84">
        <f>IF(INDEX(lmic_raw_ub[],MATCH($A283,lmic_raw_ub[[setting]:[setting]],0), MATCH(AU$277, lmic_raw_ub[#Headers],0))=0, INDEX(regions_ub[], MATCH($D283, regions_ub[[setting]:[setting]],0), MATCH(AU$139, regions_ub[#Headers],0)),INDEX(lmic_raw_ub[],MATCH($A283,lmic_raw_ub[[setting]:[setting]],0), MATCH(AU$277, lmic_raw_ub[#Headers],0)))</f>
        <v>0.12189283652912442</v>
      </c>
      <c r="AV283" s="84">
        <f>IF(INDEX(lmic_raw_ub[],MATCH($A283,lmic_raw_ub[[setting]:[setting]],0), MATCH(AV$277, lmic_raw_ub[#Headers],0))=0, INDEX(regions_ub[], MATCH($D283, regions_ub[[setting]:[setting]],0), MATCH(AV$139, regions_ub[#Headers],0)),INDEX(lmic_raw_ub[],MATCH($A283,lmic_raw_ub[[setting]:[setting]],0), MATCH(AV$277, lmic_raw_ub[#Headers],0)))</f>
        <v>0.15665459761307635</v>
      </c>
      <c r="AW283" s="84">
        <f>IF(INDEX(lmic_raw_ub[],MATCH($A283,lmic_raw_ub[[setting]:[setting]],0), MATCH(AW$277, lmic_raw_ub[#Headers],0))=0, INDEX(regions_ub[], MATCH($D283, regions_ub[[setting]:[setting]],0), MATCH(AW$139, regions_ub[#Headers],0)),INDEX(lmic_raw_ub[],MATCH($A283,lmic_raw_ub[[setting]:[setting]],0), MATCH(AW$277, lmic_raw_ub[#Headers],0)))</f>
        <v>0.17908283942329489</v>
      </c>
      <c r="AX283" s="84">
        <f>IF(INDEX(lmic_raw_ub[],MATCH($A283,lmic_raw_ub[[setting]:[setting]],0), MATCH(AX$277, lmic_raw_ub[#Headers],0))=0, INDEX(regions_ub[], MATCH($D283, regions_ub[[setting]:[setting]],0), MATCH(AX$139, regions_ub[#Headers],0)),INDEX(lmic_raw_ub[],MATCH($A283,lmic_raw_ub[[setting]:[setting]],0), MATCH(AX$277, lmic_raw_ub[#Headers],0)))</f>
        <v>78.609300000000005</v>
      </c>
      <c r="AY283" s="33" t="str">
        <f>IF(VLOOKUP(lmics_ub[[#This Row],[setting]],lmic_raw_ub[],11,FALSE)=0, "Yes", "No")</f>
        <v>No</v>
      </c>
    </row>
    <row r="284" spans="1:51" x14ac:dyDescent="0.25">
      <c r="A284" s="109" t="s">
        <v>166</v>
      </c>
      <c r="B284" s="101" t="s">
        <v>377</v>
      </c>
      <c r="C284" s="102">
        <v>31</v>
      </c>
      <c r="D284" s="82" t="s">
        <v>675</v>
      </c>
      <c r="E284" s="82" t="s">
        <v>184</v>
      </c>
      <c r="F284" s="82" t="s">
        <v>663</v>
      </c>
      <c r="G284" s="82" t="s">
        <v>676</v>
      </c>
      <c r="J284" s="84">
        <f>IF(INDEX(lmic_raw_ub[],MATCH($A284,lmic_raw_ub[[setting]:[setting]],0), MATCH(J$277, lmic_raw_ub[#Headers],0))=0, INDEX(regions_ub[], MATCH($D284, regions_ub[[setting]:[setting]],0), MATCH(J$139, regions_ub[#Headers],0)),INDEX(lmic_raw_ub[],MATCH($A284,lmic_raw_ub[[setting]:[setting]],0), MATCH(J$277, lmic_raw_ub[#Headers],0)))</f>
        <v>0.99990000000000001</v>
      </c>
      <c r="K284" s="84">
        <f>IF(INDEX(lmic_raw_ub[],MATCH($A284,lmic_raw_ub[[setting]:[setting]],0), MATCH(K$277, lmic_raw_ub[#Headers],0))=0, INDEX(regions_ub[], MATCH($D284, regions_ub[[setting]:[setting]],0), MATCH(K$139, regions_ub[#Headers],0)),INDEX(lmic_raw_ub[],MATCH($A284,lmic_raw_ub[[setting]:[setting]],0), MATCH(K$277, lmic_raw_ub[#Headers],0)))</f>
        <v>0.99990000000000001</v>
      </c>
      <c r="L284" s="84">
        <f>IF(INDEX(lmic_raw_ub[],MATCH($A284,lmic_raw_ub[[setting]:[setting]],0), MATCH(L$277, lmic_raw_ub[#Headers],0))=0, INDEX(regions_ub[], MATCH($D284, regions_ub[[setting]:[setting]],0), MATCH(L$139, regions_ub[#Headers],0)),INDEX(lmic_raw_ub[],MATCH($A284,lmic_raw_ub[[setting]:[setting]],0), MATCH(L$277, lmic_raw_ub[#Headers],0)))</f>
        <v>0.98699999999999999</v>
      </c>
      <c r="M284" s="84">
        <f>IF(INDEX(lmic_raw_ub[],MATCH($A284,lmic_raw_ub[[setting]:[setting]],0), MATCH(M$277, lmic_raw_ub[#Headers],0))=0, INDEX(regions_ub[], MATCH($D284, regions_ub[[setting]:[setting]],0), MATCH(M$139, regions_ub[#Headers],0)),INDEX(lmic_raw_ub[],MATCH($A284,lmic_raw_ub[[setting]:[setting]],0), MATCH(M$277, lmic_raw_ub[#Headers],0)))</f>
        <v>3.5400000000000001E-2</v>
      </c>
      <c r="N284" s="84">
        <f>IF(INDEX(lmic_raw_ub[],MATCH($A284,lmic_raw_ub[[setting]:[setting]],0), MATCH(N$277, lmic_raw_ub[#Headers],0))=0, INDEX(regions_ub[], MATCH($D284, regions_ub[[setting]:[setting]],0), MATCH(N$139, regions_ub[#Headers],0)),INDEX(lmic_raw_ub[],MATCH($A284,lmic_raw_ub[[setting]:[setting]],0), MATCH(N$277, lmic_raw_ub[#Headers],0)))</f>
        <v>0.43079999999999996</v>
      </c>
      <c r="O284" s="84">
        <f>IF(INDEX(lmic_raw_ub[],MATCH($A284,lmic_raw_ub[[setting]:[setting]],0), MATCH(O$277, lmic_raw_ub[#Headers],0))=0, INDEX(regions_ub[], MATCH($D284, regions_ub[[setting]:[setting]],0), MATCH(O$139, regions_ub[#Headers],0)),INDEX(lmic_raw_ub[],MATCH($A284,lmic_raw_ub[[setting]:[setting]],0), MATCH(O$277, lmic_raw_ub[#Headers],0)))</f>
        <v>0.9</v>
      </c>
      <c r="P284" s="84">
        <f>IF(INDEX(lmic_raw_ub[],MATCH($A284,lmic_raw_ub[[setting]:[setting]],0), MATCH(P$277, lmic_raw_ub[#Headers],0))=0, INDEX(regions_ub[], MATCH($D284, regions_ub[[setting]:[setting]],0), MATCH(P$139, regions_ub[#Headers],0)),INDEX(lmic_raw_ub[],MATCH($A284,lmic_raw_ub[[setting]:[setting]],0), MATCH(P$277, lmic_raw_ub[#Headers],0)))</f>
        <v>0.3</v>
      </c>
      <c r="Q284" s="84">
        <f>IF(INDEX(lmic_raw_ub[],MATCH($A284,lmic_raw_ub[[setting]:[setting]],0), MATCH(Q$277, lmic_raw_ub[#Headers],0))=0, INDEX(regions_ub[], MATCH($D284, regions_ub[[setting]:[setting]],0), MATCH(Q$139, regions_ub[#Headers],0)),INDEX(lmic_raw_ub[],MATCH($A284,lmic_raw_ub[[setting]:[setting]],0), MATCH(Q$277, lmic_raw_ub[#Headers],0)))</f>
        <v>10.845789653944943</v>
      </c>
      <c r="R284" s="84">
        <f>IF(INDEX(lmic_raw_ub[],MATCH($A284,lmic_raw_ub[[setting]:[setting]],0), MATCH(R$277, lmic_raw_ub[#Headers],0))=0, INDEX(regions_ub[], MATCH($D284, regions_ub[[setting]:[setting]],0), MATCH(R$139, regions_ub[#Headers],0)),INDEX(lmic_raw_ub[],MATCH($A284,lmic_raw_ub[[setting]:[setting]],0), MATCH(R$277, lmic_raw_ub[#Headers],0)))</f>
        <v>46.76427000000001</v>
      </c>
      <c r="S284" s="84">
        <f>IF(INDEX(lmic_raw_ub[],MATCH($A284,lmic_raw_ub[[setting]:[setting]],0), MATCH(S$277, lmic_raw_ub[#Headers],0))=0, INDEX(regions_ub[], MATCH($D284, regions_ub[[setting]:[setting]],0), MATCH(S$139, regions_ub[#Headers],0)),INDEX(lmic_raw_ub[],MATCH($A284,lmic_raw_ub[[setting]:[setting]],0), MATCH(S$277, lmic_raw_ub[#Headers],0)))</f>
        <v>96.893370000000019</v>
      </c>
      <c r="T284" s="84">
        <f>IF(INDEX(lmic_raw_ub[],MATCH($A284,lmic_raw_ub[[setting]:[setting]],0), MATCH(T$277, lmic_raw_ub[#Headers],0))=0, INDEX(regions_ub[], MATCH($D284, regions_ub[[setting]:[setting]],0), MATCH(T$139, regions_ub[#Headers],0)),INDEX(lmic_raw_ub[],MATCH($A284,lmic_raw_ub[[setting]:[setting]],0), MATCH(T$277, lmic_raw_ub[#Headers],0)))</f>
        <v>96.893370000000019</v>
      </c>
      <c r="U284" s="84">
        <f>IF(INDEX(lmic_raw_ub[],MATCH($A284,lmic_raw_ub[[setting]:[setting]],0), MATCH(U$277, lmic_raw_ub[#Headers],0))=0, INDEX(regions_ub[], MATCH($D284, regions_ub[[setting]:[setting]],0), MATCH(U$139, regions_ub[#Headers],0)),INDEX(lmic_raw_ub[],MATCH($A284,lmic_raw_ub[[setting]:[setting]],0), MATCH(U$277, lmic_raw_ub[#Headers],0)))</f>
        <v>96.893370000000019</v>
      </c>
      <c r="V284" s="84">
        <f>IF(INDEX(lmic_raw_ub[],MATCH($A284,lmic_raw_ub[[setting]:[setting]],0), MATCH(V$277, lmic_raw_ub[#Headers],0))=0, INDEX(regions_ub[], MATCH($D284, regions_ub[[setting]:[setting]],0), MATCH(V$139, regions_ub[#Headers],0)),INDEX(lmic_raw_ub[],MATCH($A284,lmic_raw_ub[[setting]:[setting]],0), MATCH(V$277, lmic_raw_ub[#Headers],0)))</f>
        <v>9.4565986640858206</v>
      </c>
      <c r="W284" s="84">
        <f>IF(INDEX(lmic_raw_ub[],MATCH($A284,lmic_raw_ub[[setting]:[setting]],0), MATCH(W$277, lmic_raw_ub[#Headers],0))=0, INDEX(regions_ub[], MATCH($D284, regions_ub[[setting]:[setting]],0), MATCH(W$139, regions_ub[#Headers],0)),INDEX(lmic_raw_ub[],MATCH($A284,lmic_raw_ub[[setting]:[setting]],0), MATCH(W$277, lmic_raw_ub[#Headers],0)))</f>
        <v>13.725583664085821</v>
      </c>
      <c r="X284" s="84">
        <f>IF(INDEX(lmic_raw_ub[],MATCH($A284,lmic_raw_ub[[setting]:[setting]],0), MATCH(X$277, lmic_raw_ub[#Headers],0))=0, INDEX(regions_ub[], MATCH($D284, regions_ub[[setting]:[setting]],0), MATCH(X$139, regions_ub[#Headers],0)),INDEX(lmic_raw_ub[],MATCH($A284,lmic_raw_ub[[setting]:[setting]],0), MATCH(X$277, lmic_raw_ub[#Headers],0)))</f>
        <v>8.9446291916249443</v>
      </c>
      <c r="Y284" s="84">
        <f>IF(INDEX(lmic_raw_ub[],MATCH($A284,lmic_raw_ub[[setting]:[setting]],0), MATCH(Y$277, lmic_raw_ub[#Headers],0))=0, INDEX(regions_ub[], MATCH($D284, regions_ub[[setting]:[setting]],0), MATCH(Y$139, regions_ub[#Headers],0)),INDEX(lmic_raw_ub[],MATCH($A284,lmic_raw_ub[[setting]:[setting]],0), MATCH(Y$277, lmic_raw_ub[#Headers],0)))</f>
        <v>13.213614191624945</v>
      </c>
      <c r="Z284" s="84">
        <f>IF(INDEX(lmic_raw_ub[],MATCH($A284,lmic_raw_ub[[setting]:[setting]],0), MATCH(Z$277, lmic_raw_ub[#Headers],0))=0, INDEX(regions_ub[], MATCH($D284, regions_ub[[setting]:[setting]],0), MATCH(Z$139, regions_ub[#Headers],0)),INDEX(lmic_raw_ub[],MATCH($A284,lmic_raw_ub[[setting]:[setting]],0), MATCH(Z$277, lmic_raw_ub[#Headers],0)))</f>
        <v>13.197718528165344</v>
      </c>
      <c r="AA284" s="84">
        <f>IF(INDEX(lmic_raw_ub[],MATCH($A284,lmic_raw_ub[[setting]:[setting]],0), MATCH(AA$277, lmic_raw_ub[#Headers],0))=0, INDEX(regions_ub[], MATCH($D284, regions_ub[[setting]:[setting]],0), MATCH(AA$139, regions_ub[#Headers],0)),INDEX(lmic_raw_ub[],MATCH($A284,lmic_raw_ub[[setting]:[setting]],0), MATCH(AA$277, lmic_raw_ub[#Headers],0)))</f>
        <v>9.7288870382206465</v>
      </c>
      <c r="AB284" s="84">
        <f>IF(INDEX(lmic_raw_ub[],MATCH($A284,lmic_raw_ub[[setting]:[setting]],0), MATCH(AB$277, lmic_raw_ub[#Headers],0))=0, INDEX(regions_ub[], MATCH($D284, regions_ub[[setting]:[setting]],0), MATCH(AB$139, regions_ub[#Headers],0)),INDEX(lmic_raw_ub[],MATCH($A284,lmic_raw_ub[[setting]:[setting]],0), MATCH(AB$277, lmic_raw_ub[#Headers],0)))</f>
        <v>13.997872038220647</v>
      </c>
      <c r="AC284" s="84">
        <f>IF(INDEX(lmic_raw_ub[],MATCH($A284,lmic_raw_ub[[setting]:[setting]],0), MATCH(AC$277, lmic_raw_ub[#Headers],0))=0, INDEX(regions_ub[], MATCH($D284, regions_ub[[setting]:[setting]],0), MATCH(AC$139, regions_ub[#Headers],0)),INDEX(lmic_raw_ub[],MATCH($A284,lmic_raw_ub[[setting]:[setting]],0), MATCH(AC$277, lmic_raw_ub[#Headers],0)))</f>
        <v>2.1846110999999946E-2</v>
      </c>
      <c r="AD284" s="84">
        <f>IF(INDEX(lmic_raw_ub[],MATCH($A284,lmic_raw_ub[[setting]:[setting]],0), MATCH(AD$277, lmic_raw_ub[#Headers],0))=0, INDEX(regions_ub[], MATCH($D284, regions_ub[[setting]:[setting]],0), MATCH(AD$139, regions_ub[#Headers],0)),INDEX(lmic_raw_ub[],MATCH($A284,lmic_raw_ub[[setting]:[setting]],0), MATCH(AD$277, lmic_raw_ub[#Headers],0)))</f>
        <v>1.1793885202626491E-3</v>
      </c>
      <c r="AE284" s="84">
        <f>IF(INDEX(lmic_raw_ub[],MATCH($A284,lmic_raw_ub[[setting]:[setting]],0), MATCH(AE$277, lmic_raw_ub[#Headers],0))=0, INDEX(regions_ub[], MATCH($D284, regions_ub[[setting]:[setting]],0), MATCH(AE$139, regions_ub[#Headers],0)),INDEX(lmic_raw_ub[],MATCH($A284,lmic_raw_ub[[setting]:[setting]],0), MATCH(AE$277, lmic_raw_ub[#Headers],0)))</f>
        <v>4.0230899889438917E-4</v>
      </c>
      <c r="AF284" s="84">
        <f>IF(INDEX(lmic_raw_ub[],MATCH($A284,lmic_raw_ub[[setting]:[setting]],0), MATCH(AF$277, lmic_raw_ub[#Headers],0))=0, INDEX(regions_ub[], MATCH($D284, regions_ub[[setting]:[setting]],0), MATCH(AF$139, regions_ub[#Headers],0)),INDEX(lmic_raw_ub[],MATCH($A284,lmic_raw_ub[[setting]:[setting]],0), MATCH(AF$277, lmic_raw_ub[#Headers],0)))</f>
        <v>3.4391203420671416E-4</v>
      </c>
      <c r="AG284" s="84">
        <f>IF(INDEX(lmic_raw_ub[],MATCH($A284,lmic_raw_ub[[setting]:[setting]],0), MATCH(AG$277, lmic_raw_ub[#Headers],0))=0, INDEX(regions_ub[], MATCH($D284, regions_ub[[setting]:[setting]],0), MATCH(AG$139, regions_ub[#Headers],0)),INDEX(lmic_raw_ub[],MATCH($A284,lmic_raw_ub[[setting]:[setting]],0), MATCH(AG$277, lmic_raw_ub[#Headers],0)))</f>
        <v>7.0461586053505046E-4</v>
      </c>
      <c r="AH284" s="84">
        <f>IF(INDEX(lmic_raw_ub[],MATCH($A284,lmic_raw_ub[[setting]:[setting]],0), MATCH(AH$277, lmic_raw_ub[#Headers],0))=0, INDEX(regions_ub[], MATCH($D284, regions_ub[[setting]:[setting]],0), MATCH(AH$139, regions_ub[#Headers],0)),INDEX(lmic_raw_ub[],MATCH($A284,lmic_raw_ub[[setting]:[setting]],0), MATCH(AH$277, lmic_raw_ub[#Headers],0)))</f>
        <v>8.7594253175536923E-4</v>
      </c>
      <c r="AI284" s="84">
        <f>IF(INDEX(lmic_raw_ub[],MATCH($A284,lmic_raw_ub[[setting]:[setting]],0), MATCH(AI$277, lmic_raw_ub[#Headers],0))=0, INDEX(regions_ub[], MATCH($D284, regions_ub[[setting]:[setting]],0), MATCH(AI$139, regions_ub[#Headers],0)),INDEX(lmic_raw_ub[],MATCH($A284,lmic_raw_ub[[setting]:[setting]],0), MATCH(AI$277, lmic_raw_ub[#Headers],0)))</f>
        <v>8.8235187946452234E-4</v>
      </c>
      <c r="AJ284" s="84">
        <f>IF(INDEX(lmic_raw_ub[],MATCH($A284,lmic_raw_ub[[setting]:[setting]],0), MATCH(AJ$277, lmic_raw_ub[#Headers],0))=0, INDEX(regions_ub[], MATCH($D284, regions_ub[[setting]:[setting]],0), MATCH(AJ$139, regions_ub[#Headers],0)),INDEX(lmic_raw_ub[],MATCH($A284,lmic_raw_ub[[setting]:[setting]],0), MATCH(AJ$277, lmic_raw_ub[#Headers],0)))</f>
        <v>1.0582051565842872E-3</v>
      </c>
      <c r="AK284" s="84">
        <f>IF(INDEX(lmic_raw_ub[],MATCH($A284,lmic_raw_ub[[setting]:[setting]],0), MATCH(AK$277, lmic_raw_ub[#Headers],0))=0, INDEX(regions_ub[], MATCH($D284, regions_ub[[setting]:[setting]],0), MATCH(AK$139, regions_ub[#Headers],0)),INDEX(lmic_raw_ub[],MATCH($A284,lmic_raw_ub[[setting]:[setting]],0), MATCH(AK$277, lmic_raw_ub[#Headers],0)))</f>
        <v>1.4819226964225328E-3</v>
      </c>
      <c r="AL284" s="84">
        <f>IF(INDEX(lmic_raw_ub[],MATCH($A284,lmic_raw_ub[[setting]:[setting]],0), MATCH(AL$277, lmic_raw_ub[#Headers],0))=0, INDEX(regions_ub[], MATCH($D284, regions_ub[[setting]:[setting]],0), MATCH(AL$139, regions_ub[#Headers],0)),INDEX(lmic_raw_ub[],MATCH($A284,lmic_raw_ub[[setting]:[setting]],0), MATCH(AL$277, lmic_raw_ub[#Headers],0)))</f>
        <v>2.2408441197714385E-3</v>
      </c>
      <c r="AM284" s="84">
        <f>IF(INDEX(lmic_raw_ub[],MATCH($A284,lmic_raw_ub[[setting]:[setting]],0), MATCH(AM$277, lmic_raw_ub[#Headers],0))=0, INDEX(regions_ub[], MATCH($D284, regions_ub[[setting]:[setting]],0), MATCH(AM$139, regions_ub[#Headers],0)),INDEX(lmic_raw_ub[],MATCH($A284,lmic_raw_ub[[setting]:[setting]],0), MATCH(AM$277, lmic_raw_ub[#Headers],0)))</f>
        <v>3.6372907403722865E-3</v>
      </c>
      <c r="AN284" s="84">
        <f>IF(INDEX(lmic_raw_ub[],MATCH($A284,lmic_raw_ub[[setting]:[setting]],0), MATCH(AN$277, lmic_raw_ub[#Headers],0))=0, INDEX(regions_ub[], MATCH($D284, regions_ub[[setting]:[setting]],0), MATCH(AN$139, regions_ub[#Headers],0)),INDEX(lmic_raw_ub[],MATCH($A284,lmic_raw_ub[[setting]:[setting]],0), MATCH(AN$277, lmic_raw_ub[#Headers],0)))</f>
        <v>5.9156551461323819E-3</v>
      </c>
      <c r="AO284" s="84">
        <f>IF(INDEX(lmic_raw_ub[],MATCH($A284,lmic_raw_ub[[setting]:[setting]],0), MATCH(AO$277, lmic_raw_ub[#Headers],0))=0, INDEX(regions_ub[], MATCH($D284, regions_ub[[setting]:[setting]],0), MATCH(AO$139, regions_ub[#Headers],0)),INDEX(lmic_raw_ub[],MATCH($A284,lmic_raw_ub[[setting]:[setting]],0), MATCH(AO$277, lmic_raw_ub[#Headers],0)))</f>
        <v>9.5894514051201515E-3</v>
      </c>
      <c r="AP284" s="84">
        <f>IF(INDEX(lmic_raw_ub[],MATCH($A284,lmic_raw_ub[[setting]:[setting]],0), MATCH(AP$277, lmic_raw_ub[#Headers],0))=0, INDEX(regions_ub[], MATCH($D284, regions_ub[[setting]:[setting]],0), MATCH(AP$139, regions_ub[#Headers],0)),INDEX(lmic_raw_ub[],MATCH($A284,lmic_raw_ub[[setting]:[setting]],0), MATCH(AP$277, lmic_raw_ub[#Headers],0)))</f>
        <v>1.5643340281275005E-2</v>
      </c>
      <c r="AQ284" s="84">
        <f>IF(INDEX(lmic_raw_ub[],MATCH($A284,lmic_raw_ub[[setting]:[setting]],0), MATCH(AQ$277, lmic_raw_ub[#Headers],0))=0, INDEX(regions_ub[], MATCH($D284, regions_ub[[setting]:[setting]],0), MATCH(AQ$139, regions_ub[#Headers],0)),INDEX(lmic_raw_ub[],MATCH($A284,lmic_raw_ub[[setting]:[setting]],0), MATCH(AQ$277, lmic_raw_ub[#Headers],0)))</f>
        <v>2.5292856682757672E-2</v>
      </c>
      <c r="AR284" s="84">
        <f>IF(INDEX(lmic_raw_ub[],MATCH($A284,lmic_raw_ub[[setting]:[setting]],0), MATCH(AR$277, lmic_raw_ub[#Headers],0))=0, INDEX(regions_ub[], MATCH($D284, regions_ub[[setting]:[setting]],0), MATCH(AR$139, regions_ub[#Headers],0)),INDEX(lmic_raw_ub[],MATCH($A284,lmic_raw_ub[[setting]:[setting]],0), MATCH(AR$277, lmic_raw_ub[#Headers],0)))</f>
        <v>4.0843168590751461E-2</v>
      </c>
      <c r="AS284" s="84">
        <f>IF(INDEX(lmic_raw_ub[],MATCH($A284,lmic_raw_ub[[setting]:[setting]],0), MATCH(AS$277, lmic_raw_ub[#Headers],0))=0, INDEX(regions_ub[], MATCH($D284, regions_ub[[setting]:[setting]],0), MATCH(AS$139, regions_ub[#Headers],0)),INDEX(lmic_raw_ub[],MATCH($A284,lmic_raw_ub[[setting]:[setting]],0), MATCH(AS$277, lmic_raw_ub[#Headers],0)))</f>
        <v>6.4703097396811488E-2</v>
      </c>
      <c r="AT284" s="84">
        <f>IF(INDEX(lmic_raw_ub[],MATCH($A284,lmic_raw_ub[[setting]:[setting]],0), MATCH(AT$277, lmic_raw_ub[#Headers],0))=0, INDEX(regions_ub[], MATCH($D284, regions_ub[[setting]:[setting]],0), MATCH(AT$139, regions_ub[#Headers],0)),INDEX(lmic_raw_ub[],MATCH($A284,lmic_raw_ub[[setting]:[setting]],0), MATCH(AT$277, lmic_raw_ub[#Headers],0)))</f>
        <v>9.6037780124671776E-2</v>
      </c>
      <c r="AU284" s="84">
        <f>IF(INDEX(lmic_raw_ub[],MATCH($A284,lmic_raw_ub[[setting]:[setting]],0), MATCH(AU$277, lmic_raw_ub[#Headers],0))=0, INDEX(regions_ub[], MATCH($D284, regions_ub[[setting]:[setting]],0), MATCH(AU$139, regions_ub[#Headers],0)),INDEX(lmic_raw_ub[],MATCH($A284,lmic_raw_ub[[setting]:[setting]],0), MATCH(AU$277, lmic_raw_ub[#Headers],0)))</f>
        <v>0.13172421793735517</v>
      </c>
      <c r="AV284" s="84">
        <f>IF(INDEX(lmic_raw_ub[],MATCH($A284,lmic_raw_ub[[setting]:[setting]],0), MATCH(AV$277, lmic_raw_ub[#Headers],0))=0, INDEX(regions_ub[], MATCH($D284, regions_ub[[setting]:[setting]],0), MATCH(AV$139, regions_ub[#Headers],0)),INDEX(lmic_raw_ub[],MATCH($A284,lmic_raw_ub[[setting]:[setting]],0), MATCH(AV$277, lmic_raw_ub[#Headers],0)))</f>
        <v>0.16248624718434443</v>
      </c>
      <c r="AW284" s="84">
        <f>IF(INDEX(lmic_raw_ub[],MATCH($A284,lmic_raw_ub[[setting]:[setting]],0), MATCH(AW$277, lmic_raw_ub[#Headers],0))=0, INDEX(regions_ub[], MATCH($D284, regions_ub[[setting]:[setting]],0), MATCH(AW$139, regions_ub[#Headers],0)),INDEX(lmic_raw_ub[],MATCH($A284,lmic_raw_ub[[setting]:[setting]],0), MATCH(AW$277, lmic_raw_ub[#Headers],0)))</f>
        <v>0.1828268974179951</v>
      </c>
      <c r="AX284" s="84">
        <f>IF(INDEX(lmic_raw_ub[],MATCH($A284,lmic_raw_ub[[setting]:[setting]],0), MATCH(AX$277, lmic_raw_ub[#Headers],0))=0, INDEX(regions_ub[], MATCH($D284, regions_ub[[setting]:[setting]],0), MATCH(AX$139, regions_ub[#Headers],0)),INDEX(lmic_raw_ub[],MATCH($A284,lmic_raw_ub[[setting]:[setting]],0), MATCH(AX$277, lmic_raw_ub[#Headers],0)))</f>
        <v>76.450500000000005</v>
      </c>
      <c r="AY284" s="33" t="str">
        <f>IF(VLOOKUP(lmics_ub[[#This Row],[setting]],lmic_raw_ub[],11,FALSE)=0, "Yes", "No")</f>
        <v>No</v>
      </c>
    </row>
    <row r="285" spans="1:51" x14ac:dyDescent="0.25">
      <c r="A285" s="110" t="s">
        <v>192</v>
      </c>
      <c r="B285" s="104" t="s">
        <v>379</v>
      </c>
      <c r="C285" s="105">
        <v>50</v>
      </c>
      <c r="D285" s="84" t="s">
        <v>680</v>
      </c>
      <c r="E285" s="84" t="s">
        <v>589</v>
      </c>
      <c r="F285" s="84" t="s">
        <v>589</v>
      </c>
      <c r="G285" s="84" t="s">
        <v>678</v>
      </c>
      <c r="J285" s="84">
        <f>IF(INDEX(lmic_raw_ub[],MATCH($A285,lmic_raw_ub[[setting]:[setting]],0), MATCH(J$277, lmic_raw_ub[#Headers],0))=0, INDEX(regions_ub[], MATCH($D285, regions_ub[[setting]:[setting]],0), MATCH(J$139, regions_ub[#Headers],0)),INDEX(lmic_raw_ub[],MATCH($A285,lmic_raw_ub[[setting]:[setting]],0), MATCH(J$277, lmic_raw_ub[#Headers],0)))</f>
        <v>0.56070000000000009</v>
      </c>
      <c r="K285" s="84">
        <f>IF(INDEX(lmic_raw_ub[],MATCH($A285,lmic_raw_ub[[setting]:[setting]],0), MATCH(K$277, lmic_raw_ub[#Headers],0))=0, INDEX(regions_ub[], MATCH($D285, regions_ub[[setting]:[setting]],0), MATCH(K$139, regions_ub[#Headers],0)),INDEX(lmic_raw_ub[],MATCH($A285,lmic_raw_ub[[setting]:[setting]],0), MATCH(K$277, lmic_raw_ub[#Headers],0)))</f>
        <v>0.63593287376541119</v>
      </c>
      <c r="L285" s="84">
        <f>IF(INDEX(lmic_raw_ub[],MATCH($A285,lmic_raw_ub[[setting]:[setting]],0), MATCH(L$277, lmic_raw_ub[#Headers],0))=0, INDEX(regions_ub[], MATCH($D285, regions_ub[[setting]:[setting]],0), MATCH(L$139, regions_ub[#Headers],0)),INDEX(lmic_raw_ub[],MATCH($A285,lmic_raw_ub[[setting]:[setting]],0), MATCH(L$277, lmic_raw_ub[#Headers],0)))</f>
        <v>0.99990000000000001</v>
      </c>
      <c r="M285" s="84">
        <f>IF(INDEX(lmic_raw_ub[],MATCH($A285,lmic_raw_ub[[setting]:[setting]],0), MATCH(M$277, lmic_raw_ub[#Headers],0))=0, INDEX(regions_ub[], MATCH($D285, regions_ub[[setting]:[setting]],0), MATCH(M$139, regions_ub[#Headers],0)),INDEX(lmic_raw_ub[],MATCH($A285,lmic_raw_ub[[setting]:[setting]],0), MATCH(M$277, lmic_raw_ub[#Headers],0)))</f>
        <v>5.0199999999999995E-2</v>
      </c>
      <c r="N285" s="84">
        <f>IF(INDEX(lmic_raw_ub[],MATCH($A285,lmic_raw_ub[[setting]:[setting]],0), MATCH(N$277, lmic_raw_ub[#Headers],0))=0, INDEX(regions_ub[], MATCH($D285, regions_ub[[setting]:[setting]],0), MATCH(N$139, regions_ub[#Headers],0)),INDEX(lmic_raw_ub[],MATCH($A285,lmic_raw_ub[[setting]:[setting]],0), MATCH(N$277, lmic_raw_ub[#Headers],0)))</f>
        <v>0.35830000000000001</v>
      </c>
      <c r="O285" s="84">
        <f>IF(INDEX(lmic_raw_ub[],MATCH($A285,lmic_raw_ub[[setting]:[setting]],0), MATCH(O$277, lmic_raw_ub[#Headers],0))=0, INDEX(regions_ub[], MATCH($D285, regions_ub[[setting]:[setting]],0), MATCH(O$139, regions_ub[#Headers],0)),INDEX(lmic_raw_ub[],MATCH($A285,lmic_raw_ub[[setting]:[setting]],0), MATCH(O$277, lmic_raw_ub[#Headers],0)))</f>
        <v>0.9</v>
      </c>
      <c r="P285" s="84">
        <f>IF(INDEX(lmic_raw_ub[],MATCH($A285,lmic_raw_ub[[setting]:[setting]],0), MATCH(P$277, lmic_raw_ub[#Headers],0))=0, INDEX(regions_ub[], MATCH($D285, regions_ub[[setting]:[setting]],0), MATCH(P$139, regions_ub[#Headers],0)),INDEX(lmic_raw_ub[],MATCH($A285,lmic_raw_ub[[setting]:[setting]],0), MATCH(P$277, lmic_raw_ub[#Headers],0)))</f>
        <v>0.3</v>
      </c>
      <c r="Q285" s="84">
        <f>IF(INDEX(lmic_raw_ub[],MATCH($A285,lmic_raw_ub[[setting]:[setting]],0), MATCH(Q$277, lmic_raw_ub[#Headers],0))=0, INDEX(regions_ub[], MATCH($D285, regions_ub[[setting]:[setting]],0), MATCH(Q$139, regions_ub[#Headers],0)),INDEX(lmic_raw_ub[],MATCH($A285,lmic_raw_ub[[setting]:[setting]],0), MATCH(Q$277, lmic_raw_ub[#Headers],0)))</f>
        <v>4.2697504886998372</v>
      </c>
      <c r="R285" s="84">
        <f>IF(INDEX(lmic_raw_ub[],MATCH($A285,lmic_raw_ub[[setting]:[setting]],0), MATCH(R$277, lmic_raw_ub[#Headers],0))=0, INDEX(regions_ub[], MATCH($D285, regions_ub[[setting]:[setting]],0), MATCH(R$139, regions_ub[#Headers],0)),INDEX(lmic_raw_ub[],MATCH($A285,lmic_raw_ub[[setting]:[setting]],0), MATCH(R$277, lmic_raw_ub[#Headers],0)))</f>
        <v>48.194895000000002</v>
      </c>
      <c r="S285" s="84">
        <f>IF(INDEX(lmic_raw_ub[],MATCH($A285,lmic_raw_ub[[setting]:[setting]],0), MATCH(S$277, lmic_raw_ub[#Headers],0))=0, INDEX(regions_ub[], MATCH($D285, regions_ub[[setting]:[setting]],0), MATCH(S$139, regions_ub[#Headers],0)),INDEX(lmic_raw_ub[],MATCH($A285,lmic_raw_ub[[setting]:[setting]],0), MATCH(S$277, lmic_raw_ub[#Headers],0)))</f>
        <v>98.323995000000011</v>
      </c>
      <c r="T285" s="84">
        <f>IF(INDEX(lmic_raw_ub[],MATCH($A285,lmic_raw_ub[[setting]:[setting]],0), MATCH(T$277, lmic_raw_ub[#Headers],0))=0, INDEX(regions_ub[], MATCH($D285, regions_ub[[setting]:[setting]],0), MATCH(T$139, regions_ub[#Headers],0)),INDEX(lmic_raw_ub[],MATCH($A285,lmic_raw_ub[[setting]:[setting]],0), MATCH(T$277, lmic_raw_ub[#Headers],0)))</f>
        <v>98.323995000000011</v>
      </c>
      <c r="U285" s="84">
        <f>IF(INDEX(lmic_raw_ub[],MATCH($A285,lmic_raw_ub[[setting]:[setting]],0), MATCH(U$277, lmic_raw_ub[#Headers],0))=0, INDEX(regions_ub[], MATCH($D285, regions_ub[[setting]:[setting]],0), MATCH(U$139, regions_ub[#Headers],0)),INDEX(lmic_raw_ub[],MATCH($A285,lmic_raw_ub[[setting]:[setting]],0), MATCH(U$277, lmic_raw_ub[#Headers],0)))</f>
        <v>98.323995000000011</v>
      </c>
      <c r="V285" s="84">
        <f>IF(INDEX(lmic_raw_ub[],MATCH($A285,lmic_raw_ub[[setting]:[setting]],0), MATCH(V$277, lmic_raw_ub[#Headers],0))=0, INDEX(regions_ub[], MATCH($D285, regions_ub[[setting]:[setting]],0), MATCH(V$139, regions_ub[#Headers],0)),INDEX(lmic_raw_ub[],MATCH($A285,lmic_raw_ub[[setting]:[setting]],0), MATCH(V$277, lmic_raw_ub[#Headers],0)))</f>
        <v>5.7236747832122017</v>
      </c>
      <c r="W285" s="84">
        <f>IF(INDEX(lmic_raw_ub[],MATCH($A285,lmic_raw_ub[[setting]:[setting]],0), MATCH(W$277, lmic_raw_ub[#Headers],0))=0, INDEX(regions_ub[], MATCH($D285, regions_ub[[setting]:[setting]],0), MATCH(W$139, regions_ub[#Headers],0)),INDEX(lmic_raw_ub[],MATCH($A285,lmic_raw_ub[[setting]:[setting]],0), MATCH(W$277, lmic_raw_ub[#Headers],0)))</f>
        <v>8.2961747832122015</v>
      </c>
      <c r="X285" s="84">
        <f>IF(INDEX(lmic_raw_ub[],MATCH($A285,lmic_raw_ub[[setting]:[setting]],0), MATCH(X$277, lmic_raw_ub[#Headers],0))=0, INDEX(regions_ub[], MATCH($D285, regions_ub[[setting]:[setting]],0), MATCH(X$139, regions_ub[#Headers],0)),INDEX(lmic_raw_ub[],MATCH($A285,lmic_raw_ub[[setting]:[setting]],0), MATCH(X$277, lmic_raw_ub[#Headers],0)))</f>
        <v>5.2182719569838305</v>
      </c>
      <c r="Y285" s="84">
        <f>IF(INDEX(lmic_raw_ub[],MATCH($A285,lmic_raw_ub[[setting]:[setting]],0), MATCH(Y$277, lmic_raw_ub[#Headers],0))=0, INDEX(regions_ub[], MATCH($D285, regions_ub[[setting]:[setting]],0), MATCH(Y$139, regions_ub[#Headers],0)),INDEX(lmic_raw_ub[],MATCH($A285,lmic_raw_ub[[setting]:[setting]],0), MATCH(Y$277, lmic_raw_ub[#Headers],0)))</f>
        <v>7.7907719569838303</v>
      </c>
      <c r="Z285" s="84">
        <f>IF(INDEX(lmic_raw_ub[],MATCH($A285,lmic_raw_ub[[setting]:[setting]],0), MATCH(Z$277, lmic_raw_ub[#Headers],0))=0, INDEX(regions_ub[], MATCH($D285, regions_ub[[setting]:[setting]],0), MATCH(Z$139, regions_ub[#Headers],0)),INDEX(lmic_raw_ub[],MATCH($A285,lmic_raw_ub[[setting]:[setting]],0), MATCH(Z$277, lmic_raw_ub[#Headers],0)))</f>
        <v>7.7774462209191153</v>
      </c>
      <c r="AA285" s="84">
        <f>IF(INDEX(lmic_raw_ub[],MATCH($A285,lmic_raw_ub[[setting]:[setting]],0), MATCH(AA$277, lmic_raw_ub[#Headers],0))=0, INDEX(regions_ub[], MATCH($D285, regions_ub[[setting]:[setting]],0), MATCH(AA$139, regions_ub[#Headers],0)),INDEX(lmic_raw_ub[],MATCH($A285,lmic_raw_ub[[setting]:[setting]],0), MATCH(AA$277, lmic_raw_ub[#Headers],0)))</f>
        <v>5.9944725689384208</v>
      </c>
      <c r="AB285" s="84">
        <f>IF(INDEX(lmic_raw_ub[],MATCH($A285,lmic_raw_ub[[setting]:[setting]],0), MATCH(AB$277, lmic_raw_ub[#Headers],0))=0, INDEX(regions_ub[], MATCH($D285, regions_ub[[setting]:[setting]],0), MATCH(AB$139, regions_ub[#Headers],0)),INDEX(lmic_raw_ub[],MATCH($A285,lmic_raw_ub[[setting]:[setting]],0), MATCH(AB$277, lmic_raw_ub[#Headers],0)))</f>
        <v>8.5669725689384215</v>
      </c>
      <c r="AC285" s="84">
        <f>IF(INDEX(lmic_raw_ub[],MATCH($A285,lmic_raw_ub[[setting]:[setting]],0), MATCH(AC$277, lmic_raw_ub[#Headers],0))=0, INDEX(regions_ub[], MATCH($D285, regions_ub[[setting]:[setting]],0), MATCH(AC$139, regions_ub[#Headers],0)),INDEX(lmic_raw_ub[],MATCH($A285,lmic_raw_ub[[setting]:[setting]],0), MATCH(AC$277, lmic_raw_ub[#Headers],0)))</f>
        <v>2.8192899000000004E-2</v>
      </c>
      <c r="AD285" s="84">
        <f>IF(INDEX(lmic_raw_ub[],MATCH($A285,lmic_raw_ub[[setting]:[setting]],0), MATCH(AD$277, lmic_raw_ub[#Headers],0))=0, INDEX(regions_ub[], MATCH($D285, regions_ub[[setting]:[setting]],0), MATCH(AD$139, regions_ub[#Headers],0)),INDEX(lmic_raw_ub[],MATCH($A285,lmic_raw_ub[[setting]:[setting]],0), MATCH(AD$277, lmic_raw_ub[#Headers],0)))</f>
        <v>1.4986931043553069E-3</v>
      </c>
      <c r="AE285" s="84">
        <f>IF(INDEX(lmic_raw_ub[],MATCH($A285,lmic_raw_ub[[setting]:[setting]],0), MATCH(AE$277, lmic_raw_ub[#Headers],0))=0, INDEX(regions_ub[], MATCH($D285, regions_ub[[setting]:[setting]],0), MATCH(AE$139, regions_ub[#Headers],0)),INDEX(lmic_raw_ub[],MATCH($A285,lmic_raw_ub[[setting]:[setting]],0), MATCH(AE$277, lmic_raw_ub[#Headers],0)))</f>
        <v>7.8563003325332961E-4</v>
      </c>
      <c r="AF285" s="84">
        <f>IF(INDEX(lmic_raw_ub[],MATCH($A285,lmic_raw_ub[[setting]:[setting]],0), MATCH(AF$277, lmic_raw_ub[#Headers],0))=0, INDEX(regions_ub[], MATCH($D285, regions_ub[[setting]:[setting]],0), MATCH(AF$139, regions_ub[#Headers],0)),INDEX(lmic_raw_ub[],MATCH($A285,lmic_raw_ub[[setting]:[setting]],0), MATCH(AF$277, lmic_raw_ub[#Headers],0)))</f>
        <v>6.6779422157501136E-4</v>
      </c>
      <c r="AG285" s="84">
        <f>IF(INDEX(lmic_raw_ub[],MATCH($A285,lmic_raw_ub[[setting]:[setting]],0), MATCH(AG$277, lmic_raw_ub[#Headers],0))=0, INDEX(regions_ub[], MATCH($D285, regions_ub[[setting]:[setting]],0), MATCH(AG$139, regions_ub[#Headers],0)),INDEX(lmic_raw_ub[],MATCH($A285,lmic_raw_ub[[setting]:[setting]],0), MATCH(AG$277, lmic_raw_ub[#Headers],0)))</f>
        <v>1.063212751384799E-3</v>
      </c>
      <c r="AH285" s="84">
        <f>IF(INDEX(lmic_raw_ub[],MATCH($A285,lmic_raw_ub[[setting]:[setting]],0), MATCH(AH$277, lmic_raw_ub[#Headers],0))=0, INDEX(regions_ub[], MATCH($D285, regions_ub[[setting]:[setting]],0), MATCH(AH$139, regions_ub[#Headers],0)),INDEX(lmic_raw_ub[],MATCH($A285,lmic_raw_ub[[setting]:[setting]],0), MATCH(AH$277, lmic_raw_ub[#Headers],0)))</f>
        <v>1.0913486411609861E-3</v>
      </c>
      <c r="AI285" s="84">
        <f>IF(INDEX(lmic_raw_ub[],MATCH($A285,lmic_raw_ub[[setting]:[setting]],0), MATCH(AI$277, lmic_raw_ub[#Headers],0))=0, INDEX(regions_ub[], MATCH($D285, regions_ub[[setting]:[setting]],0), MATCH(AI$139, regions_ub[#Headers],0)),INDEX(lmic_raw_ub[],MATCH($A285,lmic_raw_ub[[setting]:[setting]],0), MATCH(AI$277, lmic_raw_ub[#Headers],0)))</f>
        <v>1.0459760013848676E-3</v>
      </c>
      <c r="AJ285" s="84">
        <f>IF(INDEX(lmic_raw_ub[],MATCH($A285,lmic_raw_ub[[setting]:[setting]],0), MATCH(AJ$277, lmic_raw_ub[#Headers],0))=0, INDEX(regions_ub[], MATCH($D285, regions_ub[[setting]:[setting]],0), MATCH(AJ$139, regions_ub[#Headers],0)),INDEX(lmic_raw_ub[],MATCH($A285,lmic_raw_ub[[setting]:[setting]],0), MATCH(AJ$277, lmic_raw_ub[#Headers],0)))</f>
        <v>1.3084921595591435E-3</v>
      </c>
      <c r="AK285" s="84">
        <f>IF(INDEX(lmic_raw_ub[],MATCH($A285,lmic_raw_ub[[setting]:[setting]],0), MATCH(AK$277, lmic_raw_ub[#Headers],0))=0, INDEX(regions_ub[], MATCH($D285, regions_ub[[setting]:[setting]],0), MATCH(AK$139, regions_ub[#Headers],0)),INDEX(lmic_raw_ub[],MATCH($A285,lmic_raw_ub[[setting]:[setting]],0), MATCH(AK$277, lmic_raw_ub[#Headers],0)))</f>
        <v>1.7796586704125564E-3</v>
      </c>
      <c r="AL285" s="84">
        <f>IF(INDEX(lmic_raw_ub[],MATCH($A285,lmic_raw_ub[[setting]:[setting]],0), MATCH(AL$277, lmic_raw_ub[#Headers],0))=0, INDEX(regions_ub[], MATCH($D285, regions_ub[[setting]:[setting]],0), MATCH(AL$139, regions_ub[#Headers],0)),INDEX(lmic_raw_ub[],MATCH($A285,lmic_raw_ub[[setting]:[setting]],0), MATCH(AL$277, lmic_raw_ub[#Headers],0)))</f>
        <v>2.6143720126092776E-3</v>
      </c>
      <c r="AM285" s="84">
        <f>IF(INDEX(lmic_raw_ub[],MATCH($A285,lmic_raw_ub[[setting]:[setting]],0), MATCH(AM$277, lmic_raw_ub[#Headers],0))=0, INDEX(regions_ub[], MATCH($D285, regions_ub[[setting]:[setting]],0), MATCH(AM$139, regions_ub[#Headers],0)),INDEX(lmic_raw_ub[],MATCH($A285,lmic_raw_ub[[setting]:[setting]],0), MATCH(AM$277, lmic_raw_ub[#Headers],0)))</f>
        <v>4.0728585310740931E-3</v>
      </c>
      <c r="AN285" s="84">
        <f>IF(INDEX(lmic_raw_ub[],MATCH($A285,lmic_raw_ub[[setting]:[setting]],0), MATCH(AN$277, lmic_raw_ub[#Headers],0))=0, INDEX(regions_ub[], MATCH($D285, regions_ub[[setting]:[setting]],0), MATCH(AN$139, regions_ub[#Headers],0)),INDEX(lmic_raw_ub[],MATCH($A285,lmic_raw_ub[[setting]:[setting]],0), MATCH(AN$277, lmic_raw_ub[#Headers],0)))</f>
        <v>6.6860062866684819E-3</v>
      </c>
      <c r="AO285" s="84">
        <f>IF(INDEX(lmic_raw_ub[],MATCH($A285,lmic_raw_ub[[setting]:[setting]],0), MATCH(AO$277, lmic_raw_ub[#Headers],0))=0, INDEX(regions_ub[], MATCH($D285, regions_ub[[setting]:[setting]],0), MATCH(AO$139, regions_ub[#Headers],0)),INDEX(lmic_raw_ub[],MATCH($A285,lmic_raw_ub[[setting]:[setting]],0), MATCH(AO$277, lmic_raw_ub[#Headers],0)))</f>
        <v>1.0524517731137347E-2</v>
      </c>
      <c r="AP285" s="84">
        <f>IF(INDEX(lmic_raw_ub[],MATCH($A285,lmic_raw_ub[[setting]:[setting]],0), MATCH(AP$277, lmic_raw_ub[#Headers],0))=0, INDEX(regions_ub[], MATCH($D285, regions_ub[[setting]:[setting]],0), MATCH(AP$139, regions_ub[#Headers],0)),INDEX(lmic_raw_ub[],MATCH($A285,lmic_raw_ub[[setting]:[setting]],0), MATCH(AP$277, lmic_raw_ub[#Headers],0)))</f>
        <v>1.7482220111529546E-2</v>
      </c>
      <c r="AQ285" s="84">
        <f>IF(INDEX(lmic_raw_ub[],MATCH($A285,lmic_raw_ub[[setting]:[setting]],0), MATCH(AQ$277, lmic_raw_ub[#Headers],0))=0, INDEX(regions_ub[], MATCH($D285, regions_ub[[setting]:[setting]],0), MATCH(AQ$139, regions_ub[#Headers],0)),INDEX(lmic_raw_ub[],MATCH($A285,lmic_raw_ub[[setting]:[setting]],0), MATCH(AQ$277, lmic_raw_ub[#Headers],0)))</f>
        <v>2.5341885398422238E-2</v>
      </c>
      <c r="AR285" s="84">
        <f>IF(INDEX(lmic_raw_ub[],MATCH($A285,lmic_raw_ub[[setting]:[setting]],0), MATCH(AR$277, lmic_raw_ub[#Headers],0))=0, INDEX(regions_ub[], MATCH($D285, regions_ub[[setting]:[setting]],0), MATCH(AR$139, regions_ub[#Headers],0)),INDEX(lmic_raw_ub[],MATCH($A285,lmic_raw_ub[[setting]:[setting]],0), MATCH(AR$277, lmic_raw_ub[#Headers],0)))</f>
        <v>4.1097138602292867E-2</v>
      </c>
      <c r="AS285" s="84">
        <f>IF(INDEX(lmic_raw_ub[],MATCH($A285,lmic_raw_ub[[setting]:[setting]],0), MATCH(AS$277, lmic_raw_ub[#Headers],0))=0, INDEX(regions_ub[], MATCH($D285, regions_ub[[setting]:[setting]],0), MATCH(AS$139, regions_ub[#Headers],0)),INDEX(lmic_raw_ub[],MATCH($A285,lmic_raw_ub[[setting]:[setting]],0), MATCH(AS$277, lmic_raw_ub[#Headers],0)))</f>
        <v>5.5612030207403025E-2</v>
      </c>
      <c r="AT285" s="84">
        <f>IF(INDEX(lmic_raw_ub[],MATCH($A285,lmic_raw_ub[[setting]:[setting]],0), MATCH(AT$277, lmic_raw_ub[#Headers],0))=0, INDEX(regions_ub[], MATCH($D285, regions_ub[[setting]:[setting]],0), MATCH(AT$139, regions_ub[#Headers],0)),INDEX(lmic_raw_ub[],MATCH($A285,lmic_raw_ub[[setting]:[setting]],0), MATCH(AT$277, lmic_raw_ub[#Headers],0)))</f>
        <v>8.0003176281822214E-2</v>
      </c>
      <c r="AU285" s="84">
        <f>IF(INDEX(lmic_raw_ub[],MATCH($A285,lmic_raw_ub[[setting]:[setting]],0), MATCH(AU$277, lmic_raw_ub[#Headers],0))=0, INDEX(regions_ub[], MATCH($D285, regions_ub[[setting]:[setting]],0), MATCH(AU$139, regions_ub[#Headers],0)),INDEX(lmic_raw_ub[],MATCH($A285,lmic_raw_ub[[setting]:[setting]],0), MATCH(AU$277, lmic_raw_ub[#Headers],0)))</f>
        <v>0.10572073696016218</v>
      </c>
      <c r="AV285" s="84">
        <f>IF(INDEX(lmic_raw_ub[],MATCH($A285,lmic_raw_ub[[setting]:[setting]],0), MATCH(AV$277, lmic_raw_ub[#Headers],0))=0, INDEX(regions_ub[], MATCH($D285, regions_ub[[setting]:[setting]],0), MATCH(AV$139, regions_ub[#Headers],0)),INDEX(lmic_raw_ub[],MATCH($A285,lmic_raw_ub[[setting]:[setting]],0), MATCH(AV$277, lmic_raw_ub[#Headers],0)))</f>
        <v>0.13082793838293505</v>
      </c>
      <c r="AW285" s="84">
        <f>IF(INDEX(lmic_raw_ub[],MATCH($A285,lmic_raw_ub[[setting]:[setting]],0), MATCH(AW$277, lmic_raw_ub[#Headers],0))=0, INDEX(regions_ub[], MATCH($D285, regions_ub[[setting]:[setting]],0), MATCH(AW$139, regions_ub[#Headers],0)),INDEX(lmic_raw_ub[],MATCH($A285,lmic_raw_ub[[setting]:[setting]],0), MATCH(AW$277, lmic_raw_ub[#Headers],0)))</f>
        <v>0.14828933962360599</v>
      </c>
      <c r="AX285" s="84">
        <f>IF(INDEX(lmic_raw_ub[],MATCH($A285,lmic_raw_ub[[setting]:[setting]],0), MATCH(AX$277, lmic_raw_ub[#Headers],0))=0, INDEX(regions_ub[], MATCH($D285, regions_ub[[setting]:[setting]],0), MATCH(AX$139, regions_ub[#Headers],0)),INDEX(lmic_raw_ub[],MATCH($A285,lmic_raw_ub[[setting]:[setting]],0), MATCH(AX$277, lmic_raw_ub[#Headers],0)))</f>
        <v>75.757500000000007</v>
      </c>
      <c r="AY285" s="33" t="str">
        <f>IF(VLOOKUP(lmics_ub[[#This Row],[setting]],lmic_raw_ub[],11,FALSE)=0, "Yes", "No")</f>
        <v>Yes</v>
      </c>
    </row>
    <row r="286" spans="1:51" x14ac:dyDescent="0.25">
      <c r="A286" s="109" t="s">
        <v>307</v>
      </c>
      <c r="B286" s="101" t="s">
        <v>381</v>
      </c>
      <c r="C286" s="102">
        <v>112</v>
      </c>
      <c r="D286" s="82" t="s">
        <v>675</v>
      </c>
      <c r="E286" s="82" t="s">
        <v>306</v>
      </c>
      <c r="F286" s="82" t="s">
        <v>663</v>
      </c>
      <c r="G286" s="82" t="s">
        <v>676</v>
      </c>
      <c r="J286" s="84">
        <f>IF(INDEX(lmic_raw_ub[],MATCH($A286,lmic_raw_ub[[setting]:[setting]],0), MATCH(J$277, lmic_raw_ub[#Headers],0))=0, INDEX(regions_ub[], MATCH($D286, regions_ub[[setting]:[setting]],0), MATCH(J$139, regions_ub[#Headers],0)),INDEX(lmic_raw_ub[],MATCH($A286,lmic_raw_ub[[setting]:[setting]],0), MATCH(J$277, lmic_raw_ub[#Headers],0)))</f>
        <v>0.99990000000000001</v>
      </c>
      <c r="K286" s="84">
        <f>IF(INDEX(lmic_raw_ub[],MATCH($A286,lmic_raw_ub[[setting]:[setting]],0), MATCH(K$277, lmic_raw_ub[#Headers],0))=0, INDEX(regions_ub[], MATCH($D286, regions_ub[[setting]:[setting]],0), MATCH(K$139, regions_ub[#Headers],0)),INDEX(lmic_raw_ub[],MATCH($A286,lmic_raw_ub[[setting]:[setting]],0), MATCH(K$277, lmic_raw_ub[#Headers],0)))</f>
        <v>0.99990000000000001</v>
      </c>
      <c r="L286" s="84">
        <f>IF(INDEX(lmic_raw_ub[],MATCH($A286,lmic_raw_ub[[setting]:[setting]],0), MATCH(L$277, lmic_raw_ub[#Headers],0))=0, INDEX(regions_ub[], MATCH($D286, regions_ub[[setting]:[setting]],0), MATCH(L$139, regions_ub[#Headers],0)),INDEX(lmic_raw_ub[],MATCH($A286,lmic_raw_ub[[setting]:[setting]],0), MATCH(L$277, lmic_raw_ub[#Headers],0)))</f>
        <v>0.99990000000000001</v>
      </c>
      <c r="M286" s="84">
        <f>IF(INDEX(lmic_raw_ub[],MATCH($A286,lmic_raw_ub[[setting]:[setting]],0), MATCH(M$277, lmic_raw_ub[#Headers],0))=0, INDEX(regions_ub[], MATCH($D286, regions_ub[[setting]:[setting]],0), MATCH(M$139, regions_ub[#Headers],0)),INDEX(lmic_raw_ub[],MATCH($A286,lmic_raw_ub[[setting]:[setting]],0), MATCH(M$277, lmic_raw_ub[#Headers],0)))</f>
        <v>0.1195</v>
      </c>
      <c r="N286" s="84">
        <f>IF(INDEX(lmic_raw_ub[],MATCH($A286,lmic_raw_ub[[setting]:[setting]],0), MATCH(N$277, lmic_raw_ub[#Headers],0))=0, INDEX(regions_ub[], MATCH($D286, regions_ub[[setting]:[setting]],0), MATCH(N$139, regions_ub[#Headers],0)),INDEX(lmic_raw_ub[],MATCH($A286,lmic_raw_ub[[setting]:[setting]],0), MATCH(N$277, lmic_raw_ub[#Headers],0)))</f>
        <v>0.42969999999999997</v>
      </c>
      <c r="O286" s="84">
        <f>IF(INDEX(lmic_raw_ub[],MATCH($A286,lmic_raw_ub[[setting]:[setting]],0), MATCH(O$277, lmic_raw_ub[#Headers],0))=0, INDEX(regions_ub[], MATCH($D286, regions_ub[[setting]:[setting]],0), MATCH(O$139, regions_ub[#Headers],0)),INDEX(lmic_raw_ub[],MATCH($A286,lmic_raw_ub[[setting]:[setting]],0), MATCH(O$277, lmic_raw_ub[#Headers],0)))</f>
        <v>0.9</v>
      </c>
      <c r="P286" s="84">
        <f>IF(INDEX(lmic_raw_ub[],MATCH($A286,lmic_raw_ub[[setting]:[setting]],0), MATCH(P$277, lmic_raw_ub[#Headers],0))=0, INDEX(regions_ub[], MATCH($D286, regions_ub[[setting]:[setting]],0), MATCH(P$139, regions_ub[#Headers],0)),INDEX(lmic_raw_ub[],MATCH($A286,lmic_raw_ub[[setting]:[setting]],0), MATCH(P$277, lmic_raw_ub[#Headers],0)))</f>
        <v>0.3</v>
      </c>
      <c r="Q286" s="84">
        <f>IF(INDEX(lmic_raw_ub[],MATCH($A286,lmic_raw_ub[[setting]:[setting]],0), MATCH(Q$277, lmic_raw_ub[#Headers],0))=0, INDEX(regions_ub[], MATCH($D286, regions_ub[[setting]:[setting]],0), MATCH(Q$139, regions_ub[#Headers],0)),INDEX(lmic_raw_ub[],MATCH($A286,lmic_raw_ub[[setting]:[setting]],0), MATCH(Q$277, lmic_raw_ub[#Headers],0)))</f>
        <v>10.605166612384142</v>
      </c>
      <c r="R286" s="84">
        <f>IF(INDEX(lmic_raw_ub[],MATCH($A286,lmic_raw_ub[[setting]:[setting]],0), MATCH(R$277, lmic_raw_ub[#Headers],0))=0, INDEX(regions_ub[], MATCH($D286, regions_ub[[setting]:[setting]],0), MATCH(R$139, regions_ub[#Headers],0)),INDEX(lmic_raw_ub[],MATCH($A286,lmic_raw_ub[[setting]:[setting]],0), MATCH(R$277, lmic_raw_ub[#Headers],0)))</f>
        <v>46.76427000000001</v>
      </c>
      <c r="S286" s="84">
        <f>IF(INDEX(lmic_raw_ub[],MATCH($A286,lmic_raw_ub[[setting]:[setting]],0), MATCH(S$277, lmic_raw_ub[#Headers],0))=0, INDEX(regions_ub[], MATCH($D286, regions_ub[[setting]:[setting]],0), MATCH(S$139, regions_ub[#Headers],0)),INDEX(lmic_raw_ub[],MATCH($A286,lmic_raw_ub[[setting]:[setting]],0), MATCH(S$277, lmic_raw_ub[#Headers],0)))</f>
        <v>96.893370000000019</v>
      </c>
      <c r="T286" s="84">
        <f>IF(INDEX(lmic_raw_ub[],MATCH($A286,lmic_raw_ub[[setting]:[setting]],0), MATCH(T$277, lmic_raw_ub[#Headers],0))=0, INDEX(regions_ub[], MATCH($D286, regions_ub[[setting]:[setting]],0), MATCH(T$139, regions_ub[#Headers],0)),INDEX(lmic_raw_ub[],MATCH($A286,lmic_raw_ub[[setting]:[setting]],0), MATCH(T$277, lmic_raw_ub[#Headers],0)))</f>
        <v>96.893370000000019</v>
      </c>
      <c r="U286" s="84">
        <f>IF(INDEX(lmic_raw_ub[],MATCH($A286,lmic_raw_ub[[setting]:[setting]],0), MATCH(U$277, lmic_raw_ub[#Headers],0))=0, INDEX(regions_ub[], MATCH($D286, regions_ub[[setting]:[setting]],0), MATCH(U$139, regions_ub[#Headers],0)),INDEX(lmic_raw_ub[],MATCH($A286,lmic_raw_ub[[setting]:[setting]],0), MATCH(U$277, lmic_raw_ub[#Headers],0)))</f>
        <v>96.893370000000019</v>
      </c>
      <c r="V286" s="84">
        <f>IF(INDEX(lmic_raw_ub[],MATCH($A286,lmic_raw_ub[[setting]:[setting]],0), MATCH(V$277, lmic_raw_ub[#Headers],0))=0, INDEX(regions_ub[], MATCH($D286, regions_ub[[setting]:[setting]],0), MATCH(V$139, regions_ub[#Headers],0)),INDEX(lmic_raw_ub[],MATCH($A286,lmic_raw_ub[[setting]:[setting]],0), MATCH(V$277, lmic_raw_ub[#Headers],0)))</f>
        <v>10.583041801639672</v>
      </c>
      <c r="W286" s="84">
        <f>IF(INDEX(lmic_raw_ub[],MATCH($A286,lmic_raw_ub[[setting]:[setting]],0), MATCH(W$277, lmic_raw_ub[#Headers],0))=0, INDEX(regions_ub[], MATCH($D286, regions_ub[[setting]:[setting]],0), MATCH(W$139, regions_ub[#Headers],0)),INDEX(lmic_raw_ub[],MATCH($A286,lmic_raw_ub[[setting]:[setting]],0), MATCH(W$277, lmic_raw_ub[#Headers],0)))</f>
        <v>14.852026801639672</v>
      </c>
      <c r="X286" s="84">
        <f>IF(INDEX(lmic_raw_ub[],MATCH($A286,lmic_raw_ub[[setting]:[setting]],0), MATCH(X$277, lmic_raw_ub[#Headers],0))=0, INDEX(regions_ub[], MATCH($D286, regions_ub[[setting]:[setting]],0), MATCH(X$139, regions_ub[#Headers],0)),INDEX(lmic_raw_ub[],MATCH($A286,lmic_raw_ub[[setting]:[setting]],0), MATCH(X$277, lmic_raw_ub[#Headers],0)))</f>
        <v>10.060141388624309</v>
      </c>
      <c r="Y286" s="84">
        <f>IF(INDEX(lmic_raw_ub[],MATCH($A286,lmic_raw_ub[[setting]:[setting]],0), MATCH(Y$277, lmic_raw_ub[#Headers],0))=0, INDEX(regions_ub[], MATCH($D286, regions_ub[[setting]:[setting]],0), MATCH(Y$139, regions_ub[#Headers],0)),INDEX(lmic_raw_ub[],MATCH($A286,lmic_raw_ub[[setting]:[setting]],0), MATCH(Y$277, lmic_raw_ub[#Headers],0)))</f>
        <v>14.32912638862431</v>
      </c>
      <c r="Z286" s="84">
        <f>IF(INDEX(lmic_raw_ub[],MATCH($A286,lmic_raw_ub[[setting]:[setting]],0), MATCH(Z$277, lmic_raw_ub[#Headers],0))=0, INDEX(regions_ub[], MATCH($D286, regions_ub[[setting]:[setting]],0), MATCH(Z$139, regions_ub[#Headers],0)),INDEX(lmic_raw_ub[],MATCH($A286,lmic_raw_ub[[setting]:[setting]],0), MATCH(Z$277, lmic_raw_ub[#Headers],0)))</f>
        <v>14.307320444076154</v>
      </c>
      <c r="AA286" s="84">
        <f>IF(INDEX(lmic_raw_ub[],MATCH($A286,lmic_raw_ub[[setting]:[setting]],0), MATCH(AA$277, lmic_raw_ub[#Headers],0))=0, INDEX(regions_ub[], MATCH($D286, regions_ub[[setting]:[setting]],0), MATCH(AA$139, regions_ub[#Headers],0)),INDEX(lmic_raw_ub[],MATCH($A286,lmic_raw_ub[[setting]:[setting]],0), MATCH(AA$277, lmic_raw_ub[#Headers],0)))</f>
        <v>10.85781143221938</v>
      </c>
      <c r="AB286" s="84">
        <f>IF(INDEX(lmic_raw_ub[],MATCH($A286,lmic_raw_ub[[setting]:[setting]],0), MATCH(AB$277, lmic_raw_ub[#Headers],0))=0, INDEX(regions_ub[], MATCH($D286, regions_ub[[setting]:[setting]],0), MATCH(AB$139, regions_ub[#Headers],0)),INDEX(lmic_raw_ub[],MATCH($A286,lmic_raw_ub[[setting]:[setting]],0), MATCH(AB$277, lmic_raw_ub[#Headers],0)))</f>
        <v>15.126796432219381</v>
      </c>
      <c r="AC286" s="84">
        <f>IF(INDEX(lmic_raw_ub[],MATCH($A286,lmic_raw_ub[[setting]:[setting]],0), MATCH(AC$277, lmic_raw_ub[#Headers],0))=0, INDEX(regions_ub[], MATCH($D286, regions_ub[[setting]:[setting]],0), MATCH(AC$139, regions_ub[#Headers],0)),INDEX(lmic_raw_ub[],MATCH($A286,lmic_raw_ub[[setting]:[setting]],0), MATCH(AC$277, lmic_raw_ub[#Headers],0)))</f>
        <v>3.1142160000000442E-3</v>
      </c>
      <c r="AD286" s="84">
        <f>IF(INDEX(lmic_raw_ub[],MATCH($A286,lmic_raw_ub[[setting]:[setting]],0), MATCH(AD$277, lmic_raw_ub[#Headers],0))=0, INDEX(regions_ub[], MATCH($D286, regions_ub[[setting]:[setting]],0), MATCH(AD$139, regions_ub[#Headers],0)),INDEX(lmic_raw_ub[],MATCH($A286,lmic_raw_ub[[setting]:[setting]],0), MATCH(AD$277, lmic_raw_ub[#Headers],0)))</f>
        <v>2.2903592723731752E-4</v>
      </c>
      <c r="AE286" s="84">
        <f>IF(INDEX(lmic_raw_ub[],MATCH($A286,lmic_raw_ub[[setting]:[setting]],0), MATCH(AE$277, lmic_raw_ub[#Headers],0))=0, INDEX(regions_ub[], MATCH($D286, regions_ub[[setting]:[setting]],0), MATCH(AE$139, regions_ub[#Headers],0)),INDEX(lmic_raw_ub[],MATCH($A286,lmic_raw_ub[[setting]:[setting]],0), MATCH(AE$277, lmic_raw_ub[#Headers],0)))</f>
        <v>1.4563292605942237E-4</v>
      </c>
      <c r="AF286" s="84">
        <f>IF(INDEX(lmic_raw_ub[],MATCH($A286,lmic_raw_ub[[setting]:[setting]],0), MATCH(AF$277, lmic_raw_ub[#Headers],0))=0, INDEX(regions_ub[], MATCH($D286, regions_ub[[setting]:[setting]],0), MATCH(AF$139, regions_ub[#Headers],0)),INDEX(lmic_raw_ub[],MATCH($A286,lmic_raw_ub[[setting]:[setting]],0), MATCH(AF$277, lmic_raw_ub[#Headers],0)))</f>
        <v>1.3827040588088927E-4</v>
      </c>
      <c r="AG286" s="84">
        <f>IF(INDEX(lmic_raw_ub[],MATCH($A286,lmic_raw_ub[[setting]:[setting]],0), MATCH(AG$277, lmic_raw_ub[#Headers],0))=0, INDEX(regions_ub[], MATCH($D286, regions_ub[[setting]:[setting]],0), MATCH(AG$139, regions_ub[#Headers],0)),INDEX(lmic_raw_ub[],MATCH($A286,lmic_raw_ub[[setting]:[setting]],0), MATCH(AG$277, lmic_raw_ub[#Headers],0)))</f>
        <v>3.6928136403498733E-4</v>
      </c>
      <c r="AH286" s="84">
        <f>IF(INDEX(lmic_raw_ub[],MATCH($A286,lmic_raw_ub[[setting]:[setting]],0), MATCH(AH$277, lmic_raw_ub[#Headers],0))=0, INDEX(regions_ub[], MATCH($D286, regions_ub[[setting]:[setting]],0), MATCH(AH$139, regions_ub[#Headers],0)),INDEX(lmic_raw_ub[],MATCH($A286,lmic_raw_ub[[setting]:[setting]],0), MATCH(AH$277, lmic_raw_ub[#Headers],0)))</f>
        <v>6.2866237324011481E-4</v>
      </c>
      <c r="AI286" s="84">
        <f>IF(INDEX(lmic_raw_ub[],MATCH($A286,lmic_raw_ub[[setting]:[setting]],0), MATCH(AI$277, lmic_raw_ub[#Headers],0))=0, INDEX(regions_ub[], MATCH($D286, regions_ub[[setting]:[setting]],0), MATCH(AI$139, regions_ub[#Headers],0)),INDEX(lmic_raw_ub[],MATCH($A286,lmic_raw_ub[[setting]:[setting]],0), MATCH(AI$277, lmic_raw_ub[#Headers],0)))</f>
        <v>9.1833463519413452E-4</v>
      </c>
      <c r="AJ286" s="84">
        <f>IF(INDEX(lmic_raw_ub[],MATCH($A286,lmic_raw_ub[[setting]:[setting]],0), MATCH(AJ$277, lmic_raw_ub[#Headers],0))=0, INDEX(regions_ub[], MATCH($D286, regions_ub[[setting]:[setting]],0), MATCH(AJ$139, regions_ub[#Headers],0)),INDEX(lmic_raw_ub[],MATCH($A286,lmic_raw_ub[[setting]:[setting]],0), MATCH(AJ$277, lmic_raw_ub[#Headers],0)))</f>
        <v>1.5047410190924481E-3</v>
      </c>
      <c r="AK286" s="84">
        <f>IF(INDEX(lmic_raw_ub[],MATCH($A286,lmic_raw_ub[[setting]:[setting]],0), MATCH(AK$277, lmic_raw_ub[#Headers],0))=0, INDEX(regions_ub[], MATCH($D286, regions_ub[[setting]:[setting]],0), MATCH(AK$139, regions_ub[#Headers],0)),INDEX(lmic_raw_ub[],MATCH($A286,lmic_raw_ub[[setting]:[setting]],0), MATCH(AK$277, lmic_raw_ub[#Headers],0)))</f>
        <v>2.4092155402448421E-3</v>
      </c>
      <c r="AL286" s="84">
        <f>IF(INDEX(lmic_raw_ub[],MATCH($A286,lmic_raw_ub[[setting]:[setting]],0), MATCH(AL$277, lmic_raw_ub[#Headers],0))=0, INDEX(regions_ub[], MATCH($D286, regions_ub[[setting]:[setting]],0), MATCH(AL$139, regions_ub[#Headers],0)),INDEX(lmic_raw_ub[],MATCH($A286,lmic_raw_ub[[setting]:[setting]],0), MATCH(AL$277, lmic_raw_ub[#Headers],0)))</f>
        <v>3.4813995843920647E-3</v>
      </c>
      <c r="AM286" s="84">
        <f>IF(INDEX(lmic_raw_ub[],MATCH($A286,lmic_raw_ub[[setting]:[setting]],0), MATCH(AM$277, lmic_raw_ub[#Headers],0))=0, INDEX(regions_ub[], MATCH($D286, regions_ub[[setting]:[setting]],0), MATCH(AM$139, regions_ub[#Headers],0)),INDEX(lmic_raw_ub[],MATCH($A286,lmic_raw_ub[[setting]:[setting]],0), MATCH(AM$277, lmic_raw_ub[#Headers],0)))</f>
        <v>5.2246224328802889E-3</v>
      </c>
      <c r="AN286" s="84">
        <f>IF(INDEX(lmic_raw_ub[],MATCH($A286,lmic_raw_ub[[setting]:[setting]],0), MATCH(AN$277, lmic_raw_ub[#Headers],0))=0, INDEX(regions_ub[], MATCH($D286, regions_ub[[setting]:[setting]],0), MATCH(AN$139, regions_ub[#Headers],0)),INDEX(lmic_raw_ub[],MATCH($A286,lmic_raw_ub[[setting]:[setting]],0), MATCH(AN$277, lmic_raw_ub[#Headers],0)))</f>
        <v>7.6689845751383521E-3</v>
      </c>
      <c r="AO286" s="84">
        <f>IF(INDEX(lmic_raw_ub[],MATCH($A286,lmic_raw_ub[[setting]:[setting]],0), MATCH(AO$277, lmic_raw_ub[#Headers],0))=0, INDEX(regions_ub[], MATCH($D286, regions_ub[[setting]:[setting]],0), MATCH(AO$139, regions_ub[#Headers],0)),INDEX(lmic_raw_ub[],MATCH($A286,lmic_raw_ub[[setting]:[setting]],0), MATCH(AO$277, lmic_raw_ub[#Headers],0)))</f>
        <v>1.1408770639083786E-2</v>
      </c>
      <c r="AP286" s="84">
        <f>IF(INDEX(lmic_raw_ub[],MATCH($A286,lmic_raw_ub[[setting]:[setting]],0), MATCH(AP$277, lmic_raw_ub[#Headers],0))=0, INDEX(regions_ub[], MATCH($D286, regions_ub[[setting]:[setting]],0), MATCH(AP$139, regions_ub[#Headers],0)),INDEX(lmic_raw_ub[],MATCH($A286,lmic_raw_ub[[setting]:[setting]],0), MATCH(AP$277, lmic_raw_ub[#Headers],0)))</f>
        <v>1.7257845009927643E-2</v>
      </c>
      <c r="AQ286" s="84">
        <f>IF(INDEX(lmic_raw_ub[],MATCH($A286,lmic_raw_ub[[setting]:[setting]],0), MATCH(AQ$277, lmic_raw_ub[#Headers],0))=0, INDEX(regions_ub[], MATCH($D286, regions_ub[[setting]:[setting]],0), MATCH(AQ$139, regions_ub[#Headers],0)),INDEX(lmic_raw_ub[],MATCH($A286,lmic_raw_ub[[setting]:[setting]],0), MATCH(AQ$277, lmic_raw_ub[#Headers],0)))</f>
        <v>2.4325331760250705E-2</v>
      </c>
      <c r="AR286" s="84">
        <f>IF(INDEX(lmic_raw_ub[],MATCH($A286,lmic_raw_ub[[setting]:[setting]],0), MATCH(AR$277, lmic_raw_ub[#Headers],0))=0, INDEX(regions_ub[], MATCH($D286, regions_ub[[setting]:[setting]],0), MATCH(AR$139, regions_ub[#Headers],0)),INDEX(lmic_raw_ub[],MATCH($A286,lmic_raw_ub[[setting]:[setting]],0), MATCH(AR$277, lmic_raw_ub[#Headers],0)))</f>
        <v>3.494601896342301E-2</v>
      </c>
      <c r="AS286" s="84">
        <f>IF(INDEX(lmic_raw_ub[],MATCH($A286,lmic_raw_ub[[setting]:[setting]],0), MATCH(AS$277, lmic_raw_ub[#Headers],0))=0, INDEX(regions_ub[], MATCH($D286, regions_ub[[setting]:[setting]],0), MATCH(AS$139, regions_ub[#Headers],0)),INDEX(lmic_raw_ub[],MATCH($A286,lmic_raw_ub[[setting]:[setting]],0), MATCH(AS$277, lmic_raw_ub[#Headers],0)))</f>
        <v>5.2843723380311923E-2</v>
      </c>
      <c r="AT286" s="84">
        <f>IF(INDEX(lmic_raw_ub[],MATCH($A286,lmic_raw_ub[[setting]:[setting]],0), MATCH(AT$277, lmic_raw_ub[#Headers],0))=0, INDEX(regions_ub[], MATCH($D286, regions_ub[[setting]:[setting]],0), MATCH(AT$139, regions_ub[#Headers],0)),INDEX(lmic_raw_ub[],MATCH($A286,lmic_raw_ub[[setting]:[setting]],0), MATCH(AT$277, lmic_raw_ub[#Headers],0)))</f>
        <v>8.1226126212398428E-2</v>
      </c>
      <c r="AU286" s="84">
        <f>IF(INDEX(lmic_raw_ub[],MATCH($A286,lmic_raw_ub[[setting]:[setting]],0), MATCH(AU$277, lmic_raw_ub[#Headers],0))=0, INDEX(regions_ub[], MATCH($D286, regions_ub[[setting]:[setting]],0), MATCH(AU$139, regions_ub[#Headers],0)),INDEX(lmic_raw_ub[],MATCH($A286,lmic_raw_ub[[setting]:[setting]],0), MATCH(AU$277, lmic_raw_ub[#Headers],0)))</f>
        <v>0.11524829500926877</v>
      </c>
      <c r="AV286" s="84">
        <f>IF(INDEX(lmic_raw_ub[],MATCH($A286,lmic_raw_ub[[setting]:[setting]],0), MATCH(AV$277, lmic_raw_ub[#Headers],0))=0, INDEX(regions_ub[], MATCH($D286, regions_ub[[setting]:[setting]],0), MATCH(AV$139, regions_ub[#Headers],0)),INDEX(lmic_raw_ub[],MATCH($A286,lmic_raw_ub[[setting]:[setting]],0), MATCH(AV$277, lmic_raw_ub[#Headers],0)))</f>
        <v>0.15259072776501603</v>
      </c>
      <c r="AW286" s="84">
        <f>IF(INDEX(lmic_raw_ub[],MATCH($A286,lmic_raw_ub[[setting]:[setting]],0), MATCH(AW$277, lmic_raw_ub[#Headers],0))=0, INDEX(regions_ub[], MATCH($D286, regions_ub[[setting]:[setting]],0), MATCH(AW$139, regions_ub[#Headers],0)),INDEX(lmic_raw_ub[],MATCH($A286,lmic_raw_ub[[setting]:[setting]],0), MATCH(AW$277, lmic_raw_ub[#Headers],0)))</f>
        <v>0.18060359571210541</v>
      </c>
      <c r="AX286" s="84">
        <f>IF(INDEX(lmic_raw_ub[],MATCH($A286,lmic_raw_ub[[setting]:[setting]],0), MATCH(AX$277, lmic_raw_ub[#Headers],0))=0, INDEX(regions_ub[], MATCH($D286, regions_ub[[setting]:[setting]],0), MATCH(AX$139, regions_ub[#Headers],0)),INDEX(lmic_raw_ub[],MATCH($A286,lmic_raw_ub[[setting]:[setting]],0), MATCH(AX$277, lmic_raw_ub[#Headers],0)))</f>
        <v>78.214500000000001</v>
      </c>
      <c r="AY286" s="33" t="str">
        <f>IF(VLOOKUP(lmics_ub[[#This Row],[setting]],lmic_raw_ub[],11,FALSE)=0, "Yes", "No")</f>
        <v>No</v>
      </c>
    </row>
    <row r="287" spans="1:51" x14ac:dyDescent="0.25">
      <c r="A287" s="110" t="s">
        <v>253</v>
      </c>
      <c r="B287" s="104" t="s">
        <v>382</v>
      </c>
      <c r="C287" s="105">
        <v>84</v>
      </c>
      <c r="D287" s="84" t="s">
        <v>679</v>
      </c>
      <c r="E287" s="84" t="s">
        <v>223</v>
      </c>
      <c r="F287" s="84" t="s">
        <v>665</v>
      </c>
      <c r="G287" s="84" t="s">
        <v>676</v>
      </c>
      <c r="J287" s="84">
        <f>IF(INDEX(lmic_raw_ub[],MATCH($A287,lmic_raw_ub[[setting]:[setting]],0), MATCH(J$277, lmic_raw_ub[#Headers],0))=0, INDEX(regions_ub[], MATCH($D287, regions_ub[[setting]:[setting]],0), MATCH(J$139, regions_ub[#Headers],0)),INDEX(lmic_raw_ub[],MATCH($A287,lmic_raw_ub[[setting]:[setting]],0), MATCH(J$277, lmic_raw_ub[#Headers],0)))</f>
        <v>0.99990000000000001</v>
      </c>
      <c r="K287" s="84">
        <f>IF(INDEX(lmic_raw_ub[],MATCH($A287,lmic_raw_ub[[setting]:[setting]],0), MATCH(K$277, lmic_raw_ub[#Headers],0))=0, INDEX(regions_ub[], MATCH($D287, regions_ub[[setting]:[setting]],0), MATCH(K$139, regions_ub[#Headers],0)),INDEX(lmic_raw_ub[],MATCH($A287,lmic_raw_ub[[setting]:[setting]],0), MATCH(K$277, lmic_raw_ub[#Headers],0)))</f>
        <v>0.73499999999999999</v>
      </c>
      <c r="L287" s="84">
        <f>IF(INDEX(lmic_raw_ub[],MATCH($A287,lmic_raw_ub[[setting]:[setting]],0), MATCH(L$277, lmic_raw_ub[#Headers],0))=0, INDEX(regions_ub[], MATCH($D287, regions_ub[[setting]:[setting]],0), MATCH(L$139, regions_ub[#Headers],0)),INDEX(lmic_raw_ub[],MATCH($A287,lmic_raw_ub[[setting]:[setting]],0), MATCH(L$277, lmic_raw_ub[#Headers],0)))</f>
        <v>0.99990000000000001</v>
      </c>
      <c r="M287" s="84">
        <f>IF(INDEX(lmic_raw_ub[],MATCH($A287,lmic_raw_ub[[setting]:[setting]],0), MATCH(M$277, lmic_raw_ub[#Headers],0))=0, INDEX(regions_ub[], MATCH($D287, regions_ub[[setting]:[setting]],0), MATCH(M$139, regions_ub[#Headers],0)),INDEX(lmic_raw_ub[],MATCH($A287,lmic_raw_ub[[setting]:[setting]],0), MATCH(M$277, lmic_raw_ub[#Headers],0)))</f>
        <v>5.2499999999999998E-2</v>
      </c>
      <c r="N287" s="84">
        <f>IF(INDEX(lmic_raw_ub[],MATCH($A287,lmic_raw_ub[[setting]:[setting]],0), MATCH(N$277, lmic_raw_ub[#Headers],0))=0, INDEX(regions_ub[], MATCH($D287, regions_ub[[setting]:[setting]],0), MATCH(N$139, regions_ub[#Headers],0)),INDEX(lmic_raw_ub[],MATCH($A287,lmic_raw_ub[[setting]:[setting]],0), MATCH(N$277, lmic_raw_ub[#Headers],0)))</f>
        <v>0.43</v>
      </c>
      <c r="O287" s="84">
        <f>IF(INDEX(lmic_raw_ub[],MATCH($A287,lmic_raw_ub[[setting]:[setting]],0), MATCH(O$277, lmic_raw_ub[#Headers],0))=0, INDEX(regions_ub[], MATCH($D287, regions_ub[[setting]:[setting]],0), MATCH(O$139, regions_ub[#Headers],0)),INDEX(lmic_raw_ub[],MATCH($A287,lmic_raw_ub[[setting]:[setting]],0), MATCH(O$277, lmic_raw_ub[#Headers],0)))</f>
        <v>0.9</v>
      </c>
      <c r="P287" s="84">
        <f>IF(INDEX(lmic_raw_ub[],MATCH($A287,lmic_raw_ub[[setting]:[setting]],0), MATCH(P$277, lmic_raw_ub[#Headers],0))=0, INDEX(regions_ub[], MATCH($D287, regions_ub[[setting]:[setting]],0), MATCH(P$139, regions_ub[#Headers],0)),INDEX(lmic_raw_ub[],MATCH($A287,lmic_raw_ub[[setting]:[setting]],0), MATCH(P$277, lmic_raw_ub[#Headers],0)))</f>
        <v>0.3</v>
      </c>
      <c r="Q287" s="84">
        <f>IF(INDEX(lmic_raw_ub[],MATCH($A287,lmic_raw_ub[[setting]:[setting]],0), MATCH(Q$277, lmic_raw_ub[#Headers],0))=0, INDEX(regions_ub[], MATCH($D287, regions_ub[[setting]:[setting]],0), MATCH(Q$139, regions_ub[#Headers],0)),INDEX(lmic_raw_ub[],MATCH($A287,lmic_raw_ub[[setting]:[setting]],0), MATCH(Q$277, lmic_raw_ub[#Headers],0)))</f>
        <v>9.3838413511547731</v>
      </c>
      <c r="R287" s="84">
        <f>IF(INDEX(lmic_raw_ub[],MATCH($A287,lmic_raw_ub[[setting]:[setting]],0), MATCH(R$277, lmic_raw_ub[#Headers],0))=0, INDEX(regions_ub[], MATCH($D287, regions_ub[[setting]:[setting]],0), MATCH(R$139, regions_ub[#Headers],0)),INDEX(lmic_raw_ub[],MATCH($A287,lmic_raw_ub[[setting]:[setting]],0), MATCH(R$277, lmic_raw_ub[#Headers],0)))</f>
        <v>91.228094999999996</v>
      </c>
      <c r="S287" s="84">
        <f>IF(INDEX(lmic_raw_ub[],MATCH($A287,lmic_raw_ub[[setting]:[setting]],0), MATCH(S$277, lmic_raw_ub[#Headers],0))=0, INDEX(regions_ub[], MATCH($D287, regions_ub[[setting]:[setting]],0), MATCH(S$139, regions_ub[#Headers],0)),INDEX(lmic_raw_ub[],MATCH($A287,lmic_raw_ub[[setting]:[setting]],0), MATCH(S$277, lmic_raw_ub[#Headers],0)))</f>
        <v>141.35719500000002</v>
      </c>
      <c r="T287" s="84">
        <f>IF(INDEX(lmic_raw_ub[],MATCH($A287,lmic_raw_ub[[setting]:[setting]],0), MATCH(T$277, lmic_raw_ub[#Headers],0))=0, INDEX(regions_ub[], MATCH($D287, regions_ub[[setting]:[setting]],0), MATCH(T$139, regions_ub[#Headers],0)),INDEX(lmic_raw_ub[],MATCH($A287,lmic_raw_ub[[setting]:[setting]],0), MATCH(T$277, lmic_raw_ub[#Headers],0)))</f>
        <v>141.35719500000002</v>
      </c>
      <c r="U287" s="84">
        <f>IF(INDEX(lmic_raw_ub[],MATCH($A287,lmic_raw_ub[[setting]:[setting]],0), MATCH(U$277, lmic_raw_ub[#Headers],0))=0, INDEX(regions_ub[], MATCH($D287, regions_ub[[setting]:[setting]],0), MATCH(U$139, regions_ub[#Headers],0)),INDEX(lmic_raw_ub[],MATCH($A287,lmic_raw_ub[[setting]:[setting]],0), MATCH(U$277, lmic_raw_ub[#Headers],0)))</f>
        <v>141.35719500000002</v>
      </c>
      <c r="V287" s="84">
        <f>IF(INDEX(lmic_raw_ub[],MATCH($A287,lmic_raw_ub[[setting]:[setting]],0), MATCH(V$277, lmic_raw_ub[#Headers],0))=0, INDEX(regions_ub[], MATCH($D287, regions_ub[[setting]:[setting]],0), MATCH(V$139, regions_ub[#Headers],0)),INDEX(lmic_raw_ub[],MATCH($A287,lmic_raw_ub[[setting]:[setting]],0), MATCH(V$277, lmic_raw_ub[#Headers],0)))</f>
        <v>21.250053961856697</v>
      </c>
      <c r="W287" s="84">
        <f>IF(INDEX(lmic_raw_ub[],MATCH($A287,lmic_raw_ub[[setting]:[setting]],0), MATCH(W$277, lmic_raw_ub[#Headers],0))=0, INDEX(regions_ub[], MATCH($D287, regions_ub[[setting]:[setting]],0), MATCH(W$139, regions_ub[#Headers],0)),INDEX(lmic_raw_ub[],MATCH($A287,lmic_raw_ub[[setting]:[setting]],0), MATCH(W$277, lmic_raw_ub[#Headers],0)))</f>
        <v>21.272943961856697</v>
      </c>
      <c r="X287" s="84">
        <f>IF(INDEX(lmic_raw_ub[],MATCH($A287,lmic_raw_ub[[setting]:[setting]],0), MATCH(X$277, lmic_raw_ub[#Headers],0))=0, INDEX(regions_ub[], MATCH($D287, regions_ub[[setting]:[setting]],0), MATCH(X$139, regions_ub[#Headers],0)),INDEX(lmic_raw_ub[],MATCH($A287,lmic_raw_ub[[setting]:[setting]],0), MATCH(X$277, lmic_raw_ub[#Headers],0)))</f>
        <v>20.738104562297604</v>
      </c>
      <c r="Y287" s="84">
        <f>IF(INDEX(lmic_raw_ub[],MATCH($A287,lmic_raw_ub[[setting]:[setting]],0), MATCH(Y$277, lmic_raw_ub[#Headers],0))=0, INDEX(regions_ub[], MATCH($D287, regions_ub[[setting]:[setting]],0), MATCH(Y$139, regions_ub[#Headers],0)),INDEX(lmic_raw_ub[],MATCH($A287,lmic_raw_ub[[setting]:[setting]],0), MATCH(Y$277, lmic_raw_ub[#Headers],0)))</f>
        <v>20.760994562297604</v>
      </c>
      <c r="Z287" s="84">
        <f>IF(INDEX(lmic_raw_ub[],MATCH($A287,lmic_raw_ub[[setting]:[setting]],0), MATCH(Z$277, lmic_raw_ub[#Headers],0))=0, INDEX(regions_ub[], MATCH($D287, regions_ub[[setting]:[setting]],0), MATCH(Z$139, regions_ub[#Headers],0)),INDEX(lmic_raw_ub[],MATCH($A287,lmic_raw_ub[[setting]:[setting]],0), MATCH(Z$277, lmic_raw_ub[#Headers],0)))</f>
        <v>20.74521010130875</v>
      </c>
      <c r="AA287" s="84">
        <f>IF(INDEX(lmic_raw_ub[],MATCH($A287,lmic_raw_ub[[setting]:[setting]],0), MATCH(AA$277, lmic_raw_ub[#Headers],0))=0, INDEX(regions_ub[], MATCH($D287, regions_ub[[setting]:[setting]],0), MATCH(AA$139, regions_ub[#Headers],0)),INDEX(lmic_raw_ub[],MATCH($A287,lmic_raw_ub[[setting]:[setting]],0), MATCH(AA$277, lmic_raw_ub[#Headers],0)))</f>
        <v>21.522337779565962</v>
      </c>
      <c r="AB287" s="84">
        <f>IF(INDEX(lmic_raw_ub[],MATCH($A287,lmic_raw_ub[[setting]:[setting]],0), MATCH(AB$277, lmic_raw_ub[#Headers],0))=0, INDEX(regions_ub[], MATCH($D287, regions_ub[[setting]:[setting]],0), MATCH(AB$139, regions_ub[#Headers],0)),INDEX(lmic_raw_ub[],MATCH($A287,lmic_raw_ub[[setting]:[setting]],0), MATCH(AB$277, lmic_raw_ub[#Headers],0)))</f>
        <v>21.545227779565963</v>
      </c>
      <c r="AC287" s="84">
        <f>IF(INDEX(lmic_raw_ub[],MATCH($A287,lmic_raw_ub[[setting]:[setting]],0), MATCH(AC$277, lmic_raw_ub[#Headers],0))=0, INDEX(regions_ub[], MATCH($D287, regions_ub[[setting]:[setting]],0), MATCH(AC$139, regions_ub[#Headers],0)),INDEX(lmic_raw_ub[],MATCH($A287,lmic_raw_ub[[setting]:[setting]],0), MATCH(AC$277, lmic_raw_ub[#Headers],0)))</f>
        <v>1.3456873500000037E-2</v>
      </c>
      <c r="AD287" s="84">
        <f>IF(INDEX(lmic_raw_ub[],MATCH($A287,lmic_raw_ub[[setting]:[setting]],0), MATCH(AD$277, lmic_raw_ub[#Headers],0))=0, INDEX(regions_ub[], MATCH($D287, regions_ub[[setting]:[setting]],0), MATCH(AD$139, regions_ub[#Headers],0)),INDEX(lmic_raw_ub[],MATCH($A287,lmic_raw_ub[[setting]:[setting]],0), MATCH(AD$277, lmic_raw_ub[#Headers],0)))</f>
        <v>5.5481416213893861E-4</v>
      </c>
      <c r="AE287" s="84">
        <f>IF(INDEX(lmic_raw_ub[],MATCH($A287,lmic_raw_ub[[setting]:[setting]],0), MATCH(AE$277, lmic_raw_ub[#Headers],0))=0, INDEX(regions_ub[], MATCH($D287, regions_ub[[setting]:[setting]],0), MATCH(AE$139, regions_ub[#Headers],0)),INDEX(lmic_raw_ub[],MATCH($A287,lmic_raw_ub[[setting]:[setting]],0), MATCH(AE$277, lmic_raw_ub[#Headers],0)))</f>
        <v>3.1954788147657982E-4</v>
      </c>
      <c r="AF287" s="84">
        <f>IF(INDEX(lmic_raw_ub[],MATCH($A287,lmic_raw_ub[[setting]:[setting]],0), MATCH(AF$277, lmic_raw_ub[#Headers],0))=0, INDEX(regions_ub[], MATCH($D287, regions_ub[[setting]:[setting]],0), MATCH(AF$139, regions_ub[#Headers],0)),INDEX(lmic_raw_ub[],MATCH($A287,lmic_raw_ub[[setting]:[setting]],0), MATCH(AF$277, lmic_raw_ub[#Headers],0)))</f>
        <v>3.4660729338680028E-4</v>
      </c>
      <c r="AG287" s="84">
        <f>IF(INDEX(lmic_raw_ub[],MATCH($A287,lmic_raw_ub[[setting]:[setting]],0), MATCH(AG$277, lmic_raw_ub[#Headers],0))=0, INDEX(regions_ub[], MATCH($D287, regions_ub[[setting]:[setting]],0), MATCH(AG$139, regions_ub[#Headers],0)),INDEX(lmic_raw_ub[],MATCH($A287,lmic_raw_ub[[setting]:[setting]],0), MATCH(AG$277, lmic_raw_ub[#Headers],0)))</f>
        <v>1.0430379379711484E-3</v>
      </c>
      <c r="AH287" s="84">
        <f>IF(INDEX(lmic_raw_ub[],MATCH($A287,lmic_raw_ub[[setting]:[setting]],0), MATCH(AH$277, lmic_raw_ub[#Headers],0))=0, INDEX(regions_ub[], MATCH($D287, regions_ub[[setting]:[setting]],0), MATCH(AH$139, regions_ub[#Headers],0)),INDEX(lmic_raw_ub[],MATCH($A287,lmic_raw_ub[[setting]:[setting]],0), MATCH(AH$277, lmic_raw_ub[#Headers],0)))</f>
        <v>1.6363446562201701E-3</v>
      </c>
      <c r="AI287" s="84">
        <f>IF(INDEX(lmic_raw_ub[],MATCH($A287,lmic_raw_ub[[setting]:[setting]],0), MATCH(AI$277, lmic_raw_ub[#Headers],0))=0, INDEX(regions_ub[], MATCH($D287, regions_ub[[setting]:[setting]],0), MATCH(AI$139, regions_ub[#Headers],0)),INDEX(lmic_raw_ub[],MATCH($A287,lmic_raw_ub[[setting]:[setting]],0), MATCH(AI$277, lmic_raw_ub[#Headers],0)))</f>
        <v>2.4450489148846533E-3</v>
      </c>
      <c r="AJ287" s="84">
        <f>IF(INDEX(lmic_raw_ub[],MATCH($A287,lmic_raw_ub[[setting]:[setting]],0), MATCH(AJ$277, lmic_raw_ub[#Headers],0))=0, INDEX(regions_ub[], MATCH($D287, regions_ub[[setting]:[setting]],0), MATCH(AJ$139, regions_ub[#Headers],0)),INDEX(lmic_raw_ub[],MATCH($A287,lmic_raw_ub[[setting]:[setting]],0), MATCH(AJ$277, lmic_raw_ub[#Headers],0)))</f>
        <v>2.8888744868287622E-3</v>
      </c>
      <c r="AK287" s="84">
        <f>IF(INDEX(lmic_raw_ub[],MATCH($A287,lmic_raw_ub[[setting]:[setting]],0), MATCH(AK$277, lmic_raw_ub[#Headers],0))=0, INDEX(regions_ub[], MATCH($D287, regions_ub[[setting]:[setting]],0), MATCH(AK$139, regions_ub[#Headers],0)),INDEX(lmic_raw_ub[],MATCH($A287,lmic_raw_ub[[setting]:[setting]],0), MATCH(AK$277, lmic_raw_ub[#Headers],0)))</f>
        <v>3.0103773615054075E-3</v>
      </c>
      <c r="AL287" s="84">
        <f>IF(INDEX(lmic_raw_ub[],MATCH($A287,lmic_raw_ub[[setting]:[setting]],0), MATCH(AL$277, lmic_raw_ub[#Headers],0))=0, INDEX(regions_ub[], MATCH($D287, regions_ub[[setting]:[setting]],0), MATCH(AL$139, regions_ub[#Headers],0)),INDEX(lmic_raw_ub[],MATCH($A287,lmic_raw_ub[[setting]:[setting]],0), MATCH(AL$277, lmic_raw_ub[#Headers],0)))</f>
        <v>3.6910390693347039E-3</v>
      </c>
      <c r="AM287" s="84">
        <f>IF(INDEX(lmic_raw_ub[],MATCH($A287,lmic_raw_ub[[setting]:[setting]],0), MATCH(AM$277, lmic_raw_ub[#Headers],0))=0, INDEX(regions_ub[], MATCH($D287, regions_ub[[setting]:[setting]],0), MATCH(AM$139, regions_ub[#Headers],0)),INDEX(lmic_raw_ub[],MATCH($A287,lmic_raw_ub[[setting]:[setting]],0), MATCH(AM$277, lmic_raw_ub[#Headers],0)))</f>
        <v>5.0869788486900347E-3</v>
      </c>
      <c r="AN287" s="84">
        <f>IF(INDEX(lmic_raw_ub[],MATCH($A287,lmic_raw_ub[[setting]:[setting]],0), MATCH(AN$277, lmic_raw_ub[#Headers],0))=0, INDEX(regions_ub[], MATCH($D287, regions_ub[[setting]:[setting]],0), MATCH(AN$139, regions_ub[#Headers],0)),INDEX(lmic_raw_ub[],MATCH($A287,lmic_raw_ub[[setting]:[setting]],0), MATCH(AN$277, lmic_raw_ub[#Headers],0)))</f>
        <v>7.0578026459482785E-3</v>
      </c>
      <c r="AO287" s="84">
        <f>IF(INDEX(lmic_raw_ub[],MATCH($A287,lmic_raw_ub[[setting]:[setting]],0), MATCH(AO$277, lmic_raw_ub[#Headers],0))=0, INDEX(regions_ub[], MATCH($D287, regions_ub[[setting]:[setting]],0), MATCH(AO$139, regions_ub[#Headers],0)),INDEX(lmic_raw_ub[],MATCH($A287,lmic_raw_ub[[setting]:[setting]],0), MATCH(AO$277, lmic_raw_ub[#Headers],0)))</f>
        <v>1.1106750884387824E-2</v>
      </c>
      <c r="AP287" s="84">
        <f>IF(INDEX(lmic_raw_ub[],MATCH($A287,lmic_raw_ub[[setting]:[setting]],0), MATCH(AP$277, lmic_raw_ub[#Headers],0))=0, INDEX(regions_ub[], MATCH($D287, regions_ub[[setting]:[setting]],0), MATCH(AP$139, regions_ub[#Headers],0)),INDEX(lmic_raw_ub[],MATCH($A287,lmic_raw_ub[[setting]:[setting]],0), MATCH(AP$277, lmic_raw_ub[#Headers],0)))</f>
        <v>1.4790352880018072E-2</v>
      </c>
      <c r="AQ287" s="84">
        <f>IF(INDEX(lmic_raw_ub[],MATCH($A287,lmic_raw_ub[[setting]:[setting]],0), MATCH(AQ$277, lmic_raw_ub[#Headers],0))=0, INDEX(regions_ub[], MATCH($D287, regions_ub[[setting]:[setting]],0), MATCH(AQ$139, regions_ub[#Headers],0)),INDEX(lmic_raw_ub[],MATCH($A287,lmic_raw_ub[[setting]:[setting]],0), MATCH(AQ$277, lmic_raw_ub[#Headers],0)))</f>
        <v>1.9978271426964601E-2</v>
      </c>
      <c r="AR287" s="84">
        <f>IF(INDEX(lmic_raw_ub[],MATCH($A287,lmic_raw_ub[[setting]:[setting]],0), MATCH(AR$277, lmic_raw_ub[#Headers],0))=0, INDEX(regions_ub[], MATCH($D287, regions_ub[[setting]:[setting]],0), MATCH(AR$139, regions_ub[#Headers],0)),INDEX(lmic_raw_ub[],MATCH($A287,lmic_raw_ub[[setting]:[setting]],0), MATCH(AR$277, lmic_raw_ub[#Headers],0)))</f>
        <v>2.7879687364920636E-2</v>
      </c>
      <c r="AS287" s="84">
        <f>IF(INDEX(lmic_raw_ub[],MATCH($A287,lmic_raw_ub[[setting]:[setting]],0), MATCH(AS$277, lmic_raw_ub[#Headers],0))=0, INDEX(regions_ub[], MATCH($D287, regions_ub[[setting]:[setting]],0), MATCH(AS$139, regions_ub[#Headers],0)),INDEX(lmic_raw_ub[],MATCH($A287,lmic_raw_ub[[setting]:[setting]],0), MATCH(AS$277, lmic_raw_ub[#Headers],0)))</f>
        <v>4.0603684682718563E-2</v>
      </c>
      <c r="AT287" s="84">
        <f>IF(INDEX(lmic_raw_ub[],MATCH($A287,lmic_raw_ub[[setting]:[setting]],0), MATCH(AT$277, lmic_raw_ub[#Headers],0))=0, INDEX(regions_ub[], MATCH($D287, regions_ub[[setting]:[setting]],0), MATCH(AT$139, regions_ub[#Headers],0)),INDEX(lmic_raw_ub[],MATCH($A287,lmic_raw_ub[[setting]:[setting]],0), MATCH(AT$277, lmic_raw_ub[#Headers],0)))</f>
        <v>6.4248609432827355E-2</v>
      </c>
      <c r="AU287" s="84">
        <f>IF(INDEX(lmic_raw_ub[],MATCH($A287,lmic_raw_ub[[setting]:[setting]],0), MATCH(AU$277, lmic_raw_ub[#Headers],0))=0, INDEX(regions_ub[], MATCH($D287, regions_ub[[setting]:[setting]],0), MATCH(AU$139, regions_ub[#Headers],0)),INDEX(lmic_raw_ub[],MATCH($A287,lmic_raw_ub[[setting]:[setting]],0), MATCH(AU$277, lmic_raw_ub[#Headers],0)))</f>
        <v>8.9522645266624915E-2</v>
      </c>
      <c r="AV287" s="84">
        <f>IF(INDEX(lmic_raw_ub[],MATCH($A287,lmic_raw_ub[[setting]:[setting]],0), MATCH(AV$277, lmic_raw_ub[#Headers],0))=0, INDEX(regions_ub[], MATCH($D287, regions_ub[[setting]:[setting]],0), MATCH(AV$139, regions_ub[#Headers],0)),INDEX(lmic_raw_ub[],MATCH($A287,lmic_raw_ub[[setting]:[setting]],0), MATCH(AV$277, lmic_raw_ub[#Headers],0)))</f>
        <v>0.11484669495853277</v>
      </c>
      <c r="AW287" s="84">
        <f>IF(INDEX(lmic_raw_ub[],MATCH($A287,lmic_raw_ub[[setting]:[setting]],0), MATCH(AW$277, lmic_raw_ub[#Headers],0))=0, INDEX(regions_ub[], MATCH($D287, regions_ub[[setting]:[setting]],0), MATCH(AW$139, regions_ub[#Headers],0)),INDEX(lmic_raw_ub[],MATCH($A287,lmic_raw_ub[[setting]:[setting]],0), MATCH(AW$277, lmic_raw_ub[#Headers],0)))</f>
        <v>0.15868235455120486</v>
      </c>
      <c r="AX287" s="84">
        <f>IF(INDEX(lmic_raw_ub[],MATCH($A287,lmic_raw_ub[[setting]:[setting]],0), MATCH(AX$277, lmic_raw_ub[#Headers],0))=0, INDEX(regions_ub[], MATCH($D287, regions_ub[[setting]:[setting]],0), MATCH(AX$139, regions_ub[#Headers],0)),INDEX(lmic_raw_ub[],MATCH($A287,lmic_raw_ub[[setting]:[setting]],0), MATCH(AX$277, lmic_raw_ub[#Headers],0)))</f>
        <v>78.08850000000001</v>
      </c>
      <c r="AY287" s="33" t="str">
        <f>IF(VLOOKUP(lmics_ub[[#This Row],[setting]],lmic_raw_ub[],11,FALSE)=0, "Yes", "No")</f>
        <v>No</v>
      </c>
    </row>
    <row r="288" spans="1:51" x14ac:dyDescent="0.25">
      <c r="A288" s="109" t="s">
        <v>138</v>
      </c>
      <c r="B288" s="101" t="s">
        <v>383</v>
      </c>
      <c r="C288" s="102">
        <v>204</v>
      </c>
      <c r="D288" s="82" t="s">
        <v>677</v>
      </c>
      <c r="E288" s="82" t="s">
        <v>591</v>
      </c>
      <c r="F288" s="82" t="s">
        <v>667</v>
      </c>
      <c r="G288" s="82" t="s">
        <v>674</v>
      </c>
      <c r="J288" s="84">
        <f>IF(INDEX(lmic_raw_ub[],MATCH($A288,lmic_raw_ub[[setting]:[setting]],0), MATCH(J$277, lmic_raw_ub[#Headers],0))=0, INDEX(regions_ub[], MATCH($D288, regions_ub[[setting]:[setting]],0), MATCH(J$139, regions_ub[#Headers],0)),INDEX(lmic_raw_ub[],MATCH($A288,lmic_raw_ub[[setting]:[setting]],0), MATCH(J$277, lmic_raw_ub[#Headers],0)))</f>
        <v>0.88095000000000012</v>
      </c>
      <c r="K288" s="84">
        <f>IF(INDEX(lmic_raw_ub[],MATCH($A288,lmic_raw_ub[[setting]:[setting]],0), MATCH(K$277, lmic_raw_ub[#Headers],0))=0, INDEX(regions_ub[], MATCH($D288, regions_ub[[setting]:[setting]],0), MATCH(K$139, regions_ub[#Headers],0)),INDEX(lmic_raw_ub[],MATCH($A288,lmic_raw_ub[[setting]:[setting]],0), MATCH(K$277, lmic_raw_ub[#Headers],0)))</f>
        <v>0.71433037619548323</v>
      </c>
      <c r="L288" s="84">
        <f>IF(INDEX(lmic_raw_ub[],MATCH($A288,lmic_raw_ub[[setting]:[setting]],0), MATCH(L$277, lmic_raw_ub[#Headers],0))=0, INDEX(regions_ub[], MATCH($D288, regions_ub[[setting]:[setting]],0), MATCH(L$139, regions_ub[#Headers],0)),INDEX(lmic_raw_ub[],MATCH($A288,lmic_raw_ub[[setting]:[setting]],0), MATCH(L$277, lmic_raw_ub[#Headers],0)))</f>
        <v>0.79800000000000004</v>
      </c>
      <c r="M288" s="84">
        <f>IF(INDEX(lmic_raw_ub[],MATCH($A288,lmic_raw_ub[[setting]:[setting]],0), MATCH(M$277, lmic_raw_ub[#Headers],0))=0, INDEX(regions_ub[], MATCH($D288, regions_ub[[setting]:[setting]],0), MATCH(M$139, regions_ub[#Headers],0)),INDEX(lmic_raw_ub[],MATCH($A288,lmic_raw_ub[[setting]:[setting]],0), MATCH(M$277, lmic_raw_ub[#Headers],0)))</f>
        <v>0.14199999999999999</v>
      </c>
      <c r="N288" s="84">
        <f>IF(INDEX(lmic_raw_ub[],MATCH($A288,lmic_raw_ub[[setting]:[setting]],0), MATCH(N$277, lmic_raw_ub[#Headers],0))=0, INDEX(regions_ub[], MATCH($D288, regions_ub[[setting]:[setting]],0), MATCH(N$139, regions_ub[#Headers],0)),INDEX(lmic_raw_ub[],MATCH($A288,lmic_raw_ub[[setting]:[setting]],0), MATCH(N$277, lmic_raw_ub[#Headers],0)))</f>
        <v>0.41070000000000001</v>
      </c>
      <c r="O288" s="84">
        <f>IF(INDEX(lmic_raw_ub[],MATCH($A288,lmic_raw_ub[[setting]:[setting]],0), MATCH(O$277, lmic_raw_ub[#Headers],0))=0, INDEX(regions_ub[], MATCH($D288, regions_ub[[setting]:[setting]],0), MATCH(O$139, regions_ub[#Headers],0)),INDEX(lmic_raw_ub[],MATCH($A288,lmic_raw_ub[[setting]:[setting]],0), MATCH(O$277, lmic_raw_ub[#Headers],0)))</f>
        <v>0.74399999999999999</v>
      </c>
      <c r="P288" s="84">
        <f>IF(INDEX(lmic_raw_ub[],MATCH($A288,lmic_raw_ub[[setting]:[setting]],0), MATCH(P$277, lmic_raw_ub[#Headers],0))=0, INDEX(regions_ub[], MATCH($D288, regions_ub[[setting]:[setting]],0), MATCH(P$139, regions_ub[#Headers],0)),INDEX(lmic_raw_ub[],MATCH($A288,lmic_raw_ub[[setting]:[setting]],0), MATCH(P$277, lmic_raw_ub[#Headers],0)))</f>
        <v>0.13300000000000001</v>
      </c>
      <c r="Q288" s="84">
        <f>IF(INDEX(lmic_raw_ub[],MATCH($A288,lmic_raw_ub[[setting]:[setting]],0), MATCH(Q$277, lmic_raw_ub[#Headers],0))=0, INDEX(regions_ub[], MATCH($D288, regions_ub[[setting]:[setting]],0), MATCH(Q$139, regions_ub[#Headers],0)),INDEX(lmic_raw_ub[],MATCH($A288,lmic_raw_ub[[setting]:[setting]],0), MATCH(Q$277, lmic_raw_ub[#Headers],0)))</f>
        <v>3.3395275583359738</v>
      </c>
      <c r="R288" s="84">
        <f>IF(INDEX(lmic_raw_ub[],MATCH($A288,lmic_raw_ub[[setting]:[setting]],0), MATCH(R$277, lmic_raw_ub[#Headers],0))=0, INDEX(regions_ub[], MATCH($D288, regions_ub[[setting]:[setting]],0), MATCH(R$139, regions_ub[#Headers],0)),INDEX(lmic_raw_ub[],MATCH($A288,lmic_raw_ub[[setting]:[setting]],0), MATCH(R$277, lmic_raw_ub[#Headers],0)))</f>
        <v>31.416525000000004</v>
      </c>
      <c r="S288" s="84">
        <f>IF(INDEX(lmic_raw_ub[],MATCH($A288,lmic_raw_ub[[setting]:[setting]],0), MATCH(S$277, lmic_raw_ub[#Headers],0))=0, INDEX(regions_ub[], MATCH($D288, regions_ub[[setting]:[setting]],0), MATCH(S$139, regions_ub[#Headers],0)),INDEX(lmic_raw_ub[],MATCH($A288,lmic_raw_ub[[setting]:[setting]],0), MATCH(S$277, lmic_raw_ub[#Headers],0)))</f>
        <v>81.545625000000015</v>
      </c>
      <c r="T288" s="84">
        <f>IF(INDEX(lmic_raw_ub[],MATCH($A288,lmic_raw_ub[[setting]:[setting]],0), MATCH(T$277, lmic_raw_ub[#Headers],0))=0, INDEX(regions_ub[], MATCH($D288, regions_ub[[setting]:[setting]],0), MATCH(T$139, regions_ub[#Headers],0)),INDEX(lmic_raw_ub[],MATCH($A288,lmic_raw_ub[[setting]:[setting]],0), MATCH(T$277, lmic_raw_ub[#Headers],0)))</f>
        <v>81.545625000000015</v>
      </c>
      <c r="U288" s="84">
        <f>IF(INDEX(lmic_raw_ub[],MATCH($A288,lmic_raw_ub[[setting]:[setting]],0), MATCH(U$277, lmic_raw_ub[#Headers],0))=0, INDEX(regions_ub[], MATCH($D288, regions_ub[[setting]:[setting]],0), MATCH(U$139, regions_ub[#Headers],0)),INDEX(lmic_raw_ub[],MATCH($A288,lmic_raw_ub[[setting]:[setting]],0), MATCH(U$277, lmic_raw_ub[#Headers],0)))</f>
        <v>81.545625000000015</v>
      </c>
      <c r="V288" s="84">
        <f>IF(INDEX(lmic_raw_ub[],MATCH($A288,lmic_raw_ub[[setting]:[setting]],0), MATCH(V$277, lmic_raw_ub[#Headers],0))=0, INDEX(regions_ub[], MATCH($D288, regions_ub[[setting]:[setting]],0), MATCH(V$139, regions_ub[#Headers],0)),INDEX(lmic_raw_ub[],MATCH($A288,lmic_raw_ub[[setting]:[setting]],0), MATCH(V$277, lmic_raw_ub[#Headers],0)))</f>
        <v>4.010072454579455</v>
      </c>
      <c r="W288" s="84">
        <f>IF(INDEX(lmic_raw_ub[],MATCH($A288,lmic_raw_ub[[setting]:[setting]],0), MATCH(W$277, lmic_raw_ub[#Headers],0))=0, INDEX(regions_ub[], MATCH($D288, regions_ub[[setting]:[setting]],0), MATCH(W$139, regions_ub[#Headers],0)),INDEX(lmic_raw_ub[],MATCH($A288,lmic_raw_ub[[setting]:[setting]],0), MATCH(W$277, lmic_raw_ub[#Headers],0)))</f>
        <v>9.0802074545794547</v>
      </c>
      <c r="X288" s="84">
        <f>IF(INDEX(lmic_raw_ub[],MATCH($A288,lmic_raw_ub[[setting]:[setting]],0), MATCH(X$277, lmic_raw_ub[#Headers],0))=0, INDEX(regions_ub[], MATCH($D288, regions_ub[[setting]:[setting]],0), MATCH(X$139, regions_ub[#Headers],0)),INDEX(lmic_raw_ub[],MATCH($A288,lmic_raw_ub[[setting]:[setting]],0), MATCH(X$277, lmic_raw_ub[#Headers],0)))</f>
        <v>3.5063770100787357</v>
      </c>
      <c r="Y288" s="84">
        <f>IF(INDEX(lmic_raw_ub[],MATCH($A288,lmic_raw_ub[[setting]:[setting]],0), MATCH(Y$277, lmic_raw_ub[#Headers],0))=0, INDEX(regions_ub[], MATCH($D288, regions_ub[[setting]:[setting]],0), MATCH(Y$139, regions_ub[#Headers],0)),INDEX(lmic_raw_ub[],MATCH($A288,lmic_raw_ub[[setting]:[setting]],0), MATCH(Y$277, lmic_raw_ub[#Headers],0)))</f>
        <v>8.5765120100787371</v>
      </c>
      <c r="Z288" s="84">
        <f>IF(INDEX(lmic_raw_ub[],MATCH($A288,lmic_raw_ub[[setting]:[setting]],0), MATCH(Z$277, lmic_raw_ub[#Headers],0))=0, INDEX(regions_ub[], MATCH($D288, regions_ub[[setting]:[setting]],0), MATCH(Z$139, regions_ub[#Headers],0)),INDEX(lmic_raw_ub[],MATCH($A288,lmic_raw_ub[[setting]:[setting]],0), MATCH(Z$277, lmic_raw_ub[#Headers],0)))</f>
        <v>8.5654606200181398</v>
      </c>
      <c r="AA288" s="84">
        <f>IF(INDEX(lmic_raw_ub[],MATCH($A288,lmic_raw_ub[[setting]:[setting]],0), MATCH(AA$277, lmic_raw_ub[#Headers],0))=0, INDEX(regions_ub[], MATCH($D288, regions_ub[[setting]:[setting]],0), MATCH(AA$139, regions_ub[#Headers],0)),INDEX(lmic_raw_ub[],MATCH($A288,lmic_raw_ub[[setting]:[setting]],0), MATCH(AA$277, lmic_raw_ub[#Headers],0)))</f>
        <v>4.2804826751282317</v>
      </c>
      <c r="AB288" s="84">
        <f>IF(INDEX(lmic_raw_ub[],MATCH($A288,lmic_raw_ub[[setting]:[setting]],0), MATCH(AB$277, lmic_raw_ub[#Headers],0))=0, INDEX(regions_ub[], MATCH($D288, regions_ub[[setting]:[setting]],0), MATCH(AB$139, regions_ub[#Headers],0)),INDEX(lmic_raw_ub[],MATCH($A288,lmic_raw_ub[[setting]:[setting]],0), MATCH(AB$277, lmic_raw_ub[#Headers],0)))</f>
        <v>9.3506176751282322</v>
      </c>
      <c r="AC288" s="84">
        <f>IF(INDEX(lmic_raw_ub[],MATCH($A288,lmic_raw_ub[[setting]:[setting]],0), MATCH(AC$277, lmic_raw_ub[#Headers],0))=0, INDEX(regions_ub[], MATCH($D288, regions_ub[[setting]:[setting]],0), MATCH(AC$139, regions_ub[#Headers],0)),INDEX(lmic_raw_ub[],MATCH($A288,lmic_raw_ub[[setting]:[setting]],0), MATCH(AC$277, lmic_raw_ub[#Headers],0)))</f>
        <v>6.4223197499999954E-2</v>
      </c>
      <c r="AD288" s="84">
        <f>IF(INDEX(lmic_raw_ub[],MATCH($A288,lmic_raw_ub[[setting]:[setting]],0), MATCH(AD$277, lmic_raw_ub[#Headers],0))=0, INDEX(regions_ub[], MATCH($D288, regions_ub[[setting]:[setting]],0), MATCH(AD$139, regions_ub[#Headers],0)),INDEX(lmic_raw_ub[],MATCH($A288,lmic_raw_ub[[setting]:[setting]],0), MATCH(AD$277, lmic_raw_ub[#Headers],0)))</f>
        <v>9.6517014623602078E-3</v>
      </c>
      <c r="AE288" s="84">
        <f>IF(INDEX(lmic_raw_ub[],MATCH($A288,lmic_raw_ub[[setting]:[setting]],0), MATCH(AE$277, lmic_raw_ub[#Headers],0))=0, INDEX(regions_ub[], MATCH($D288, regions_ub[[setting]:[setting]],0), MATCH(AE$139, regions_ub[#Headers],0)),INDEX(lmic_raw_ub[],MATCH($A288,lmic_raw_ub[[setting]:[setting]],0), MATCH(AE$277, lmic_raw_ub[#Headers],0)))</f>
        <v>3.2513119313655431E-3</v>
      </c>
      <c r="AF288" s="84">
        <f>IF(INDEX(lmic_raw_ub[],MATCH($A288,lmic_raw_ub[[setting]:[setting]],0), MATCH(AF$277, lmic_raw_ub[#Headers],0))=0, INDEX(regions_ub[], MATCH($D288, regions_ub[[setting]:[setting]],0), MATCH(AF$139, regions_ub[#Headers],0)),INDEX(lmic_raw_ub[],MATCH($A288,lmic_raw_ub[[setting]:[setting]],0), MATCH(AF$277, lmic_raw_ub[#Headers],0)))</f>
        <v>1.924050127045536E-3</v>
      </c>
      <c r="AG288" s="84">
        <f>IF(INDEX(lmic_raw_ub[],MATCH($A288,lmic_raw_ub[[setting]:[setting]],0), MATCH(AG$277, lmic_raw_ub[#Headers],0))=0, INDEX(regions_ub[], MATCH($D288, regions_ub[[setting]:[setting]],0), MATCH(AG$139, regions_ub[#Headers],0)),INDEX(lmic_raw_ub[],MATCH($A288,lmic_raw_ub[[setting]:[setting]],0), MATCH(AG$277, lmic_raw_ub[#Headers],0)))</f>
        <v>2.5864408097693477E-3</v>
      </c>
      <c r="AH288" s="84">
        <f>IF(INDEX(lmic_raw_ub[],MATCH($A288,lmic_raw_ub[[setting]:[setting]],0), MATCH(AH$277, lmic_raw_ub[#Headers],0))=0, INDEX(regions_ub[], MATCH($D288, regions_ub[[setting]:[setting]],0), MATCH(AH$139, regions_ub[#Headers],0)),INDEX(lmic_raw_ub[],MATCH($A288,lmic_raw_ub[[setting]:[setting]],0), MATCH(AH$277, lmic_raw_ub[#Headers],0)))</f>
        <v>3.5010170695736953E-3</v>
      </c>
      <c r="AI288" s="84">
        <f>IF(INDEX(lmic_raw_ub[],MATCH($A288,lmic_raw_ub[[setting]:[setting]],0), MATCH(AI$277, lmic_raw_ub[#Headers],0))=0, INDEX(regions_ub[], MATCH($D288, regions_ub[[setting]:[setting]],0), MATCH(AI$139, regions_ub[#Headers],0)),INDEX(lmic_raw_ub[],MATCH($A288,lmic_raw_ub[[setting]:[setting]],0), MATCH(AI$277, lmic_raw_ub[#Headers],0)))</f>
        <v>3.8485223485297867E-3</v>
      </c>
      <c r="AJ288" s="84">
        <f>IF(INDEX(lmic_raw_ub[],MATCH($A288,lmic_raw_ub[[setting]:[setting]],0), MATCH(AJ$277, lmic_raw_ub[#Headers],0))=0, INDEX(regions_ub[], MATCH($D288, regions_ub[[setting]:[setting]],0), MATCH(AJ$139, regions_ub[#Headers],0)),INDEX(lmic_raw_ub[],MATCH($A288,lmic_raw_ub[[setting]:[setting]],0), MATCH(AJ$277, lmic_raw_ub[#Headers],0)))</f>
        <v>4.2466843448027538E-3</v>
      </c>
      <c r="AK288" s="84">
        <f>IF(INDEX(lmic_raw_ub[],MATCH($A288,lmic_raw_ub[[setting]:[setting]],0), MATCH(AK$277, lmic_raw_ub[#Headers],0))=0, INDEX(regions_ub[], MATCH($D288, regions_ub[[setting]:[setting]],0), MATCH(AK$139, regions_ub[#Headers],0)),INDEX(lmic_raw_ub[],MATCH($A288,lmic_raw_ub[[setting]:[setting]],0), MATCH(AK$277, lmic_raw_ub[#Headers],0)))</f>
        <v>4.8386462970565636E-3</v>
      </c>
      <c r="AL288" s="84">
        <f>IF(INDEX(lmic_raw_ub[],MATCH($A288,lmic_raw_ub[[setting]:[setting]],0), MATCH(AL$277, lmic_raw_ub[#Headers],0))=0, INDEX(regions_ub[], MATCH($D288, regions_ub[[setting]:[setting]],0), MATCH(AL$139, regions_ub[#Headers],0)),INDEX(lmic_raw_ub[],MATCH($A288,lmic_raw_ub[[setting]:[setting]],0), MATCH(AL$277, lmic_raw_ub[#Headers],0)))</f>
        <v>5.9794547993026843E-3</v>
      </c>
      <c r="AM288" s="84">
        <f>IF(INDEX(lmic_raw_ub[],MATCH($A288,lmic_raw_ub[[setting]:[setting]],0), MATCH(AM$277, lmic_raw_ub[#Headers],0))=0, INDEX(regions_ub[], MATCH($D288, regions_ub[[setting]:[setting]],0), MATCH(AM$139, regions_ub[#Headers],0)),INDEX(lmic_raw_ub[],MATCH($A288,lmic_raw_ub[[setting]:[setting]],0), MATCH(AM$277, lmic_raw_ub[#Headers],0)))</f>
        <v>7.2641983431902596E-3</v>
      </c>
      <c r="AN288" s="84">
        <f>IF(INDEX(lmic_raw_ub[],MATCH($A288,lmic_raw_ub[[setting]:[setting]],0), MATCH(AN$277, lmic_raw_ub[#Headers],0))=0, INDEX(regions_ub[], MATCH($D288, regions_ub[[setting]:[setting]],0), MATCH(AN$139, regions_ub[#Headers],0)),INDEX(lmic_raw_ub[],MATCH($A288,lmic_raw_ub[[setting]:[setting]],0), MATCH(AN$277, lmic_raw_ub[#Headers],0)))</f>
        <v>1.0099702290179638E-2</v>
      </c>
      <c r="AO288" s="84">
        <f>IF(INDEX(lmic_raw_ub[],MATCH($A288,lmic_raw_ub[[setting]:[setting]],0), MATCH(AO$277, lmic_raw_ub[#Headers],0))=0, INDEX(regions_ub[], MATCH($D288, regions_ub[[setting]:[setting]],0), MATCH(AO$139, regions_ub[#Headers],0)),INDEX(lmic_raw_ub[],MATCH($A288,lmic_raw_ub[[setting]:[setting]],0), MATCH(AO$277, lmic_raw_ub[#Headers],0)))</f>
        <v>1.3507770441399284E-2</v>
      </c>
      <c r="AP288" s="84">
        <f>IF(INDEX(lmic_raw_ub[],MATCH($A288,lmic_raw_ub[[setting]:[setting]],0), MATCH(AP$277, lmic_raw_ub[#Headers],0))=0, INDEX(regions_ub[], MATCH($D288, regions_ub[[setting]:[setting]],0), MATCH(AP$139, regions_ub[#Headers],0)),INDEX(lmic_raw_ub[],MATCH($A288,lmic_raw_ub[[setting]:[setting]],0), MATCH(AP$277, lmic_raw_ub[#Headers],0)))</f>
        <v>2.03071383658684E-2</v>
      </c>
      <c r="AQ288" s="84">
        <f>IF(INDEX(lmic_raw_ub[],MATCH($A288,lmic_raw_ub[[setting]:[setting]],0), MATCH(AQ$277, lmic_raw_ub[#Headers],0))=0, INDEX(regions_ub[], MATCH($D288, regions_ub[[setting]:[setting]],0), MATCH(AQ$139, regions_ub[#Headers],0)),INDEX(lmic_raw_ub[],MATCH($A288,lmic_raw_ub[[setting]:[setting]],0), MATCH(AQ$277, lmic_raw_ub[#Headers],0)))</f>
        <v>3.09578419760803E-2</v>
      </c>
      <c r="AR288" s="84">
        <f>IF(INDEX(lmic_raw_ub[],MATCH($A288,lmic_raw_ub[[setting]:[setting]],0), MATCH(AR$277, lmic_raw_ub[#Headers],0))=0, INDEX(regions_ub[], MATCH($D288, regions_ub[[setting]:[setting]],0), MATCH(AR$139, regions_ub[#Headers],0)),INDEX(lmic_raw_ub[],MATCH($A288,lmic_raw_ub[[setting]:[setting]],0), MATCH(AR$277, lmic_raw_ub[#Headers],0)))</f>
        <v>4.7513756849464357E-2</v>
      </c>
      <c r="AS288" s="84">
        <f>IF(INDEX(lmic_raw_ub[],MATCH($A288,lmic_raw_ub[[setting]:[setting]],0), MATCH(AS$277, lmic_raw_ub[#Headers],0))=0, INDEX(regions_ub[], MATCH($D288, regions_ub[[setting]:[setting]],0), MATCH(AS$139, regions_ub[#Headers],0)),INDEX(lmic_raw_ub[],MATCH($A288,lmic_raw_ub[[setting]:[setting]],0), MATCH(AS$277, lmic_raw_ub[#Headers],0)))</f>
        <v>7.1127576709599932E-2</v>
      </c>
      <c r="AT288" s="84">
        <f>IF(INDEX(lmic_raw_ub[],MATCH($A288,lmic_raw_ub[[setting]:[setting]],0), MATCH(AT$277, lmic_raw_ub[#Headers],0))=0, INDEX(regions_ub[], MATCH($D288, regions_ub[[setting]:[setting]],0), MATCH(AT$139, regions_ub[#Headers],0)),INDEX(lmic_raw_ub[],MATCH($A288,lmic_raw_ub[[setting]:[setting]],0), MATCH(AT$277, lmic_raw_ub[#Headers],0)))</f>
        <v>0.10244396135590166</v>
      </c>
      <c r="AU288" s="84">
        <f>IF(INDEX(lmic_raw_ub[],MATCH($A288,lmic_raw_ub[[setting]:[setting]],0), MATCH(AU$277, lmic_raw_ub[#Headers],0))=0, INDEX(regions_ub[], MATCH($D288, regions_ub[[setting]:[setting]],0), MATCH(AU$139, regions_ub[#Headers],0)),INDEX(lmic_raw_ub[],MATCH($A288,lmic_raw_ub[[setting]:[setting]],0), MATCH(AU$277, lmic_raw_ub[#Headers],0)))</f>
        <v>0.13602144411677536</v>
      </c>
      <c r="AV288" s="84">
        <f>IF(INDEX(lmic_raw_ub[],MATCH($A288,lmic_raw_ub[[setting]:[setting]],0), MATCH(AV$277, lmic_raw_ub[#Headers],0))=0, INDEX(regions_ub[], MATCH($D288, regions_ub[[setting]:[setting]],0), MATCH(AV$139, regions_ub[#Headers],0)),INDEX(lmic_raw_ub[],MATCH($A288,lmic_raw_ub[[setting]:[setting]],0), MATCH(AV$277, lmic_raw_ub[#Headers],0)))</f>
        <v>0.16527335436667051</v>
      </c>
      <c r="AW288" s="84">
        <f>IF(INDEX(lmic_raw_ub[],MATCH($A288,lmic_raw_ub[[setting]:[setting]],0), MATCH(AW$277, lmic_raw_ub[#Headers],0))=0, INDEX(regions_ub[], MATCH($D288, regions_ub[[setting]:[setting]],0), MATCH(AW$139, regions_ub[#Headers],0)),INDEX(lmic_raw_ub[],MATCH($A288,lmic_raw_ub[[setting]:[setting]],0), MATCH(AW$277, lmic_raw_ub[#Headers],0)))</f>
        <v>0.18491714023966346</v>
      </c>
      <c r="AX288" s="84">
        <f>IF(INDEX(lmic_raw_ub[],MATCH($A288,lmic_raw_ub[[setting]:[setting]],0), MATCH(AX$277, lmic_raw_ub[#Headers],0))=0, INDEX(regions_ub[], MATCH($D288, regions_ub[[setting]:[setting]],0), MATCH(AX$139, regions_ub[#Headers],0)),INDEX(lmic_raw_ub[],MATCH($A288,lmic_raw_ub[[setting]:[setting]],0), MATCH(AX$277, lmic_raw_ub[#Headers],0)))</f>
        <v>64.36815</v>
      </c>
      <c r="AY288" s="33" t="str">
        <f>IF(VLOOKUP(lmics_ub[[#This Row],[setting]],lmic_raw_ub[],11,FALSE)=0, "Yes", "No")</f>
        <v>Yes</v>
      </c>
    </row>
    <row r="289" spans="1:51" x14ac:dyDescent="0.25">
      <c r="A289" s="110" t="s">
        <v>193</v>
      </c>
      <c r="B289" s="104" t="s">
        <v>384</v>
      </c>
      <c r="C289" s="105">
        <v>64</v>
      </c>
      <c r="D289" s="84" t="s">
        <v>680</v>
      </c>
      <c r="E289" s="84" t="s">
        <v>589</v>
      </c>
      <c r="F289" s="84" t="s">
        <v>589</v>
      </c>
      <c r="G289" s="84" t="s">
        <v>678</v>
      </c>
      <c r="J289" s="84">
        <f>IF(INDEX(lmic_raw_ub[],MATCH($A289,lmic_raw_ub[[setting]:[setting]],0), MATCH(J$277, lmic_raw_ub[#Headers],0))=0, INDEX(regions_ub[], MATCH($D289, regions_ub[[setting]:[setting]],0), MATCH(J$139, regions_ub[#Headers],0)),INDEX(lmic_raw_ub[],MATCH($A289,lmic_raw_ub[[setting]:[setting]],0), MATCH(J$277, lmic_raw_ub[#Headers],0)))</f>
        <v>0.77490000000000003</v>
      </c>
      <c r="K289" s="84">
        <f>IF(INDEX(lmic_raw_ub[],MATCH($A289,lmic_raw_ub[[setting]:[setting]],0), MATCH(K$277, lmic_raw_ub[#Headers],0))=0, INDEX(regions_ub[], MATCH($D289, regions_ub[[setting]:[setting]],0), MATCH(K$139, regions_ub[#Headers],0)),INDEX(lmic_raw_ub[],MATCH($A289,lmic_raw_ub[[setting]:[setting]],0), MATCH(K$277, lmic_raw_ub[#Headers],0)))</f>
        <v>0.90300000000000002</v>
      </c>
      <c r="L289" s="84">
        <f>IF(INDEX(lmic_raw_ub[],MATCH($A289,lmic_raw_ub[[setting]:[setting]],0), MATCH(L$277, lmic_raw_ub[#Headers],0))=0, INDEX(regions_ub[], MATCH($D289, regions_ub[[setting]:[setting]],0), MATCH(L$139, regions_ub[#Headers],0)),INDEX(lmic_raw_ub[],MATCH($A289,lmic_raw_ub[[setting]:[setting]],0), MATCH(L$277, lmic_raw_ub[#Headers],0)))</f>
        <v>0.99990000000000001</v>
      </c>
      <c r="M289" s="84">
        <f>IF(INDEX(lmic_raw_ub[],MATCH($A289,lmic_raw_ub[[setting]:[setting]],0), MATCH(M$277, lmic_raw_ub[#Headers],0))=0, INDEX(regions_ub[], MATCH($D289, regions_ub[[setting]:[setting]],0), MATCH(M$139, regions_ub[#Headers],0)),INDEX(lmic_raw_ub[],MATCH($A289,lmic_raw_ub[[setting]:[setting]],0), MATCH(M$277, lmic_raw_ub[#Headers],0)))</f>
        <v>5.5500000000000001E-2</v>
      </c>
      <c r="N289" s="84">
        <f>IF(INDEX(lmic_raw_ub[],MATCH($A289,lmic_raw_ub[[setting]:[setting]],0), MATCH(N$277, lmic_raw_ub[#Headers],0))=0, INDEX(regions_ub[], MATCH($D289, regions_ub[[setting]:[setting]],0), MATCH(N$139, regions_ub[#Headers],0)),INDEX(lmic_raw_ub[],MATCH($A289,lmic_raw_ub[[setting]:[setting]],0), MATCH(N$277, lmic_raw_ub[#Headers],0)))</f>
        <v>0.35830000000000001</v>
      </c>
      <c r="O289" s="84">
        <f>IF(INDEX(lmic_raw_ub[],MATCH($A289,lmic_raw_ub[[setting]:[setting]],0), MATCH(O$277, lmic_raw_ub[#Headers],0))=0, INDEX(regions_ub[], MATCH($D289, regions_ub[[setting]:[setting]],0), MATCH(O$139, regions_ub[#Headers],0)),INDEX(lmic_raw_ub[],MATCH($A289,lmic_raw_ub[[setting]:[setting]],0), MATCH(O$277, lmic_raw_ub[#Headers],0)))</f>
        <v>0.9</v>
      </c>
      <c r="P289" s="84">
        <f>IF(INDEX(lmic_raw_ub[],MATCH($A289,lmic_raw_ub[[setting]:[setting]],0), MATCH(P$277, lmic_raw_ub[#Headers],0))=0, INDEX(regions_ub[], MATCH($D289, regions_ub[[setting]:[setting]],0), MATCH(P$139, regions_ub[#Headers],0)),INDEX(lmic_raw_ub[],MATCH($A289,lmic_raw_ub[[setting]:[setting]],0), MATCH(P$277, lmic_raw_ub[#Headers],0)))</f>
        <v>0.3</v>
      </c>
      <c r="Q289" s="84">
        <f>IF(INDEX(lmic_raw_ub[],MATCH($A289,lmic_raw_ub[[setting]:[setting]],0), MATCH(Q$277, lmic_raw_ub[#Headers],0))=0, INDEX(regions_ub[], MATCH($D289, regions_ub[[setting]:[setting]],0), MATCH(Q$139, regions_ub[#Headers],0)),INDEX(lmic_raw_ub[],MATCH($A289,lmic_raw_ub[[setting]:[setting]],0), MATCH(Q$277, lmic_raw_ub[#Headers],0)))</f>
        <v>5.5080030221513789</v>
      </c>
      <c r="R289" s="84">
        <f>IF(INDEX(lmic_raw_ub[],MATCH($A289,lmic_raw_ub[[setting]:[setting]],0), MATCH(R$277, lmic_raw_ub[#Headers],0))=0, INDEX(regions_ub[], MATCH($D289, regions_ub[[setting]:[setting]],0), MATCH(R$139, regions_ub[#Headers],0)),INDEX(lmic_raw_ub[],MATCH($A289,lmic_raw_ub[[setting]:[setting]],0), MATCH(R$277, lmic_raw_ub[#Headers],0)))</f>
        <v>48.194895000000002</v>
      </c>
      <c r="S289" s="84">
        <f>IF(INDEX(lmic_raw_ub[],MATCH($A289,lmic_raw_ub[[setting]:[setting]],0), MATCH(S$277, lmic_raw_ub[#Headers],0))=0, INDEX(regions_ub[], MATCH($D289, regions_ub[[setting]:[setting]],0), MATCH(S$139, regions_ub[#Headers],0)),INDEX(lmic_raw_ub[],MATCH($A289,lmic_raw_ub[[setting]:[setting]],0), MATCH(S$277, lmic_raw_ub[#Headers],0)))</f>
        <v>98.323995000000011</v>
      </c>
      <c r="T289" s="84">
        <f>IF(INDEX(lmic_raw_ub[],MATCH($A289,lmic_raw_ub[[setting]:[setting]],0), MATCH(T$277, lmic_raw_ub[#Headers],0))=0, INDEX(regions_ub[], MATCH($D289, regions_ub[[setting]:[setting]],0), MATCH(T$139, regions_ub[#Headers],0)),INDEX(lmic_raw_ub[],MATCH($A289,lmic_raw_ub[[setting]:[setting]],0), MATCH(T$277, lmic_raw_ub[#Headers],0)))</f>
        <v>98.323995000000011</v>
      </c>
      <c r="U289" s="84">
        <f>IF(INDEX(lmic_raw_ub[],MATCH($A289,lmic_raw_ub[[setting]:[setting]],0), MATCH(U$277, lmic_raw_ub[#Headers],0))=0, INDEX(regions_ub[], MATCH($D289, regions_ub[[setting]:[setting]],0), MATCH(U$139, regions_ub[#Headers],0)),INDEX(lmic_raw_ub[],MATCH($A289,lmic_raw_ub[[setting]:[setting]],0), MATCH(U$277, lmic_raw_ub[#Headers],0)))</f>
        <v>98.323995000000011</v>
      </c>
      <c r="V289" s="84">
        <f>IF(INDEX(lmic_raw_ub[],MATCH($A289,lmic_raw_ub[[setting]:[setting]],0), MATCH(V$277, lmic_raw_ub[#Headers],0))=0, INDEX(regions_ub[], MATCH($D289, regions_ub[[setting]:[setting]],0), MATCH(V$139, regions_ub[#Headers],0)),INDEX(lmic_raw_ub[],MATCH($A289,lmic_raw_ub[[setting]:[setting]],0), MATCH(V$277, lmic_raw_ub[#Headers],0)))</f>
        <v>15.983576047935825</v>
      </c>
      <c r="W289" s="84">
        <f>IF(INDEX(lmic_raw_ub[],MATCH($A289,lmic_raw_ub[[setting]:[setting]],0), MATCH(W$277, lmic_raw_ub[#Headers],0))=0, INDEX(regions_ub[], MATCH($D289, regions_ub[[setting]:[setting]],0), MATCH(W$139, regions_ub[#Headers],0)),INDEX(lmic_raw_ub[],MATCH($A289,lmic_raw_ub[[setting]:[setting]],0), MATCH(W$277, lmic_raw_ub[#Headers],0)))</f>
        <v>18.556076047935825</v>
      </c>
      <c r="X289" s="84">
        <f>IF(INDEX(lmic_raw_ub[],MATCH($A289,lmic_raw_ub[[setting]:[setting]],0), MATCH(X$277, lmic_raw_ub[#Headers],0))=0, INDEX(regions_ub[], MATCH($D289, regions_ub[[setting]:[setting]],0), MATCH(X$139, regions_ub[#Headers],0)),INDEX(lmic_raw_ub[],MATCH($A289,lmic_raw_ub[[setting]:[setting]],0), MATCH(X$277, lmic_raw_ub[#Headers],0)))</f>
        <v>15.463803507795745</v>
      </c>
      <c r="Y289" s="84">
        <f>IF(INDEX(lmic_raw_ub[],MATCH($A289,lmic_raw_ub[[setting]:[setting]],0), MATCH(Y$277, lmic_raw_ub[#Headers],0))=0, INDEX(regions_ub[], MATCH($D289, regions_ub[[setting]:[setting]],0), MATCH(Y$139, regions_ub[#Headers],0)),INDEX(lmic_raw_ub[],MATCH($A289,lmic_raw_ub[[setting]:[setting]],0), MATCH(Y$277, lmic_raw_ub[#Headers],0)))</f>
        <v>18.036303507795747</v>
      </c>
      <c r="Z289" s="84">
        <f>IF(INDEX(lmic_raw_ub[],MATCH($A289,lmic_raw_ub[[setting]:[setting]],0), MATCH(Z$277, lmic_raw_ub[#Headers],0))=0, INDEX(regions_ub[], MATCH($D289, regions_ub[[setting]:[setting]],0), MATCH(Z$139, regions_ub[#Headers],0)),INDEX(lmic_raw_ub[],MATCH($A289,lmic_raw_ub[[setting]:[setting]],0), MATCH(Z$277, lmic_raw_ub[#Headers],0)))</f>
        <v>18.01616426454445</v>
      </c>
      <c r="AA289" s="84">
        <f>IF(INDEX(lmic_raw_ub[],MATCH($A289,lmic_raw_ub[[setting]:[setting]],0), MATCH(AA$277, lmic_raw_ub[#Headers],0))=0, INDEX(regions_ub[], MATCH($D289, regions_ub[[setting]:[setting]],0), MATCH(AA$139, regions_ub[#Headers],0)),INDEX(lmic_raw_ub[],MATCH($A289,lmic_raw_ub[[setting]:[setting]],0), MATCH(AA$277, lmic_raw_ub[#Headers],0)))</f>
        <v>16.257635670562252</v>
      </c>
      <c r="AB289" s="84">
        <f>IF(INDEX(lmic_raw_ub[],MATCH($A289,lmic_raw_ub[[setting]:[setting]],0), MATCH(AB$277, lmic_raw_ub[#Headers],0))=0, INDEX(regions_ub[], MATCH($D289, regions_ub[[setting]:[setting]],0), MATCH(AB$139, regions_ub[#Headers],0)),INDEX(lmic_raw_ub[],MATCH($A289,lmic_raw_ub[[setting]:[setting]],0), MATCH(AB$277, lmic_raw_ub[#Headers],0)))</f>
        <v>18.830135670562253</v>
      </c>
      <c r="AC289" s="84">
        <f>IF(INDEX(lmic_raw_ub[],MATCH($A289,lmic_raw_ub[[setting]:[setting]],0), MATCH(AC$277, lmic_raw_ub[#Headers],0))=0, INDEX(regions_ub[], MATCH($D289, regions_ub[[setting]:[setting]],0), MATCH(AC$139, regions_ub[#Headers],0)),INDEX(lmic_raw_ub[],MATCH($A289,lmic_raw_ub[[setting]:[setting]],0), MATCH(AC$277, lmic_raw_ub[#Headers],0)))</f>
        <v>2.5273636500000068E-2</v>
      </c>
      <c r="AD289" s="84">
        <f>IF(INDEX(lmic_raw_ub[],MATCH($A289,lmic_raw_ub[[setting]:[setting]],0), MATCH(AD$277, lmic_raw_ub[#Headers],0))=0, INDEX(regions_ub[], MATCH($D289, regions_ub[[setting]:[setting]],0), MATCH(AD$139, regions_ub[#Headers],0)),INDEX(lmic_raw_ub[],MATCH($A289,lmic_raw_ub[[setting]:[setting]],0), MATCH(AD$277, lmic_raw_ub[#Headers],0)))</f>
        <v>1.4880623543164773E-3</v>
      </c>
      <c r="AE289" s="84">
        <f>IF(INDEX(lmic_raw_ub[],MATCH($A289,lmic_raw_ub[[setting]:[setting]],0), MATCH(AE$277, lmic_raw_ub[#Headers],0))=0, INDEX(regions_ub[], MATCH($D289, regions_ub[[setting]:[setting]],0), MATCH(AE$139, regions_ub[#Headers],0)),INDEX(lmic_raw_ub[],MATCH($A289,lmic_raw_ub[[setting]:[setting]],0), MATCH(AE$277, lmic_raw_ub[#Headers],0)))</f>
        <v>8.1232164332327341E-4</v>
      </c>
      <c r="AF289" s="84">
        <f>IF(INDEX(lmic_raw_ub[],MATCH($A289,lmic_raw_ub[[setting]:[setting]],0), MATCH(AF$277, lmic_raw_ub[#Headers],0))=0, INDEX(regions_ub[], MATCH($D289, regions_ub[[setting]:[setting]],0), MATCH(AF$139, regions_ub[#Headers],0)),INDEX(lmic_raw_ub[],MATCH($A289,lmic_raw_ub[[setting]:[setting]],0), MATCH(AF$277, lmic_raw_ub[#Headers],0)))</f>
        <v>6.583264557569749E-4</v>
      </c>
      <c r="AG289" s="84">
        <f>IF(INDEX(lmic_raw_ub[],MATCH($A289,lmic_raw_ub[[setting]:[setting]],0), MATCH(AG$277, lmic_raw_ub[#Headers],0))=0, INDEX(regions_ub[], MATCH($D289, regions_ub[[setting]:[setting]],0), MATCH(AG$139, regions_ub[#Headers],0)),INDEX(lmic_raw_ub[],MATCH($A289,lmic_raw_ub[[setting]:[setting]],0), MATCH(AG$277, lmic_raw_ub[#Headers],0)))</f>
        <v>8.9074187939460587E-4</v>
      </c>
      <c r="AH289" s="84">
        <f>IF(INDEX(lmic_raw_ub[],MATCH($A289,lmic_raw_ub[[setting]:[setting]],0), MATCH(AH$277, lmic_raw_ub[#Headers],0))=0, INDEX(regions_ub[], MATCH($D289, regions_ub[[setting]:[setting]],0), MATCH(AH$139, regions_ub[#Headers],0)),INDEX(lmic_raw_ub[],MATCH($A289,lmic_raw_ub[[setting]:[setting]],0), MATCH(AH$277, lmic_raw_ub[#Headers],0)))</f>
        <v>1.4505843462056264E-3</v>
      </c>
      <c r="AI289" s="84">
        <f>IF(INDEX(lmic_raw_ub[],MATCH($A289,lmic_raw_ub[[setting]:[setting]],0), MATCH(AI$277, lmic_raw_ub[#Headers],0))=0, INDEX(regions_ub[], MATCH($D289, regions_ub[[setting]:[setting]],0), MATCH(AI$139, regions_ub[#Headers],0)),INDEX(lmic_raw_ub[],MATCH($A289,lmic_raw_ub[[setting]:[setting]],0), MATCH(AI$277, lmic_raw_ub[#Headers],0)))</f>
        <v>2.0993890176562802E-3</v>
      </c>
      <c r="AJ289" s="84">
        <f>IF(INDEX(lmic_raw_ub[],MATCH($A289,lmic_raw_ub[[setting]:[setting]],0), MATCH(AJ$277, lmic_raw_ub[#Headers],0))=0, INDEX(regions_ub[], MATCH($D289, regions_ub[[setting]:[setting]],0), MATCH(AJ$139, regions_ub[#Headers],0)),INDEX(lmic_raw_ub[],MATCH($A289,lmic_raw_ub[[setting]:[setting]],0), MATCH(AJ$277, lmic_raw_ub[#Headers],0)))</f>
        <v>3.0428864845611068E-3</v>
      </c>
      <c r="AK289" s="84">
        <f>IF(INDEX(lmic_raw_ub[],MATCH($A289,lmic_raw_ub[[setting]:[setting]],0), MATCH(AK$277, lmic_raw_ub[#Headers],0))=0, INDEX(regions_ub[], MATCH($D289, regions_ub[[setting]:[setting]],0), MATCH(AK$139, regions_ub[#Headers],0)),INDEX(lmic_raw_ub[],MATCH($A289,lmic_raw_ub[[setting]:[setting]],0), MATCH(AK$277, lmic_raw_ub[#Headers],0)))</f>
        <v>4.1372774217063417E-3</v>
      </c>
      <c r="AL289" s="84">
        <f>IF(INDEX(lmic_raw_ub[],MATCH($A289,lmic_raw_ub[[setting]:[setting]],0), MATCH(AL$277, lmic_raw_ub[#Headers],0))=0, INDEX(regions_ub[], MATCH($D289, regions_ub[[setting]:[setting]],0), MATCH(AL$139, regions_ub[#Headers],0)),INDEX(lmic_raw_ub[],MATCH($A289,lmic_raw_ub[[setting]:[setting]],0), MATCH(AL$277, lmic_raw_ub[#Headers],0)))</f>
        <v>5.409922572236275E-3</v>
      </c>
      <c r="AM289" s="84">
        <f>IF(INDEX(lmic_raw_ub[],MATCH($A289,lmic_raw_ub[[setting]:[setting]],0), MATCH(AM$277, lmic_raw_ub[#Headers],0))=0, INDEX(regions_ub[], MATCH($D289, regions_ub[[setting]:[setting]],0), MATCH(AM$139, regions_ub[#Headers],0)),INDEX(lmic_raw_ub[],MATCH($A289,lmic_raw_ub[[setting]:[setting]],0), MATCH(AM$277, lmic_raw_ub[#Headers],0)))</f>
        <v>7.0236254889374725E-3</v>
      </c>
      <c r="AN289" s="84">
        <f>IF(INDEX(lmic_raw_ub[],MATCH($A289,lmic_raw_ub[[setting]:[setting]],0), MATCH(AN$277, lmic_raw_ub[#Headers],0))=0, INDEX(regions_ub[], MATCH($D289, regions_ub[[setting]:[setting]],0), MATCH(AN$139, regions_ub[#Headers],0)),INDEX(lmic_raw_ub[],MATCH($A289,lmic_raw_ub[[setting]:[setting]],0), MATCH(AN$277, lmic_raw_ub[#Headers],0)))</f>
        <v>9.2363020299652612E-3</v>
      </c>
      <c r="AO289" s="84">
        <f>IF(INDEX(lmic_raw_ub[],MATCH($A289,lmic_raw_ub[[setting]:[setting]],0), MATCH(AO$277, lmic_raw_ub[#Headers],0))=0, INDEX(regions_ub[], MATCH($D289, regions_ub[[setting]:[setting]],0), MATCH(AO$139, regions_ub[#Headers],0)),INDEX(lmic_raw_ub[],MATCH($A289,lmic_raw_ub[[setting]:[setting]],0), MATCH(AO$277, lmic_raw_ub[#Headers],0)))</f>
        <v>1.2510046807870724E-2</v>
      </c>
      <c r="AP289" s="84">
        <f>IF(INDEX(lmic_raw_ub[],MATCH($A289,lmic_raw_ub[[setting]:[setting]],0), MATCH(AP$277, lmic_raw_ub[#Headers],0))=0, INDEX(regions_ub[], MATCH($D289, regions_ub[[setting]:[setting]],0), MATCH(AP$139, regions_ub[#Headers],0)),INDEX(lmic_raw_ub[],MATCH($A289,lmic_raw_ub[[setting]:[setting]],0), MATCH(AP$277, lmic_raw_ub[#Headers],0)))</f>
        <v>1.6786747696941679E-2</v>
      </c>
      <c r="AQ289" s="84">
        <f>IF(INDEX(lmic_raw_ub[],MATCH($A289,lmic_raw_ub[[setting]:[setting]],0), MATCH(AQ$277, lmic_raw_ub[#Headers],0))=0, INDEX(regions_ub[], MATCH($D289, regions_ub[[setting]:[setting]],0), MATCH(AQ$139, regions_ub[#Headers],0)),INDEX(lmic_raw_ub[],MATCH($A289,lmic_raw_ub[[setting]:[setting]],0), MATCH(AQ$277, lmic_raw_ub[#Headers],0)))</f>
        <v>2.3489863690990945E-2</v>
      </c>
      <c r="AR289" s="84">
        <f>IF(INDEX(lmic_raw_ub[],MATCH($A289,lmic_raw_ub[[setting]:[setting]],0), MATCH(AR$277, lmic_raw_ub[#Headers],0))=0, INDEX(regions_ub[], MATCH($D289, regions_ub[[setting]:[setting]],0), MATCH(AR$139, regions_ub[#Headers],0)),INDEX(lmic_raw_ub[],MATCH($A289,lmic_raw_ub[[setting]:[setting]],0), MATCH(AR$277, lmic_raw_ub[#Headers],0)))</f>
        <v>3.3247989295890477E-2</v>
      </c>
      <c r="AS289" s="84">
        <f>IF(INDEX(lmic_raw_ub[],MATCH($A289,lmic_raw_ub[[setting]:[setting]],0), MATCH(AS$277, lmic_raw_ub[#Headers],0))=0, INDEX(regions_ub[], MATCH($D289, regions_ub[[setting]:[setting]],0), MATCH(AS$139, regions_ub[#Headers],0)),INDEX(lmic_raw_ub[],MATCH($A289,lmic_raw_ub[[setting]:[setting]],0), MATCH(AS$277, lmic_raw_ub[#Headers],0)))</f>
        <v>4.7486109853810528E-2</v>
      </c>
      <c r="AT289" s="84">
        <f>IF(INDEX(lmic_raw_ub[],MATCH($A289,lmic_raw_ub[[setting]:[setting]],0), MATCH(AT$277, lmic_raw_ub[#Headers],0))=0, INDEX(regions_ub[], MATCH($D289, regions_ub[[setting]:[setting]],0), MATCH(AT$139, regions_ub[#Headers],0)),INDEX(lmic_raw_ub[],MATCH($A289,lmic_raw_ub[[setting]:[setting]],0), MATCH(AT$277, lmic_raw_ub[#Headers],0)))</f>
        <v>6.704478414251791E-2</v>
      </c>
      <c r="AU289" s="84">
        <f>IF(INDEX(lmic_raw_ub[],MATCH($A289,lmic_raw_ub[[setting]:[setting]],0), MATCH(AU$277, lmic_raw_ub[#Headers],0))=0, INDEX(regions_ub[], MATCH($D289, regions_ub[[setting]:[setting]],0), MATCH(AU$139, regions_ub[#Headers],0)),INDEX(lmic_raw_ub[],MATCH($A289,lmic_raw_ub[[setting]:[setting]],0), MATCH(AU$277, lmic_raw_ub[#Headers],0)))</f>
        <v>8.8344914825090437E-2</v>
      </c>
      <c r="AV289" s="84">
        <f>IF(INDEX(lmic_raw_ub[],MATCH($A289,lmic_raw_ub[[setting]:[setting]],0), MATCH(AV$277, lmic_raw_ub[#Headers],0))=0, INDEX(regions_ub[], MATCH($D289, regions_ub[[setting]:[setting]],0), MATCH(AV$139, regions_ub[#Headers],0)),INDEX(lmic_raw_ub[],MATCH($A289,lmic_raw_ub[[setting]:[setting]],0), MATCH(AV$277, lmic_raw_ub[#Headers],0)))</f>
        <v>0.11295039410957219</v>
      </c>
      <c r="AW289" s="84">
        <f>IF(INDEX(lmic_raw_ub[],MATCH($A289,lmic_raw_ub[[setting]:[setting]],0), MATCH(AW$277, lmic_raw_ub[#Headers],0))=0, INDEX(regions_ub[], MATCH($D289, regions_ub[[setting]:[setting]],0), MATCH(AW$139, regions_ub[#Headers],0)),INDEX(lmic_raw_ub[],MATCH($A289,lmic_raw_ub[[setting]:[setting]],0), MATCH(AW$277, lmic_raw_ub[#Headers],0)))</f>
        <v>0.13700278494419421</v>
      </c>
      <c r="AX289" s="84">
        <f>IF(INDEX(lmic_raw_ub[],MATCH($A289,lmic_raw_ub[[setting]:[setting]],0), MATCH(AX$277, lmic_raw_ub[#Headers],0))=0, INDEX(regions_ub[], MATCH($D289, regions_ub[[setting]:[setting]],0), MATCH(AX$139, regions_ub[#Headers],0)),INDEX(lmic_raw_ub[],MATCH($A289,lmic_raw_ub[[setting]:[setting]],0), MATCH(AX$277, lmic_raw_ub[#Headers],0)))</f>
        <v>74.847149999999999</v>
      </c>
      <c r="AY289" s="33" t="str">
        <f>IF(VLOOKUP(lmics_ub[[#This Row],[setting]],lmic_raw_ub[],11,FALSE)=0, "Yes", "No")</f>
        <v>No</v>
      </c>
    </row>
    <row r="290" spans="1:51" x14ac:dyDescent="0.25">
      <c r="A290" s="82" t="s">
        <v>263</v>
      </c>
      <c r="B290" s="101" t="s">
        <v>385</v>
      </c>
      <c r="C290" s="102">
        <v>68</v>
      </c>
      <c r="D290" s="82" t="s">
        <v>679</v>
      </c>
      <c r="E290" s="82" t="s">
        <v>593</v>
      </c>
      <c r="F290" s="82" t="s">
        <v>665</v>
      </c>
      <c r="G290" s="82" t="s">
        <v>678</v>
      </c>
      <c r="J290" s="84">
        <f>IF(INDEX(lmic_raw_ub[],MATCH($A290,lmic_raw_ub[[setting]:[setting]],0), MATCH(J$277, lmic_raw_ub[#Headers],0))=0, INDEX(regions_ub[], MATCH($D290, regions_ub[[setting]:[setting]],0), MATCH(J$139, regions_ub[#Headers],0)),INDEX(lmic_raw_ub[],MATCH($A290,lmic_raw_ub[[setting]:[setting]],0), MATCH(J$277, lmic_raw_ub[#Headers],0)))</f>
        <v>0.92085000000000006</v>
      </c>
      <c r="K290" s="84">
        <f>IF(INDEX(lmic_raw_ub[],MATCH($A290,lmic_raw_ub[[setting]:[setting]],0), MATCH(K$277, lmic_raw_ub[#Headers],0))=0, INDEX(regions_ub[], MATCH($D290, regions_ub[[setting]:[setting]],0), MATCH(K$139, regions_ub[#Headers],0)),INDEX(lmic_raw_ub[],MATCH($A290,lmic_raw_ub[[setting]:[setting]],0), MATCH(K$277, lmic_raw_ub[#Headers],0)))</f>
        <v>0.78230516513860726</v>
      </c>
      <c r="L290" s="84">
        <f>IF(INDEX(lmic_raw_ub[],MATCH($A290,lmic_raw_ub[[setting]:[setting]],0), MATCH(L$277, lmic_raw_ub[#Headers],0))=0, INDEX(regions_ub[], MATCH($D290, regions_ub[[setting]:[setting]],0), MATCH(L$139, regions_ub[#Headers],0)),INDEX(lmic_raw_ub[],MATCH($A290,lmic_raw_ub[[setting]:[setting]],0), MATCH(L$277, lmic_raw_ub[#Headers],0)))</f>
        <v>0.78750000000000009</v>
      </c>
      <c r="M290" s="84">
        <f>IF(INDEX(lmic_raw_ub[],MATCH($A290,lmic_raw_ub[[setting]:[setting]],0), MATCH(M$277, lmic_raw_ub[#Headers],0))=0, INDEX(regions_ub[], MATCH($D290, regions_ub[[setting]:[setting]],0), MATCH(M$139, regions_ub[#Headers],0)),INDEX(lmic_raw_ub[],MATCH($A290,lmic_raw_ub[[setting]:[setting]],0), MATCH(M$277, lmic_raw_ub[#Headers],0)))</f>
        <v>1.2500000000000001E-2</v>
      </c>
      <c r="N290" s="84">
        <f>IF(INDEX(lmic_raw_ub[],MATCH($A290,lmic_raw_ub[[setting]:[setting]],0), MATCH(N$277, lmic_raw_ub[#Headers],0))=0, INDEX(regions_ub[], MATCH($D290, regions_ub[[setting]:[setting]],0), MATCH(N$139, regions_ub[#Headers],0)),INDEX(lmic_raw_ub[],MATCH($A290,lmic_raw_ub[[setting]:[setting]],0), MATCH(N$277, lmic_raw_ub[#Headers],0)))</f>
        <v>0.43020000000000003</v>
      </c>
      <c r="O290" s="84">
        <f>IF(INDEX(lmic_raw_ub[],MATCH($A290,lmic_raw_ub[[setting]:[setting]],0), MATCH(O$277, lmic_raw_ub[#Headers],0))=0, INDEX(regions_ub[], MATCH($D290, regions_ub[[setting]:[setting]],0), MATCH(O$139, regions_ub[#Headers],0)),INDEX(lmic_raw_ub[],MATCH($A290,lmic_raw_ub[[setting]:[setting]],0), MATCH(O$277, lmic_raw_ub[#Headers],0)))</f>
        <v>0.9</v>
      </c>
      <c r="P290" s="84">
        <f>IF(INDEX(lmic_raw_ub[],MATCH($A290,lmic_raw_ub[[setting]:[setting]],0), MATCH(P$277, lmic_raw_ub[#Headers],0))=0, INDEX(regions_ub[], MATCH($D290, regions_ub[[setting]:[setting]],0), MATCH(P$139, regions_ub[#Headers],0)),INDEX(lmic_raw_ub[],MATCH($A290,lmic_raw_ub[[setting]:[setting]],0), MATCH(P$277, lmic_raw_ub[#Headers],0)))</f>
        <v>0.3</v>
      </c>
      <c r="Q290" s="84">
        <f>IF(INDEX(lmic_raw_ub[],MATCH($A290,lmic_raw_ub[[setting]:[setting]],0), MATCH(Q$277, lmic_raw_ub[#Headers],0))=0, INDEX(regions_ub[], MATCH($D290, regions_ub[[setting]:[setting]],0), MATCH(Q$139, regions_ub[#Headers],0)),INDEX(lmic_raw_ub[],MATCH($A290,lmic_raw_ub[[setting]:[setting]],0), MATCH(Q$277, lmic_raw_ub[#Headers],0)))</f>
        <v>5.2836779741704749</v>
      </c>
      <c r="R290" s="84">
        <f>IF(INDEX(lmic_raw_ub[],MATCH($A290,lmic_raw_ub[[setting]:[setting]],0), MATCH(R$277, lmic_raw_ub[#Headers],0))=0, INDEX(regions_ub[], MATCH($D290, regions_ub[[setting]:[setting]],0), MATCH(R$139, regions_ub[#Headers],0)),INDEX(lmic_raw_ub[],MATCH($A290,lmic_raw_ub[[setting]:[setting]],0), MATCH(R$277, lmic_raw_ub[#Headers],0)))</f>
        <v>91.228094999999996</v>
      </c>
      <c r="S290" s="84">
        <f>IF(INDEX(lmic_raw_ub[],MATCH($A290,lmic_raw_ub[[setting]:[setting]],0), MATCH(S$277, lmic_raw_ub[#Headers],0))=0, INDEX(regions_ub[], MATCH($D290, regions_ub[[setting]:[setting]],0), MATCH(S$139, regions_ub[#Headers],0)),INDEX(lmic_raw_ub[],MATCH($A290,lmic_raw_ub[[setting]:[setting]],0), MATCH(S$277, lmic_raw_ub[#Headers],0)))</f>
        <v>141.35719500000002</v>
      </c>
      <c r="T290" s="84">
        <f>IF(INDEX(lmic_raw_ub[],MATCH($A290,lmic_raw_ub[[setting]:[setting]],0), MATCH(T$277, lmic_raw_ub[#Headers],0))=0, INDEX(regions_ub[], MATCH($D290, regions_ub[[setting]:[setting]],0), MATCH(T$139, regions_ub[#Headers],0)),INDEX(lmic_raw_ub[],MATCH($A290,lmic_raw_ub[[setting]:[setting]],0), MATCH(T$277, lmic_raw_ub[#Headers],0)))</f>
        <v>141.35719500000002</v>
      </c>
      <c r="U290" s="84">
        <f>IF(INDEX(lmic_raw_ub[],MATCH($A290,lmic_raw_ub[[setting]:[setting]],0), MATCH(U$277, lmic_raw_ub[#Headers],0))=0, INDEX(regions_ub[], MATCH($D290, regions_ub[[setting]:[setting]],0), MATCH(U$139, regions_ub[#Headers],0)),INDEX(lmic_raw_ub[],MATCH($A290,lmic_raw_ub[[setting]:[setting]],0), MATCH(U$277, lmic_raw_ub[#Headers],0)))</f>
        <v>141.35719500000002</v>
      </c>
      <c r="V290" s="84">
        <f>IF(INDEX(lmic_raw_ub[],MATCH($A290,lmic_raw_ub[[setting]:[setting]],0), MATCH(V$277, lmic_raw_ub[#Headers],0))=0, INDEX(regions_ub[], MATCH($D290, regions_ub[[setting]:[setting]],0), MATCH(V$139, regions_ub[#Headers],0)),INDEX(lmic_raw_ub[],MATCH($A290,lmic_raw_ub[[setting]:[setting]],0), MATCH(V$277, lmic_raw_ub[#Headers],0)))</f>
        <v>6.5602537874821731</v>
      </c>
      <c r="W290" s="84">
        <f>IF(INDEX(lmic_raw_ub[],MATCH($A290,lmic_raw_ub[[setting]:[setting]],0), MATCH(W$277, lmic_raw_ub[#Headers],0))=0, INDEX(regions_ub[], MATCH($D290, regions_ub[[setting]:[setting]],0), MATCH(W$139, regions_ub[#Headers],0)),INDEX(lmic_raw_ub[],MATCH($A290,lmic_raw_ub[[setting]:[setting]],0), MATCH(W$277, lmic_raw_ub[#Headers],0)))</f>
        <v>6.5831437874821734</v>
      </c>
      <c r="X290" s="84">
        <f>IF(INDEX(lmic_raw_ub[],MATCH($A290,lmic_raw_ub[[setting]:[setting]],0), MATCH(X$277, lmic_raw_ub[#Headers],0))=0, INDEX(regions_ub[], MATCH($D290, regions_ub[[setting]:[setting]],0), MATCH(X$139, regions_ub[#Headers],0)),INDEX(lmic_raw_ub[],MATCH($A290,lmic_raw_ub[[setting]:[setting]],0), MATCH(X$277, lmic_raw_ub[#Headers],0)))</f>
        <v>6.0353273312372577</v>
      </c>
      <c r="Y290" s="84">
        <f>IF(INDEX(lmic_raw_ub[],MATCH($A290,lmic_raw_ub[[setting]:[setting]],0), MATCH(Y$277, lmic_raw_ub[#Headers],0))=0, INDEX(regions_ub[], MATCH($D290, regions_ub[[setting]:[setting]],0), MATCH(Y$139, regions_ub[#Headers],0)),INDEX(lmic_raw_ub[],MATCH($A290,lmic_raw_ub[[setting]:[setting]],0), MATCH(Y$277, lmic_raw_ub[#Headers],0)))</f>
        <v>6.058217331237258</v>
      </c>
      <c r="Z290" s="84">
        <f>IF(INDEX(lmic_raw_ub[],MATCH($A290,lmic_raw_ub[[setting]:[setting]],0), MATCH(Z$277, lmic_raw_ub[#Headers],0))=0, INDEX(regions_ub[], MATCH($D290, regions_ub[[setting]:[setting]],0), MATCH(Z$139, regions_ub[#Headers],0)),INDEX(lmic_raw_ub[],MATCH($A290,lmic_raw_ub[[setting]:[setting]],0), MATCH(Z$277, lmic_raw_ub[#Headers],0)))</f>
        <v>6.033501620446394</v>
      </c>
      <c r="AA290" s="84">
        <f>IF(INDEX(lmic_raw_ub[],MATCH($A290,lmic_raw_ub[[setting]:[setting]],0), MATCH(AA$277, lmic_raw_ub[#Headers],0))=0, INDEX(regions_ub[], MATCH($D290, regions_ub[[setting]:[setting]],0), MATCH(AA$139, regions_ub[#Headers],0)),INDEX(lmic_raw_ub[],MATCH($A290,lmic_raw_ub[[setting]:[setting]],0), MATCH(AA$277, lmic_raw_ub[#Headers],0)))</f>
        <v>6.8354833174452754</v>
      </c>
      <c r="AB290" s="84">
        <f>IF(INDEX(lmic_raw_ub[],MATCH($A290,lmic_raw_ub[[setting]:[setting]],0), MATCH(AB$277, lmic_raw_ub[#Headers],0))=0, INDEX(regions_ub[], MATCH($D290, regions_ub[[setting]:[setting]],0), MATCH(AB$139, regions_ub[#Headers],0)),INDEX(lmic_raw_ub[],MATCH($A290,lmic_raw_ub[[setting]:[setting]],0), MATCH(AB$277, lmic_raw_ub[#Headers],0)))</f>
        <v>6.8583733174452757</v>
      </c>
      <c r="AC290" s="84">
        <f>IF(INDEX(lmic_raw_ub[],MATCH($A290,lmic_raw_ub[[setting]:[setting]],0), MATCH(AC$277, lmic_raw_ub[#Headers],0))=0, INDEX(regions_ub[], MATCH($D290, regions_ub[[setting]:[setting]],0), MATCH(AC$139, regions_ub[#Headers],0)),INDEX(lmic_raw_ub[],MATCH($A290,lmic_raw_ub[[setting]:[setting]],0), MATCH(AC$277, lmic_raw_ub[#Headers],0)))</f>
        <v>3.1194555000000037E-2</v>
      </c>
      <c r="AD290" s="84">
        <f>IF(INDEX(lmic_raw_ub[],MATCH($A290,lmic_raw_ub[[setting]:[setting]],0), MATCH(AD$277, lmic_raw_ub[#Headers],0))=0, INDEX(regions_ub[], MATCH($D290, regions_ub[[setting]:[setting]],0), MATCH(AD$139, regions_ub[#Headers],0)),INDEX(lmic_raw_ub[],MATCH($A290,lmic_raw_ub[[setting]:[setting]],0), MATCH(AD$277, lmic_raw_ub[#Headers],0)))</f>
        <v>5.1420534037781782E-3</v>
      </c>
      <c r="AE290" s="84">
        <f>IF(INDEX(lmic_raw_ub[],MATCH($A290,lmic_raw_ub[[setting]:[setting]],0), MATCH(AE$277, lmic_raw_ub[#Headers],0))=0, INDEX(regions_ub[], MATCH($D290, regions_ub[[setting]:[setting]],0), MATCH(AE$139, regions_ub[#Headers],0)),INDEX(lmic_raw_ub[],MATCH($A290,lmic_raw_ub[[setting]:[setting]],0), MATCH(AE$277, lmic_raw_ub[#Headers],0)))</f>
        <v>1.4351608676646708E-3</v>
      </c>
      <c r="AF290" s="84">
        <f>IF(INDEX(lmic_raw_ub[],MATCH($A290,lmic_raw_ub[[setting]:[setting]],0), MATCH(AF$277, lmic_raw_ub[#Headers],0))=0, INDEX(regions_ub[], MATCH($D290, regions_ub[[setting]:[setting]],0), MATCH(AF$139, regions_ub[#Headers],0)),INDEX(lmic_raw_ub[],MATCH($A290,lmic_raw_ub[[setting]:[setting]],0), MATCH(AF$277, lmic_raw_ub[#Headers],0)))</f>
        <v>8.4152442129246388E-4</v>
      </c>
      <c r="AG290" s="84">
        <f>IF(INDEX(lmic_raw_ub[],MATCH($A290,lmic_raw_ub[[setting]:[setting]],0), MATCH(AG$277, lmic_raw_ub[#Headers],0))=0, INDEX(regions_ub[], MATCH($D290, regions_ub[[setting]:[setting]],0), MATCH(AG$139, regions_ub[#Headers],0)),INDEX(lmic_raw_ub[],MATCH($A290,lmic_raw_ub[[setting]:[setting]],0), MATCH(AG$277, lmic_raw_ub[#Headers],0)))</f>
        <v>1.6698044912856235E-3</v>
      </c>
      <c r="AH290" s="84">
        <f>IF(INDEX(lmic_raw_ub[],MATCH($A290,lmic_raw_ub[[setting]:[setting]],0), MATCH(AH$277, lmic_raw_ub[#Headers],0))=0, INDEX(regions_ub[], MATCH($D290, regions_ub[[setting]:[setting]],0), MATCH(AH$139, regions_ub[#Headers],0)),INDEX(lmic_raw_ub[],MATCH($A290,lmic_raw_ub[[setting]:[setting]],0), MATCH(AH$277, lmic_raw_ub[#Headers],0)))</f>
        <v>2.3275463574947523E-3</v>
      </c>
      <c r="AI290" s="84">
        <f>IF(INDEX(lmic_raw_ub[],MATCH($A290,lmic_raw_ub[[setting]:[setting]],0), MATCH(AI$277, lmic_raw_ub[#Headers],0))=0, INDEX(regions_ub[], MATCH($D290, regions_ub[[setting]:[setting]],0), MATCH(AI$139, regions_ub[#Headers],0)),INDEX(lmic_raw_ub[],MATCH($A290,lmic_raw_ub[[setting]:[setting]],0), MATCH(AI$277, lmic_raw_ub[#Headers],0)))</f>
        <v>2.4998669256271239E-3</v>
      </c>
      <c r="AJ290" s="84">
        <f>IF(INDEX(lmic_raw_ub[],MATCH($A290,lmic_raw_ub[[setting]:[setting]],0), MATCH(AJ$277, lmic_raw_ub[#Headers],0))=0, INDEX(regions_ub[], MATCH($D290, regions_ub[[setting]:[setting]],0), MATCH(AJ$139, regions_ub[#Headers],0)),INDEX(lmic_raw_ub[],MATCH($A290,lmic_raw_ub[[setting]:[setting]],0), MATCH(AJ$277, lmic_raw_ub[#Headers],0)))</f>
        <v>2.8368557087298674E-3</v>
      </c>
      <c r="AK290" s="84">
        <f>IF(INDEX(lmic_raw_ub[],MATCH($A290,lmic_raw_ub[[setting]:[setting]],0), MATCH(AK$277, lmic_raw_ub[#Headers],0))=0, INDEX(regions_ub[], MATCH($D290, regions_ub[[setting]:[setting]],0), MATCH(AK$139, regions_ub[#Headers],0)),INDEX(lmic_raw_ub[],MATCH($A290,lmic_raw_ub[[setting]:[setting]],0), MATCH(AK$277, lmic_raw_ub[#Headers],0)))</f>
        <v>3.5753180508881414E-3</v>
      </c>
      <c r="AL290" s="84">
        <f>IF(INDEX(lmic_raw_ub[],MATCH($A290,lmic_raw_ub[[setting]:[setting]],0), MATCH(AL$277, lmic_raw_ub[#Headers],0))=0, INDEX(regions_ub[], MATCH($D290, regions_ub[[setting]:[setting]],0), MATCH(AL$139, regions_ub[#Headers],0)),INDEX(lmic_raw_ub[],MATCH($A290,lmic_raw_ub[[setting]:[setting]],0), MATCH(AL$277, lmic_raw_ub[#Headers],0)))</f>
        <v>4.2234484927379957E-3</v>
      </c>
      <c r="AM290" s="84">
        <f>IF(INDEX(lmic_raw_ub[],MATCH($A290,lmic_raw_ub[[setting]:[setting]],0), MATCH(AM$277, lmic_raw_ub[#Headers],0))=0, INDEX(regions_ub[], MATCH($D290, regions_ub[[setting]:[setting]],0), MATCH(AM$139, regions_ub[#Headers],0)),INDEX(lmic_raw_ub[],MATCH($A290,lmic_raw_ub[[setting]:[setting]],0), MATCH(AM$277, lmic_raw_ub[#Headers],0)))</f>
        <v>5.7181041167092385E-3</v>
      </c>
      <c r="AN290" s="84">
        <f>IF(INDEX(lmic_raw_ub[],MATCH($A290,lmic_raw_ub[[setting]:[setting]],0), MATCH(AN$277, lmic_raw_ub[#Headers],0))=0, INDEX(regions_ub[], MATCH($D290, regions_ub[[setting]:[setting]],0), MATCH(AN$139, regions_ub[#Headers],0)),INDEX(lmic_raw_ub[],MATCH($A290,lmic_raw_ub[[setting]:[setting]],0), MATCH(AN$277, lmic_raw_ub[#Headers],0)))</f>
        <v>7.7343078713497122E-3</v>
      </c>
      <c r="AO290" s="84">
        <f>IF(INDEX(lmic_raw_ub[],MATCH($A290,lmic_raw_ub[[setting]:[setting]],0), MATCH(AO$277, lmic_raw_ub[#Headers],0))=0, INDEX(regions_ub[], MATCH($D290, regions_ub[[setting]:[setting]],0), MATCH(AO$139, regions_ub[#Headers],0)),INDEX(lmic_raw_ub[],MATCH($A290,lmic_raw_ub[[setting]:[setting]],0), MATCH(AO$277, lmic_raw_ub[#Headers],0)))</f>
        <v>1.0862247438071713E-2</v>
      </c>
      <c r="AP290" s="84">
        <f>IF(INDEX(lmic_raw_ub[],MATCH($A290,lmic_raw_ub[[setting]:[setting]],0), MATCH(AP$277, lmic_raw_ub[#Headers],0))=0, INDEX(regions_ub[], MATCH($D290, regions_ub[[setting]:[setting]],0), MATCH(AP$139, regions_ub[#Headers],0)),INDEX(lmic_raw_ub[],MATCH($A290,lmic_raw_ub[[setting]:[setting]],0), MATCH(AP$277, lmic_raw_ub[#Headers],0)))</f>
        <v>1.6037130171302493E-2</v>
      </c>
      <c r="AQ290" s="84">
        <f>IF(INDEX(lmic_raw_ub[],MATCH($A290,lmic_raw_ub[[setting]:[setting]],0), MATCH(AQ$277, lmic_raw_ub[#Headers],0))=0, INDEX(regions_ub[], MATCH($D290, regions_ub[[setting]:[setting]],0), MATCH(AQ$139, regions_ub[#Headers],0)),INDEX(lmic_raw_ub[],MATCH($A290,lmic_raw_ub[[setting]:[setting]],0), MATCH(AQ$277, lmic_raw_ub[#Headers],0)))</f>
        <v>2.1230883603528618E-2</v>
      </c>
      <c r="AR290" s="84">
        <f>IF(INDEX(lmic_raw_ub[],MATCH($A290,lmic_raw_ub[[setting]:[setting]],0), MATCH(AR$277, lmic_raw_ub[#Headers],0))=0, INDEX(regions_ub[], MATCH($D290, regions_ub[[setting]:[setting]],0), MATCH(AR$139, regions_ub[#Headers],0)),INDEX(lmic_raw_ub[],MATCH($A290,lmic_raw_ub[[setting]:[setting]],0), MATCH(AR$277, lmic_raw_ub[#Headers],0)))</f>
        <v>2.7537782677896489E-2</v>
      </c>
      <c r="AS290" s="84">
        <f>IF(INDEX(lmic_raw_ub[],MATCH($A290,lmic_raw_ub[[setting]:[setting]],0), MATCH(AS$277, lmic_raw_ub[#Headers],0))=0, INDEX(regions_ub[], MATCH($D290, regions_ub[[setting]:[setting]],0), MATCH(AS$139, regions_ub[#Headers],0)),INDEX(lmic_raw_ub[],MATCH($A290,lmic_raw_ub[[setting]:[setting]],0), MATCH(AS$277, lmic_raw_ub[#Headers],0)))</f>
        <v>3.9593325762970179E-2</v>
      </c>
      <c r="AT290" s="84">
        <f>IF(INDEX(lmic_raw_ub[],MATCH($A290,lmic_raw_ub[[setting]:[setting]],0), MATCH(AT$277, lmic_raw_ub[#Headers],0))=0, INDEX(regions_ub[], MATCH($D290, regions_ub[[setting]:[setting]],0), MATCH(AT$139, regions_ub[#Headers],0)),INDEX(lmic_raw_ub[],MATCH($A290,lmic_raw_ub[[setting]:[setting]],0), MATCH(AT$277, lmic_raw_ub[#Headers],0)))</f>
        <v>5.6086631322577185E-2</v>
      </c>
      <c r="AU290" s="84">
        <f>IF(INDEX(lmic_raw_ub[],MATCH($A290,lmic_raw_ub[[setting]:[setting]],0), MATCH(AU$277, lmic_raw_ub[#Headers],0))=0, INDEX(regions_ub[], MATCH($D290, regions_ub[[setting]:[setting]],0), MATCH(AU$139, regions_ub[#Headers],0)),INDEX(lmic_raw_ub[],MATCH($A290,lmic_raw_ub[[setting]:[setting]],0), MATCH(AU$277, lmic_raw_ub[#Headers],0)))</f>
        <v>7.8811888530146035E-2</v>
      </c>
      <c r="AV290" s="84">
        <f>IF(INDEX(lmic_raw_ub[],MATCH($A290,lmic_raw_ub[[setting]:[setting]],0), MATCH(AV$277, lmic_raw_ub[#Headers],0))=0, INDEX(regions_ub[], MATCH($D290, regions_ub[[setting]:[setting]],0), MATCH(AV$139, regions_ub[#Headers],0)),INDEX(lmic_raw_ub[],MATCH($A290,lmic_raw_ub[[setting]:[setting]],0), MATCH(AV$277, lmic_raw_ub[#Headers],0)))</f>
        <v>0.10512944576538689</v>
      </c>
      <c r="AW290" s="84">
        <f>IF(INDEX(lmic_raw_ub[],MATCH($A290,lmic_raw_ub[[setting]:[setting]],0), MATCH(AW$277, lmic_raw_ub[#Headers],0))=0, INDEX(regions_ub[], MATCH($D290, regions_ub[[setting]:[setting]],0), MATCH(AW$139, regions_ub[#Headers],0)),INDEX(lmic_raw_ub[],MATCH($A290,lmic_raw_ub[[setting]:[setting]],0), MATCH(AW$277, lmic_raw_ub[#Headers],0)))</f>
        <v>0.13073230314131756</v>
      </c>
      <c r="AX290" s="84">
        <f>IF(INDEX(lmic_raw_ub[],MATCH($A290,lmic_raw_ub[[setting]:[setting]],0), MATCH(AX$277, lmic_raw_ub[#Headers],0))=0, INDEX(regions_ub[], MATCH($D290, regions_ub[[setting]:[setting]],0), MATCH(AX$139, regions_ub[#Headers],0)),INDEX(lmic_raw_ub[],MATCH($A290,lmic_raw_ub[[setting]:[setting]],0), MATCH(AX$277, lmic_raw_ub[#Headers],0)))</f>
        <v>74.636099999999999</v>
      </c>
      <c r="AY290" s="33" t="str">
        <f>IF(VLOOKUP(lmics_ub[[#This Row],[setting]],lmic_raw_ub[],11,FALSE)=0, "Yes", "No")</f>
        <v>Yes</v>
      </c>
    </row>
    <row r="291" spans="1:51" x14ac:dyDescent="0.25">
      <c r="A291" s="110" t="s">
        <v>334</v>
      </c>
      <c r="B291" s="104" t="s">
        <v>386</v>
      </c>
      <c r="C291" s="105">
        <v>70</v>
      </c>
      <c r="D291" s="84" t="s">
        <v>675</v>
      </c>
      <c r="E291" s="84" t="s">
        <v>580</v>
      </c>
      <c r="F291" s="84" t="s">
        <v>663</v>
      </c>
      <c r="G291" s="84" t="s">
        <v>676</v>
      </c>
      <c r="J291" s="84">
        <f>IF(INDEX(lmic_raw_ub[],MATCH($A291,lmic_raw_ub[[setting]:[setting]],0), MATCH(J$277, lmic_raw_ub[#Headers],0))=0, INDEX(regions_ub[], MATCH($D291, regions_ub[[setting]:[setting]],0), MATCH(J$139, regions_ub[#Headers],0)),INDEX(lmic_raw_ub[],MATCH($A291,lmic_raw_ub[[setting]:[setting]],0), MATCH(J$277, lmic_raw_ub[#Headers],0)))</f>
        <v>0.99990000000000001</v>
      </c>
      <c r="K291" s="84">
        <f>IF(INDEX(lmic_raw_ub[],MATCH($A291,lmic_raw_ub[[setting]:[setting]],0), MATCH(K$277, lmic_raw_ub[#Headers],0))=0, INDEX(regions_ub[], MATCH($D291, regions_ub[[setting]:[setting]],0), MATCH(K$139, regions_ub[#Headers],0)),INDEX(lmic_raw_ub[],MATCH($A291,lmic_raw_ub[[setting]:[setting]],0), MATCH(K$277, lmic_raw_ub[#Headers],0)))</f>
        <v>0.96095440088755346</v>
      </c>
      <c r="L291" s="84">
        <f>IF(INDEX(lmic_raw_ub[],MATCH($A291,lmic_raw_ub[[setting]:[setting]],0), MATCH(L$277, lmic_raw_ub[#Headers],0))=0, INDEX(regions_ub[], MATCH($D291, regions_ub[[setting]:[setting]],0), MATCH(L$139, regions_ub[#Headers],0)),INDEX(lmic_raw_ub[],MATCH($A291,lmic_raw_ub[[setting]:[setting]],0), MATCH(L$277, lmic_raw_ub[#Headers],0)))</f>
        <v>0.84000000000000008</v>
      </c>
      <c r="M291" s="84">
        <f>IF(INDEX(lmic_raw_ub[],MATCH($A291,lmic_raw_ub[[setting]:[setting]],0), MATCH(M$277, lmic_raw_ub[#Headers],0))=0, INDEX(regions_ub[], MATCH($D291, regions_ub[[setting]:[setting]],0), MATCH(M$139, regions_ub[#Headers],0)),INDEX(lmic_raw_ub[],MATCH($A291,lmic_raw_ub[[setting]:[setting]],0), MATCH(M$277, lmic_raw_ub[#Headers],0)))</f>
        <v>0.14610000000000001</v>
      </c>
      <c r="N291" s="84">
        <f>IF(INDEX(lmic_raw_ub[],MATCH($A291,lmic_raw_ub[[setting]:[setting]],0), MATCH(N$277, lmic_raw_ub[#Headers],0))=0, INDEX(regions_ub[], MATCH($D291, regions_ub[[setting]:[setting]],0), MATCH(N$139, regions_ub[#Headers],0)),INDEX(lmic_raw_ub[],MATCH($A291,lmic_raw_ub[[setting]:[setting]],0), MATCH(N$277, lmic_raw_ub[#Headers],0)))</f>
        <v>0.42849999999999999</v>
      </c>
      <c r="O291" s="84">
        <f>IF(INDEX(lmic_raw_ub[],MATCH($A291,lmic_raw_ub[[setting]:[setting]],0), MATCH(O$277, lmic_raw_ub[#Headers],0))=0, INDEX(regions_ub[], MATCH($D291, regions_ub[[setting]:[setting]],0), MATCH(O$139, regions_ub[#Headers],0)),INDEX(lmic_raw_ub[],MATCH($A291,lmic_raw_ub[[setting]:[setting]],0), MATCH(O$277, lmic_raw_ub[#Headers],0)))</f>
        <v>0.9</v>
      </c>
      <c r="P291" s="84">
        <f>IF(INDEX(lmic_raw_ub[],MATCH($A291,lmic_raw_ub[[setting]:[setting]],0), MATCH(P$277, lmic_raw_ub[#Headers],0))=0, INDEX(regions_ub[], MATCH($D291, regions_ub[[setting]:[setting]],0), MATCH(P$139, regions_ub[#Headers],0)),INDEX(lmic_raw_ub[],MATCH($A291,lmic_raw_ub[[setting]:[setting]],0), MATCH(P$277, lmic_raw_ub[#Headers],0)))</f>
        <v>0.3</v>
      </c>
      <c r="Q291" s="84">
        <f>IF(INDEX(lmic_raw_ub[],MATCH($A291,lmic_raw_ub[[setting]:[setting]],0), MATCH(Q$277, lmic_raw_ub[#Headers],0))=0, INDEX(regions_ub[], MATCH($D291, regions_ub[[setting]:[setting]],0), MATCH(Q$139, regions_ub[#Headers],0)),INDEX(lmic_raw_ub[],MATCH($A291,lmic_raw_ub[[setting]:[setting]],0), MATCH(Q$277, lmic_raw_ub[#Headers],0)))</f>
        <v>9.4710788698140149</v>
      </c>
      <c r="R291" s="84">
        <f>IF(INDEX(lmic_raw_ub[],MATCH($A291,lmic_raw_ub[[setting]:[setting]],0), MATCH(R$277, lmic_raw_ub[#Headers],0))=0, INDEX(regions_ub[], MATCH($D291, regions_ub[[setting]:[setting]],0), MATCH(R$139, regions_ub[#Headers],0)),INDEX(lmic_raw_ub[],MATCH($A291,lmic_raw_ub[[setting]:[setting]],0), MATCH(R$277, lmic_raw_ub[#Headers],0)))</f>
        <v>46.76427000000001</v>
      </c>
      <c r="S291" s="84">
        <f>IF(INDEX(lmic_raw_ub[],MATCH($A291,lmic_raw_ub[[setting]:[setting]],0), MATCH(S$277, lmic_raw_ub[#Headers],0))=0, INDEX(regions_ub[], MATCH($D291, regions_ub[[setting]:[setting]],0), MATCH(S$139, regions_ub[#Headers],0)),INDEX(lmic_raw_ub[],MATCH($A291,lmic_raw_ub[[setting]:[setting]],0), MATCH(S$277, lmic_raw_ub[#Headers],0)))</f>
        <v>96.893370000000019</v>
      </c>
      <c r="T291" s="84">
        <f>IF(INDEX(lmic_raw_ub[],MATCH($A291,lmic_raw_ub[[setting]:[setting]],0), MATCH(T$277, lmic_raw_ub[#Headers],0))=0, INDEX(regions_ub[], MATCH($D291, regions_ub[[setting]:[setting]],0), MATCH(T$139, regions_ub[#Headers],0)),INDEX(lmic_raw_ub[],MATCH($A291,lmic_raw_ub[[setting]:[setting]],0), MATCH(T$277, lmic_raw_ub[#Headers],0)))</f>
        <v>96.893370000000019</v>
      </c>
      <c r="U291" s="84">
        <f>IF(INDEX(lmic_raw_ub[],MATCH($A291,lmic_raw_ub[[setting]:[setting]],0), MATCH(U$277, lmic_raw_ub[#Headers],0))=0, INDEX(regions_ub[], MATCH($D291, regions_ub[[setting]:[setting]],0), MATCH(U$139, regions_ub[#Headers],0)),INDEX(lmic_raw_ub[],MATCH($A291,lmic_raw_ub[[setting]:[setting]],0), MATCH(U$277, lmic_raw_ub[#Headers],0)))</f>
        <v>96.893370000000019</v>
      </c>
      <c r="V291" s="84">
        <f>IF(INDEX(lmic_raw_ub[],MATCH($A291,lmic_raw_ub[[setting]:[setting]],0), MATCH(V$277, lmic_raw_ub[#Headers],0))=0, INDEX(regions_ub[], MATCH($D291, regions_ub[[setting]:[setting]],0), MATCH(V$139, regions_ub[#Headers],0)),INDEX(lmic_raw_ub[],MATCH($A291,lmic_raw_ub[[setting]:[setting]],0), MATCH(V$277, lmic_raw_ub[#Headers],0)))</f>
        <v>7.9896062531725809</v>
      </c>
      <c r="W291" s="84">
        <f>IF(INDEX(lmic_raw_ub[],MATCH($A291,lmic_raw_ub[[setting]:[setting]],0), MATCH(W$277, lmic_raw_ub[#Headers],0))=0, INDEX(regions_ub[], MATCH($D291, regions_ub[[setting]:[setting]],0), MATCH(W$139, regions_ub[#Headers],0)),INDEX(lmic_raw_ub[],MATCH($A291,lmic_raw_ub[[setting]:[setting]],0), MATCH(W$277, lmic_raw_ub[#Headers],0)))</f>
        <v>12.258591253172582</v>
      </c>
      <c r="X291" s="84">
        <f>IF(INDEX(lmic_raw_ub[],MATCH($A291,lmic_raw_ub[[setting]:[setting]],0), MATCH(X$277, lmic_raw_ub[#Headers],0))=0, INDEX(regions_ub[], MATCH($D291, regions_ub[[setting]:[setting]],0), MATCH(X$139, regions_ub[#Headers],0)),INDEX(lmic_raw_ub[],MATCH($A291,lmic_raw_ub[[setting]:[setting]],0), MATCH(X$277, lmic_raw_ub[#Headers],0)))</f>
        <v>7.4703589927746732</v>
      </c>
      <c r="Y291" s="84">
        <f>IF(INDEX(lmic_raw_ub[],MATCH($A291,lmic_raw_ub[[setting]:[setting]],0), MATCH(Y$277, lmic_raw_ub[#Headers],0))=0, INDEX(regions_ub[], MATCH($D291, regions_ub[[setting]:[setting]],0), MATCH(Y$139, regions_ub[#Headers],0)),INDEX(lmic_raw_ub[],MATCH($A291,lmic_raw_ub[[setting]:[setting]],0), MATCH(Y$277, lmic_raw_ub[#Headers],0)))</f>
        <v>11.739343992774675</v>
      </c>
      <c r="Z291" s="84">
        <f>IF(INDEX(lmic_raw_ub[],MATCH($A291,lmic_raw_ub[[setting]:[setting]],0), MATCH(Z$277, lmic_raw_ub[#Headers],0))=0, INDEX(regions_ub[], MATCH($D291, regions_ub[[setting]:[setting]],0), MATCH(Z$139, regions_ub[#Headers],0)),INDEX(lmic_raw_ub[],MATCH($A291,lmic_raw_ub[[setting]:[setting]],0), MATCH(Z$277, lmic_raw_ub[#Headers],0)))</f>
        <v>11.719794456495549</v>
      </c>
      <c r="AA291" s="84">
        <f>IF(INDEX(lmic_raw_ub[],MATCH($A291,lmic_raw_ub[[setting]:[setting]],0), MATCH(AA$277, lmic_raw_ub[#Headers],0))=0, INDEX(regions_ub[], MATCH($D291, regions_ub[[setting]:[setting]],0), MATCH(AA$139, regions_ub[#Headers],0)),INDEX(lmic_raw_ub[],MATCH($A291,lmic_raw_ub[[setting]:[setting]],0), MATCH(AA$277, lmic_raw_ub[#Headers],0)))</f>
        <v>8.2635466405201061</v>
      </c>
      <c r="AB291" s="84">
        <f>IF(INDEX(lmic_raw_ub[],MATCH($A291,lmic_raw_ub[[setting]:[setting]],0), MATCH(AB$277, lmic_raw_ub[#Headers],0))=0, INDEX(regions_ub[], MATCH($D291, regions_ub[[setting]:[setting]],0), MATCH(AB$139, regions_ub[#Headers],0)),INDEX(lmic_raw_ub[],MATCH($A291,lmic_raw_ub[[setting]:[setting]],0), MATCH(AB$277, lmic_raw_ub[#Headers],0)))</f>
        <v>12.532531640520107</v>
      </c>
      <c r="AC291" s="84">
        <f>IF(INDEX(lmic_raw_ub[],MATCH($A291,lmic_raw_ub[[setting]:[setting]],0), MATCH(AC$277, lmic_raw_ub[#Headers],0))=0, INDEX(regions_ub[], MATCH($D291, regions_ub[[setting]:[setting]],0), MATCH(AC$139, regions_ub[#Headers],0)),INDEX(lmic_raw_ub[],MATCH($A291,lmic_raw_ub[[setting]:[setting]],0), MATCH(AC$277, lmic_raw_ub[#Headers],0)))</f>
        <v>6.3066359999999775E-3</v>
      </c>
      <c r="AD291" s="84">
        <f>IF(INDEX(lmic_raw_ub[],MATCH($A291,lmic_raw_ub[[setting]:[setting]],0), MATCH(AD$277, lmic_raw_ub[#Headers],0))=0, INDEX(regions_ub[], MATCH($D291, regions_ub[[setting]:[setting]],0), MATCH(AD$139, regions_ub[#Headers],0)),INDEX(lmic_raw_ub[],MATCH($A291,lmic_raw_ub[[setting]:[setting]],0), MATCH(AD$277, lmic_raw_ub[#Headers],0)))</f>
        <v>2.0351801934998835E-4</v>
      </c>
      <c r="AE291" s="84">
        <f>IF(INDEX(lmic_raw_ub[],MATCH($A291,lmic_raw_ub[[setting]:[setting]],0), MATCH(AE$277, lmic_raw_ub[#Headers],0))=0, INDEX(regions_ub[], MATCH($D291, regions_ub[[setting]:[setting]],0), MATCH(AE$139, regions_ub[#Headers],0)),INDEX(lmic_raw_ub[],MATCH($A291,lmic_raw_ub[[setting]:[setting]],0), MATCH(AE$277, lmic_raw_ub[#Headers],0)))</f>
        <v>8.2756941308546631E-5</v>
      </c>
      <c r="AF291" s="84">
        <f>IF(INDEX(lmic_raw_ub[],MATCH($A291,lmic_raw_ub[[setting]:[setting]],0), MATCH(AF$277, lmic_raw_ub[#Headers],0))=0, INDEX(regions_ub[], MATCH($D291, regions_ub[[setting]:[setting]],0), MATCH(AF$139, regions_ub[#Headers],0)),INDEX(lmic_raw_ub[],MATCH($A291,lmic_raw_ub[[setting]:[setting]],0), MATCH(AF$277, lmic_raw_ub[#Headers],0)))</f>
        <v>1.494806339870646E-4</v>
      </c>
      <c r="AG291" s="84">
        <f>IF(INDEX(lmic_raw_ub[],MATCH($A291,lmic_raw_ub[[setting]:[setting]],0), MATCH(AG$277, lmic_raw_ub[#Headers],0))=0, INDEX(regions_ub[], MATCH($D291, regions_ub[[setting]:[setting]],0), MATCH(AG$139, regions_ub[#Headers],0)),INDEX(lmic_raw_ub[],MATCH($A291,lmic_raw_ub[[setting]:[setting]],0), MATCH(AG$277, lmic_raw_ub[#Headers],0)))</f>
        <v>2.4377676395605908E-4</v>
      </c>
      <c r="AH291" s="84">
        <f>IF(INDEX(lmic_raw_ub[],MATCH($A291,lmic_raw_ub[[setting]:[setting]],0), MATCH(AH$277, lmic_raw_ub[#Headers],0))=0, INDEX(regions_ub[], MATCH($D291, regions_ub[[setting]:[setting]],0), MATCH(AH$139, regions_ub[#Headers],0)),INDEX(lmic_raw_ub[],MATCH($A291,lmic_raw_ub[[setting]:[setting]],0), MATCH(AH$277, lmic_raw_ub[#Headers],0)))</f>
        <v>3.7164011729438375E-4</v>
      </c>
      <c r="AI291" s="84">
        <f>IF(INDEX(lmic_raw_ub[],MATCH($A291,lmic_raw_ub[[setting]:[setting]],0), MATCH(AI$277, lmic_raw_ub[#Headers],0))=0, INDEX(regions_ub[], MATCH($D291, regions_ub[[setting]:[setting]],0), MATCH(AI$139, regions_ub[#Headers],0)),INDEX(lmic_raw_ub[],MATCH($A291,lmic_raw_ub[[setting]:[setting]],0), MATCH(AI$277, lmic_raw_ub[#Headers],0)))</f>
        <v>4.3995535186950246E-4</v>
      </c>
      <c r="AJ291" s="84">
        <f>IF(INDEX(lmic_raw_ub[],MATCH($A291,lmic_raw_ub[[setting]:[setting]],0), MATCH(AJ$277, lmic_raw_ub[#Headers],0))=0, INDEX(regions_ub[], MATCH($D291, regions_ub[[setting]:[setting]],0), MATCH(AJ$139, regions_ub[#Headers],0)),INDEX(lmic_raw_ub[],MATCH($A291,lmic_raw_ub[[setting]:[setting]],0), MATCH(AJ$277, lmic_raw_ub[#Headers],0)))</f>
        <v>6.6440315380372717E-4</v>
      </c>
      <c r="AK291" s="84">
        <f>IF(INDEX(lmic_raw_ub[],MATCH($A291,lmic_raw_ub[[setting]:[setting]],0), MATCH(AK$277, lmic_raw_ub[#Headers],0))=0, INDEX(regions_ub[], MATCH($D291, regions_ub[[setting]:[setting]],0), MATCH(AK$139, regions_ub[#Headers],0)),INDEX(lmic_raw_ub[],MATCH($A291,lmic_raw_ub[[setting]:[setting]],0), MATCH(AK$277, lmic_raw_ub[#Headers],0)))</f>
        <v>9.1463025180476946E-4</v>
      </c>
      <c r="AL291" s="84">
        <f>IF(INDEX(lmic_raw_ub[],MATCH($A291,lmic_raw_ub[[setting]:[setting]],0), MATCH(AL$277, lmic_raw_ub[#Headers],0))=0, INDEX(regions_ub[], MATCH($D291, regions_ub[[setting]:[setting]],0), MATCH(AL$139, regions_ub[#Headers],0)),INDEX(lmic_raw_ub[],MATCH($A291,lmic_raw_ub[[setting]:[setting]],0), MATCH(AL$277, lmic_raw_ub[#Headers],0)))</f>
        <v>1.4985748180633648E-3</v>
      </c>
      <c r="AM291" s="84">
        <f>IF(INDEX(lmic_raw_ub[],MATCH($A291,lmic_raw_ub[[setting]:[setting]],0), MATCH(AM$277, lmic_raw_ub[#Headers],0))=0, INDEX(regions_ub[], MATCH($D291, regions_ub[[setting]:[setting]],0), MATCH(AM$139, regions_ub[#Headers],0)),INDEX(lmic_raw_ub[],MATCH($A291,lmic_raw_ub[[setting]:[setting]],0), MATCH(AM$277, lmic_raw_ub[#Headers],0)))</f>
        <v>2.7123135944377803E-3</v>
      </c>
      <c r="AN291" s="84">
        <f>IF(INDEX(lmic_raw_ub[],MATCH($A291,lmic_raw_ub[[setting]:[setting]],0), MATCH(AN$277, lmic_raw_ub[#Headers],0))=0, INDEX(regions_ub[], MATCH($D291, regions_ub[[setting]:[setting]],0), MATCH(AN$139, regions_ub[#Headers],0)),INDEX(lmic_raw_ub[],MATCH($A291,lmic_raw_ub[[setting]:[setting]],0), MATCH(AN$277, lmic_raw_ub[#Headers],0)))</f>
        <v>4.787711727519902E-3</v>
      </c>
      <c r="AO291" s="84">
        <f>IF(INDEX(lmic_raw_ub[],MATCH($A291,lmic_raw_ub[[setting]:[setting]],0), MATCH(AO$277, lmic_raw_ub[#Headers],0))=0, INDEX(regions_ub[], MATCH($D291, regions_ub[[setting]:[setting]],0), MATCH(AO$139, regions_ub[#Headers],0)),INDEX(lmic_raw_ub[],MATCH($A291,lmic_raw_ub[[setting]:[setting]],0), MATCH(AO$277, lmic_raw_ub[#Headers],0)))</f>
        <v>7.6445914553077855E-3</v>
      </c>
      <c r="AP291" s="84">
        <f>IF(INDEX(lmic_raw_ub[],MATCH($A291,lmic_raw_ub[[setting]:[setting]],0), MATCH(AP$277, lmic_raw_ub[#Headers],0))=0, INDEX(regions_ub[], MATCH($D291, regions_ub[[setting]:[setting]],0), MATCH(AP$139, regions_ub[#Headers],0)),INDEX(lmic_raw_ub[],MATCH($A291,lmic_raw_ub[[setting]:[setting]],0), MATCH(AP$277, lmic_raw_ub[#Headers],0)))</f>
        <v>1.2393722316994753E-2</v>
      </c>
      <c r="AQ291" s="84">
        <f>IF(INDEX(lmic_raw_ub[],MATCH($A291,lmic_raw_ub[[setting]:[setting]],0), MATCH(AQ$277, lmic_raw_ub[#Headers],0))=0, INDEX(regions_ub[], MATCH($D291, regions_ub[[setting]:[setting]],0), MATCH(AQ$139, regions_ub[#Headers],0)),INDEX(lmic_raw_ub[],MATCH($A291,lmic_raw_ub[[setting]:[setting]],0), MATCH(AQ$277, lmic_raw_ub[#Headers],0)))</f>
        <v>1.9622276603720144E-2</v>
      </c>
      <c r="AR291" s="84">
        <f>IF(INDEX(lmic_raw_ub[],MATCH($A291,lmic_raw_ub[[setting]:[setting]],0), MATCH(AR$277, lmic_raw_ub[#Headers],0))=0, INDEX(regions_ub[], MATCH($D291, regions_ub[[setting]:[setting]],0), MATCH(AR$139, regions_ub[#Headers],0)),INDEX(lmic_raw_ub[],MATCH($A291,lmic_raw_ub[[setting]:[setting]],0), MATCH(AR$277, lmic_raw_ub[#Headers],0)))</f>
        <v>3.2267249651167319E-2</v>
      </c>
      <c r="AS291" s="84">
        <f>IF(INDEX(lmic_raw_ub[],MATCH($A291,lmic_raw_ub[[setting]:[setting]],0), MATCH(AS$277, lmic_raw_ub[#Headers],0))=0, INDEX(regions_ub[], MATCH($D291, regions_ub[[setting]:[setting]],0), MATCH(AS$139, regions_ub[#Headers],0)),INDEX(lmic_raw_ub[],MATCH($A291,lmic_raw_ub[[setting]:[setting]],0), MATCH(AS$277, lmic_raw_ub[#Headers],0)))</f>
        <v>5.2923830130217744E-2</v>
      </c>
      <c r="AT291" s="84">
        <f>IF(INDEX(lmic_raw_ub[],MATCH($A291,lmic_raw_ub[[setting]:[setting]],0), MATCH(AT$277, lmic_raw_ub[#Headers],0))=0, INDEX(regions_ub[], MATCH($D291, regions_ub[[setting]:[setting]],0), MATCH(AT$139, regions_ub[#Headers],0)),INDEX(lmic_raw_ub[],MATCH($A291,lmic_raw_ub[[setting]:[setting]],0), MATCH(AT$277, lmic_raw_ub[#Headers],0)))</f>
        <v>7.9646693829801274E-2</v>
      </c>
      <c r="AU291" s="84">
        <f>IF(INDEX(lmic_raw_ub[],MATCH($A291,lmic_raw_ub[[setting]:[setting]],0), MATCH(AU$277, lmic_raw_ub[#Headers],0))=0, INDEX(regions_ub[], MATCH($D291, regions_ub[[setting]:[setting]],0), MATCH(AU$139, regions_ub[#Headers],0)),INDEX(lmic_raw_ub[],MATCH($A291,lmic_raw_ub[[setting]:[setting]],0), MATCH(AU$277, lmic_raw_ub[#Headers],0)))</f>
        <v>0.1134418847692828</v>
      </c>
      <c r="AV291" s="84">
        <f>IF(INDEX(lmic_raw_ub[],MATCH($A291,lmic_raw_ub[[setting]:[setting]],0), MATCH(AV$277, lmic_raw_ub[#Headers],0))=0, INDEX(regions_ub[], MATCH($D291, regions_ub[[setting]:[setting]],0), MATCH(AV$139, regions_ub[#Headers],0)),INDEX(lmic_raw_ub[],MATCH($A291,lmic_raw_ub[[setting]:[setting]],0), MATCH(AV$277, lmic_raw_ub[#Headers],0)))</f>
        <v>0.14826164368020397</v>
      </c>
      <c r="AW291" s="84">
        <f>IF(INDEX(lmic_raw_ub[],MATCH($A291,lmic_raw_ub[[setting]:[setting]],0), MATCH(AW$277, lmic_raw_ub[#Headers],0))=0, INDEX(regions_ub[], MATCH($D291, regions_ub[[setting]:[setting]],0), MATCH(AW$139, regions_ub[#Headers],0)),INDEX(lmic_raw_ub[],MATCH($A291,lmic_raw_ub[[setting]:[setting]],0), MATCH(AW$277, lmic_raw_ub[#Headers],0)))</f>
        <v>0.17661388082859331</v>
      </c>
      <c r="AX291" s="84">
        <f>IF(INDEX(lmic_raw_ub[],MATCH($A291,lmic_raw_ub[[setting]:[setting]],0), MATCH(AX$277, lmic_raw_ub[#Headers],0))=0, INDEX(regions_ub[], MATCH($D291, regions_ub[[setting]:[setting]],0), MATCH(AX$139, regions_ub[#Headers],0)),INDEX(lmic_raw_ub[],MATCH($A291,lmic_raw_ub[[setting]:[setting]],0), MATCH(AX$277, lmic_raw_ub[#Headers],0)))</f>
        <v>81.034800000000004</v>
      </c>
      <c r="AY291" s="33" t="str">
        <f>IF(VLOOKUP(lmics_ub[[#This Row],[setting]],lmic_raw_ub[],11,FALSE)=0, "Yes", "No")</f>
        <v>Yes</v>
      </c>
    </row>
    <row r="292" spans="1:51" x14ac:dyDescent="0.25">
      <c r="A292" s="109" t="s">
        <v>132</v>
      </c>
      <c r="B292" s="101" t="s">
        <v>387</v>
      </c>
      <c r="C292" s="102">
        <v>72</v>
      </c>
      <c r="D292" s="82" t="s">
        <v>677</v>
      </c>
      <c r="E292" s="82" t="s">
        <v>594</v>
      </c>
      <c r="F292" s="82" t="s">
        <v>667</v>
      </c>
      <c r="G292" s="82" t="s">
        <v>676</v>
      </c>
      <c r="J292" s="84">
        <f>IF(INDEX(lmic_raw_ub[],MATCH($A292,lmic_raw_ub[[setting]:[setting]],0), MATCH(J$277, lmic_raw_ub[#Headers],0))=0, INDEX(regions_ub[], MATCH($D292, regions_ub[[setting]:[setting]],0), MATCH(J$139, regions_ub[#Headers],0)),INDEX(lmic_raw_ub[],MATCH($A292,lmic_raw_ub[[setting]:[setting]],0), MATCH(J$277, lmic_raw_ub[#Headers],0)))</f>
        <v>0.99990000000000001</v>
      </c>
      <c r="K292" s="84">
        <f>IF(INDEX(lmic_raw_ub[],MATCH($A292,lmic_raw_ub[[setting]:[setting]],0), MATCH(K$277, lmic_raw_ub[#Headers],0))=0, INDEX(regions_ub[], MATCH($D292, regions_ub[[setting]:[setting]],0), MATCH(K$139, regions_ub[#Headers],0)),INDEX(lmic_raw_ub[],MATCH($A292,lmic_raw_ub[[setting]:[setting]],0), MATCH(K$277, lmic_raw_ub[#Headers],0)))</f>
        <v>0.71433037619548323</v>
      </c>
      <c r="L292" s="84">
        <f>IF(INDEX(lmic_raw_ub[],MATCH($A292,lmic_raw_ub[[setting]:[setting]],0), MATCH(L$277, lmic_raw_ub[#Headers],0))=0, INDEX(regions_ub[], MATCH($D292, regions_ub[[setting]:[setting]],0), MATCH(L$139, regions_ub[#Headers],0)),INDEX(lmic_raw_ub[],MATCH($A292,lmic_raw_ub[[setting]:[setting]],0), MATCH(L$277, lmic_raw_ub[#Headers],0)))</f>
        <v>0.99749999999999994</v>
      </c>
      <c r="M292" s="84">
        <f>IF(INDEX(lmic_raw_ub[],MATCH($A292,lmic_raw_ub[[setting]:[setting]],0), MATCH(M$277, lmic_raw_ub[#Headers],0))=0, INDEX(regions_ub[], MATCH($D292, regions_ub[[setting]:[setting]],0), MATCH(M$139, regions_ub[#Headers],0)),INDEX(lmic_raw_ub[],MATCH($A292,lmic_raw_ub[[setting]:[setting]],0), MATCH(M$277, lmic_raw_ub[#Headers],0)))</f>
        <v>0.13369999999999999</v>
      </c>
      <c r="N292" s="84">
        <f>IF(INDEX(lmic_raw_ub[],MATCH($A292,lmic_raw_ub[[setting]:[setting]],0), MATCH(N$277, lmic_raw_ub[#Headers],0))=0, INDEX(regions_ub[], MATCH($D292, regions_ub[[setting]:[setting]],0), MATCH(N$139, regions_ub[#Headers],0)),INDEX(lmic_raw_ub[],MATCH($A292,lmic_raw_ub[[setting]:[setting]],0), MATCH(N$277, lmic_raw_ub[#Headers],0)))</f>
        <v>0.3679</v>
      </c>
      <c r="O292" s="84">
        <f>IF(INDEX(lmic_raw_ub[],MATCH($A292,lmic_raw_ub[[setting]:[setting]],0), MATCH(O$277, lmic_raw_ub[#Headers],0))=0, INDEX(regions_ub[], MATCH($D292, regions_ub[[setting]:[setting]],0), MATCH(O$139, regions_ub[#Headers],0)),INDEX(lmic_raw_ub[],MATCH($A292,lmic_raw_ub[[setting]:[setting]],0), MATCH(O$277, lmic_raw_ub[#Headers],0)))</f>
        <v>0.74399999999999999</v>
      </c>
      <c r="P292" s="84">
        <f>IF(INDEX(lmic_raw_ub[],MATCH($A292,lmic_raw_ub[[setting]:[setting]],0), MATCH(P$277, lmic_raw_ub[#Headers],0))=0, INDEX(regions_ub[], MATCH($D292, regions_ub[[setting]:[setting]],0), MATCH(P$139, regions_ub[#Headers],0)),INDEX(lmic_raw_ub[],MATCH($A292,lmic_raw_ub[[setting]:[setting]],0), MATCH(P$277, lmic_raw_ub[#Headers],0)))</f>
        <v>0.13300000000000001</v>
      </c>
      <c r="Q292" s="84">
        <f>IF(INDEX(lmic_raw_ub[],MATCH($A292,lmic_raw_ub[[setting]:[setting]],0), MATCH(Q$277, lmic_raw_ub[#Headers],0))=0, INDEX(regions_ub[], MATCH($D292, regions_ub[[setting]:[setting]],0), MATCH(Q$139, regions_ub[#Headers],0)),INDEX(lmic_raw_ub[],MATCH($A292,lmic_raw_ub[[setting]:[setting]],0), MATCH(Q$277, lmic_raw_ub[#Headers],0)))</f>
        <v>14.717792492034047</v>
      </c>
      <c r="R292" s="84">
        <f>IF(INDEX(lmic_raw_ub[],MATCH($A292,lmic_raw_ub[[setting]:[setting]],0), MATCH(R$277, lmic_raw_ub[#Headers],0))=0, INDEX(regions_ub[], MATCH($D292, regions_ub[[setting]:[setting]],0), MATCH(R$139, regions_ub[#Headers],0)),INDEX(lmic_raw_ub[],MATCH($A292,lmic_raw_ub[[setting]:[setting]],0), MATCH(R$277, lmic_raw_ub[#Headers],0)))</f>
        <v>31.416525000000004</v>
      </c>
      <c r="S292" s="84">
        <f>IF(INDEX(lmic_raw_ub[],MATCH($A292,lmic_raw_ub[[setting]:[setting]],0), MATCH(S$277, lmic_raw_ub[#Headers],0))=0, INDEX(regions_ub[], MATCH($D292, regions_ub[[setting]:[setting]],0), MATCH(S$139, regions_ub[#Headers],0)),INDEX(lmic_raw_ub[],MATCH($A292,lmic_raw_ub[[setting]:[setting]],0), MATCH(S$277, lmic_raw_ub[#Headers],0)))</f>
        <v>81.545625000000015</v>
      </c>
      <c r="T292" s="84">
        <f>IF(INDEX(lmic_raw_ub[],MATCH($A292,lmic_raw_ub[[setting]:[setting]],0), MATCH(T$277, lmic_raw_ub[#Headers],0))=0, INDEX(regions_ub[], MATCH($D292, regions_ub[[setting]:[setting]],0), MATCH(T$139, regions_ub[#Headers],0)),INDEX(lmic_raw_ub[],MATCH($A292,lmic_raw_ub[[setting]:[setting]],0), MATCH(T$277, lmic_raw_ub[#Headers],0)))</f>
        <v>81.545625000000015</v>
      </c>
      <c r="U292" s="84">
        <f>IF(INDEX(lmic_raw_ub[],MATCH($A292,lmic_raw_ub[[setting]:[setting]],0), MATCH(U$277, lmic_raw_ub[#Headers],0))=0, INDEX(regions_ub[], MATCH($D292, regions_ub[[setting]:[setting]],0), MATCH(U$139, regions_ub[#Headers],0)),INDEX(lmic_raw_ub[],MATCH($A292,lmic_raw_ub[[setting]:[setting]],0), MATCH(U$277, lmic_raw_ub[#Headers],0)))</f>
        <v>81.545625000000015</v>
      </c>
      <c r="V292" s="84">
        <f>IF(INDEX(lmic_raw_ub[],MATCH($A292,lmic_raw_ub[[setting]:[setting]],0), MATCH(V$277, lmic_raw_ub[#Headers],0))=0, INDEX(regions_ub[], MATCH($D292, regions_ub[[setting]:[setting]],0), MATCH(V$139, regions_ub[#Headers],0)),INDEX(lmic_raw_ub[],MATCH($A292,lmic_raw_ub[[setting]:[setting]],0), MATCH(V$277, lmic_raw_ub[#Headers],0)))</f>
        <v>14.848936865358933</v>
      </c>
      <c r="W292" s="84">
        <f>IF(INDEX(lmic_raw_ub[],MATCH($A292,lmic_raw_ub[[setting]:[setting]],0), MATCH(W$277, lmic_raw_ub[#Headers],0))=0, INDEX(regions_ub[], MATCH($D292, regions_ub[[setting]:[setting]],0), MATCH(W$139, regions_ub[#Headers],0)),INDEX(lmic_raw_ub[],MATCH($A292,lmic_raw_ub[[setting]:[setting]],0), MATCH(W$277, lmic_raw_ub[#Headers],0)))</f>
        <v>19.919071865358934</v>
      </c>
      <c r="X292" s="84">
        <f>IF(INDEX(lmic_raw_ub[],MATCH($A292,lmic_raw_ub[[setting]:[setting]],0), MATCH(X$277, lmic_raw_ub[#Headers],0))=0, INDEX(regions_ub[], MATCH($D292, regions_ub[[setting]:[setting]],0), MATCH(X$139, regions_ub[#Headers],0)),INDEX(lmic_raw_ub[],MATCH($A292,lmic_raw_ub[[setting]:[setting]],0), MATCH(X$277, lmic_raw_ub[#Headers],0)))</f>
        <v>14.320650239158338</v>
      </c>
      <c r="Y292" s="84">
        <f>IF(INDEX(lmic_raw_ub[],MATCH($A292,lmic_raw_ub[[setting]:[setting]],0), MATCH(Y$277, lmic_raw_ub[#Headers],0))=0, INDEX(regions_ub[], MATCH($D292, regions_ub[[setting]:[setting]],0), MATCH(Y$139, regions_ub[#Headers],0)),INDEX(lmic_raw_ub[],MATCH($A292,lmic_raw_ub[[setting]:[setting]],0), MATCH(Y$277, lmic_raw_ub[#Headers],0)))</f>
        <v>19.39078523915834</v>
      </c>
      <c r="Z292" s="84">
        <f>IF(INDEX(lmic_raw_ub[],MATCH($A292,lmic_raw_ub[[setting]:[setting]],0), MATCH(Z$277, lmic_raw_ub[#Headers],0))=0, INDEX(regions_ub[], MATCH($D292, regions_ub[[setting]:[setting]],0), MATCH(Z$139, regions_ub[#Headers],0)),INDEX(lmic_raw_ub[],MATCH($A292,lmic_raw_ub[[setting]:[setting]],0), MATCH(Z$277, lmic_raw_ub[#Headers],0)))</f>
        <v>19.367578588690158</v>
      </c>
      <c r="AA292" s="84">
        <f>IF(INDEX(lmic_raw_ub[],MATCH($A292,lmic_raw_ub[[setting]:[setting]],0), MATCH(AA$277, lmic_raw_ub[#Headers],0))=0, INDEX(regions_ub[], MATCH($D292, regions_ub[[setting]:[setting]],0), MATCH(AA$139, regions_ub[#Headers],0)),INDEX(lmic_raw_ub[],MATCH($A292,lmic_raw_ub[[setting]:[setting]],0), MATCH(AA$277, lmic_raw_ub[#Headers],0)))</f>
        <v>15.124929133287438</v>
      </c>
      <c r="AB292" s="84">
        <f>IF(INDEX(lmic_raw_ub[],MATCH($A292,lmic_raw_ub[[setting]:[setting]],0), MATCH(AB$277, lmic_raw_ub[#Headers],0))=0, INDEX(regions_ub[], MATCH($D292, regions_ub[[setting]:[setting]],0), MATCH(AB$139, regions_ub[#Headers],0)),INDEX(lmic_raw_ub[],MATCH($A292,lmic_raw_ub[[setting]:[setting]],0), MATCH(AB$277, lmic_raw_ub[#Headers],0)))</f>
        <v>20.195064133287438</v>
      </c>
      <c r="AC292" s="84">
        <f>IF(INDEX(lmic_raw_ub[],MATCH($A292,lmic_raw_ub[[setting]:[setting]],0), MATCH(AC$277, lmic_raw_ub[#Headers],0))=0, INDEX(regions_ub[], MATCH($D292, regions_ub[[setting]:[setting]],0), MATCH(AC$139, regions_ub[#Headers],0)),INDEX(lmic_raw_ub[],MATCH($A292,lmic_raw_ub[[setting]:[setting]],0), MATCH(AC$277, lmic_raw_ub[#Headers],0)))</f>
        <v>3.1668776999999933E-2</v>
      </c>
      <c r="AD292" s="84">
        <f>IF(INDEX(lmic_raw_ub[],MATCH($A292,lmic_raw_ub[[setting]:[setting]],0), MATCH(AD$277, lmic_raw_ub[#Headers],0))=0, INDEX(regions_ub[], MATCH($D292, regions_ub[[setting]:[setting]],0), MATCH(AD$139, regions_ub[#Headers],0)),INDEX(lmic_raw_ub[],MATCH($A292,lmic_raw_ub[[setting]:[setting]],0), MATCH(AD$277, lmic_raw_ub[#Headers],0)))</f>
        <v>2.1163875650899279E-3</v>
      </c>
      <c r="AE292" s="84">
        <f>IF(INDEX(lmic_raw_ub[],MATCH($A292,lmic_raw_ub[[setting]:[setting]],0), MATCH(AE$277, lmic_raw_ub[#Headers],0))=0, INDEX(regions_ub[], MATCH($D292, regions_ub[[setting]:[setting]],0), MATCH(AE$139, regions_ub[#Headers],0)),INDEX(lmic_raw_ub[],MATCH($A292,lmic_raw_ub[[setting]:[setting]],0), MATCH(AE$277, lmic_raw_ub[#Headers],0)))</f>
        <v>5.480864223197145E-4</v>
      </c>
      <c r="AF292" s="84">
        <f>IF(INDEX(lmic_raw_ub[],MATCH($A292,lmic_raw_ub[[setting]:[setting]],0), MATCH(AF$277, lmic_raw_ub[#Headers],0))=0, INDEX(regions_ub[], MATCH($D292, regions_ub[[setting]:[setting]],0), MATCH(AF$139, regions_ub[#Headers],0)),INDEX(lmic_raw_ub[],MATCH($A292,lmic_raw_ub[[setting]:[setting]],0), MATCH(AF$277, lmic_raw_ub[#Headers],0)))</f>
        <v>4.6032565878809301E-4</v>
      </c>
      <c r="AG292" s="84">
        <f>IF(INDEX(lmic_raw_ub[],MATCH($A292,lmic_raw_ub[[setting]:[setting]],0), MATCH(AG$277, lmic_raw_ub[#Headers],0))=0, INDEX(regions_ub[], MATCH($D292, regions_ub[[setting]:[setting]],0), MATCH(AG$139, regions_ub[#Headers],0)),INDEX(lmic_raw_ub[],MATCH($A292,lmic_raw_ub[[setting]:[setting]],0), MATCH(AG$277, lmic_raw_ub[#Headers],0)))</f>
        <v>8.2431399630368194E-4</v>
      </c>
      <c r="AH292" s="84">
        <f>IF(INDEX(lmic_raw_ub[],MATCH($A292,lmic_raw_ub[[setting]:[setting]],0), MATCH(AH$277, lmic_raw_ub[#Headers],0))=0, INDEX(regions_ub[], MATCH($D292, regions_ub[[setting]:[setting]],0), MATCH(AH$139, regions_ub[#Headers],0)),INDEX(lmic_raw_ub[],MATCH($A292,lmic_raw_ub[[setting]:[setting]],0), MATCH(AH$277, lmic_raw_ub[#Headers],0)))</f>
        <v>1.4521115504894998E-3</v>
      </c>
      <c r="AI292" s="84">
        <f>IF(INDEX(lmic_raw_ub[],MATCH($A292,lmic_raw_ub[[setting]:[setting]],0), MATCH(AI$277, lmic_raw_ub[#Headers],0))=0, INDEX(regions_ub[], MATCH($D292, regions_ub[[setting]:[setting]],0), MATCH(AI$139, regions_ub[#Headers],0)),INDEX(lmic_raw_ub[],MATCH($A292,lmic_raw_ub[[setting]:[setting]],0), MATCH(AI$277, lmic_raw_ub[#Headers],0)))</f>
        <v>2.3123795824377328E-3</v>
      </c>
      <c r="AJ292" s="84">
        <f>IF(INDEX(lmic_raw_ub[],MATCH($A292,lmic_raw_ub[[setting]:[setting]],0), MATCH(AJ$277, lmic_raw_ub[#Headers],0))=0, INDEX(regions_ub[], MATCH($D292, regions_ub[[setting]:[setting]],0), MATCH(AJ$139, regions_ub[#Headers],0)),INDEX(lmic_raw_ub[],MATCH($A292,lmic_raw_ub[[setting]:[setting]],0), MATCH(AJ$277, lmic_raw_ub[#Headers],0)))</f>
        <v>3.2950728134911846E-3</v>
      </c>
      <c r="AK292" s="84">
        <f>IF(INDEX(lmic_raw_ub[],MATCH($A292,lmic_raw_ub[[setting]:[setting]],0), MATCH(AK$277, lmic_raw_ub[#Headers],0))=0, INDEX(regions_ub[], MATCH($D292, regions_ub[[setting]:[setting]],0), MATCH(AK$139, regions_ub[#Headers],0)),INDEX(lmic_raw_ub[],MATCH($A292,lmic_raw_ub[[setting]:[setting]],0), MATCH(AK$277, lmic_raw_ub[#Headers],0)))</f>
        <v>4.7428497106126585E-3</v>
      </c>
      <c r="AL292" s="84">
        <f>IF(INDEX(lmic_raw_ub[],MATCH($A292,lmic_raw_ub[[setting]:[setting]],0), MATCH(AL$277, lmic_raw_ub[#Headers],0))=0, INDEX(regions_ub[], MATCH($D292, regions_ub[[setting]:[setting]],0), MATCH(AL$139, regions_ub[#Headers],0)),INDEX(lmic_raw_ub[],MATCH($A292,lmic_raw_ub[[setting]:[setting]],0), MATCH(AL$277, lmic_raw_ub[#Headers],0)))</f>
        <v>5.9081482453454664E-3</v>
      </c>
      <c r="AM292" s="84">
        <f>IF(INDEX(lmic_raw_ub[],MATCH($A292,lmic_raw_ub[[setting]:[setting]],0), MATCH(AM$277, lmic_raw_ub[#Headers],0))=0, INDEX(regions_ub[], MATCH($D292, regions_ub[[setting]:[setting]],0), MATCH(AM$139, regions_ub[#Headers],0)),INDEX(lmic_raw_ub[],MATCH($A292,lmic_raw_ub[[setting]:[setting]],0), MATCH(AM$277, lmic_raw_ub[#Headers],0)))</f>
        <v>7.3598955269727692E-3</v>
      </c>
      <c r="AN292" s="84">
        <f>IF(INDEX(lmic_raw_ub[],MATCH($A292,lmic_raw_ub[[setting]:[setting]],0), MATCH(AN$277, lmic_raw_ub[#Headers],0))=0, INDEX(regions_ub[], MATCH($D292, regions_ub[[setting]:[setting]],0), MATCH(AN$139, regions_ub[#Headers],0)),INDEX(lmic_raw_ub[],MATCH($A292,lmic_raw_ub[[setting]:[setting]],0), MATCH(AN$277, lmic_raw_ub[#Headers],0)))</f>
        <v>9.410767981867546E-3</v>
      </c>
      <c r="AO292" s="84">
        <f>IF(INDEX(lmic_raw_ub[],MATCH($A292,lmic_raw_ub[[setting]:[setting]],0), MATCH(AO$277, lmic_raw_ub[#Headers],0))=0, INDEX(regions_ub[], MATCH($D292, regions_ub[[setting]:[setting]],0), MATCH(AO$139, regions_ub[#Headers],0)),INDEX(lmic_raw_ub[],MATCH($A292,lmic_raw_ub[[setting]:[setting]],0), MATCH(AO$277, lmic_raw_ub[#Headers],0)))</f>
        <v>1.175714992626482E-2</v>
      </c>
      <c r="AP292" s="84">
        <f>IF(INDEX(lmic_raw_ub[],MATCH($A292,lmic_raw_ub[[setting]:[setting]],0), MATCH(AP$277, lmic_raw_ub[#Headers],0))=0, INDEX(regions_ub[], MATCH($D292, regions_ub[[setting]:[setting]],0), MATCH(AP$139, regions_ub[#Headers],0)),INDEX(lmic_raw_ub[],MATCH($A292,lmic_raw_ub[[setting]:[setting]],0), MATCH(AP$277, lmic_raw_ub[#Headers],0)))</f>
        <v>1.6431516288776406E-2</v>
      </c>
      <c r="AQ292" s="84">
        <f>IF(INDEX(lmic_raw_ub[],MATCH($A292,lmic_raw_ub[[setting]:[setting]],0), MATCH(AQ$277, lmic_raw_ub[#Headers],0))=0, INDEX(regions_ub[], MATCH($D292, regions_ub[[setting]:[setting]],0), MATCH(AQ$139, regions_ub[#Headers],0)),INDEX(lmic_raw_ub[],MATCH($A292,lmic_raw_ub[[setting]:[setting]],0), MATCH(AQ$277, lmic_raw_ub[#Headers],0)))</f>
        <v>2.4670423154195223E-2</v>
      </c>
      <c r="AR292" s="84">
        <f>IF(INDEX(lmic_raw_ub[],MATCH($A292,lmic_raw_ub[[setting]:[setting]],0), MATCH(AR$277, lmic_raw_ub[#Headers],0))=0, INDEX(regions_ub[], MATCH($D292, regions_ub[[setting]:[setting]],0), MATCH(AR$139, regions_ub[#Headers],0)),INDEX(lmic_raw_ub[],MATCH($A292,lmic_raw_ub[[setting]:[setting]],0), MATCH(AR$277, lmic_raw_ub[#Headers],0)))</f>
        <v>3.7785146279498964E-2</v>
      </c>
      <c r="AS292" s="84">
        <f>IF(INDEX(lmic_raw_ub[],MATCH($A292,lmic_raw_ub[[setting]:[setting]],0), MATCH(AS$277, lmic_raw_ub[#Headers],0))=0, INDEX(regions_ub[], MATCH($D292, regions_ub[[setting]:[setting]],0), MATCH(AS$139, regions_ub[#Headers],0)),INDEX(lmic_raw_ub[],MATCH($A292,lmic_raw_ub[[setting]:[setting]],0), MATCH(AS$277, lmic_raw_ub[#Headers],0)))</f>
        <v>5.7724378869112074E-2</v>
      </c>
      <c r="AT292" s="84">
        <f>IF(INDEX(lmic_raw_ub[],MATCH($A292,lmic_raw_ub[[setting]:[setting]],0), MATCH(AT$277, lmic_raw_ub[#Headers],0))=0, INDEX(regions_ub[], MATCH($D292, regions_ub[[setting]:[setting]],0), MATCH(AT$139, regions_ub[#Headers],0)),INDEX(lmic_raw_ub[],MATCH($A292,lmic_raw_ub[[setting]:[setting]],0), MATCH(AT$277, lmic_raw_ub[#Headers],0)))</f>
        <v>8.9846936039031933E-2</v>
      </c>
      <c r="AU292" s="84">
        <f>IF(INDEX(lmic_raw_ub[],MATCH($A292,lmic_raw_ub[[setting]:[setting]],0), MATCH(AU$277, lmic_raw_ub[#Headers],0))=0, INDEX(regions_ub[], MATCH($D292, regions_ub[[setting]:[setting]],0), MATCH(AU$139, regions_ub[#Headers],0)),INDEX(lmic_raw_ub[],MATCH($A292,lmic_raw_ub[[setting]:[setting]],0), MATCH(AU$277, lmic_raw_ub[#Headers],0)))</f>
        <v>0.13209441830921578</v>
      </c>
      <c r="AV292" s="84">
        <f>IF(INDEX(lmic_raw_ub[],MATCH($A292,lmic_raw_ub[[setting]:[setting]],0), MATCH(AV$277, lmic_raw_ub[#Headers],0))=0, INDEX(regions_ub[], MATCH($D292, regions_ub[[setting]:[setting]],0), MATCH(AV$139, regions_ub[#Headers],0)),INDEX(lmic_raw_ub[],MATCH($A292,lmic_raw_ub[[setting]:[setting]],0), MATCH(AV$277, lmic_raw_ub[#Headers],0)))</f>
        <v>0.17220229623260264</v>
      </c>
      <c r="AW292" s="84">
        <f>IF(INDEX(lmic_raw_ub[],MATCH($A292,lmic_raw_ub[[setting]:[setting]],0), MATCH(AW$277, lmic_raw_ub[#Headers],0))=0, INDEX(regions_ub[], MATCH($D292, regions_ub[[setting]:[setting]],0), MATCH(AW$139, regions_ub[#Headers],0)),INDEX(lmic_raw_ub[],MATCH($A292,lmic_raw_ub[[setting]:[setting]],0), MATCH(AW$277, lmic_raw_ub[#Headers],0)))</f>
        <v>0.1915413169661577</v>
      </c>
      <c r="AX292" s="84">
        <f>IF(INDEX(lmic_raw_ub[],MATCH($A292,lmic_raw_ub[[setting]:[setting]],0), MATCH(AX$277, lmic_raw_ub[#Headers],0))=0, INDEX(regions_ub[], MATCH($D292, regions_ub[[setting]:[setting]],0), MATCH(AX$139, regions_ub[#Headers],0)),INDEX(lmic_raw_ub[],MATCH($A292,lmic_raw_ub[[setting]:[setting]],0), MATCH(AX$277, lmic_raw_ub[#Headers],0)))</f>
        <v>72.549750000000003</v>
      </c>
      <c r="AY292" s="33" t="str">
        <f>IF(VLOOKUP(lmics_ub[[#This Row],[setting]],lmic_raw_ub[],11,FALSE)=0, "Yes", "No")</f>
        <v>Yes</v>
      </c>
    </row>
    <row r="293" spans="1:51" x14ac:dyDescent="0.25">
      <c r="A293" s="110" t="s">
        <v>264</v>
      </c>
      <c r="B293" s="104" t="s">
        <v>388</v>
      </c>
      <c r="C293" s="105">
        <v>76</v>
      </c>
      <c r="D293" s="84" t="s">
        <v>679</v>
      </c>
      <c r="E293" s="84" t="s">
        <v>595</v>
      </c>
      <c r="F293" s="84" t="s">
        <v>665</v>
      </c>
      <c r="G293" s="84" t="s">
        <v>676</v>
      </c>
      <c r="J293" s="84">
        <f>IF(INDEX(lmic_raw_ub[],MATCH($A293,lmic_raw_ub[[setting]:[setting]],0), MATCH(J$277, lmic_raw_ub[#Headers],0))=0, INDEX(regions_ub[], MATCH($D293, regions_ub[[setting]:[setting]],0), MATCH(J$139, regions_ub[#Headers],0)),INDEX(lmic_raw_ub[],MATCH($A293,lmic_raw_ub[[setting]:[setting]],0), MATCH(J$277, lmic_raw_ub[#Headers],0)))</f>
        <v>0.99990000000000001</v>
      </c>
      <c r="K293" s="84">
        <f>IF(INDEX(lmic_raw_ub[],MATCH($A293,lmic_raw_ub[[setting]:[setting]],0), MATCH(K$277, lmic_raw_ub[#Headers],0))=0, INDEX(regions_ub[], MATCH($D293, regions_ub[[setting]:[setting]],0), MATCH(K$139, regions_ub[#Headers],0)),INDEX(lmic_raw_ub[],MATCH($A293,lmic_raw_ub[[setting]:[setting]],0), MATCH(K$277, lmic_raw_ub[#Headers],0)))</f>
        <v>0.81900000000000006</v>
      </c>
      <c r="L293" s="84">
        <f>IF(INDEX(lmic_raw_ub[],MATCH($A293,lmic_raw_ub[[setting]:[setting]],0), MATCH(L$277, lmic_raw_ub[#Headers],0))=0, INDEX(regions_ub[], MATCH($D293, regions_ub[[setting]:[setting]],0), MATCH(L$139, regions_ub[#Headers],0)),INDEX(lmic_raw_ub[],MATCH($A293,lmic_raw_ub[[setting]:[setting]],0), MATCH(L$277, lmic_raw_ub[#Headers],0)))</f>
        <v>0.84000000000000008</v>
      </c>
      <c r="M293" s="84">
        <f>IF(INDEX(lmic_raw_ub[],MATCH($A293,lmic_raw_ub[[setting]:[setting]],0), MATCH(M$277, lmic_raw_ub[#Headers],0))=0, INDEX(regions_ub[], MATCH($D293, regions_ub[[setting]:[setting]],0), MATCH(M$139, regions_ub[#Headers],0)),INDEX(lmic_raw_ub[],MATCH($A293,lmic_raw_ub[[setting]:[setting]],0), MATCH(M$277, lmic_raw_ub[#Headers],0)))</f>
        <v>6.8999999999999999E-3</v>
      </c>
      <c r="N293" s="84">
        <f>IF(INDEX(lmic_raw_ub[],MATCH($A293,lmic_raw_ub[[setting]:[setting]],0), MATCH(N$277, lmic_raw_ub[#Headers],0))=0, INDEX(regions_ub[], MATCH($D293, regions_ub[[setting]:[setting]],0), MATCH(N$139, regions_ub[#Headers],0)),INDEX(lmic_raw_ub[],MATCH($A293,lmic_raw_ub[[setting]:[setting]],0), MATCH(N$277, lmic_raw_ub[#Headers],0)))</f>
        <v>0.433</v>
      </c>
      <c r="O293" s="84">
        <f>IF(INDEX(lmic_raw_ub[],MATCH($A293,lmic_raw_ub[[setting]:[setting]],0), MATCH(O$277, lmic_raw_ub[#Headers],0))=0, INDEX(regions_ub[], MATCH($D293, regions_ub[[setting]:[setting]],0), MATCH(O$139, regions_ub[#Headers],0)),INDEX(lmic_raw_ub[],MATCH($A293,lmic_raw_ub[[setting]:[setting]],0), MATCH(O$277, lmic_raw_ub[#Headers],0)))</f>
        <v>0.9</v>
      </c>
      <c r="P293" s="84">
        <f>IF(INDEX(lmic_raw_ub[],MATCH($A293,lmic_raw_ub[[setting]:[setting]],0), MATCH(P$277, lmic_raw_ub[#Headers],0))=0, INDEX(regions_ub[], MATCH($D293, regions_ub[[setting]:[setting]],0), MATCH(P$139, regions_ub[#Headers],0)),INDEX(lmic_raw_ub[],MATCH($A293,lmic_raw_ub[[setting]:[setting]],0), MATCH(P$277, lmic_raw_ub[#Headers],0)))</f>
        <v>0.3</v>
      </c>
      <c r="Q293" s="84">
        <f>IF(INDEX(lmic_raw_ub[],MATCH($A293,lmic_raw_ub[[setting]:[setting]],0), MATCH(Q$277, lmic_raw_ub[#Headers],0))=0, INDEX(regions_ub[], MATCH($D293, regions_ub[[setting]:[setting]],0), MATCH(Q$139, regions_ub[#Headers],0)),INDEX(lmic_raw_ub[],MATCH($A293,lmic_raw_ub[[setting]:[setting]],0), MATCH(Q$277, lmic_raw_ub[#Headers],0)))</f>
        <v>5.0967404341863878</v>
      </c>
      <c r="R293" s="84">
        <f>IF(INDEX(lmic_raw_ub[],MATCH($A293,lmic_raw_ub[[setting]:[setting]],0), MATCH(R$277, lmic_raw_ub[#Headers],0))=0, INDEX(regions_ub[], MATCH($D293, regions_ub[[setting]:[setting]],0), MATCH(R$139, regions_ub[#Headers],0)),INDEX(lmic_raw_ub[],MATCH($A293,lmic_raw_ub[[setting]:[setting]],0), MATCH(R$277, lmic_raw_ub[#Headers],0)))</f>
        <v>91.228094999999996</v>
      </c>
      <c r="S293" s="84">
        <f>IF(INDEX(lmic_raw_ub[],MATCH($A293,lmic_raw_ub[[setting]:[setting]],0), MATCH(S$277, lmic_raw_ub[#Headers],0))=0, INDEX(regions_ub[], MATCH($D293, regions_ub[[setting]:[setting]],0), MATCH(S$139, regions_ub[#Headers],0)),INDEX(lmic_raw_ub[],MATCH($A293,lmic_raw_ub[[setting]:[setting]],0), MATCH(S$277, lmic_raw_ub[#Headers],0)))</f>
        <v>141.35719500000002</v>
      </c>
      <c r="T293" s="84">
        <f>IF(INDEX(lmic_raw_ub[],MATCH($A293,lmic_raw_ub[[setting]:[setting]],0), MATCH(T$277, lmic_raw_ub[#Headers],0))=0, INDEX(regions_ub[], MATCH($D293, regions_ub[[setting]:[setting]],0), MATCH(T$139, regions_ub[#Headers],0)),INDEX(lmic_raw_ub[],MATCH($A293,lmic_raw_ub[[setting]:[setting]],0), MATCH(T$277, lmic_raw_ub[#Headers],0)))</f>
        <v>141.35719500000002</v>
      </c>
      <c r="U293" s="84">
        <f>IF(INDEX(lmic_raw_ub[],MATCH($A293,lmic_raw_ub[[setting]:[setting]],0), MATCH(U$277, lmic_raw_ub[#Headers],0))=0, INDEX(regions_ub[], MATCH($D293, regions_ub[[setting]:[setting]],0), MATCH(U$139, regions_ub[#Headers],0)),INDEX(lmic_raw_ub[],MATCH($A293,lmic_raw_ub[[setting]:[setting]],0), MATCH(U$277, lmic_raw_ub[#Headers],0)))</f>
        <v>141.35719500000002</v>
      </c>
      <c r="V293" s="84">
        <f>IF(INDEX(lmic_raw_ub[],MATCH($A293,lmic_raw_ub[[setting]:[setting]],0), MATCH(V$277, lmic_raw_ub[#Headers],0))=0, INDEX(regions_ub[], MATCH($D293, regions_ub[[setting]:[setting]],0), MATCH(V$139, regions_ub[#Headers],0)),INDEX(lmic_raw_ub[],MATCH($A293,lmic_raw_ub[[setting]:[setting]],0), MATCH(V$277, lmic_raw_ub[#Headers],0)))</f>
        <v>6.1364716877578758</v>
      </c>
      <c r="W293" s="84">
        <f>IF(INDEX(lmic_raw_ub[],MATCH($A293,lmic_raw_ub[[setting]:[setting]],0), MATCH(W$277, lmic_raw_ub[#Headers],0))=0, INDEX(regions_ub[], MATCH($D293, regions_ub[[setting]:[setting]],0), MATCH(W$139, regions_ub[#Headers],0)),INDEX(lmic_raw_ub[],MATCH($A293,lmic_raw_ub[[setting]:[setting]],0), MATCH(W$277, lmic_raw_ub[#Headers],0)))</f>
        <v>6.1593616877578761</v>
      </c>
      <c r="X293" s="84">
        <f>IF(INDEX(lmic_raw_ub[],MATCH($A293,lmic_raw_ub[[setting]:[setting]],0), MATCH(X$277, lmic_raw_ub[#Headers],0))=0, INDEX(regions_ub[], MATCH($D293, regions_ub[[setting]:[setting]],0), MATCH(X$139, regions_ub[#Headers],0)),INDEX(lmic_raw_ub[],MATCH($A293,lmic_raw_ub[[setting]:[setting]],0), MATCH(X$277, lmic_raw_ub[#Headers],0)))</f>
        <v>5.6029606096260753</v>
      </c>
      <c r="Y293" s="84">
        <f>IF(INDEX(lmic_raw_ub[],MATCH($A293,lmic_raw_ub[[setting]:[setting]],0), MATCH(Y$277, lmic_raw_ub[#Headers],0))=0, INDEX(regions_ub[], MATCH($D293, regions_ub[[setting]:[setting]],0), MATCH(Y$139, regions_ub[#Headers],0)),INDEX(lmic_raw_ub[],MATCH($A293,lmic_raw_ub[[setting]:[setting]],0), MATCH(Y$277, lmic_raw_ub[#Headers],0)))</f>
        <v>5.6258506096260756</v>
      </c>
      <c r="Z293" s="84">
        <f>IF(INDEX(lmic_raw_ub[],MATCH($A293,lmic_raw_ub[[setting]:[setting]],0), MATCH(Z$277, lmic_raw_ub[#Headers],0))=0, INDEX(regions_ub[], MATCH($D293, regions_ub[[setting]:[setting]],0), MATCH(Z$139, regions_ub[#Headers],0)),INDEX(lmic_raw_ub[],MATCH($A293,lmic_raw_ub[[setting]:[setting]],0), MATCH(Z$277, lmic_raw_ub[#Headers],0)))</f>
        <v>5.5992663646961134</v>
      </c>
      <c r="AA293" s="84">
        <f>IF(INDEX(lmic_raw_ub[],MATCH($A293,lmic_raw_ub[[setting]:[setting]],0), MATCH(AA$277, lmic_raw_ub[#Headers],0))=0, INDEX(regions_ub[], MATCH($D293, regions_ub[[setting]:[setting]],0), MATCH(AA$139, regions_ub[#Headers],0)),INDEX(lmic_raw_ub[],MATCH($A293,lmic_raw_ub[[setting]:[setting]],0), MATCH(AA$277, lmic_raw_ub[#Headers],0)))</f>
        <v>6.4136498742229096</v>
      </c>
      <c r="AB293" s="84">
        <f>IF(INDEX(lmic_raw_ub[],MATCH($A293,lmic_raw_ub[[setting]:[setting]],0), MATCH(AB$277, lmic_raw_ub[#Headers],0))=0, INDEX(regions_ub[], MATCH($D293, regions_ub[[setting]:[setting]],0), MATCH(AB$139, regions_ub[#Headers],0)),INDEX(lmic_raw_ub[],MATCH($A293,lmic_raw_ub[[setting]:[setting]],0), MATCH(AB$277, lmic_raw_ub[#Headers],0)))</f>
        <v>6.4365398742229099</v>
      </c>
      <c r="AC293" s="84">
        <f>IF(INDEX(lmic_raw_ub[],MATCH($A293,lmic_raw_ub[[setting]:[setting]],0), MATCH(AC$277, lmic_raw_ub[#Headers],0))=0, INDEX(regions_ub[], MATCH($D293, regions_ub[[setting]:[setting]],0), MATCH(AC$139, regions_ub[#Headers],0)),INDEX(lmic_raw_ub[],MATCH($A293,lmic_raw_ub[[setting]:[setting]],0), MATCH(AC$277, lmic_raw_ub[#Headers],0)))</f>
        <v>1.3667944500000029E-2</v>
      </c>
      <c r="AD293" s="84">
        <f>IF(INDEX(lmic_raw_ub[],MATCH($A293,lmic_raw_ub[[setting]:[setting]],0), MATCH(AD$277, lmic_raw_ub[#Headers],0))=0, INDEX(regions_ub[], MATCH($D293, regions_ub[[setting]:[setting]],0), MATCH(AD$139, regions_ub[#Headers],0)),INDEX(lmic_raw_ub[],MATCH($A293,lmic_raw_ub[[setting]:[setting]],0), MATCH(AD$277, lmic_raw_ub[#Headers],0)))</f>
        <v>5.9374698291380528E-4</v>
      </c>
      <c r="AE293" s="84">
        <f>IF(INDEX(lmic_raw_ub[],MATCH($A293,lmic_raw_ub[[setting]:[setting]],0), MATCH(AE$277, lmic_raw_ub[#Headers],0))=0, INDEX(regions_ub[], MATCH($D293, regions_ub[[setting]:[setting]],0), MATCH(AE$139, regions_ub[#Headers],0)),INDEX(lmic_raw_ub[],MATCH($A293,lmic_raw_ub[[setting]:[setting]],0), MATCH(AE$277, lmic_raw_ub[#Headers],0)))</f>
        <v>2.3735800032021091E-4</v>
      </c>
      <c r="AF293" s="84">
        <f>IF(INDEX(lmic_raw_ub[],MATCH($A293,lmic_raw_ub[[setting]:[setting]],0), MATCH(AF$277, lmic_raw_ub[#Headers],0))=0, INDEX(regions_ub[], MATCH($D293, regions_ub[[setting]:[setting]],0), MATCH(AF$139, regions_ub[#Headers],0)),INDEX(lmic_raw_ub[],MATCH($A293,lmic_raw_ub[[setting]:[setting]],0), MATCH(AF$277, lmic_raw_ub[#Headers],0)))</f>
        <v>3.2610888268157998E-4</v>
      </c>
      <c r="AG293" s="84">
        <f>IF(INDEX(lmic_raw_ub[],MATCH($A293,lmic_raw_ub[[setting]:[setting]],0), MATCH(AG$277, lmic_raw_ub[#Headers],0))=0, INDEX(regions_ub[], MATCH($D293, regions_ub[[setting]:[setting]],0), MATCH(AG$139, regions_ub[#Headers],0)),INDEX(lmic_raw_ub[],MATCH($A293,lmic_raw_ub[[setting]:[setting]],0), MATCH(AG$277, lmic_raw_ub[#Headers],0)))</f>
        <v>1.1375936296662927E-3</v>
      </c>
      <c r="AH293" s="84">
        <f>IF(INDEX(lmic_raw_ub[],MATCH($A293,lmic_raw_ub[[setting]:[setting]],0), MATCH(AH$277, lmic_raw_ub[#Headers],0))=0, INDEX(regions_ub[], MATCH($D293, regions_ub[[setting]:[setting]],0), MATCH(AH$139, regions_ub[#Headers],0)),INDEX(lmic_raw_ub[],MATCH($A293,lmic_raw_ub[[setting]:[setting]],0), MATCH(AH$277, lmic_raw_ub[#Headers],0)))</f>
        <v>1.7288053386884028E-3</v>
      </c>
      <c r="AI293" s="84">
        <f>IF(INDEX(lmic_raw_ub[],MATCH($A293,lmic_raw_ub[[setting]:[setting]],0), MATCH(AI$277, lmic_raw_ub[#Headers],0))=0, INDEX(regions_ub[], MATCH($D293, regions_ub[[setting]:[setting]],0), MATCH(AI$139, regions_ub[#Headers],0)),INDEX(lmic_raw_ub[],MATCH($A293,lmic_raw_ub[[setting]:[setting]],0), MATCH(AI$277, lmic_raw_ub[#Headers],0)))</f>
        <v>1.6526198133591807E-3</v>
      </c>
      <c r="AJ293" s="84">
        <f>IF(INDEX(lmic_raw_ub[],MATCH($A293,lmic_raw_ub[[setting]:[setting]],0), MATCH(AJ$277, lmic_raw_ub[#Headers],0))=0, INDEX(regions_ub[], MATCH($D293, regions_ub[[setting]:[setting]],0), MATCH(AJ$139, regions_ub[#Headers],0)),INDEX(lmic_raw_ub[],MATCH($A293,lmic_raw_ub[[setting]:[setting]],0), MATCH(AJ$277, lmic_raw_ub[#Headers],0)))</f>
        <v>1.9060456586737252E-3</v>
      </c>
      <c r="AK293" s="84">
        <f>IF(INDEX(lmic_raw_ub[],MATCH($A293,lmic_raw_ub[[setting]:[setting]],0), MATCH(AK$277, lmic_raw_ub[#Headers],0))=0, INDEX(regions_ub[], MATCH($D293, regions_ub[[setting]:[setting]],0), MATCH(AK$139, regions_ub[#Headers],0)),INDEX(lmic_raw_ub[],MATCH($A293,lmic_raw_ub[[setting]:[setting]],0), MATCH(AK$277, lmic_raw_ub[#Headers],0)))</f>
        <v>2.4075288820521639E-3</v>
      </c>
      <c r="AL293" s="84">
        <f>IF(INDEX(lmic_raw_ub[],MATCH($A293,lmic_raw_ub[[setting]:[setting]],0), MATCH(AL$277, lmic_raw_ub[#Headers],0))=0, INDEX(regions_ub[], MATCH($D293, regions_ub[[setting]:[setting]],0), MATCH(AL$139, regions_ub[#Headers],0)),INDEX(lmic_raw_ub[],MATCH($A293,lmic_raw_ub[[setting]:[setting]],0), MATCH(AL$277, lmic_raw_ub[#Headers],0)))</f>
        <v>3.096660019454633E-3</v>
      </c>
      <c r="AM293" s="84">
        <f>IF(INDEX(lmic_raw_ub[],MATCH($A293,lmic_raw_ub[[setting]:[setting]],0), MATCH(AM$277, lmic_raw_ub[#Headers],0))=0, INDEX(regions_ub[], MATCH($D293, regions_ub[[setting]:[setting]],0), MATCH(AM$139, regions_ub[#Headers],0)),INDEX(lmic_raw_ub[],MATCH($A293,lmic_raw_ub[[setting]:[setting]],0), MATCH(AM$277, lmic_raw_ub[#Headers],0)))</f>
        <v>4.4668250245502193E-3</v>
      </c>
      <c r="AN293" s="84">
        <f>IF(INDEX(lmic_raw_ub[],MATCH($A293,lmic_raw_ub[[setting]:[setting]],0), MATCH(AN$277, lmic_raw_ub[#Headers],0))=0, INDEX(regions_ub[], MATCH($D293, regions_ub[[setting]:[setting]],0), MATCH(AN$139, regions_ub[#Headers],0)),INDEX(lmic_raw_ub[],MATCH($A293,lmic_raw_ub[[setting]:[setting]],0), MATCH(AN$277, lmic_raw_ub[#Headers],0)))</f>
        <v>6.3682316014096749E-3</v>
      </c>
      <c r="AO293" s="84">
        <f>IF(INDEX(lmic_raw_ub[],MATCH($A293,lmic_raw_ub[[setting]:[setting]],0), MATCH(AO$277, lmic_raw_ub[#Headers],0))=0, INDEX(regions_ub[], MATCH($D293, regions_ub[[setting]:[setting]],0), MATCH(AO$139, regions_ub[#Headers],0)),INDEX(lmic_raw_ub[],MATCH($A293,lmic_raw_ub[[setting]:[setting]],0), MATCH(AO$277, lmic_raw_ub[#Headers],0)))</f>
        <v>9.0009903017898626E-3</v>
      </c>
      <c r="AP293" s="84">
        <f>IF(INDEX(lmic_raw_ub[],MATCH($A293,lmic_raw_ub[[setting]:[setting]],0), MATCH(AP$277, lmic_raw_ub[#Headers],0))=0, INDEX(regions_ub[], MATCH($D293, regions_ub[[setting]:[setting]],0), MATCH(AP$139, regions_ub[#Headers],0)),INDEX(lmic_raw_ub[],MATCH($A293,lmic_raw_ub[[setting]:[setting]],0), MATCH(AP$277, lmic_raw_ub[#Headers],0)))</f>
        <v>1.339743036590146E-2</v>
      </c>
      <c r="AQ293" s="84">
        <f>IF(INDEX(lmic_raw_ub[],MATCH($A293,lmic_raw_ub[[setting]:[setting]],0), MATCH(AQ$277, lmic_raw_ub[#Headers],0))=0, INDEX(regions_ub[], MATCH($D293, regions_ub[[setting]:[setting]],0), MATCH(AQ$139, regions_ub[#Headers],0)),INDEX(lmic_raw_ub[],MATCH($A293,lmic_raw_ub[[setting]:[setting]],0), MATCH(AQ$277, lmic_raw_ub[#Headers],0)))</f>
        <v>1.9841491315275833E-2</v>
      </c>
      <c r="AR293" s="84">
        <f>IF(INDEX(lmic_raw_ub[],MATCH($A293,lmic_raw_ub[[setting]:[setting]],0), MATCH(AR$277, lmic_raw_ub[#Headers],0))=0, INDEX(regions_ub[], MATCH($D293, regions_ub[[setting]:[setting]],0), MATCH(AR$139, regions_ub[#Headers],0)),INDEX(lmic_raw_ub[],MATCH($A293,lmic_raw_ub[[setting]:[setting]],0), MATCH(AR$277, lmic_raw_ub[#Headers],0)))</f>
        <v>2.8204717282977843E-2</v>
      </c>
      <c r="AS293" s="84">
        <f>IF(INDEX(lmic_raw_ub[],MATCH($A293,lmic_raw_ub[[setting]:[setting]],0), MATCH(AS$277, lmic_raw_ub[#Headers],0))=0, INDEX(regions_ub[], MATCH($D293, regions_ub[[setting]:[setting]],0), MATCH(AS$139, regions_ub[#Headers],0)),INDEX(lmic_raw_ub[],MATCH($A293,lmic_raw_ub[[setting]:[setting]],0), MATCH(AS$277, lmic_raw_ub[#Headers],0)))</f>
        <v>4.2198648789536101E-2</v>
      </c>
      <c r="AT293" s="84">
        <f>IF(INDEX(lmic_raw_ub[],MATCH($A293,lmic_raw_ub[[setting]:[setting]],0), MATCH(AT$277, lmic_raw_ub[#Headers],0))=0, INDEX(regions_ub[], MATCH($D293, regions_ub[[setting]:[setting]],0), MATCH(AT$139, regions_ub[#Headers],0)),INDEX(lmic_raw_ub[],MATCH($A293,lmic_raw_ub[[setting]:[setting]],0), MATCH(AT$277, lmic_raw_ub[#Headers],0)))</f>
        <v>6.1188720581459098E-2</v>
      </c>
      <c r="AU293" s="84">
        <f>IF(INDEX(lmic_raw_ub[],MATCH($A293,lmic_raw_ub[[setting]:[setting]],0), MATCH(AU$277, lmic_raw_ub[#Headers],0))=0, INDEX(regions_ub[], MATCH($D293, regions_ub[[setting]:[setting]],0), MATCH(AU$139, regions_ub[#Headers],0)),INDEX(lmic_raw_ub[],MATCH($A293,lmic_raw_ub[[setting]:[setting]],0), MATCH(AU$277, lmic_raw_ub[#Headers],0)))</f>
        <v>8.4980171569558463E-2</v>
      </c>
      <c r="AV293" s="84">
        <f>IF(INDEX(lmic_raw_ub[],MATCH($A293,lmic_raw_ub[[setting]:[setting]],0), MATCH(AV$277, lmic_raw_ub[#Headers],0))=0, INDEX(regions_ub[], MATCH($D293, regions_ub[[setting]:[setting]],0), MATCH(AV$139, regions_ub[#Headers],0)),INDEX(lmic_raw_ub[],MATCH($A293,lmic_raw_ub[[setting]:[setting]],0), MATCH(AV$277, lmic_raw_ub[#Headers],0)))</f>
        <v>0.11160538230564715</v>
      </c>
      <c r="AW293" s="84">
        <f>IF(INDEX(lmic_raw_ub[],MATCH($A293,lmic_raw_ub[[setting]:[setting]],0), MATCH(AW$277, lmic_raw_ub[#Headers],0))=0, INDEX(regions_ub[], MATCH($D293, regions_ub[[setting]:[setting]],0), MATCH(AW$139, regions_ub[#Headers],0)),INDEX(lmic_raw_ub[],MATCH($A293,lmic_raw_ub[[setting]:[setting]],0), MATCH(AW$277, lmic_raw_ub[#Headers],0)))</f>
        <v>0.14449637120275161</v>
      </c>
      <c r="AX293" s="84">
        <f>IF(INDEX(lmic_raw_ub[],MATCH($A293,lmic_raw_ub[[setting]:[setting]],0), MATCH(AX$277, lmic_raw_ub[#Headers],0))=0, INDEX(regions_ub[], MATCH($D293, regions_ub[[setting]:[setting]],0), MATCH(AX$139, regions_ub[#Headers],0)),INDEX(lmic_raw_ub[],MATCH($A293,lmic_raw_ub[[setting]:[setting]],0), MATCH(AX$277, lmic_raw_ub[#Headers],0)))</f>
        <v>79.339050000000015</v>
      </c>
      <c r="AY293" s="33" t="str">
        <f>IF(VLOOKUP(lmics_ub[[#This Row],[setting]],lmic_raw_ub[],11,FALSE)=0, "Yes", "No")</f>
        <v>No</v>
      </c>
    </row>
    <row r="294" spans="1:51" x14ac:dyDescent="0.25">
      <c r="A294" s="109" t="s">
        <v>308</v>
      </c>
      <c r="B294" s="101" t="s">
        <v>390</v>
      </c>
      <c r="C294" s="102">
        <v>100</v>
      </c>
      <c r="D294" s="82" t="s">
        <v>675</v>
      </c>
      <c r="E294" s="82" t="s">
        <v>580</v>
      </c>
      <c r="F294" s="82" t="s">
        <v>663</v>
      </c>
      <c r="G294" s="82" t="s">
        <v>676</v>
      </c>
      <c r="J294" s="84">
        <f>IF(INDEX(lmic_raw_ub[],MATCH($A294,lmic_raw_ub[[setting]:[setting]],0), MATCH(J$277, lmic_raw_ub[#Headers],0))=0, INDEX(regions_ub[], MATCH($D294, regions_ub[[setting]:[setting]],0), MATCH(J$139, regions_ub[#Headers],0)),INDEX(lmic_raw_ub[],MATCH($A294,lmic_raw_ub[[setting]:[setting]],0), MATCH(J$277, lmic_raw_ub[#Headers],0)))</f>
        <v>0.99990000000000001</v>
      </c>
      <c r="K294" s="84">
        <f>IF(INDEX(lmic_raw_ub[],MATCH($A294,lmic_raw_ub[[setting]:[setting]],0), MATCH(K$277, lmic_raw_ub[#Headers],0))=0, INDEX(regions_ub[], MATCH($D294, regions_ub[[setting]:[setting]],0), MATCH(K$139, regions_ub[#Headers],0)),INDEX(lmic_raw_ub[],MATCH($A294,lmic_raw_ub[[setting]:[setting]],0), MATCH(K$277, lmic_raw_ub[#Headers],0)))</f>
        <v>0.99990000000000001</v>
      </c>
      <c r="L294" s="84">
        <f>IF(INDEX(lmic_raw_ub[],MATCH($A294,lmic_raw_ub[[setting]:[setting]],0), MATCH(L$277, lmic_raw_ub[#Headers],0))=0, INDEX(regions_ub[], MATCH($D294, regions_ub[[setting]:[setting]],0), MATCH(L$139, regions_ub[#Headers],0)),INDEX(lmic_raw_ub[],MATCH($A294,lmic_raw_ub[[setting]:[setting]],0), MATCH(L$277, lmic_raw_ub[#Headers],0)))</f>
        <v>0.89249999999999996</v>
      </c>
      <c r="M294" s="84">
        <f>IF(INDEX(lmic_raw_ub[],MATCH($A294,lmic_raw_ub[[setting]:[setting]],0), MATCH(M$277, lmic_raw_ub[#Headers],0))=0, INDEX(regions_ub[], MATCH($D294, regions_ub[[setting]:[setting]],0), MATCH(M$139, regions_ub[#Headers],0)),INDEX(lmic_raw_ub[],MATCH($A294,lmic_raw_ub[[setting]:[setting]],0), MATCH(M$277, lmic_raw_ub[#Headers],0)))</f>
        <v>3.1899999999999998E-2</v>
      </c>
      <c r="N294" s="84">
        <f>IF(INDEX(lmic_raw_ub[],MATCH($A294,lmic_raw_ub[[setting]:[setting]],0), MATCH(N$277, lmic_raw_ub[#Headers],0))=0, INDEX(regions_ub[], MATCH($D294, regions_ub[[setting]:[setting]],0), MATCH(N$139, regions_ub[#Headers],0)),INDEX(lmic_raw_ub[],MATCH($A294,lmic_raw_ub[[setting]:[setting]],0), MATCH(N$277, lmic_raw_ub[#Headers],0)))</f>
        <v>0.42849999999999999</v>
      </c>
      <c r="O294" s="84">
        <f>IF(INDEX(lmic_raw_ub[],MATCH($A294,lmic_raw_ub[[setting]:[setting]],0), MATCH(O$277, lmic_raw_ub[#Headers],0))=0, INDEX(regions_ub[], MATCH($D294, regions_ub[[setting]:[setting]],0), MATCH(O$139, regions_ub[#Headers],0)),INDEX(lmic_raw_ub[],MATCH($A294,lmic_raw_ub[[setting]:[setting]],0), MATCH(O$277, lmic_raw_ub[#Headers],0)))</f>
        <v>0.9</v>
      </c>
      <c r="P294" s="84">
        <f>IF(INDEX(lmic_raw_ub[],MATCH($A294,lmic_raw_ub[[setting]:[setting]],0), MATCH(P$277, lmic_raw_ub[#Headers],0))=0, INDEX(regions_ub[], MATCH($D294, regions_ub[[setting]:[setting]],0), MATCH(P$139, regions_ub[#Headers],0)),INDEX(lmic_raw_ub[],MATCH($A294,lmic_raw_ub[[setting]:[setting]],0), MATCH(P$277, lmic_raw_ub[#Headers],0)))</f>
        <v>0.3</v>
      </c>
      <c r="Q294" s="84">
        <f>IF(INDEX(lmic_raw_ub[],MATCH($A294,lmic_raw_ub[[setting]:[setting]],0), MATCH(Q$277, lmic_raw_ub[#Headers],0))=0, INDEX(regions_ub[], MATCH($D294, regions_ub[[setting]:[setting]],0), MATCH(Q$139, regions_ub[#Headers],0)),INDEX(lmic_raw_ub[],MATCH($A294,lmic_raw_ub[[setting]:[setting]],0), MATCH(Q$277, lmic_raw_ub[#Headers],0)))</f>
        <v>12.250216964244103</v>
      </c>
      <c r="R294" s="84">
        <f>IF(INDEX(lmic_raw_ub[],MATCH($A294,lmic_raw_ub[[setting]:[setting]],0), MATCH(R$277, lmic_raw_ub[#Headers],0))=0, INDEX(regions_ub[], MATCH($D294, regions_ub[[setting]:[setting]],0), MATCH(R$139, regions_ub[#Headers],0)),INDEX(lmic_raw_ub[],MATCH($A294,lmic_raw_ub[[setting]:[setting]],0), MATCH(R$277, lmic_raw_ub[#Headers],0)))</f>
        <v>46.76427000000001</v>
      </c>
      <c r="S294" s="84">
        <f>IF(INDEX(lmic_raw_ub[],MATCH($A294,lmic_raw_ub[[setting]:[setting]],0), MATCH(S$277, lmic_raw_ub[#Headers],0))=0, INDEX(regions_ub[], MATCH($D294, regions_ub[[setting]:[setting]],0), MATCH(S$139, regions_ub[#Headers],0)),INDEX(lmic_raw_ub[],MATCH($A294,lmic_raw_ub[[setting]:[setting]],0), MATCH(S$277, lmic_raw_ub[#Headers],0)))</f>
        <v>96.893370000000019</v>
      </c>
      <c r="T294" s="84">
        <f>IF(INDEX(lmic_raw_ub[],MATCH($A294,lmic_raw_ub[[setting]:[setting]],0), MATCH(T$277, lmic_raw_ub[#Headers],0))=0, INDEX(regions_ub[], MATCH($D294, regions_ub[[setting]:[setting]],0), MATCH(T$139, regions_ub[#Headers],0)),INDEX(lmic_raw_ub[],MATCH($A294,lmic_raw_ub[[setting]:[setting]],0), MATCH(T$277, lmic_raw_ub[#Headers],0)))</f>
        <v>96.893370000000019</v>
      </c>
      <c r="U294" s="84">
        <f>IF(INDEX(lmic_raw_ub[],MATCH($A294,lmic_raw_ub[[setting]:[setting]],0), MATCH(U$277, lmic_raw_ub[#Headers],0))=0, INDEX(regions_ub[], MATCH($D294, regions_ub[[setting]:[setting]],0), MATCH(U$139, regions_ub[#Headers],0)),INDEX(lmic_raw_ub[],MATCH($A294,lmic_raw_ub[[setting]:[setting]],0), MATCH(U$277, lmic_raw_ub[#Headers],0)))</f>
        <v>96.893370000000019</v>
      </c>
      <c r="V294" s="84">
        <f>IF(INDEX(lmic_raw_ub[],MATCH($A294,lmic_raw_ub[[setting]:[setting]],0), MATCH(V$277, lmic_raw_ub[#Headers],0))=0, INDEX(regions_ub[], MATCH($D294, regions_ub[[setting]:[setting]],0), MATCH(V$139, regions_ub[#Headers],0)),INDEX(lmic_raw_ub[],MATCH($A294,lmic_raw_ub[[setting]:[setting]],0), MATCH(V$277, lmic_raw_ub[#Headers],0)))</f>
        <v>11.493808071616648</v>
      </c>
      <c r="W294" s="84">
        <f>IF(INDEX(lmic_raw_ub[],MATCH($A294,lmic_raw_ub[[setting]:[setting]],0), MATCH(W$277, lmic_raw_ub[#Headers],0))=0, INDEX(regions_ub[], MATCH($D294, regions_ub[[setting]:[setting]],0), MATCH(W$139, regions_ub[#Headers],0)),INDEX(lmic_raw_ub[],MATCH($A294,lmic_raw_ub[[setting]:[setting]],0), MATCH(W$277, lmic_raw_ub[#Headers],0)))</f>
        <v>15.762793071616649</v>
      </c>
      <c r="X294" s="84">
        <f>IF(INDEX(lmic_raw_ub[],MATCH($A294,lmic_raw_ub[[setting]:[setting]],0), MATCH(X$277, lmic_raw_ub[#Headers],0))=0, INDEX(regions_ub[], MATCH($D294, regions_ub[[setting]:[setting]],0), MATCH(X$139, regions_ub[#Headers],0)),INDEX(lmic_raw_ub[],MATCH($A294,lmic_raw_ub[[setting]:[setting]],0), MATCH(X$277, lmic_raw_ub[#Headers],0)))</f>
        <v>10.950446771531736</v>
      </c>
      <c r="Y294" s="84">
        <f>IF(INDEX(lmic_raw_ub[],MATCH($A294,lmic_raw_ub[[setting]:[setting]],0), MATCH(Y$277, lmic_raw_ub[#Headers],0))=0, INDEX(regions_ub[], MATCH($D294, regions_ub[[setting]:[setting]],0), MATCH(Y$139, regions_ub[#Headers],0)),INDEX(lmic_raw_ub[],MATCH($A294,lmic_raw_ub[[setting]:[setting]],0), MATCH(Y$277, lmic_raw_ub[#Headers],0)))</f>
        <v>15.219431771531736</v>
      </c>
      <c r="Z294" s="84">
        <f>IF(INDEX(lmic_raw_ub[],MATCH($A294,lmic_raw_ub[[setting]:[setting]],0), MATCH(Z$277, lmic_raw_ub[#Headers],0))=0, INDEX(regions_ub[], MATCH($D294, regions_ub[[setting]:[setting]],0), MATCH(Z$139, regions_ub[#Headers],0)),INDEX(lmic_raw_ub[],MATCH($A294,lmic_raw_ub[[setting]:[setting]],0), MATCH(Z$277, lmic_raw_ub[#Headers],0)))</f>
        <v>15.185218929225977</v>
      </c>
      <c r="AA294" s="84">
        <f>IF(INDEX(lmic_raw_ub[],MATCH($A294,lmic_raw_ub[[setting]:[setting]],0), MATCH(AA$277, lmic_raw_ub[#Headers],0))=0, INDEX(regions_ub[], MATCH($D294, regions_ub[[setting]:[setting]],0), MATCH(AA$139, regions_ub[#Headers],0)),INDEX(lmic_raw_ub[],MATCH($A294,lmic_raw_ub[[setting]:[setting]],0), MATCH(AA$277, lmic_raw_ub[#Headers],0)))</f>
        <v>11.77322219803423</v>
      </c>
      <c r="AB294" s="84">
        <f>IF(INDEX(lmic_raw_ub[],MATCH($A294,lmic_raw_ub[[setting]:[setting]],0), MATCH(AB$277, lmic_raw_ub[#Headers],0))=0, INDEX(regions_ub[], MATCH($D294, regions_ub[[setting]:[setting]],0), MATCH(AB$139, regions_ub[#Headers],0)),INDEX(lmic_raw_ub[],MATCH($A294,lmic_raw_ub[[setting]:[setting]],0), MATCH(AB$277, lmic_raw_ub[#Headers],0)))</f>
        <v>16.04220719803423</v>
      </c>
      <c r="AC294" s="84">
        <f>IF(INDEX(lmic_raw_ub[],MATCH($A294,lmic_raw_ub[[setting]:[setting]],0), MATCH(AC$277, lmic_raw_ub[#Headers],0))=0, INDEX(regions_ub[], MATCH($D294, regions_ub[[setting]:[setting]],0), MATCH(AC$139, regions_ub[#Headers],0)),INDEX(lmic_raw_ub[],MATCH($A294,lmic_raw_ub[[setting]:[setting]],0), MATCH(AC$277, lmic_raw_ub[#Headers],0)))</f>
        <v>6.6015809999999406E-3</v>
      </c>
      <c r="AD294" s="84">
        <f>IF(INDEX(lmic_raw_ub[],MATCH($A294,lmic_raw_ub[[setting]:[setting]],0), MATCH(AD$277, lmic_raw_ub[#Headers],0))=0, INDEX(regions_ub[], MATCH($D294, regions_ub[[setting]:[setting]],0), MATCH(AD$139, regions_ub[#Headers],0)),INDEX(lmic_raw_ub[],MATCH($A294,lmic_raw_ub[[setting]:[setting]],0), MATCH(AD$277, lmic_raw_ub[#Headers],0)))</f>
        <v>3.0890439992129734E-4</v>
      </c>
      <c r="AE294" s="84">
        <f>IF(INDEX(lmic_raw_ub[],MATCH($A294,lmic_raw_ub[[setting]:[setting]],0), MATCH(AE$277, lmic_raw_ub[#Headers],0))=0, INDEX(regions_ub[], MATCH($D294, regions_ub[[setting]:[setting]],0), MATCH(AE$139, regions_ub[#Headers],0)),INDEX(lmic_raw_ub[],MATCH($A294,lmic_raw_ub[[setting]:[setting]],0), MATCH(AE$277, lmic_raw_ub[#Headers],0)))</f>
        <v>1.4909453833453161E-4</v>
      </c>
      <c r="AF294" s="84">
        <f>IF(INDEX(lmic_raw_ub[],MATCH($A294,lmic_raw_ub[[setting]:[setting]],0), MATCH(AF$277, lmic_raw_ub[#Headers],0))=0, INDEX(regions_ub[], MATCH($D294, regions_ub[[setting]:[setting]],0), MATCH(AF$139, regions_ub[#Headers],0)),INDEX(lmic_raw_ub[],MATCH($A294,lmic_raw_ub[[setting]:[setting]],0), MATCH(AF$277, lmic_raw_ub[#Headers],0)))</f>
        <v>1.7678650416068286E-4</v>
      </c>
      <c r="AG294" s="84">
        <f>IF(INDEX(lmic_raw_ub[],MATCH($A294,lmic_raw_ub[[setting]:[setting]],0), MATCH(AG$277, lmic_raw_ub[#Headers],0))=0, INDEX(regions_ub[], MATCH($D294, regions_ub[[setting]:[setting]],0), MATCH(AG$139, regions_ub[#Headers],0)),INDEX(lmic_raw_ub[],MATCH($A294,lmic_raw_ub[[setting]:[setting]],0), MATCH(AG$277, lmic_raw_ub[#Headers],0)))</f>
        <v>4.6328028526632721E-4</v>
      </c>
      <c r="AH294" s="84">
        <f>IF(INDEX(lmic_raw_ub[],MATCH($A294,lmic_raw_ub[[setting]:[setting]],0), MATCH(AH$277, lmic_raw_ub[#Headers],0))=0, INDEX(regions_ub[], MATCH($D294, regions_ub[[setting]:[setting]],0), MATCH(AH$139, regions_ub[#Headers],0)),INDEX(lmic_raw_ub[],MATCH($A294,lmic_raw_ub[[setting]:[setting]],0), MATCH(AH$277, lmic_raw_ub[#Headers],0)))</f>
        <v>6.1148462683962581E-4</v>
      </c>
      <c r="AI294" s="84">
        <f>IF(INDEX(lmic_raw_ub[],MATCH($A294,lmic_raw_ub[[setting]:[setting]],0), MATCH(AI$277, lmic_raw_ub[#Headers],0))=0, INDEX(regions_ub[], MATCH($D294, regions_ub[[setting]:[setting]],0), MATCH(AI$139, regions_ub[#Headers],0)),INDEX(lmic_raw_ub[],MATCH($A294,lmic_raw_ub[[setting]:[setting]],0), MATCH(AI$277, lmic_raw_ub[#Headers],0)))</f>
        <v>7.141618801007406E-4</v>
      </c>
      <c r="AJ294" s="84">
        <f>IF(INDEX(lmic_raw_ub[],MATCH($A294,lmic_raw_ub[[setting]:[setting]],0), MATCH(AJ$277, lmic_raw_ub[#Headers],0))=0, INDEX(regions_ub[], MATCH($D294, regions_ub[[setting]:[setting]],0), MATCH(AJ$139, regions_ub[#Headers],0)),INDEX(lmic_raw_ub[],MATCH($A294,lmic_raw_ub[[setting]:[setting]],0), MATCH(AJ$277, lmic_raw_ub[#Headers],0)))</f>
        <v>1.025952780403982E-3</v>
      </c>
      <c r="AK294" s="84">
        <f>IF(INDEX(lmic_raw_ub[],MATCH($A294,lmic_raw_ub[[setting]:[setting]],0), MATCH(AK$277, lmic_raw_ub[#Headers],0))=0, INDEX(regions_ub[], MATCH($D294, regions_ub[[setting]:[setting]],0), MATCH(AK$139, regions_ub[#Headers],0)),INDEX(lmic_raw_ub[],MATCH($A294,lmic_raw_ub[[setting]:[setting]],0), MATCH(AK$277, lmic_raw_ub[#Headers],0)))</f>
        <v>1.5244285790594943E-3</v>
      </c>
      <c r="AL294" s="84">
        <f>IF(INDEX(lmic_raw_ub[],MATCH($A294,lmic_raw_ub[[setting]:[setting]],0), MATCH(AL$277, lmic_raw_ub[#Headers],0))=0, INDEX(regions_ub[], MATCH($D294, regions_ub[[setting]:[setting]],0), MATCH(AL$139, regions_ub[#Headers],0)),INDEX(lmic_raw_ub[],MATCH($A294,lmic_raw_ub[[setting]:[setting]],0), MATCH(AL$277, lmic_raw_ub[#Headers],0)))</f>
        <v>2.5543586426087336E-3</v>
      </c>
      <c r="AM294" s="84">
        <f>IF(INDEX(lmic_raw_ub[],MATCH($A294,lmic_raw_ub[[setting]:[setting]],0), MATCH(AM$277, lmic_raw_ub[#Headers],0))=0, INDEX(regions_ub[], MATCH($D294, regions_ub[[setting]:[setting]],0), MATCH(AM$139, regions_ub[#Headers],0)),INDEX(lmic_raw_ub[],MATCH($A294,lmic_raw_ub[[setting]:[setting]],0), MATCH(AM$277, lmic_raw_ub[#Headers],0)))</f>
        <v>4.5246301911702445E-3</v>
      </c>
      <c r="AN294" s="84">
        <f>IF(INDEX(lmic_raw_ub[],MATCH($A294,lmic_raw_ub[[setting]:[setting]],0), MATCH(AN$277, lmic_raw_ub[#Headers],0))=0, INDEX(regions_ub[], MATCH($D294, regions_ub[[setting]:[setting]],0), MATCH(AN$139, regions_ub[#Headers],0)),INDEX(lmic_raw_ub[],MATCH($A294,lmic_raw_ub[[setting]:[setting]],0), MATCH(AN$277, lmic_raw_ub[#Headers],0)))</f>
        <v>7.4336893265971819E-3</v>
      </c>
      <c r="AO294" s="84">
        <f>IF(INDEX(lmic_raw_ub[],MATCH($A294,lmic_raw_ub[[setting]:[setting]],0), MATCH(AO$277, lmic_raw_ub[#Headers],0))=0, INDEX(regions_ub[], MATCH($D294, regions_ub[[setting]:[setting]],0), MATCH(AO$139, regions_ub[#Headers],0)),INDEX(lmic_raw_ub[],MATCH($A294,lmic_raw_ub[[setting]:[setting]],0), MATCH(AO$277, lmic_raw_ub[#Headers],0)))</f>
        <v>1.1436435838606573E-2</v>
      </c>
      <c r="AP294" s="84">
        <f>IF(INDEX(lmic_raw_ub[],MATCH($A294,lmic_raw_ub[[setting]:[setting]],0), MATCH(AP$277, lmic_raw_ub[#Headers],0))=0, INDEX(regions_ub[], MATCH($D294, regions_ub[[setting]:[setting]],0), MATCH(AP$139, regions_ub[#Headers],0)),INDEX(lmic_raw_ub[],MATCH($A294,lmic_raw_ub[[setting]:[setting]],0), MATCH(AP$277, lmic_raw_ub[#Headers],0)))</f>
        <v>1.6482419677363823E-2</v>
      </c>
      <c r="AQ294" s="84">
        <f>IF(INDEX(lmic_raw_ub[],MATCH($A294,lmic_raw_ub[[setting]:[setting]],0), MATCH(AQ$277, lmic_raw_ub[#Headers],0))=0, INDEX(regions_ub[], MATCH($D294, regions_ub[[setting]:[setting]],0), MATCH(AQ$139, regions_ub[#Headers],0)),INDEX(lmic_raw_ub[],MATCH($A294,lmic_raw_ub[[setting]:[setting]],0), MATCH(AQ$277, lmic_raw_ub[#Headers],0)))</f>
        <v>2.3087437528109832E-2</v>
      </c>
      <c r="AR294" s="84">
        <f>IF(INDEX(lmic_raw_ub[],MATCH($A294,lmic_raw_ub[[setting]:[setting]],0), MATCH(AR$277, lmic_raw_ub[#Headers],0))=0, INDEX(regions_ub[], MATCH($D294, regions_ub[[setting]:[setting]],0), MATCH(AR$139, regions_ub[#Headers],0)),INDEX(lmic_raw_ub[],MATCH($A294,lmic_raw_ub[[setting]:[setting]],0), MATCH(AR$277, lmic_raw_ub[#Headers],0)))</f>
        <v>3.2881625079762555E-2</v>
      </c>
      <c r="AS294" s="84">
        <f>IF(INDEX(lmic_raw_ub[],MATCH($A294,lmic_raw_ub[[setting]:[setting]],0), MATCH(AS$277, lmic_raw_ub[#Headers],0))=0, INDEX(regions_ub[], MATCH($D294, regions_ub[[setting]:[setting]],0), MATCH(AS$139, regions_ub[#Headers],0)),INDEX(lmic_raw_ub[],MATCH($A294,lmic_raw_ub[[setting]:[setting]],0), MATCH(AS$277, lmic_raw_ub[#Headers],0)))</f>
        <v>5.0336450319936728E-2</v>
      </c>
      <c r="AT294" s="84">
        <f>IF(INDEX(lmic_raw_ub[],MATCH($A294,lmic_raw_ub[[setting]:[setting]],0), MATCH(AT$277, lmic_raw_ub[#Headers],0))=0, INDEX(regions_ub[], MATCH($D294, regions_ub[[setting]:[setting]],0), MATCH(AT$139, regions_ub[#Headers],0)),INDEX(lmic_raw_ub[],MATCH($A294,lmic_raw_ub[[setting]:[setting]],0), MATCH(AT$277, lmic_raw_ub[#Headers],0)))</f>
        <v>8.1075094769396755E-2</v>
      </c>
      <c r="AU294" s="84">
        <f>IF(INDEX(lmic_raw_ub[],MATCH($A294,lmic_raw_ub[[setting]:[setting]],0), MATCH(AU$277, lmic_raw_ub[#Headers],0))=0, INDEX(regions_ub[], MATCH($D294, regions_ub[[setting]:[setting]],0), MATCH(AU$139, regions_ub[#Headers],0)),INDEX(lmic_raw_ub[],MATCH($A294,lmic_raw_ub[[setting]:[setting]],0), MATCH(AU$277, lmic_raw_ub[#Headers],0)))</f>
        <v>0.13549981672967126</v>
      </c>
      <c r="AV294" s="84">
        <f>IF(INDEX(lmic_raw_ub[],MATCH($A294,lmic_raw_ub[[setting]:[setting]],0), MATCH(AV$277, lmic_raw_ub[#Headers],0))=0, INDEX(regions_ub[], MATCH($D294, regions_ub[[setting]:[setting]],0), MATCH(AV$139, regions_ub[#Headers],0)),INDEX(lmic_raw_ub[],MATCH($A294,lmic_raw_ub[[setting]:[setting]],0), MATCH(AV$277, lmic_raw_ub[#Headers],0)))</f>
        <v>0.15826201991669178</v>
      </c>
      <c r="AW294" s="84">
        <f>IF(INDEX(lmic_raw_ub[],MATCH($A294,lmic_raw_ub[[setting]:[setting]],0), MATCH(AW$277, lmic_raw_ub[#Headers],0))=0, INDEX(regions_ub[], MATCH($D294, regions_ub[[setting]:[setting]],0), MATCH(AW$139, regions_ub[#Headers],0)),INDEX(lmic_raw_ub[],MATCH($A294,lmic_raw_ub[[setting]:[setting]],0), MATCH(AW$277, lmic_raw_ub[#Headers],0)))</f>
        <v>0.18627385141848052</v>
      </c>
      <c r="AX294" s="84">
        <f>IF(INDEX(lmic_raw_ub[],MATCH($A294,lmic_raw_ub[[setting]:[setting]],0), MATCH(AX$277, lmic_raw_ub[#Headers],0))=0, INDEX(regions_ub[], MATCH($D294, regions_ub[[setting]:[setting]],0), MATCH(AX$139, regions_ub[#Headers],0)),INDEX(lmic_raw_ub[],MATCH($A294,lmic_raw_ub[[setting]:[setting]],0), MATCH(AX$277, lmic_raw_ub[#Headers],0)))</f>
        <v>78.589349999999996</v>
      </c>
      <c r="AY294" s="33" t="str">
        <f>IF(VLOOKUP(lmics_ub[[#This Row],[setting]],lmic_raw_ub[],11,FALSE)=0, "Yes", "No")</f>
        <v>No</v>
      </c>
    </row>
    <row r="295" spans="1:51" x14ac:dyDescent="0.25">
      <c r="A295" s="110" t="s">
        <v>139</v>
      </c>
      <c r="B295" s="104" t="s">
        <v>391</v>
      </c>
      <c r="C295" s="105">
        <v>854</v>
      </c>
      <c r="D295" s="84" t="s">
        <v>677</v>
      </c>
      <c r="E295" s="84" t="s">
        <v>591</v>
      </c>
      <c r="F295" s="84" t="s">
        <v>667</v>
      </c>
      <c r="G295" s="84" t="s">
        <v>674</v>
      </c>
      <c r="J295" s="84">
        <f>IF(INDEX(lmic_raw_ub[],MATCH($A295,lmic_raw_ub[[setting]:[setting]],0), MATCH(J$277, lmic_raw_ub[#Headers],0))=0, INDEX(regions_ub[], MATCH($D295, regions_ub[[setting]:[setting]],0), MATCH(J$139, regions_ub[#Headers],0)),INDEX(lmic_raw_ub[],MATCH($A295,lmic_raw_ub[[setting]:[setting]],0), MATCH(J$277, lmic_raw_ub[#Headers],0)))</f>
        <v>0.86310000000000009</v>
      </c>
      <c r="K295" s="84">
        <f>IF(INDEX(lmic_raw_ub[],MATCH($A295,lmic_raw_ub[[setting]:[setting]],0), MATCH(K$277, lmic_raw_ub[#Headers],0))=0, INDEX(regions_ub[], MATCH($D295, regions_ub[[setting]:[setting]],0), MATCH(K$139, regions_ub[#Headers],0)),INDEX(lmic_raw_ub[],MATCH($A295,lmic_raw_ub[[setting]:[setting]],0), MATCH(K$277, lmic_raw_ub[#Headers],0)))</f>
        <v>0.71433037619548323</v>
      </c>
      <c r="L295" s="84">
        <f>IF(INDEX(lmic_raw_ub[],MATCH($A295,lmic_raw_ub[[setting]:[setting]],0), MATCH(L$277, lmic_raw_ub[#Headers],0))=0, INDEX(regions_ub[], MATCH($D295, regions_ub[[setting]:[setting]],0), MATCH(L$139, regions_ub[#Headers],0)),INDEX(lmic_raw_ub[],MATCH($A295,lmic_raw_ub[[setting]:[setting]],0), MATCH(L$277, lmic_raw_ub[#Headers],0)))</f>
        <v>0.95550000000000013</v>
      </c>
      <c r="M295" s="84">
        <f>IF(INDEX(lmic_raw_ub[],MATCH($A295,lmic_raw_ub[[setting]:[setting]],0), MATCH(M$277, lmic_raw_ub[#Headers],0))=0, INDEX(regions_ub[], MATCH($D295, regions_ub[[setting]:[setting]],0), MATCH(M$139, regions_ub[#Headers],0)),INDEX(lmic_raw_ub[],MATCH($A295,lmic_raw_ub[[setting]:[setting]],0), MATCH(M$277, lmic_raw_ub[#Headers],0)))</f>
        <v>0.12279999999999999</v>
      </c>
      <c r="N295" s="84">
        <f>IF(INDEX(lmic_raw_ub[],MATCH($A295,lmic_raw_ub[[setting]:[setting]],0), MATCH(N$277, lmic_raw_ub[#Headers],0))=0, INDEX(regions_ub[], MATCH($D295, regions_ub[[setting]:[setting]],0), MATCH(N$139, regions_ub[#Headers],0)),INDEX(lmic_raw_ub[],MATCH($A295,lmic_raw_ub[[setting]:[setting]],0), MATCH(N$277, lmic_raw_ub[#Headers],0)))</f>
        <v>0.41070000000000001</v>
      </c>
      <c r="O295" s="84">
        <f>IF(INDEX(lmic_raw_ub[],MATCH($A295,lmic_raw_ub[[setting]:[setting]],0), MATCH(O$277, lmic_raw_ub[#Headers],0))=0, INDEX(regions_ub[], MATCH($D295, regions_ub[[setting]:[setting]],0), MATCH(O$139, regions_ub[#Headers],0)),INDEX(lmic_raw_ub[],MATCH($A295,lmic_raw_ub[[setting]:[setting]],0), MATCH(O$277, lmic_raw_ub[#Headers],0)))</f>
        <v>0.74399999999999999</v>
      </c>
      <c r="P295" s="84">
        <f>IF(INDEX(lmic_raw_ub[],MATCH($A295,lmic_raw_ub[[setting]:[setting]],0), MATCH(P$277, lmic_raw_ub[#Headers],0))=0, INDEX(regions_ub[], MATCH($D295, regions_ub[[setting]:[setting]],0), MATCH(P$139, regions_ub[#Headers],0)),INDEX(lmic_raw_ub[],MATCH($A295,lmic_raw_ub[[setting]:[setting]],0), MATCH(P$277, lmic_raw_ub[#Headers],0)))</f>
        <v>0.13300000000000001</v>
      </c>
      <c r="Q295" s="84">
        <f>IF(INDEX(lmic_raw_ub[],MATCH($A295,lmic_raw_ub[[setting]:[setting]],0), MATCH(Q$277, lmic_raw_ub[#Headers],0))=0, INDEX(regions_ub[], MATCH($D295, regions_ub[[setting]:[setting]],0), MATCH(Q$139, regions_ub[#Headers],0)),INDEX(lmic_raw_ub[],MATCH($A295,lmic_raw_ub[[setting]:[setting]],0), MATCH(Q$277, lmic_raw_ub[#Headers],0)))</f>
        <v>4.8907647106941052</v>
      </c>
      <c r="R295" s="84">
        <f>IF(INDEX(lmic_raw_ub[],MATCH($A295,lmic_raw_ub[[setting]:[setting]],0), MATCH(R$277, lmic_raw_ub[#Headers],0))=0, INDEX(regions_ub[], MATCH($D295, regions_ub[[setting]:[setting]],0), MATCH(R$139, regions_ub[#Headers],0)),INDEX(lmic_raw_ub[],MATCH($A295,lmic_raw_ub[[setting]:[setting]],0), MATCH(R$277, lmic_raw_ub[#Headers],0)))</f>
        <v>31.416525000000004</v>
      </c>
      <c r="S295" s="84">
        <f>IF(INDEX(lmic_raw_ub[],MATCH($A295,lmic_raw_ub[[setting]:[setting]],0), MATCH(S$277, lmic_raw_ub[#Headers],0))=0, INDEX(regions_ub[], MATCH($D295, regions_ub[[setting]:[setting]],0), MATCH(S$139, regions_ub[#Headers],0)),INDEX(lmic_raw_ub[],MATCH($A295,lmic_raw_ub[[setting]:[setting]],0), MATCH(S$277, lmic_raw_ub[#Headers],0)))</f>
        <v>81.545625000000015</v>
      </c>
      <c r="T295" s="84">
        <f>IF(INDEX(lmic_raw_ub[],MATCH($A295,lmic_raw_ub[[setting]:[setting]],0), MATCH(T$277, lmic_raw_ub[#Headers],0))=0, INDEX(regions_ub[], MATCH($D295, regions_ub[[setting]:[setting]],0), MATCH(T$139, regions_ub[#Headers],0)),INDEX(lmic_raw_ub[],MATCH($A295,lmic_raw_ub[[setting]:[setting]],0), MATCH(T$277, lmic_raw_ub[#Headers],0)))</f>
        <v>81.545625000000015</v>
      </c>
      <c r="U295" s="84">
        <f>IF(INDEX(lmic_raw_ub[],MATCH($A295,lmic_raw_ub[[setting]:[setting]],0), MATCH(U$277, lmic_raw_ub[#Headers],0))=0, INDEX(regions_ub[], MATCH($D295, regions_ub[[setting]:[setting]],0), MATCH(U$139, regions_ub[#Headers],0)),INDEX(lmic_raw_ub[],MATCH($A295,lmic_raw_ub[[setting]:[setting]],0), MATCH(U$277, lmic_raw_ub[#Headers],0)))</f>
        <v>81.545625000000015</v>
      </c>
      <c r="V295" s="84">
        <f>IF(INDEX(lmic_raw_ub[],MATCH($A295,lmic_raw_ub[[setting]:[setting]],0), MATCH(V$277, lmic_raw_ub[#Headers],0))=0, INDEX(regions_ub[], MATCH($D295, regions_ub[[setting]:[setting]],0), MATCH(V$139, regions_ub[#Headers],0)),INDEX(lmic_raw_ub[],MATCH($A295,lmic_raw_ub[[setting]:[setting]],0), MATCH(V$277, lmic_raw_ub[#Headers],0)))</f>
        <v>5.0852927483877801</v>
      </c>
      <c r="W295" s="84">
        <f>IF(INDEX(lmic_raw_ub[],MATCH($A295,lmic_raw_ub[[setting]:[setting]],0), MATCH(W$277, lmic_raw_ub[#Headers],0))=0, INDEX(regions_ub[], MATCH($D295, regions_ub[[setting]:[setting]],0), MATCH(W$139, regions_ub[#Headers],0)),INDEX(lmic_raw_ub[],MATCH($A295,lmic_raw_ub[[setting]:[setting]],0), MATCH(W$277, lmic_raw_ub[#Headers],0)))</f>
        <v>10.15542774838778</v>
      </c>
      <c r="X295" s="84">
        <f>IF(INDEX(lmic_raw_ub[],MATCH($A295,lmic_raw_ub[[setting]:[setting]],0), MATCH(X$277, lmic_raw_ub[#Headers],0))=0, INDEX(regions_ub[], MATCH($D295, regions_ub[[setting]:[setting]],0), MATCH(X$139, regions_ub[#Headers],0)),INDEX(lmic_raw_ub[],MATCH($A295,lmic_raw_ub[[setting]:[setting]],0), MATCH(X$277, lmic_raw_ub[#Headers],0)))</f>
        <v>4.5890421857307055</v>
      </c>
      <c r="Y295" s="84">
        <f>IF(INDEX(lmic_raw_ub[],MATCH($A295,lmic_raw_ub[[setting]:[setting]],0), MATCH(Y$277, lmic_raw_ub[#Headers],0))=0, INDEX(regions_ub[], MATCH($D295, regions_ub[[setting]:[setting]],0), MATCH(Y$139, regions_ub[#Headers],0)),INDEX(lmic_raw_ub[],MATCH($A295,lmic_raw_ub[[setting]:[setting]],0), MATCH(Y$277, lmic_raw_ub[#Headers],0)))</f>
        <v>9.6591771857307052</v>
      </c>
      <c r="Z295" s="84">
        <f>IF(INDEX(lmic_raw_ub[],MATCH($A295,lmic_raw_ub[[setting]:[setting]],0), MATCH(Z$277, lmic_raw_ub[#Headers],0))=0, INDEX(regions_ub[], MATCH($D295, regions_ub[[setting]:[setting]],0), MATCH(Z$139, regions_ub[#Headers],0)),INDEX(lmic_raw_ub[],MATCH($A295,lmic_raw_ub[[setting]:[setting]],0), MATCH(Z$277, lmic_raw_ub[#Headers],0)))</f>
        <v>9.6523211538141176</v>
      </c>
      <c r="AA295" s="84">
        <f>IF(INDEX(lmic_raw_ub[],MATCH($A295,lmic_raw_ub[[setting]:[setting]],0), MATCH(AA$277, lmic_raw_ub[#Headers],0))=0, INDEX(regions_ub[], MATCH($D295, regions_ub[[setting]:[setting]],0), MATCH(AA$139, regions_ub[#Headers],0)),INDEX(lmic_raw_ub[],MATCH($A295,lmic_raw_ub[[setting]:[setting]],0), MATCH(AA$277, lmic_raw_ub[#Headers],0)))</f>
        <v>5.3540130264321704</v>
      </c>
      <c r="AB295" s="84">
        <f>IF(INDEX(lmic_raw_ub[],MATCH($A295,lmic_raw_ub[[setting]:[setting]],0), MATCH(AB$277, lmic_raw_ub[#Headers],0))=0, INDEX(regions_ub[], MATCH($D295, regions_ub[[setting]:[setting]],0), MATCH(AB$139, regions_ub[#Headers],0)),INDEX(lmic_raw_ub[],MATCH($A295,lmic_raw_ub[[setting]:[setting]],0), MATCH(AB$277, lmic_raw_ub[#Headers],0)))</f>
        <v>10.424148026432171</v>
      </c>
      <c r="AC295" s="84">
        <f>IF(INDEX(lmic_raw_ub[],MATCH($A295,lmic_raw_ub[[setting]:[setting]],0), MATCH(AC$277, lmic_raw_ub[#Headers],0))=0, INDEX(regions_ub[], MATCH($D295, regions_ub[[setting]:[setting]],0), MATCH(AC$139, regions_ub[#Headers],0)),INDEX(lmic_raw_ub[],MATCH($A295,lmic_raw_ub[[setting]:[setting]],0), MATCH(AC$277, lmic_raw_ub[#Headers],0)))</f>
        <v>5.6939252999999926E-2</v>
      </c>
      <c r="AD295" s="84">
        <f>IF(INDEX(lmic_raw_ub[],MATCH($A295,lmic_raw_ub[[setting]:[setting]],0), MATCH(AD$277, lmic_raw_ub[#Headers],0))=0, INDEX(regions_ub[], MATCH($D295, regions_ub[[setting]:[setting]],0), MATCH(AD$139, regions_ub[#Headers],0)),INDEX(lmic_raw_ub[],MATCH($A295,lmic_raw_ub[[setting]:[setting]],0), MATCH(AD$277, lmic_raw_ub[#Headers],0)))</f>
        <v>8.1884704808496515E-3</v>
      </c>
      <c r="AE295" s="84">
        <f>IF(INDEX(lmic_raw_ub[],MATCH($A295,lmic_raw_ub[[setting]:[setting]],0), MATCH(AE$277, lmic_raw_ub[#Headers],0))=0, INDEX(regions_ub[], MATCH($D295, regions_ub[[setting]:[setting]],0), MATCH(AE$139, regions_ub[#Headers],0)),INDEX(lmic_raw_ub[],MATCH($A295,lmic_raw_ub[[setting]:[setting]],0), MATCH(AE$277, lmic_raw_ub[#Headers],0)))</f>
        <v>2.8453435689820335E-3</v>
      </c>
      <c r="AF295" s="84">
        <f>IF(INDEX(lmic_raw_ub[],MATCH($A295,lmic_raw_ub[[setting]:[setting]],0), MATCH(AF$277, lmic_raw_ub[#Headers],0))=0, INDEX(regions_ub[], MATCH($D295, regions_ub[[setting]:[setting]],0), MATCH(AF$139, regions_ub[#Headers],0)),INDEX(lmic_raw_ub[],MATCH($A295,lmic_raw_ub[[setting]:[setting]],0), MATCH(AF$277, lmic_raw_ub[#Headers],0)))</f>
        <v>1.6915266887062986E-3</v>
      </c>
      <c r="AG295" s="84">
        <f>IF(INDEX(lmic_raw_ub[],MATCH($A295,lmic_raw_ub[[setting]:[setting]],0), MATCH(AG$277, lmic_raw_ub[#Headers],0))=0, INDEX(regions_ub[], MATCH($D295, regions_ub[[setting]:[setting]],0), MATCH(AG$139, regions_ub[#Headers],0)),INDEX(lmic_raw_ub[],MATCH($A295,lmic_raw_ub[[setting]:[setting]],0), MATCH(AG$277, lmic_raw_ub[#Headers],0)))</f>
        <v>2.5793801995270004E-3</v>
      </c>
      <c r="AH295" s="84">
        <f>IF(INDEX(lmic_raw_ub[],MATCH($A295,lmic_raw_ub[[setting]:[setting]],0), MATCH(AH$277, lmic_raw_ub[#Headers],0))=0, INDEX(regions_ub[], MATCH($D295, regions_ub[[setting]:[setting]],0), MATCH(AH$139, regions_ub[#Headers],0)),INDEX(lmic_raw_ub[],MATCH($A295,lmic_raw_ub[[setting]:[setting]],0), MATCH(AH$277, lmic_raw_ub[#Headers],0)))</f>
        <v>3.6126746098943101E-3</v>
      </c>
      <c r="AI295" s="84">
        <f>IF(INDEX(lmic_raw_ub[],MATCH($A295,lmic_raw_ub[[setting]:[setting]],0), MATCH(AI$277, lmic_raw_ub[#Headers],0))=0, INDEX(regions_ub[], MATCH($D295, regions_ub[[setting]:[setting]],0), MATCH(AI$139, regions_ub[#Headers],0)),INDEX(lmic_raw_ub[],MATCH($A295,lmic_raw_ub[[setting]:[setting]],0), MATCH(AI$277, lmic_raw_ub[#Headers],0)))</f>
        <v>3.8681852629669023E-3</v>
      </c>
      <c r="AJ295" s="84">
        <f>IF(INDEX(lmic_raw_ub[],MATCH($A295,lmic_raw_ub[[setting]:[setting]],0), MATCH(AJ$277, lmic_raw_ub[#Headers],0))=0, INDEX(regions_ub[], MATCH($D295, regions_ub[[setting]:[setting]],0), MATCH(AJ$139, regions_ub[#Headers],0)),INDEX(lmic_raw_ub[],MATCH($A295,lmic_raw_ub[[setting]:[setting]],0), MATCH(AJ$277, lmic_raw_ub[#Headers],0)))</f>
        <v>4.2721517909394607E-3</v>
      </c>
      <c r="AK295" s="84">
        <f>IF(INDEX(lmic_raw_ub[],MATCH($A295,lmic_raw_ub[[setting]:[setting]],0), MATCH(AK$277, lmic_raw_ub[#Headers],0))=0, INDEX(regions_ub[], MATCH($D295, regions_ub[[setting]:[setting]],0), MATCH(AK$139, regions_ub[#Headers],0)),INDEX(lmic_raw_ub[],MATCH($A295,lmic_raw_ub[[setting]:[setting]],0), MATCH(AK$277, lmic_raw_ub[#Headers],0)))</f>
        <v>4.9000666864527755E-3</v>
      </c>
      <c r="AL295" s="84">
        <f>IF(INDEX(lmic_raw_ub[],MATCH($A295,lmic_raw_ub[[setting]:[setting]],0), MATCH(AL$277, lmic_raw_ub[#Headers],0))=0, INDEX(regions_ub[], MATCH($D295, regions_ub[[setting]:[setting]],0), MATCH(AL$139, regions_ub[#Headers],0)),INDEX(lmic_raw_ub[],MATCH($A295,lmic_raw_ub[[setting]:[setting]],0), MATCH(AL$277, lmic_raw_ub[#Headers],0)))</f>
        <v>6.0227316199991127E-3</v>
      </c>
      <c r="AM295" s="84">
        <f>IF(INDEX(lmic_raw_ub[],MATCH($A295,lmic_raw_ub[[setting]:[setting]],0), MATCH(AM$277, lmic_raw_ub[#Headers],0))=0, INDEX(regions_ub[], MATCH($D295, regions_ub[[setting]:[setting]],0), MATCH(AM$139, regions_ub[#Headers],0)),INDEX(lmic_raw_ub[],MATCH($A295,lmic_raw_ub[[setting]:[setting]],0), MATCH(AM$277, lmic_raw_ub[#Headers],0)))</f>
        <v>7.5441349363544637E-3</v>
      </c>
      <c r="AN295" s="84">
        <f>IF(INDEX(lmic_raw_ub[],MATCH($A295,lmic_raw_ub[[setting]:[setting]],0), MATCH(AN$277, lmic_raw_ub[#Headers],0))=0, INDEX(regions_ub[], MATCH($D295, regions_ub[[setting]:[setting]],0), MATCH(AN$139, regions_ub[#Headers],0)),INDEX(lmic_raw_ub[],MATCH($A295,lmic_raw_ub[[setting]:[setting]],0), MATCH(AN$277, lmic_raw_ub[#Headers],0)))</f>
        <v>1.0583168965783008E-2</v>
      </c>
      <c r="AO295" s="84">
        <f>IF(INDEX(lmic_raw_ub[],MATCH($A295,lmic_raw_ub[[setting]:[setting]],0), MATCH(AO$277, lmic_raw_ub[#Headers],0))=0, INDEX(regions_ub[], MATCH($D295, regions_ub[[setting]:[setting]],0), MATCH(AO$139, regions_ub[#Headers],0)),INDEX(lmic_raw_ub[],MATCH($A295,lmic_raw_ub[[setting]:[setting]],0), MATCH(AO$277, lmic_raw_ub[#Headers],0)))</f>
        <v>1.5040784098539475E-2</v>
      </c>
      <c r="AP295" s="84">
        <f>IF(INDEX(lmic_raw_ub[],MATCH($A295,lmic_raw_ub[[setting]:[setting]],0), MATCH(AP$277, lmic_raw_ub[#Headers],0))=0, INDEX(regions_ub[], MATCH($D295, regions_ub[[setting]:[setting]],0), MATCH(AP$139, regions_ub[#Headers],0)),INDEX(lmic_raw_ub[],MATCH($A295,lmic_raw_ub[[setting]:[setting]],0), MATCH(AP$277, lmic_raw_ub[#Headers],0)))</f>
        <v>2.3380353706234848E-2</v>
      </c>
      <c r="AQ295" s="84">
        <f>IF(INDEX(lmic_raw_ub[],MATCH($A295,lmic_raw_ub[[setting]:[setting]],0), MATCH(AQ$277, lmic_raw_ub[#Headers],0))=0, INDEX(regions_ub[], MATCH($D295, regions_ub[[setting]:[setting]],0), MATCH(AQ$139, regions_ub[#Headers],0)),INDEX(lmic_raw_ub[],MATCH($A295,lmic_raw_ub[[setting]:[setting]],0), MATCH(AQ$277, lmic_raw_ub[#Headers],0)))</f>
        <v>3.6048199398505162E-2</v>
      </c>
      <c r="AR295" s="84">
        <f>IF(INDEX(lmic_raw_ub[],MATCH($A295,lmic_raw_ub[[setting]:[setting]],0), MATCH(AR$277, lmic_raw_ub[#Headers],0))=0, INDEX(regions_ub[], MATCH($D295, regions_ub[[setting]:[setting]],0), MATCH(AR$139, regions_ub[#Headers],0)),INDEX(lmic_raw_ub[],MATCH($A295,lmic_raw_ub[[setting]:[setting]],0), MATCH(AR$277, lmic_raw_ub[#Headers],0)))</f>
        <v>5.7783262159245542E-2</v>
      </c>
      <c r="AS295" s="84">
        <f>IF(INDEX(lmic_raw_ub[],MATCH($A295,lmic_raw_ub[[setting]:[setting]],0), MATCH(AS$277, lmic_raw_ub[#Headers],0))=0, INDEX(regions_ub[], MATCH($D295, regions_ub[[setting]:[setting]],0), MATCH(AS$139, regions_ub[#Headers],0)),INDEX(lmic_raw_ub[],MATCH($A295,lmic_raw_ub[[setting]:[setting]],0), MATCH(AS$277, lmic_raw_ub[#Headers],0)))</f>
        <v>8.8827200479981161E-2</v>
      </c>
      <c r="AT295" s="84">
        <f>IF(INDEX(lmic_raw_ub[],MATCH($A295,lmic_raw_ub[[setting]:[setting]],0), MATCH(AT$277, lmic_raw_ub[#Headers],0))=0, INDEX(regions_ub[], MATCH($D295, regions_ub[[setting]:[setting]],0), MATCH(AT$139, regions_ub[#Headers],0)),INDEX(lmic_raw_ub[],MATCH($A295,lmic_raw_ub[[setting]:[setting]],0), MATCH(AT$277, lmic_raw_ub[#Headers],0)))</f>
        <v>0.12698276841269401</v>
      </c>
      <c r="AU295" s="84">
        <f>IF(INDEX(lmic_raw_ub[],MATCH($A295,lmic_raw_ub[[setting]:[setting]],0), MATCH(AU$277, lmic_raw_ub[#Headers],0))=0, INDEX(regions_ub[], MATCH($D295, regions_ub[[setting]:[setting]],0), MATCH(AU$139, regions_ub[#Headers],0)),INDEX(lmic_raw_ub[],MATCH($A295,lmic_raw_ub[[setting]:[setting]],0), MATCH(AU$277, lmic_raw_ub[#Headers],0)))</f>
        <v>0.16166715121147709</v>
      </c>
      <c r="AV295" s="84">
        <f>IF(INDEX(lmic_raw_ub[],MATCH($A295,lmic_raw_ub[[setting]:[setting]],0), MATCH(AV$277, lmic_raw_ub[#Headers],0))=0, INDEX(regions_ub[], MATCH($D295, regions_ub[[setting]:[setting]],0), MATCH(AV$139, regions_ub[#Headers],0)),INDEX(lmic_raw_ub[],MATCH($A295,lmic_raw_ub[[setting]:[setting]],0), MATCH(AV$277, lmic_raw_ub[#Headers],0)))</f>
        <v>0.18572019963992989</v>
      </c>
      <c r="AW295" s="84">
        <f>IF(INDEX(lmic_raw_ub[],MATCH($A295,lmic_raw_ub[[setting]:[setting]],0), MATCH(AW$277, lmic_raw_ub[#Headers],0))=0, INDEX(regions_ub[], MATCH($D295, regions_ub[[setting]:[setting]],0), MATCH(AW$139, regions_ub[#Headers],0)),INDEX(lmic_raw_ub[],MATCH($A295,lmic_raw_ub[[setting]:[setting]],0), MATCH(AW$277, lmic_raw_ub[#Headers],0)))</f>
        <v>0.20371890608448159</v>
      </c>
      <c r="AX295" s="84">
        <f>IF(INDEX(lmic_raw_ub[],MATCH($A295,lmic_raw_ub[[setting]:[setting]],0), MATCH(AX$277, lmic_raw_ub[#Headers],0))=0, INDEX(regions_ub[], MATCH($D295, regions_ub[[setting]:[setting]],0), MATCH(AX$139, regions_ub[#Headers],0)),INDEX(lmic_raw_ub[],MATCH($A295,lmic_raw_ub[[setting]:[setting]],0), MATCH(AX$277, lmic_raw_ub[#Headers],0)))</f>
        <v>63.962850000000003</v>
      </c>
      <c r="AY295" s="33" t="str">
        <f>IF(VLOOKUP(lmics_ub[[#This Row],[setting]],lmic_raw_ub[],11,FALSE)=0, "Yes", "No")</f>
        <v>Yes</v>
      </c>
    </row>
    <row r="296" spans="1:51" x14ac:dyDescent="0.25">
      <c r="A296" s="109" t="s">
        <v>101</v>
      </c>
      <c r="B296" s="101" t="s">
        <v>392</v>
      </c>
      <c r="C296" s="102">
        <v>108</v>
      </c>
      <c r="D296" s="82" t="s">
        <v>677</v>
      </c>
      <c r="E296" s="82" t="s">
        <v>597</v>
      </c>
      <c r="F296" s="82" t="s">
        <v>667</v>
      </c>
      <c r="G296" s="82" t="s">
        <v>674</v>
      </c>
      <c r="J296" s="84">
        <f>IF(INDEX(lmic_raw_ub[],MATCH($A296,lmic_raw_ub[[setting]:[setting]],0), MATCH(J$277, lmic_raw_ub[#Headers],0))=0, INDEX(regions_ub[], MATCH($D296, regions_ub[[setting]:[setting]],0), MATCH(J$139, regions_ub[#Headers],0)),INDEX(lmic_raw_ub[],MATCH($A296,lmic_raw_ub[[setting]:[setting]],0), MATCH(J$277, lmic_raw_ub[#Headers],0)))</f>
        <v>0.88095000000000012</v>
      </c>
      <c r="K296" s="84">
        <f>IF(INDEX(lmic_raw_ub[],MATCH($A296,lmic_raw_ub[[setting]:[setting]],0), MATCH(K$277, lmic_raw_ub[#Headers],0))=0, INDEX(regions_ub[], MATCH($D296, regions_ub[[setting]:[setting]],0), MATCH(K$139, regions_ub[#Headers],0)),INDEX(lmic_raw_ub[],MATCH($A296,lmic_raw_ub[[setting]:[setting]],0), MATCH(K$277, lmic_raw_ub[#Headers],0)))</f>
        <v>0.71433037619548323</v>
      </c>
      <c r="L296" s="84">
        <f>IF(INDEX(lmic_raw_ub[],MATCH($A296,lmic_raw_ub[[setting]:[setting]],0), MATCH(L$277, lmic_raw_ub[#Headers],0))=0, INDEX(regions_ub[], MATCH($D296, regions_ub[[setting]:[setting]],0), MATCH(L$139, regions_ub[#Headers],0)),INDEX(lmic_raw_ub[],MATCH($A296,lmic_raw_ub[[setting]:[setting]],0), MATCH(L$277, lmic_raw_ub[#Headers],0)))</f>
        <v>0.97650000000000015</v>
      </c>
      <c r="M296" s="84">
        <f>IF(INDEX(lmic_raw_ub[],MATCH($A296,lmic_raw_ub[[setting]:[setting]],0), MATCH(M$277, lmic_raw_ub[#Headers],0))=0, INDEX(regions_ub[], MATCH($D296, regions_ub[[setting]:[setting]],0), MATCH(M$139, regions_ub[#Headers],0)),INDEX(lmic_raw_ub[],MATCH($A296,lmic_raw_ub[[setting]:[setting]],0), MATCH(M$277, lmic_raw_ub[#Headers],0)))</f>
        <v>0.1</v>
      </c>
      <c r="N296" s="84">
        <f>IF(INDEX(lmic_raw_ub[],MATCH($A296,lmic_raw_ub[[setting]:[setting]],0), MATCH(N$277, lmic_raw_ub[#Headers],0))=0, INDEX(regions_ub[], MATCH($D296, regions_ub[[setting]:[setting]],0), MATCH(N$139, regions_ub[#Headers],0)),INDEX(lmic_raw_ub[],MATCH($A296,lmic_raw_ub[[setting]:[setting]],0), MATCH(N$277, lmic_raw_ub[#Headers],0)))</f>
        <v>0.39960000000000001</v>
      </c>
      <c r="O296" s="84">
        <f>IF(INDEX(lmic_raw_ub[],MATCH($A296,lmic_raw_ub[[setting]:[setting]],0), MATCH(O$277, lmic_raw_ub[#Headers],0))=0, INDEX(regions_ub[], MATCH($D296, regions_ub[[setting]:[setting]],0), MATCH(O$139, regions_ub[#Headers],0)),INDEX(lmic_raw_ub[],MATCH($A296,lmic_raw_ub[[setting]:[setting]],0), MATCH(O$277, lmic_raw_ub[#Headers],0)))</f>
        <v>0.74399999999999999</v>
      </c>
      <c r="P296" s="84">
        <f>IF(INDEX(lmic_raw_ub[],MATCH($A296,lmic_raw_ub[[setting]:[setting]],0), MATCH(P$277, lmic_raw_ub[#Headers],0))=0, INDEX(regions_ub[], MATCH($D296, regions_ub[[setting]:[setting]],0), MATCH(P$139, regions_ub[#Headers],0)),INDEX(lmic_raw_ub[],MATCH($A296,lmic_raw_ub[[setting]:[setting]],0), MATCH(P$277, lmic_raw_ub[#Headers],0)))</f>
        <v>0.13300000000000001</v>
      </c>
      <c r="Q296" s="84">
        <f>IF(INDEX(lmic_raw_ub[],MATCH($A296,lmic_raw_ub[[setting]:[setting]],0), MATCH(Q$277, lmic_raw_ub[#Headers],0))=0, INDEX(regions_ub[], MATCH($D296, regions_ub[[setting]:[setting]],0), MATCH(Q$139, regions_ub[#Headers],0)),INDEX(lmic_raw_ub[],MATCH($A296,lmic_raw_ub[[setting]:[setting]],0), MATCH(Q$277, lmic_raw_ub[#Headers],0)))</f>
        <v>2.3176023397563004</v>
      </c>
      <c r="R296" s="84">
        <f>IF(INDEX(lmic_raw_ub[],MATCH($A296,lmic_raw_ub[[setting]:[setting]],0), MATCH(R$277, lmic_raw_ub[#Headers],0))=0, INDEX(regions_ub[], MATCH($D296, regions_ub[[setting]:[setting]],0), MATCH(R$139, regions_ub[#Headers],0)),INDEX(lmic_raw_ub[],MATCH($A296,lmic_raw_ub[[setting]:[setting]],0), MATCH(R$277, lmic_raw_ub[#Headers],0)))</f>
        <v>31.416525000000004</v>
      </c>
      <c r="S296" s="84">
        <f>IF(INDEX(lmic_raw_ub[],MATCH($A296,lmic_raw_ub[[setting]:[setting]],0), MATCH(S$277, lmic_raw_ub[#Headers],0))=0, INDEX(regions_ub[], MATCH($D296, regions_ub[[setting]:[setting]],0), MATCH(S$139, regions_ub[#Headers],0)),INDEX(lmic_raw_ub[],MATCH($A296,lmic_raw_ub[[setting]:[setting]],0), MATCH(S$277, lmic_raw_ub[#Headers],0)))</f>
        <v>81.545625000000015</v>
      </c>
      <c r="T296" s="84">
        <f>IF(INDEX(lmic_raw_ub[],MATCH($A296,lmic_raw_ub[[setting]:[setting]],0), MATCH(T$277, lmic_raw_ub[#Headers],0))=0, INDEX(regions_ub[], MATCH($D296, regions_ub[[setting]:[setting]],0), MATCH(T$139, regions_ub[#Headers],0)),INDEX(lmic_raw_ub[],MATCH($A296,lmic_raw_ub[[setting]:[setting]],0), MATCH(T$277, lmic_raw_ub[#Headers],0)))</f>
        <v>81.545625000000015</v>
      </c>
      <c r="U296" s="84">
        <f>IF(INDEX(lmic_raw_ub[],MATCH($A296,lmic_raw_ub[[setting]:[setting]],0), MATCH(U$277, lmic_raw_ub[#Headers],0))=0, INDEX(regions_ub[], MATCH($D296, regions_ub[[setting]:[setting]],0), MATCH(U$139, regions_ub[#Headers],0)),INDEX(lmic_raw_ub[],MATCH($A296,lmic_raw_ub[[setting]:[setting]],0), MATCH(U$277, lmic_raw_ub[#Headers],0)))</f>
        <v>81.545625000000015</v>
      </c>
      <c r="V296" s="84">
        <f>IF(INDEX(lmic_raw_ub[],MATCH($A296,lmic_raw_ub[[setting]:[setting]],0), MATCH(V$277, lmic_raw_ub[#Headers],0))=0, INDEX(regions_ub[], MATCH($D296, regions_ub[[setting]:[setting]],0), MATCH(V$139, regions_ub[#Headers],0)),INDEX(lmic_raw_ub[],MATCH($A296,lmic_raw_ub[[setting]:[setting]],0), MATCH(V$277, lmic_raw_ub[#Headers],0)))</f>
        <v>4.9940203772609078</v>
      </c>
      <c r="W296" s="84">
        <f>IF(INDEX(lmic_raw_ub[],MATCH($A296,lmic_raw_ub[[setting]:[setting]],0), MATCH(W$277, lmic_raw_ub[#Headers],0))=0, INDEX(regions_ub[], MATCH($D296, regions_ub[[setting]:[setting]],0), MATCH(W$139, regions_ub[#Headers],0)),INDEX(lmic_raw_ub[],MATCH($A296,lmic_raw_ub[[setting]:[setting]],0), MATCH(W$277, lmic_raw_ub[#Headers],0)))</f>
        <v>10.064155377260908</v>
      </c>
      <c r="X296" s="84">
        <f>IF(INDEX(lmic_raw_ub[],MATCH($A296,lmic_raw_ub[[setting]:[setting]],0), MATCH(X$277, lmic_raw_ub[#Headers],0))=0, INDEX(regions_ub[], MATCH($D296, regions_ub[[setting]:[setting]],0), MATCH(X$139, regions_ub[#Headers],0)),INDEX(lmic_raw_ub[],MATCH($A296,lmic_raw_ub[[setting]:[setting]],0), MATCH(X$277, lmic_raw_ub[#Headers],0)))</f>
        <v>4.5063788958536408</v>
      </c>
      <c r="Y296" s="84">
        <f>IF(INDEX(lmic_raw_ub[],MATCH($A296,lmic_raw_ub[[setting]:[setting]],0), MATCH(Y$277, lmic_raw_ub[#Headers],0))=0, INDEX(regions_ub[], MATCH($D296, regions_ub[[setting]:[setting]],0), MATCH(Y$139, regions_ub[#Headers],0)),INDEX(lmic_raw_ub[],MATCH($A296,lmic_raw_ub[[setting]:[setting]],0), MATCH(Y$277, lmic_raw_ub[#Headers],0)))</f>
        <v>9.5765138958536404</v>
      </c>
      <c r="Z296" s="84">
        <f>IF(INDEX(lmic_raw_ub[],MATCH($A296,lmic_raw_ub[[setting]:[setting]],0), MATCH(Z$277, lmic_raw_ub[#Headers],0))=0, INDEX(regions_ub[], MATCH($D296, regions_ub[[setting]:[setting]],0), MATCH(Z$139, regions_ub[#Headers],0)),INDEX(lmic_raw_ub[],MATCH($A296,lmic_raw_ub[[setting]:[setting]],0), MATCH(Z$277, lmic_raw_ub[#Headers],0)))</f>
        <v>9.5742183816305815</v>
      </c>
      <c r="AA296" s="84">
        <f>IF(INDEX(lmic_raw_ub[],MATCH($A296,lmic_raw_ub[[setting]:[setting]],0), MATCH(AA$277, lmic_raw_ub[#Headers],0))=0, INDEX(regions_ub[], MATCH($D296, regions_ub[[setting]:[setting]],0), MATCH(AA$139, regions_ub[#Headers],0)),INDEX(lmic_raw_ub[],MATCH($A296,lmic_raw_ub[[setting]:[setting]],0), MATCH(AA$277, lmic_raw_ub[#Headers],0)))</f>
        <v>5.2607864466780407</v>
      </c>
      <c r="AB296" s="84">
        <f>IF(INDEX(lmic_raw_ub[],MATCH($A296,lmic_raw_ub[[setting]:[setting]],0), MATCH(AB$277, lmic_raw_ub[#Headers],0))=0, INDEX(regions_ub[], MATCH($D296, regions_ub[[setting]:[setting]],0), MATCH(AB$139, regions_ub[#Headers],0)),INDEX(lmic_raw_ub[],MATCH($A296,lmic_raw_ub[[setting]:[setting]],0), MATCH(AB$277, lmic_raw_ub[#Headers],0)))</f>
        <v>10.33092144667804</v>
      </c>
      <c r="AC296" s="84">
        <f>IF(INDEX(lmic_raw_ub[],MATCH($A296,lmic_raw_ub[[setting]:[setting]],0), MATCH(AC$277, lmic_raw_ub[#Headers],0))=0, INDEX(regions_ub[], MATCH($D296, regions_ub[[setting]:[setting]],0), MATCH(AC$139, regions_ub[#Headers],0)),INDEX(lmic_raw_ub[],MATCH($A296,lmic_raw_ub[[setting]:[setting]],0), MATCH(AC$277, lmic_raw_ub[#Headers],0)))</f>
        <v>4.4575881000000005E-2</v>
      </c>
      <c r="AD296" s="84">
        <f>IF(INDEX(lmic_raw_ub[],MATCH($A296,lmic_raw_ub[[setting]:[setting]],0), MATCH(AD$277, lmic_raw_ub[#Headers],0))=0, INDEX(regions_ub[], MATCH($D296, regions_ub[[setting]:[setting]],0), MATCH(AD$139, regions_ub[#Headers],0)),INDEX(lmic_raw_ub[],MATCH($A296,lmic_raw_ub[[setting]:[setting]],0), MATCH(AD$277, lmic_raw_ub[#Headers],0)))</f>
        <v>5.5007881703701229E-3</v>
      </c>
      <c r="AE296" s="84">
        <f>IF(INDEX(lmic_raw_ub[],MATCH($A296,lmic_raw_ub[[setting]:[setting]],0), MATCH(AE$277, lmic_raw_ub[#Headers],0))=0, INDEX(regions_ub[], MATCH($D296, regions_ub[[setting]:[setting]],0), MATCH(AE$139, regions_ub[#Headers],0)),INDEX(lmic_raw_ub[],MATCH($A296,lmic_raw_ub[[setting]:[setting]],0), MATCH(AE$277, lmic_raw_ub[#Headers],0)))</f>
        <v>4.2067984480368536E-3</v>
      </c>
      <c r="AF296" s="84">
        <f>IF(INDEX(lmic_raw_ub[],MATCH($A296,lmic_raw_ub[[setting]:[setting]],0), MATCH(AF$277, lmic_raw_ub[#Headers],0))=0, INDEX(regions_ub[], MATCH($D296, regions_ub[[setting]:[setting]],0), MATCH(AF$139, regions_ub[#Headers],0)),INDEX(lmic_raw_ub[],MATCH($A296,lmic_raw_ub[[setting]:[setting]],0), MATCH(AF$277, lmic_raw_ub[#Headers],0)))</f>
        <v>2.624151240493281E-3</v>
      </c>
      <c r="AG296" s="84">
        <f>IF(INDEX(lmic_raw_ub[],MATCH($A296,lmic_raw_ub[[setting]:[setting]],0), MATCH(AG$277, lmic_raw_ub[#Headers],0))=0, INDEX(regions_ub[], MATCH($D296, regions_ub[[setting]:[setting]],0), MATCH(AG$139, regions_ub[#Headers],0)),INDEX(lmic_raw_ub[],MATCH($A296,lmic_raw_ub[[setting]:[setting]],0), MATCH(AG$277, lmic_raw_ub[#Headers],0)))</f>
        <v>3.0909863197611156E-3</v>
      </c>
      <c r="AH296" s="84">
        <f>IF(INDEX(lmic_raw_ub[],MATCH($A296,lmic_raw_ub[[setting]:[setting]],0), MATCH(AH$277, lmic_raw_ub[#Headers],0))=0, INDEX(regions_ub[], MATCH($D296, regions_ub[[setting]:[setting]],0), MATCH(AH$139, regions_ub[#Headers],0)),INDEX(lmic_raw_ub[],MATCH($A296,lmic_raw_ub[[setting]:[setting]],0), MATCH(AH$277, lmic_raw_ub[#Headers],0)))</f>
        <v>4.0374508247938276E-3</v>
      </c>
      <c r="AI296" s="84">
        <f>IF(INDEX(lmic_raw_ub[],MATCH($A296,lmic_raw_ub[[setting]:[setting]],0), MATCH(AI$277, lmic_raw_ub[#Headers],0))=0, INDEX(regions_ub[], MATCH($D296, regions_ub[[setting]:[setting]],0), MATCH(AI$139, regions_ub[#Headers],0)),INDEX(lmic_raw_ub[],MATCH($A296,lmic_raw_ub[[setting]:[setting]],0), MATCH(AI$277, lmic_raw_ub[#Headers],0)))</f>
        <v>4.8338494211648221E-3</v>
      </c>
      <c r="AJ296" s="84">
        <f>IF(INDEX(lmic_raw_ub[],MATCH($A296,lmic_raw_ub[[setting]:[setting]],0), MATCH(AJ$277, lmic_raw_ub[#Headers],0))=0, INDEX(regions_ub[], MATCH($D296, regions_ub[[setting]:[setting]],0), MATCH(AJ$139, regions_ub[#Headers],0)),INDEX(lmic_raw_ub[],MATCH($A296,lmic_raw_ub[[setting]:[setting]],0), MATCH(AJ$277, lmic_raw_ub[#Headers],0)))</f>
        <v>5.9518343912190273E-3</v>
      </c>
      <c r="AK296" s="84">
        <f>IF(INDEX(lmic_raw_ub[],MATCH($A296,lmic_raw_ub[[setting]:[setting]],0), MATCH(AK$277, lmic_raw_ub[#Headers],0))=0, INDEX(regions_ub[], MATCH($D296, regions_ub[[setting]:[setting]],0), MATCH(AK$139, regions_ub[#Headers],0)),INDEX(lmic_raw_ub[],MATCH($A296,lmic_raw_ub[[setting]:[setting]],0), MATCH(AK$277, lmic_raw_ub[#Headers],0)))</f>
        <v>7.4606746887052652E-3</v>
      </c>
      <c r="AL296" s="84">
        <f>IF(INDEX(lmic_raw_ub[],MATCH($A296,lmic_raw_ub[[setting]:[setting]],0), MATCH(AL$277, lmic_raw_ub[#Headers],0))=0, INDEX(regions_ub[], MATCH($D296, regions_ub[[setting]:[setting]],0), MATCH(AL$139, regions_ub[#Headers],0)),INDEX(lmic_raw_ub[],MATCH($A296,lmic_raw_ub[[setting]:[setting]],0), MATCH(AL$277, lmic_raw_ub[#Headers],0)))</f>
        <v>8.2889062229026169E-3</v>
      </c>
      <c r="AM296" s="84">
        <f>IF(INDEX(lmic_raw_ub[],MATCH($A296,lmic_raw_ub[[setting]:[setting]],0), MATCH(AM$277, lmic_raw_ub[#Headers],0))=0, INDEX(regions_ub[], MATCH($D296, regions_ub[[setting]:[setting]],0), MATCH(AM$139, regions_ub[#Headers],0)),INDEX(lmic_raw_ub[],MATCH($A296,lmic_raw_ub[[setting]:[setting]],0), MATCH(AM$277, lmic_raw_ub[#Headers],0)))</f>
        <v>9.0231478292294408E-3</v>
      </c>
      <c r="AN296" s="84">
        <f>IF(INDEX(lmic_raw_ub[],MATCH($A296,lmic_raw_ub[[setting]:[setting]],0), MATCH(AN$277, lmic_raw_ub[#Headers],0))=0, INDEX(regions_ub[], MATCH($D296, regions_ub[[setting]:[setting]],0), MATCH(AN$139, regions_ub[#Headers],0)),INDEX(lmic_raw_ub[],MATCH($A296,lmic_raw_ub[[setting]:[setting]],0), MATCH(AN$277, lmic_raw_ub[#Headers],0)))</f>
        <v>1.137878643828392E-2</v>
      </c>
      <c r="AO296" s="84">
        <f>IF(INDEX(lmic_raw_ub[],MATCH($A296,lmic_raw_ub[[setting]:[setting]],0), MATCH(AO$277, lmic_raw_ub[#Headers],0))=0, INDEX(regions_ub[], MATCH($D296, regions_ub[[setting]:[setting]],0), MATCH(AO$139, regions_ub[#Headers],0)),INDEX(lmic_raw_ub[],MATCH($A296,lmic_raw_ub[[setting]:[setting]],0), MATCH(AO$277, lmic_raw_ub[#Headers],0)))</f>
        <v>1.4909727684066216E-2</v>
      </c>
      <c r="AP296" s="84">
        <f>IF(INDEX(lmic_raw_ub[],MATCH($A296,lmic_raw_ub[[setting]:[setting]],0), MATCH(AP$277, lmic_raw_ub[#Headers],0))=0, INDEX(regions_ub[], MATCH($D296, regions_ub[[setting]:[setting]],0), MATCH(AP$139, regions_ub[#Headers],0)),INDEX(lmic_raw_ub[],MATCH($A296,lmic_raw_ub[[setting]:[setting]],0), MATCH(AP$277, lmic_raw_ub[#Headers],0)))</f>
        <v>2.2044449488563413E-2</v>
      </c>
      <c r="AQ296" s="84">
        <f>IF(INDEX(lmic_raw_ub[],MATCH($A296,lmic_raw_ub[[setting]:[setting]],0), MATCH(AQ$277, lmic_raw_ub[#Headers],0))=0, INDEX(regions_ub[], MATCH($D296, regions_ub[[setting]:[setting]],0), MATCH(AQ$139, regions_ub[#Headers],0)),INDEX(lmic_raw_ub[],MATCH($A296,lmic_raw_ub[[setting]:[setting]],0), MATCH(AQ$277, lmic_raw_ub[#Headers],0)))</f>
        <v>3.3279066524748067E-2</v>
      </c>
      <c r="AR296" s="84">
        <f>IF(INDEX(lmic_raw_ub[],MATCH($A296,lmic_raw_ub[[setting]:[setting]],0), MATCH(AR$277, lmic_raw_ub[#Headers],0))=0, INDEX(regions_ub[], MATCH($D296, regions_ub[[setting]:[setting]],0), MATCH(AR$139, regions_ub[#Headers],0)),INDEX(lmic_raw_ub[],MATCH($A296,lmic_raw_ub[[setting]:[setting]],0), MATCH(AR$277, lmic_raw_ub[#Headers],0)))</f>
        <v>5.0585482202940325E-2</v>
      </c>
      <c r="AS296" s="84">
        <f>IF(INDEX(lmic_raw_ub[],MATCH($A296,lmic_raw_ub[[setting]:[setting]],0), MATCH(AS$277, lmic_raw_ub[#Headers],0))=0, INDEX(regions_ub[], MATCH($D296, regions_ub[[setting]:[setting]],0), MATCH(AS$139, regions_ub[#Headers],0)),INDEX(lmic_raw_ub[],MATCH($A296,lmic_raw_ub[[setting]:[setting]],0), MATCH(AS$277, lmic_raw_ub[#Headers],0)))</f>
        <v>7.4622159576649791E-2</v>
      </c>
      <c r="AT296" s="84">
        <f>IF(INDEX(lmic_raw_ub[],MATCH($A296,lmic_raw_ub[[setting]:[setting]],0), MATCH(AT$277, lmic_raw_ub[#Headers],0))=0, INDEX(regions_ub[], MATCH($D296, regions_ub[[setting]:[setting]],0), MATCH(AT$139, regions_ub[#Headers],0)),INDEX(lmic_raw_ub[],MATCH($A296,lmic_raw_ub[[setting]:[setting]],0), MATCH(AT$277, lmic_raw_ub[#Headers],0)))</f>
        <v>0.10609497000997932</v>
      </c>
      <c r="AU296" s="84">
        <f>IF(INDEX(lmic_raw_ub[],MATCH($A296,lmic_raw_ub[[setting]:[setting]],0), MATCH(AU$277, lmic_raw_ub[#Headers],0))=0, INDEX(regions_ub[], MATCH($D296, regions_ub[[setting]:[setting]],0), MATCH(AU$139, regions_ub[#Headers],0)),INDEX(lmic_raw_ub[],MATCH($A296,lmic_raw_ub[[setting]:[setting]],0), MATCH(AU$277, lmic_raw_ub[#Headers],0)))</f>
        <v>0.13935542720612334</v>
      </c>
      <c r="AV296" s="84">
        <f>IF(INDEX(lmic_raw_ub[],MATCH($A296,lmic_raw_ub[[setting]:[setting]],0), MATCH(AV$277, lmic_raw_ub[#Headers],0))=0, INDEX(regions_ub[], MATCH($D296, regions_ub[[setting]:[setting]],0), MATCH(AV$139, regions_ub[#Headers],0)),INDEX(lmic_raw_ub[],MATCH($A296,lmic_raw_ub[[setting]:[setting]],0), MATCH(AV$277, lmic_raw_ub[#Headers],0)))</f>
        <v>0.16704248123513374</v>
      </c>
      <c r="AW296" s="84">
        <f>IF(INDEX(lmic_raw_ub[],MATCH($A296,lmic_raw_ub[[setting]:[setting]],0), MATCH(AW$277, lmic_raw_ub[#Headers],0))=0, INDEX(regions_ub[], MATCH($D296, regions_ub[[setting]:[setting]],0), MATCH(AW$139, regions_ub[#Headers],0)),INDEX(lmic_raw_ub[],MATCH($A296,lmic_raw_ub[[setting]:[setting]],0), MATCH(AW$277, lmic_raw_ub[#Headers],0)))</f>
        <v>0.18593369742334348</v>
      </c>
      <c r="AX296" s="84">
        <f>IF(INDEX(lmic_raw_ub[],MATCH($A296,lmic_raw_ub[[setting]:[setting]],0), MATCH(AX$277, lmic_raw_ub[#Headers],0))=0, INDEX(regions_ub[], MATCH($D296, regions_ub[[setting]:[setting]],0), MATCH(AX$139, regions_ub[#Headers],0)),INDEX(lmic_raw_ub[],MATCH($A296,lmic_raw_ub[[setting]:[setting]],0), MATCH(AX$277, lmic_raw_ub[#Headers],0)))</f>
        <v>64.076250000000002</v>
      </c>
      <c r="AY296" s="33" t="str">
        <f>IF(VLOOKUP(lmics_ub[[#This Row],[setting]],lmic_raw_ub[],11,FALSE)=0, "Yes", "No")</f>
        <v>Yes</v>
      </c>
    </row>
    <row r="297" spans="1:51" x14ac:dyDescent="0.25">
      <c r="A297" s="110" t="s">
        <v>140</v>
      </c>
      <c r="B297" s="104" t="s">
        <v>393</v>
      </c>
      <c r="C297" s="105">
        <v>132</v>
      </c>
      <c r="D297" s="84" t="s">
        <v>677</v>
      </c>
      <c r="E297" s="84" t="s">
        <v>591</v>
      </c>
      <c r="F297" s="84" t="s">
        <v>667</v>
      </c>
      <c r="G297" s="84" t="s">
        <v>678</v>
      </c>
      <c r="J297" s="84">
        <f>IF(INDEX(lmic_raw_ub[],MATCH($A297,lmic_raw_ub[[setting]:[setting]],0), MATCH(J$277, lmic_raw_ub[#Headers],0))=0, INDEX(regions_ub[], MATCH($D297, regions_ub[[setting]:[setting]],0), MATCH(J$139, regions_ub[#Headers],0)),INDEX(lmic_raw_ub[],MATCH($A297,lmic_raw_ub[[setting]:[setting]],0), MATCH(J$277, lmic_raw_ub[#Headers],0)))</f>
        <v>0.79379999999999995</v>
      </c>
      <c r="K297" s="84">
        <f>IF(INDEX(lmic_raw_ub[],MATCH($A297,lmic_raw_ub[[setting]:[setting]],0), MATCH(K$277, lmic_raw_ub[#Headers],0))=0, INDEX(regions_ub[], MATCH($D297, regions_ub[[setting]:[setting]],0), MATCH(K$139, regions_ub[#Headers],0)),INDEX(lmic_raw_ub[],MATCH($A297,lmic_raw_ub[[setting]:[setting]],0), MATCH(K$277, lmic_raw_ub[#Headers],0)))</f>
        <v>0.99990000000000001</v>
      </c>
      <c r="L297" s="84">
        <f>IF(INDEX(lmic_raw_ub[],MATCH($A297,lmic_raw_ub[[setting]:[setting]],0), MATCH(L$277, lmic_raw_ub[#Headers],0))=0, INDEX(regions_ub[], MATCH($D297, regions_ub[[setting]:[setting]],0), MATCH(L$139, regions_ub[#Headers],0)),INDEX(lmic_raw_ub[],MATCH($A297,lmic_raw_ub[[setting]:[setting]],0), MATCH(L$277, lmic_raw_ub[#Headers],0)))</f>
        <v>0.99990000000000001</v>
      </c>
      <c r="M297" s="84">
        <f>IF(INDEX(lmic_raw_ub[],MATCH($A297,lmic_raw_ub[[setting]:[setting]],0), MATCH(M$277, lmic_raw_ub[#Headers],0))=0, INDEX(regions_ub[], MATCH($D297, regions_ub[[setting]:[setting]],0), MATCH(M$139, regions_ub[#Headers],0)),INDEX(lmic_raw_ub[],MATCH($A297,lmic_raw_ub[[setting]:[setting]],0), MATCH(M$277, lmic_raw_ub[#Headers],0)))</f>
        <v>8.4700000000000011E-2</v>
      </c>
      <c r="N297" s="84">
        <f>IF(INDEX(lmic_raw_ub[],MATCH($A297,lmic_raw_ub[[setting]:[setting]],0), MATCH(N$277, lmic_raw_ub[#Headers],0))=0, INDEX(regions_ub[], MATCH($D297, regions_ub[[setting]:[setting]],0), MATCH(N$139, regions_ub[#Headers],0)),INDEX(lmic_raw_ub[],MATCH($A297,lmic_raw_ub[[setting]:[setting]],0), MATCH(N$277, lmic_raw_ub[#Headers],0)))</f>
        <v>0.41070000000000001</v>
      </c>
      <c r="O297" s="84">
        <f>IF(INDEX(lmic_raw_ub[],MATCH($A297,lmic_raw_ub[[setting]:[setting]],0), MATCH(O$277, lmic_raw_ub[#Headers],0))=0, INDEX(regions_ub[], MATCH($D297, regions_ub[[setting]:[setting]],0), MATCH(O$139, regions_ub[#Headers],0)),INDEX(lmic_raw_ub[],MATCH($A297,lmic_raw_ub[[setting]:[setting]],0), MATCH(O$277, lmic_raw_ub[#Headers],0)))</f>
        <v>0.74399999999999999</v>
      </c>
      <c r="P297" s="84">
        <f>IF(INDEX(lmic_raw_ub[],MATCH($A297,lmic_raw_ub[[setting]:[setting]],0), MATCH(P$277, lmic_raw_ub[#Headers],0))=0, INDEX(regions_ub[], MATCH($D297, regions_ub[[setting]:[setting]],0), MATCH(P$139, regions_ub[#Headers],0)),INDEX(lmic_raw_ub[],MATCH($A297,lmic_raw_ub[[setting]:[setting]],0), MATCH(P$277, lmic_raw_ub[#Headers],0)))</f>
        <v>0.13300000000000001</v>
      </c>
      <c r="Q297" s="84">
        <f>IF(INDEX(lmic_raw_ub[],MATCH($A297,lmic_raw_ub[[setting]:[setting]],0), MATCH(Q$277, lmic_raw_ub[#Headers],0))=0, INDEX(regions_ub[], MATCH($D297, regions_ub[[setting]:[setting]],0), MATCH(Q$139, regions_ub[#Headers],0)),INDEX(lmic_raw_ub[],MATCH($A297,lmic_raw_ub[[setting]:[setting]],0), MATCH(Q$277, lmic_raw_ub[#Headers],0)))</f>
        <v>6.3928407114093888</v>
      </c>
      <c r="R297" s="84">
        <f>IF(INDEX(lmic_raw_ub[],MATCH($A297,lmic_raw_ub[[setting]:[setting]],0), MATCH(R$277, lmic_raw_ub[#Headers],0))=0, INDEX(regions_ub[], MATCH($D297, regions_ub[[setting]:[setting]],0), MATCH(R$139, regions_ub[#Headers],0)),INDEX(lmic_raw_ub[],MATCH($A297,lmic_raw_ub[[setting]:[setting]],0), MATCH(R$277, lmic_raw_ub[#Headers],0)))</f>
        <v>31.416525000000004</v>
      </c>
      <c r="S297" s="84">
        <f>IF(INDEX(lmic_raw_ub[],MATCH($A297,lmic_raw_ub[[setting]:[setting]],0), MATCH(S$277, lmic_raw_ub[#Headers],0))=0, INDEX(regions_ub[], MATCH($D297, regions_ub[[setting]:[setting]],0), MATCH(S$139, regions_ub[#Headers],0)),INDEX(lmic_raw_ub[],MATCH($A297,lmic_raw_ub[[setting]:[setting]],0), MATCH(S$277, lmic_raw_ub[#Headers],0)))</f>
        <v>81.545625000000015</v>
      </c>
      <c r="T297" s="84">
        <f>IF(INDEX(lmic_raw_ub[],MATCH($A297,lmic_raw_ub[[setting]:[setting]],0), MATCH(T$277, lmic_raw_ub[#Headers],0))=0, INDEX(regions_ub[], MATCH($D297, regions_ub[[setting]:[setting]],0), MATCH(T$139, regions_ub[#Headers],0)),INDEX(lmic_raw_ub[],MATCH($A297,lmic_raw_ub[[setting]:[setting]],0), MATCH(T$277, lmic_raw_ub[#Headers],0)))</f>
        <v>81.545625000000015</v>
      </c>
      <c r="U297" s="84">
        <f>IF(INDEX(lmic_raw_ub[],MATCH($A297,lmic_raw_ub[[setting]:[setting]],0), MATCH(U$277, lmic_raw_ub[#Headers],0))=0, INDEX(regions_ub[], MATCH($D297, regions_ub[[setting]:[setting]],0), MATCH(U$139, regions_ub[#Headers],0)),INDEX(lmic_raw_ub[],MATCH($A297,lmic_raw_ub[[setting]:[setting]],0), MATCH(U$277, lmic_raw_ub[#Headers],0)))</f>
        <v>81.545625000000015</v>
      </c>
      <c r="V297" s="84">
        <f>IF(INDEX(lmic_raw_ub[],MATCH($A297,lmic_raw_ub[[setting]:[setting]],0), MATCH(V$277, lmic_raw_ub[#Headers],0))=0, INDEX(regions_ub[], MATCH($D297, regions_ub[[setting]:[setting]],0), MATCH(V$139, regions_ub[#Headers],0)),INDEX(lmic_raw_ub[],MATCH($A297,lmic_raw_ub[[setting]:[setting]],0), MATCH(V$277, lmic_raw_ub[#Headers],0)))</f>
        <v>17.90985357500379</v>
      </c>
      <c r="W297" s="84">
        <f>IF(INDEX(lmic_raw_ub[],MATCH($A297,lmic_raw_ub[[setting]:[setting]],0), MATCH(W$277, lmic_raw_ub[#Headers],0))=0, INDEX(regions_ub[], MATCH($D297, regions_ub[[setting]:[setting]],0), MATCH(W$139, regions_ub[#Headers],0)),INDEX(lmic_raw_ub[],MATCH($A297,lmic_raw_ub[[setting]:[setting]],0), MATCH(W$277, lmic_raw_ub[#Headers],0)))</f>
        <v>22.979988575003791</v>
      </c>
      <c r="X297" s="84">
        <f>IF(INDEX(lmic_raw_ub[],MATCH($A297,lmic_raw_ub[[setting]:[setting]],0), MATCH(X$277, lmic_raw_ub[#Headers],0))=0, INDEX(regions_ub[], MATCH($D297, regions_ub[[setting]:[setting]],0), MATCH(X$139, regions_ub[#Headers],0)),INDEX(lmic_raw_ub[],MATCH($A297,lmic_raw_ub[[setting]:[setting]],0), MATCH(X$277, lmic_raw_ub[#Headers],0)))</f>
        <v>17.385376249981949</v>
      </c>
      <c r="Y297" s="84">
        <f>IF(INDEX(lmic_raw_ub[],MATCH($A297,lmic_raw_ub[[setting]:[setting]],0), MATCH(Y$277, lmic_raw_ub[#Headers],0))=0, INDEX(regions_ub[], MATCH($D297, regions_ub[[setting]:[setting]],0), MATCH(Y$139, regions_ub[#Headers],0)),INDEX(lmic_raw_ub[],MATCH($A297,lmic_raw_ub[[setting]:[setting]],0), MATCH(Y$277, lmic_raw_ub[#Headers],0)))</f>
        <v>22.455511249981949</v>
      </c>
      <c r="Z297" s="84">
        <f>IF(INDEX(lmic_raw_ub[],MATCH($A297,lmic_raw_ub[[setting]:[setting]],0), MATCH(Z$277, lmic_raw_ub[#Headers],0))=0, INDEX(regions_ub[], MATCH($D297, regions_ub[[setting]:[setting]],0), MATCH(Z$139, regions_ub[#Headers],0)),INDEX(lmic_raw_ub[],MATCH($A297,lmic_raw_ub[[setting]:[setting]],0), MATCH(Z$277, lmic_raw_ub[#Headers],0)))</f>
        <v>22.431729679948482</v>
      </c>
      <c r="AA297" s="84">
        <f>IF(INDEX(lmic_raw_ub[],MATCH($A297,lmic_raw_ub[[setting]:[setting]],0), MATCH(AA$277, lmic_raw_ub[#Headers],0))=0, INDEX(regions_ub[], MATCH($D297, regions_ub[[setting]:[setting]],0), MATCH(AA$139, regions_ub[#Headers],0)),INDEX(lmic_raw_ub[],MATCH($A297,lmic_raw_ub[[setting]:[setting]],0), MATCH(AA$277, lmic_raw_ub[#Headers],0)))</f>
        <v>18.184981154934661</v>
      </c>
      <c r="AB297" s="84">
        <f>IF(INDEX(lmic_raw_ub[],MATCH($A297,lmic_raw_ub[[setting]:[setting]],0), MATCH(AB$277, lmic_raw_ub[#Headers],0))=0, INDEX(regions_ub[], MATCH($D297, regions_ub[[setting]:[setting]],0), MATCH(AB$139, regions_ub[#Headers],0)),INDEX(lmic_raw_ub[],MATCH($A297,lmic_raw_ub[[setting]:[setting]],0), MATCH(AB$277, lmic_raw_ub[#Headers],0)))</f>
        <v>23.255116154934662</v>
      </c>
      <c r="AC297" s="84">
        <f>IF(INDEX(lmic_raw_ub[],MATCH($A297,lmic_raw_ub[[setting]:[setting]],0), MATCH(AC$277, lmic_raw_ub[#Headers],0))=0, INDEX(regions_ub[], MATCH($D297, regions_ub[[setting]:[setting]],0), MATCH(AC$139, regions_ub[#Headers],0)),INDEX(lmic_raw_ub[],MATCH($A297,lmic_raw_ub[[setting]:[setting]],0), MATCH(AC$277, lmic_raw_ub[#Headers],0)))</f>
        <v>1.7735896500000018E-2</v>
      </c>
      <c r="AD297" s="84">
        <f>IF(INDEX(lmic_raw_ub[],MATCH($A297,lmic_raw_ub[[setting]:[setting]],0), MATCH(AD$277, lmic_raw_ub[#Headers],0))=0, INDEX(regions_ub[], MATCH($D297, regions_ub[[setting]:[setting]],0), MATCH(AD$139, regions_ub[#Headers],0)),INDEX(lmic_raw_ub[],MATCH($A297,lmic_raw_ub[[setting]:[setting]],0), MATCH(AD$277, lmic_raw_ub[#Headers],0)))</f>
        <v>9.2768139762210828E-4</v>
      </c>
      <c r="AE297" s="84">
        <f>IF(INDEX(lmic_raw_ub[],MATCH($A297,lmic_raw_ub[[setting]:[setting]],0), MATCH(AE$277, lmic_raw_ub[#Headers],0))=0, INDEX(regions_ub[], MATCH($D297, regions_ub[[setting]:[setting]],0), MATCH(AE$139, regions_ub[#Headers],0)),INDEX(lmic_raw_ub[],MATCH($A297,lmic_raw_ub[[setting]:[setting]],0), MATCH(AE$277, lmic_raw_ub[#Headers],0)))</f>
        <v>3.781989716693595E-4</v>
      </c>
      <c r="AF297" s="84">
        <f>IF(INDEX(lmic_raw_ub[],MATCH($A297,lmic_raw_ub[[setting]:[setting]],0), MATCH(AF$277, lmic_raw_ub[#Headers],0))=0, INDEX(regions_ub[], MATCH($D297, regions_ub[[setting]:[setting]],0), MATCH(AF$139, regions_ub[#Headers],0)),INDEX(lmic_raw_ub[],MATCH($A297,lmic_raw_ub[[setting]:[setting]],0), MATCH(AF$277, lmic_raw_ub[#Headers],0)))</f>
        <v>3.3332373083062774E-4</v>
      </c>
      <c r="AG297" s="84">
        <f>IF(INDEX(lmic_raw_ub[],MATCH($A297,lmic_raw_ub[[setting]:[setting]],0), MATCH(AG$277, lmic_raw_ub[#Headers],0))=0, INDEX(regions_ub[], MATCH($D297, regions_ub[[setting]:[setting]],0), MATCH(AG$139, regions_ub[#Headers],0)),INDEX(lmic_raw_ub[],MATCH($A297,lmic_raw_ub[[setting]:[setting]],0), MATCH(AG$277, lmic_raw_ub[#Headers],0)))</f>
        <v>7.5468479048945367E-4</v>
      </c>
      <c r="AH297" s="84">
        <f>IF(INDEX(lmic_raw_ub[],MATCH($A297,lmic_raw_ub[[setting]:[setting]],0), MATCH(AH$277, lmic_raw_ub[#Headers],0))=0, INDEX(regions_ub[], MATCH($D297, regions_ub[[setting]:[setting]],0), MATCH(AH$139, regions_ub[#Headers],0)),INDEX(lmic_raw_ub[],MATCH($A297,lmic_raw_ub[[setting]:[setting]],0), MATCH(AH$277, lmic_raw_ub[#Headers],0)))</f>
        <v>1.0366578420183954E-3</v>
      </c>
      <c r="AI297" s="84">
        <f>IF(INDEX(lmic_raw_ub[],MATCH($A297,lmic_raw_ub[[setting]:[setting]],0), MATCH(AI$277, lmic_raw_ub[#Headers],0))=0, INDEX(regions_ub[], MATCH($D297, regions_ub[[setting]:[setting]],0), MATCH(AI$139, regions_ub[#Headers],0)),INDEX(lmic_raw_ub[],MATCH($A297,lmic_raw_ub[[setting]:[setting]],0), MATCH(AI$277, lmic_raw_ub[#Headers],0)))</f>
        <v>1.1076594719499201E-3</v>
      </c>
      <c r="AJ297" s="84">
        <f>IF(INDEX(lmic_raw_ub[],MATCH($A297,lmic_raw_ub[[setting]:[setting]],0), MATCH(AJ$277, lmic_raw_ub[#Headers],0))=0, INDEX(regions_ub[], MATCH($D297, regions_ub[[setting]:[setting]],0), MATCH(AJ$139, regions_ub[#Headers],0)),INDEX(lmic_raw_ub[],MATCH($A297,lmic_raw_ub[[setting]:[setting]],0), MATCH(AJ$277, lmic_raw_ub[#Headers],0)))</f>
        <v>1.3457320779259705E-3</v>
      </c>
      <c r="AK297" s="84">
        <f>IF(INDEX(lmic_raw_ub[],MATCH($A297,lmic_raw_ub[[setting]:[setting]],0), MATCH(AK$277, lmic_raw_ub[#Headers],0))=0, INDEX(regions_ub[], MATCH($D297, regions_ub[[setting]:[setting]],0), MATCH(AK$139, regions_ub[#Headers],0)),INDEX(lmic_raw_ub[],MATCH($A297,lmic_raw_ub[[setting]:[setting]],0), MATCH(AK$277, lmic_raw_ub[#Headers],0)))</f>
        <v>1.8550918516530468E-3</v>
      </c>
      <c r="AL297" s="84">
        <f>IF(INDEX(lmic_raw_ub[],MATCH($A297,lmic_raw_ub[[setting]:[setting]],0), MATCH(AL$277, lmic_raw_ub[#Headers],0))=0, INDEX(regions_ub[], MATCH($D297, regions_ub[[setting]:[setting]],0), MATCH(AL$139, regions_ub[#Headers],0)),INDEX(lmic_raw_ub[],MATCH($A297,lmic_raw_ub[[setting]:[setting]],0), MATCH(AL$277, lmic_raw_ub[#Headers],0)))</f>
        <v>2.7635968394118392E-3</v>
      </c>
      <c r="AM297" s="84">
        <f>IF(INDEX(lmic_raw_ub[],MATCH($A297,lmic_raw_ub[[setting]:[setting]],0), MATCH(AM$277, lmic_raw_ub[#Headers],0))=0, INDEX(regions_ub[], MATCH($D297, regions_ub[[setting]:[setting]],0), MATCH(AM$139, regions_ub[#Headers],0)),INDEX(lmic_raw_ub[],MATCH($A297,lmic_raw_ub[[setting]:[setting]],0), MATCH(AM$277, lmic_raw_ub[#Headers],0)))</f>
        <v>4.3344899624156875E-3</v>
      </c>
      <c r="AN297" s="84">
        <f>IF(INDEX(lmic_raw_ub[],MATCH($A297,lmic_raw_ub[[setting]:[setting]],0), MATCH(AN$277, lmic_raw_ub[#Headers],0))=0, INDEX(regions_ub[], MATCH($D297, regions_ub[[setting]:[setting]],0), MATCH(AN$139, regions_ub[#Headers],0)),INDEX(lmic_raw_ub[],MATCH($A297,lmic_raw_ub[[setting]:[setting]],0), MATCH(AN$277, lmic_raw_ub[#Headers],0)))</f>
        <v>6.6970002931309716E-3</v>
      </c>
      <c r="AO297" s="84">
        <f>IF(INDEX(lmic_raw_ub[],MATCH($A297,lmic_raw_ub[[setting]:[setting]],0), MATCH(AO$277, lmic_raw_ub[#Headers],0))=0, INDEX(regions_ub[], MATCH($D297, regions_ub[[setting]:[setting]],0), MATCH(AO$139, regions_ub[#Headers],0)),INDEX(lmic_raw_ub[],MATCH($A297,lmic_raw_ub[[setting]:[setting]],0), MATCH(AO$277, lmic_raw_ub[#Headers],0)))</f>
        <v>1.0323104201258742E-2</v>
      </c>
      <c r="AP297" s="84">
        <f>IF(INDEX(lmic_raw_ub[],MATCH($A297,lmic_raw_ub[[setting]:[setting]],0), MATCH(AP$277, lmic_raw_ub[#Headers],0))=0, INDEX(regions_ub[], MATCH($D297, regions_ub[[setting]:[setting]],0), MATCH(AP$139, regions_ub[#Headers],0)),INDEX(lmic_raw_ub[],MATCH($A297,lmic_raw_ub[[setting]:[setting]],0), MATCH(AP$277, lmic_raw_ub[#Headers],0)))</f>
        <v>1.6147851184354356E-2</v>
      </c>
      <c r="AQ297" s="84">
        <f>IF(INDEX(lmic_raw_ub[],MATCH($A297,lmic_raw_ub[[setting]:[setting]],0), MATCH(AQ$277, lmic_raw_ub[#Headers],0))=0, INDEX(regions_ub[], MATCH($D297, regions_ub[[setting]:[setting]],0), MATCH(AQ$139, regions_ub[#Headers],0)),INDEX(lmic_raw_ub[],MATCH($A297,lmic_raw_ub[[setting]:[setting]],0), MATCH(AQ$277, lmic_raw_ub[#Headers],0)))</f>
        <v>2.5035453641804036E-2</v>
      </c>
      <c r="AR297" s="84">
        <f>IF(INDEX(lmic_raw_ub[],MATCH($A297,lmic_raw_ub[[setting]:[setting]],0), MATCH(AR$277, lmic_raw_ub[#Headers],0))=0, INDEX(regions_ub[], MATCH($D297, regions_ub[[setting]:[setting]],0), MATCH(AR$139, regions_ub[#Headers],0)),INDEX(lmic_raw_ub[],MATCH($A297,lmic_raw_ub[[setting]:[setting]],0), MATCH(AR$277, lmic_raw_ub[#Headers],0)))</f>
        <v>3.909254035086817E-2</v>
      </c>
      <c r="AS297" s="84">
        <f>IF(INDEX(lmic_raw_ub[],MATCH($A297,lmic_raw_ub[[setting]:[setting]],0), MATCH(AS$277, lmic_raw_ub[#Headers],0))=0, INDEX(regions_ub[], MATCH($D297, regions_ub[[setting]:[setting]],0), MATCH(AS$139, regions_ub[#Headers],0)),INDEX(lmic_raw_ub[],MATCH($A297,lmic_raw_ub[[setting]:[setting]],0), MATCH(AS$277, lmic_raw_ub[#Headers],0)))</f>
        <v>6.2418620831603926E-2</v>
      </c>
      <c r="AT297" s="84">
        <f>IF(INDEX(lmic_raw_ub[],MATCH($A297,lmic_raw_ub[[setting]:[setting]],0), MATCH(AT$277, lmic_raw_ub[#Headers],0))=0, INDEX(regions_ub[], MATCH($D297, regions_ub[[setting]:[setting]],0), MATCH(AT$139, regions_ub[#Headers],0)),INDEX(lmic_raw_ub[],MATCH($A297,lmic_raw_ub[[setting]:[setting]],0), MATCH(AT$277, lmic_raw_ub[#Headers],0)))</f>
        <v>9.3269733517356498E-2</v>
      </c>
      <c r="AU297" s="84">
        <f>IF(INDEX(lmic_raw_ub[],MATCH($A297,lmic_raw_ub[[setting]:[setting]],0), MATCH(AU$277, lmic_raw_ub[#Headers],0))=0, INDEX(regions_ub[], MATCH($D297, regions_ub[[setting]:[setting]],0), MATCH(AU$139, regions_ub[#Headers],0)),INDEX(lmic_raw_ub[],MATCH($A297,lmic_raw_ub[[setting]:[setting]],0), MATCH(AU$277, lmic_raw_ub[#Headers],0)))</f>
        <v>0.12583828773331848</v>
      </c>
      <c r="AV297" s="84">
        <f>IF(INDEX(lmic_raw_ub[],MATCH($A297,lmic_raw_ub[[setting]:[setting]],0), MATCH(AV$277, lmic_raw_ub[#Headers],0))=0, INDEX(regions_ub[], MATCH($D297, regions_ub[[setting]:[setting]],0), MATCH(AV$139, regions_ub[#Headers],0)),INDEX(lmic_raw_ub[],MATCH($A297,lmic_raw_ub[[setting]:[setting]],0), MATCH(AV$277, lmic_raw_ub[#Headers],0)))</f>
        <v>0.15748170167518319</v>
      </c>
      <c r="AW297" s="84">
        <f>IF(INDEX(lmic_raw_ub[],MATCH($A297,lmic_raw_ub[[setting]:[setting]],0), MATCH(AW$277, lmic_raw_ub[#Headers],0))=0, INDEX(regions_ub[], MATCH($D297, regions_ub[[setting]:[setting]],0), MATCH(AW$139, regions_ub[#Headers],0)),INDEX(lmic_raw_ub[],MATCH($A297,lmic_raw_ub[[setting]:[setting]],0), MATCH(AW$277, lmic_raw_ub[#Headers],0)))</f>
        <v>0.18143750367165246</v>
      </c>
      <c r="AX297" s="84">
        <f>IF(INDEX(lmic_raw_ub[],MATCH($A297,lmic_raw_ub[[setting]:[setting]],0), MATCH(AX$277, lmic_raw_ub[#Headers],0))=0, INDEX(regions_ub[], MATCH($D297, regions_ub[[setting]:[setting]],0), MATCH(AX$139, regions_ub[#Headers],0)),INDEX(lmic_raw_ub[],MATCH($A297,lmic_raw_ub[[setting]:[setting]],0), MATCH(AX$277, lmic_raw_ub[#Headers],0)))</f>
        <v>76.338150000000013</v>
      </c>
      <c r="AY297" s="33" t="str">
        <f>IF(VLOOKUP(lmics_ub[[#This Row],[setting]],lmic_raw_ub[],11,FALSE)=0, "Yes", "No")</f>
        <v>No</v>
      </c>
    </row>
    <row r="298" spans="1:51" x14ac:dyDescent="0.25">
      <c r="A298" s="109" t="s">
        <v>212</v>
      </c>
      <c r="B298" s="101" t="s">
        <v>394</v>
      </c>
      <c r="C298" s="102">
        <v>116</v>
      </c>
      <c r="D298" s="82" t="s">
        <v>681</v>
      </c>
      <c r="E298" s="82" t="s">
        <v>598</v>
      </c>
      <c r="F298" s="82" t="s">
        <v>666</v>
      </c>
      <c r="G298" s="82" t="s">
        <v>678</v>
      </c>
      <c r="J298" s="84">
        <f>IF(INDEX(lmic_raw_ub[],MATCH($A298,lmic_raw_ub[[setting]:[setting]],0), MATCH(J$277, lmic_raw_ub[#Headers],0))=0, INDEX(regions_ub[], MATCH($D298, regions_ub[[setting]:[setting]],0), MATCH(J$139, regions_ub[#Headers],0)),INDEX(lmic_raw_ub[],MATCH($A298,lmic_raw_ub[[setting]:[setting]],0), MATCH(J$277, lmic_raw_ub[#Headers],0)))</f>
        <v>0.87360000000000015</v>
      </c>
      <c r="K298" s="84">
        <f>IF(INDEX(lmic_raw_ub[],MATCH($A298,lmic_raw_ub[[setting]:[setting]],0), MATCH(K$277, lmic_raw_ub[#Headers],0))=0, INDEX(regions_ub[], MATCH($D298, regions_ub[[setting]:[setting]],0), MATCH(K$139, regions_ub[#Headers],0)),INDEX(lmic_raw_ub[],MATCH($A298,lmic_raw_ub[[setting]:[setting]],0), MATCH(K$277, lmic_raw_ub[#Headers],0)))</f>
        <v>0.92400000000000004</v>
      </c>
      <c r="L298" s="84">
        <f>IF(INDEX(lmic_raw_ub[],MATCH($A298,lmic_raw_ub[[setting]:[setting]],0), MATCH(L$277, lmic_raw_ub[#Headers],0))=0, INDEX(regions_ub[], MATCH($D298, regions_ub[[setting]:[setting]],0), MATCH(L$139, regions_ub[#Headers],0)),INDEX(lmic_raw_ub[],MATCH($A298,lmic_raw_ub[[setting]:[setting]],0), MATCH(L$277, lmic_raw_ub[#Headers],0)))</f>
        <v>0.96600000000000008</v>
      </c>
      <c r="M298" s="84">
        <f>IF(INDEX(lmic_raw_ub[],MATCH($A298,lmic_raw_ub[[setting]:[setting]],0), MATCH(M$277, lmic_raw_ub[#Headers],0))=0, INDEX(regions_ub[], MATCH($D298, regions_ub[[setting]:[setting]],0), MATCH(M$139, regions_ub[#Headers],0)),INDEX(lmic_raw_ub[],MATCH($A298,lmic_raw_ub[[setting]:[setting]],0), MATCH(M$277, lmic_raw_ub[#Headers],0)))</f>
        <v>0.04</v>
      </c>
      <c r="N298" s="84">
        <f>IF(INDEX(lmic_raw_ub[],MATCH($A298,lmic_raw_ub[[setting]:[setting]],0), MATCH(N$277, lmic_raw_ub[#Headers],0))=0, INDEX(regions_ub[], MATCH($D298, regions_ub[[setting]:[setting]],0), MATCH(N$139, regions_ub[#Headers],0)),INDEX(lmic_raw_ub[],MATCH($A298,lmic_raw_ub[[setting]:[setting]],0), MATCH(N$277, lmic_raw_ub[#Headers],0)))</f>
        <v>0.47729999999999995</v>
      </c>
      <c r="O298" s="84">
        <f>IF(INDEX(lmic_raw_ub[],MATCH($A298,lmic_raw_ub[[setting]:[setting]],0), MATCH(O$277, lmic_raw_ub[#Headers],0))=0, INDEX(regions_ub[], MATCH($D298, regions_ub[[setting]:[setting]],0), MATCH(O$139, regions_ub[#Headers],0)),INDEX(lmic_raw_ub[],MATCH($A298,lmic_raw_ub[[setting]:[setting]],0), MATCH(O$277, lmic_raw_ub[#Headers],0)))</f>
        <v>0.9</v>
      </c>
      <c r="P298" s="84">
        <f>IF(INDEX(lmic_raw_ub[],MATCH($A298,lmic_raw_ub[[setting]:[setting]],0), MATCH(P$277, lmic_raw_ub[#Headers],0))=0, INDEX(regions_ub[], MATCH($D298, regions_ub[[setting]:[setting]],0), MATCH(P$139, regions_ub[#Headers],0)),INDEX(lmic_raw_ub[],MATCH($A298,lmic_raw_ub[[setting]:[setting]],0), MATCH(P$277, lmic_raw_ub[#Headers],0)))</f>
        <v>0.3</v>
      </c>
      <c r="Q298" s="84">
        <f>IF(INDEX(lmic_raw_ub[],MATCH($A298,lmic_raw_ub[[setting]:[setting]],0), MATCH(Q$277, lmic_raw_ub[#Headers],0))=0, INDEX(regions_ub[], MATCH($D298, regions_ub[[setting]:[setting]],0), MATCH(Q$139, regions_ub[#Headers],0)),INDEX(lmic_raw_ub[],MATCH($A298,lmic_raw_ub[[setting]:[setting]],0), MATCH(Q$277, lmic_raw_ub[#Headers],0)))</f>
        <v>3.35199006100158</v>
      </c>
      <c r="R298" s="84">
        <f>IF(INDEX(lmic_raw_ub[],MATCH($A298,lmic_raw_ub[[setting]:[setting]],0), MATCH(R$277, lmic_raw_ub[#Headers],0))=0, INDEX(regions_ub[], MATCH($D298, regions_ub[[setting]:[setting]],0), MATCH(R$139, regions_ub[#Headers],0)),INDEX(lmic_raw_ub[],MATCH($A298,lmic_raw_ub[[setting]:[setting]],0), MATCH(R$277, lmic_raw_ub[#Headers],0)))</f>
        <v>76.738725000000002</v>
      </c>
      <c r="S298" s="84">
        <f>IF(INDEX(lmic_raw_ub[],MATCH($A298,lmic_raw_ub[[setting]:[setting]],0), MATCH(S$277, lmic_raw_ub[#Headers],0))=0, INDEX(regions_ub[], MATCH($D298, regions_ub[[setting]:[setting]],0), MATCH(S$139, regions_ub[#Headers],0)),INDEX(lmic_raw_ub[],MATCH($A298,lmic_raw_ub[[setting]:[setting]],0), MATCH(S$277, lmic_raw_ub[#Headers],0)))</f>
        <v>126.867825</v>
      </c>
      <c r="T298" s="84">
        <f>IF(INDEX(lmic_raw_ub[],MATCH($A298,lmic_raw_ub[[setting]:[setting]],0), MATCH(T$277, lmic_raw_ub[#Headers],0))=0, INDEX(regions_ub[], MATCH($D298, regions_ub[[setting]:[setting]],0), MATCH(T$139, regions_ub[#Headers],0)),INDEX(lmic_raw_ub[],MATCH($A298,lmic_raw_ub[[setting]:[setting]],0), MATCH(T$277, lmic_raw_ub[#Headers],0)))</f>
        <v>126.867825</v>
      </c>
      <c r="U298" s="84">
        <f>IF(INDEX(lmic_raw_ub[],MATCH($A298,lmic_raw_ub[[setting]:[setting]],0), MATCH(U$277, lmic_raw_ub[#Headers],0))=0, INDEX(regions_ub[], MATCH($D298, regions_ub[[setting]:[setting]],0), MATCH(U$139, regions_ub[#Headers],0)),INDEX(lmic_raw_ub[],MATCH($A298,lmic_raw_ub[[setting]:[setting]],0), MATCH(U$277, lmic_raw_ub[#Headers],0)))</f>
        <v>126.867825</v>
      </c>
      <c r="V298" s="84">
        <f>IF(INDEX(lmic_raw_ub[],MATCH($A298,lmic_raw_ub[[setting]:[setting]],0), MATCH(V$277, lmic_raw_ub[#Headers],0))=0, INDEX(regions_ub[], MATCH($D298, regions_ub[[setting]:[setting]],0), MATCH(V$139, regions_ub[#Headers],0)),INDEX(lmic_raw_ub[],MATCH($A298,lmic_raw_ub[[setting]:[setting]],0), MATCH(V$277, lmic_raw_ub[#Headers],0)))</f>
        <v>6.0446170903752137</v>
      </c>
      <c r="W298" s="84">
        <f>IF(INDEX(lmic_raw_ub[],MATCH($A298,lmic_raw_ub[[setting]:[setting]],0), MATCH(W$277, lmic_raw_ub[#Headers],0))=0, INDEX(regions_ub[], MATCH($D298, regions_ub[[setting]:[setting]],0), MATCH(W$139, regions_ub[#Headers],0)),INDEX(lmic_raw_ub[],MATCH($A298,lmic_raw_ub[[setting]:[setting]],0), MATCH(W$277, lmic_raw_ub[#Headers],0)))</f>
        <v>6.7084270903752135</v>
      </c>
      <c r="X298" s="84">
        <f>IF(INDEX(lmic_raw_ub[],MATCH($A298,lmic_raw_ub[[setting]:[setting]],0), MATCH(X$277, lmic_raw_ub[#Headers],0))=0, INDEX(regions_ub[], MATCH($D298, regions_ub[[setting]:[setting]],0), MATCH(X$139, regions_ub[#Headers],0)),INDEX(lmic_raw_ub[],MATCH($A298,lmic_raw_ub[[setting]:[setting]],0), MATCH(X$277, lmic_raw_ub[#Headers],0)))</f>
        <v>5.5431018782857651</v>
      </c>
      <c r="Y298" s="84">
        <f>IF(INDEX(lmic_raw_ub[],MATCH($A298,lmic_raw_ub[[setting]:[setting]],0), MATCH(Y$277, lmic_raw_ub[#Headers],0))=0, INDEX(regions_ub[], MATCH($D298, regions_ub[[setting]:[setting]],0), MATCH(Y$139, regions_ub[#Headers],0)),INDEX(lmic_raw_ub[],MATCH($A298,lmic_raw_ub[[setting]:[setting]],0), MATCH(Y$277, lmic_raw_ub[#Headers],0)))</f>
        <v>6.2069118782857648</v>
      </c>
      <c r="Z298" s="84">
        <f>IF(INDEX(lmic_raw_ub[],MATCH($A298,lmic_raw_ub[[setting]:[setting]],0), MATCH(Z$277, lmic_raw_ub[#Headers],0))=0, INDEX(regions_ub[], MATCH($D298, regions_ub[[setting]:[setting]],0), MATCH(Z$139, regions_ub[#Headers],0)),INDEX(lmic_raw_ub[],MATCH($A298,lmic_raw_ub[[setting]:[setting]],0), MATCH(Z$277, lmic_raw_ub[#Headers],0)))</f>
        <v>6.1967812695464106</v>
      </c>
      <c r="AA298" s="84">
        <f>IF(INDEX(lmic_raw_ub[],MATCH($A298,lmic_raw_ub[[setting]:[setting]],0), MATCH(AA$277, lmic_raw_ub[#Headers],0))=0, INDEX(regions_ub[], MATCH($D298, regions_ub[[setting]:[setting]],0), MATCH(AA$139, regions_ub[#Headers],0)),INDEX(lmic_raw_ub[],MATCH($A298,lmic_raw_ub[[setting]:[setting]],0), MATCH(AA$277, lmic_raw_ub[#Headers],0)))</f>
        <v>6.3145324115422898</v>
      </c>
      <c r="AB298" s="84">
        <f>IF(INDEX(lmic_raw_ub[],MATCH($A298,lmic_raw_ub[[setting]:[setting]],0), MATCH(AB$277, lmic_raw_ub[#Headers],0))=0, INDEX(regions_ub[], MATCH($D298, regions_ub[[setting]:[setting]],0), MATCH(AB$139, regions_ub[#Headers],0)),INDEX(lmic_raw_ub[],MATCH($A298,lmic_raw_ub[[setting]:[setting]],0), MATCH(AB$277, lmic_raw_ub[#Headers],0)))</f>
        <v>6.9783424115422896</v>
      </c>
      <c r="AC298" s="84">
        <f>IF(INDEX(lmic_raw_ub[],MATCH($A298,lmic_raw_ub[[setting]:[setting]],0), MATCH(AC$277, lmic_raw_ub[#Headers],0))=0, INDEX(regions_ub[], MATCH($D298, regions_ub[[setting]:[setting]],0), MATCH(AC$139, regions_ub[#Headers],0)),INDEX(lmic_raw_ub[],MATCH($A298,lmic_raw_ub[[setting]:[setting]],0), MATCH(AC$277, lmic_raw_ub[#Headers],0)))</f>
        <v>2.4961555499999972E-2</v>
      </c>
      <c r="AD298" s="84">
        <f>IF(INDEX(lmic_raw_ub[],MATCH($A298,lmic_raw_ub[[setting]:[setting]],0), MATCH(AD$277, lmic_raw_ub[#Headers],0))=0, INDEX(regions_ub[], MATCH($D298, regions_ub[[setting]:[setting]],0), MATCH(AD$139, regions_ub[#Headers],0)),INDEX(lmic_raw_ub[],MATCH($A298,lmic_raw_ub[[setting]:[setting]],0), MATCH(AD$277, lmic_raw_ub[#Headers],0)))</f>
        <v>1.0229525591222857E-3</v>
      </c>
      <c r="AE298" s="84">
        <f>IF(INDEX(lmic_raw_ub[],MATCH($A298,lmic_raw_ub[[setting]:[setting]],0), MATCH(AE$277, lmic_raw_ub[#Headers],0))=0, INDEX(regions_ub[], MATCH($D298, regions_ub[[setting]:[setting]],0), MATCH(AE$139, regions_ub[#Headers],0)),INDEX(lmic_raw_ub[],MATCH($A298,lmic_raw_ub[[setting]:[setting]],0), MATCH(AE$277, lmic_raw_ub[#Headers],0)))</f>
        <v>1.7553334338314603E-3</v>
      </c>
      <c r="AF298" s="84">
        <f>IF(INDEX(lmic_raw_ub[],MATCH($A298,lmic_raw_ub[[setting]:[setting]],0), MATCH(AF$277, lmic_raw_ub[#Headers],0))=0, INDEX(regions_ub[], MATCH($D298, regions_ub[[setting]:[setting]],0), MATCH(AF$139, regions_ub[#Headers],0)),INDEX(lmic_raw_ub[],MATCH($A298,lmic_raw_ub[[setting]:[setting]],0), MATCH(AF$277, lmic_raw_ub[#Headers],0)))</f>
        <v>1.2541467749662078E-3</v>
      </c>
      <c r="AG298" s="84">
        <f>IF(INDEX(lmic_raw_ub[],MATCH($A298,lmic_raw_ub[[setting]:[setting]],0), MATCH(AG$277, lmic_raw_ub[#Headers],0))=0, INDEX(regions_ub[], MATCH($D298, regions_ub[[setting]:[setting]],0), MATCH(AG$139, regions_ub[#Headers],0)),INDEX(lmic_raw_ub[],MATCH($A298,lmic_raw_ub[[setting]:[setting]],0), MATCH(AG$277, lmic_raw_ub[#Headers],0)))</f>
        <v>1.1647917199032627E-3</v>
      </c>
      <c r="AH298" s="84">
        <f>IF(INDEX(lmic_raw_ub[],MATCH($A298,lmic_raw_ub[[setting]:[setting]],0), MATCH(AH$277, lmic_raw_ub[#Headers],0))=0, INDEX(regions_ub[], MATCH($D298, regions_ub[[setting]:[setting]],0), MATCH(AH$139, regions_ub[#Headers],0)),INDEX(lmic_raw_ub[],MATCH($A298,lmic_raw_ub[[setting]:[setting]],0), MATCH(AH$277, lmic_raw_ub[#Headers],0)))</f>
        <v>1.4038920457126404E-3</v>
      </c>
      <c r="AI298" s="84">
        <f>IF(INDEX(lmic_raw_ub[],MATCH($A298,lmic_raw_ub[[setting]:[setting]],0), MATCH(AI$277, lmic_raw_ub[#Headers],0))=0, INDEX(regions_ub[], MATCH($D298, regions_ub[[setting]:[setting]],0), MATCH(AI$139, regions_ub[#Headers],0)),INDEX(lmic_raw_ub[],MATCH($A298,lmic_raw_ub[[setting]:[setting]],0), MATCH(AI$277, lmic_raw_ub[#Headers],0)))</f>
        <v>1.9189835785008199E-3</v>
      </c>
      <c r="AJ298" s="84">
        <f>IF(INDEX(lmic_raw_ub[],MATCH($A298,lmic_raw_ub[[setting]:[setting]],0), MATCH(AJ$277, lmic_raw_ub[#Headers],0))=0, INDEX(regions_ub[], MATCH($D298, regions_ub[[setting]:[setting]],0), MATCH(AJ$139, regions_ub[#Headers],0)),INDEX(lmic_raw_ub[],MATCH($A298,lmic_raw_ub[[setting]:[setting]],0), MATCH(AJ$277, lmic_raw_ub[#Headers],0)))</f>
        <v>2.5220097807888949E-3</v>
      </c>
      <c r="AK298" s="84">
        <f>IF(INDEX(lmic_raw_ub[],MATCH($A298,lmic_raw_ub[[setting]:[setting]],0), MATCH(AK$277, lmic_raw_ub[#Headers],0))=0, INDEX(regions_ub[], MATCH($D298, regions_ub[[setting]:[setting]],0), MATCH(AK$139, regions_ub[#Headers],0)),INDEX(lmic_raw_ub[],MATCH($A298,lmic_raw_ub[[setting]:[setting]],0), MATCH(AK$277, lmic_raw_ub[#Headers],0)))</f>
        <v>3.3237735724482029E-3</v>
      </c>
      <c r="AL298" s="84">
        <f>IF(INDEX(lmic_raw_ub[],MATCH($A298,lmic_raw_ub[[setting]:[setting]],0), MATCH(AL$277, lmic_raw_ub[#Headers],0))=0, INDEX(regions_ub[], MATCH($D298, regions_ub[[setting]:[setting]],0), MATCH(AL$139, regions_ub[#Headers],0)),INDEX(lmic_raw_ub[],MATCH($A298,lmic_raw_ub[[setting]:[setting]],0), MATCH(AL$277, lmic_raw_ub[#Headers],0)))</f>
        <v>4.2703669963175513E-3</v>
      </c>
      <c r="AM298" s="84">
        <f>IF(INDEX(lmic_raw_ub[],MATCH($A298,lmic_raw_ub[[setting]:[setting]],0), MATCH(AM$277, lmic_raw_ub[#Headers],0))=0, INDEX(regions_ub[], MATCH($D298, regions_ub[[setting]:[setting]],0), MATCH(AM$139, regions_ub[#Headers],0)),INDEX(lmic_raw_ub[],MATCH($A298,lmic_raw_ub[[setting]:[setting]],0), MATCH(AM$277, lmic_raw_ub[#Headers],0)))</f>
        <v>5.3704395952840029E-3</v>
      </c>
      <c r="AN298" s="84">
        <f>IF(INDEX(lmic_raw_ub[],MATCH($A298,lmic_raw_ub[[setting]:[setting]],0), MATCH(AN$277, lmic_raw_ub[#Headers],0))=0, INDEX(regions_ub[], MATCH($D298, regions_ub[[setting]:[setting]],0), MATCH(AN$139, regions_ub[#Headers],0)),INDEX(lmic_raw_ub[],MATCH($A298,lmic_raw_ub[[setting]:[setting]],0), MATCH(AN$277, lmic_raw_ub[#Headers],0)))</f>
        <v>6.9920532700676382E-3</v>
      </c>
      <c r="AO298" s="84">
        <f>IF(INDEX(lmic_raw_ub[],MATCH($A298,lmic_raw_ub[[setting]:[setting]],0), MATCH(AO$277, lmic_raw_ub[#Headers],0))=0, INDEX(regions_ub[], MATCH($D298, regions_ub[[setting]:[setting]],0), MATCH(AO$139, regions_ub[#Headers],0)),INDEX(lmic_raw_ub[],MATCH($A298,lmic_raw_ub[[setting]:[setting]],0), MATCH(AO$277, lmic_raw_ub[#Headers],0)))</f>
        <v>1.0775541003426169E-2</v>
      </c>
      <c r="AP298" s="84">
        <f>IF(INDEX(lmic_raw_ub[],MATCH($A298,lmic_raw_ub[[setting]:[setting]],0), MATCH(AP$277, lmic_raw_ub[#Headers],0))=0, INDEX(regions_ub[], MATCH($D298, regions_ub[[setting]:[setting]],0), MATCH(AP$139, regions_ub[#Headers],0)),INDEX(lmic_raw_ub[],MATCH($A298,lmic_raw_ub[[setting]:[setting]],0), MATCH(AP$277, lmic_raw_ub[#Headers],0)))</f>
        <v>1.8801073907392486E-2</v>
      </c>
      <c r="AQ298" s="84">
        <f>IF(INDEX(lmic_raw_ub[],MATCH($A298,lmic_raw_ub[[setting]:[setting]],0), MATCH(AQ$277, lmic_raw_ub[#Headers],0))=0, INDEX(regions_ub[], MATCH($D298, regions_ub[[setting]:[setting]],0), MATCH(AQ$139, regions_ub[#Headers],0)),INDEX(lmic_raw_ub[],MATCH($A298,lmic_raw_ub[[setting]:[setting]],0), MATCH(AQ$277, lmic_raw_ub[#Headers],0)))</f>
        <v>2.9328665814697195E-2</v>
      </c>
      <c r="AR298" s="84">
        <f>IF(INDEX(lmic_raw_ub[],MATCH($A298,lmic_raw_ub[[setting]:[setting]],0), MATCH(AR$277, lmic_raw_ub[#Headers],0))=0, INDEX(regions_ub[], MATCH($D298, regions_ub[[setting]:[setting]],0), MATCH(AR$139, regions_ub[#Headers],0)),INDEX(lmic_raw_ub[],MATCH($A298,lmic_raw_ub[[setting]:[setting]],0), MATCH(AR$277, lmic_raw_ub[#Headers],0)))</f>
        <v>4.6612550918735951E-2</v>
      </c>
      <c r="AS298" s="84">
        <f>IF(INDEX(lmic_raw_ub[],MATCH($A298,lmic_raw_ub[[setting]:[setting]],0), MATCH(AS$277, lmic_raw_ub[#Headers],0))=0, INDEX(regions_ub[], MATCH($D298, regions_ub[[setting]:[setting]],0), MATCH(AS$139, regions_ub[#Headers],0)),INDEX(lmic_raw_ub[],MATCH($A298,lmic_raw_ub[[setting]:[setting]],0), MATCH(AS$277, lmic_raw_ub[#Headers],0)))</f>
        <v>7.1124619154067065E-2</v>
      </c>
      <c r="AT298" s="84">
        <f>IF(INDEX(lmic_raw_ub[],MATCH($A298,lmic_raw_ub[[setting]:[setting]],0), MATCH(AT$277, lmic_raw_ub[#Headers],0))=0, INDEX(regions_ub[], MATCH($D298, regions_ub[[setting]:[setting]],0), MATCH(AT$139, regions_ub[#Headers],0)),INDEX(lmic_raw_ub[],MATCH($A298,lmic_raw_ub[[setting]:[setting]],0), MATCH(AT$277, lmic_raw_ub[#Headers],0)))</f>
        <v>0.10066675147932852</v>
      </c>
      <c r="AU298" s="84">
        <f>IF(INDEX(lmic_raw_ub[],MATCH($A298,lmic_raw_ub[[setting]:[setting]],0), MATCH(AU$277, lmic_raw_ub[#Headers],0))=0, INDEX(regions_ub[], MATCH($D298, regions_ub[[setting]:[setting]],0), MATCH(AU$139, regions_ub[#Headers],0)),INDEX(lmic_raw_ub[],MATCH($A298,lmic_raw_ub[[setting]:[setting]],0), MATCH(AU$277, lmic_raw_ub[#Headers],0)))</f>
        <v>0.13189716305602933</v>
      </c>
      <c r="AV298" s="84">
        <f>IF(INDEX(lmic_raw_ub[],MATCH($A298,lmic_raw_ub[[setting]:[setting]],0), MATCH(AV$277, lmic_raw_ub[#Headers],0))=0, INDEX(regions_ub[], MATCH($D298, regions_ub[[setting]:[setting]],0), MATCH(AV$139, regions_ub[#Headers],0)),INDEX(lmic_raw_ub[],MATCH($A298,lmic_raw_ub[[setting]:[setting]],0), MATCH(AV$277, lmic_raw_ub[#Headers],0)))</f>
        <v>0.1605697004984446</v>
      </c>
      <c r="AW298" s="84">
        <f>IF(INDEX(lmic_raw_ub[],MATCH($A298,lmic_raw_ub[[setting]:[setting]],0), MATCH(AW$277, lmic_raw_ub[#Headers],0))=0, INDEX(regions_ub[], MATCH($D298, regions_ub[[setting]:[setting]],0), MATCH(AW$139, regions_ub[#Headers],0)),INDEX(lmic_raw_ub[],MATCH($A298,lmic_raw_ub[[setting]:[setting]],0), MATCH(AW$277, lmic_raw_ub[#Headers],0)))</f>
        <v>0.18662583802874358</v>
      </c>
      <c r="AX298" s="84">
        <f>IF(INDEX(lmic_raw_ub[],MATCH($A298,lmic_raw_ub[[setting]:[setting]],0), MATCH(AX$277, lmic_raw_ub[#Headers],0))=0, INDEX(regions_ub[], MATCH($D298, regions_ub[[setting]:[setting]],0), MATCH(AX$139, regions_ub[#Headers],0)),INDEX(lmic_raw_ub[],MATCH($A298,lmic_raw_ub[[setting]:[setting]],0), MATCH(AX$277, lmic_raw_ub[#Headers],0)))</f>
        <v>72.906750000000002</v>
      </c>
      <c r="AY298" s="33" t="str">
        <f>IF(VLOOKUP(lmics_ub[[#This Row],[setting]],lmic_raw_ub[],11,FALSE)=0, "Yes", "No")</f>
        <v>No</v>
      </c>
    </row>
    <row r="299" spans="1:51" x14ac:dyDescent="0.25">
      <c r="A299" s="110" t="s">
        <v>123</v>
      </c>
      <c r="B299" s="104" t="s">
        <v>395</v>
      </c>
      <c r="C299" s="105">
        <v>120</v>
      </c>
      <c r="D299" s="84" t="s">
        <v>677</v>
      </c>
      <c r="E299" s="84" t="s">
        <v>591</v>
      </c>
      <c r="F299" s="84" t="s">
        <v>667</v>
      </c>
      <c r="G299" s="84" t="s">
        <v>678</v>
      </c>
      <c r="J299" s="84">
        <f>IF(INDEX(lmic_raw_ub[],MATCH($A299,lmic_raw_ub[[setting]:[setting]],0), MATCH(J$277, lmic_raw_ub[#Headers],0))=0, INDEX(regions_ub[], MATCH($D299, regions_ub[[setting]:[setting]],0), MATCH(J$139, regions_ub[#Headers],0)),INDEX(lmic_raw_ub[],MATCH($A299,lmic_raw_ub[[setting]:[setting]],0), MATCH(J$277, lmic_raw_ub[#Headers],0)))</f>
        <v>0.70350000000000013</v>
      </c>
      <c r="K299" s="84">
        <f>IF(INDEX(lmic_raw_ub[],MATCH($A299,lmic_raw_ub[[setting]:[setting]],0), MATCH(K$277, lmic_raw_ub[#Headers],0))=0, INDEX(regions_ub[], MATCH($D299, regions_ub[[setting]:[setting]],0), MATCH(K$139, regions_ub[#Headers],0)),INDEX(lmic_raw_ub[],MATCH($A299,lmic_raw_ub[[setting]:[setting]],0), MATCH(K$277, lmic_raw_ub[#Headers],0)))</f>
        <v>0.71433037619548323</v>
      </c>
      <c r="L299" s="84">
        <f>IF(INDEX(lmic_raw_ub[],MATCH($A299,lmic_raw_ub[[setting]:[setting]],0), MATCH(L$277, lmic_raw_ub[#Headers],0))=0, INDEX(regions_ub[], MATCH($D299, regions_ub[[setting]:[setting]],0), MATCH(L$139, regions_ub[#Headers],0)),INDEX(lmic_raw_ub[],MATCH($A299,lmic_raw_ub[[setting]:[setting]],0), MATCH(L$277, lmic_raw_ub[#Headers],0)))</f>
        <v>0.70350000000000013</v>
      </c>
      <c r="M299" s="84">
        <f>IF(INDEX(lmic_raw_ub[],MATCH($A299,lmic_raw_ub[[setting]:[setting]],0), MATCH(M$277, lmic_raw_ub[#Headers],0))=0, INDEX(regions_ub[], MATCH($D299, regions_ub[[setting]:[setting]],0), MATCH(M$139, regions_ub[#Headers],0)),INDEX(lmic_raw_ub[],MATCH($A299,lmic_raw_ub[[setting]:[setting]],0), MATCH(M$277, lmic_raw_ub[#Headers],0)))</f>
        <v>5.7300000000000004E-2</v>
      </c>
      <c r="N299" s="84">
        <f>IF(INDEX(lmic_raw_ub[],MATCH($A299,lmic_raw_ub[[setting]:[setting]],0), MATCH(N$277, lmic_raw_ub[#Headers],0))=0, INDEX(regions_ub[], MATCH($D299, regions_ub[[setting]:[setting]],0), MATCH(N$139, regions_ub[#Headers],0)),INDEX(lmic_raw_ub[],MATCH($A299,lmic_raw_ub[[setting]:[setting]],0), MATCH(N$277, lmic_raw_ub[#Headers],0)))</f>
        <v>0.41070000000000001</v>
      </c>
      <c r="O299" s="84">
        <f>IF(INDEX(lmic_raw_ub[],MATCH($A299,lmic_raw_ub[[setting]:[setting]],0), MATCH(O$277, lmic_raw_ub[#Headers],0))=0, INDEX(regions_ub[], MATCH($D299, regions_ub[[setting]:[setting]],0), MATCH(O$139, regions_ub[#Headers],0)),INDEX(lmic_raw_ub[],MATCH($A299,lmic_raw_ub[[setting]:[setting]],0), MATCH(O$277, lmic_raw_ub[#Headers],0)))</f>
        <v>0.74399999999999999</v>
      </c>
      <c r="P299" s="84">
        <f>IF(INDEX(lmic_raw_ub[],MATCH($A299,lmic_raw_ub[[setting]:[setting]],0), MATCH(P$277, lmic_raw_ub[#Headers],0))=0, INDEX(regions_ub[], MATCH($D299, regions_ub[[setting]:[setting]],0), MATCH(P$139, regions_ub[#Headers],0)),INDEX(lmic_raw_ub[],MATCH($A299,lmic_raw_ub[[setting]:[setting]],0), MATCH(P$277, lmic_raw_ub[#Headers],0)))</f>
        <v>0.13300000000000001</v>
      </c>
      <c r="Q299" s="84">
        <f>IF(INDEX(lmic_raw_ub[],MATCH($A299,lmic_raw_ub[[setting]:[setting]],0), MATCH(Q$277, lmic_raw_ub[#Headers],0))=0, INDEX(regions_ub[], MATCH($D299, regions_ub[[setting]:[setting]],0), MATCH(Q$139, regions_ub[#Headers],0)),INDEX(lmic_raw_ub[],MATCH($A299,lmic_raw_ub[[setting]:[setting]],0), MATCH(Q$277, lmic_raw_ub[#Headers],0)))</f>
        <v>3.9751151942818681</v>
      </c>
      <c r="R299" s="84">
        <f>IF(INDEX(lmic_raw_ub[],MATCH($A299,lmic_raw_ub[[setting]:[setting]],0), MATCH(R$277, lmic_raw_ub[#Headers],0))=0, INDEX(regions_ub[], MATCH($D299, regions_ub[[setting]:[setting]],0), MATCH(R$139, regions_ub[#Headers],0)),INDEX(lmic_raw_ub[],MATCH($A299,lmic_raw_ub[[setting]:[setting]],0), MATCH(R$277, lmic_raw_ub[#Headers],0)))</f>
        <v>31.416525000000004</v>
      </c>
      <c r="S299" s="84">
        <f>IF(INDEX(lmic_raw_ub[],MATCH($A299,lmic_raw_ub[[setting]:[setting]],0), MATCH(S$277, lmic_raw_ub[#Headers],0))=0, INDEX(regions_ub[], MATCH($D299, regions_ub[[setting]:[setting]],0), MATCH(S$139, regions_ub[#Headers],0)),INDEX(lmic_raw_ub[],MATCH($A299,lmic_raw_ub[[setting]:[setting]],0), MATCH(S$277, lmic_raw_ub[#Headers],0)))</f>
        <v>81.545625000000015</v>
      </c>
      <c r="T299" s="84">
        <f>IF(INDEX(lmic_raw_ub[],MATCH($A299,lmic_raw_ub[[setting]:[setting]],0), MATCH(T$277, lmic_raw_ub[#Headers],0))=0, INDEX(regions_ub[], MATCH($D299, regions_ub[[setting]:[setting]],0), MATCH(T$139, regions_ub[#Headers],0)),INDEX(lmic_raw_ub[],MATCH($A299,lmic_raw_ub[[setting]:[setting]],0), MATCH(T$277, lmic_raw_ub[#Headers],0)))</f>
        <v>81.545625000000015</v>
      </c>
      <c r="U299" s="84">
        <f>IF(INDEX(lmic_raw_ub[],MATCH($A299,lmic_raw_ub[[setting]:[setting]],0), MATCH(U$277, lmic_raw_ub[#Headers],0))=0, INDEX(regions_ub[], MATCH($D299, regions_ub[[setting]:[setting]],0), MATCH(U$139, regions_ub[#Headers],0)),INDEX(lmic_raw_ub[],MATCH($A299,lmic_raw_ub[[setting]:[setting]],0), MATCH(U$277, lmic_raw_ub[#Headers],0)))</f>
        <v>81.545625000000015</v>
      </c>
      <c r="V299" s="84">
        <f>IF(INDEX(lmic_raw_ub[],MATCH($A299,lmic_raw_ub[[setting]:[setting]],0), MATCH(V$277, lmic_raw_ub[#Headers],0))=0, INDEX(regions_ub[], MATCH($D299, regions_ub[[setting]:[setting]],0), MATCH(V$139, regions_ub[#Headers],0)),INDEX(lmic_raw_ub[],MATCH($A299,lmic_raw_ub[[setting]:[setting]],0), MATCH(V$277, lmic_raw_ub[#Headers],0)))</f>
        <v>4.2442362563630516</v>
      </c>
      <c r="W299" s="84">
        <f>IF(INDEX(lmic_raw_ub[],MATCH($A299,lmic_raw_ub[[setting]:[setting]],0), MATCH(W$277, lmic_raw_ub[#Headers],0))=0, INDEX(regions_ub[], MATCH($D299, regions_ub[[setting]:[setting]],0), MATCH(W$139, regions_ub[#Headers],0)),INDEX(lmic_raw_ub[],MATCH($A299,lmic_raw_ub[[setting]:[setting]],0), MATCH(W$277, lmic_raw_ub[#Headers],0)))</f>
        <v>9.314371256363053</v>
      </c>
      <c r="X299" s="84">
        <f>IF(INDEX(lmic_raw_ub[],MATCH($A299,lmic_raw_ub[[setting]:[setting]],0), MATCH(X$277, lmic_raw_ub[#Headers],0))=0, INDEX(regions_ub[], MATCH($D299, regions_ub[[setting]:[setting]],0), MATCH(X$139, regions_ub[#Headers],0)),INDEX(lmic_raw_ub[],MATCH($A299,lmic_raw_ub[[setting]:[setting]],0), MATCH(X$277, lmic_raw_ub[#Headers],0)))</f>
        <v>3.741769462852067</v>
      </c>
      <c r="Y299" s="84">
        <f>IF(INDEX(lmic_raw_ub[],MATCH($A299,lmic_raw_ub[[setting]:[setting]],0), MATCH(Y$277, lmic_raw_ub[#Headers],0))=0, INDEX(regions_ub[], MATCH($D299, regions_ub[[setting]:[setting]],0), MATCH(Y$139, regions_ub[#Headers],0)),INDEX(lmic_raw_ub[],MATCH($A299,lmic_raw_ub[[setting]:[setting]],0), MATCH(Y$277, lmic_raw_ub[#Headers],0)))</f>
        <v>8.811904462852068</v>
      </c>
      <c r="Z299" s="84">
        <f>IF(INDEX(lmic_raw_ub[],MATCH($A299,lmic_raw_ub[[setting]:[setting]],0), MATCH(Z$277, lmic_raw_ub[#Headers],0))=0, INDEX(regions_ub[], MATCH($D299, regions_ub[[setting]:[setting]],0), MATCH(Z$139, regions_ub[#Headers],0)),INDEX(lmic_raw_ub[],MATCH($A299,lmic_raw_ub[[setting]:[setting]],0), MATCH(Z$277, lmic_raw_ub[#Headers],0)))</f>
        <v>8.7996012978215781</v>
      </c>
      <c r="AA299" s="84">
        <f>IF(INDEX(lmic_raw_ub[],MATCH($A299,lmic_raw_ub[[setting]:[setting]],0), MATCH(AA$277, lmic_raw_ub[#Headers],0))=0, INDEX(regions_ub[], MATCH($D299, regions_ub[[setting]:[setting]],0), MATCH(AA$139, regions_ub[#Headers],0)),INDEX(lmic_raw_ub[],MATCH($A299,lmic_raw_ub[[setting]:[setting]],0), MATCH(AA$277, lmic_raw_ub[#Headers],0)))</f>
        <v>4.514367580674894</v>
      </c>
      <c r="AB299" s="84">
        <f>IF(INDEX(lmic_raw_ub[],MATCH($A299,lmic_raw_ub[[setting]:[setting]],0), MATCH(AB$277, lmic_raw_ub[#Headers],0))=0, INDEX(regions_ub[], MATCH($D299, regions_ub[[setting]:[setting]],0), MATCH(AB$139, regions_ub[#Headers],0)),INDEX(lmic_raw_ub[],MATCH($A299,lmic_raw_ub[[setting]:[setting]],0), MATCH(AB$277, lmic_raw_ub[#Headers],0)))</f>
        <v>9.5845025806748936</v>
      </c>
      <c r="AC299" s="84">
        <f>IF(INDEX(lmic_raw_ub[],MATCH($A299,lmic_raw_ub[[setting]:[setting]],0), MATCH(AC$277, lmic_raw_ub[#Headers],0))=0, INDEX(regions_ub[], MATCH($D299, regions_ub[[setting]:[setting]],0), MATCH(AC$139, regions_ub[#Headers],0)),INDEX(lmic_raw_ub[],MATCH($A299,lmic_raw_ub[[setting]:[setting]],0), MATCH(AC$277, lmic_raw_ub[#Headers],0)))</f>
        <v>6.4254130500000062E-2</v>
      </c>
      <c r="AD299" s="84">
        <f>IF(INDEX(lmic_raw_ub[],MATCH($A299,lmic_raw_ub[[setting]:[setting]],0), MATCH(AD$277, lmic_raw_ub[#Headers],0))=0, INDEX(regions_ub[], MATCH($D299, regions_ub[[setting]:[setting]],0), MATCH(AD$139, regions_ub[#Headers],0)),INDEX(lmic_raw_ub[],MATCH($A299,lmic_raw_ub[[setting]:[setting]],0), MATCH(AD$277, lmic_raw_ub[#Headers],0)))</f>
        <v>7.5785071486419277E-3</v>
      </c>
      <c r="AE299" s="84">
        <f>IF(INDEX(lmic_raw_ub[],MATCH($A299,lmic_raw_ub[[setting]:[setting]],0), MATCH(AE$277, lmic_raw_ub[#Headers],0))=0, INDEX(regions_ub[], MATCH($D299, regions_ub[[setting]:[setting]],0), MATCH(AE$139, regions_ub[#Headers],0)),INDEX(lmic_raw_ub[],MATCH($A299,lmic_raw_ub[[setting]:[setting]],0), MATCH(AE$277, lmic_raw_ub[#Headers],0)))</f>
        <v>2.7589366391510776E-3</v>
      </c>
      <c r="AF299" s="84">
        <f>IF(INDEX(lmic_raw_ub[],MATCH($A299,lmic_raw_ub[[setting]:[setting]],0), MATCH(AF$277, lmic_raw_ub[#Headers],0))=0, INDEX(regions_ub[], MATCH($D299, regions_ub[[setting]:[setting]],0), MATCH(AF$139, regions_ub[#Headers],0)),INDEX(lmic_raw_ub[],MATCH($A299,lmic_raw_ub[[setting]:[setting]],0), MATCH(AF$277, lmic_raw_ub[#Headers],0)))</f>
        <v>1.8820907365986214E-3</v>
      </c>
      <c r="AG299" s="84">
        <f>IF(INDEX(lmic_raw_ub[],MATCH($A299,lmic_raw_ub[[setting]:[setting]],0), MATCH(AG$277, lmic_raw_ub[#Headers],0))=0, INDEX(regions_ub[], MATCH($D299, regions_ub[[setting]:[setting]],0), MATCH(AG$139, regions_ub[#Headers],0)),INDEX(lmic_raw_ub[],MATCH($A299,lmic_raw_ub[[setting]:[setting]],0), MATCH(AG$277, lmic_raw_ub[#Headers],0)))</f>
        <v>2.8086797886576744E-3</v>
      </c>
      <c r="AH299" s="84">
        <f>IF(INDEX(lmic_raw_ub[],MATCH($A299,lmic_raw_ub[[setting]:[setting]],0), MATCH(AH$277, lmic_raw_ub[#Headers],0))=0, INDEX(regions_ub[], MATCH($D299, regions_ub[[setting]:[setting]],0), MATCH(AH$139, regions_ub[#Headers],0)),INDEX(lmic_raw_ub[],MATCH($A299,lmic_raw_ub[[setting]:[setting]],0), MATCH(AH$277, lmic_raw_ub[#Headers],0)))</f>
        <v>4.0332490670256143E-3</v>
      </c>
      <c r="AI299" s="84">
        <f>IF(INDEX(lmic_raw_ub[],MATCH($A299,lmic_raw_ub[[setting]:[setting]],0), MATCH(AI$277, lmic_raw_ub[#Headers],0))=0, INDEX(regions_ub[], MATCH($D299, regions_ub[[setting]:[setting]],0), MATCH(AI$139, regions_ub[#Headers],0)),INDEX(lmic_raw_ub[],MATCH($A299,lmic_raw_ub[[setting]:[setting]],0), MATCH(AI$277, lmic_raw_ub[#Headers],0)))</f>
        <v>4.7856244543156568E-3</v>
      </c>
      <c r="AJ299" s="84">
        <f>IF(INDEX(lmic_raw_ub[],MATCH($A299,lmic_raw_ub[[setting]:[setting]],0), MATCH(AJ$277, lmic_raw_ub[#Headers],0))=0, INDEX(regions_ub[], MATCH($D299, regions_ub[[setting]:[setting]],0), MATCH(AJ$139, regions_ub[#Headers],0)),INDEX(lmic_raw_ub[],MATCH($A299,lmic_raw_ub[[setting]:[setting]],0), MATCH(AJ$277, lmic_raw_ub[#Headers],0)))</f>
        <v>5.6243568510979253E-3</v>
      </c>
      <c r="AK299" s="84">
        <f>IF(INDEX(lmic_raw_ub[],MATCH($A299,lmic_raw_ub[[setting]:[setting]],0), MATCH(AK$277, lmic_raw_ub[#Headers],0))=0, INDEX(regions_ub[], MATCH($D299, regions_ub[[setting]:[setting]],0), MATCH(AK$139, regions_ub[#Headers],0)),INDEX(lmic_raw_ub[],MATCH($A299,lmic_raw_ub[[setting]:[setting]],0), MATCH(AK$277, lmic_raw_ub[#Headers],0)))</f>
        <v>6.8096072892051118E-3</v>
      </c>
      <c r="AL299" s="84">
        <f>IF(INDEX(lmic_raw_ub[],MATCH($A299,lmic_raw_ub[[setting]:[setting]],0), MATCH(AL$277, lmic_raw_ub[#Headers],0))=0, INDEX(regions_ub[], MATCH($D299, regions_ub[[setting]:[setting]],0), MATCH(AL$139, regions_ub[#Headers],0)),INDEX(lmic_raw_ub[],MATCH($A299,lmic_raw_ub[[setting]:[setting]],0), MATCH(AL$277, lmic_raw_ub[#Headers],0)))</f>
        <v>8.3241175940499037E-3</v>
      </c>
      <c r="AM299" s="84">
        <f>IF(INDEX(lmic_raw_ub[],MATCH($A299,lmic_raw_ub[[setting]:[setting]],0), MATCH(AM$277, lmic_raw_ub[#Headers],0))=0, INDEX(regions_ub[], MATCH($D299, regions_ub[[setting]:[setting]],0), MATCH(AM$139, regions_ub[#Headers],0)),INDEX(lmic_raw_ub[],MATCH($A299,lmic_raw_ub[[setting]:[setting]],0), MATCH(AM$277, lmic_raw_ub[#Headers],0)))</f>
        <v>1.0103526164107221E-2</v>
      </c>
      <c r="AN299" s="84">
        <f>IF(INDEX(lmic_raw_ub[],MATCH($A299,lmic_raw_ub[[setting]:[setting]],0), MATCH(AN$277, lmic_raw_ub[#Headers],0))=0, INDEX(regions_ub[], MATCH($D299, regions_ub[[setting]:[setting]],0), MATCH(AN$139, regions_ub[#Headers],0)),INDEX(lmic_raw_ub[],MATCH($A299,lmic_raw_ub[[setting]:[setting]],0), MATCH(AN$277, lmic_raw_ub[#Headers],0)))</f>
        <v>1.3632963157637833E-2</v>
      </c>
      <c r="AO299" s="84">
        <f>IF(INDEX(lmic_raw_ub[],MATCH($A299,lmic_raw_ub[[setting]:[setting]],0), MATCH(AO$277, lmic_raw_ub[#Headers],0))=0, INDEX(regions_ub[], MATCH($D299, regions_ub[[setting]:[setting]],0), MATCH(AO$139, regions_ub[#Headers],0)),INDEX(lmic_raw_ub[],MATCH($A299,lmic_raw_ub[[setting]:[setting]],0), MATCH(AO$277, lmic_raw_ub[#Headers],0)))</f>
        <v>1.7775661953574207E-2</v>
      </c>
      <c r="AP299" s="84">
        <f>IF(INDEX(lmic_raw_ub[],MATCH($A299,lmic_raw_ub[[setting]:[setting]],0), MATCH(AP$277, lmic_raw_ub[#Headers],0))=0, INDEX(regions_ub[], MATCH($D299, regions_ub[[setting]:[setting]],0), MATCH(AP$139, regions_ub[#Headers],0)),INDEX(lmic_raw_ub[],MATCH($A299,lmic_raw_ub[[setting]:[setting]],0), MATCH(AP$277, lmic_raw_ub[#Headers],0)))</f>
        <v>2.5868940777707287E-2</v>
      </c>
      <c r="AQ299" s="84">
        <f>IF(INDEX(lmic_raw_ub[],MATCH($A299,lmic_raw_ub[[setting]:[setting]],0), MATCH(AQ$277, lmic_raw_ub[#Headers],0))=0, INDEX(regions_ub[], MATCH($D299, regions_ub[[setting]:[setting]],0), MATCH(AQ$139, regions_ub[#Headers],0)),INDEX(lmic_raw_ub[],MATCH($A299,lmic_raw_ub[[setting]:[setting]],0), MATCH(AQ$277, lmic_raw_ub[#Headers],0)))</f>
        <v>3.8716838558161298E-2</v>
      </c>
      <c r="AR299" s="84">
        <f>IF(INDEX(lmic_raw_ub[],MATCH($A299,lmic_raw_ub[[setting]:[setting]],0), MATCH(AR$277, lmic_raw_ub[#Headers],0))=0, INDEX(regions_ub[], MATCH($D299, regions_ub[[setting]:[setting]],0), MATCH(AR$139, regions_ub[#Headers],0)),INDEX(lmic_raw_ub[],MATCH($A299,lmic_raw_ub[[setting]:[setting]],0), MATCH(AR$277, lmic_raw_ub[#Headers],0)))</f>
        <v>5.8547125256770555E-2</v>
      </c>
      <c r="AS299" s="84">
        <f>IF(INDEX(lmic_raw_ub[],MATCH($A299,lmic_raw_ub[[setting]:[setting]],0), MATCH(AS$277, lmic_raw_ub[#Headers],0))=0, INDEX(regions_ub[], MATCH($D299, regions_ub[[setting]:[setting]],0), MATCH(AS$139, regions_ub[#Headers],0)),INDEX(lmic_raw_ub[],MATCH($A299,lmic_raw_ub[[setting]:[setting]],0), MATCH(AS$277, lmic_raw_ub[#Headers],0)))</f>
        <v>8.6739916452669805E-2</v>
      </c>
      <c r="AT299" s="84">
        <f>IF(INDEX(lmic_raw_ub[],MATCH($A299,lmic_raw_ub[[setting]:[setting]],0), MATCH(AT$277, lmic_raw_ub[#Headers],0))=0, INDEX(regions_ub[], MATCH($D299, regions_ub[[setting]:[setting]],0), MATCH(AT$139, regions_ub[#Headers],0)),INDEX(lmic_raw_ub[],MATCH($A299,lmic_raw_ub[[setting]:[setting]],0), MATCH(AT$277, lmic_raw_ub[#Headers],0)))</f>
        <v>0.12472593538660115</v>
      </c>
      <c r="AU299" s="84">
        <f>IF(INDEX(lmic_raw_ub[],MATCH($A299,lmic_raw_ub[[setting]:[setting]],0), MATCH(AU$277, lmic_raw_ub[#Headers],0))=0, INDEX(regions_ub[], MATCH($D299, regions_ub[[setting]:[setting]],0), MATCH(AU$139, regions_ub[#Headers],0)),INDEX(lmic_raw_ub[],MATCH($A299,lmic_raw_ub[[setting]:[setting]],0), MATCH(AU$277, lmic_raw_ub[#Headers],0)))</f>
        <v>0.16459225712055983</v>
      </c>
      <c r="AV299" s="84">
        <f>IF(INDEX(lmic_raw_ub[],MATCH($A299,lmic_raw_ub[[setting]:[setting]],0), MATCH(AV$277, lmic_raw_ub[#Headers],0))=0, INDEX(regions_ub[], MATCH($D299, regions_ub[[setting]:[setting]],0), MATCH(AV$139, regions_ub[#Headers],0)),INDEX(lmic_raw_ub[],MATCH($A299,lmic_raw_ub[[setting]:[setting]],0), MATCH(AV$277, lmic_raw_ub[#Headers],0)))</f>
        <v>0.19306388000483238</v>
      </c>
      <c r="AW299" s="84">
        <f>IF(INDEX(lmic_raw_ub[],MATCH($A299,lmic_raw_ub[[setting]:[setting]],0), MATCH(AW$277, lmic_raw_ub[#Headers],0))=0, INDEX(regions_ub[], MATCH($D299, regions_ub[[setting]:[setting]],0), MATCH(AW$139, regions_ub[#Headers],0)),INDEX(lmic_raw_ub[],MATCH($A299,lmic_raw_ub[[setting]:[setting]],0), MATCH(AW$277, lmic_raw_ub[#Headers],0)))</f>
        <v>0.19944893621190976</v>
      </c>
      <c r="AX299" s="84">
        <f>IF(INDEX(lmic_raw_ub[],MATCH($A299,lmic_raw_ub[[setting]:[setting]],0), MATCH(AX$277, lmic_raw_ub[#Headers],0))=0, INDEX(regions_ub[], MATCH($D299, regions_ub[[setting]:[setting]],0), MATCH(AX$139, regions_ub[#Headers],0)),INDEX(lmic_raw_ub[],MATCH($A299,lmic_raw_ub[[setting]:[setting]],0), MATCH(AX$277, lmic_raw_ub[#Headers],0)))</f>
        <v>61.710599999999999</v>
      </c>
      <c r="AY299" s="33" t="str">
        <f>IF(VLOOKUP(lmics_ub[[#This Row],[setting]],lmic_raw_ub[],11,FALSE)=0, "Yes", "No")</f>
        <v>Yes</v>
      </c>
    </row>
    <row r="300" spans="1:51" x14ac:dyDescent="0.25">
      <c r="A300" s="109" t="s">
        <v>601</v>
      </c>
      <c r="B300" s="101" t="s">
        <v>397</v>
      </c>
      <c r="C300" s="102">
        <v>140</v>
      </c>
      <c r="D300" s="82" t="s">
        <v>677</v>
      </c>
      <c r="E300" s="82" t="s">
        <v>582</v>
      </c>
      <c r="F300" s="82" t="s">
        <v>667</v>
      </c>
      <c r="G300" s="82" t="s">
        <v>674</v>
      </c>
      <c r="J300" s="84">
        <f>IF(INDEX(lmic_raw_ub[],MATCH($A300,lmic_raw_ub[[setting]:[setting]],0), MATCH(J$277, lmic_raw_ub[#Headers],0))=0, INDEX(regions_ub[], MATCH($D300, regions_ub[[setting]:[setting]],0), MATCH(J$139, regions_ub[#Headers],0)),INDEX(lmic_raw_ub[],MATCH($A300,lmic_raw_ub[[setting]:[setting]],0), MATCH(J$277, lmic_raw_ub[#Headers],0)))</f>
        <v>0.55125000000000002</v>
      </c>
      <c r="K300" s="84">
        <f>IF(INDEX(lmic_raw_ub[],MATCH($A300,lmic_raw_ub[[setting]:[setting]],0), MATCH(K$277, lmic_raw_ub[#Headers],0))=0, INDEX(regions_ub[], MATCH($D300, regions_ub[[setting]:[setting]],0), MATCH(K$139, regions_ub[#Headers],0)),INDEX(lmic_raw_ub[],MATCH($A300,lmic_raw_ub[[setting]:[setting]],0), MATCH(K$277, lmic_raw_ub[#Headers],0)))</f>
        <v>0.71433037619548323</v>
      </c>
      <c r="L300" s="84">
        <f>IF(INDEX(lmic_raw_ub[],MATCH($A300,lmic_raw_ub[[setting]:[setting]],0), MATCH(L$277, lmic_raw_ub[#Headers],0))=0, INDEX(regions_ub[], MATCH($D300, regions_ub[[setting]:[setting]],0), MATCH(L$139, regions_ub[#Headers],0)),INDEX(lmic_raw_ub[],MATCH($A300,lmic_raw_ub[[setting]:[setting]],0), MATCH(L$277, lmic_raw_ub[#Headers],0)))</f>
        <v>0.49349999999999999</v>
      </c>
      <c r="M300" s="84">
        <f>IF(INDEX(lmic_raw_ub[],MATCH($A300,lmic_raw_ub[[setting]:[setting]],0), MATCH(M$277, lmic_raw_ub[#Headers],0))=0, INDEX(regions_ub[], MATCH($D300, regions_ub[[setting]:[setting]],0), MATCH(M$139, regions_ub[#Headers],0)),INDEX(lmic_raw_ub[],MATCH($A300,lmic_raw_ub[[setting]:[setting]],0), MATCH(M$277, lmic_raw_ub[#Headers],0)))</f>
        <v>0.1263</v>
      </c>
      <c r="N300" s="84">
        <f>IF(INDEX(lmic_raw_ub[],MATCH($A300,lmic_raw_ub[[setting]:[setting]],0), MATCH(N$277, lmic_raw_ub[#Headers],0))=0, INDEX(regions_ub[], MATCH($D300, regions_ub[[setting]:[setting]],0), MATCH(N$139, regions_ub[#Headers],0)),INDEX(lmic_raw_ub[],MATCH($A300,lmic_raw_ub[[setting]:[setting]],0), MATCH(N$277, lmic_raw_ub[#Headers],0)))</f>
        <v>0.40200000000000002</v>
      </c>
      <c r="O300" s="84">
        <f>IF(INDEX(lmic_raw_ub[],MATCH($A300,lmic_raw_ub[[setting]:[setting]],0), MATCH(O$277, lmic_raw_ub[#Headers],0))=0, INDEX(regions_ub[], MATCH($D300, regions_ub[[setting]:[setting]],0), MATCH(O$139, regions_ub[#Headers],0)),INDEX(lmic_raw_ub[],MATCH($A300,lmic_raw_ub[[setting]:[setting]],0), MATCH(O$277, lmic_raw_ub[#Headers],0)))</f>
        <v>0.74399999999999999</v>
      </c>
      <c r="P300" s="84">
        <f>IF(INDEX(lmic_raw_ub[],MATCH($A300,lmic_raw_ub[[setting]:[setting]],0), MATCH(P$277, lmic_raw_ub[#Headers],0))=0, INDEX(regions_ub[], MATCH($D300, regions_ub[[setting]:[setting]],0), MATCH(P$139, regions_ub[#Headers],0)),INDEX(lmic_raw_ub[],MATCH($A300,lmic_raw_ub[[setting]:[setting]],0), MATCH(P$277, lmic_raw_ub[#Headers],0)))</f>
        <v>0.13300000000000001</v>
      </c>
      <c r="Q300" s="84">
        <f>IF(INDEX(lmic_raw_ub[],MATCH($A300,lmic_raw_ub[[setting]:[setting]],0), MATCH(Q$277, lmic_raw_ub[#Headers],0))=0, INDEX(regions_ub[], MATCH($D300, regions_ub[[setting]:[setting]],0), MATCH(Q$139, regions_ub[#Headers],0)),INDEX(lmic_raw_ub[],MATCH($A300,lmic_raw_ub[[setting]:[setting]],0), MATCH(Q$277, lmic_raw_ub[#Headers],0)))</f>
        <v>2.903339965039772</v>
      </c>
      <c r="R300" s="84">
        <f>IF(INDEX(lmic_raw_ub[],MATCH($A300,lmic_raw_ub[[setting]:[setting]],0), MATCH(R$277, lmic_raw_ub[#Headers],0))=0, INDEX(regions_ub[], MATCH($D300, regions_ub[[setting]:[setting]],0), MATCH(R$139, regions_ub[#Headers],0)),INDEX(lmic_raw_ub[],MATCH($A300,lmic_raw_ub[[setting]:[setting]],0), MATCH(R$277, lmic_raw_ub[#Headers],0)))</f>
        <v>31.416525000000004</v>
      </c>
      <c r="S300" s="84">
        <f>IF(INDEX(lmic_raw_ub[],MATCH($A300,lmic_raw_ub[[setting]:[setting]],0), MATCH(S$277, lmic_raw_ub[#Headers],0))=0, INDEX(regions_ub[], MATCH($D300, regions_ub[[setting]:[setting]],0), MATCH(S$139, regions_ub[#Headers],0)),INDEX(lmic_raw_ub[],MATCH($A300,lmic_raw_ub[[setting]:[setting]],0), MATCH(S$277, lmic_raw_ub[#Headers],0)))</f>
        <v>81.545625000000015</v>
      </c>
      <c r="T300" s="84">
        <f>IF(INDEX(lmic_raw_ub[],MATCH($A300,lmic_raw_ub[[setting]:[setting]],0), MATCH(T$277, lmic_raw_ub[#Headers],0))=0, INDEX(regions_ub[], MATCH($D300, regions_ub[[setting]:[setting]],0), MATCH(T$139, regions_ub[#Headers],0)),INDEX(lmic_raw_ub[],MATCH($A300,lmic_raw_ub[[setting]:[setting]],0), MATCH(T$277, lmic_raw_ub[#Headers],0)))</f>
        <v>81.545625000000015</v>
      </c>
      <c r="U300" s="84">
        <f>IF(INDEX(lmic_raw_ub[],MATCH($A300,lmic_raw_ub[[setting]:[setting]],0), MATCH(U$277, lmic_raw_ub[#Headers],0))=0, INDEX(regions_ub[], MATCH($D300, regions_ub[[setting]:[setting]],0), MATCH(U$139, regions_ub[#Headers],0)),INDEX(lmic_raw_ub[],MATCH($A300,lmic_raw_ub[[setting]:[setting]],0), MATCH(U$277, lmic_raw_ub[#Headers],0)))</f>
        <v>81.545625000000015</v>
      </c>
      <c r="V300" s="84">
        <f>IF(INDEX(lmic_raw_ub[],MATCH($A300,lmic_raw_ub[[setting]:[setting]],0), MATCH(V$277, lmic_raw_ub[#Headers],0))=0, INDEX(regions_ub[], MATCH($D300, regions_ub[[setting]:[setting]],0), MATCH(V$139, regions_ub[#Headers],0)),INDEX(lmic_raw_ub[],MATCH($A300,lmic_raw_ub[[setting]:[setting]],0), MATCH(V$277, lmic_raw_ub[#Headers],0)))</f>
        <v>2.8597649314524096</v>
      </c>
      <c r="W300" s="84">
        <f>IF(INDEX(lmic_raw_ub[],MATCH($A300,lmic_raw_ub[[setting]:[setting]],0), MATCH(W$277, lmic_raw_ub[#Headers],0))=0, INDEX(regions_ub[], MATCH($D300, regions_ub[[setting]:[setting]],0), MATCH(W$139, regions_ub[#Headers],0)),INDEX(lmic_raw_ub[],MATCH($A300,lmic_raw_ub[[setting]:[setting]],0), MATCH(W$277, lmic_raw_ub[#Headers],0)))</f>
        <v>7.9298999314524101</v>
      </c>
      <c r="X300" s="84">
        <f>IF(INDEX(lmic_raw_ub[],MATCH($A300,lmic_raw_ub[[setting]:[setting]],0), MATCH(X$277, lmic_raw_ub[#Headers],0))=0, INDEX(regions_ub[], MATCH($D300, regions_ub[[setting]:[setting]],0), MATCH(X$139, regions_ub[#Headers],0)),INDEX(lmic_raw_ub[],MATCH($A300,lmic_raw_ub[[setting]:[setting]],0), MATCH(X$277, lmic_raw_ub[#Headers],0)))</f>
        <v>2.3684662535349092</v>
      </c>
      <c r="Y300" s="84">
        <f>IF(INDEX(lmic_raw_ub[],MATCH($A300,lmic_raw_ub[[setting]:[setting]],0), MATCH(Y$277, lmic_raw_ub[#Headers],0))=0, INDEX(regions_ub[], MATCH($D300, regions_ub[[setting]:[setting]],0), MATCH(Y$139, regions_ub[#Headers],0)),INDEX(lmic_raw_ub[],MATCH($A300,lmic_raw_ub[[setting]:[setting]],0), MATCH(Y$277, lmic_raw_ub[#Headers],0)))</f>
        <v>7.4386012535349098</v>
      </c>
      <c r="Z300" s="84">
        <f>IF(INDEX(lmic_raw_ub[],MATCH($A300,lmic_raw_ub[[setting]:[setting]],0), MATCH(Z$277, lmic_raw_ub[#Headers],0))=0, INDEX(regions_ub[], MATCH($D300, regions_ub[[setting]:[setting]],0), MATCH(Z$139, regions_ub[#Headers],0)),INDEX(lmic_raw_ub[],MATCH($A300,lmic_raw_ub[[setting]:[setting]],0), MATCH(Z$277, lmic_raw_ub[#Headers],0)))</f>
        <v>7.4341783874393661</v>
      </c>
      <c r="AA300" s="84">
        <f>IF(INDEX(lmic_raw_ub[],MATCH($A300,lmic_raw_ub[[setting]:[setting]],0), MATCH(AA$277, lmic_raw_ub[#Headers],0))=0, INDEX(regions_ub[], MATCH($D300, regions_ub[[setting]:[setting]],0), MATCH(AA$139, regions_ub[#Headers],0)),INDEX(lmic_raw_ub[],MATCH($A300,lmic_raw_ub[[setting]:[setting]],0), MATCH(AA$277, lmic_raw_ub[#Headers],0)))</f>
        <v>3.1273611620405779</v>
      </c>
      <c r="AB300" s="84">
        <f>IF(INDEX(lmic_raw_ub[],MATCH($A300,lmic_raw_ub[[setting]:[setting]],0), MATCH(AB$277, lmic_raw_ub[#Headers],0))=0, INDEX(regions_ub[], MATCH($D300, regions_ub[[setting]:[setting]],0), MATCH(AB$139, regions_ub[#Headers],0)),INDEX(lmic_raw_ub[],MATCH($A300,lmic_raw_ub[[setting]:[setting]],0), MATCH(AB$277, lmic_raw_ub[#Headers],0)))</f>
        <v>8.1974961620405793</v>
      </c>
      <c r="AC300" s="84">
        <f>IF(INDEX(lmic_raw_ub[],MATCH($A300,lmic_raw_ub[[setting]:[setting]],0), MATCH(AC$277, lmic_raw_ub[#Headers],0))=0, INDEX(regions_ub[], MATCH($D300, regions_ub[[setting]:[setting]],0), MATCH(AC$139, regions_ub[#Headers],0)),INDEX(lmic_raw_ub[],MATCH($A300,lmic_raw_ub[[setting]:[setting]],0), MATCH(AC$277, lmic_raw_ub[#Headers],0)))</f>
        <v>8.6019086999999939E-2</v>
      </c>
      <c r="AD300" s="84">
        <f>IF(INDEX(lmic_raw_ub[],MATCH($A300,lmic_raw_ub[[setting]:[setting]],0), MATCH(AD$277, lmic_raw_ub[#Headers],0))=0, INDEX(regions_ub[], MATCH($D300, regions_ub[[setting]:[setting]],0), MATCH(AD$139, regions_ub[#Headers],0)),INDEX(lmic_raw_ub[],MATCH($A300,lmic_raw_ub[[setting]:[setting]],0), MATCH(AD$277, lmic_raw_ub[#Headers],0)))</f>
        <v>1.1422111859542601E-2</v>
      </c>
      <c r="AE300" s="84">
        <f>IF(INDEX(lmic_raw_ub[],MATCH($A300,lmic_raw_ub[[setting]:[setting]],0), MATCH(AE$277, lmic_raw_ub[#Headers],0))=0, INDEX(regions_ub[], MATCH($D300, regions_ub[[setting]:[setting]],0), MATCH(AE$139, regions_ub[#Headers],0)),INDEX(lmic_raw_ub[],MATCH($A300,lmic_raw_ub[[setting]:[setting]],0), MATCH(AE$277, lmic_raw_ub[#Headers],0)))</f>
        <v>3.3562350950848406E-3</v>
      </c>
      <c r="AF300" s="84">
        <f>IF(INDEX(lmic_raw_ub[],MATCH($A300,lmic_raw_ub[[setting]:[setting]],0), MATCH(AF$277, lmic_raw_ub[#Headers],0))=0, INDEX(regions_ub[], MATCH($D300, regions_ub[[setting]:[setting]],0), MATCH(AF$139, regions_ub[#Headers],0)),INDEX(lmic_raw_ub[],MATCH($A300,lmic_raw_ub[[setting]:[setting]],0), MATCH(AF$277, lmic_raw_ub[#Headers],0)))</f>
        <v>2.4023410491510635E-3</v>
      </c>
      <c r="AG300" s="84">
        <f>IF(INDEX(lmic_raw_ub[],MATCH($A300,lmic_raw_ub[[setting]:[setting]],0), MATCH(AG$277, lmic_raw_ub[#Headers],0))=0, INDEX(regions_ub[], MATCH($D300, regions_ub[[setting]:[setting]],0), MATCH(AG$139, regions_ub[#Headers],0)),INDEX(lmic_raw_ub[],MATCH($A300,lmic_raw_ub[[setting]:[setting]],0), MATCH(AG$277, lmic_raw_ub[#Headers],0)))</f>
        <v>3.4594000069982948E-3</v>
      </c>
      <c r="AH300" s="84">
        <f>IF(INDEX(lmic_raw_ub[],MATCH($A300,lmic_raw_ub[[setting]:[setting]],0), MATCH(AH$277, lmic_raw_ub[#Headers],0))=0, INDEX(regions_ub[], MATCH($D300, regions_ub[[setting]:[setting]],0), MATCH(AH$139, regions_ub[#Headers],0)),INDEX(lmic_raw_ub[],MATCH($A300,lmic_raw_ub[[setting]:[setting]],0), MATCH(AH$277, lmic_raw_ub[#Headers],0)))</f>
        <v>5.2701869972663472E-3</v>
      </c>
      <c r="AI300" s="84">
        <f>IF(INDEX(lmic_raw_ub[],MATCH($A300,lmic_raw_ub[[setting]:[setting]],0), MATCH(AI$277, lmic_raw_ub[#Headers],0))=0, INDEX(regions_ub[], MATCH($D300, regions_ub[[setting]:[setting]],0), MATCH(AI$139, regions_ub[#Headers],0)),INDEX(lmic_raw_ub[],MATCH($A300,lmic_raw_ub[[setting]:[setting]],0), MATCH(AI$277, lmic_raw_ub[#Headers],0)))</f>
        <v>7.185415696899203E-3</v>
      </c>
      <c r="AJ300" s="84">
        <f>IF(INDEX(lmic_raw_ub[],MATCH($A300,lmic_raw_ub[[setting]:[setting]],0), MATCH(AJ$277, lmic_raw_ub[#Headers],0))=0, INDEX(regions_ub[], MATCH($D300, regions_ub[[setting]:[setting]],0), MATCH(AJ$139, regions_ub[#Headers],0)),INDEX(lmic_raw_ub[],MATCH($A300,lmic_raw_ub[[setting]:[setting]],0), MATCH(AJ$277, lmic_raw_ub[#Headers],0)))</f>
        <v>9.1074934087733237E-3</v>
      </c>
      <c r="AK300" s="84">
        <f>IF(INDEX(lmic_raw_ub[],MATCH($A300,lmic_raw_ub[[setting]:[setting]],0), MATCH(AK$277, lmic_raw_ub[#Headers],0))=0, INDEX(regions_ub[], MATCH($D300, regions_ub[[setting]:[setting]],0), MATCH(AK$139, regions_ub[#Headers],0)),INDEX(lmic_raw_ub[],MATCH($A300,lmic_raw_ub[[setting]:[setting]],0), MATCH(AK$277, lmic_raw_ub[#Headers],0)))</f>
        <v>1.1616115912694246E-2</v>
      </c>
      <c r="AL300" s="84">
        <f>IF(INDEX(lmic_raw_ub[],MATCH($A300,lmic_raw_ub[[setting]:[setting]],0), MATCH(AL$277, lmic_raw_ub[#Headers],0))=0, INDEX(regions_ub[], MATCH($D300, regions_ub[[setting]:[setting]],0), MATCH(AL$139, regions_ub[#Headers],0)),INDEX(lmic_raw_ub[],MATCH($A300,lmic_raw_ub[[setting]:[setting]],0), MATCH(AL$277, lmic_raw_ub[#Headers],0)))</f>
        <v>1.3583914661327837E-2</v>
      </c>
      <c r="AM300" s="84">
        <f>IF(INDEX(lmic_raw_ub[],MATCH($A300,lmic_raw_ub[[setting]:[setting]],0), MATCH(AM$277, lmic_raw_ub[#Headers],0))=0, INDEX(regions_ub[], MATCH($D300, regions_ub[[setting]:[setting]],0), MATCH(AM$139, regions_ub[#Headers],0)),INDEX(lmic_raw_ub[],MATCH($A300,lmic_raw_ub[[setting]:[setting]],0), MATCH(AM$277, lmic_raw_ub[#Headers],0)))</f>
        <v>1.5732752163134703E-2</v>
      </c>
      <c r="AN300" s="84">
        <f>IF(INDEX(lmic_raw_ub[],MATCH($A300,lmic_raw_ub[[setting]:[setting]],0), MATCH(AN$277, lmic_raw_ub[#Headers],0))=0, INDEX(regions_ub[], MATCH($D300, regions_ub[[setting]:[setting]],0), MATCH(AN$139, regions_ub[#Headers],0)),INDEX(lmic_raw_ub[],MATCH($A300,lmic_raw_ub[[setting]:[setting]],0), MATCH(AN$277, lmic_raw_ub[#Headers],0)))</f>
        <v>1.9208420679319563E-2</v>
      </c>
      <c r="AO300" s="84">
        <f>IF(INDEX(lmic_raw_ub[],MATCH($A300,lmic_raw_ub[[setting]:[setting]],0), MATCH(AO$277, lmic_raw_ub[#Headers],0))=0, INDEX(regions_ub[], MATCH($D300, regions_ub[[setting]:[setting]],0), MATCH(AO$139, regions_ub[#Headers],0)),INDEX(lmic_raw_ub[],MATCH($A300,lmic_raw_ub[[setting]:[setting]],0), MATCH(AO$277, lmic_raw_ub[#Headers],0)))</f>
        <v>2.3413629635424229E-2</v>
      </c>
      <c r="AP300" s="84">
        <f>IF(INDEX(lmic_raw_ub[],MATCH($A300,lmic_raw_ub[[setting]:[setting]],0), MATCH(AP$277, lmic_raw_ub[#Headers],0))=0, INDEX(regions_ub[], MATCH($D300, regions_ub[[setting]:[setting]],0), MATCH(AP$139, regions_ub[#Headers],0)),INDEX(lmic_raw_ub[],MATCH($A300,lmic_raw_ub[[setting]:[setting]],0), MATCH(AP$277, lmic_raw_ub[#Headers],0)))</f>
        <v>3.1275837522924038E-2</v>
      </c>
      <c r="AQ300" s="84">
        <f>IF(INDEX(lmic_raw_ub[],MATCH($A300,lmic_raw_ub[[setting]:[setting]],0), MATCH(AQ$277, lmic_raw_ub[#Headers],0))=0, INDEX(regions_ub[], MATCH($D300, regions_ub[[setting]:[setting]],0), MATCH(AQ$139, regions_ub[#Headers],0)),INDEX(lmic_raw_ub[],MATCH($A300,lmic_raw_ub[[setting]:[setting]],0), MATCH(AQ$277, lmic_raw_ub[#Headers],0)))</f>
        <v>4.3594639595034373E-2</v>
      </c>
      <c r="AR300" s="84">
        <f>IF(INDEX(lmic_raw_ub[],MATCH($A300,lmic_raw_ub[[setting]:[setting]],0), MATCH(AR$277, lmic_raw_ub[#Headers],0))=0, INDEX(regions_ub[], MATCH($D300, regions_ub[[setting]:[setting]],0), MATCH(AR$139, regions_ub[#Headers],0)),INDEX(lmic_raw_ub[],MATCH($A300,lmic_raw_ub[[setting]:[setting]],0), MATCH(AR$277, lmic_raw_ub[#Headers],0)))</f>
        <v>6.2409139228909144E-2</v>
      </c>
      <c r="AS300" s="84">
        <f>IF(INDEX(lmic_raw_ub[],MATCH($A300,lmic_raw_ub[[setting]:[setting]],0), MATCH(AS$277, lmic_raw_ub[#Headers],0))=0, INDEX(regions_ub[], MATCH($D300, regions_ub[[setting]:[setting]],0), MATCH(AS$139, regions_ub[#Headers],0)),INDEX(lmic_raw_ub[],MATCH($A300,lmic_raw_ub[[setting]:[setting]],0), MATCH(AS$277, lmic_raw_ub[#Headers],0)))</f>
        <v>8.8287402570474197E-2</v>
      </c>
      <c r="AT300" s="84">
        <f>IF(INDEX(lmic_raw_ub[],MATCH($A300,lmic_raw_ub[[setting]:[setting]],0), MATCH(AT$277, lmic_raw_ub[#Headers],0))=0, INDEX(regions_ub[], MATCH($D300, regions_ub[[setting]:[setting]],0), MATCH(AT$139, regions_ub[#Headers],0)),INDEX(lmic_raw_ub[],MATCH($A300,lmic_raw_ub[[setting]:[setting]],0), MATCH(AT$277, lmic_raw_ub[#Headers],0)))</f>
        <v>0.12391461307710899</v>
      </c>
      <c r="AU300" s="84">
        <f>IF(INDEX(lmic_raw_ub[],MATCH($A300,lmic_raw_ub[[setting]:[setting]],0), MATCH(AU$277, lmic_raw_ub[#Headers],0))=0, INDEX(regions_ub[], MATCH($D300, regions_ub[[setting]:[setting]],0), MATCH(AU$139, regions_ub[#Headers],0)),INDEX(lmic_raw_ub[],MATCH($A300,lmic_raw_ub[[setting]:[setting]],0), MATCH(AU$277, lmic_raw_ub[#Headers],0)))</f>
        <v>0.16157022652989556</v>
      </c>
      <c r="AV300" s="84">
        <f>IF(INDEX(lmic_raw_ub[],MATCH($A300,lmic_raw_ub[[setting]:[setting]],0), MATCH(AV$277, lmic_raw_ub[#Headers],0))=0, INDEX(regions_ub[], MATCH($D300, regions_ub[[setting]:[setting]],0), MATCH(AV$139, regions_ub[#Headers],0)),INDEX(lmic_raw_ub[],MATCH($A300,lmic_raw_ub[[setting]:[setting]],0), MATCH(AV$277, lmic_raw_ub[#Headers],0)))</f>
        <v>0.18845474787299726</v>
      </c>
      <c r="AW300" s="84">
        <f>IF(INDEX(lmic_raw_ub[],MATCH($A300,lmic_raw_ub[[setting]:[setting]],0), MATCH(AW$277, lmic_raw_ub[#Headers],0))=0, INDEX(regions_ub[], MATCH($D300, regions_ub[[setting]:[setting]],0), MATCH(AW$139, regions_ub[#Headers],0)),INDEX(lmic_raw_ub[],MATCH($A300,lmic_raw_ub[[setting]:[setting]],0), MATCH(AW$277, lmic_raw_ub[#Headers],0)))</f>
        <v>0.19711987322296953</v>
      </c>
      <c r="AX300" s="84">
        <f>IF(INDEX(lmic_raw_ub[],MATCH($A300,lmic_raw_ub[[setting]:[setting]],0), MATCH(AX$277, lmic_raw_ub[#Headers],0))=0, INDEX(regions_ub[], MATCH($D300, regions_ub[[setting]:[setting]],0), MATCH(AX$139, regions_ub[#Headers],0)),INDEX(lmic_raw_ub[],MATCH($A300,lmic_raw_ub[[setting]:[setting]],0), MATCH(AX$277, lmic_raw_ub[#Headers],0)))</f>
        <v>55.301400000000001</v>
      </c>
      <c r="AY300" s="33" t="str">
        <f>IF(VLOOKUP(lmics_ub[[#This Row],[setting]],lmic_raw_ub[],11,FALSE)=0, "Yes", "No")</f>
        <v>Yes</v>
      </c>
    </row>
    <row r="301" spans="1:51" x14ac:dyDescent="0.25">
      <c r="A301" s="110" t="s">
        <v>125</v>
      </c>
      <c r="B301" s="104" t="s">
        <v>398</v>
      </c>
      <c r="C301" s="105">
        <v>148</v>
      </c>
      <c r="D301" s="84" t="s">
        <v>677</v>
      </c>
      <c r="E301" s="84" t="s">
        <v>591</v>
      </c>
      <c r="F301" s="84" t="s">
        <v>667</v>
      </c>
      <c r="G301" s="84" t="s">
        <v>674</v>
      </c>
      <c r="J301" s="84">
        <f>IF(INDEX(lmic_raw_ub[],MATCH($A301,lmic_raw_ub[[setting]:[setting]],0), MATCH(J$277, lmic_raw_ub[#Headers],0))=0, INDEX(regions_ub[], MATCH($D301, regions_ub[[setting]:[setting]],0), MATCH(J$139, regions_ub[#Headers],0)),INDEX(lmic_raw_ub[],MATCH($A301,lmic_raw_ub[[setting]:[setting]],0), MATCH(J$277, lmic_raw_ub[#Headers],0)))</f>
        <v>0.22785</v>
      </c>
      <c r="K301" s="84">
        <f>IF(INDEX(lmic_raw_ub[],MATCH($A301,lmic_raw_ub[[setting]:[setting]],0), MATCH(K$277, lmic_raw_ub[#Headers],0))=0, INDEX(regions_ub[], MATCH($D301, regions_ub[[setting]:[setting]],0), MATCH(K$139, regions_ub[#Headers],0)),INDEX(lmic_raw_ub[],MATCH($A301,lmic_raw_ub[[setting]:[setting]],0), MATCH(K$277, lmic_raw_ub[#Headers],0)))</f>
        <v>0.71433037619548323</v>
      </c>
      <c r="L301" s="84">
        <f>IF(INDEX(lmic_raw_ub[],MATCH($A301,lmic_raw_ub[[setting]:[setting]],0), MATCH(L$277, lmic_raw_ub[#Headers],0))=0, INDEX(regions_ub[], MATCH($D301, regions_ub[[setting]:[setting]],0), MATCH(L$139, regions_ub[#Headers],0)),INDEX(lmic_raw_ub[],MATCH($A301,lmic_raw_ub[[setting]:[setting]],0), MATCH(L$277, lmic_raw_ub[#Headers],0)))</f>
        <v>0.52500000000000002</v>
      </c>
      <c r="M301" s="84">
        <f>IF(INDEX(lmic_raw_ub[],MATCH($A301,lmic_raw_ub[[setting]:[setting]],0), MATCH(M$277, lmic_raw_ub[#Headers],0))=0, INDEX(regions_ub[], MATCH($D301, regions_ub[[setting]:[setting]],0), MATCH(M$139, regions_ub[#Headers],0)),INDEX(lmic_raw_ub[],MATCH($A301,lmic_raw_ub[[setting]:[setting]],0), MATCH(M$277, lmic_raw_ub[#Headers],0)))</f>
        <v>0.36430000000000001</v>
      </c>
      <c r="N301" s="84">
        <f>IF(INDEX(lmic_raw_ub[],MATCH($A301,lmic_raw_ub[[setting]:[setting]],0), MATCH(N$277, lmic_raw_ub[#Headers],0))=0, INDEX(regions_ub[], MATCH($D301, regions_ub[[setting]:[setting]],0), MATCH(N$139, regions_ub[#Headers],0)),INDEX(lmic_raw_ub[],MATCH($A301,lmic_raw_ub[[setting]:[setting]],0), MATCH(N$277, lmic_raw_ub[#Headers],0)))</f>
        <v>0.41070000000000001</v>
      </c>
      <c r="O301" s="84">
        <f>IF(INDEX(lmic_raw_ub[],MATCH($A301,lmic_raw_ub[[setting]:[setting]],0), MATCH(O$277, lmic_raw_ub[#Headers],0))=0, INDEX(regions_ub[], MATCH($D301, regions_ub[[setting]:[setting]],0), MATCH(O$139, regions_ub[#Headers],0)),INDEX(lmic_raw_ub[],MATCH($A301,lmic_raw_ub[[setting]:[setting]],0), MATCH(O$277, lmic_raw_ub[#Headers],0)))</f>
        <v>0.74399999999999999</v>
      </c>
      <c r="P301" s="84">
        <f>IF(INDEX(lmic_raw_ub[],MATCH($A301,lmic_raw_ub[[setting]:[setting]],0), MATCH(P$277, lmic_raw_ub[#Headers],0))=0, INDEX(regions_ub[], MATCH($D301, regions_ub[[setting]:[setting]],0), MATCH(P$139, regions_ub[#Headers],0)),INDEX(lmic_raw_ub[],MATCH($A301,lmic_raw_ub[[setting]:[setting]],0), MATCH(P$277, lmic_raw_ub[#Headers],0)))</f>
        <v>0.13300000000000001</v>
      </c>
      <c r="Q301" s="84">
        <f>IF(INDEX(lmic_raw_ub[],MATCH($A301,lmic_raw_ub[[setting]:[setting]],0), MATCH(Q$277, lmic_raw_ub[#Headers],0))=0, INDEX(regions_ub[], MATCH($D301, regions_ub[[setting]:[setting]],0), MATCH(Q$139, regions_ub[#Headers],0)),INDEX(lmic_raw_ub[],MATCH($A301,lmic_raw_ub[[setting]:[setting]],0), MATCH(Q$277, lmic_raw_ub[#Headers],0)))</f>
        <v>3.4267650769952147</v>
      </c>
      <c r="R301" s="84">
        <f>IF(INDEX(lmic_raw_ub[],MATCH($A301,lmic_raw_ub[[setting]:[setting]],0), MATCH(R$277, lmic_raw_ub[#Headers],0))=0, INDEX(regions_ub[], MATCH($D301, regions_ub[[setting]:[setting]],0), MATCH(R$139, regions_ub[#Headers],0)),INDEX(lmic_raw_ub[],MATCH($A301,lmic_raw_ub[[setting]:[setting]],0), MATCH(R$277, lmic_raw_ub[#Headers],0)))</f>
        <v>31.416525000000004</v>
      </c>
      <c r="S301" s="84">
        <f>IF(INDEX(lmic_raw_ub[],MATCH($A301,lmic_raw_ub[[setting]:[setting]],0), MATCH(S$277, lmic_raw_ub[#Headers],0))=0, INDEX(regions_ub[], MATCH($D301, regions_ub[[setting]:[setting]],0), MATCH(S$139, regions_ub[#Headers],0)),INDEX(lmic_raw_ub[],MATCH($A301,lmic_raw_ub[[setting]:[setting]],0), MATCH(S$277, lmic_raw_ub[#Headers],0)))</f>
        <v>81.545625000000015</v>
      </c>
      <c r="T301" s="84">
        <f>IF(INDEX(lmic_raw_ub[],MATCH($A301,lmic_raw_ub[[setting]:[setting]],0), MATCH(T$277, lmic_raw_ub[#Headers],0))=0, INDEX(regions_ub[], MATCH($D301, regions_ub[[setting]:[setting]],0), MATCH(T$139, regions_ub[#Headers],0)),INDEX(lmic_raw_ub[],MATCH($A301,lmic_raw_ub[[setting]:[setting]],0), MATCH(T$277, lmic_raw_ub[#Headers],0)))</f>
        <v>81.545625000000015</v>
      </c>
      <c r="U301" s="84">
        <f>IF(INDEX(lmic_raw_ub[],MATCH($A301,lmic_raw_ub[[setting]:[setting]],0), MATCH(U$277, lmic_raw_ub[#Headers],0))=0, INDEX(regions_ub[], MATCH($D301, regions_ub[[setting]:[setting]],0), MATCH(U$139, regions_ub[#Headers],0)),INDEX(lmic_raw_ub[],MATCH($A301,lmic_raw_ub[[setting]:[setting]],0), MATCH(U$277, lmic_raw_ub[#Headers],0)))</f>
        <v>81.545625000000015</v>
      </c>
      <c r="V301" s="84">
        <f>IF(INDEX(lmic_raw_ub[],MATCH($A301,lmic_raw_ub[[setting]:[setting]],0), MATCH(V$277, lmic_raw_ub[#Headers],0))=0, INDEX(regions_ub[], MATCH($D301, regions_ub[[setting]:[setting]],0), MATCH(V$139, regions_ub[#Headers],0)),INDEX(lmic_raw_ub[],MATCH($A301,lmic_raw_ub[[setting]:[setting]],0), MATCH(V$277, lmic_raw_ub[#Headers],0)))</f>
        <v>2.3636476220229494</v>
      </c>
      <c r="W301" s="84">
        <f>IF(INDEX(lmic_raw_ub[],MATCH($A301,lmic_raw_ub[[setting]:[setting]],0), MATCH(W$277, lmic_raw_ub[#Headers],0))=0, INDEX(regions_ub[], MATCH($D301, regions_ub[[setting]:[setting]],0), MATCH(W$139, regions_ub[#Headers],0)),INDEX(lmic_raw_ub[],MATCH($A301,lmic_raw_ub[[setting]:[setting]],0), MATCH(W$277, lmic_raw_ub[#Headers],0)))</f>
        <v>7.4337826220229495</v>
      </c>
      <c r="X301" s="84">
        <f>IF(INDEX(lmic_raw_ub[],MATCH($A301,lmic_raw_ub[[setting]:[setting]],0), MATCH(X$277, lmic_raw_ub[#Headers],0))=0, INDEX(regions_ub[], MATCH($D301, regions_ub[[setting]:[setting]],0), MATCH(X$139, regions_ub[#Headers],0)),INDEX(lmic_raw_ub[],MATCH($A301,lmic_raw_ub[[setting]:[setting]],0), MATCH(X$277, lmic_raw_ub[#Headers],0)))</f>
        <v>1.8684950086701926</v>
      </c>
      <c r="Y301" s="84">
        <f>IF(INDEX(lmic_raw_ub[],MATCH($A301,lmic_raw_ub[[setting]:[setting]],0), MATCH(Y$277, lmic_raw_ub[#Headers],0))=0, INDEX(regions_ub[], MATCH($D301, regions_ub[[setting]:[setting]],0), MATCH(Y$139, regions_ub[#Headers],0)),INDEX(lmic_raw_ub[],MATCH($A301,lmic_raw_ub[[setting]:[setting]],0), MATCH(Y$277, lmic_raw_ub[#Headers],0)))</f>
        <v>6.9386300086701933</v>
      </c>
      <c r="Z301" s="84">
        <f>IF(INDEX(lmic_raw_ub[],MATCH($A301,lmic_raw_ub[[setting]:[setting]],0), MATCH(Z$277, lmic_raw_ub[#Headers],0))=0, INDEX(regions_ub[], MATCH($D301, regions_ub[[setting]:[setting]],0), MATCH(Z$139, regions_ub[#Headers],0)),INDEX(lmic_raw_ub[],MATCH($A301,lmic_raw_ub[[setting]:[setting]],0), MATCH(Z$277, lmic_raw_ub[#Headers],0)))</f>
        <v>6.9322377751466444</v>
      </c>
      <c r="AA301" s="84">
        <f>IF(INDEX(lmic_raw_ub[],MATCH($A301,lmic_raw_ub[[setting]:[setting]],0), MATCH(AA$277, lmic_raw_ub[#Headers],0))=0, INDEX(regions_ub[], MATCH($D301, regions_ub[[setting]:[setting]],0), MATCH(AA$139, regions_ub[#Headers],0)),INDEX(lmic_raw_ub[],MATCH($A301,lmic_raw_ub[[setting]:[setting]],0), MATCH(AA$277, lmic_raw_ub[#Headers],0)))</f>
        <v>2.6321186723111452</v>
      </c>
      <c r="AB301" s="84">
        <f>IF(INDEX(lmic_raw_ub[],MATCH($A301,lmic_raw_ub[[setting]:[setting]],0), MATCH(AB$277, lmic_raw_ub[#Headers],0))=0, INDEX(regions_ub[], MATCH($D301, regions_ub[[setting]:[setting]],0), MATCH(AB$139, regions_ub[#Headers],0)),INDEX(lmic_raw_ub[],MATCH($A301,lmic_raw_ub[[setting]:[setting]],0), MATCH(AB$277, lmic_raw_ub[#Headers],0)))</f>
        <v>7.7022536723111461</v>
      </c>
      <c r="AC301" s="84">
        <f>IF(INDEX(lmic_raw_ub[],MATCH($A301,lmic_raw_ub[[setting]:[setting]],0), MATCH(AC$277, lmic_raw_ub[#Headers],0))=0, INDEX(regions_ub[], MATCH($D301, regions_ub[[setting]:[setting]],0), MATCH(AC$139, regions_ub[#Headers],0)),INDEX(lmic_raw_ub[],MATCH($A301,lmic_raw_ub[[setting]:[setting]],0), MATCH(AC$277, lmic_raw_ub[#Headers],0)))</f>
        <v>7.8250850999999996E-2</v>
      </c>
      <c r="AD301" s="84">
        <f>IF(INDEX(lmic_raw_ub[],MATCH($A301,lmic_raw_ub[[setting]:[setting]],0), MATCH(AD$277, lmic_raw_ub[#Headers],0))=0, INDEX(regions_ub[], MATCH($D301, regions_ub[[setting]:[setting]],0), MATCH(AD$139, regions_ub[#Headers],0)),INDEX(lmic_raw_ub[],MATCH($A301,lmic_raw_ub[[setting]:[setting]],0), MATCH(AD$277, lmic_raw_ub[#Headers],0)))</f>
        <v>1.3737286830904133E-2</v>
      </c>
      <c r="AE301" s="84">
        <f>IF(INDEX(lmic_raw_ub[],MATCH($A301,lmic_raw_ub[[setting]:[setting]],0), MATCH(AE$277, lmic_raw_ub[#Headers],0))=0, INDEX(regions_ub[], MATCH($D301, regions_ub[[setting]:[setting]],0), MATCH(AE$139, regions_ub[#Headers],0)),INDEX(lmic_raw_ub[],MATCH($A301,lmic_raw_ub[[setting]:[setting]],0), MATCH(AE$277, lmic_raw_ub[#Headers],0)))</f>
        <v>5.4313159497370884E-3</v>
      </c>
      <c r="AF301" s="84">
        <f>IF(INDEX(lmic_raw_ub[],MATCH($A301,lmic_raw_ub[[setting]:[setting]],0), MATCH(AF$277, lmic_raw_ub[#Headers],0))=0, INDEX(regions_ub[], MATCH($D301, regions_ub[[setting]:[setting]],0), MATCH(AF$139, regions_ub[#Headers],0)),INDEX(lmic_raw_ub[],MATCH($A301,lmic_raw_ub[[setting]:[setting]],0), MATCH(AF$277, lmic_raw_ub[#Headers],0)))</f>
        <v>3.5235556550192761E-3</v>
      </c>
      <c r="AG301" s="84">
        <f>IF(INDEX(lmic_raw_ub[],MATCH($A301,lmic_raw_ub[[setting]:[setting]],0), MATCH(AG$277, lmic_raw_ub[#Headers],0))=0, INDEX(regions_ub[], MATCH($D301, regions_ub[[setting]:[setting]],0), MATCH(AG$139, regions_ub[#Headers],0)),INDEX(lmic_raw_ub[],MATCH($A301,lmic_raw_ub[[setting]:[setting]],0), MATCH(AG$277, lmic_raw_ub[#Headers],0)))</f>
        <v>4.0523070971601755E-3</v>
      </c>
      <c r="AH301" s="84">
        <f>IF(INDEX(lmic_raw_ub[],MATCH($A301,lmic_raw_ub[[setting]:[setting]],0), MATCH(AH$277, lmic_raw_ub[#Headers],0))=0, INDEX(regions_ub[], MATCH($D301, regions_ub[[setting]:[setting]],0), MATCH(AH$139, regions_ub[#Headers],0)),INDEX(lmic_raw_ub[],MATCH($A301,lmic_raw_ub[[setting]:[setting]],0), MATCH(AH$277, lmic_raw_ub[#Headers],0)))</f>
        <v>5.3536653155781067E-3</v>
      </c>
      <c r="AI301" s="84">
        <f>IF(INDEX(lmic_raw_ub[],MATCH($A301,lmic_raw_ub[[setting]:[setting]],0), MATCH(AI$277, lmic_raw_ub[#Headers],0))=0, INDEX(regions_ub[], MATCH($D301, regions_ub[[setting]:[setting]],0), MATCH(AI$139, regions_ub[#Headers],0)),INDEX(lmic_raw_ub[],MATCH($A301,lmic_raw_ub[[setting]:[setting]],0), MATCH(AI$277, lmic_raw_ub[#Headers],0)))</f>
        <v>7.0302796654811315E-3</v>
      </c>
      <c r="AJ301" s="84">
        <f>IF(INDEX(lmic_raw_ub[],MATCH($A301,lmic_raw_ub[[setting]:[setting]],0), MATCH(AJ$277, lmic_raw_ub[#Headers],0))=0, INDEX(regions_ub[], MATCH($D301, regions_ub[[setting]:[setting]],0), MATCH(AJ$139, regions_ub[#Headers],0)),INDEX(lmic_raw_ub[],MATCH($A301,lmic_raw_ub[[setting]:[setting]],0), MATCH(AJ$277, lmic_raw_ub[#Headers],0)))</f>
        <v>8.8956890442532834E-3</v>
      </c>
      <c r="AK301" s="84">
        <f>IF(INDEX(lmic_raw_ub[],MATCH($A301,lmic_raw_ub[[setting]:[setting]],0), MATCH(AK$277, lmic_raw_ub[#Headers],0))=0, INDEX(regions_ub[], MATCH($D301, regions_ub[[setting]:[setting]],0), MATCH(AK$139, regions_ub[#Headers],0)),INDEX(lmic_raw_ub[],MATCH($A301,lmic_raw_ub[[setting]:[setting]],0), MATCH(AK$277, lmic_raw_ub[#Headers],0)))</f>
        <v>1.0932522255850985E-2</v>
      </c>
      <c r="AL301" s="84">
        <f>IF(INDEX(lmic_raw_ub[],MATCH($A301,lmic_raw_ub[[setting]:[setting]],0), MATCH(AL$277, lmic_raw_ub[#Headers],0))=0, INDEX(regions_ub[], MATCH($D301, regions_ub[[setting]:[setting]],0), MATCH(AL$139, regions_ub[#Headers],0)),INDEX(lmic_raw_ub[],MATCH($A301,lmic_raw_ub[[setting]:[setting]],0), MATCH(AL$277, lmic_raw_ub[#Headers],0)))</f>
        <v>1.1634158910832243E-2</v>
      </c>
      <c r="AM301" s="84">
        <f>IF(INDEX(lmic_raw_ub[],MATCH($A301,lmic_raw_ub[[setting]:[setting]],0), MATCH(AM$277, lmic_raw_ub[#Headers],0))=0, INDEX(regions_ub[], MATCH($D301, regions_ub[[setting]:[setting]],0), MATCH(AM$139, regions_ub[#Headers],0)),INDEX(lmic_raw_ub[],MATCH($A301,lmic_raw_ub[[setting]:[setting]],0), MATCH(AM$277, lmic_raw_ub[#Headers],0)))</f>
        <v>1.2137291146807372E-2</v>
      </c>
      <c r="AN301" s="84">
        <f>IF(INDEX(lmic_raw_ub[],MATCH($A301,lmic_raw_ub[[setting]:[setting]],0), MATCH(AN$277, lmic_raw_ub[#Headers],0))=0, INDEX(regions_ub[], MATCH($D301, regions_ub[[setting]:[setting]],0), MATCH(AN$139, regions_ub[#Headers],0)),INDEX(lmic_raw_ub[],MATCH($A301,lmic_raw_ub[[setting]:[setting]],0), MATCH(AN$277, lmic_raw_ub[#Headers],0)))</f>
        <v>1.3570751492016971E-2</v>
      </c>
      <c r="AO301" s="84">
        <f>IF(INDEX(lmic_raw_ub[],MATCH($A301,lmic_raw_ub[[setting]:[setting]],0), MATCH(AO$277, lmic_raw_ub[#Headers],0))=0, INDEX(regions_ub[], MATCH($D301, regions_ub[[setting]:[setting]],0), MATCH(AO$139, regions_ub[#Headers],0)),INDEX(lmic_raw_ub[],MATCH($A301,lmic_raw_ub[[setting]:[setting]],0), MATCH(AO$277, lmic_raw_ub[#Headers],0)))</f>
        <v>1.7166595070707766E-2</v>
      </c>
      <c r="AP301" s="84">
        <f>IF(INDEX(lmic_raw_ub[],MATCH($A301,lmic_raw_ub[[setting]:[setting]],0), MATCH(AP$277, lmic_raw_ub[#Headers],0))=0, INDEX(regions_ub[], MATCH($D301, regions_ub[[setting]:[setting]],0), MATCH(AP$139, regions_ub[#Headers],0)),INDEX(lmic_raw_ub[],MATCH($A301,lmic_raw_ub[[setting]:[setting]],0), MATCH(AP$277, lmic_raw_ub[#Headers],0)))</f>
        <v>2.4576013658572531E-2</v>
      </c>
      <c r="AQ301" s="84">
        <f>IF(INDEX(lmic_raw_ub[],MATCH($A301,lmic_raw_ub[[setting]:[setting]],0), MATCH(AQ$277, lmic_raw_ub[#Headers],0))=0, INDEX(regions_ub[], MATCH($D301, regions_ub[[setting]:[setting]],0), MATCH(AQ$139, regions_ub[#Headers],0)),INDEX(lmic_raw_ub[],MATCH($A301,lmic_raw_ub[[setting]:[setting]],0), MATCH(AQ$277, lmic_raw_ub[#Headers],0)))</f>
        <v>3.6415272298963609E-2</v>
      </c>
      <c r="AR301" s="84">
        <f>IF(INDEX(lmic_raw_ub[],MATCH($A301,lmic_raw_ub[[setting]:[setting]],0), MATCH(AR$277, lmic_raw_ub[#Headers],0))=0, INDEX(regions_ub[], MATCH($D301, regions_ub[[setting]:[setting]],0), MATCH(AR$139, regions_ub[#Headers],0)),INDEX(lmic_raw_ub[],MATCH($A301,lmic_raw_ub[[setting]:[setting]],0), MATCH(AR$277, lmic_raw_ub[#Headers],0)))</f>
        <v>5.4723696862596378E-2</v>
      </c>
      <c r="AS301" s="84">
        <f>IF(INDEX(lmic_raw_ub[],MATCH($A301,lmic_raw_ub[[setting]:[setting]],0), MATCH(AS$277, lmic_raw_ub[#Headers],0))=0, INDEX(regions_ub[], MATCH($D301, regions_ub[[setting]:[setting]],0), MATCH(AS$139, regions_ub[#Headers],0)),INDEX(lmic_raw_ub[],MATCH($A301,lmic_raw_ub[[setting]:[setting]],0), MATCH(AS$277, lmic_raw_ub[#Headers],0)))</f>
        <v>7.9512078226499847E-2</v>
      </c>
      <c r="AT301" s="84">
        <f>IF(INDEX(lmic_raw_ub[],MATCH($A301,lmic_raw_ub[[setting]:[setting]],0), MATCH(AT$277, lmic_raw_ub[#Headers],0))=0, INDEX(regions_ub[], MATCH($D301, regions_ub[[setting]:[setting]],0), MATCH(AT$139, regions_ub[#Headers],0)),INDEX(lmic_raw_ub[],MATCH($A301,lmic_raw_ub[[setting]:[setting]],0), MATCH(AT$277, lmic_raw_ub[#Headers],0)))</f>
        <v>0.11119639861738595</v>
      </c>
      <c r="AU301" s="84">
        <f>IF(INDEX(lmic_raw_ub[],MATCH($A301,lmic_raw_ub[[setting]:[setting]],0), MATCH(AU$277, lmic_raw_ub[#Headers],0))=0, INDEX(regions_ub[], MATCH($D301, regions_ub[[setting]:[setting]],0), MATCH(AU$139, regions_ub[#Headers],0)),INDEX(lmic_raw_ub[],MATCH($A301,lmic_raw_ub[[setting]:[setting]],0), MATCH(AU$277, lmic_raw_ub[#Headers],0)))</f>
        <v>0.14381004901641981</v>
      </c>
      <c r="AV301" s="84">
        <f>IF(INDEX(lmic_raw_ub[],MATCH($A301,lmic_raw_ub[[setting]:[setting]],0), MATCH(AV$277, lmic_raw_ub[#Headers],0))=0, INDEX(regions_ub[], MATCH($D301, regions_ub[[setting]:[setting]],0), MATCH(AV$139, regions_ub[#Headers],0)),INDEX(lmic_raw_ub[],MATCH($A301,lmic_raw_ub[[setting]:[setting]],0), MATCH(AV$277, lmic_raw_ub[#Headers],0)))</f>
        <v>0.1703019847311481</v>
      </c>
      <c r="AW301" s="84">
        <f>IF(INDEX(lmic_raw_ub[],MATCH($A301,lmic_raw_ub[[setting]:[setting]],0), MATCH(AW$277, lmic_raw_ub[#Headers],0))=0, INDEX(regions_ub[], MATCH($D301, regions_ub[[setting]:[setting]],0), MATCH(AW$139, regions_ub[#Headers],0)),INDEX(lmic_raw_ub[],MATCH($A301,lmic_raw_ub[[setting]:[setting]],0), MATCH(AW$277, lmic_raw_ub[#Headers],0)))</f>
        <v>0.18765929752631852</v>
      </c>
      <c r="AX301" s="84">
        <f>IF(INDEX(lmic_raw_ub[],MATCH($A301,lmic_raw_ub[[setting]:[setting]],0), MATCH(AX$277, lmic_raw_ub[#Headers],0))=0, INDEX(regions_ub[], MATCH($D301, regions_ub[[setting]:[setting]],0), MATCH(AX$139, regions_ub[#Headers],0)),INDEX(lmic_raw_ub[],MATCH($A301,lmic_raw_ub[[setting]:[setting]],0), MATCH(AX$277, lmic_raw_ub[#Headers],0)))</f>
        <v>56.488950000000003</v>
      </c>
      <c r="AY301" s="33" t="str">
        <f>IF(VLOOKUP(lmics_ub[[#This Row],[setting]],lmic_raw_ub[],11,FALSE)=0, "Yes", "No")</f>
        <v>Yes</v>
      </c>
    </row>
    <row r="302" spans="1:51" x14ac:dyDescent="0.25">
      <c r="A302" s="109" t="s">
        <v>202</v>
      </c>
      <c r="B302" s="101" t="s">
        <v>400</v>
      </c>
      <c r="C302" s="102">
        <v>156</v>
      </c>
      <c r="D302" s="82" t="s">
        <v>681</v>
      </c>
      <c r="E302" s="82" t="s">
        <v>603</v>
      </c>
      <c r="F302" s="82" t="s">
        <v>666</v>
      </c>
      <c r="G302" s="82" t="s">
        <v>676</v>
      </c>
      <c r="J302" s="84">
        <f>IF(INDEX(lmic_raw_ub[],MATCH($A302,lmic_raw_ub[[setting]:[setting]],0), MATCH(J$277, lmic_raw_ub[#Headers],0))=0, INDEX(regions_ub[], MATCH($D302, regions_ub[[setting]:[setting]],0), MATCH(J$139, regions_ub[#Headers],0)),INDEX(lmic_raw_ub[],MATCH($A302,lmic_raw_ub[[setting]:[setting]],0), MATCH(J$277, lmic_raw_ub[#Headers],0)))</f>
        <v>0.99990000000000001</v>
      </c>
      <c r="K302" s="84">
        <f>IF(INDEX(lmic_raw_ub[],MATCH($A302,lmic_raw_ub[[setting]:[setting]],0), MATCH(K$277, lmic_raw_ub[#Headers],0))=0, INDEX(regions_ub[], MATCH($D302, regions_ub[[setting]:[setting]],0), MATCH(K$139, regions_ub[#Headers],0)),INDEX(lmic_raw_ub[],MATCH($A302,lmic_raw_ub[[setting]:[setting]],0), MATCH(K$277, lmic_raw_ub[#Headers],0)))</f>
        <v>0.99990000000000001</v>
      </c>
      <c r="L302" s="84">
        <f>IF(INDEX(lmic_raw_ub[],MATCH($A302,lmic_raw_ub[[setting]:[setting]],0), MATCH(L$277, lmic_raw_ub[#Headers],0))=0, INDEX(regions_ub[], MATCH($D302, regions_ub[[setting]:[setting]],0), MATCH(L$139, regions_ub[#Headers],0)),INDEX(lmic_raw_ub[],MATCH($A302,lmic_raw_ub[[setting]:[setting]],0), MATCH(L$277, lmic_raw_ub[#Headers],0)))</f>
        <v>0.99990000000000001</v>
      </c>
      <c r="M302" s="84">
        <f>IF(INDEX(lmic_raw_ub[],MATCH($A302,lmic_raw_ub[[setting]:[setting]],0), MATCH(M$277, lmic_raw_ub[#Headers],0))=0, INDEX(regions_ub[], MATCH($D302, regions_ub[[setting]:[setting]],0), MATCH(M$139, regions_ub[#Headers],0)),INDEX(lmic_raw_ub[],MATCH($A302,lmic_raw_ub[[setting]:[setting]],0), MATCH(M$277, lmic_raw_ub[#Headers],0)))</f>
        <v>8.6899999999999991E-2</v>
      </c>
      <c r="N302" s="84">
        <f>IF(INDEX(lmic_raw_ub[],MATCH($A302,lmic_raw_ub[[setting]:[setting]],0), MATCH(N$277, lmic_raw_ub[#Headers],0))=0, INDEX(regions_ub[], MATCH($D302, regions_ub[[setting]:[setting]],0), MATCH(N$139, regions_ub[#Headers],0)),INDEX(lmic_raw_ub[],MATCH($A302,lmic_raw_ub[[setting]:[setting]],0), MATCH(N$277, lmic_raw_ub[#Headers],0)))</f>
        <v>0.49159999999999998</v>
      </c>
      <c r="O302" s="84">
        <f>IF(INDEX(lmic_raw_ub[],MATCH($A302,lmic_raw_ub[[setting]:[setting]],0), MATCH(O$277, lmic_raw_ub[#Headers],0))=0, INDEX(regions_ub[], MATCH($D302, regions_ub[[setting]:[setting]],0), MATCH(O$139, regions_ub[#Headers],0)),INDEX(lmic_raw_ub[],MATCH($A302,lmic_raw_ub[[setting]:[setting]],0), MATCH(O$277, lmic_raw_ub[#Headers],0)))</f>
        <v>0.9</v>
      </c>
      <c r="P302" s="84">
        <f>IF(INDEX(lmic_raw_ub[],MATCH($A302,lmic_raw_ub[[setting]:[setting]],0), MATCH(P$277, lmic_raw_ub[#Headers],0))=0, INDEX(regions_ub[], MATCH($D302, regions_ub[[setting]:[setting]],0), MATCH(P$139, regions_ub[#Headers],0)),INDEX(lmic_raw_ub[],MATCH($A302,lmic_raw_ub[[setting]:[setting]],0), MATCH(P$277, lmic_raw_ub[#Headers],0)))</f>
        <v>0.3</v>
      </c>
      <c r="Q302" s="84">
        <f>IF(INDEX(lmic_raw_ub[],MATCH($A302,lmic_raw_ub[[setting]:[setting]],0), MATCH(Q$277, lmic_raw_ub[#Headers],0))=0, INDEX(regions_ub[], MATCH($D302, regions_ub[[setting]:[setting]],0), MATCH(Q$139, regions_ub[#Headers],0)),INDEX(lmic_raw_ub[],MATCH($A302,lmic_raw_ub[[setting]:[setting]],0), MATCH(Q$277, lmic_raw_ub[#Headers],0)))</f>
        <v>8.4491536512343419</v>
      </c>
      <c r="R302" s="84">
        <f>IF(INDEX(lmic_raw_ub[],MATCH($A302,lmic_raw_ub[[setting]:[setting]],0), MATCH(R$277, lmic_raw_ub[#Headers],0))=0, INDEX(regions_ub[], MATCH($D302, regions_ub[[setting]:[setting]],0), MATCH(R$139, regions_ub[#Headers],0)),INDEX(lmic_raw_ub[],MATCH($A302,lmic_raw_ub[[setting]:[setting]],0), MATCH(R$277, lmic_raw_ub[#Headers],0)))</f>
        <v>76.738725000000002</v>
      </c>
      <c r="S302" s="84">
        <f>IF(INDEX(lmic_raw_ub[],MATCH($A302,lmic_raw_ub[[setting]:[setting]],0), MATCH(S$277, lmic_raw_ub[#Headers],0))=0, INDEX(regions_ub[], MATCH($D302, regions_ub[[setting]:[setting]],0), MATCH(S$139, regions_ub[#Headers],0)),INDEX(lmic_raw_ub[],MATCH($A302,lmic_raw_ub[[setting]:[setting]],0), MATCH(S$277, lmic_raw_ub[#Headers],0)))</f>
        <v>126.867825</v>
      </c>
      <c r="T302" s="84">
        <f>IF(INDEX(lmic_raw_ub[],MATCH($A302,lmic_raw_ub[[setting]:[setting]],0), MATCH(T$277, lmic_raw_ub[#Headers],0))=0, INDEX(regions_ub[], MATCH($D302, regions_ub[[setting]:[setting]],0), MATCH(T$139, regions_ub[#Headers],0)),INDEX(lmic_raw_ub[],MATCH($A302,lmic_raw_ub[[setting]:[setting]],0), MATCH(T$277, lmic_raw_ub[#Headers],0)))</f>
        <v>126.867825</v>
      </c>
      <c r="U302" s="84">
        <f>IF(INDEX(lmic_raw_ub[],MATCH($A302,lmic_raw_ub[[setting]:[setting]],0), MATCH(U$277, lmic_raw_ub[#Headers],0))=0, INDEX(regions_ub[], MATCH($D302, regions_ub[[setting]:[setting]],0), MATCH(U$139, regions_ub[#Headers],0)),INDEX(lmic_raw_ub[],MATCH($A302,lmic_raw_ub[[setting]:[setting]],0), MATCH(U$277, lmic_raw_ub[#Headers],0)))</f>
        <v>126.867825</v>
      </c>
      <c r="V302" s="84">
        <f>IF(INDEX(lmic_raw_ub[],MATCH($A302,lmic_raw_ub[[setting]:[setting]],0), MATCH(V$277, lmic_raw_ub[#Headers],0))=0, INDEX(regions_ub[], MATCH($D302, regions_ub[[setting]:[setting]],0), MATCH(V$139, regions_ub[#Headers],0)),INDEX(lmic_raw_ub[],MATCH($A302,lmic_raw_ub[[setting]:[setting]],0), MATCH(V$277, lmic_raw_ub[#Headers],0)))</f>
        <v>6.6475645840600155</v>
      </c>
      <c r="W302" s="84">
        <f>IF(INDEX(lmic_raw_ub[],MATCH($A302,lmic_raw_ub[[setting]:[setting]],0), MATCH(W$277, lmic_raw_ub[#Headers],0))=0, INDEX(regions_ub[], MATCH($D302, regions_ub[[setting]:[setting]],0), MATCH(W$139, regions_ub[#Headers],0)),INDEX(lmic_raw_ub[],MATCH($A302,lmic_raw_ub[[setting]:[setting]],0), MATCH(W$277, lmic_raw_ub[#Headers],0)))</f>
        <v>7.3113745840600153</v>
      </c>
      <c r="X302" s="84">
        <f>IF(INDEX(lmic_raw_ub[],MATCH($A302,lmic_raw_ub[[setting]:[setting]],0), MATCH(X$277, lmic_raw_ub[#Headers],0))=0, INDEX(regions_ub[], MATCH($D302, regions_ub[[setting]:[setting]],0), MATCH(X$139, regions_ub[#Headers],0)),INDEX(lmic_raw_ub[],MATCH($A302,lmic_raw_ub[[setting]:[setting]],0), MATCH(X$277, lmic_raw_ub[#Headers],0)))</f>
        <v>6.1019327288008069</v>
      </c>
      <c r="Y302" s="84">
        <f>IF(INDEX(lmic_raw_ub[],MATCH($A302,lmic_raw_ub[[setting]:[setting]],0), MATCH(Y$277, lmic_raw_ub[#Headers],0))=0, INDEX(regions_ub[], MATCH($D302, regions_ub[[setting]:[setting]],0), MATCH(Y$139, regions_ub[#Headers],0)),INDEX(lmic_raw_ub[],MATCH($A302,lmic_raw_ub[[setting]:[setting]],0), MATCH(Y$277, lmic_raw_ub[#Headers],0)))</f>
        <v>6.7657427288008067</v>
      </c>
      <c r="Z302" s="84">
        <f>IF(INDEX(lmic_raw_ub[],MATCH($A302,lmic_raw_ub[[setting]:[setting]],0), MATCH(Z$277, lmic_raw_ub[#Headers],0))=0, INDEX(regions_ub[], MATCH($D302, regions_ub[[setting]:[setting]],0), MATCH(Z$139, regions_ub[#Headers],0)),INDEX(lmic_raw_ub[],MATCH($A302,lmic_raw_ub[[setting]:[setting]],0), MATCH(Z$277, lmic_raw_ub[#Headers],0)))</f>
        <v>6.7304834043795392</v>
      </c>
      <c r="AA302" s="84">
        <f>IF(INDEX(lmic_raw_ub[],MATCH($A302,lmic_raw_ub[[setting]:[setting]],0), MATCH(AA$277, lmic_raw_ub[#Headers],0))=0, INDEX(regions_ub[], MATCH($D302, regions_ub[[setting]:[setting]],0), MATCH(AA$139, regions_ub[#Headers],0)),INDEX(lmic_raw_ub[],MATCH($A302,lmic_raw_ub[[setting]:[setting]],0), MATCH(AA$277, lmic_raw_ub[#Headers],0)))</f>
        <v>6.9274941125723748</v>
      </c>
      <c r="AB302" s="84">
        <f>IF(INDEX(lmic_raw_ub[],MATCH($A302,lmic_raw_ub[[setting]:[setting]],0), MATCH(AB$277, lmic_raw_ub[#Headers],0))=0, INDEX(regions_ub[], MATCH($D302, regions_ub[[setting]:[setting]],0), MATCH(AB$139, regions_ub[#Headers],0)),INDEX(lmic_raw_ub[],MATCH($A302,lmic_raw_ub[[setting]:[setting]],0), MATCH(AB$277, lmic_raw_ub[#Headers],0)))</f>
        <v>7.5913041125723746</v>
      </c>
      <c r="AC302" s="84">
        <f>IF(INDEX(lmic_raw_ub[],MATCH($A302,lmic_raw_ub[[setting]:[setting]],0), MATCH(AC$277, lmic_raw_ub[#Headers],0))=0, INDEX(regions_ub[], MATCH($D302, regions_ub[[setting]:[setting]],0), MATCH(AC$139, regions_ub[#Headers],0)),INDEX(lmic_raw_ub[],MATCH($A302,lmic_raw_ub[[setting]:[setting]],0), MATCH(AC$277, lmic_raw_ub[#Headers],0)))</f>
        <v>1.0388878500000014E-2</v>
      </c>
      <c r="AD302" s="84">
        <f>IF(INDEX(lmic_raw_ub[],MATCH($A302,lmic_raw_ub[[setting]:[setting]],0), MATCH(AD$277, lmic_raw_ub[#Headers],0))=0, INDEX(regions_ub[], MATCH($D302, regions_ub[[setting]:[setting]],0), MATCH(AD$139, regions_ub[#Headers],0)),INDEX(lmic_raw_ub[],MATCH($A302,lmic_raw_ub[[setting]:[setting]],0), MATCH(AD$277, lmic_raw_ub[#Headers],0)))</f>
        <v>4.3416570933633048E-4</v>
      </c>
      <c r="AE302" s="84">
        <f>IF(INDEX(lmic_raw_ub[],MATCH($A302,lmic_raw_ub[[setting]:[setting]],0), MATCH(AE$277, lmic_raw_ub[#Headers],0))=0, INDEX(regions_ub[], MATCH($D302, regions_ub[[setting]:[setting]],0), MATCH(AE$139, regions_ub[#Headers],0)),INDEX(lmic_raw_ub[],MATCH($A302,lmic_raw_ub[[setting]:[setting]],0), MATCH(AE$277, lmic_raw_ub[#Headers],0)))</f>
        <v>3.275213003052299E-4</v>
      </c>
      <c r="AF302" s="84">
        <f>IF(INDEX(lmic_raw_ub[],MATCH($A302,lmic_raw_ub[[setting]:[setting]],0), MATCH(AF$277, lmic_raw_ub[#Headers],0))=0, INDEX(regions_ub[], MATCH($D302, regions_ub[[setting]:[setting]],0), MATCH(AF$139, regions_ub[#Headers],0)),INDEX(lmic_raw_ub[],MATCH($A302,lmic_raw_ub[[setting]:[setting]],0), MATCH(AF$277, lmic_raw_ub[#Headers],0)))</f>
        <v>2.4446073542310094E-4</v>
      </c>
      <c r="AG302" s="84">
        <f>IF(INDEX(lmic_raw_ub[],MATCH($A302,lmic_raw_ub[[setting]:[setting]],0), MATCH(AG$277, lmic_raw_ub[#Headers],0))=0, INDEX(regions_ub[], MATCH($D302, regions_ub[[setting]:[setting]],0), MATCH(AG$139, regions_ub[#Headers],0)),INDEX(lmic_raw_ub[],MATCH($A302,lmic_raw_ub[[setting]:[setting]],0), MATCH(AG$277, lmic_raw_ub[#Headers],0)))</f>
        <v>3.5530383416762881E-4</v>
      </c>
      <c r="AH302" s="84">
        <f>IF(INDEX(lmic_raw_ub[],MATCH($A302,lmic_raw_ub[[setting]:[setting]],0), MATCH(AH$277, lmic_raw_ub[#Headers],0))=0, INDEX(regions_ub[], MATCH($D302, regions_ub[[setting]:[setting]],0), MATCH(AH$139, regions_ub[#Headers],0)),INDEX(lmic_raw_ub[],MATCH($A302,lmic_raw_ub[[setting]:[setting]],0), MATCH(AH$277, lmic_raw_ub[#Headers],0)))</f>
        <v>4.9888851330976379E-4</v>
      </c>
      <c r="AI302" s="84">
        <f>IF(INDEX(lmic_raw_ub[],MATCH($A302,lmic_raw_ub[[setting]:[setting]],0), MATCH(AI$277, lmic_raw_ub[#Headers],0))=0, INDEX(regions_ub[], MATCH($D302, regions_ub[[setting]:[setting]],0), MATCH(AI$139, regions_ub[#Headers],0)),INDEX(lmic_raw_ub[],MATCH($A302,lmic_raw_ub[[setting]:[setting]],0), MATCH(AI$277, lmic_raw_ub[#Headers],0)))</f>
        <v>6.6737545992606978E-4</v>
      </c>
      <c r="AJ302" s="84">
        <f>IF(INDEX(lmic_raw_ub[],MATCH($A302,lmic_raw_ub[[setting]:[setting]],0), MATCH(AJ$277, lmic_raw_ub[#Headers],0))=0, INDEX(regions_ub[], MATCH($D302, regions_ub[[setting]:[setting]],0), MATCH(AJ$139, regions_ub[#Headers],0)),INDEX(lmic_raw_ub[],MATCH($A302,lmic_raw_ub[[setting]:[setting]],0), MATCH(AJ$277, lmic_raw_ub[#Headers],0)))</f>
        <v>8.4401533215246671E-4</v>
      </c>
      <c r="AK302" s="84">
        <f>IF(INDEX(lmic_raw_ub[],MATCH($A302,lmic_raw_ub[[setting]:[setting]],0), MATCH(AK$277, lmic_raw_ub[#Headers],0))=0, INDEX(regions_ub[], MATCH($D302, regions_ub[[setting]:[setting]],0), MATCH(AK$139, regions_ub[#Headers],0)),INDEX(lmic_raw_ub[],MATCH($A302,lmic_raw_ub[[setting]:[setting]],0), MATCH(AK$277, lmic_raw_ub[#Headers],0)))</f>
        <v>1.0691935416804385E-3</v>
      </c>
      <c r="AL302" s="84">
        <f>IF(INDEX(lmic_raw_ub[],MATCH($A302,lmic_raw_ub[[setting]:[setting]],0), MATCH(AL$277, lmic_raw_ub[#Headers],0))=0, INDEX(regions_ub[], MATCH($D302, regions_ub[[setting]:[setting]],0), MATCH(AL$139, regions_ub[#Headers],0)),INDEX(lmic_raw_ub[],MATCH($A302,lmic_raw_ub[[setting]:[setting]],0), MATCH(AL$277, lmic_raw_ub[#Headers],0)))</f>
        <v>1.5136907289111795E-3</v>
      </c>
      <c r="AM302" s="84">
        <f>IF(INDEX(lmic_raw_ub[],MATCH($A302,lmic_raw_ub[[setting]:[setting]],0), MATCH(AM$277, lmic_raw_ub[#Headers],0))=0, INDEX(regions_ub[], MATCH($D302, regions_ub[[setting]:[setting]],0), MATCH(AM$139, regions_ub[#Headers],0)),INDEX(lmic_raw_ub[],MATCH($A302,lmic_raw_ub[[setting]:[setting]],0), MATCH(AM$277, lmic_raw_ub[#Headers],0)))</f>
        <v>2.2232564877873212E-3</v>
      </c>
      <c r="AN302" s="84">
        <f>IF(INDEX(lmic_raw_ub[],MATCH($A302,lmic_raw_ub[[setting]:[setting]],0), MATCH(AN$277, lmic_raw_ub[#Headers],0))=0, INDEX(regions_ub[], MATCH($D302, regions_ub[[setting]:[setting]],0), MATCH(AN$139, regions_ub[#Headers],0)),INDEX(lmic_raw_ub[],MATCH($A302,lmic_raw_ub[[setting]:[setting]],0), MATCH(AN$277, lmic_raw_ub[#Headers],0)))</f>
        <v>3.688196632888335E-3</v>
      </c>
      <c r="AO302" s="84">
        <f>IF(INDEX(lmic_raw_ub[],MATCH($A302,lmic_raw_ub[[setting]:[setting]],0), MATCH(AO$277, lmic_raw_ub[#Headers],0))=0, INDEX(regions_ub[], MATCH($D302, regions_ub[[setting]:[setting]],0), MATCH(AO$139, regions_ub[#Headers],0)),INDEX(lmic_raw_ub[],MATCH($A302,lmic_raw_ub[[setting]:[setting]],0), MATCH(AO$277, lmic_raw_ub[#Headers],0)))</f>
        <v>6.1772918136575256E-3</v>
      </c>
      <c r="AP302" s="84">
        <f>IF(INDEX(lmic_raw_ub[],MATCH($A302,lmic_raw_ub[[setting]:[setting]],0), MATCH(AP$277, lmic_raw_ub[#Headers],0))=0, INDEX(regions_ub[], MATCH($D302, regions_ub[[setting]:[setting]],0), MATCH(AP$139, regions_ub[#Headers],0)),INDEX(lmic_raw_ub[],MATCH($A302,lmic_raw_ub[[setting]:[setting]],0), MATCH(AP$277, lmic_raw_ub[#Headers],0)))</f>
        <v>1.1503424996676561E-2</v>
      </c>
      <c r="AQ302" s="84">
        <f>IF(INDEX(lmic_raw_ub[],MATCH($A302,lmic_raw_ub[[setting]:[setting]],0), MATCH(AQ$277, lmic_raw_ub[#Headers],0))=0, INDEX(regions_ub[], MATCH($D302, regions_ub[[setting]:[setting]],0), MATCH(AQ$139, regions_ub[#Headers],0)),INDEX(lmic_raw_ub[],MATCH($A302,lmic_raw_ub[[setting]:[setting]],0), MATCH(AQ$277, lmic_raw_ub[#Headers],0)))</f>
        <v>2.0410915435282482E-2</v>
      </c>
      <c r="AR302" s="84">
        <f>IF(INDEX(lmic_raw_ub[],MATCH($A302,lmic_raw_ub[[setting]:[setting]],0), MATCH(AR$277, lmic_raw_ub[#Headers],0))=0, INDEX(regions_ub[], MATCH($D302, regions_ub[[setting]:[setting]],0), MATCH(AR$139, regions_ub[#Headers],0)),INDEX(lmic_raw_ub[],MATCH($A302,lmic_raw_ub[[setting]:[setting]],0), MATCH(AR$277, lmic_raw_ub[#Headers],0)))</f>
        <v>3.5969712869659769E-2</v>
      </c>
      <c r="AS302" s="84">
        <f>IF(INDEX(lmic_raw_ub[],MATCH($A302,lmic_raw_ub[[setting]:[setting]],0), MATCH(AS$277, lmic_raw_ub[#Headers],0))=0, INDEX(regions_ub[], MATCH($D302, regions_ub[[setting]:[setting]],0), MATCH(AS$139, regions_ub[#Headers],0)),INDEX(lmic_raw_ub[],MATCH($A302,lmic_raw_ub[[setting]:[setting]],0), MATCH(AS$277, lmic_raw_ub[#Headers],0)))</f>
        <v>5.715356864386141E-2</v>
      </c>
      <c r="AT302" s="84">
        <f>IF(INDEX(lmic_raw_ub[],MATCH($A302,lmic_raw_ub[[setting]:[setting]],0), MATCH(AT$277, lmic_raw_ub[#Headers],0))=0, INDEX(regions_ub[], MATCH($D302, regions_ub[[setting]:[setting]],0), MATCH(AT$139, regions_ub[#Headers],0)),INDEX(lmic_raw_ub[],MATCH($A302,lmic_raw_ub[[setting]:[setting]],0), MATCH(AT$277, lmic_raw_ub[#Headers],0)))</f>
        <v>8.1287902552564462E-2</v>
      </c>
      <c r="AU302" s="84">
        <f>IF(INDEX(lmic_raw_ub[],MATCH($A302,lmic_raw_ub[[setting]:[setting]],0), MATCH(AU$277, lmic_raw_ub[#Headers],0))=0, INDEX(regions_ub[], MATCH($D302, regions_ub[[setting]:[setting]],0), MATCH(AU$139, regions_ub[#Headers],0)),INDEX(lmic_raw_ub[],MATCH($A302,lmic_raw_ub[[setting]:[setting]],0), MATCH(AU$277, lmic_raw_ub[#Headers],0)))</f>
        <v>0.11254239208089294</v>
      </c>
      <c r="AV302" s="84">
        <f>IF(INDEX(lmic_raw_ub[],MATCH($A302,lmic_raw_ub[[setting]:[setting]],0), MATCH(AV$277, lmic_raw_ub[#Headers],0))=0, INDEX(regions_ub[], MATCH($D302, regions_ub[[setting]:[setting]],0), MATCH(AV$139, regions_ub[#Headers],0)),INDEX(lmic_raw_ub[],MATCH($A302,lmic_raw_ub[[setting]:[setting]],0), MATCH(AV$277, lmic_raw_ub[#Headers],0)))</f>
        <v>0.13992990044129835</v>
      </c>
      <c r="AW302" s="84">
        <f>IF(INDEX(lmic_raw_ub[],MATCH($A302,lmic_raw_ub[[setting]:[setting]],0), MATCH(AW$277, lmic_raw_ub[#Headers],0))=0, INDEX(regions_ub[], MATCH($D302, regions_ub[[setting]:[setting]],0), MATCH(AW$139, regions_ub[#Headers],0)),INDEX(lmic_raw_ub[],MATCH($A302,lmic_raw_ub[[setting]:[setting]],0), MATCH(AW$277, lmic_raw_ub[#Headers],0)))</f>
        <v>0.16239294842650695</v>
      </c>
      <c r="AX302" s="84">
        <f>IF(INDEX(lmic_raw_ub[],MATCH($A302,lmic_raw_ub[[setting]:[setting]],0), MATCH(AX$277, lmic_raw_ub[#Headers],0))=0, INDEX(regions_ub[], MATCH($D302, regions_ub[[setting]:[setting]],0), MATCH(AX$139, regions_ub[#Headers],0)),INDEX(lmic_raw_ub[],MATCH($A302,lmic_raw_ub[[setting]:[setting]],0), MATCH(AX$277, lmic_raw_ub[#Headers],0)))</f>
        <v>80.454150000000013</v>
      </c>
      <c r="AY302" s="33" t="str">
        <f>IF(VLOOKUP(lmics_ub[[#This Row],[setting]],lmic_raw_ub[],11,FALSE)=0, "Yes", "No")</f>
        <v>No</v>
      </c>
    </row>
    <row r="303" spans="1:51" x14ac:dyDescent="0.25">
      <c r="A303" s="110" t="s">
        <v>266</v>
      </c>
      <c r="B303" s="104" t="s">
        <v>401</v>
      </c>
      <c r="C303" s="105">
        <v>170</v>
      </c>
      <c r="D303" s="84" t="s">
        <v>679</v>
      </c>
      <c r="E303" s="84" t="s">
        <v>604</v>
      </c>
      <c r="F303" s="84" t="s">
        <v>665</v>
      </c>
      <c r="G303" s="84" t="s">
        <v>676</v>
      </c>
      <c r="J303" s="84">
        <f>IF(INDEX(lmic_raw_ub[],MATCH($A303,lmic_raw_ub[[setting]:[setting]],0), MATCH(J$277, lmic_raw_ub[#Headers],0))=0, INDEX(regions_ub[], MATCH($D303, regions_ub[[setting]:[setting]],0), MATCH(J$139, regions_ub[#Headers],0)),INDEX(lmic_raw_ub[],MATCH($A303,lmic_raw_ub[[setting]:[setting]],0), MATCH(J$277, lmic_raw_ub[#Headers],0)))</f>
        <v>0.99990000000000001</v>
      </c>
      <c r="K303" s="84">
        <f>IF(INDEX(lmic_raw_ub[],MATCH($A303,lmic_raw_ub[[setting]:[setting]],0), MATCH(K$277, lmic_raw_ub[#Headers],0))=0, INDEX(regions_ub[], MATCH($D303, regions_ub[[setting]:[setting]],0), MATCH(K$139, regions_ub[#Headers],0)),INDEX(lmic_raw_ub[],MATCH($A303,lmic_raw_ub[[setting]:[setting]],0), MATCH(K$277, lmic_raw_ub[#Headers],0)))</f>
        <v>0.80850000000000011</v>
      </c>
      <c r="L303" s="84">
        <f>IF(INDEX(lmic_raw_ub[],MATCH($A303,lmic_raw_ub[[setting]:[setting]],0), MATCH(L$277, lmic_raw_ub[#Headers],0))=0, INDEX(regions_ub[], MATCH($D303, regions_ub[[setting]:[setting]],0), MATCH(L$139, regions_ub[#Headers],0)),INDEX(lmic_raw_ub[],MATCH($A303,lmic_raw_ub[[setting]:[setting]],0), MATCH(L$277, lmic_raw_ub[#Headers],0)))</f>
        <v>0.96600000000000008</v>
      </c>
      <c r="M303" s="84">
        <f>IF(INDEX(lmic_raw_ub[],MATCH($A303,lmic_raw_ub[[setting]:[setting]],0), MATCH(M$277, lmic_raw_ub[#Headers],0))=0, INDEX(regions_ub[], MATCH($D303, regions_ub[[setting]:[setting]],0), MATCH(M$139, regions_ub[#Headers],0)),INDEX(lmic_raw_ub[],MATCH($A303,lmic_raw_ub[[setting]:[setting]],0), MATCH(M$277, lmic_raw_ub[#Headers],0)))</f>
        <v>1.8000000000000002E-2</v>
      </c>
      <c r="N303" s="84">
        <f>IF(INDEX(lmic_raw_ub[],MATCH($A303,lmic_raw_ub[[setting]:[setting]],0), MATCH(N$277, lmic_raw_ub[#Headers],0))=0, INDEX(regions_ub[], MATCH($D303, regions_ub[[setting]:[setting]],0), MATCH(N$139, regions_ub[#Headers],0)),INDEX(lmic_raw_ub[],MATCH($A303,lmic_raw_ub[[setting]:[setting]],0), MATCH(N$277, lmic_raw_ub[#Headers],0)))</f>
        <v>0.42950000000000005</v>
      </c>
      <c r="O303" s="84">
        <f>IF(INDEX(lmic_raw_ub[],MATCH($A303,lmic_raw_ub[[setting]:[setting]],0), MATCH(O$277, lmic_raw_ub[#Headers],0))=0, INDEX(regions_ub[], MATCH($D303, regions_ub[[setting]:[setting]],0), MATCH(O$139, regions_ub[#Headers],0)),INDEX(lmic_raw_ub[],MATCH($A303,lmic_raw_ub[[setting]:[setting]],0), MATCH(O$277, lmic_raw_ub[#Headers],0)))</f>
        <v>0.9</v>
      </c>
      <c r="P303" s="84">
        <f>IF(INDEX(lmic_raw_ub[],MATCH($A303,lmic_raw_ub[[setting]:[setting]],0), MATCH(P$277, lmic_raw_ub[#Headers],0))=0, INDEX(regions_ub[], MATCH($D303, regions_ub[[setting]:[setting]],0), MATCH(P$139, regions_ub[#Headers],0)),INDEX(lmic_raw_ub[],MATCH($A303,lmic_raw_ub[[setting]:[setting]],0), MATCH(P$277, lmic_raw_ub[#Headers],0)))</f>
        <v>0.3</v>
      </c>
      <c r="Q303" s="84">
        <f>IF(INDEX(lmic_raw_ub[],MATCH($A303,lmic_raw_ub[[setting]:[setting]],0), MATCH(Q$277, lmic_raw_ub[#Headers],0))=0, INDEX(regions_ub[], MATCH($D303, regions_ub[[setting]:[setting]],0), MATCH(Q$139, regions_ub[#Headers],0)),INDEX(lmic_raw_ub[],MATCH($A303,lmic_raw_ub[[setting]:[setting]],0), MATCH(Q$277, lmic_raw_ub[#Headers],0)))</f>
        <v>19.92711860625726</v>
      </c>
      <c r="R303" s="84">
        <f>IF(INDEX(lmic_raw_ub[],MATCH($A303,lmic_raw_ub[[setting]:[setting]],0), MATCH(R$277, lmic_raw_ub[#Headers],0))=0, INDEX(regions_ub[], MATCH($D303, regions_ub[[setting]:[setting]],0), MATCH(R$139, regions_ub[#Headers],0)),INDEX(lmic_raw_ub[],MATCH($A303,lmic_raw_ub[[setting]:[setting]],0), MATCH(R$277, lmic_raw_ub[#Headers],0)))</f>
        <v>91.228094999999996</v>
      </c>
      <c r="S303" s="84">
        <f>IF(INDEX(lmic_raw_ub[],MATCH($A303,lmic_raw_ub[[setting]:[setting]],0), MATCH(S$277, lmic_raw_ub[#Headers],0))=0, INDEX(regions_ub[], MATCH($D303, regions_ub[[setting]:[setting]],0), MATCH(S$139, regions_ub[#Headers],0)),INDEX(lmic_raw_ub[],MATCH($A303,lmic_raw_ub[[setting]:[setting]],0), MATCH(S$277, lmic_raw_ub[#Headers],0)))</f>
        <v>141.35719500000002</v>
      </c>
      <c r="T303" s="84">
        <f>IF(INDEX(lmic_raw_ub[],MATCH($A303,lmic_raw_ub[[setting]:[setting]],0), MATCH(T$277, lmic_raw_ub[#Headers],0))=0, INDEX(regions_ub[], MATCH($D303, regions_ub[[setting]:[setting]],0), MATCH(T$139, regions_ub[#Headers],0)),INDEX(lmic_raw_ub[],MATCH($A303,lmic_raw_ub[[setting]:[setting]],0), MATCH(T$277, lmic_raw_ub[#Headers],0)))</f>
        <v>141.35719500000002</v>
      </c>
      <c r="U303" s="84">
        <f>IF(INDEX(lmic_raw_ub[],MATCH($A303,lmic_raw_ub[[setting]:[setting]],0), MATCH(U$277, lmic_raw_ub[#Headers],0))=0, INDEX(regions_ub[], MATCH($D303, regions_ub[[setting]:[setting]],0), MATCH(U$139, regions_ub[#Headers],0)),INDEX(lmic_raw_ub[],MATCH($A303,lmic_raw_ub[[setting]:[setting]],0), MATCH(U$277, lmic_raw_ub[#Headers],0)))</f>
        <v>141.35719500000002</v>
      </c>
      <c r="V303" s="84">
        <f>IF(INDEX(lmic_raw_ub[],MATCH($A303,lmic_raw_ub[[setting]:[setting]],0), MATCH(V$277, lmic_raw_ub[#Headers],0))=0, INDEX(regions_ub[], MATCH($D303, regions_ub[[setting]:[setting]],0), MATCH(V$139, regions_ub[#Headers],0)),INDEX(lmic_raw_ub[],MATCH($A303,lmic_raw_ub[[setting]:[setting]],0), MATCH(V$277, lmic_raw_ub[#Headers],0)))</f>
        <v>7.433556551322348</v>
      </c>
      <c r="W303" s="84">
        <f>IF(INDEX(lmic_raw_ub[],MATCH($A303,lmic_raw_ub[[setting]:[setting]],0), MATCH(W$277, lmic_raw_ub[#Headers],0))=0, INDEX(regions_ub[], MATCH($D303, regions_ub[[setting]:[setting]],0), MATCH(W$139, regions_ub[#Headers],0)),INDEX(lmic_raw_ub[],MATCH($A303,lmic_raw_ub[[setting]:[setting]],0), MATCH(W$277, lmic_raw_ub[#Headers],0)))</f>
        <v>7.4564465513223483</v>
      </c>
      <c r="X303" s="84">
        <f>IF(INDEX(lmic_raw_ub[],MATCH($A303,lmic_raw_ub[[setting]:[setting]],0), MATCH(X$277, lmic_raw_ub[#Headers],0))=0, INDEX(regions_ub[], MATCH($D303, regions_ub[[setting]:[setting]],0), MATCH(X$139, regions_ub[#Headers],0)),INDEX(lmic_raw_ub[],MATCH($A303,lmic_raw_ub[[setting]:[setting]],0), MATCH(X$277, lmic_raw_ub[#Headers],0)))</f>
        <v>6.9096167328020925</v>
      </c>
      <c r="Y303" s="84">
        <f>IF(INDEX(lmic_raw_ub[],MATCH($A303,lmic_raw_ub[[setting]:[setting]],0), MATCH(Y$277, lmic_raw_ub[#Headers],0))=0, INDEX(regions_ub[], MATCH($D303, regions_ub[[setting]:[setting]],0), MATCH(Y$139, regions_ub[#Headers],0)),INDEX(lmic_raw_ub[],MATCH($A303,lmic_raw_ub[[setting]:[setting]],0), MATCH(Y$277, lmic_raw_ub[#Headers],0)))</f>
        <v>6.9325067328020928</v>
      </c>
      <c r="Z303" s="84">
        <f>IF(INDEX(lmic_raw_ub[],MATCH($A303,lmic_raw_ub[[setting]:[setting]],0), MATCH(Z$277, lmic_raw_ub[#Headers],0))=0, INDEX(regions_ub[], MATCH($D303, regions_ub[[setting]:[setting]],0), MATCH(Z$139, regions_ub[#Headers],0)),INDEX(lmic_raw_ub[],MATCH($A303,lmic_raw_ub[[setting]:[setting]],0), MATCH(Z$277, lmic_raw_ub[#Headers],0)))</f>
        <v>6.9084840711954199</v>
      </c>
      <c r="AA303" s="84">
        <f>IF(INDEX(lmic_raw_ub[],MATCH($A303,lmic_raw_ub[[setting]:[setting]],0), MATCH(AA$277, lmic_raw_ub[#Headers],0))=0, INDEX(regions_ub[], MATCH($D303, regions_ub[[setting]:[setting]],0), MATCH(AA$139, regions_ub[#Headers],0)),INDEX(lmic_raw_ub[],MATCH($A303,lmic_raw_ub[[setting]:[setting]],0), MATCH(AA$277, lmic_raw_ub[#Headers],0)))</f>
        <v>7.7085621205749462</v>
      </c>
      <c r="AB303" s="84">
        <f>IF(INDEX(lmic_raw_ub[],MATCH($A303,lmic_raw_ub[[setting]:[setting]],0), MATCH(AB$277, lmic_raw_ub[#Headers],0))=0, INDEX(regions_ub[], MATCH($D303, regions_ub[[setting]:[setting]],0), MATCH(AB$139, regions_ub[#Headers],0)),INDEX(lmic_raw_ub[],MATCH($A303,lmic_raw_ub[[setting]:[setting]],0), MATCH(AB$277, lmic_raw_ub[#Headers],0)))</f>
        <v>7.7314521205749465</v>
      </c>
      <c r="AC303" s="84">
        <f>IF(INDEX(lmic_raw_ub[],MATCH($A303,lmic_raw_ub[[setting]:[setting]],0), MATCH(AC$277, lmic_raw_ub[#Headers],0))=0, INDEX(regions_ub[], MATCH($D303, regions_ub[[setting]:[setting]],0), MATCH(AC$139, regions_ub[#Headers],0)),INDEX(lmic_raw_ub[],MATCH($A303,lmic_raw_ub[[setting]:[setting]],0), MATCH(AC$277, lmic_raw_ub[#Headers],0)))</f>
        <v>1.3269217500000006E-2</v>
      </c>
      <c r="AD303" s="84">
        <f>IF(INDEX(lmic_raw_ub[],MATCH($A303,lmic_raw_ub[[setting]:[setting]],0), MATCH(AD$277, lmic_raw_ub[#Headers],0))=0, INDEX(regions_ub[], MATCH($D303, regions_ub[[setting]:[setting]],0), MATCH(AD$139, regions_ub[#Headers],0)),INDEX(lmic_raw_ub[],MATCH($A303,lmic_raw_ub[[setting]:[setting]],0), MATCH(AD$277, lmic_raw_ub[#Headers],0)))</f>
        <v>5.6558474234365014E-4</v>
      </c>
      <c r="AE303" s="84">
        <f>IF(INDEX(lmic_raw_ub[],MATCH($A303,lmic_raw_ub[[setting]:[setting]],0), MATCH(AE$277, lmic_raw_ub[#Headers],0))=0, INDEX(regions_ub[], MATCH($D303, regions_ub[[setting]:[setting]],0), MATCH(AE$139, regions_ub[#Headers],0)),INDEX(lmic_raw_ub[],MATCH($A303,lmic_raw_ub[[setting]:[setting]],0), MATCH(AE$277, lmic_raw_ub[#Headers],0)))</f>
        <v>4.205157007828283E-4</v>
      </c>
      <c r="AF303" s="84">
        <f>IF(INDEX(lmic_raw_ub[],MATCH($A303,lmic_raw_ub[[setting]:[setting]],0), MATCH(AF$277, lmic_raw_ub[#Headers],0))=0, INDEX(regions_ub[], MATCH($D303, regions_ub[[setting]:[setting]],0), MATCH(AF$139, regions_ub[#Headers],0)),INDEX(lmic_raw_ub[],MATCH($A303,lmic_raw_ub[[setting]:[setting]],0), MATCH(AF$277, lmic_raw_ub[#Headers],0)))</f>
        <v>3.869290717702229E-4</v>
      </c>
      <c r="AG303" s="84">
        <f>IF(INDEX(lmic_raw_ub[],MATCH($A303,lmic_raw_ub[[setting]:[setting]],0), MATCH(AG$277, lmic_raw_ub[#Headers],0))=0, INDEX(regions_ub[], MATCH($D303, regions_ub[[setting]:[setting]],0), MATCH(AG$139, regions_ub[#Headers],0)),INDEX(lmic_raw_ub[],MATCH($A303,lmic_raw_ub[[setting]:[setting]],0), MATCH(AG$277, lmic_raw_ub[#Headers],0)))</f>
        <v>9.8226951185629869E-4</v>
      </c>
      <c r="AH303" s="84">
        <f>IF(INDEX(lmic_raw_ub[],MATCH($A303,lmic_raw_ub[[setting]:[setting]],0), MATCH(AH$277, lmic_raw_ub[#Headers],0))=0, INDEX(regions_ub[], MATCH($D303, regions_ub[[setting]:[setting]],0), MATCH(AH$139, regions_ub[#Headers],0)),INDEX(lmic_raw_ub[],MATCH($A303,lmic_raw_ub[[setting]:[setting]],0), MATCH(AH$277, lmic_raw_ub[#Headers],0)))</f>
        <v>1.8893959409679504E-3</v>
      </c>
      <c r="AI303" s="84">
        <f>IF(INDEX(lmic_raw_ub[],MATCH($A303,lmic_raw_ub[[setting]:[setting]],0), MATCH(AI$277, lmic_raw_ub[#Headers],0))=0, INDEX(regions_ub[], MATCH($D303, regions_ub[[setting]:[setting]],0), MATCH(AI$139, regions_ub[#Headers],0)),INDEX(lmic_raw_ub[],MATCH($A303,lmic_raw_ub[[setting]:[setting]],0), MATCH(AI$277, lmic_raw_ub[#Headers],0)))</f>
        <v>1.9574446322153166E-3</v>
      </c>
      <c r="AJ303" s="84">
        <f>IF(INDEX(lmic_raw_ub[],MATCH($A303,lmic_raw_ub[[setting]:[setting]],0), MATCH(AJ$277, lmic_raw_ub[#Headers],0))=0, INDEX(regions_ub[], MATCH($D303, regions_ub[[setting]:[setting]],0), MATCH(AJ$139, regions_ub[#Headers],0)),INDEX(lmic_raw_ub[],MATCH($A303,lmic_raw_ub[[setting]:[setting]],0), MATCH(AJ$277, lmic_raw_ub[#Headers],0)))</f>
        <v>1.9168524821048811E-3</v>
      </c>
      <c r="AK303" s="84">
        <f>IF(INDEX(lmic_raw_ub[],MATCH($A303,lmic_raw_ub[[setting]:[setting]],0), MATCH(AK$277, lmic_raw_ub[#Headers],0))=0, INDEX(regions_ub[], MATCH($D303, regions_ub[[setting]:[setting]],0), MATCH(AK$139, regions_ub[#Headers],0)),INDEX(lmic_raw_ub[],MATCH($A303,lmic_raw_ub[[setting]:[setting]],0), MATCH(AK$277, lmic_raw_ub[#Headers],0)))</f>
        <v>2.0879619868999525E-3</v>
      </c>
      <c r="AL303" s="84">
        <f>IF(INDEX(lmic_raw_ub[],MATCH($A303,lmic_raw_ub[[setting]:[setting]],0), MATCH(AL$277, lmic_raw_ub[#Headers],0))=0, INDEX(regions_ub[], MATCH($D303, regions_ub[[setting]:[setting]],0), MATCH(AL$139, regions_ub[#Headers],0)),INDEX(lmic_raw_ub[],MATCH($A303,lmic_raw_ub[[setting]:[setting]],0), MATCH(AL$277, lmic_raw_ub[#Headers],0)))</f>
        <v>2.3654538459092819E-3</v>
      </c>
      <c r="AM303" s="84">
        <f>IF(INDEX(lmic_raw_ub[],MATCH($A303,lmic_raw_ub[[setting]:[setting]],0), MATCH(AM$277, lmic_raw_ub[#Headers],0))=0, INDEX(regions_ub[], MATCH($D303, regions_ub[[setting]:[setting]],0), MATCH(AM$139, regions_ub[#Headers],0)),INDEX(lmic_raw_ub[],MATCH($A303,lmic_raw_ub[[setting]:[setting]],0), MATCH(AM$277, lmic_raw_ub[#Headers],0)))</f>
        <v>2.9885780366456457E-3</v>
      </c>
      <c r="AN303" s="84">
        <f>IF(INDEX(lmic_raw_ub[],MATCH($A303,lmic_raw_ub[[setting]:[setting]],0), MATCH(AN$277, lmic_raw_ub[#Headers],0))=0, INDEX(regions_ub[], MATCH($D303, regions_ub[[setting]:[setting]],0), MATCH(AN$139, regions_ub[#Headers],0)),INDEX(lmic_raw_ub[],MATCH($A303,lmic_raw_ub[[setting]:[setting]],0), MATCH(AN$277, lmic_raw_ub[#Headers],0)))</f>
        <v>4.594928662610155E-3</v>
      </c>
      <c r="AO303" s="84">
        <f>IF(INDEX(lmic_raw_ub[],MATCH($A303,lmic_raw_ub[[setting]:[setting]],0), MATCH(AO$277, lmic_raw_ub[#Headers],0))=0, INDEX(regions_ub[], MATCH($D303, regions_ub[[setting]:[setting]],0), MATCH(AO$139, regions_ub[#Headers],0)),INDEX(lmic_raw_ub[],MATCH($A303,lmic_raw_ub[[setting]:[setting]],0), MATCH(AO$277, lmic_raw_ub[#Headers],0)))</f>
        <v>6.858961155307027E-3</v>
      </c>
      <c r="AP303" s="84">
        <f>IF(INDEX(lmic_raw_ub[],MATCH($A303,lmic_raw_ub[[setting]:[setting]],0), MATCH(AP$277, lmic_raw_ub[#Headers],0))=0, INDEX(regions_ub[], MATCH($D303, regions_ub[[setting]:[setting]],0), MATCH(AP$139, regions_ub[#Headers],0)),INDEX(lmic_raw_ub[],MATCH($A303,lmic_raw_ub[[setting]:[setting]],0), MATCH(AP$277, lmic_raw_ub[#Headers],0)))</f>
        <v>1.059687926958783E-2</v>
      </c>
      <c r="AQ303" s="84">
        <f>IF(INDEX(lmic_raw_ub[],MATCH($A303,lmic_raw_ub[[setting]:[setting]],0), MATCH(AQ$277, lmic_raw_ub[#Headers],0))=0, INDEX(regions_ub[], MATCH($D303, regions_ub[[setting]:[setting]],0), MATCH(AQ$139, regions_ub[#Headers],0)),INDEX(lmic_raw_ub[],MATCH($A303,lmic_raw_ub[[setting]:[setting]],0), MATCH(AQ$277, lmic_raw_ub[#Headers],0)))</f>
        <v>1.6376748179812075E-2</v>
      </c>
      <c r="AR303" s="84">
        <f>IF(INDEX(lmic_raw_ub[],MATCH($A303,lmic_raw_ub[[setting]:[setting]],0), MATCH(AR$277, lmic_raw_ub[#Headers],0))=0, INDEX(regions_ub[], MATCH($D303, regions_ub[[setting]:[setting]],0), MATCH(AR$139, regions_ub[#Headers],0)),INDEX(lmic_raw_ub[],MATCH($A303,lmic_raw_ub[[setting]:[setting]],0), MATCH(AR$277, lmic_raw_ub[#Headers],0)))</f>
        <v>2.5030467272620469E-2</v>
      </c>
      <c r="AS303" s="84">
        <f>IF(INDEX(lmic_raw_ub[],MATCH($A303,lmic_raw_ub[[setting]:[setting]],0), MATCH(AS$277, lmic_raw_ub[#Headers],0))=0, INDEX(regions_ub[], MATCH($D303, regions_ub[[setting]:[setting]],0), MATCH(AS$139, regions_ub[#Headers],0)),INDEX(lmic_raw_ub[],MATCH($A303,lmic_raw_ub[[setting]:[setting]],0), MATCH(AS$277, lmic_raw_ub[#Headers],0)))</f>
        <v>3.7610188834164678E-2</v>
      </c>
      <c r="AT303" s="84">
        <f>IF(INDEX(lmic_raw_ub[],MATCH($A303,lmic_raw_ub[[setting]:[setting]],0), MATCH(AT$277, lmic_raw_ub[#Headers],0))=0, INDEX(regions_ub[], MATCH($D303, regions_ub[[setting]:[setting]],0), MATCH(AT$139, regions_ub[#Headers],0)),INDEX(lmic_raw_ub[],MATCH($A303,lmic_raw_ub[[setting]:[setting]],0), MATCH(AT$277, lmic_raw_ub[#Headers],0)))</f>
        <v>5.8842619160951681E-2</v>
      </c>
      <c r="AU303" s="84">
        <f>IF(INDEX(lmic_raw_ub[],MATCH($A303,lmic_raw_ub[[setting]:[setting]],0), MATCH(AU$277, lmic_raw_ub[#Headers],0))=0, INDEX(regions_ub[], MATCH($D303, regions_ub[[setting]:[setting]],0), MATCH(AU$139, regions_ub[#Headers],0)),INDEX(lmic_raw_ub[],MATCH($A303,lmic_raw_ub[[setting]:[setting]],0), MATCH(AU$277, lmic_raw_ub[#Headers],0)))</f>
        <v>9.1978856263772724E-2</v>
      </c>
      <c r="AV303" s="84">
        <f>IF(INDEX(lmic_raw_ub[],MATCH($A303,lmic_raw_ub[[setting]:[setting]],0), MATCH(AV$277, lmic_raw_ub[#Headers],0))=0, INDEX(regions_ub[], MATCH($D303, regions_ub[[setting]:[setting]],0), MATCH(AV$139, regions_ub[#Headers],0)),INDEX(lmic_raw_ub[],MATCH($A303,lmic_raw_ub[[setting]:[setting]],0), MATCH(AV$277, lmic_raw_ub[#Headers],0)))</f>
        <v>0.10916242875421556</v>
      </c>
      <c r="AW303" s="84">
        <f>IF(INDEX(lmic_raw_ub[],MATCH($A303,lmic_raw_ub[[setting]:[setting]],0), MATCH(AW$277, lmic_raw_ub[#Headers],0))=0, INDEX(regions_ub[], MATCH($D303, regions_ub[[setting]:[setting]],0), MATCH(AW$139, regions_ub[#Headers],0)),INDEX(lmic_raw_ub[],MATCH($A303,lmic_raw_ub[[setting]:[setting]],0), MATCH(AW$277, lmic_raw_ub[#Headers],0)))</f>
        <v>0.16016280300682081</v>
      </c>
      <c r="AX303" s="84">
        <f>IF(INDEX(lmic_raw_ub[],MATCH($A303,lmic_raw_ub[[setting]:[setting]],0), MATCH(AX$277, lmic_raw_ub[#Headers],0))=0, INDEX(regions_ub[], MATCH($D303, regions_ub[[setting]:[setting]],0), MATCH(AX$139, regions_ub[#Headers],0)),INDEX(lmic_raw_ub[],MATCH($A303,lmic_raw_ub[[setting]:[setting]],0), MATCH(AX$277, lmic_raw_ub[#Headers],0)))</f>
        <v>80.872050000000002</v>
      </c>
      <c r="AY303" s="33" t="str">
        <f>IF(VLOOKUP(lmics_ub[[#This Row],[setting]],lmic_raw_ub[],11,FALSE)=0, "Yes", "No")</f>
        <v>No</v>
      </c>
    </row>
    <row r="304" spans="1:51" x14ac:dyDescent="0.25">
      <c r="A304" s="109" t="s">
        <v>606</v>
      </c>
      <c r="B304" s="101" t="s">
        <v>402</v>
      </c>
      <c r="C304" s="102">
        <v>174</v>
      </c>
      <c r="D304" s="82" t="s">
        <v>677</v>
      </c>
      <c r="E304" s="82" t="s">
        <v>597</v>
      </c>
      <c r="F304" s="82" t="s">
        <v>667</v>
      </c>
      <c r="G304" s="82" t="s">
        <v>678</v>
      </c>
      <c r="J304" s="84">
        <f>IF(INDEX(lmic_raw_ub[],MATCH($A304,lmic_raw_ub[[setting]:[setting]],0), MATCH(J$277, lmic_raw_ub[#Headers],0))=0, INDEX(regions_ub[], MATCH($D304, regions_ub[[setting]:[setting]],0), MATCH(J$139, regions_ub[#Headers],0)),INDEX(lmic_raw_ub[],MATCH($A304,lmic_raw_ub[[setting]:[setting]],0), MATCH(J$277, lmic_raw_ub[#Headers],0)))</f>
        <v>0.79904999999999993</v>
      </c>
      <c r="K304" s="84">
        <f>IF(INDEX(lmic_raw_ub[],MATCH($A304,lmic_raw_ub[[setting]:[setting]],0), MATCH(K$277, lmic_raw_ub[#Headers],0))=0, INDEX(regions_ub[], MATCH($D304, regions_ub[[setting]:[setting]],0), MATCH(K$139, regions_ub[#Headers],0)),INDEX(lmic_raw_ub[],MATCH($A304,lmic_raw_ub[[setting]:[setting]],0), MATCH(K$277, lmic_raw_ub[#Headers],0)))</f>
        <v>0.71433037619548323</v>
      </c>
      <c r="L304" s="84">
        <f>IF(INDEX(lmic_raw_ub[],MATCH($A304,lmic_raw_ub[[setting]:[setting]],0), MATCH(L$277, lmic_raw_ub[#Headers],0))=0, INDEX(regions_ub[], MATCH($D304, regions_ub[[setting]:[setting]],0), MATCH(L$139, regions_ub[#Headers],0)),INDEX(lmic_raw_ub[],MATCH($A304,lmic_raw_ub[[setting]:[setting]],0), MATCH(L$277, lmic_raw_ub[#Headers],0)))</f>
        <v>0.95550000000000013</v>
      </c>
      <c r="M304" s="84">
        <f>IF(INDEX(lmic_raw_ub[],MATCH($A304,lmic_raw_ub[[setting]:[setting]],0), MATCH(M$277, lmic_raw_ub[#Headers],0))=0, INDEX(regions_ub[], MATCH($D304, regions_ub[[setting]:[setting]],0), MATCH(M$139, regions_ub[#Headers],0)),INDEX(lmic_raw_ub[],MATCH($A304,lmic_raw_ub[[setting]:[setting]],0), MATCH(M$277, lmic_raw_ub[#Headers],0)))</f>
        <v>0.34939999999999999</v>
      </c>
      <c r="N304" s="84">
        <f>IF(INDEX(lmic_raw_ub[],MATCH($A304,lmic_raw_ub[[setting]:[setting]],0), MATCH(N$277, lmic_raw_ub[#Headers],0))=0, INDEX(regions_ub[], MATCH($D304, regions_ub[[setting]:[setting]],0), MATCH(N$139, regions_ub[#Headers],0)),INDEX(lmic_raw_ub[],MATCH($A304,lmic_raw_ub[[setting]:[setting]],0), MATCH(N$277, lmic_raw_ub[#Headers],0)))</f>
        <v>0.39960000000000001</v>
      </c>
      <c r="O304" s="84">
        <f>IF(INDEX(lmic_raw_ub[],MATCH($A304,lmic_raw_ub[[setting]:[setting]],0), MATCH(O$277, lmic_raw_ub[#Headers],0))=0, INDEX(regions_ub[], MATCH($D304, regions_ub[[setting]:[setting]],0), MATCH(O$139, regions_ub[#Headers],0)),INDEX(lmic_raw_ub[],MATCH($A304,lmic_raw_ub[[setting]:[setting]],0), MATCH(O$277, lmic_raw_ub[#Headers],0)))</f>
        <v>0.74399999999999999</v>
      </c>
      <c r="P304" s="84">
        <f>IF(INDEX(lmic_raw_ub[],MATCH($A304,lmic_raw_ub[[setting]:[setting]],0), MATCH(P$277, lmic_raw_ub[#Headers],0))=0, INDEX(regions_ub[], MATCH($D304, regions_ub[[setting]:[setting]],0), MATCH(P$139, regions_ub[#Headers],0)),INDEX(lmic_raw_ub[],MATCH($A304,lmic_raw_ub[[setting]:[setting]],0), MATCH(P$277, lmic_raw_ub[#Headers],0)))</f>
        <v>0.13300000000000001</v>
      </c>
      <c r="Q304" s="84">
        <f>IF(INDEX(lmic_raw_ub[],MATCH($A304,lmic_raw_ub[[setting]:[setting]],0), MATCH(Q$277, lmic_raw_ub[#Headers],0))=0, INDEX(regions_ub[], MATCH($D304, regions_ub[[setting]:[setting]],0), MATCH(Q$139, regions_ub[#Headers],0)),INDEX(lmic_raw_ub[],MATCH($A304,lmic_raw_ub[[setting]:[setting]],0), MATCH(Q$277, lmic_raw_ub[#Headers],0)))</f>
        <v>3.3769150663327911</v>
      </c>
      <c r="R304" s="84">
        <f>IF(INDEX(lmic_raw_ub[],MATCH($A304,lmic_raw_ub[[setting]:[setting]],0), MATCH(R$277, lmic_raw_ub[#Headers],0))=0, INDEX(regions_ub[], MATCH($D304, regions_ub[[setting]:[setting]],0), MATCH(R$139, regions_ub[#Headers],0)),INDEX(lmic_raw_ub[],MATCH($A304,lmic_raw_ub[[setting]:[setting]],0), MATCH(R$277, lmic_raw_ub[#Headers],0)))</f>
        <v>31.416525000000004</v>
      </c>
      <c r="S304" s="84">
        <f>IF(INDEX(lmic_raw_ub[],MATCH($A304,lmic_raw_ub[[setting]:[setting]],0), MATCH(S$277, lmic_raw_ub[#Headers],0))=0, INDEX(regions_ub[], MATCH($D304, regions_ub[[setting]:[setting]],0), MATCH(S$139, regions_ub[#Headers],0)),INDEX(lmic_raw_ub[],MATCH($A304,lmic_raw_ub[[setting]:[setting]],0), MATCH(S$277, lmic_raw_ub[#Headers],0)))</f>
        <v>81.545625000000015</v>
      </c>
      <c r="T304" s="84">
        <f>IF(INDEX(lmic_raw_ub[],MATCH($A304,lmic_raw_ub[[setting]:[setting]],0), MATCH(T$277, lmic_raw_ub[#Headers],0))=0, INDEX(regions_ub[], MATCH($D304, regions_ub[[setting]:[setting]],0), MATCH(T$139, regions_ub[#Headers],0)),INDEX(lmic_raw_ub[],MATCH($A304,lmic_raw_ub[[setting]:[setting]],0), MATCH(T$277, lmic_raw_ub[#Headers],0)))</f>
        <v>81.545625000000015</v>
      </c>
      <c r="U304" s="84">
        <f>IF(INDEX(lmic_raw_ub[],MATCH($A304,lmic_raw_ub[[setting]:[setting]],0), MATCH(U$277, lmic_raw_ub[#Headers],0))=0, INDEX(regions_ub[], MATCH($D304, regions_ub[[setting]:[setting]],0), MATCH(U$139, regions_ub[#Headers],0)),INDEX(lmic_raw_ub[],MATCH($A304,lmic_raw_ub[[setting]:[setting]],0), MATCH(U$277, lmic_raw_ub[#Headers],0)))</f>
        <v>81.545625000000015</v>
      </c>
      <c r="V304" s="84">
        <f>IF(INDEX(lmic_raw_ub[],MATCH($A304,lmic_raw_ub[[setting]:[setting]],0), MATCH(V$277, lmic_raw_ub[#Headers],0))=0, INDEX(regions_ub[], MATCH($D304, regions_ub[[setting]:[setting]],0), MATCH(V$139, regions_ub[#Headers],0)),INDEX(lmic_raw_ub[],MATCH($A304,lmic_raw_ub[[setting]:[setting]],0), MATCH(V$277, lmic_raw_ub[#Headers],0)))</f>
        <v>10.580761106623257</v>
      </c>
      <c r="W304" s="84">
        <f>IF(INDEX(lmic_raw_ub[],MATCH($A304,lmic_raw_ub[[setting]:[setting]],0), MATCH(W$277, lmic_raw_ub[#Headers],0))=0, INDEX(regions_ub[], MATCH($D304, regions_ub[[setting]:[setting]],0), MATCH(W$139, regions_ub[#Headers],0)),INDEX(lmic_raw_ub[],MATCH($A304,lmic_raw_ub[[setting]:[setting]],0), MATCH(W$277, lmic_raw_ub[#Headers],0)))</f>
        <v>15.650896106623257</v>
      </c>
      <c r="X304" s="84">
        <f>IF(INDEX(lmic_raw_ub[],MATCH($A304,lmic_raw_ub[[setting]:[setting]],0), MATCH(X$277, lmic_raw_ub[#Headers],0))=0, INDEX(regions_ub[], MATCH($D304, regions_ub[[setting]:[setting]],0), MATCH(X$139, regions_ub[#Headers],0)),INDEX(lmic_raw_ub[],MATCH($A304,lmic_raw_ub[[setting]:[setting]],0), MATCH(X$277, lmic_raw_ub[#Headers],0)))</f>
        <v>10.082010151700665</v>
      </c>
      <c r="Y304" s="84">
        <f>IF(INDEX(lmic_raw_ub[],MATCH($A304,lmic_raw_ub[[setting]:[setting]],0), MATCH(Y$277, lmic_raw_ub[#Headers],0))=0, INDEX(regions_ub[], MATCH($D304, regions_ub[[setting]:[setting]],0), MATCH(Y$139, regions_ub[#Headers],0)),INDEX(lmic_raw_ub[],MATCH($A304,lmic_raw_ub[[setting]:[setting]],0), MATCH(Y$277, lmic_raw_ub[#Headers],0)))</f>
        <v>15.152145151700665</v>
      </c>
      <c r="Z304" s="84">
        <f>IF(INDEX(lmic_raw_ub[],MATCH($A304,lmic_raw_ub[[setting]:[setting]],0), MATCH(Z$277, lmic_raw_ub[#Headers],0))=0, INDEX(regions_ub[], MATCH($D304, regions_ub[[setting]:[setting]],0), MATCH(Z$139, regions_ub[#Headers],0)),INDEX(lmic_raw_ub[],MATCH($A304,lmic_raw_ub[[setting]:[setting]],0), MATCH(Z$277, lmic_raw_ub[#Headers],0)))</f>
        <v>15.143384245976053</v>
      </c>
      <c r="AA304" s="84">
        <f>IF(INDEX(lmic_raw_ub[],MATCH($A304,lmic_raw_ub[[setting]:[setting]],0), MATCH(AA$277, lmic_raw_ub[#Headers],0))=0, INDEX(regions_ub[], MATCH($D304, regions_ub[[setting]:[setting]],0), MATCH(AA$139, regions_ub[#Headers],0)),INDEX(lmic_raw_ub[],MATCH($A304,lmic_raw_ub[[setting]:[setting]],0), MATCH(AA$277, lmic_raw_ub[#Headers],0)))</f>
        <v>10.85004895837209</v>
      </c>
      <c r="AB304" s="84">
        <f>IF(INDEX(lmic_raw_ub[],MATCH($A304,lmic_raw_ub[[setting]:[setting]],0), MATCH(AB$277, lmic_raw_ub[#Headers],0))=0, INDEX(regions_ub[], MATCH($D304, regions_ub[[setting]:[setting]],0), MATCH(AB$139, regions_ub[#Headers],0)),INDEX(lmic_raw_ub[],MATCH($A304,lmic_raw_ub[[setting]:[setting]],0), MATCH(AB$277, lmic_raw_ub[#Headers],0)))</f>
        <v>15.920183958372091</v>
      </c>
      <c r="AC304" s="84">
        <f>IF(INDEX(lmic_raw_ub[],MATCH($A304,lmic_raw_ub[[setting]:[setting]],0), MATCH(AC$277, lmic_raw_ub[#Headers],0))=0, INDEX(regions_ub[], MATCH($D304, regions_ub[[setting]:[setting]],0), MATCH(AC$139, regions_ub[#Headers],0)),INDEX(lmic_raw_ub[],MATCH($A304,lmic_raw_ub[[setting]:[setting]],0), MATCH(AC$277, lmic_raw_ub[#Headers],0)))</f>
        <v>5.5773459000000018E-2</v>
      </c>
      <c r="AD304" s="84">
        <f>IF(INDEX(lmic_raw_ub[],MATCH($A304,lmic_raw_ub[[setting]:[setting]],0), MATCH(AD$277, lmic_raw_ub[#Headers],0))=0, INDEX(regions_ub[], MATCH($D304, regions_ub[[setting]:[setting]],0), MATCH(AD$139, regions_ub[#Headers],0)),INDEX(lmic_raw_ub[],MATCH($A304,lmic_raw_ub[[setting]:[setting]],0), MATCH(AD$277, lmic_raw_ub[#Headers],0)))</f>
        <v>4.6969909157253227E-3</v>
      </c>
      <c r="AE304" s="84">
        <f>IF(INDEX(lmic_raw_ub[],MATCH($A304,lmic_raw_ub[[setting]:[setting]],0), MATCH(AE$277, lmic_raw_ub[#Headers],0))=0, INDEX(regions_ub[], MATCH($D304, regions_ub[[setting]:[setting]],0), MATCH(AE$139, regions_ub[#Headers],0)),INDEX(lmic_raw_ub[],MATCH($A304,lmic_raw_ub[[setting]:[setting]],0), MATCH(AE$277, lmic_raw_ub[#Headers],0)))</f>
        <v>1.4363668813447705E-3</v>
      </c>
      <c r="AF304" s="84">
        <f>IF(INDEX(lmic_raw_ub[],MATCH($A304,lmic_raw_ub[[setting]:[setting]],0), MATCH(AF$277, lmic_raw_ub[#Headers],0))=0, INDEX(regions_ub[], MATCH($D304, regions_ub[[setting]:[setting]],0), MATCH(AF$139, regions_ub[#Headers],0)),INDEX(lmic_raw_ub[],MATCH($A304,lmic_raw_ub[[setting]:[setting]],0), MATCH(AF$277, lmic_raw_ub[#Headers],0)))</f>
        <v>1.1268248616282093E-3</v>
      </c>
      <c r="AG304" s="84">
        <f>IF(INDEX(lmic_raw_ub[],MATCH($A304,lmic_raw_ub[[setting]:[setting]],0), MATCH(AG$277, lmic_raw_ub[#Headers],0))=0, INDEX(regions_ub[], MATCH($D304, regions_ub[[setting]:[setting]],0), MATCH(AG$139, regions_ub[#Headers],0)),INDEX(lmic_raw_ub[],MATCH($A304,lmic_raw_ub[[setting]:[setting]],0), MATCH(AG$277, lmic_raw_ub[#Headers],0)))</f>
        <v>1.8076827063667935E-3</v>
      </c>
      <c r="AH304" s="84">
        <f>IF(INDEX(lmic_raw_ub[],MATCH($A304,lmic_raw_ub[[setting]:[setting]],0), MATCH(AH$277, lmic_raw_ub[#Headers],0))=0, INDEX(regions_ub[], MATCH($D304, regions_ub[[setting]:[setting]],0), MATCH(AH$139, regions_ub[#Headers],0)),INDEX(lmic_raw_ub[],MATCH($A304,lmic_raw_ub[[setting]:[setting]],0), MATCH(AH$277, lmic_raw_ub[#Headers],0)))</f>
        <v>2.5172680684390114E-3</v>
      </c>
      <c r="AI304" s="84">
        <f>IF(INDEX(lmic_raw_ub[],MATCH($A304,lmic_raw_ub[[setting]:[setting]],0), MATCH(AI$277, lmic_raw_ub[#Headers],0))=0, INDEX(regions_ub[], MATCH($D304, regions_ub[[setting]:[setting]],0), MATCH(AI$139, regions_ub[#Headers],0)),INDEX(lmic_raw_ub[],MATCH($A304,lmic_raw_ub[[setting]:[setting]],0), MATCH(AI$277, lmic_raw_ub[#Headers],0)))</f>
        <v>2.744678616521994E-3</v>
      </c>
      <c r="AJ304" s="84">
        <f>IF(INDEX(lmic_raw_ub[],MATCH($A304,lmic_raw_ub[[setting]:[setting]],0), MATCH(AJ$277, lmic_raw_ub[#Headers],0))=0, INDEX(regions_ub[], MATCH($D304, regions_ub[[setting]:[setting]],0), MATCH(AJ$139, regions_ub[#Headers],0)),INDEX(lmic_raw_ub[],MATCH($A304,lmic_raw_ub[[setting]:[setting]],0), MATCH(AJ$277, lmic_raw_ub[#Headers],0)))</f>
        <v>3.1435774718896561E-3</v>
      </c>
      <c r="AK304" s="84">
        <f>IF(INDEX(lmic_raw_ub[],MATCH($A304,lmic_raw_ub[[setting]:[setting]],0), MATCH(AK$277, lmic_raw_ub[#Headers],0))=0, INDEX(regions_ub[], MATCH($D304, regions_ub[[setting]:[setting]],0), MATCH(AK$139, regions_ub[#Headers],0)),INDEX(lmic_raw_ub[],MATCH($A304,lmic_raw_ub[[setting]:[setting]],0), MATCH(AK$277, lmic_raw_ub[#Headers],0)))</f>
        <v>3.8829291089565216E-3</v>
      </c>
      <c r="AL304" s="84">
        <f>IF(INDEX(lmic_raw_ub[],MATCH($A304,lmic_raw_ub[[setting]:[setting]],0), MATCH(AL$277, lmic_raw_ub[#Headers],0))=0, INDEX(regions_ub[], MATCH($D304, regions_ub[[setting]:[setting]],0), MATCH(AL$139, regions_ub[#Headers],0)),INDEX(lmic_raw_ub[],MATCH($A304,lmic_raw_ub[[setting]:[setting]],0), MATCH(AL$277, lmic_raw_ub[#Headers],0)))</f>
        <v>5.1025802128150111E-3</v>
      </c>
      <c r="AM304" s="84">
        <f>IF(INDEX(lmic_raw_ub[],MATCH($A304,lmic_raw_ub[[setting]:[setting]],0), MATCH(AM$277, lmic_raw_ub[#Headers],0))=0, INDEX(regions_ub[], MATCH($D304, regions_ub[[setting]:[setting]],0), MATCH(AM$139, regions_ub[#Headers],0)),INDEX(lmic_raw_ub[],MATCH($A304,lmic_raw_ub[[setting]:[setting]],0), MATCH(AM$277, lmic_raw_ub[#Headers],0)))</f>
        <v>7.1027528541279181E-3</v>
      </c>
      <c r="AN304" s="84">
        <f>IF(INDEX(lmic_raw_ub[],MATCH($A304,lmic_raw_ub[[setting]:[setting]],0), MATCH(AN$277, lmic_raw_ub[#Headers],0))=0, INDEX(regions_ub[], MATCH($D304, regions_ub[[setting]:[setting]],0), MATCH(AN$139, regions_ub[#Headers],0)),INDEX(lmic_raw_ub[],MATCH($A304,lmic_raw_ub[[setting]:[setting]],0), MATCH(AN$277, lmic_raw_ub[#Headers],0)))</f>
        <v>1.0301257657844396E-2</v>
      </c>
      <c r="AO304" s="84">
        <f>IF(INDEX(lmic_raw_ub[],MATCH($A304,lmic_raw_ub[[setting]:[setting]],0), MATCH(AO$277, lmic_raw_ub[#Headers],0))=0, INDEX(regions_ub[], MATCH($D304, regions_ub[[setting]:[setting]],0), MATCH(AO$139, regions_ub[#Headers],0)),INDEX(lmic_raw_ub[],MATCH($A304,lmic_raw_ub[[setting]:[setting]],0), MATCH(AO$277, lmic_raw_ub[#Headers],0)))</f>
        <v>1.512486332996967E-2</v>
      </c>
      <c r="AP304" s="84">
        <f>IF(INDEX(lmic_raw_ub[],MATCH($A304,lmic_raw_ub[[setting]:[setting]],0), MATCH(AP$277, lmic_raw_ub[#Headers],0))=0, INDEX(regions_ub[], MATCH($D304, regions_ub[[setting]:[setting]],0), MATCH(AP$139, regions_ub[#Headers],0)),INDEX(lmic_raw_ub[],MATCH($A304,lmic_raw_ub[[setting]:[setting]],0), MATCH(AP$277, lmic_raw_ub[#Headers],0)))</f>
        <v>2.2766690201277775E-2</v>
      </c>
      <c r="AQ304" s="84">
        <f>IF(INDEX(lmic_raw_ub[],MATCH($A304,lmic_raw_ub[[setting]:[setting]],0), MATCH(AQ$277, lmic_raw_ub[#Headers],0))=0, INDEX(regions_ub[], MATCH($D304, regions_ub[[setting]:[setting]],0), MATCH(AQ$139, regions_ub[#Headers],0)),INDEX(lmic_raw_ub[],MATCH($A304,lmic_raw_ub[[setting]:[setting]],0), MATCH(AQ$277, lmic_raw_ub[#Headers],0)))</f>
        <v>3.4354550882199318E-2</v>
      </c>
      <c r="AR304" s="84">
        <f>IF(INDEX(lmic_raw_ub[],MATCH($A304,lmic_raw_ub[[setting]:[setting]],0), MATCH(AR$277, lmic_raw_ub[#Headers],0))=0, INDEX(regions_ub[], MATCH($D304, regions_ub[[setting]:[setting]],0), MATCH(AR$139, regions_ub[#Headers],0)),INDEX(lmic_raw_ub[],MATCH($A304,lmic_raw_ub[[setting]:[setting]],0), MATCH(AR$277, lmic_raw_ub[#Headers],0)))</f>
        <v>5.2271147595953742E-2</v>
      </c>
      <c r="AS304" s="84">
        <f>IF(INDEX(lmic_raw_ub[],MATCH($A304,lmic_raw_ub[[setting]:[setting]],0), MATCH(AS$277, lmic_raw_ub[#Headers],0))=0, INDEX(regions_ub[], MATCH($D304, regions_ub[[setting]:[setting]],0), MATCH(AS$139, regions_ub[#Headers],0)),INDEX(lmic_raw_ub[],MATCH($A304,lmic_raw_ub[[setting]:[setting]],0), MATCH(AS$277, lmic_raw_ub[#Headers],0)))</f>
        <v>7.755237884289469E-2</v>
      </c>
      <c r="AT304" s="84">
        <f>IF(INDEX(lmic_raw_ub[],MATCH($A304,lmic_raw_ub[[setting]:[setting]],0), MATCH(AT$277, lmic_raw_ub[#Headers],0))=0, INDEX(regions_ub[], MATCH($D304, regions_ub[[setting]:[setting]],0), MATCH(AT$139, regions_ub[#Headers],0)),INDEX(lmic_raw_ub[],MATCH($A304,lmic_raw_ub[[setting]:[setting]],0), MATCH(AT$277, lmic_raw_ub[#Headers],0)))</f>
        <v>0.1100893846024886</v>
      </c>
      <c r="AU304" s="84">
        <f>IF(INDEX(lmic_raw_ub[],MATCH($A304,lmic_raw_ub[[setting]:[setting]],0), MATCH(AU$277, lmic_raw_ub[#Headers],0))=0, INDEX(regions_ub[], MATCH($D304, regions_ub[[setting]:[setting]],0), MATCH(AU$139, regions_ub[#Headers],0)),INDEX(lmic_raw_ub[],MATCH($A304,lmic_raw_ub[[setting]:[setting]],0), MATCH(AU$277, lmic_raw_ub[#Headers],0)))</f>
        <v>0.1439812423464415</v>
      </c>
      <c r="AV304" s="84">
        <f>IF(INDEX(lmic_raw_ub[],MATCH($A304,lmic_raw_ub[[setting]:[setting]],0), MATCH(AV$277, lmic_raw_ub[#Headers],0))=0, INDEX(regions_ub[], MATCH($D304, regions_ub[[setting]:[setting]],0), MATCH(AV$139, regions_ub[#Headers],0)),INDEX(lmic_raw_ub[],MATCH($A304,lmic_raw_ub[[setting]:[setting]],0), MATCH(AV$277, lmic_raw_ub[#Headers],0)))</f>
        <v>0.17126360738678251</v>
      </c>
      <c r="AW304" s="84">
        <f>IF(INDEX(lmic_raw_ub[],MATCH($A304,lmic_raw_ub[[setting]:[setting]],0), MATCH(AW$277, lmic_raw_ub[#Headers],0))=0, INDEX(regions_ub[], MATCH($D304, regions_ub[[setting]:[setting]],0), MATCH(AW$139, regions_ub[#Headers],0)),INDEX(lmic_raw_ub[],MATCH($A304,lmic_raw_ub[[setting]:[setting]],0), MATCH(AW$277, lmic_raw_ub[#Headers],0)))</f>
        <v>0.18867871843907949</v>
      </c>
      <c r="AX304" s="84">
        <f>IF(INDEX(lmic_raw_ub[],MATCH($A304,lmic_raw_ub[[setting]:[setting]],0), MATCH(AX$277, lmic_raw_ub[#Headers],0))=0, INDEX(regions_ub[], MATCH($D304, regions_ub[[setting]:[setting]],0), MATCH(AX$139, regions_ub[#Headers],0)),INDEX(lmic_raw_ub[],MATCH($A304,lmic_raw_ub[[setting]:[setting]],0), MATCH(AX$277, lmic_raw_ub[#Headers],0)))</f>
        <v>67.182149999999993</v>
      </c>
      <c r="AY304" s="33" t="str">
        <f>IF(VLOOKUP(lmics_ub[[#This Row],[setting]],lmic_raw_ub[],11,FALSE)=0, "Yes", "No")</f>
        <v>Yes</v>
      </c>
    </row>
    <row r="305" spans="1:51" x14ac:dyDescent="0.25">
      <c r="A305" s="84" t="s">
        <v>611</v>
      </c>
      <c r="B305" s="104" t="s">
        <v>412</v>
      </c>
      <c r="C305" s="105">
        <v>180</v>
      </c>
      <c r="D305" s="84" t="s">
        <v>677</v>
      </c>
      <c r="E305" s="84" t="s">
        <v>582</v>
      </c>
      <c r="F305" s="84" t="s">
        <v>667</v>
      </c>
      <c r="G305" s="84" t="s">
        <v>674</v>
      </c>
      <c r="J305" s="84">
        <f>IF(INDEX(lmic_raw_ub[],MATCH($A305,lmic_raw_ub[[setting]:[setting]],0), MATCH(J$277, lmic_raw_ub[#Headers],0))=0, INDEX(regions_ub[], MATCH($D305, regions_ub[[setting]:[setting]],0), MATCH(J$139, regions_ub[#Headers],0)),INDEX(lmic_raw_ub[],MATCH($A305,lmic_raw_ub[[setting]:[setting]],0), MATCH(J$277, lmic_raw_ub[#Headers],0)))</f>
        <v>0.85575000000000001</v>
      </c>
      <c r="K305" s="84">
        <f>IF(INDEX(lmic_raw_ub[],MATCH($A305,lmic_raw_ub[[setting]:[setting]],0), MATCH(K$277, lmic_raw_ub[#Headers],0))=0, INDEX(regions_ub[], MATCH($D305, regions_ub[[setting]:[setting]],0), MATCH(K$139, regions_ub[#Headers],0)),INDEX(lmic_raw_ub[],MATCH($A305,lmic_raw_ub[[setting]:[setting]],0), MATCH(K$277, lmic_raw_ub[#Headers],0)))</f>
        <v>0.71433037619548323</v>
      </c>
      <c r="L305" s="84">
        <f>IF(INDEX(lmic_raw_ub[],MATCH($A305,lmic_raw_ub[[setting]:[setting]],0), MATCH(L$277, lmic_raw_ub[#Headers],0))=0, INDEX(regions_ub[], MATCH($D305, regions_ub[[setting]:[setting]],0), MATCH(L$139, regions_ub[#Headers],0)),INDEX(lmic_raw_ub[],MATCH($A305,lmic_raw_ub[[setting]:[setting]],0), MATCH(L$277, lmic_raw_ub[#Headers],0)))</f>
        <v>0.59849999999999992</v>
      </c>
      <c r="M305" s="84">
        <f>IF(INDEX(lmic_raw_ub[],MATCH($A305,lmic_raw_ub[[setting]:[setting]],0), MATCH(M$277, lmic_raw_ub[#Headers],0))=0, INDEX(regions_ub[], MATCH($D305, regions_ub[[setting]:[setting]],0), MATCH(M$139, regions_ub[#Headers],0)),INDEX(lmic_raw_ub[],MATCH($A305,lmic_raw_ub[[setting]:[setting]],0), MATCH(M$277, lmic_raw_ub[#Headers],0)))</f>
        <v>4.1799999999999997E-2</v>
      </c>
      <c r="N305" s="84">
        <f>IF(INDEX(lmic_raw_ub[],MATCH($A305,lmic_raw_ub[[setting]:[setting]],0), MATCH(N$277, lmic_raw_ub[#Headers],0))=0, INDEX(regions_ub[], MATCH($D305, regions_ub[[setting]:[setting]],0), MATCH(N$139, regions_ub[#Headers],0)),INDEX(lmic_raw_ub[],MATCH($A305,lmic_raw_ub[[setting]:[setting]],0), MATCH(N$277, lmic_raw_ub[#Headers],0)))</f>
        <v>0.40200000000000002</v>
      </c>
      <c r="O305" s="84">
        <f>IF(INDEX(lmic_raw_ub[],MATCH($A305,lmic_raw_ub[[setting]:[setting]],0), MATCH(O$277, lmic_raw_ub[#Headers],0))=0, INDEX(regions_ub[], MATCH($D305, regions_ub[[setting]:[setting]],0), MATCH(O$139, regions_ub[#Headers],0)),INDEX(lmic_raw_ub[],MATCH($A305,lmic_raw_ub[[setting]:[setting]],0), MATCH(O$277, lmic_raw_ub[#Headers],0)))</f>
        <v>0.74399999999999999</v>
      </c>
      <c r="P305" s="84">
        <f>IF(INDEX(lmic_raw_ub[],MATCH($A305,lmic_raw_ub[[setting]:[setting]],0), MATCH(P$277, lmic_raw_ub[#Headers],0))=0, INDEX(regions_ub[], MATCH($D305, regions_ub[[setting]:[setting]],0), MATCH(P$139, regions_ub[#Headers],0)),INDEX(lmic_raw_ub[],MATCH($A305,lmic_raw_ub[[setting]:[setting]],0), MATCH(P$277, lmic_raw_ub[#Headers],0)))</f>
        <v>0.13300000000000001</v>
      </c>
      <c r="Q305" s="84">
        <f>IF(INDEX(lmic_raw_ub[],MATCH($A305,lmic_raw_ub[[setting]:[setting]],0), MATCH(Q$277, lmic_raw_ub[#Headers],0))=0, INDEX(regions_ub[], MATCH($D305, regions_ub[[setting]:[setting]],0), MATCH(Q$139, regions_ub[#Headers],0)),INDEX(lmic_raw_ub[],MATCH($A305,lmic_raw_ub[[setting]:[setting]],0), MATCH(Q$277, lmic_raw_ub[#Headers],0)))</f>
        <v>4.8907647106941052</v>
      </c>
      <c r="R305" s="84">
        <f>IF(INDEX(lmic_raw_ub[],MATCH($A305,lmic_raw_ub[[setting]:[setting]],0), MATCH(R$277, lmic_raw_ub[#Headers],0))=0, INDEX(regions_ub[], MATCH($D305, regions_ub[[setting]:[setting]],0), MATCH(R$139, regions_ub[#Headers],0)),INDEX(lmic_raw_ub[],MATCH($A305,lmic_raw_ub[[setting]:[setting]],0), MATCH(R$277, lmic_raw_ub[#Headers],0)))</f>
        <v>31.416525000000004</v>
      </c>
      <c r="S305" s="84">
        <f>IF(INDEX(lmic_raw_ub[],MATCH($A305,lmic_raw_ub[[setting]:[setting]],0), MATCH(S$277, lmic_raw_ub[#Headers],0))=0, INDEX(regions_ub[], MATCH($D305, regions_ub[[setting]:[setting]],0), MATCH(S$139, regions_ub[#Headers],0)),INDEX(lmic_raw_ub[],MATCH($A305,lmic_raw_ub[[setting]:[setting]],0), MATCH(S$277, lmic_raw_ub[#Headers],0)))</f>
        <v>81.545625000000015</v>
      </c>
      <c r="T305" s="84">
        <f>IF(INDEX(lmic_raw_ub[],MATCH($A305,lmic_raw_ub[[setting]:[setting]],0), MATCH(T$277, lmic_raw_ub[#Headers],0))=0, INDEX(regions_ub[], MATCH($D305, regions_ub[[setting]:[setting]],0), MATCH(T$139, regions_ub[#Headers],0)),INDEX(lmic_raw_ub[],MATCH($A305,lmic_raw_ub[[setting]:[setting]],0), MATCH(T$277, lmic_raw_ub[#Headers],0)))</f>
        <v>81.545625000000015</v>
      </c>
      <c r="U305" s="84">
        <f>IF(INDEX(lmic_raw_ub[],MATCH($A305,lmic_raw_ub[[setting]:[setting]],0), MATCH(U$277, lmic_raw_ub[#Headers],0))=0, INDEX(regions_ub[], MATCH($D305, regions_ub[[setting]:[setting]],0), MATCH(U$139, regions_ub[#Headers],0)),INDEX(lmic_raw_ub[],MATCH($A305,lmic_raw_ub[[setting]:[setting]],0), MATCH(U$277, lmic_raw_ub[#Headers],0)))</f>
        <v>81.545625000000015</v>
      </c>
      <c r="V305" s="84">
        <f>IF(INDEX(lmic_raw_ub[],MATCH($A305,lmic_raw_ub[[setting]:[setting]],0), MATCH(V$277, lmic_raw_ub[#Headers],0))=0, INDEX(regions_ub[], MATCH($D305, regions_ub[[setting]:[setting]],0), MATCH(V$139, regions_ub[#Headers],0)),INDEX(lmic_raw_ub[],MATCH($A305,lmic_raw_ub[[setting]:[setting]],0), MATCH(V$277, lmic_raw_ub[#Headers],0)))</f>
        <v>3.0485429887518278</v>
      </c>
      <c r="W305" s="84">
        <f>IF(INDEX(lmic_raw_ub[],MATCH($A305,lmic_raw_ub[[setting]:[setting]],0), MATCH(W$277, lmic_raw_ub[#Headers],0))=0, INDEX(regions_ub[], MATCH($D305, regions_ub[[setting]:[setting]],0), MATCH(W$139, regions_ub[#Headers],0)),INDEX(lmic_raw_ub[],MATCH($A305,lmic_raw_ub[[setting]:[setting]],0), MATCH(W$277, lmic_raw_ub[#Headers],0)))</f>
        <v>8.1186779887518288</v>
      </c>
      <c r="X305" s="84">
        <f>IF(INDEX(lmic_raw_ub[],MATCH($A305,lmic_raw_ub[[setting]:[setting]],0), MATCH(X$277, lmic_raw_ub[#Headers],0))=0, INDEX(regions_ub[], MATCH($D305, regions_ub[[setting]:[setting]],0), MATCH(X$139, regions_ub[#Headers],0)),INDEX(lmic_raw_ub[],MATCH($A305,lmic_raw_ub[[setting]:[setting]],0), MATCH(X$277, lmic_raw_ub[#Headers],0)))</f>
        <v>2.5557274421296299</v>
      </c>
      <c r="Y305" s="84">
        <f>IF(INDEX(lmic_raw_ub[],MATCH($A305,lmic_raw_ub[[setting]:[setting]],0), MATCH(Y$277, lmic_raw_ub[#Headers],0))=0, INDEX(regions_ub[], MATCH($D305, regions_ub[[setting]:[setting]],0), MATCH(Y$139, regions_ub[#Headers],0)),INDEX(lmic_raw_ub[],MATCH($A305,lmic_raw_ub[[setting]:[setting]],0), MATCH(Y$277, lmic_raw_ub[#Headers],0)))</f>
        <v>7.6258624421296304</v>
      </c>
      <c r="Z305" s="84">
        <f>IF(INDEX(lmic_raw_ub[],MATCH($A305,lmic_raw_ub[[setting]:[setting]],0), MATCH(Z$277, lmic_raw_ub[#Headers],0))=0, INDEX(regions_ub[], MATCH($D305, regions_ub[[setting]:[setting]],0), MATCH(Z$139, regions_ub[#Headers],0)),INDEX(lmic_raw_ub[],MATCH($A305,lmic_raw_ub[[setting]:[setting]],0), MATCH(Z$277, lmic_raw_ub[#Headers],0)))</f>
        <v>7.6208664506172852</v>
      </c>
      <c r="AA305" s="84">
        <f>IF(INDEX(lmic_raw_ub[],MATCH($A305,lmic_raw_ub[[setting]:[setting]],0), MATCH(AA$277, lmic_raw_ub[#Headers],0))=0, INDEX(regions_ub[], MATCH($D305, regions_ub[[setting]:[setting]],0), MATCH(AA$139, regions_ub[#Headers],0)),INDEX(lmic_raw_ub[],MATCH($A305,lmic_raw_ub[[setting]:[setting]],0), MATCH(AA$277, lmic_raw_ub[#Headers],0)))</f>
        <v>3.3164835392300196</v>
      </c>
      <c r="AB305" s="84">
        <f>IF(INDEX(lmic_raw_ub[],MATCH($A305,lmic_raw_ub[[setting]:[setting]],0), MATCH(AB$277, lmic_raw_ub[#Headers],0))=0, INDEX(regions_ub[], MATCH($D305, regions_ub[[setting]:[setting]],0), MATCH(AB$139, regions_ub[#Headers],0)),INDEX(lmic_raw_ub[],MATCH($A305,lmic_raw_ub[[setting]:[setting]],0), MATCH(AB$277, lmic_raw_ub[#Headers],0)))</f>
        <v>8.386618539230021</v>
      </c>
      <c r="AC305" s="84">
        <f>IF(INDEX(lmic_raw_ub[],MATCH($A305,lmic_raw_ub[[setting]:[setting]],0), MATCH(AC$277, lmic_raw_ub[#Headers],0))=0, INDEX(regions_ub[], MATCH($D305, regions_ub[[setting]:[setting]],0), MATCH(AC$139, regions_ub[#Headers],0)),INDEX(lmic_raw_ub[],MATCH($A305,lmic_raw_ub[[setting]:[setting]],0), MATCH(AC$277, lmic_raw_ub[#Headers],0)))</f>
        <v>6.8179145999999941E-2</v>
      </c>
      <c r="AD305" s="84">
        <f>IF(INDEX(lmic_raw_ub[],MATCH($A305,lmic_raw_ub[[setting]:[setting]],0), MATCH(AD$277, lmic_raw_ub[#Headers],0))=0, INDEX(regions_ub[], MATCH($D305, regions_ub[[setting]:[setting]],0), MATCH(AD$139, regions_ub[#Headers],0)),INDEX(lmic_raw_ub[],MATCH($A305,lmic_raw_ub[[setting]:[setting]],0), MATCH(AD$277, lmic_raw_ub[#Headers],0)))</f>
        <v>9.9809530591311122E-3</v>
      </c>
      <c r="AE305" s="84">
        <f>IF(INDEX(lmic_raw_ub[],MATCH($A305,lmic_raw_ub[[setting]:[setting]],0), MATCH(AE$277, lmic_raw_ub[#Headers],0))=0, INDEX(regions_ub[], MATCH($D305, regions_ub[[setting]:[setting]],0), MATCH(AE$139, regions_ub[#Headers],0)),INDEX(lmic_raw_ub[],MATCH($A305,lmic_raw_ub[[setting]:[setting]],0), MATCH(AE$277, lmic_raw_ub[#Headers],0)))</f>
        <v>3.6131285870006297E-3</v>
      </c>
      <c r="AF305" s="84">
        <f>IF(INDEX(lmic_raw_ub[],MATCH($A305,lmic_raw_ub[[setting]:[setting]],0), MATCH(AF$277, lmic_raw_ub[#Headers],0))=0, INDEX(regions_ub[], MATCH($D305, regions_ub[[setting]:[setting]],0), MATCH(AF$139, regions_ub[#Headers],0)),INDEX(lmic_raw_ub[],MATCH($A305,lmic_raw_ub[[setting]:[setting]],0), MATCH(AF$277, lmic_raw_ub[#Headers],0)))</f>
        <v>2.1347073568982258E-3</v>
      </c>
      <c r="AG305" s="84">
        <f>IF(INDEX(lmic_raw_ub[],MATCH($A305,lmic_raw_ub[[setting]:[setting]],0), MATCH(AG$277, lmic_raw_ub[#Headers],0))=0, INDEX(regions_ub[], MATCH($D305, regions_ub[[setting]:[setting]],0), MATCH(AG$139, regions_ub[#Headers],0)),INDEX(lmic_raw_ub[],MATCH($A305,lmic_raw_ub[[setting]:[setting]],0), MATCH(AG$277, lmic_raw_ub[#Headers],0)))</f>
        <v>2.8557623331473964E-3</v>
      </c>
      <c r="AH305" s="84">
        <f>IF(INDEX(lmic_raw_ub[],MATCH($A305,lmic_raw_ub[[setting]:[setting]],0), MATCH(AH$277, lmic_raw_ub[#Headers],0))=0, INDEX(regions_ub[], MATCH($D305, regions_ub[[setting]:[setting]],0), MATCH(AH$139, regions_ub[#Headers],0)),INDEX(lmic_raw_ub[],MATCH($A305,lmic_raw_ub[[setting]:[setting]],0), MATCH(AH$277, lmic_raw_ub[#Headers],0)))</f>
        <v>3.8467359351907621E-3</v>
      </c>
      <c r="AI305" s="84">
        <f>IF(INDEX(lmic_raw_ub[],MATCH($A305,lmic_raw_ub[[setting]:[setting]],0), MATCH(AI$277, lmic_raw_ub[#Headers],0))=0, INDEX(regions_ub[], MATCH($D305, regions_ub[[setting]:[setting]],0), MATCH(AI$139, regions_ub[#Headers],0)),INDEX(lmic_raw_ub[],MATCH($A305,lmic_raw_ub[[setting]:[setting]],0), MATCH(AI$277, lmic_raw_ub[#Headers],0)))</f>
        <v>4.2138562223496675E-3</v>
      </c>
      <c r="AJ305" s="84">
        <f>IF(INDEX(lmic_raw_ub[],MATCH($A305,lmic_raw_ub[[setting]:[setting]],0), MATCH(AJ$277, lmic_raw_ub[#Headers],0))=0, INDEX(regions_ub[], MATCH($D305, regions_ub[[setting]:[setting]],0), MATCH(AJ$139, regions_ub[#Headers],0)),INDEX(lmic_raw_ub[],MATCH($A305,lmic_raw_ub[[setting]:[setting]],0), MATCH(AJ$277, lmic_raw_ub[#Headers],0)))</f>
        <v>4.6267852367904211E-3</v>
      </c>
      <c r="AK305" s="84">
        <f>IF(INDEX(lmic_raw_ub[],MATCH($A305,lmic_raw_ub[[setting]:[setting]],0), MATCH(AK$277, lmic_raw_ub[#Headers],0))=0, INDEX(regions_ub[], MATCH($D305, regions_ub[[setting]:[setting]],0), MATCH(AK$139, regions_ub[#Headers],0)),INDEX(lmic_raw_ub[],MATCH($A305,lmic_raw_ub[[setting]:[setting]],0), MATCH(AK$277, lmic_raw_ub[#Headers],0)))</f>
        <v>5.2382755358250412E-3</v>
      </c>
      <c r="AL305" s="84">
        <f>IF(INDEX(lmic_raw_ub[],MATCH($A305,lmic_raw_ub[[setting]:[setting]],0), MATCH(AL$277, lmic_raw_ub[#Headers],0))=0, INDEX(regions_ub[], MATCH($D305, regions_ub[[setting]:[setting]],0), MATCH(AL$139, regions_ub[#Headers],0)),INDEX(lmic_raw_ub[],MATCH($A305,lmic_raw_ub[[setting]:[setting]],0), MATCH(AL$277, lmic_raw_ub[#Headers],0)))</f>
        <v>6.4208911195776375E-3</v>
      </c>
      <c r="AM305" s="84">
        <f>IF(INDEX(lmic_raw_ub[],MATCH($A305,lmic_raw_ub[[setting]:[setting]],0), MATCH(AM$277, lmic_raw_ub[#Headers],0))=0, INDEX(regions_ub[], MATCH($D305, regions_ub[[setting]:[setting]],0), MATCH(AM$139, regions_ub[#Headers],0)),INDEX(lmic_raw_ub[],MATCH($A305,lmic_raw_ub[[setting]:[setting]],0), MATCH(AM$277, lmic_raw_ub[#Headers],0)))</f>
        <v>7.7283181586088115E-3</v>
      </c>
      <c r="AN305" s="84">
        <f>IF(INDEX(lmic_raw_ub[],MATCH($A305,lmic_raw_ub[[setting]:[setting]],0), MATCH(AN$277, lmic_raw_ub[#Headers],0))=0, INDEX(regions_ub[], MATCH($D305, regions_ub[[setting]:[setting]],0), MATCH(AN$139, regions_ub[#Headers],0)),INDEX(lmic_raw_ub[],MATCH($A305,lmic_raw_ub[[setting]:[setting]],0), MATCH(AN$277, lmic_raw_ub[#Headers],0)))</f>
        <v>1.0645845397185893E-2</v>
      </c>
      <c r="AO305" s="84">
        <f>IF(INDEX(lmic_raw_ub[],MATCH($A305,lmic_raw_ub[[setting]:[setting]],0), MATCH(AO$277, lmic_raw_ub[#Headers],0))=0, INDEX(regions_ub[], MATCH($D305, regions_ub[[setting]:[setting]],0), MATCH(AO$139, regions_ub[#Headers],0)),INDEX(lmic_raw_ub[],MATCH($A305,lmic_raw_ub[[setting]:[setting]],0), MATCH(AO$277, lmic_raw_ub[#Headers],0)))</f>
        <v>1.4113132619577695E-2</v>
      </c>
      <c r="AP305" s="84">
        <f>IF(INDEX(lmic_raw_ub[],MATCH($A305,lmic_raw_ub[[setting]:[setting]],0), MATCH(AP$277, lmic_raw_ub[#Headers],0))=0, INDEX(regions_ub[], MATCH($D305, regions_ub[[setting]:[setting]],0), MATCH(AP$139, regions_ub[#Headers],0)),INDEX(lmic_raw_ub[],MATCH($A305,lmic_raw_ub[[setting]:[setting]],0), MATCH(AP$277, lmic_raw_ub[#Headers],0)))</f>
        <v>2.103716336586222E-2</v>
      </c>
      <c r="AQ305" s="84">
        <f>IF(INDEX(lmic_raw_ub[],MATCH($A305,lmic_raw_ub[[setting]:[setting]],0), MATCH(AQ$277, lmic_raw_ub[#Headers],0))=0, INDEX(regions_ub[], MATCH($D305, regions_ub[[setting]:[setting]],0), MATCH(AQ$139, regions_ub[#Headers],0)),INDEX(lmic_raw_ub[],MATCH($A305,lmic_raw_ub[[setting]:[setting]],0), MATCH(AQ$277, lmic_raw_ub[#Headers],0)))</f>
        <v>3.1894047538254179E-2</v>
      </c>
      <c r="AR305" s="84">
        <f>IF(INDEX(lmic_raw_ub[],MATCH($A305,lmic_raw_ub[[setting]:[setting]],0), MATCH(AR$277, lmic_raw_ub[#Headers],0))=0, INDEX(regions_ub[], MATCH($D305, regions_ub[[setting]:[setting]],0), MATCH(AR$139, regions_ub[#Headers],0)),INDEX(lmic_raw_ub[],MATCH($A305,lmic_raw_ub[[setting]:[setting]],0), MATCH(AR$277, lmic_raw_ub[#Headers],0)))</f>
        <v>4.8670284947360393E-2</v>
      </c>
      <c r="AS305" s="84">
        <f>IF(INDEX(lmic_raw_ub[],MATCH($A305,lmic_raw_ub[[setting]:[setting]],0), MATCH(AS$277, lmic_raw_ub[#Headers],0))=0, INDEX(regions_ub[], MATCH($D305, regions_ub[[setting]:[setting]],0), MATCH(AS$139, regions_ub[#Headers],0)),INDEX(lmic_raw_ub[],MATCH($A305,lmic_raw_ub[[setting]:[setting]],0), MATCH(AS$277, lmic_raw_ub[#Headers],0)))</f>
        <v>7.2363064897314422E-2</v>
      </c>
      <c r="AT305" s="84">
        <f>IF(INDEX(lmic_raw_ub[],MATCH($A305,lmic_raw_ub[[setting]:[setting]],0), MATCH(AT$277, lmic_raw_ub[#Headers],0))=0, INDEX(regions_ub[], MATCH($D305, regions_ub[[setting]:[setting]],0), MATCH(AT$139, regions_ub[#Headers],0)),INDEX(lmic_raw_ub[],MATCH($A305,lmic_raw_ub[[setting]:[setting]],0), MATCH(AT$277, lmic_raw_ub[#Headers],0)))</f>
        <v>0.10360179250949343</v>
      </c>
      <c r="AU305" s="84">
        <f>IF(INDEX(lmic_raw_ub[],MATCH($A305,lmic_raw_ub[[setting]:[setting]],0), MATCH(AU$277, lmic_raw_ub[#Headers],0))=0, INDEX(regions_ub[], MATCH($D305, regions_ub[[setting]:[setting]],0), MATCH(AU$139, regions_ub[#Headers],0)),INDEX(lmic_raw_ub[],MATCH($A305,lmic_raw_ub[[setting]:[setting]],0), MATCH(AU$277, lmic_raw_ub[#Headers],0)))</f>
        <v>0.13721220924006233</v>
      </c>
      <c r="AV305" s="84">
        <f>IF(INDEX(lmic_raw_ub[],MATCH($A305,lmic_raw_ub[[setting]:[setting]],0), MATCH(AV$277, lmic_raw_ub[#Headers],0))=0, INDEX(regions_ub[], MATCH($D305, regions_ub[[setting]:[setting]],0), MATCH(AV$139, regions_ub[#Headers],0)),INDEX(lmic_raw_ub[],MATCH($A305,lmic_raw_ub[[setting]:[setting]],0), MATCH(AV$277, lmic_raw_ub[#Headers],0)))</f>
        <v>0.16573935331980036</v>
      </c>
      <c r="AW305" s="84">
        <f>IF(INDEX(lmic_raw_ub[],MATCH($A305,lmic_raw_ub[[setting]:[setting]],0), MATCH(AW$277, lmic_raw_ub[#Headers],0))=0, INDEX(regions_ub[], MATCH($D305, regions_ub[[setting]:[setting]],0), MATCH(AW$139, regions_ub[#Headers],0)),INDEX(lmic_raw_ub[],MATCH($A305,lmic_raw_ub[[setting]:[setting]],0), MATCH(AW$277, lmic_raw_ub[#Headers],0)))</f>
        <v>0.1855006038634697</v>
      </c>
      <c r="AX305" s="84">
        <f>IF(INDEX(lmic_raw_ub[],MATCH($A305,lmic_raw_ub[[setting]:[setting]],0), MATCH(AX$277, lmic_raw_ub[#Headers],0))=0, INDEX(regions_ub[], MATCH($D305, regions_ub[[setting]:[setting]],0), MATCH(AX$139, regions_ub[#Headers],0)),INDEX(lmic_raw_ub[],MATCH($A305,lmic_raw_ub[[setting]:[setting]],0), MATCH(AX$277, lmic_raw_ub[#Headers],0)))</f>
        <v>63.221550000000001</v>
      </c>
      <c r="AY305" s="33" t="str">
        <f>IF(VLOOKUP(lmics_ub[[#This Row],[setting]],lmic_raw_ub[],11,FALSE)=0, "Yes", "No")</f>
        <v>Yes</v>
      </c>
    </row>
    <row r="306" spans="1:51" x14ac:dyDescent="0.25">
      <c r="A306" s="109" t="s">
        <v>607</v>
      </c>
      <c r="B306" s="101" t="s">
        <v>403</v>
      </c>
      <c r="C306" s="102">
        <v>178</v>
      </c>
      <c r="D306" s="82" t="s">
        <v>677</v>
      </c>
      <c r="E306" s="82" t="s">
        <v>582</v>
      </c>
      <c r="F306" s="82" t="s">
        <v>667</v>
      </c>
      <c r="G306" s="82" t="s">
        <v>678</v>
      </c>
      <c r="J306" s="84">
        <f>IF(INDEX(lmic_raw_ub[],MATCH($A306,lmic_raw_ub[[setting]:[setting]],0), MATCH(J$277, lmic_raw_ub[#Headers],0))=0, INDEX(regions_ub[], MATCH($D306, regions_ub[[setting]:[setting]],0), MATCH(J$139, regions_ub[#Headers],0)),INDEX(lmic_raw_ub[],MATCH($A306,lmic_raw_ub[[setting]:[setting]],0), MATCH(J$277, lmic_raw_ub[#Headers],0)))</f>
        <v>0.9607500000000001</v>
      </c>
      <c r="K306" s="84">
        <f>IF(INDEX(lmic_raw_ub[],MATCH($A306,lmic_raw_ub[[setting]:[setting]],0), MATCH(K$277, lmic_raw_ub[#Headers],0))=0, INDEX(regions_ub[], MATCH($D306, regions_ub[[setting]:[setting]],0), MATCH(K$139, regions_ub[#Headers],0)),INDEX(lmic_raw_ub[],MATCH($A306,lmic_raw_ub[[setting]:[setting]],0), MATCH(K$277, lmic_raw_ub[#Headers],0)))</f>
        <v>0.71433037619548323</v>
      </c>
      <c r="L306" s="84">
        <f>IF(INDEX(lmic_raw_ub[],MATCH($A306,lmic_raw_ub[[setting]:[setting]],0), MATCH(L$277, lmic_raw_ub[#Headers],0))=0, INDEX(regions_ub[], MATCH($D306, regions_ub[[setting]:[setting]],0), MATCH(L$139, regions_ub[#Headers],0)),INDEX(lmic_raw_ub[],MATCH($A306,lmic_raw_ub[[setting]:[setting]],0), MATCH(L$277, lmic_raw_ub[#Headers],0)))</f>
        <v>0.82950000000000013</v>
      </c>
      <c r="M306" s="84">
        <f>IF(INDEX(lmic_raw_ub[],MATCH($A306,lmic_raw_ub[[setting]:[setting]],0), MATCH(M$277, lmic_raw_ub[#Headers],0))=0, INDEX(regions_ub[], MATCH($D306, regions_ub[[setting]:[setting]],0), MATCH(M$139, regions_ub[#Headers],0)),INDEX(lmic_raw_ub[],MATCH($A306,lmic_raw_ub[[setting]:[setting]],0), MATCH(M$277, lmic_raw_ub[#Headers],0)))</f>
        <v>0.12820000000000001</v>
      </c>
      <c r="N306" s="84">
        <f>IF(INDEX(lmic_raw_ub[],MATCH($A306,lmic_raw_ub[[setting]:[setting]],0), MATCH(N$277, lmic_raw_ub[#Headers],0))=0, INDEX(regions_ub[], MATCH($D306, regions_ub[[setting]:[setting]],0), MATCH(N$139, regions_ub[#Headers],0)),INDEX(lmic_raw_ub[],MATCH($A306,lmic_raw_ub[[setting]:[setting]],0), MATCH(N$277, lmic_raw_ub[#Headers],0)))</f>
        <v>0.40200000000000002</v>
      </c>
      <c r="O306" s="84">
        <f>IF(INDEX(lmic_raw_ub[],MATCH($A306,lmic_raw_ub[[setting]:[setting]],0), MATCH(O$277, lmic_raw_ub[#Headers],0))=0, INDEX(regions_ub[], MATCH($D306, regions_ub[[setting]:[setting]],0), MATCH(O$139, regions_ub[#Headers],0)),INDEX(lmic_raw_ub[],MATCH($A306,lmic_raw_ub[[setting]:[setting]],0), MATCH(O$277, lmic_raw_ub[#Headers],0)))</f>
        <v>0.74399999999999999</v>
      </c>
      <c r="P306" s="84">
        <f>IF(INDEX(lmic_raw_ub[],MATCH($A306,lmic_raw_ub[[setting]:[setting]],0), MATCH(P$277, lmic_raw_ub[#Headers],0))=0, INDEX(regions_ub[], MATCH($D306, regions_ub[[setting]:[setting]],0), MATCH(P$139, regions_ub[#Headers],0)),INDEX(lmic_raw_ub[],MATCH($A306,lmic_raw_ub[[setting]:[setting]],0), MATCH(P$277, lmic_raw_ub[#Headers],0)))</f>
        <v>0.13300000000000001</v>
      </c>
      <c r="Q306" s="84">
        <f>IF(INDEX(lmic_raw_ub[],MATCH($A306,lmic_raw_ub[[setting]:[setting]],0), MATCH(Q$277, lmic_raw_ub[#Headers],0))=0, INDEX(regions_ub[], MATCH($D306, regions_ub[[setting]:[setting]],0), MATCH(Q$139, regions_ub[#Headers],0)),INDEX(lmic_raw_ub[],MATCH($A306,lmic_raw_ub[[setting]:[setting]],0), MATCH(Q$277, lmic_raw_ub[#Headers],0)))</f>
        <v>6.2806781874189364</v>
      </c>
      <c r="R306" s="84">
        <f>IF(INDEX(lmic_raw_ub[],MATCH($A306,lmic_raw_ub[[setting]:[setting]],0), MATCH(R$277, lmic_raw_ub[#Headers],0))=0, INDEX(regions_ub[], MATCH($D306, regions_ub[[setting]:[setting]],0), MATCH(R$139, regions_ub[#Headers],0)),INDEX(lmic_raw_ub[],MATCH($A306,lmic_raw_ub[[setting]:[setting]],0), MATCH(R$277, lmic_raw_ub[#Headers],0)))</f>
        <v>31.416525000000004</v>
      </c>
      <c r="S306" s="84">
        <f>IF(INDEX(lmic_raw_ub[],MATCH($A306,lmic_raw_ub[[setting]:[setting]],0), MATCH(S$277, lmic_raw_ub[#Headers],0))=0, INDEX(regions_ub[], MATCH($D306, regions_ub[[setting]:[setting]],0), MATCH(S$139, regions_ub[#Headers],0)),INDEX(lmic_raw_ub[],MATCH($A306,lmic_raw_ub[[setting]:[setting]],0), MATCH(S$277, lmic_raw_ub[#Headers],0)))</f>
        <v>81.545625000000015</v>
      </c>
      <c r="T306" s="84">
        <f>IF(INDEX(lmic_raw_ub[],MATCH($A306,lmic_raw_ub[[setting]:[setting]],0), MATCH(T$277, lmic_raw_ub[#Headers],0))=0, INDEX(regions_ub[], MATCH($D306, regions_ub[[setting]:[setting]],0), MATCH(T$139, regions_ub[#Headers],0)),INDEX(lmic_raw_ub[],MATCH($A306,lmic_raw_ub[[setting]:[setting]],0), MATCH(T$277, lmic_raw_ub[#Headers],0)))</f>
        <v>81.545625000000015</v>
      </c>
      <c r="U306" s="84">
        <f>IF(INDEX(lmic_raw_ub[],MATCH($A306,lmic_raw_ub[[setting]:[setting]],0), MATCH(U$277, lmic_raw_ub[#Headers],0))=0, INDEX(regions_ub[], MATCH($D306, regions_ub[[setting]:[setting]],0), MATCH(U$139, regions_ub[#Headers],0)),INDEX(lmic_raw_ub[],MATCH($A306,lmic_raw_ub[[setting]:[setting]],0), MATCH(U$277, lmic_raw_ub[#Headers],0)))</f>
        <v>81.545625000000015</v>
      </c>
      <c r="V306" s="84">
        <f>IF(INDEX(lmic_raw_ub[],MATCH($A306,lmic_raw_ub[[setting]:[setting]],0), MATCH(V$277, lmic_raw_ub[#Headers],0))=0, INDEX(regions_ub[], MATCH($D306, regions_ub[[setting]:[setting]],0), MATCH(V$139, regions_ub[#Headers],0)),INDEX(lmic_raw_ub[],MATCH($A306,lmic_raw_ub[[setting]:[setting]],0), MATCH(V$277, lmic_raw_ub[#Headers],0)))</f>
        <v>5.4112765475729461</v>
      </c>
      <c r="W306" s="84">
        <f>IF(INDEX(lmic_raw_ub[],MATCH($A306,lmic_raw_ub[[setting]:[setting]],0), MATCH(W$277, lmic_raw_ub[#Headers],0))=0, INDEX(regions_ub[], MATCH($D306, regions_ub[[setting]:[setting]],0), MATCH(W$139, regions_ub[#Headers],0)),INDEX(lmic_raw_ub[],MATCH($A306,lmic_raw_ub[[setting]:[setting]],0), MATCH(W$277, lmic_raw_ub[#Headers],0)))</f>
        <v>10.481411547572947</v>
      </c>
      <c r="X306" s="84">
        <f>IF(INDEX(lmic_raw_ub[],MATCH($A306,lmic_raw_ub[[setting]:[setting]],0), MATCH(X$277, lmic_raw_ub[#Headers],0))=0, INDEX(regions_ub[], MATCH($D306, regions_ub[[setting]:[setting]],0), MATCH(X$139, regions_ub[#Headers],0)),INDEX(lmic_raw_ub[],MATCH($A306,lmic_raw_ub[[setting]:[setting]],0), MATCH(X$277, lmic_raw_ub[#Headers],0)))</f>
        <v>4.9027745819759758</v>
      </c>
      <c r="Y306" s="84">
        <f>IF(INDEX(lmic_raw_ub[],MATCH($A306,lmic_raw_ub[[setting]:[setting]],0), MATCH(Y$277, lmic_raw_ub[#Headers],0))=0, INDEX(regions_ub[], MATCH($D306, regions_ub[[setting]:[setting]],0), MATCH(Y$139, regions_ub[#Headers],0)),INDEX(lmic_raw_ub[],MATCH($A306,lmic_raw_ub[[setting]:[setting]],0), MATCH(Y$277, lmic_raw_ub[#Headers],0)))</f>
        <v>9.9729095819759763</v>
      </c>
      <c r="Z306" s="84">
        <f>IF(INDEX(lmic_raw_ub[],MATCH($A306,lmic_raw_ub[[setting]:[setting]],0), MATCH(Z$277, lmic_raw_ub[#Headers],0))=0, INDEX(regions_ub[], MATCH($D306, regions_ub[[setting]:[setting]],0), MATCH(Z$139, regions_ub[#Headers],0)),INDEX(lmic_raw_ub[],MATCH($A306,lmic_raw_ub[[setting]:[setting]],0), MATCH(Z$277, lmic_raw_ub[#Headers],0)))</f>
        <v>9.9589236602261764</v>
      </c>
      <c r="AA306" s="84">
        <f>IF(INDEX(lmic_raw_ub[],MATCH($A306,lmic_raw_ub[[setting]:[setting]],0), MATCH(AA$277, lmic_raw_ub[#Headers],0))=0, INDEX(regions_ub[], MATCH($D306, regions_ub[[setting]:[setting]],0), MATCH(AA$139, regions_ub[#Headers],0)),INDEX(lmic_raw_ub[],MATCH($A306,lmic_raw_ub[[setting]:[setting]],0), MATCH(AA$277, lmic_raw_ub[#Headers],0)))</f>
        <v>5.6827778189227116</v>
      </c>
      <c r="AB306" s="84">
        <f>IF(INDEX(lmic_raw_ub[],MATCH($A306,lmic_raw_ub[[setting]:[setting]],0), MATCH(AB$277, lmic_raw_ub[#Headers],0))=0, INDEX(regions_ub[], MATCH($D306, regions_ub[[setting]:[setting]],0), MATCH(AB$139, regions_ub[#Headers],0)),INDEX(lmic_raw_ub[],MATCH($A306,lmic_raw_ub[[setting]:[setting]],0), MATCH(AB$277, lmic_raw_ub[#Headers],0)))</f>
        <v>10.752912818922713</v>
      </c>
      <c r="AC306" s="84">
        <f>IF(INDEX(lmic_raw_ub[],MATCH($A306,lmic_raw_ub[[setting]:[setting]],0), MATCH(AC$277, lmic_raw_ub[#Headers],0))=0, INDEX(regions_ub[], MATCH($D306, regions_ub[[setting]:[setting]],0), MATCH(AC$139, regions_ub[#Headers],0)),INDEX(lmic_raw_ub[],MATCH($A306,lmic_raw_ub[[setting]:[setting]],0), MATCH(AC$277, lmic_raw_ub[#Headers],0)))</f>
        <v>3.7071310499999947E-2</v>
      </c>
      <c r="AD306" s="84">
        <f>IF(INDEX(lmic_raw_ub[],MATCH($A306,lmic_raw_ub[[setting]:[setting]],0), MATCH(AD$277, lmic_raw_ub[#Headers],0))=0, INDEX(regions_ub[], MATCH($D306, regions_ub[[setting]:[setting]],0), MATCH(AD$139, regions_ub[#Headers],0)),INDEX(lmic_raw_ub[],MATCH($A306,lmic_raw_ub[[setting]:[setting]],0), MATCH(AD$277, lmic_raw_ub[#Headers],0)))</f>
        <v>3.3303177311180543E-3</v>
      </c>
      <c r="AE306" s="84">
        <f>IF(INDEX(lmic_raw_ub[],MATCH($A306,lmic_raw_ub[[setting]:[setting]],0), MATCH(AE$277, lmic_raw_ub[#Headers],0))=0, INDEX(regions_ub[], MATCH($D306, regions_ub[[setting]:[setting]],0), MATCH(AE$139, regions_ub[#Headers],0)),INDEX(lmic_raw_ub[],MATCH($A306,lmic_raw_ub[[setting]:[setting]],0), MATCH(AE$277, lmic_raw_ub[#Headers],0)))</f>
        <v>1.4125410797627207E-3</v>
      </c>
      <c r="AF306" s="84">
        <f>IF(INDEX(lmic_raw_ub[],MATCH($A306,lmic_raw_ub[[setting]:[setting]],0), MATCH(AF$277, lmic_raw_ub[#Headers],0))=0, INDEX(regions_ub[], MATCH($D306, regions_ub[[setting]:[setting]],0), MATCH(AF$139, regions_ub[#Headers],0)),INDEX(lmic_raw_ub[],MATCH($A306,lmic_raw_ub[[setting]:[setting]],0), MATCH(AF$277, lmic_raw_ub[#Headers],0)))</f>
        <v>1.0436199559808867E-3</v>
      </c>
      <c r="AG306" s="84">
        <f>IF(INDEX(lmic_raw_ub[],MATCH($A306,lmic_raw_ub[[setting]:[setting]],0), MATCH(AG$277, lmic_raw_ub[#Headers],0))=0, INDEX(regions_ub[], MATCH($D306, regions_ub[[setting]:[setting]],0), MATCH(AG$139, regions_ub[#Headers],0)),INDEX(lmic_raw_ub[],MATCH($A306,lmic_raw_ub[[setting]:[setting]],0), MATCH(AG$277, lmic_raw_ub[#Headers],0)))</f>
        <v>1.7021511230116281E-3</v>
      </c>
      <c r="AH306" s="84">
        <f>IF(INDEX(lmic_raw_ub[],MATCH($A306,lmic_raw_ub[[setting]:[setting]],0), MATCH(AH$277, lmic_raw_ub[#Headers],0))=0, INDEX(regions_ub[], MATCH($D306, regions_ub[[setting]:[setting]],0), MATCH(AH$139, regions_ub[#Headers],0)),INDEX(lmic_raw_ub[],MATCH($A306,lmic_raw_ub[[setting]:[setting]],0), MATCH(AH$277, lmic_raw_ub[#Headers],0)))</f>
        <v>2.6877670965000239E-3</v>
      </c>
      <c r="AI306" s="84">
        <f>IF(INDEX(lmic_raw_ub[],MATCH($A306,lmic_raw_ub[[setting]:[setting]],0), MATCH(AI$277, lmic_raw_ub[#Headers],0))=0, INDEX(regions_ub[], MATCH($D306, regions_ub[[setting]:[setting]],0), MATCH(AI$139, regions_ub[#Headers],0)),INDEX(lmic_raw_ub[],MATCH($A306,lmic_raw_ub[[setting]:[setting]],0), MATCH(AI$277, lmic_raw_ub[#Headers],0)))</f>
        <v>3.612036369739266E-3</v>
      </c>
      <c r="AJ306" s="84">
        <f>IF(INDEX(lmic_raw_ub[],MATCH($A306,lmic_raw_ub[[setting]:[setting]],0), MATCH(AJ$277, lmic_raw_ub[#Headers],0))=0, INDEX(regions_ub[], MATCH($D306, regions_ub[[setting]:[setting]],0), MATCH(AJ$139, regions_ub[#Headers],0)),INDEX(lmic_raw_ub[],MATCH($A306,lmic_raw_ub[[setting]:[setting]],0), MATCH(AJ$277, lmic_raw_ub[#Headers],0)))</f>
        <v>4.5924009199306698E-3</v>
      </c>
      <c r="AK306" s="84">
        <f>IF(INDEX(lmic_raw_ub[],MATCH($A306,lmic_raw_ub[[setting]:[setting]],0), MATCH(AK$277, lmic_raw_ub[#Headers],0))=0, INDEX(regions_ub[], MATCH($D306, regions_ub[[setting]:[setting]],0), MATCH(AK$139, regions_ub[#Headers],0)),INDEX(lmic_raw_ub[],MATCH($A306,lmic_raw_ub[[setting]:[setting]],0), MATCH(AK$277, lmic_raw_ub[#Headers],0)))</f>
        <v>5.9602219503795502E-3</v>
      </c>
      <c r="AL306" s="84">
        <f>IF(INDEX(lmic_raw_ub[],MATCH($A306,lmic_raw_ub[[setting]:[setting]],0), MATCH(AL$277, lmic_raw_ub[#Headers],0))=0, INDEX(regions_ub[], MATCH($D306, regions_ub[[setting]:[setting]],0), MATCH(AL$139, regions_ub[#Headers],0)),INDEX(lmic_raw_ub[],MATCH($A306,lmic_raw_ub[[setting]:[setting]],0), MATCH(AL$277, lmic_raw_ub[#Headers],0)))</f>
        <v>7.342677538236057E-3</v>
      </c>
      <c r="AM306" s="84">
        <f>IF(INDEX(lmic_raw_ub[],MATCH($A306,lmic_raw_ub[[setting]:[setting]],0), MATCH(AM$277, lmic_raw_ub[#Headers],0))=0, INDEX(regions_ub[], MATCH($D306, regions_ub[[setting]:[setting]],0), MATCH(AM$139, regions_ub[#Headers],0)),INDEX(lmic_raw_ub[],MATCH($A306,lmic_raw_ub[[setting]:[setting]],0), MATCH(AM$277, lmic_raw_ub[#Headers],0)))</f>
        <v>9.027285202148138E-3</v>
      </c>
      <c r="AN306" s="84">
        <f>IF(INDEX(lmic_raw_ub[],MATCH($A306,lmic_raw_ub[[setting]:[setting]],0), MATCH(AN$277, lmic_raw_ub[#Headers],0))=0, INDEX(regions_ub[], MATCH($D306, regions_ub[[setting]:[setting]],0), MATCH(AN$139, regions_ub[#Headers],0)),INDEX(lmic_raw_ub[],MATCH($A306,lmic_raw_ub[[setting]:[setting]],0), MATCH(AN$277, lmic_raw_ub[#Headers],0)))</f>
        <v>1.2024456605297801E-2</v>
      </c>
      <c r="AO306" s="84">
        <f>IF(INDEX(lmic_raw_ub[],MATCH($A306,lmic_raw_ub[[setting]:[setting]],0), MATCH(AO$277, lmic_raw_ub[#Headers],0))=0, INDEX(regions_ub[], MATCH($D306, regions_ub[[setting]:[setting]],0), MATCH(AO$139, regions_ub[#Headers],0)),INDEX(lmic_raw_ub[],MATCH($A306,lmic_raw_ub[[setting]:[setting]],0), MATCH(AO$277, lmic_raw_ub[#Headers],0)))</f>
        <v>1.5559301342286641E-2</v>
      </c>
      <c r="AP306" s="84">
        <f>IF(INDEX(lmic_raw_ub[],MATCH($A306,lmic_raw_ub[[setting]:[setting]],0), MATCH(AP$277, lmic_raw_ub[#Headers],0))=0, INDEX(regions_ub[], MATCH($D306, regions_ub[[setting]:[setting]],0), MATCH(AP$139, regions_ub[#Headers],0)),INDEX(lmic_raw_ub[],MATCH($A306,lmic_raw_ub[[setting]:[setting]],0), MATCH(AP$277, lmic_raw_ub[#Headers],0)))</f>
        <v>2.2367405766487377E-2</v>
      </c>
      <c r="AQ306" s="84">
        <f>IF(INDEX(lmic_raw_ub[],MATCH($A306,lmic_raw_ub[[setting]:[setting]],0), MATCH(AQ$277, lmic_raw_ub[#Headers],0))=0, INDEX(regions_ub[], MATCH($D306, regions_ub[[setting]:[setting]],0), MATCH(AQ$139, regions_ub[#Headers],0)),INDEX(lmic_raw_ub[],MATCH($A306,lmic_raw_ub[[setting]:[setting]],0), MATCH(AQ$277, lmic_raw_ub[#Headers],0)))</f>
        <v>3.3458601833906948E-2</v>
      </c>
      <c r="AR306" s="84">
        <f>IF(INDEX(lmic_raw_ub[],MATCH($A306,lmic_raw_ub[[setting]:[setting]],0), MATCH(AR$277, lmic_raw_ub[#Headers],0))=0, INDEX(regions_ub[], MATCH($D306, regions_ub[[setting]:[setting]],0), MATCH(AR$139, regions_ub[#Headers],0)),INDEX(lmic_raw_ub[],MATCH($A306,lmic_raw_ub[[setting]:[setting]],0), MATCH(AR$277, lmic_raw_ub[#Headers],0)))</f>
        <v>5.0976521067808846E-2</v>
      </c>
      <c r="AS306" s="84">
        <f>IF(INDEX(lmic_raw_ub[],MATCH($A306,lmic_raw_ub[[setting]:[setting]],0), MATCH(AS$277, lmic_raw_ub[#Headers],0))=0, INDEX(regions_ub[], MATCH($D306, regions_ub[[setting]:[setting]],0), MATCH(AS$139, regions_ub[#Headers],0)),INDEX(lmic_raw_ub[],MATCH($A306,lmic_raw_ub[[setting]:[setting]],0), MATCH(AS$277, lmic_raw_ub[#Headers],0)))</f>
        <v>7.7035595202035595E-2</v>
      </c>
      <c r="AT306" s="84">
        <f>IF(INDEX(lmic_raw_ub[],MATCH($A306,lmic_raw_ub[[setting]:[setting]],0), MATCH(AT$277, lmic_raw_ub[#Headers],0))=0, INDEX(regions_ub[], MATCH($D306, regions_ub[[setting]:[setting]],0), MATCH(AT$139, regions_ub[#Headers],0)),INDEX(lmic_raw_ub[],MATCH($A306,lmic_raw_ub[[setting]:[setting]],0), MATCH(AT$277, lmic_raw_ub[#Headers],0)))</f>
        <v>0.11477758034772892</v>
      </c>
      <c r="AU306" s="84">
        <f>IF(INDEX(lmic_raw_ub[],MATCH($A306,lmic_raw_ub[[setting]:[setting]],0), MATCH(AU$277, lmic_raw_ub[#Headers],0))=0, INDEX(regions_ub[], MATCH($D306, regions_ub[[setting]:[setting]],0), MATCH(AU$139, regions_ub[#Headers],0)),INDEX(lmic_raw_ub[],MATCH($A306,lmic_raw_ub[[setting]:[setting]],0), MATCH(AU$277, lmic_raw_ub[#Headers],0)))</f>
        <v>0.15752259566269641</v>
      </c>
      <c r="AV306" s="84">
        <f>IF(INDEX(lmic_raw_ub[],MATCH($A306,lmic_raw_ub[[setting]:[setting]],0), MATCH(AV$277, lmic_raw_ub[#Headers],0))=0, INDEX(regions_ub[], MATCH($D306, regions_ub[[setting]:[setting]],0), MATCH(AV$139, regions_ub[#Headers],0)),INDEX(lmic_raw_ub[],MATCH($A306,lmic_raw_ub[[setting]:[setting]],0), MATCH(AV$277, lmic_raw_ub[#Headers],0)))</f>
        <v>0.1901080803334419</v>
      </c>
      <c r="AW306" s="84">
        <f>IF(INDEX(lmic_raw_ub[],MATCH($A306,lmic_raw_ub[[setting]:[setting]],0), MATCH(AW$277, lmic_raw_ub[#Headers],0))=0, INDEX(regions_ub[], MATCH($D306, regions_ub[[setting]:[setting]],0), MATCH(AW$139, regions_ub[#Headers],0)),INDEX(lmic_raw_ub[],MATCH($A306,lmic_raw_ub[[setting]:[setting]],0), MATCH(AW$277, lmic_raw_ub[#Headers],0)))</f>
        <v>0.19916726345277219</v>
      </c>
      <c r="AX306" s="84">
        <f>IF(INDEX(lmic_raw_ub[],MATCH($A306,lmic_raw_ub[[setting]:[setting]],0), MATCH(AX$277, lmic_raw_ub[#Headers],0))=0, INDEX(regions_ub[], MATCH($D306, regions_ub[[setting]:[setting]],0), MATCH(AX$139, regions_ub[#Headers],0)),INDEX(lmic_raw_ub[],MATCH($A306,lmic_raw_ub[[setting]:[setting]],0), MATCH(AX$277, lmic_raw_ub[#Headers],0)))</f>
        <v>67.364850000000004</v>
      </c>
      <c r="AY306" s="33" t="str">
        <f>IF(VLOOKUP(lmics_ub[[#This Row],[setting]],lmic_raw_ub[],11,FALSE)=0, "Yes", "No")</f>
        <v>Yes</v>
      </c>
    </row>
    <row r="307" spans="1:51" x14ac:dyDescent="0.25">
      <c r="A307" s="110" t="s">
        <v>254</v>
      </c>
      <c r="B307" s="104" t="s">
        <v>405</v>
      </c>
      <c r="C307" s="105">
        <v>188</v>
      </c>
      <c r="D307" s="84" t="s">
        <v>679</v>
      </c>
      <c r="E307" s="84" t="s">
        <v>604</v>
      </c>
      <c r="F307" s="84" t="s">
        <v>665</v>
      </c>
      <c r="G307" s="84" t="s">
        <v>676</v>
      </c>
      <c r="J307" s="84">
        <f>IF(INDEX(lmic_raw_ub[],MATCH($A307,lmic_raw_ub[[setting]:[setting]],0), MATCH(J$277, lmic_raw_ub[#Headers],0))=0, INDEX(regions_ub[], MATCH($D307, regions_ub[[setting]:[setting]],0), MATCH(J$139, regions_ub[#Headers],0)),INDEX(lmic_raw_ub[],MATCH($A307,lmic_raw_ub[[setting]:[setting]],0), MATCH(J$277, lmic_raw_ub[#Headers],0)))</f>
        <v>0.99990000000000001</v>
      </c>
      <c r="K307" s="84">
        <f>IF(INDEX(lmic_raw_ub[],MATCH($A307,lmic_raw_ub[[setting]:[setting]],0), MATCH(K$277, lmic_raw_ub[#Headers],0))=0, INDEX(regions_ub[], MATCH($D307, regions_ub[[setting]:[setting]],0), MATCH(K$139, regions_ub[#Headers],0)),INDEX(lmic_raw_ub[],MATCH($A307,lmic_raw_ub[[setting]:[setting]],0), MATCH(K$277, lmic_raw_ub[#Headers],0)))</f>
        <v>0.91349999999999998</v>
      </c>
      <c r="L307" s="84">
        <f>IF(INDEX(lmic_raw_ub[],MATCH($A307,lmic_raw_ub[[setting]:[setting]],0), MATCH(L$277, lmic_raw_ub[#Headers],0))=0, INDEX(regions_ub[], MATCH($D307, regions_ub[[setting]:[setting]],0), MATCH(L$139, regions_ub[#Headers],0)),INDEX(lmic_raw_ub[],MATCH($A307,lmic_raw_ub[[setting]:[setting]],0), MATCH(L$277, lmic_raw_ub[#Headers],0)))</f>
        <v>0.99990000000000001</v>
      </c>
      <c r="M307" s="84">
        <f>IF(INDEX(lmic_raw_ub[],MATCH($A307,lmic_raw_ub[[setting]:[setting]],0), MATCH(M$277, lmic_raw_ub[#Headers],0))=0, INDEX(regions_ub[], MATCH($D307, regions_ub[[setting]:[setting]],0), MATCH(M$139, regions_ub[#Headers],0)),INDEX(lmic_raw_ub[],MATCH($A307,lmic_raw_ub[[setting]:[setting]],0), MATCH(M$277, lmic_raw_ub[#Headers],0)))</f>
        <v>9.9900000000000003E-2</v>
      </c>
      <c r="N307" s="84">
        <f>IF(INDEX(lmic_raw_ub[],MATCH($A307,lmic_raw_ub[[setting]:[setting]],0), MATCH(N$277, lmic_raw_ub[#Headers],0))=0, INDEX(regions_ub[], MATCH($D307, regions_ub[[setting]:[setting]],0), MATCH(N$139, regions_ub[#Headers],0)),INDEX(lmic_raw_ub[],MATCH($A307,lmic_raw_ub[[setting]:[setting]],0), MATCH(N$277, lmic_raw_ub[#Headers],0)))</f>
        <v>0.42950000000000005</v>
      </c>
      <c r="O307" s="84">
        <f>IF(INDEX(lmic_raw_ub[],MATCH($A307,lmic_raw_ub[[setting]:[setting]],0), MATCH(O$277, lmic_raw_ub[#Headers],0))=0, INDEX(regions_ub[], MATCH($D307, regions_ub[[setting]:[setting]],0), MATCH(O$139, regions_ub[#Headers],0)),INDEX(lmic_raw_ub[],MATCH($A307,lmic_raw_ub[[setting]:[setting]],0), MATCH(O$277, lmic_raw_ub[#Headers],0)))</f>
        <v>0.9</v>
      </c>
      <c r="P307" s="84">
        <f>IF(INDEX(lmic_raw_ub[],MATCH($A307,lmic_raw_ub[[setting]:[setting]],0), MATCH(P$277, lmic_raw_ub[#Headers],0))=0, INDEX(regions_ub[], MATCH($D307, regions_ub[[setting]:[setting]],0), MATCH(P$139, regions_ub[#Headers],0)),INDEX(lmic_raw_ub[],MATCH($A307,lmic_raw_ub[[setting]:[setting]],0), MATCH(P$277, lmic_raw_ub[#Headers],0)))</f>
        <v>0.3</v>
      </c>
      <c r="Q307" s="84">
        <f>IF(INDEX(lmic_raw_ub[],MATCH($A307,lmic_raw_ub[[setting]:[setting]],0), MATCH(Q$277, lmic_raw_ub[#Headers],0))=0, INDEX(regions_ub[], MATCH($D307, regions_ub[[setting]:[setting]],0), MATCH(Q$139, regions_ub[#Headers],0)),INDEX(lmic_raw_ub[],MATCH($A307,lmic_raw_ub[[setting]:[setting]],0), MATCH(Q$277, lmic_raw_ub[#Headers],0)))</f>
        <v>14.6180924707092</v>
      </c>
      <c r="R307" s="84">
        <f>IF(INDEX(lmic_raw_ub[],MATCH($A307,lmic_raw_ub[[setting]:[setting]],0), MATCH(R$277, lmic_raw_ub[#Headers],0))=0, INDEX(regions_ub[], MATCH($D307, regions_ub[[setting]:[setting]],0), MATCH(R$139, regions_ub[#Headers],0)),INDEX(lmic_raw_ub[],MATCH($A307,lmic_raw_ub[[setting]:[setting]],0), MATCH(R$277, lmic_raw_ub[#Headers],0)))</f>
        <v>91.228094999999996</v>
      </c>
      <c r="S307" s="84">
        <f>IF(INDEX(lmic_raw_ub[],MATCH($A307,lmic_raw_ub[[setting]:[setting]],0), MATCH(S$277, lmic_raw_ub[#Headers],0))=0, INDEX(regions_ub[], MATCH($D307, regions_ub[[setting]:[setting]],0), MATCH(S$139, regions_ub[#Headers],0)),INDEX(lmic_raw_ub[],MATCH($A307,lmic_raw_ub[[setting]:[setting]],0), MATCH(S$277, lmic_raw_ub[#Headers],0)))</f>
        <v>141.35719500000002</v>
      </c>
      <c r="T307" s="84">
        <f>IF(INDEX(lmic_raw_ub[],MATCH($A307,lmic_raw_ub[[setting]:[setting]],0), MATCH(T$277, lmic_raw_ub[#Headers],0))=0, INDEX(regions_ub[], MATCH($D307, regions_ub[[setting]:[setting]],0), MATCH(T$139, regions_ub[#Headers],0)),INDEX(lmic_raw_ub[],MATCH($A307,lmic_raw_ub[[setting]:[setting]],0), MATCH(T$277, lmic_raw_ub[#Headers],0)))</f>
        <v>141.35719500000002</v>
      </c>
      <c r="U307" s="84">
        <f>IF(INDEX(lmic_raw_ub[],MATCH($A307,lmic_raw_ub[[setting]:[setting]],0), MATCH(U$277, lmic_raw_ub[#Headers],0))=0, INDEX(regions_ub[], MATCH($D307, regions_ub[[setting]:[setting]],0), MATCH(U$139, regions_ub[#Headers],0)),INDEX(lmic_raw_ub[],MATCH($A307,lmic_raw_ub[[setting]:[setting]],0), MATCH(U$277, lmic_raw_ub[#Headers],0)))</f>
        <v>141.35719500000002</v>
      </c>
      <c r="V307" s="84">
        <f>IF(INDEX(lmic_raw_ub[],MATCH($A307,lmic_raw_ub[[setting]:[setting]],0), MATCH(V$277, lmic_raw_ub[#Headers],0))=0, INDEX(regions_ub[], MATCH($D307, regions_ub[[setting]:[setting]],0), MATCH(V$139, regions_ub[#Headers],0)),INDEX(lmic_raw_ub[],MATCH($A307,lmic_raw_ub[[setting]:[setting]],0), MATCH(V$277, lmic_raw_ub[#Headers],0)))</f>
        <v>14.62706631132318</v>
      </c>
      <c r="W307" s="84">
        <f>IF(INDEX(lmic_raw_ub[],MATCH($A307,lmic_raw_ub[[setting]:[setting]],0), MATCH(W$277, lmic_raw_ub[#Headers],0))=0, INDEX(regions_ub[], MATCH($D307, regions_ub[[setting]:[setting]],0), MATCH(W$139, regions_ub[#Headers],0)),INDEX(lmic_raw_ub[],MATCH($A307,lmic_raw_ub[[setting]:[setting]],0), MATCH(W$277, lmic_raw_ub[#Headers],0)))</f>
        <v>14.64995631132318</v>
      </c>
      <c r="X307" s="84">
        <f>IF(INDEX(lmic_raw_ub[],MATCH($A307,lmic_raw_ub[[setting]:[setting]],0), MATCH(X$277, lmic_raw_ub[#Headers],0))=0, INDEX(regions_ub[], MATCH($D307, regions_ub[[setting]:[setting]],0), MATCH(X$139, regions_ub[#Headers],0)),INDEX(lmic_raw_ub[],MATCH($A307,lmic_raw_ub[[setting]:[setting]],0), MATCH(X$277, lmic_raw_ub[#Headers],0)))</f>
        <v>14.0689055812874</v>
      </c>
      <c r="Y307" s="84">
        <f>IF(INDEX(lmic_raw_ub[],MATCH($A307,lmic_raw_ub[[setting]:[setting]],0), MATCH(Y$277, lmic_raw_ub[#Headers],0))=0, INDEX(regions_ub[], MATCH($D307, regions_ub[[setting]:[setting]],0), MATCH(Y$139, regions_ub[#Headers],0)),INDEX(lmic_raw_ub[],MATCH($A307,lmic_raw_ub[[setting]:[setting]],0), MATCH(Y$277, lmic_raw_ub[#Headers],0)))</f>
        <v>14.0917955812874</v>
      </c>
      <c r="Z307" s="84">
        <f>IF(INDEX(lmic_raw_ub[],MATCH($A307,lmic_raw_ub[[setting]:[setting]],0), MATCH(Z$277, lmic_raw_ub[#Headers],0))=0, INDEX(regions_ub[], MATCH($D307, regions_ub[[setting]:[setting]],0), MATCH(Z$139, regions_ub[#Headers],0)),INDEX(lmic_raw_ub[],MATCH($A307,lmic_raw_ub[[setting]:[setting]],0), MATCH(Z$277, lmic_raw_ub[#Headers],0)))</f>
        <v>14.049116403872805</v>
      </c>
      <c r="AA307" s="84">
        <f>IF(INDEX(lmic_raw_ub[],MATCH($A307,lmic_raw_ub[[setting]:[setting]],0), MATCH(AA$277, lmic_raw_ub[#Headers],0))=0, INDEX(regions_ub[], MATCH($D307, regions_ub[[setting]:[setting]],0), MATCH(AA$139, regions_ub[#Headers],0)),INDEX(lmic_raw_ub[],MATCH($A307,lmic_raw_ub[[setting]:[setting]],0), MATCH(AA$277, lmic_raw_ub[#Headers],0)))</f>
        <v>14.90983981754556</v>
      </c>
      <c r="AB307" s="84">
        <f>IF(INDEX(lmic_raw_ub[],MATCH($A307,lmic_raw_ub[[setting]:[setting]],0), MATCH(AB$277, lmic_raw_ub[#Headers],0))=0, INDEX(regions_ub[], MATCH($D307, regions_ub[[setting]:[setting]],0), MATCH(AB$139, regions_ub[#Headers],0)),INDEX(lmic_raw_ub[],MATCH($A307,lmic_raw_ub[[setting]:[setting]],0), MATCH(AB$277, lmic_raw_ub[#Headers],0)))</f>
        <v>14.93272981754556</v>
      </c>
      <c r="AC307" s="84">
        <f>IF(INDEX(lmic_raw_ub[],MATCH($A307,lmic_raw_ub[[setting]:[setting]],0), MATCH(AC$277, lmic_raw_ub[#Headers],0))=0, INDEX(regions_ub[], MATCH($D307, regions_ub[[setting]:[setting]],0), MATCH(AC$139, regions_ub[#Headers],0)),INDEX(lmic_raw_ub[],MATCH($A307,lmic_raw_ub[[setting]:[setting]],0), MATCH(AC$277, lmic_raw_ub[#Headers],0)))</f>
        <v>7.6840364999999442E-3</v>
      </c>
      <c r="AD307" s="84">
        <f>IF(INDEX(lmic_raw_ub[],MATCH($A307,lmic_raw_ub[[setting]:[setting]],0), MATCH(AD$277, lmic_raw_ub[#Headers],0))=0, INDEX(regions_ub[], MATCH($D307, regions_ub[[setting]:[setting]],0), MATCH(AD$139, regions_ub[#Headers],0)),INDEX(lmic_raw_ub[],MATCH($A307,lmic_raw_ub[[setting]:[setting]],0), MATCH(AD$277, lmic_raw_ub[#Headers],0)))</f>
        <v>4.8449547587691024E-4</v>
      </c>
      <c r="AE307" s="84">
        <f>IF(INDEX(lmic_raw_ub[],MATCH($A307,lmic_raw_ub[[setting]:[setting]],0), MATCH(AE$277, lmic_raw_ub[#Headers],0))=0, INDEX(regions_ub[], MATCH($D307, regions_ub[[setting]:[setting]],0), MATCH(AE$139, regions_ub[#Headers],0)),INDEX(lmic_raw_ub[],MATCH($A307,lmic_raw_ub[[setting]:[setting]],0), MATCH(AE$277, lmic_raw_ub[#Headers],0)))</f>
        <v>1.9864859824144407E-4</v>
      </c>
      <c r="AF307" s="84">
        <f>IF(INDEX(lmic_raw_ub[],MATCH($A307,lmic_raw_ub[[setting]:[setting]],0), MATCH(AF$277, lmic_raw_ub[#Headers],0))=0, INDEX(regions_ub[], MATCH($D307, regions_ub[[setting]:[setting]],0), MATCH(AF$139, regions_ub[#Headers],0)),INDEX(lmic_raw_ub[],MATCH($A307,lmic_raw_ub[[setting]:[setting]],0), MATCH(AF$277, lmic_raw_ub[#Headers],0)))</f>
        <v>2.6494374921401566E-4</v>
      </c>
      <c r="AG307" s="84">
        <f>IF(INDEX(lmic_raw_ub[],MATCH($A307,lmic_raw_ub[[setting]:[setting]],0), MATCH(AG$277, lmic_raw_ub[#Headers],0))=0, INDEX(regions_ub[], MATCH($D307, regions_ub[[setting]:[setting]],0), MATCH(AG$139, regions_ub[#Headers],0)),INDEX(lmic_raw_ub[],MATCH($A307,lmic_raw_ub[[setting]:[setting]],0), MATCH(AG$277, lmic_raw_ub[#Headers],0)))</f>
        <v>5.47810767724522E-4</v>
      </c>
      <c r="AH307" s="84">
        <f>IF(INDEX(lmic_raw_ub[],MATCH($A307,lmic_raw_ub[[setting]:[setting]],0), MATCH(AH$277, lmic_raw_ub[#Headers],0))=0, INDEX(regions_ub[], MATCH($D307, regions_ub[[setting]:[setting]],0), MATCH(AH$139, regions_ub[#Headers],0)),INDEX(lmic_raw_ub[],MATCH($A307,lmic_raw_ub[[setting]:[setting]],0), MATCH(AH$277, lmic_raw_ub[#Headers],0)))</f>
        <v>8.3040647949385825E-4</v>
      </c>
      <c r="AI307" s="84">
        <f>IF(INDEX(lmic_raw_ub[],MATCH($A307,lmic_raw_ub[[setting]:[setting]],0), MATCH(AI$277, lmic_raw_ub[#Headers],0))=0, INDEX(regions_ub[], MATCH($D307, regions_ub[[setting]:[setting]],0), MATCH(AI$139, regions_ub[#Headers],0)),INDEX(lmic_raw_ub[],MATCH($A307,lmic_raw_ub[[setting]:[setting]],0), MATCH(AI$277, lmic_raw_ub[#Headers],0)))</f>
        <v>9.6546940223510367E-4</v>
      </c>
      <c r="AJ307" s="84">
        <f>IF(INDEX(lmic_raw_ub[],MATCH($A307,lmic_raw_ub[[setting]:[setting]],0), MATCH(AJ$277, lmic_raw_ub[#Headers],0))=0, INDEX(regions_ub[], MATCH($D307, regions_ub[[setting]:[setting]],0), MATCH(AJ$139, regions_ub[#Headers],0)),INDEX(lmic_raw_ub[],MATCH($A307,lmic_raw_ub[[setting]:[setting]],0), MATCH(AJ$277, lmic_raw_ub[#Headers],0)))</f>
        <v>1.1399615311745647E-3</v>
      </c>
      <c r="AK307" s="84">
        <f>IF(INDEX(lmic_raw_ub[],MATCH($A307,lmic_raw_ub[[setting]:[setting]],0), MATCH(AK$277, lmic_raw_ub[#Headers],0))=0, INDEX(regions_ub[], MATCH($D307, regions_ub[[setting]:[setting]],0), MATCH(AK$139, regions_ub[#Headers],0)),INDEX(lmic_raw_ub[],MATCH($A307,lmic_raw_ub[[setting]:[setting]],0), MATCH(AK$277, lmic_raw_ub[#Headers],0)))</f>
        <v>1.3985603515726487E-3</v>
      </c>
      <c r="AL307" s="84">
        <f>IF(INDEX(lmic_raw_ub[],MATCH($A307,lmic_raw_ub[[setting]:[setting]],0), MATCH(AL$277, lmic_raw_ub[#Headers],0))=0, INDEX(regions_ub[], MATCH($D307, regions_ub[[setting]:[setting]],0), MATCH(AL$139, regions_ub[#Headers],0)),INDEX(lmic_raw_ub[],MATCH($A307,lmic_raw_ub[[setting]:[setting]],0), MATCH(AL$277, lmic_raw_ub[#Headers],0)))</f>
        <v>1.8358241104170759E-3</v>
      </c>
      <c r="AM307" s="84">
        <f>IF(INDEX(lmic_raw_ub[],MATCH($A307,lmic_raw_ub[[setting]:[setting]],0), MATCH(AM$277, lmic_raw_ub[#Headers],0))=0, INDEX(regions_ub[], MATCH($D307, regions_ub[[setting]:[setting]],0), MATCH(AM$139, regions_ub[#Headers],0)),INDEX(lmic_raw_ub[],MATCH($A307,lmic_raw_ub[[setting]:[setting]],0), MATCH(AM$277, lmic_raw_ub[#Headers],0)))</f>
        <v>2.5921710105203891E-3</v>
      </c>
      <c r="AN307" s="84">
        <f>IF(INDEX(lmic_raw_ub[],MATCH($A307,lmic_raw_ub[[setting]:[setting]],0), MATCH(AN$277, lmic_raw_ub[#Headers],0))=0, INDEX(regions_ub[], MATCH($D307, regions_ub[[setting]:[setting]],0), MATCH(AN$139, regions_ub[#Headers],0)),INDEX(lmic_raw_ub[],MATCH($A307,lmic_raw_ub[[setting]:[setting]],0), MATCH(AN$277, lmic_raw_ub[#Headers],0)))</f>
        <v>3.8003885665016837E-3</v>
      </c>
      <c r="AO307" s="84">
        <f>IF(INDEX(lmic_raw_ub[],MATCH($A307,lmic_raw_ub[[setting]:[setting]],0), MATCH(AO$277, lmic_raw_ub[#Headers],0))=0, INDEX(regions_ub[], MATCH($D307, regions_ub[[setting]:[setting]],0), MATCH(AO$139, regions_ub[#Headers],0)),INDEX(lmic_raw_ub[],MATCH($A307,lmic_raw_ub[[setting]:[setting]],0), MATCH(AO$277, lmic_raw_ub[#Headers],0)))</f>
        <v>5.7656491555989819E-3</v>
      </c>
      <c r="AP307" s="84">
        <f>IF(INDEX(lmic_raw_ub[],MATCH($A307,lmic_raw_ub[[setting]:[setting]],0), MATCH(AP$277, lmic_raw_ub[#Headers],0))=0, INDEX(regions_ub[], MATCH($D307, regions_ub[[setting]:[setting]],0), MATCH(AP$139, regions_ub[#Headers],0)),INDEX(lmic_raw_ub[],MATCH($A307,lmic_raw_ub[[setting]:[setting]],0), MATCH(AP$277, lmic_raw_ub[#Headers],0)))</f>
        <v>8.879850796448624E-3</v>
      </c>
      <c r="AQ307" s="84">
        <f>IF(INDEX(lmic_raw_ub[],MATCH($A307,lmic_raw_ub[[setting]:[setting]],0), MATCH(AQ$277, lmic_raw_ub[#Headers],0))=0, INDEX(regions_ub[], MATCH($D307, regions_ub[[setting]:[setting]],0), MATCH(AQ$139, regions_ub[#Headers],0)),INDEX(lmic_raw_ub[],MATCH($A307,lmic_raw_ub[[setting]:[setting]],0), MATCH(AQ$277, lmic_raw_ub[#Headers],0)))</f>
        <v>1.3904015770322384E-2</v>
      </c>
      <c r="AR307" s="84">
        <f>IF(INDEX(lmic_raw_ub[],MATCH($A307,lmic_raw_ub[[setting]:[setting]],0), MATCH(AR$277, lmic_raw_ub[#Headers],0))=0, INDEX(regions_ub[], MATCH($D307, regions_ub[[setting]:[setting]],0), MATCH(AR$139, regions_ub[#Headers],0)),INDEX(lmic_raw_ub[],MATCH($A307,lmic_raw_ub[[setting]:[setting]],0), MATCH(AR$277, lmic_raw_ub[#Headers],0)))</f>
        <v>2.1510604932386289E-2</v>
      </c>
      <c r="AS307" s="84">
        <f>IF(INDEX(lmic_raw_ub[],MATCH($A307,lmic_raw_ub[[setting]:[setting]],0), MATCH(AS$277, lmic_raw_ub[#Headers],0))=0, INDEX(regions_ub[], MATCH($D307, regions_ub[[setting]:[setting]],0), MATCH(AS$139, regions_ub[#Headers],0)),INDEX(lmic_raw_ub[],MATCH($A307,lmic_raw_ub[[setting]:[setting]],0), MATCH(AS$277, lmic_raw_ub[#Headers],0)))</f>
        <v>3.4097894881394059E-2</v>
      </c>
      <c r="AT307" s="84">
        <f>IF(INDEX(lmic_raw_ub[],MATCH($A307,lmic_raw_ub[[setting]:[setting]],0), MATCH(AT$277, lmic_raw_ub[#Headers],0))=0, INDEX(regions_ub[], MATCH($D307, regions_ub[[setting]:[setting]],0), MATCH(AT$139, regions_ub[#Headers],0)),INDEX(lmic_raw_ub[],MATCH($A307,lmic_raw_ub[[setting]:[setting]],0), MATCH(AT$277, lmic_raw_ub[#Headers],0)))</f>
        <v>5.2973451743123331E-2</v>
      </c>
      <c r="AU307" s="84">
        <f>IF(INDEX(lmic_raw_ub[],MATCH($A307,lmic_raw_ub[[setting]:[setting]],0), MATCH(AU$277, lmic_raw_ub[#Headers],0))=0, INDEX(regions_ub[], MATCH($D307, regions_ub[[setting]:[setting]],0), MATCH(AU$139, regions_ub[#Headers],0)),INDEX(lmic_raw_ub[],MATCH($A307,lmic_raw_ub[[setting]:[setting]],0), MATCH(AU$277, lmic_raw_ub[#Headers],0)))</f>
        <v>7.8864980847786398E-2</v>
      </c>
      <c r="AV307" s="84">
        <f>IF(INDEX(lmic_raw_ub[],MATCH($A307,lmic_raw_ub[[setting]:[setting]],0), MATCH(AV$277, lmic_raw_ub[#Headers],0))=0, INDEX(regions_ub[], MATCH($D307, regions_ub[[setting]:[setting]],0), MATCH(AV$139, regions_ub[#Headers],0)),INDEX(lmic_raw_ub[],MATCH($A307,lmic_raw_ub[[setting]:[setting]],0), MATCH(AV$277, lmic_raw_ub[#Headers],0)))</f>
        <v>0.1119692505070348</v>
      </c>
      <c r="AW307" s="84">
        <f>IF(INDEX(lmic_raw_ub[],MATCH($A307,lmic_raw_ub[[setting]:[setting]],0), MATCH(AW$277, lmic_raw_ub[#Headers],0))=0, INDEX(regions_ub[], MATCH($D307, regions_ub[[setting]:[setting]],0), MATCH(AW$139, regions_ub[#Headers],0)),INDEX(lmic_raw_ub[],MATCH($A307,lmic_raw_ub[[setting]:[setting]],0), MATCH(AW$277, lmic_raw_ub[#Headers],0)))</f>
        <v>0.14876225985532948</v>
      </c>
      <c r="AX307" s="84">
        <f>IF(INDEX(lmic_raw_ub[],MATCH($A307,lmic_raw_ub[[setting]:[setting]],0), MATCH(AX$277, lmic_raw_ub[#Headers],0))=0, INDEX(regions_ub[], MATCH($D307, regions_ub[[setting]:[setting]],0), MATCH(AX$139, regions_ub[#Headers],0)),INDEX(lmic_raw_ub[],MATCH($A307,lmic_raw_ub[[setting]:[setting]],0), MATCH(AX$277, lmic_raw_ub[#Headers],0)))</f>
        <v>84.003150000000005</v>
      </c>
      <c r="AY307" s="33" t="str">
        <f>IF(VLOOKUP(lmics_ub[[#This Row],[setting]],lmic_raw_ub[],11,FALSE)=0, "Yes", "No")</f>
        <v>No</v>
      </c>
    </row>
    <row r="308" spans="1:51" x14ac:dyDescent="0.25">
      <c r="A308" s="109" t="s">
        <v>141</v>
      </c>
      <c r="B308" s="101" t="s">
        <v>406</v>
      </c>
      <c r="C308" s="102">
        <v>384</v>
      </c>
      <c r="D308" s="82" t="s">
        <v>677</v>
      </c>
      <c r="E308" s="82" t="s">
        <v>591</v>
      </c>
      <c r="F308" s="82" t="s">
        <v>667</v>
      </c>
      <c r="G308" s="82" t="s">
        <v>678</v>
      </c>
      <c r="J308" s="84">
        <f>IF(INDEX(lmic_raw_ub[],MATCH($A308,lmic_raw_ub[[setting]:[setting]],0), MATCH(J$277, lmic_raw_ub[#Headers],0))=0, INDEX(regions_ub[], MATCH($D308, regions_ub[[setting]:[setting]],0), MATCH(J$139, regions_ub[#Headers],0)),INDEX(lmic_raw_ub[],MATCH($A308,lmic_raw_ub[[setting]:[setting]],0), MATCH(J$277, lmic_raw_ub[#Headers],0)))</f>
        <v>0.7329</v>
      </c>
      <c r="K308" s="84">
        <f>IF(INDEX(lmic_raw_ub[],MATCH($A308,lmic_raw_ub[[setting]:[setting]],0), MATCH(K$277, lmic_raw_ub[#Headers],0))=0, INDEX(regions_ub[], MATCH($D308, regions_ub[[setting]:[setting]],0), MATCH(K$139, regions_ub[#Headers],0)),INDEX(lmic_raw_ub[],MATCH($A308,lmic_raw_ub[[setting]:[setting]],0), MATCH(K$277, lmic_raw_ub[#Headers],0)))</f>
        <v>9.4500000000000001E-2</v>
      </c>
      <c r="L308" s="84">
        <f>IF(INDEX(lmic_raw_ub[],MATCH($A308,lmic_raw_ub[[setting]:[setting]],0), MATCH(L$277, lmic_raw_ub[#Headers],0))=0, INDEX(regions_ub[], MATCH($D308, regions_ub[[setting]:[setting]],0), MATCH(L$139, regions_ub[#Headers],0)),INDEX(lmic_raw_ub[],MATCH($A308,lmic_raw_ub[[setting]:[setting]],0), MATCH(L$277, lmic_raw_ub[#Headers],0)))</f>
        <v>0.88200000000000001</v>
      </c>
      <c r="M308" s="84">
        <f>IF(INDEX(lmic_raw_ub[],MATCH($A308,lmic_raw_ub[[setting]:[setting]],0), MATCH(M$277, lmic_raw_ub[#Headers],0))=0, INDEX(regions_ub[], MATCH($D308, regions_ub[[setting]:[setting]],0), MATCH(M$139, regions_ub[#Headers],0)),INDEX(lmic_raw_ub[],MATCH($A308,lmic_raw_ub[[setting]:[setting]],0), MATCH(M$277, lmic_raw_ub[#Headers],0)))</f>
        <v>7.8799999999999995E-2</v>
      </c>
      <c r="N308" s="84">
        <f>IF(INDEX(lmic_raw_ub[],MATCH($A308,lmic_raw_ub[[setting]:[setting]],0), MATCH(N$277, lmic_raw_ub[#Headers],0))=0, INDEX(regions_ub[], MATCH($D308, regions_ub[[setting]:[setting]],0), MATCH(N$139, regions_ub[#Headers],0)),INDEX(lmic_raw_ub[],MATCH($A308,lmic_raw_ub[[setting]:[setting]],0), MATCH(N$277, lmic_raw_ub[#Headers],0)))</f>
        <v>0.41070000000000001</v>
      </c>
      <c r="O308" s="84">
        <f>IF(INDEX(lmic_raw_ub[],MATCH($A308,lmic_raw_ub[[setting]:[setting]],0), MATCH(O$277, lmic_raw_ub[#Headers],0))=0, INDEX(regions_ub[], MATCH($D308, regions_ub[[setting]:[setting]],0), MATCH(O$139, regions_ub[#Headers],0)),INDEX(lmic_raw_ub[],MATCH($A308,lmic_raw_ub[[setting]:[setting]],0), MATCH(O$277, lmic_raw_ub[#Headers],0)))</f>
        <v>0.74399999999999999</v>
      </c>
      <c r="P308" s="84">
        <f>IF(INDEX(lmic_raw_ub[],MATCH($A308,lmic_raw_ub[[setting]:[setting]],0), MATCH(P$277, lmic_raw_ub[#Headers],0))=0, INDEX(regions_ub[], MATCH($D308, regions_ub[[setting]:[setting]],0), MATCH(P$139, regions_ub[#Headers],0)),INDEX(lmic_raw_ub[],MATCH($A308,lmic_raw_ub[[setting]:[setting]],0), MATCH(P$277, lmic_raw_ub[#Headers],0)))</f>
        <v>0.13300000000000001</v>
      </c>
      <c r="Q308" s="84">
        <f>IF(INDEX(lmic_raw_ub[],MATCH($A308,lmic_raw_ub[[setting]:[setting]],0), MATCH(Q$277, lmic_raw_ub[#Headers],0))=0, INDEX(regions_ub[], MATCH($D308, regions_ub[[setting]:[setting]],0), MATCH(Q$139, regions_ub[#Headers],0)),INDEX(lmic_raw_ub[],MATCH($A308,lmic_raw_ub[[setting]:[setting]],0), MATCH(Q$277, lmic_raw_ub[#Headers],0)))</f>
        <v>3.7881776542977823</v>
      </c>
      <c r="R308" s="84">
        <f>IF(INDEX(lmic_raw_ub[],MATCH($A308,lmic_raw_ub[[setting]:[setting]],0), MATCH(R$277, lmic_raw_ub[#Headers],0))=0, INDEX(regions_ub[], MATCH($D308, regions_ub[[setting]:[setting]],0), MATCH(R$139, regions_ub[#Headers],0)),INDEX(lmic_raw_ub[],MATCH($A308,lmic_raw_ub[[setting]:[setting]],0), MATCH(R$277, lmic_raw_ub[#Headers],0)))</f>
        <v>31.416525000000004</v>
      </c>
      <c r="S308" s="84">
        <f>IF(INDEX(lmic_raw_ub[],MATCH($A308,lmic_raw_ub[[setting]:[setting]],0), MATCH(S$277, lmic_raw_ub[#Headers],0))=0, INDEX(regions_ub[], MATCH($D308, regions_ub[[setting]:[setting]],0), MATCH(S$139, regions_ub[#Headers],0)),INDEX(lmic_raw_ub[],MATCH($A308,lmic_raw_ub[[setting]:[setting]],0), MATCH(S$277, lmic_raw_ub[#Headers],0)))</f>
        <v>81.545625000000015</v>
      </c>
      <c r="T308" s="84">
        <f>IF(INDEX(lmic_raw_ub[],MATCH($A308,lmic_raw_ub[[setting]:[setting]],0), MATCH(T$277, lmic_raw_ub[#Headers],0))=0, INDEX(regions_ub[], MATCH($D308, regions_ub[[setting]:[setting]],0), MATCH(T$139, regions_ub[#Headers],0)),INDEX(lmic_raw_ub[],MATCH($A308,lmic_raw_ub[[setting]:[setting]],0), MATCH(T$277, lmic_raw_ub[#Headers],0)))</f>
        <v>81.545625000000015</v>
      </c>
      <c r="U308" s="84">
        <f>IF(INDEX(lmic_raw_ub[],MATCH($A308,lmic_raw_ub[[setting]:[setting]],0), MATCH(U$277, lmic_raw_ub[#Headers],0))=0, INDEX(regions_ub[], MATCH($D308, regions_ub[[setting]:[setting]],0), MATCH(U$139, regions_ub[#Headers],0)),INDEX(lmic_raw_ub[],MATCH($A308,lmic_raw_ub[[setting]:[setting]],0), MATCH(U$277, lmic_raw_ub[#Headers],0)))</f>
        <v>81.545625000000015</v>
      </c>
      <c r="V308" s="84">
        <f>IF(INDEX(lmic_raw_ub[],MATCH($A308,lmic_raw_ub[[setting]:[setting]],0), MATCH(V$277, lmic_raw_ub[#Headers],0))=0, INDEX(regions_ub[], MATCH($D308, regions_ub[[setting]:[setting]],0), MATCH(V$139, regions_ub[#Headers],0)),INDEX(lmic_raw_ub[],MATCH($A308,lmic_raw_ub[[setting]:[setting]],0), MATCH(V$277, lmic_raw_ub[#Headers],0)))</f>
        <v>4.7321673867445515</v>
      </c>
      <c r="W308" s="84">
        <f>IF(INDEX(lmic_raw_ub[],MATCH($A308,lmic_raw_ub[[setting]:[setting]],0), MATCH(W$277, lmic_raw_ub[#Headers],0))=0, INDEX(regions_ub[], MATCH($D308, regions_ub[[setting]:[setting]],0), MATCH(W$139, regions_ub[#Headers],0)),INDEX(lmic_raw_ub[],MATCH($A308,lmic_raw_ub[[setting]:[setting]],0), MATCH(W$277, lmic_raw_ub[#Headers],0)))</f>
        <v>9.802302386744552</v>
      </c>
      <c r="X308" s="84">
        <f>IF(INDEX(lmic_raw_ub[],MATCH($A308,lmic_raw_ub[[setting]:[setting]],0), MATCH(X$277, lmic_raw_ub[#Headers],0))=0, INDEX(regions_ub[], MATCH($D308, regions_ub[[setting]:[setting]],0), MATCH(X$139, regions_ub[#Headers],0)),INDEX(lmic_raw_ub[],MATCH($A308,lmic_raw_ub[[setting]:[setting]],0), MATCH(X$277, lmic_raw_ub[#Headers],0)))</f>
        <v>4.2233552096187337</v>
      </c>
      <c r="Y308" s="84">
        <f>IF(INDEX(lmic_raw_ub[],MATCH($A308,lmic_raw_ub[[setting]:[setting]],0), MATCH(Y$277, lmic_raw_ub[#Headers],0))=0, INDEX(regions_ub[], MATCH($D308, regions_ub[[setting]:[setting]],0), MATCH(Y$139, regions_ub[#Headers],0)),INDEX(lmic_raw_ub[],MATCH($A308,lmic_raw_ub[[setting]:[setting]],0), MATCH(Y$277, lmic_raw_ub[#Headers],0)))</f>
        <v>9.2934902096187351</v>
      </c>
      <c r="Z308" s="84">
        <f>IF(INDEX(lmic_raw_ub[],MATCH($A308,lmic_raw_ub[[setting]:[setting]],0), MATCH(Z$277, lmic_raw_ub[#Headers],0))=0, INDEX(regions_ub[], MATCH($D308, regions_ub[[setting]:[setting]],0), MATCH(Z$139, regions_ub[#Headers],0)),INDEX(lmic_raw_ub[],MATCH($A308,lmic_raw_ub[[setting]:[setting]],0), MATCH(Z$277, lmic_raw_ub[#Headers],0)))</f>
        <v>9.2790967279930712</v>
      </c>
      <c r="AA308" s="84">
        <f>IF(INDEX(lmic_raw_ub[],MATCH($A308,lmic_raw_ub[[setting]:[setting]],0), MATCH(AA$277, lmic_raw_ub[#Headers],0))=0, INDEX(regions_ub[], MATCH($D308, regions_ub[[setting]:[setting]],0), MATCH(AA$139, regions_ub[#Headers],0)),INDEX(lmic_raw_ub[],MATCH($A308,lmic_raw_ub[[setting]:[setting]],0), MATCH(AA$277, lmic_raw_ub[#Headers],0)))</f>
        <v>5.0037390742082275</v>
      </c>
      <c r="AB308" s="84">
        <f>IF(INDEX(lmic_raw_ub[],MATCH($A308,lmic_raw_ub[[setting]:[setting]],0), MATCH(AB$277, lmic_raw_ub[#Headers],0))=0, INDEX(regions_ub[], MATCH($D308, regions_ub[[setting]:[setting]],0), MATCH(AB$139, regions_ub[#Headers],0)),INDEX(lmic_raw_ub[],MATCH($A308,lmic_raw_ub[[setting]:[setting]],0), MATCH(AB$277, lmic_raw_ub[#Headers],0)))</f>
        <v>10.073874074208227</v>
      </c>
      <c r="AC308" s="84">
        <f>IF(INDEX(lmic_raw_ub[],MATCH($A308,lmic_raw_ub[[setting]:[setting]],0), MATCH(AC$277, lmic_raw_ub[#Headers],0))=0, INDEX(regions_ub[], MATCH($D308, regions_ub[[setting]:[setting]],0), MATCH(AC$139, regions_ub[#Headers],0)),INDEX(lmic_raw_ub[],MATCH($A308,lmic_raw_ub[[setting]:[setting]],0), MATCH(AC$277, lmic_raw_ub[#Headers],0)))</f>
        <v>6.3482789999999956E-2</v>
      </c>
      <c r="AD308" s="84">
        <f>IF(INDEX(lmic_raw_ub[],MATCH($A308,lmic_raw_ub[[setting]:[setting]],0), MATCH(AD$277, lmic_raw_ub[#Headers],0))=0, INDEX(regions_ub[], MATCH($D308, regions_ub[[setting]:[setting]],0), MATCH(AD$139, regions_ub[#Headers],0)),INDEX(lmic_raw_ub[],MATCH($A308,lmic_raw_ub[[setting]:[setting]],0), MATCH(AD$277, lmic_raw_ub[#Headers],0)))</f>
        <v>7.4397056134479587E-3</v>
      </c>
      <c r="AE308" s="84">
        <f>IF(INDEX(lmic_raw_ub[],MATCH($A308,lmic_raw_ub[[setting]:[setting]],0), MATCH(AE$277, lmic_raw_ub[#Headers],0))=0, INDEX(regions_ub[], MATCH($D308, regions_ub[[setting]:[setting]],0), MATCH(AE$139, regions_ub[#Headers],0)),INDEX(lmic_raw_ub[],MATCH($A308,lmic_raw_ub[[setting]:[setting]],0), MATCH(AE$277, lmic_raw_ub[#Headers],0)))</f>
        <v>2.7128496503496546E-3</v>
      </c>
      <c r="AF308" s="84">
        <f>IF(INDEX(lmic_raw_ub[],MATCH($A308,lmic_raw_ub[[setting]:[setting]],0), MATCH(AF$277, lmic_raw_ub[#Headers],0))=0, INDEX(regions_ub[], MATCH($D308, regions_ub[[setting]:[setting]],0), MATCH(AF$139, regions_ub[#Headers],0)),INDEX(lmic_raw_ub[],MATCH($A308,lmic_raw_ub[[setting]:[setting]],0), MATCH(AF$277, lmic_raw_ub[#Headers],0)))</f>
        <v>1.9529501496306765E-3</v>
      </c>
      <c r="AG308" s="84">
        <f>IF(INDEX(lmic_raw_ub[],MATCH($A308,lmic_raw_ub[[setting]:[setting]],0), MATCH(AG$277, lmic_raw_ub[#Headers],0))=0, INDEX(regions_ub[], MATCH($D308, regions_ub[[setting]:[setting]],0), MATCH(AG$139, regions_ub[#Headers],0)),INDEX(lmic_raw_ub[],MATCH($A308,lmic_raw_ub[[setting]:[setting]],0), MATCH(AG$277, lmic_raw_ub[#Headers],0)))</f>
        <v>2.9101681745531552E-3</v>
      </c>
      <c r="AH308" s="84">
        <f>IF(INDEX(lmic_raw_ub[],MATCH($A308,lmic_raw_ub[[setting]:[setting]],0), MATCH(AH$277, lmic_raw_ub[#Headers],0))=0, INDEX(regions_ub[], MATCH($D308, regions_ub[[setting]:[setting]],0), MATCH(AH$139, regions_ub[#Headers],0)),INDEX(lmic_raw_ub[],MATCH($A308,lmic_raw_ub[[setting]:[setting]],0), MATCH(AH$277, lmic_raw_ub[#Headers],0)))</f>
        <v>4.3030360554522579E-3</v>
      </c>
      <c r="AI308" s="84">
        <f>IF(INDEX(lmic_raw_ub[],MATCH($A308,lmic_raw_ub[[setting]:[setting]],0), MATCH(AI$277, lmic_raw_ub[#Headers],0))=0, INDEX(regions_ub[], MATCH($D308, regions_ub[[setting]:[setting]],0), MATCH(AI$139, regions_ub[#Headers],0)),INDEX(lmic_raw_ub[],MATCH($A308,lmic_raw_ub[[setting]:[setting]],0), MATCH(AI$277, lmic_raw_ub[#Headers],0)))</f>
        <v>5.4897735512845188E-3</v>
      </c>
      <c r="AJ308" s="84">
        <f>IF(INDEX(lmic_raw_ub[],MATCH($A308,lmic_raw_ub[[setting]:[setting]],0), MATCH(AJ$277, lmic_raw_ub[#Headers],0))=0, INDEX(regions_ub[], MATCH($D308, regions_ub[[setting]:[setting]],0), MATCH(AJ$139, regions_ub[#Headers],0)),INDEX(lmic_raw_ub[],MATCH($A308,lmic_raw_ub[[setting]:[setting]],0), MATCH(AJ$277, lmic_raw_ub[#Headers],0)))</f>
        <v>6.7332565343040402E-3</v>
      </c>
      <c r="AK308" s="84">
        <f>IF(INDEX(lmic_raw_ub[],MATCH($A308,lmic_raw_ub[[setting]:[setting]],0), MATCH(AK$277, lmic_raw_ub[#Headers],0))=0, INDEX(regions_ub[], MATCH($D308, regions_ub[[setting]:[setting]],0), MATCH(AK$139, regions_ub[#Headers],0)),INDEX(lmic_raw_ub[],MATCH($A308,lmic_raw_ub[[setting]:[setting]],0), MATCH(AK$277, lmic_raw_ub[#Headers],0)))</f>
        <v>8.4405343023970982E-3</v>
      </c>
      <c r="AL308" s="84">
        <f>IF(INDEX(lmic_raw_ub[],MATCH($A308,lmic_raw_ub[[setting]:[setting]],0), MATCH(AL$277, lmic_raw_ub[#Headers],0))=0, INDEX(regions_ub[], MATCH($D308, regions_ub[[setting]:[setting]],0), MATCH(AL$139, regions_ub[#Headers],0)),INDEX(lmic_raw_ub[],MATCH($A308,lmic_raw_ub[[setting]:[setting]],0), MATCH(AL$277, lmic_raw_ub[#Headers],0)))</f>
        <v>1.0237851914425595E-2</v>
      </c>
      <c r="AM308" s="84">
        <f>IF(INDEX(lmic_raw_ub[],MATCH($A308,lmic_raw_ub[[setting]:[setting]],0), MATCH(AM$277, lmic_raw_ub[#Headers],0))=0, INDEX(regions_ub[], MATCH($D308, regions_ub[[setting]:[setting]],0), MATCH(AM$139, regions_ub[#Headers],0)),INDEX(lmic_raw_ub[],MATCH($A308,lmic_raw_ub[[setting]:[setting]],0), MATCH(AM$277, lmic_raw_ub[#Headers],0)))</f>
        <v>1.2317365838045423E-2</v>
      </c>
      <c r="AN308" s="84">
        <f>IF(INDEX(lmic_raw_ub[],MATCH($A308,lmic_raw_ub[[setting]:[setting]],0), MATCH(AN$277, lmic_raw_ub[#Headers],0))=0, INDEX(regions_ub[], MATCH($D308, regions_ub[[setting]:[setting]],0), MATCH(AN$139, regions_ub[#Headers],0)),INDEX(lmic_raw_ub[],MATCH($A308,lmic_raw_ub[[setting]:[setting]],0), MATCH(AN$277, lmic_raw_ub[#Headers],0)))</f>
        <v>1.6076492086612638E-2</v>
      </c>
      <c r="AO308" s="84">
        <f>IF(INDEX(lmic_raw_ub[],MATCH($A308,lmic_raw_ub[[setting]:[setting]],0), MATCH(AO$277, lmic_raw_ub[#Headers],0))=0, INDEX(regions_ub[], MATCH($D308, regions_ub[[setting]:[setting]],0), MATCH(AO$139, regions_ub[#Headers],0)),INDEX(lmic_raw_ub[],MATCH($A308,lmic_raw_ub[[setting]:[setting]],0), MATCH(AO$277, lmic_raw_ub[#Headers],0)))</f>
        <v>2.0516586185045611E-2</v>
      </c>
      <c r="AP308" s="84">
        <f>IF(INDEX(lmic_raw_ub[],MATCH($A308,lmic_raw_ub[[setting]:[setting]],0), MATCH(AP$277, lmic_raw_ub[#Headers],0))=0, INDEX(regions_ub[], MATCH($D308, regions_ub[[setting]:[setting]],0), MATCH(AP$139, regions_ub[#Headers],0)),INDEX(lmic_raw_ub[],MATCH($A308,lmic_raw_ub[[setting]:[setting]],0), MATCH(AP$277, lmic_raw_ub[#Headers],0)))</f>
        <v>2.8908801975983226E-2</v>
      </c>
      <c r="AQ308" s="84">
        <f>IF(INDEX(lmic_raw_ub[],MATCH($A308,lmic_raw_ub[[setting]:[setting]],0), MATCH(AQ$277, lmic_raw_ub[#Headers],0))=0, INDEX(regions_ub[], MATCH($D308, regions_ub[[setting]:[setting]],0), MATCH(AQ$139, regions_ub[#Headers],0)),INDEX(lmic_raw_ub[],MATCH($A308,lmic_raw_ub[[setting]:[setting]],0), MATCH(AQ$277, lmic_raw_ub[#Headers],0)))</f>
        <v>4.2057271622457926E-2</v>
      </c>
      <c r="AR308" s="84">
        <f>IF(INDEX(lmic_raw_ub[],MATCH($A308,lmic_raw_ub[[setting]:[setting]],0), MATCH(AR$277, lmic_raw_ub[#Headers],0))=0, INDEX(regions_ub[], MATCH($D308, regions_ub[[setting]:[setting]],0), MATCH(AR$139, regions_ub[#Headers],0)),INDEX(lmic_raw_ub[],MATCH($A308,lmic_raw_ub[[setting]:[setting]],0), MATCH(AR$277, lmic_raw_ub[#Headers],0)))</f>
        <v>6.1942564966317351E-2</v>
      </c>
      <c r="AS308" s="84">
        <f>IF(INDEX(lmic_raw_ub[],MATCH($A308,lmic_raw_ub[[setting]:[setting]],0), MATCH(AS$277, lmic_raw_ub[#Headers],0))=0, INDEX(regions_ub[], MATCH($D308, regions_ub[[setting]:[setting]],0), MATCH(AS$139, regions_ub[#Headers],0)),INDEX(lmic_raw_ub[],MATCH($A308,lmic_raw_ub[[setting]:[setting]],0), MATCH(AS$277, lmic_raw_ub[#Headers],0)))</f>
        <v>8.9632154075950918E-2</v>
      </c>
      <c r="AT308" s="84">
        <f>IF(INDEX(lmic_raw_ub[],MATCH($A308,lmic_raw_ub[[setting]:[setting]],0), MATCH(AT$277, lmic_raw_ub[#Headers],0))=0, INDEX(regions_ub[], MATCH($D308, regions_ub[[setting]:[setting]],0), MATCH(AT$139, regions_ub[#Headers],0)),INDEX(lmic_raw_ub[],MATCH($A308,lmic_raw_ub[[setting]:[setting]],0), MATCH(AT$277, lmic_raw_ub[#Headers],0)))</f>
        <v>0.12672532263895597</v>
      </c>
      <c r="AU308" s="84">
        <f>IF(INDEX(lmic_raw_ub[],MATCH($A308,lmic_raw_ub[[setting]:[setting]],0), MATCH(AU$277, lmic_raw_ub[#Headers],0))=0, INDEX(regions_ub[], MATCH($D308, regions_ub[[setting]:[setting]],0), MATCH(AU$139, regions_ub[#Headers],0)),INDEX(lmic_raw_ub[],MATCH($A308,lmic_raw_ub[[setting]:[setting]],0), MATCH(AU$277, lmic_raw_ub[#Headers],0)))</f>
        <v>0.16527496002866171</v>
      </c>
      <c r="AV308" s="84">
        <f>IF(INDEX(lmic_raw_ub[],MATCH($A308,lmic_raw_ub[[setting]:[setting]],0), MATCH(AV$277, lmic_raw_ub[#Headers],0))=0, INDEX(regions_ub[], MATCH($D308, regions_ub[[setting]:[setting]],0), MATCH(AV$139, regions_ub[#Headers],0)),INDEX(lmic_raw_ub[],MATCH($A308,lmic_raw_ub[[setting]:[setting]],0), MATCH(AV$277, lmic_raw_ub[#Headers],0)))</f>
        <v>0.19238938460276342</v>
      </c>
      <c r="AW308" s="84">
        <f>IF(INDEX(lmic_raw_ub[],MATCH($A308,lmic_raw_ub[[setting]:[setting]],0), MATCH(AW$277, lmic_raw_ub[#Headers],0))=0, INDEX(regions_ub[], MATCH($D308, regions_ub[[setting]:[setting]],0), MATCH(AW$139, regions_ub[#Headers],0)),INDEX(lmic_raw_ub[],MATCH($A308,lmic_raw_ub[[setting]:[setting]],0), MATCH(AW$277, lmic_raw_ub[#Headers],0)))</f>
        <v>0.19904176052197139</v>
      </c>
      <c r="AX308" s="84">
        <f>IF(INDEX(lmic_raw_ub[],MATCH($A308,lmic_raw_ub[[setting]:[setting]],0), MATCH(AX$277, lmic_raw_ub[#Headers],0))=0, INDEX(regions_ub[], MATCH($D308, regions_ub[[setting]:[setting]],0), MATCH(AX$139, regions_ub[#Headers],0)),INDEX(lmic_raw_ub[],MATCH($A308,lmic_raw_ub[[setting]:[setting]],0), MATCH(AX$277, lmic_raw_ub[#Headers],0)))</f>
        <v>60.107250000000001</v>
      </c>
      <c r="AY308" s="33" t="str">
        <f>IF(VLOOKUP(lmics_ub[[#This Row],[setting]],lmic_raw_ub[],11,FALSE)=0, "Yes", "No")</f>
        <v>No</v>
      </c>
    </row>
    <row r="309" spans="1:51" x14ac:dyDescent="0.25">
      <c r="A309" s="110" t="s">
        <v>232</v>
      </c>
      <c r="B309" s="104" t="s">
        <v>407</v>
      </c>
      <c r="C309" s="105">
        <v>192</v>
      </c>
      <c r="D309" s="84" t="s">
        <v>679</v>
      </c>
      <c r="E309" s="84" t="s">
        <v>223</v>
      </c>
      <c r="F309" s="84" t="s">
        <v>665</v>
      </c>
      <c r="G309" s="84" t="s">
        <v>676</v>
      </c>
      <c r="J309" s="84">
        <f>IF(INDEX(lmic_raw_ub[],MATCH($A309,lmic_raw_ub[[setting]:[setting]],0), MATCH(J$277, lmic_raw_ub[#Headers],0))=0, INDEX(regions_ub[], MATCH($D309, regions_ub[[setting]:[setting]],0), MATCH(J$139, regions_ub[#Headers],0)),INDEX(lmic_raw_ub[],MATCH($A309,lmic_raw_ub[[setting]:[setting]],0), MATCH(J$277, lmic_raw_ub[#Headers],0)))</f>
        <v>0.99990000000000001</v>
      </c>
      <c r="K309" s="84">
        <f>IF(INDEX(lmic_raw_ub[],MATCH($A309,lmic_raw_ub[[setting]:[setting]],0), MATCH(K$277, lmic_raw_ub[#Headers],0))=0, INDEX(regions_ub[], MATCH($D309, regions_ub[[setting]:[setting]],0), MATCH(K$139, regions_ub[#Headers],0)),INDEX(lmic_raw_ub[],MATCH($A309,lmic_raw_ub[[setting]:[setting]],0), MATCH(K$277, lmic_raw_ub[#Headers],0)))</f>
        <v>0.99990000000000001</v>
      </c>
      <c r="L309" s="84">
        <f>IF(INDEX(lmic_raw_ub[],MATCH($A309,lmic_raw_ub[[setting]:[setting]],0), MATCH(L$277, lmic_raw_ub[#Headers],0))=0, INDEX(regions_ub[], MATCH($D309, regions_ub[[setting]:[setting]],0), MATCH(L$139, regions_ub[#Headers],0)),INDEX(lmic_raw_ub[],MATCH($A309,lmic_raw_ub[[setting]:[setting]],0), MATCH(L$277, lmic_raw_ub[#Headers],0)))</f>
        <v>0.99990000000000001</v>
      </c>
      <c r="M309" s="84">
        <f>IF(INDEX(lmic_raw_ub[],MATCH($A309,lmic_raw_ub[[setting]:[setting]],0), MATCH(M$277, lmic_raw_ub[#Headers],0))=0, INDEX(regions_ub[], MATCH($D309, regions_ub[[setting]:[setting]],0), MATCH(M$139, regions_ub[#Headers],0)),INDEX(lmic_raw_ub[],MATCH($A309,lmic_raw_ub[[setting]:[setting]],0), MATCH(M$277, lmic_raw_ub[#Headers],0)))</f>
        <v>1.8500000000000003E-2</v>
      </c>
      <c r="N309" s="84">
        <f>IF(INDEX(lmic_raw_ub[],MATCH($A309,lmic_raw_ub[[setting]:[setting]],0), MATCH(N$277, lmic_raw_ub[#Headers],0))=0, INDEX(regions_ub[], MATCH($D309, regions_ub[[setting]:[setting]],0), MATCH(N$139, regions_ub[#Headers],0)),INDEX(lmic_raw_ub[],MATCH($A309,lmic_raw_ub[[setting]:[setting]],0), MATCH(N$277, lmic_raw_ub[#Headers],0)))</f>
        <v>0.43</v>
      </c>
      <c r="O309" s="84">
        <f>IF(INDEX(lmic_raw_ub[],MATCH($A309,lmic_raw_ub[[setting]:[setting]],0), MATCH(O$277, lmic_raw_ub[#Headers],0))=0, INDEX(regions_ub[], MATCH($D309, regions_ub[[setting]:[setting]],0), MATCH(O$139, regions_ub[#Headers],0)),INDEX(lmic_raw_ub[],MATCH($A309,lmic_raw_ub[[setting]:[setting]],0), MATCH(O$277, lmic_raw_ub[#Headers],0)))</f>
        <v>0.9</v>
      </c>
      <c r="P309" s="84">
        <f>IF(INDEX(lmic_raw_ub[],MATCH($A309,lmic_raw_ub[[setting]:[setting]],0), MATCH(P$277, lmic_raw_ub[#Headers],0))=0, INDEX(regions_ub[], MATCH($D309, regions_ub[[setting]:[setting]],0), MATCH(P$139, regions_ub[#Headers],0)),INDEX(lmic_raw_ub[],MATCH($A309,lmic_raw_ub[[setting]:[setting]],0), MATCH(P$277, lmic_raw_ub[#Headers],0)))</f>
        <v>0.3</v>
      </c>
      <c r="Q309" s="84">
        <f>IF(INDEX(lmic_raw_ub[],MATCH($A309,lmic_raw_ub[[setting]:[setting]],0), MATCH(Q$277, lmic_raw_ub[#Headers],0))=0, INDEX(regions_ub[], MATCH($D309, regions_ub[[setting]:[setting]],0), MATCH(Q$139, regions_ub[#Headers],0)),INDEX(lmic_raw_ub[],MATCH($A309,lmic_raw_ub[[setting]:[setting]],0), MATCH(Q$277, lmic_raw_ub[#Headers],0)))</f>
        <v>12.811029584196362</v>
      </c>
      <c r="R309" s="84">
        <f>IF(INDEX(lmic_raw_ub[],MATCH($A309,lmic_raw_ub[[setting]:[setting]],0), MATCH(R$277, lmic_raw_ub[#Headers],0))=0, INDEX(regions_ub[], MATCH($D309, regions_ub[[setting]:[setting]],0), MATCH(R$139, regions_ub[#Headers],0)),INDEX(lmic_raw_ub[],MATCH($A309,lmic_raw_ub[[setting]:[setting]],0), MATCH(R$277, lmic_raw_ub[#Headers],0)))</f>
        <v>91.228094999999996</v>
      </c>
      <c r="S309" s="84">
        <f>IF(INDEX(lmic_raw_ub[],MATCH($A309,lmic_raw_ub[[setting]:[setting]],0), MATCH(S$277, lmic_raw_ub[#Headers],0))=0, INDEX(regions_ub[], MATCH($D309, regions_ub[[setting]:[setting]],0), MATCH(S$139, regions_ub[#Headers],0)),INDEX(lmic_raw_ub[],MATCH($A309,lmic_raw_ub[[setting]:[setting]],0), MATCH(S$277, lmic_raw_ub[#Headers],0)))</f>
        <v>141.35719500000002</v>
      </c>
      <c r="T309" s="84">
        <f>IF(INDEX(lmic_raw_ub[],MATCH($A309,lmic_raw_ub[[setting]:[setting]],0), MATCH(T$277, lmic_raw_ub[#Headers],0))=0, INDEX(regions_ub[], MATCH($D309, regions_ub[[setting]:[setting]],0), MATCH(T$139, regions_ub[#Headers],0)),INDEX(lmic_raw_ub[],MATCH($A309,lmic_raw_ub[[setting]:[setting]],0), MATCH(T$277, lmic_raw_ub[#Headers],0)))</f>
        <v>141.35719500000002</v>
      </c>
      <c r="U309" s="84">
        <f>IF(INDEX(lmic_raw_ub[],MATCH($A309,lmic_raw_ub[[setting]:[setting]],0), MATCH(U$277, lmic_raw_ub[#Headers],0))=0, INDEX(regions_ub[], MATCH($D309, regions_ub[[setting]:[setting]],0), MATCH(U$139, regions_ub[#Headers],0)),INDEX(lmic_raw_ub[],MATCH($A309,lmic_raw_ub[[setting]:[setting]],0), MATCH(U$277, lmic_raw_ub[#Headers],0)))</f>
        <v>141.35719500000002</v>
      </c>
      <c r="V309" s="84">
        <f>IF(INDEX(lmic_raw_ub[],MATCH($A309,lmic_raw_ub[[setting]:[setting]],0), MATCH(V$277, lmic_raw_ub[#Headers],0))=0, INDEX(regions_ub[], MATCH($D309, regions_ub[[setting]:[setting]],0), MATCH(V$139, regions_ub[#Headers],0)),INDEX(lmic_raw_ub[],MATCH($A309,lmic_raw_ub[[setting]:[setting]],0), MATCH(V$277, lmic_raw_ub[#Headers],0)))</f>
        <v>11.770280102090943</v>
      </c>
      <c r="W309" s="84">
        <f>IF(INDEX(lmic_raw_ub[],MATCH($A309,lmic_raw_ub[[setting]:[setting]],0), MATCH(W$277, lmic_raw_ub[#Headers],0))=0, INDEX(regions_ub[], MATCH($D309, regions_ub[[setting]:[setting]],0), MATCH(W$139, regions_ub[#Headers],0)),INDEX(lmic_raw_ub[],MATCH($A309,lmic_raw_ub[[setting]:[setting]],0), MATCH(W$277, lmic_raw_ub[#Headers],0)))</f>
        <v>11.793170102090944</v>
      </c>
      <c r="X309" s="84">
        <f>IF(INDEX(lmic_raw_ub[],MATCH($A309,lmic_raw_ub[[setting]:[setting]],0), MATCH(X$277, lmic_raw_ub[#Headers],0))=0, INDEX(regions_ub[], MATCH($D309, regions_ub[[setting]:[setting]],0), MATCH(X$139, regions_ub[#Headers],0)),INDEX(lmic_raw_ub[],MATCH($A309,lmic_raw_ub[[setting]:[setting]],0), MATCH(X$277, lmic_raw_ub[#Headers],0)))</f>
        <v>11.232274887495535</v>
      </c>
      <c r="Y309" s="84">
        <f>IF(INDEX(lmic_raw_ub[],MATCH($A309,lmic_raw_ub[[setting]:[setting]],0), MATCH(Y$277, lmic_raw_ub[#Headers],0))=0, INDEX(regions_ub[], MATCH($D309, regions_ub[[setting]:[setting]],0), MATCH(Y$139, regions_ub[#Headers],0)),INDEX(lmic_raw_ub[],MATCH($A309,lmic_raw_ub[[setting]:[setting]],0), MATCH(Y$277, lmic_raw_ub[#Headers],0)))</f>
        <v>11.255164887495535</v>
      </c>
      <c r="Z309" s="84">
        <f>IF(INDEX(lmic_raw_ub[],MATCH($A309,lmic_raw_ub[[setting]:[setting]],0), MATCH(Z$277, lmic_raw_ub[#Headers],0))=0, INDEX(regions_ub[], MATCH($D309, regions_ub[[setting]:[setting]],0), MATCH(Z$139, regions_ub[#Headers],0)),INDEX(lmic_raw_ub[],MATCH($A309,lmic_raw_ub[[setting]:[setting]],0), MATCH(Z$277, lmic_raw_ub[#Headers],0)))</f>
        <v>11.223486186909337</v>
      </c>
      <c r="AA309" s="84">
        <f>IF(INDEX(lmic_raw_ub[],MATCH($A309,lmic_raw_ub[[setting]:[setting]],0), MATCH(AA$277, lmic_raw_ub[#Headers],0))=0, INDEX(regions_ub[], MATCH($D309, regions_ub[[setting]:[setting]],0), MATCH(AA$139, regions_ub[#Headers],0)),INDEX(lmic_raw_ub[],MATCH($A309,lmic_raw_ub[[setting]:[setting]],0), MATCH(AA$277, lmic_raw_ub[#Headers],0)))</f>
        <v>12.048478429961829</v>
      </c>
      <c r="AB309" s="84">
        <f>IF(INDEX(lmic_raw_ub[],MATCH($A309,lmic_raw_ub[[setting]:[setting]],0), MATCH(AB$277, lmic_raw_ub[#Headers],0))=0, INDEX(regions_ub[], MATCH($D309, regions_ub[[setting]:[setting]],0), MATCH(AB$139, regions_ub[#Headers],0)),INDEX(lmic_raw_ub[],MATCH($A309,lmic_raw_ub[[setting]:[setting]],0), MATCH(AB$277, lmic_raw_ub[#Headers],0)))</f>
        <v>12.071368429961829</v>
      </c>
      <c r="AC309" s="84">
        <f>IF(INDEX(lmic_raw_ub[],MATCH($A309,lmic_raw_ub[[setting]:[setting]],0), MATCH(AC$277, lmic_raw_ub[#Headers],0))=0, INDEX(regions_ub[], MATCH($D309, regions_ub[[setting]:[setting]],0), MATCH(AC$139, regions_ub[#Headers],0)),INDEX(lmic_raw_ub[],MATCH($A309,lmic_raw_ub[[setting]:[setting]],0), MATCH(AC$277, lmic_raw_ub[#Headers],0)))</f>
        <v>4.7103104999999482E-3</v>
      </c>
      <c r="AD309" s="84">
        <f>IF(INDEX(lmic_raw_ub[],MATCH($A309,lmic_raw_ub[[setting]:[setting]],0), MATCH(AD$277, lmic_raw_ub[#Headers],0))=0, INDEX(regions_ub[], MATCH($D309, regions_ub[[setting]:[setting]],0), MATCH(AD$139, regions_ub[#Headers],0)),INDEX(lmic_raw_ub[],MATCH($A309,lmic_raw_ub[[setting]:[setting]],0), MATCH(AD$277, lmic_raw_ub[#Headers],0)))</f>
        <v>2.8650727449847996E-4</v>
      </c>
      <c r="AE309" s="84">
        <f>IF(INDEX(lmic_raw_ub[],MATCH($A309,lmic_raw_ub[[setting]:[setting]],0), MATCH(AE$277, lmic_raw_ub[#Headers],0))=0, INDEX(regions_ub[], MATCH($D309, regions_ub[[setting]:[setting]],0), MATCH(AE$139, regions_ub[#Headers],0)),INDEX(lmic_raw_ub[],MATCH($A309,lmic_raw_ub[[setting]:[setting]],0), MATCH(AE$277, lmic_raw_ub[#Headers],0)))</f>
        <v>1.6861411395299348E-4</v>
      </c>
      <c r="AF309" s="84">
        <f>IF(INDEX(lmic_raw_ub[],MATCH($A309,lmic_raw_ub[[setting]:[setting]],0), MATCH(AF$277, lmic_raw_ub[#Headers],0))=0, INDEX(regions_ub[], MATCH($D309, regions_ub[[setting]:[setting]],0), MATCH(AF$139, regions_ub[#Headers],0)),INDEX(lmic_raw_ub[],MATCH($A309,lmic_raw_ub[[setting]:[setting]],0), MATCH(AF$277, lmic_raw_ub[#Headers],0)))</f>
        <v>2.1440256301702491E-4</v>
      </c>
      <c r="AG309" s="84">
        <f>IF(INDEX(lmic_raw_ub[],MATCH($A309,lmic_raw_ub[[setting]:[setting]],0), MATCH(AG$277, lmic_raw_ub[#Headers],0))=0, INDEX(regions_ub[], MATCH($D309, regions_ub[[setting]:[setting]],0), MATCH(AG$139, regions_ub[#Headers],0)),INDEX(lmic_raw_ub[],MATCH($A309,lmic_raw_ub[[setting]:[setting]],0), MATCH(AG$277, lmic_raw_ub[#Headers],0)))</f>
        <v>4.4998918613442041E-4</v>
      </c>
      <c r="AH309" s="84">
        <f>IF(INDEX(lmic_raw_ub[],MATCH($A309,lmic_raw_ub[[setting]:[setting]],0), MATCH(AH$277, lmic_raw_ub[#Headers],0))=0, INDEX(regions_ub[], MATCH($D309, regions_ub[[setting]:[setting]],0), MATCH(AH$139, regions_ub[#Headers],0)),INDEX(lmic_raw_ub[],MATCH($A309,lmic_raw_ub[[setting]:[setting]],0), MATCH(AH$277, lmic_raw_ub[#Headers],0)))</f>
        <v>6.0250298554991575E-4</v>
      </c>
      <c r="AI309" s="84">
        <f>IF(INDEX(lmic_raw_ub[],MATCH($A309,lmic_raw_ub[[setting]:[setting]],0), MATCH(AI$277, lmic_raw_ub[#Headers],0))=0, INDEX(regions_ub[], MATCH($D309, regions_ub[[setting]:[setting]],0), MATCH(AI$139, regions_ub[#Headers],0)),INDEX(lmic_raw_ub[],MATCH($A309,lmic_raw_ub[[setting]:[setting]],0), MATCH(AI$277, lmic_raw_ub[#Headers],0)))</f>
        <v>6.6622155431293511E-4</v>
      </c>
      <c r="AJ309" s="84">
        <f>IF(INDEX(lmic_raw_ub[],MATCH($A309,lmic_raw_ub[[setting]:[setting]],0), MATCH(AJ$277, lmic_raw_ub[#Headers],0))=0, INDEX(regions_ub[], MATCH($D309, regions_ub[[setting]:[setting]],0), MATCH(AJ$139, regions_ub[#Headers],0)),INDEX(lmic_raw_ub[],MATCH($A309,lmic_raw_ub[[setting]:[setting]],0), MATCH(AJ$277, lmic_raw_ub[#Headers],0)))</f>
        <v>8.2993635591092723E-4</v>
      </c>
      <c r="AK309" s="84">
        <f>IF(INDEX(lmic_raw_ub[],MATCH($A309,lmic_raw_ub[[setting]:[setting]],0), MATCH(AK$277, lmic_raw_ub[#Headers],0))=0, INDEX(regions_ub[], MATCH($D309, regions_ub[[setting]:[setting]],0), MATCH(AK$139, regions_ub[#Headers],0)),INDEX(lmic_raw_ub[],MATCH($A309,lmic_raw_ub[[setting]:[setting]],0), MATCH(AK$277, lmic_raw_ub[#Headers],0)))</f>
        <v>1.1219183717560233E-3</v>
      </c>
      <c r="AL309" s="84">
        <f>IF(INDEX(lmic_raw_ub[],MATCH($A309,lmic_raw_ub[[setting]:[setting]],0), MATCH(AL$277, lmic_raw_ub[#Headers],0))=0, INDEX(regions_ub[], MATCH($D309, regions_ub[[setting]:[setting]],0), MATCH(AL$139, regions_ub[#Headers],0)),INDEX(lmic_raw_ub[],MATCH($A309,lmic_raw_ub[[setting]:[setting]],0), MATCH(AL$277, lmic_raw_ub[#Headers],0)))</f>
        <v>1.7829519156825112E-3</v>
      </c>
      <c r="AM309" s="84">
        <f>IF(INDEX(lmic_raw_ub[],MATCH($A309,lmic_raw_ub[[setting]:[setting]],0), MATCH(AM$277, lmic_raw_ub[#Headers],0))=0, INDEX(regions_ub[], MATCH($D309, regions_ub[[setting]:[setting]],0), MATCH(AM$139, regions_ub[#Headers],0)),INDEX(lmic_raw_ub[],MATCH($A309,lmic_raw_ub[[setting]:[setting]],0), MATCH(AM$277, lmic_raw_ub[#Headers],0)))</f>
        <v>2.9736073288610366E-3</v>
      </c>
      <c r="AN309" s="84">
        <f>IF(INDEX(lmic_raw_ub[],MATCH($A309,lmic_raw_ub[[setting]:[setting]],0), MATCH(AN$277, lmic_raw_ub[#Headers],0))=0, INDEX(regions_ub[], MATCH($D309, regions_ub[[setting]:[setting]],0), MATCH(AN$139, regions_ub[#Headers],0)),INDEX(lmic_raw_ub[],MATCH($A309,lmic_raw_ub[[setting]:[setting]],0), MATCH(AN$277, lmic_raw_ub[#Headers],0)))</f>
        <v>4.7903248563541606E-3</v>
      </c>
      <c r="AO309" s="84">
        <f>IF(INDEX(lmic_raw_ub[],MATCH($A309,lmic_raw_ub[[setting]:[setting]],0), MATCH(AO$277, lmic_raw_ub[#Headers],0))=0, INDEX(regions_ub[], MATCH($D309, regions_ub[[setting]:[setting]],0), MATCH(AO$139, regions_ub[#Headers],0)),INDEX(lmic_raw_ub[],MATCH($A309,lmic_raw_ub[[setting]:[setting]],0), MATCH(AO$277, lmic_raw_ub[#Headers],0)))</f>
        <v>7.3860883649489685E-3</v>
      </c>
      <c r="AP309" s="84">
        <f>IF(INDEX(lmic_raw_ub[],MATCH($A309,lmic_raw_ub[[setting]:[setting]],0), MATCH(AP$277, lmic_raw_ub[#Headers],0))=0, INDEX(regions_ub[], MATCH($D309, regions_ub[[setting]:[setting]],0), MATCH(AP$139, regions_ub[#Headers],0)),INDEX(lmic_raw_ub[],MATCH($A309,lmic_raw_ub[[setting]:[setting]],0), MATCH(AP$277, lmic_raw_ub[#Headers],0)))</f>
        <v>1.1702067424583684E-2</v>
      </c>
      <c r="AQ309" s="84">
        <f>IF(INDEX(lmic_raw_ub[],MATCH($A309,lmic_raw_ub[[setting]:[setting]],0), MATCH(AQ$277, lmic_raw_ub[#Headers],0))=0, INDEX(regions_ub[], MATCH($D309, regions_ub[[setting]:[setting]],0), MATCH(AQ$139, regions_ub[#Headers],0)),INDEX(lmic_raw_ub[],MATCH($A309,lmic_raw_ub[[setting]:[setting]],0), MATCH(AQ$277, lmic_raw_ub[#Headers],0)))</f>
        <v>1.7855114365333158E-2</v>
      </c>
      <c r="AR309" s="84">
        <f>IF(INDEX(lmic_raw_ub[],MATCH($A309,lmic_raw_ub[[setting]:[setting]],0), MATCH(AR$277, lmic_raw_ub[#Headers],0))=0, INDEX(regions_ub[], MATCH($D309, regions_ub[[setting]:[setting]],0), MATCH(AR$139, regions_ub[#Headers],0)),INDEX(lmic_raw_ub[],MATCH($A309,lmic_raw_ub[[setting]:[setting]],0), MATCH(AR$277, lmic_raw_ub[#Headers],0)))</f>
        <v>2.6029844089512821E-2</v>
      </c>
      <c r="AS309" s="84">
        <f>IF(INDEX(lmic_raw_ub[],MATCH($A309,lmic_raw_ub[[setting]:[setting]],0), MATCH(AS$277, lmic_raw_ub[#Headers],0))=0, INDEX(regions_ub[], MATCH($D309, regions_ub[[setting]:[setting]],0), MATCH(AS$139, regions_ub[#Headers],0)),INDEX(lmic_raw_ub[],MATCH($A309,lmic_raw_ub[[setting]:[setting]],0), MATCH(AS$277, lmic_raw_ub[#Headers],0)))</f>
        <v>3.9446844112182106E-2</v>
      </c>
      <c r="AT309" s="84">
        <f>IF(INDEX(lmic_raw_ub[],MATCH($A309,lmic_raw_ub[[setting]:[setting]],0), MATCH(AT$277, lmic_raw_ub[#Headers],0))=0, INDEX(regions_ub[], MATCH($D309, regions_ub[[setting]:[setting]],0), MATCH(AT$139, regions_ub[#Headers],0)),INDEX(lmic_raw_ub[],MATCH($A309,lmic_raw_ub[[setting]:[setting]],0), MATCH(AT$277, lmic_raw_ub[#Headers],0)))</f>
        <v>6.3429264972472962E-2</v>
      </c>
      <c r="AU309" s="84">
        <f>IF(INDEX(lmic_raw_ub[],MATCH($A309,lmic_raw_ub[[setting]:[setting]],0), MATCH(AU$277, lmic_raw_ub[#Headers],0))=0, INDEX(regions_ub[], MATCH($D309, regions_ub[[setting]:[setting]],0), MATCH(AU$139, regions_ub[#Headers],0)),INDEX(lmic_raw_ub[],MATCH($A309,lmic_raw_ub[[setting]:[setting]],0), MATCH(AU$277, lmic_raw_ub[#Headers],0)))</f>
        <v>8.9947572057597555E-2</v>
      </c>
      <c r="AV309" s="84">
        <f>IF(INDEX(lmic_raw_ub[],MATCH($A309,lmic_raw_ub[[setting]:[setting]],0), MATCH(AV$277, lmic_raw_ub[#Headers],0))=0, INDEX(regions_ub[], MATCH($D309, regions_ub[[setting]:[setting]],0), MATCH(AV$139, regions_ub[#Headers],0)),INDEX(lmic_raw_ub[],MATCH($A309,lmic_raw_ub[[setting]:[setting]],0), MATCH(AV$277, lmic_raw_ub[#Headers],0)))</f>
        <v>0.11956395055577872</v>
      </c>
      <c r="AW309" s="84">
        <f>IF(INDEX(lmic_raw_ub[],MATCH($A309,lmic_raw_ub[[setting]:[setting]],0), MATCH(AW$277, lmic_raw_ub[#Headers],0))=0, INDEX(regions_ub[], MATCH($D309, regions_ub[[setting]:[setting]],0), MATCH(AW$139, regions_ub[#Headers],0)),INDEX(lmic_raw_ub[],MATCH($A309,lmic_raw_ub[[setting]:[setting]],0), MATCH(AW$277, lmic_raw_ub[#Headers],0)))</f>
        <v>0.15017008888538708</v>
      </c>
      <c r="AX309" s="84">
        <f>IF(INDEX(lmic_raw_ub[],MATCH($A309,lmic_raw_ub[[setting]:[setting]],0), MATCH(AX$277, lmic_raw_ub[#Headers],0))=0, INDEX(regions_ub[], MATCH($D309, regions_ub[[setting]:[setting]],0), MATCH(AX$139, regions_ub[#Headers],0)),INDEX(lmic_raw_ub[],MATCH($A309,lmic_raw_ub[[setting]:[setting]],0), MATCH(AX$277, lmic_raw_ub[#Headers],0)))</f>
        <v>82.619250000000008</v>
      </c>
      <c r="AY309" s="33" t="str">
        <f>IF(VLOOKUP(lmics_ub[[#This Row],[setting]],lmic_raw_ub[],11,FALSE)=0, "Yes", "No")</f>
        <v>No</v>
      </c>
    </row>
    <row r="310" spans="1:51" x14ac:dyDescent="0.25">
      <c r="A310" s="109" t="s">
        <v>103</v>
      </c>
      <c r="B310" s="101" t="s">
        <v>414</v>
      </c>
      <c r="C310" s="102">
        <v>262</v>
      </c>
      <c r="D310" s="82" t="s">
        <v>673</v>
      </c>
      <c r="E310" s="82" t="s">
        <v>597</v>
      </c>
      <c r="F310" s="82" t="s">
        <v>667</v>
      </c>
      <c r="G310" s="82" t="s">
        <v>678</v>
      </c>
      <c r="J310" s="84">
        <f>IF(INDEX(lmic_raw_ub[],MATCH($A310,lmic_raw_ub[[setting]:[setting]],0), MATCH(J$277, lmic_raw_ub[#Headers],0))=0, INDEX(regions_ub[], MATCH($D310, regions_ub[[setting]:[setting]],0), MATCH(J$139, regions_ub[#Headers],0)),INDEX(lmic_raw_ub[],MATCH($A310,lmic_raw_ub[[setting]:[setting]],0), MATCH(J$277, lmic_raw_ub[#Headers],0)))</f>
        <v>0.91034999999999999</v>
      </c>
      <c r="K310" s="84">
        <f>IF(INDEX(lmic_raw_ub[],MATCH($A310,lmic_raw_ub[[setting]:[setting]],0), MATCH(K$277, lmic_raw_ub[#Headers],0))=0, INDEX(regions_ub[], MATCH($D310, regions_ub[[setting]:[setting]],0), MATCH(K$139, regions_ub[#Headers],0)),INDEX(lmic_raw_ub[],MATCH($A310,lmic_raw_ub[[setting]:[setting]],0), MATCH(K$277, lmic_raw_ub[#Headers],0)))</f>
        <v>0.99749999999999994</v>
      </c>
      <c r="L310" s="84">
        <f>IF(INDEX(lmic_raw_ub[],MATCH($A310,lmic_raw_ub[[setting]:[setting]],0), MATCH(L$277, lmic_raw_ub[#Headers],0))=0, INDEX(regions_ub[], MATCH($D310, regions_ub[[setting]:[setting]],0), MATCH(L$139, regions_ub[#Headers],0)),INDEX(lmic_raw_ub[],MATCH($A310,lmic_raw_ub[[setting]:[setting]],0), MATCH(L$277, lmic_raw_ub[#Headers],0)))</f>
        <v>0.89249999999999996</v>
      </c>
      <c r="M310" s="84">
        <f>IF(INDEX(lmic_raw_ub[],MATCH($A310,lmic_raw_ub[[setting]:[setting]],0), MATCH(M$277, lmic_raw_ub[#Headers],0))=0, INDEX(regions_ub[], MATCH($D310, regions_ub[[setting]:[setting]],0), MATCH(M$139, regions_ub[#Headers],0)),INDEX(lmic_raw_ub[],MATCH($A310,lmic_raw_ub[[setting]:[setting]],0), MATCH(M$277, lmic_raw_ub[#Headers],0)))</f>
        <v>0.22920000000000001</v>
      </c>
      <c r="N310" s="84">
        <f>IF(INDEX(lmic_raw_ub[],MATCH($A310,lmic_raw_ub[[setting]:[setting]],0), MATCH(N$277, lmic_raw_ub[#Headers],0))=0, INDEX(regions_ub[], MATCH($D310, regions_ub[[setting]:[setting]],0), MATCH(N$139, regions_ub[#Headers],0)),INDEX(lmic_raw_ub[],MATCH($A310,lmic_raw_ub[[setting]:[setting]],0), MATCH(N$277, lmic_raw_ub[#Headers],0)))</f>
        <v>0.39960000000000001</v>
      </c>
      <c r="O310" s="84">
        <f>IF(INDEX(lmic_raw_ub[],MATCH($A310,lmic_raw_ub[[setting]:[setting]],0), MATCH(O$277, lmic_raw_ub[#Headers],0))=0, INDEX(regions_ub[], MATCH($D310, regions_ub[[setting]:[setting]],0), MATCH(O$139, regions_ub[#Headers],0)),INDEX(lmic_raw_ub[],MATCH($A310,lmic_raw_ub[[setting]:[setting]],0), MATCH(O$277, lmic_raw_ub[#Headers],0)))</f>
        <v>0.74399999999999999</v>
      </c>
      <c r="P310" s="84">
        <f>IF(INDEX(lmic_raw_ub[],MATCH($A310,lmic_raw_ub[[setting]:[setting]],0), MATCH(P$277, lmic_raw_ub[#Headers],0))=0, INDEX(regions_ub[], MATCH($D310, regions_ub[[setting]:[setting]],0), MATCH(P$139, regions_ub[#Headers],0)),INDEX(lmic_raw_ub[],MATCH($A310,lmic_raw_ub[[setting]:[setting]],0), MATCH(P$277, lmic_raw_ub[#Headers],0)))</f>
        <v>0.13300000000000001</v>
      </c>
      <c r="Q310" s="84">
        <f>IF(INDEX(lmic_raw_ub[],MATCH($A310,lmic_raw_ub[[setting]:[setting]],0), MATCH(Q$277, lmic_raw_ub[#Headers],0))=0, INDEX(regions_ub[], MATCH($D310, regions_ub[[setting]:[setting]],0), MATCH(Q$139, regions_ub[#Headers],0)),INDEX(lmic_raw_ub[],MATCH($A310,lmic_raw_ub[[setting]:[setting]],0), MATCH(Q$277, lmic_raw_ub[#Headers],0)))</f>
        <v>4.4736153009060988</v>
      </c>
      <c r="R310" s="84">
        <f>IF(INDEX(lmic_raw_ub[],MATCH($A310,lmic_raw_ub[[setting]:[setting]],0), MATCH(R$277, lmic_raw_ub[#Headers],0))=0, INDEX(regions_ub[], MATCH($D310, regions_ub[[setting]:[setting]],0), MATCH(R$139, regions_ub[#Headers],0)),INDEX(lmic_raw_ub[],MATCH($A310,lmic_raw_ub[[setting]:[setting]],0), MATCH(R$277, lmic_raw_ub[#Headers],0)))</f>
        <v>31.416525000000004</v>
      </c>
      <c r="S310" s="84">
        <f>IF(INDEX(lmic_raw_ub[],MATCH($A310,lmic_raw_ub[[setting]:[setting]],0), MATCH(S$277, lmic_raw_ub[#Headers],0))=0, INDEX(regions_ub[], MATCH($D310, regions_ub[[setting]:[setting]],0), MATCH(S$139, regions_ub[#Headers],0)),INDEX(lmic_raw_ub[],MATCH($A310,lmic_raw_ub[[setting]:[setting]],0), MATCH(S$277, lmic_raw_ub[#Headers],0)))</f>
        <v>81.545625000000015</v>
      </c>
      <c r="T310" s="84">
        <f>IF(INDEX(lmic_raw_ub[],MATCH($A310,lmic_raw_ub[[setting]:[setting]],0), MATCH(T$277, lmic_raw_ub[#Headers],0))=0, INDEX(regions_ub[], MATCH($D310, regions_ub[[setting]:[setting]],0), MATCH(T$139, regions_ub[#Headers],0)),INDEX(lmic_raw_ub[],MATCH($A310,lmic_raw_ub[[setting]:[setting]],0), MATCH(T$277, lmic_raw_ub[#Headers],0)))</f>
        <v>81.545625000000015</v>
      </c>
      <c r="U310" s="84">
        <f>IF(INDEX(lmic_raw_ub[],MATCH($A310,lmic_raw_ub[[setting]:[setting]],0), MATCH(U$277, lmic_raw_ub[#Headers],0))=0, INDEX(regions_ub[], MATCH($D310, regions_ub[[setting]:[setting]],0), MATCH(U$139, regions_ub[#Headers],0)),INDEX(lmic_raw_ub[],MATCH($A310,lmic_raw_ub[[setting]:[setting]],0), MATCH(U$277, lmic_raw_ub[#Headers],0)))</f>
        <v>81.545625000000015</v>
      </c>
      <c r="V310" s="84">
        <f>IF(INDEX(lmic_raw_ub[],MATCH($A310,lmic_raw_ub[[setting]:[setting]],0), MATCH(V$277, lmic_raw_ub[#Headers],0))=0, INDEX(regions_ub[], MATCH($D310, regions_ub[[setting]:[setting]],0), MATCH(V$139, regions_ub[#Headers],0)),INDEX(lmic_raw_ub[],MATCH($A310,lmic_raw_ub[[setting]:[setting]],0), MATCH(V$277, lmic_raw_ub[#Headers],0)))</f>
        <v>9.1991315622469738</v>
      </c>
      <c r="W310" s="84">
        <f>IF(INDEX(lmic_raw_ub[],MATCH($A310,lmic_raw_ub[[setting]:[setting]],0), MATCH(W$277, lmic_raw_ub[#Headers],0))=0, INDEX(regions_ub[], MATCH($D310, regions_ub[[setting]:[setting]],0), MATCH(W$139, regions_ub[#Headers],0)),INDEX(lmic_raw_ub[],MATCH($A310,lmic_raw_ub[[setting]:[setting]],0), MATCH(W$277, lmic_raw_ub[#Headers],0)))</f>
        <v>14.269266562246974</v>
      </c>
      <c r="X310" s="84">
        <f>IF(INDEX(lmic_raw_ub[],MATCH($A310,lmic_raw_ub[[setting]:[setting]],0), MATCH(X$277, lmic_raw_ub[#Headers],0))=0, INDEX(regions_ub[], MATCH($D310, regions_ub[[setting]:[setting]],0), MATCH(X$139, regions_ub[#Headers],0)),INDEX(lmic_raw_ub[],MATCH($A310,lmic_raw_ub[[setting]:[setting]],0), MATCH(X$277, lmic_raw_ub[#Headers],0)))</f>
        <v>8.6778971795925202</v>
      </c>
      <c r="Y310" s="84">
        <f>IF(INDEX(lmic_raw_ub[],MATCH($A310,lmic_raw_ub[[setting]:[setting]],0), MATCH(Y$277, lmic_raw_ub[#Headers],0))=0, INDEX(regions_ub[], MATCH($D310, regions_ub[[setting]:[setting]],0), MATCH(Y$139, regions_ub[#Headers],0)),INDEX(lmic_raw_ub[],MATCH($A310,lmic_raw_ub[[setting]:[setting]],0), MATCH(Y$277, lmic_raw_ub[#Headers],0)))</f>
        <v>13.748032179592521</v>
      </c>
      <c r="Z310" s="84">
        <f>IF(INDEX(lmic_raw_ub[],MATCH($A310,lmic_raw_ub[[setting]:[setting]],0), MATCH(Z$277, lmic_raw_ub[#Headers],0))=0, INDEX(regions_ub[], MATCH($D310, regions_ub[[setting]:[setting]],0), MATCH(Z$139, regions_ub[#Headers],0)),INDEX(lmic_raw_ub[],MATCH($A310,lmic_raw_ub[[setting]:[setting]],0), MATCH(Z$277, lmic_raw_ub[#Headers],0)))</f>
        <v>13.726830739775467</v>
      </c>
      <c r="AA310" s="84">
        <f>IF(INDEX(lmic_raw_ub[],MATCH($A310,lmic_raw_ub[[setting]:[setting]],0), MATCH(AA$277, lmic_raw_ub[#Headers],0))=0, INDEX(regions_ub[], MATCH($D310, regions_ub[[setting]:[setting]],0), MATCH(AA$139, regions_ub[#Headers],0)),INDEX(lmic_raw_ub[],MATCH($A310,lmic_raw_ub[[setting]:[setting]],0), MATCH(AA$277, lmic_raw_ub[#Headers],0)))</f>
        <v>9.4735230141558002</v>
      </c>
      <c r="AB310" s="84">
        <f>IF(INDEX(lmic_raw_ub[],MATCH($A310,lmic_raw_ub[[setting]:[setting]],0), MATCH(AB$277, lmic_raw_ub[#Headers],0))=0, INDEX(regions_ub[], MATCH($D310, regions_ub[[setting]:[setting]],0), MATCH(AB$139, regions_ub[#Headers],0)),INDEX(lmic_raw_ub[],MATCH($A310,lmic_raw_ub[[setting]:[setting]],0), MATCH(AB$277, lmic_raw_ub[#Headers],0)))</f>
        <v>14.543658014155801</v>
      </c>
      <c r="AC310" s="84">
        <f>IF(INDEX(lmic_raw_ub[],MATCH($A310,lmic_raw_ub[[setting]:[setting]],0), MATCH(AC$277, lmic_raw_ub[#Headers],0))=0, INDEX(regions_ub[], MATCH($D310, regions_ub[[setting]:[setting]],0), MATCH(AC$139, regions_ub[#Headers],0)),INDEX(lmic_raw_ub[],MATCH($A310,lmic_raw_ub[[setting]:[setting]],0), MATCH(AC$277, lmic_raw_ub[#Headers],0)))</f>
        <v>3.5334652500000022E-2</v>
      </c>
      <c r="AD310" s="84">
        <f>IF(INDEX(lmic_raw_ub[],MATCH($A310,lmic_raw_ub[[setting]:[setting]],0), MATCH(AD$277, lmic_raw_ub[#Headers],0))=0, INDEX(regions_ub[], MATCH($D310, regions_ub[[setting]:[setting]],0), MATCH(AD$139, regions_ub[#Headers],0)),INDEX(lmic_raw_ub[],MATCH($A310,lmic_raw_ub[[setting]:[setting]],0), MATCH(AD$277, lmic_raw_ub[#Headers],0)))</f>
        <v>4.7551296093710253E-3</v>
      </c>
      <c r="AE310" s="84">
        <f>IF(INDEX(lmic_raw_ub[],MATCH($A310,lmic_raw_ub[[setting]:[setting]],0), MATCH(AE$277, lmic_raw_ub[#Headers],0))=0, INDEX(regions_ub[], MATCH($D310, regions_ub[[setting]:[setting]],0), MATCH(AE$139, regions_ub[#Headers],0)),INDEX(lmic_raw_ub[],MATCH($A310,lmic_raw_ub[[setting]:[setting]],0), MATCH(AE$277, lmic_raw_ub[#Headers],0)))</f>
        <v>1.8658947045567841E-3</v>
      </c>
      <c r="AF310" s="84">
        <f>IF(INDEX(lmic_raw_ub[],MATCH($A310,lmic_raw_ub[[setting]:[setting]],0), MATCH(AF$277, lmic_raw_ub[#Headers],0))=0, INDEX(regions_ub[], MATCH($D310, regions_ub[[setting]:[setting]],0), MATCH(AF$139, regions_ub[#Headers],0)),INDEX(lmic_raw_ub[],MATCH($A310,lmic_raw_ub[[setting]:[setting]],0), MATCH(AF$277, lmic_raw_ub[#Headers],0)))</f>
        <v>1.2747800671641923E-3</v>
      </c>
      <c r="AG310" s="84">
        <f>IF(INDEX(lmic_raw_ub[],MATCH($A310,lmic_raw_ub[[setting]:[setting]],0), MATCH(AG$277, lmic_raw_ub[#Headers],0))=0, INDEX(regions_ub[], MATCH($D310, regions_ub[[setting]:[setting]],0), MATCH(AG$139, regions_ub[#Headers],0)),INDEX(lmic_raw_ub[],MATCH($A310,lmic_raw_ub[[setting]:[setting]],0), MATCH(AG$277, lmic_raw_ub[#Headers],0)))</f>
        <v>1.7032426883974935E-3</v>
      </c>
      <c r="AH310" s="84">
        <f>IF(INDEX(lmic_raw_ub[],MATCH($A310,lmic_raw_ub[[setting]:[setting]],0), MATCH(AH$277, lmic_raw_ub[#Headers],0))=0, INDEX(regions_ub[], MATCH($D310, regions_ub[[setting]:[setting]],0), MATCH(AH$139, regions_ub[#Headers],0)),INDEX(lmic_raw_ub[],MATCH($A310,lmic_raw_ub[[setting]:[setting]],0), MATCH(AH$277, lmic_raw_ub[#Headers],0)))</f>
        <v>2.2777213570817183E-3</v>
      </c>
      <c r="AI310" s="84">
        <f>IF(INDEX(lmic_raw_ub[],MATCH($A310,lmic_raw_ub[[setting]:[setting]],0), MATCH(AI$277, lmic_raw_ub[#Headers],0))=0, INDEX(regions_ub[], MATCH($D310, regions_ub[[setting]:[setting]],0), MATCH(AI$139, regions_ub[#Headers],0)),INDEX(lmic_raw_ub[],MATCH($A310,lmic_raw_ub[[setting]:[setting]],0), MATCH(AI$277, lmic_raw_ub[#Headers],0)))</f>
        <v>2.7445467096541801E-3</v>
      </c>
      <c r="AJ310" s="84">
        <f>IF(INDEX(lmic_raw_ub[],MATCH($A310,lmic_raw_ub[[setting]:[setting]],0), MATCH(AJ$277, lmic_raw_ub[#Headers],0))=0, INDEX(regions_ub[], MATCH($D310, regions_ub[[setting]:[setting]],0), MATCH(AJ$139, regions_ub[#Headers],0)),INDEX(lmic_raw_ub[],MATCH($A310,lmic_raw_ub[[setting]:[setting]],0), MATCH(AJ$277, lmic_raw_ub[#Headers],0)))</f>
        <v>3.463455038555479E-3</v>
      </c>
      <c r="AK310" s="84">
        <f>IF(INDEX(lmic_raw_ub[],MATCH($A310,lmic_raw_ub[[setting]:[setting]],0), MATCH(AK$277, lmic_raw_ub[#Headers],0))=0, INDEX(regions_ub[], MATCH($D310, regions_ub[[setting]:[setting]],0), MATCH(AK$139, regions_ub[#Headers],0)),INDEX(lmic_raw_ub[],MATCH($A310,lmic_raw_ub[[setting]:[setting]],0), MATCH(AK$277, lmic_raw_ub[#Headers],0)))</f>
        <v>4.6902182482030279E-3</v>
      </c>
      <c r="AL310" s="84">
        <f>IF(INDEX(lmic_raw_ub[],MATCH($A310,lmic_raw_ub[[setting]:[setting]],0), MATCH(AL$277, lmic_raw_ub[#Headers],0))=0, INDEX(regions_ub[], MATCH($D310, regions_ub[[setting]:[setting]],0), MATCH(AL$139, regions_ub[#Headers],0)),INDEX(lmic_raw_ub[],MATCH($A310,lmic_raw_ub[[setting]:[setting]],0), MATCH(AL$277, lmic_raw_ub[#Headers],0)))</f>
        <v>5.7900850229833829E-3</v>
      </c>
      <c r="AM310" s="84">
        <f>IF(INDEX(lmic_raw_ub[],MATCH($A310,lmic_raw_ub[[setting]:[setting]],0), MATCH(AM$277, lmic_raw_ub[#Headers],0))=0, INDEX(regions_ub[], MATCH($D310, regions_ub[[setting]:[setting]],0), MATCH(AM$139, regions_ub[#Headers],0)),INDEX(lmic_raw_ub[],MATCH($A310,lmic_raw_ub[[setting]:[setting]],0), MATCH(AM$277, lmic_raw_ub[#Headers],0)))</f>
        <v>6.9502881972931026E-3</v>
      </c>
      <c r="AN310" s="84">
        <f>IF(INDEX(lmic_raw_ub[],MATCH($A310,lmic_raw_ub[[setting]:[setting]],0), MATCH(AN$277, lmic_raw_ub[#Headers],0))=0, INDEX(regions_ub[], MATCH($D310, regions_ub[[setting]:[setting]],0), MATCH(AN$139, regions_ub[#Headers],0)),INDEX(lmic_raw_ub[],MATCH($A310,lmic_raw_ub[[setting]:[setting]],0), MATCH(AN$277, lmic_raw_ub[#Headers],0)))</f>
        <v>9.0929701269253631E-3</v>
      </c>
      <c r="AO310" s="84">
        <f>IF(INDEX(lmic_raw_ub[],MATCH($A310,lmic_raw_ub[[setting]:[setting]],0), MATCH(AO$277, lmic_raw_ub[#Headers],0))=0, INDEX(regions_ub[], MATCH($D310, regions_ub[[setting]:[setting]],0), MATCH(AO$139, regions_ub[#Headers],0)),INDEX(lmic_raw_ub[],MATCH($A310,lmic_raw_ub[[setting]:[setting]],0), MATCH(AO$277, lmic_raw_ub[#Headers],0)))</f>
        <v>1.1893974390922574E-2</v>
      </c>
      <c r="AP310" s="84">
        <f>IF(INDEX(lmic_raw_ub[],MATCH($A310,lmic_raw_ub[[setting]:[setting]],0), MATCH(AP$277, lmic_raw_ub[#Headers],0))=0, INDEX(regions_ub[], MATCH($D310, regions_ub[[setting]:[setting]],0), MATCH(AP$139, regions_ub[#Headers],0)),INDEX(lmic_raw_ub[],MATCH($A310,lmic_raw_ub[[setting]:[setting]],0), MATCH(AP$277, lmic_raw_ub[#Headers],0)))</f>
        <v>1.7926799237069378E-2</v>
      </c>
      <c r="AQ310" s="84">
        <f>IF(INDEX(lmic_raw_ub[],MATCH($A310,lmic_raw_ub[[setting]:[setting]],0), MATCH(AQ$277, lmic_raw_ub[#Headers],0))=0, INDEX(regions_ub[], MATCH($D310, regions_ub[[setting]:[setting]],0), MATCH(AQ$139, regions_ub[#Headers],0)),INDEX(lmic_raw_ub[],MATCH($A310,lmic_raw_ub[[setting]:[setting]],0), MATCH(AQ$277, lmic_raw_ub[#Headers],0)))</f>
        <v>2.7643343997271905E-2</v>
      </c>
      <c r="AR310" s="84">
        <f>IF(INDEX(lmic_raw_ub[],MATCH($A310,lmic_raw_ub[[setting]:[setting]],0), MATCH(AR$277, lmic_raw_ub[#Headers],0))=0, INDEX(regions_ub[], MATCH($D310, regions_ub[[setting]:[setting]],0), MATCH(AR$139, regions_ub[#Headers],0)),INDEX(lmic_raw_ub[],MATCH($A310,lmic_raw_ub[[setting]:[setting]],0), MATCH(AR$277, lmic_raw_ub[#Headers],0)))</f>
        <v>4.3039174342356788E-2</v>
      </c>
      <c r="AS310" s="84">
        <f>IF(INDEX(lmic_raw_ub[],MATCH($A310,lmic_raw_ub[[setting]:[setting]],0), MATCH(AS$277, lmic_raw_ub[#Headers],0))=0, INDEX(regions_ub[], MATCH($D310, regions_ub[[setting]:[setting]],0), MATCH(AS$139, regions_ub[#Headers],0)),INDEX(lmic_raw_ub[],MATCH($A310,lmic_raw_ub[[setting]:[setting]],0), MATCH(AS$277, lmic_raw_ub[#Headers],0)))</f>
        <v>6.5597605741143344E-2</v>
      </c>
      <c r="AT310" s="84">
        <f>IF(INDEX(lmic_raw_ub[],MATCH($A310,lmic_raw_ub[[setting]:[setting]],0), MATCH(AT$277, lmic_raw_ub[#Headers],0))=0, INDEX(regions_ub[], MATCH($D310, regions_ub[[setting]:[setting]],0), MATCH(AT$139, regions_ub[#Headers],0)),INDEX(lmic_raw_ub[],MATCH($A310,lmic_raw_ub[[setting]:[setting]],0), MATCH(AT$277, lmic_raw_ub[#Headers],0)))</f>
        <v>9.6274295897434414E-2</v>
      </c>
      <c r="AU310" s="84">
        <f>IF(INDEX(lmic_raw_ub[],MATCH($A310,lmic_raw_ub[[setting]:[setting]],0), MATCH(AU$277, lmic_raw_ub[#Headers],0))=0, INDEX(regions_ub[], MATCH($D310, regions_ub[[setting]:[setting]],0), MATCH(AU$139, regions_ub[#Headers],0)),INDEX(lmic_raw_ub[],MATCH($A310,lmic_raw_ub[[setting]:[setting]],0), MATCH(AU$277, lmic_raw_ub[#Headers],0)))</f>
        <v>0.13078924888408708</v>
      </c>
      <c r="AV310" s="84">
        <f>IF(INDEX(lmic_raw_ub[],MATCH($A310,lmic_raw_ub[[setting]:[setting]],0), MATCH(AV$277, lmic_raw_ub[#Headers],0))=0, INDEX(regions_ub[], MATCH($D310, regions_ub[[setting]:[setting]],0), MATCH(AV$139, regions_ub[#Headers],0)),INDEX(lmic_raw_ub[],MATCH($A310,lmic_raw_ub[[setting]:[setting]],0), MATCH(AV$277, lmic_raw_ub[#Headers],0)))</f>
        <v>0.16119898153366818</v>
      </c>
      <c r="AW310" s="84">
        <f>IF(INDEX(lmic_raw_ub[],MATCH($A310,lmic_raw_ub[[setting]:[setting]],0), MATCH(AW$277, lmic_raw_ub[#Headers],0))=0, INDEX(regions_ub[], MATCH($D310, regions_ub[[setting]:[setting]],0), MATCH(AW$139, regions_ub[#Headers],0)),INDEX(lmic_raw_ub[],MATCH($A310,lmic_raw_ub[[setting]:[setting]],0), MATCH(AW$277, lmic_raw_ub[#Headers],0)))</f>
        <v>0.1832810302423396</v>
      </c>
      <c r="AX310" s="84">
        <f>IF(INDEX(lmic_raw_ub[],MATCH($A310,lmic_raw_ub[[setting]:[setting]],0), MATCH(AX$277, lmic_raw_ub[#Headers],0))=0, INDEX(regions_ub[], MATCH($D310, regions_ub[[setting]:[setting]],0), MATCH(AX$139, regions_ub[#Headers],0)),INDEX(lmic_raw_ub[],MATCH($A310,lmic_raw_ub[[setting]:[setting]],0), MATCH(AX$277, lmic_raw_ub[#Headers],0)))</f>
        <v>69.867000000000004</v>
      </c>
      <c r="AY310" s="33" t="str">
        <f>IF(VLOOKUP(lmics_ub[[#This Row],[setting]],lmic_raw_ub[],11,FALSE)=0, "Yes", "No")</f>
        <v>No</v>
      </c>
    </row>
    <row r="311" spans="1:51" x14ac:dyDescent="0.25">
      <c r="A311" s="110" t="s">
        <v>234</v>
      </c>
      <c r="B311" s="104" t="s">
        <v>612</v>
      </c>
      <c r="C311" s="105">
        <v>212</v>
      </c>
      <c r="D311" s="84" t="s">
        <v>679</v>
      </c>
      <c r="E311" s="84" t="s">
        <v>223</v>
      </c>
      <c r="F311" s="84" t="s">
        <v>665</v>
      </c>
      <c r="G311" s="84" t="s">
        <v>676</v>
      </c>
      <c r="J311" s="84">
        <f>IF(INDEX(lmic_raw_ub[],MATCH($A311,lmic_raw_ub[[setting]:[setting]],0), MATCH(J$277, lmic_raw_ub[#Headers],0))=0, INDEX(regions_ub[], MATCH($D311, regions_ub[[setting]:[setting]],0), MATCH(J$139, regions_ub[#Headers],0)),INDEX(lmic_raw_ub[],MATCH($A311,lmic_raw_ub[[setting]:[setting]],0), MATCH(J$277, lmic_raw_ub[#Headers],0)))</f>
        <v>0.97190446634167316</v>
      </c>
      <c r="K311" s="84">
        <f>IF(INDEX(lmic_raw_ub[],MATCH($A311,lmic_raw_ub[[setting]:[setting]],0), MATCH(K$277, lmic_raw_ub[#Headers],0))=0, INDEX(regions_ub[], MATCH($D311, regions_ub[[setting]:[setting]],0), MATCH(K$139, regions_ub[#Headers],0)),INDEX(lmic_raw_ub[],MATCH($A311,lmic_raw_ub[[setting]:[setting]],0), MATCH(K$277, lmic_raw_ub[#Headers],0)))</f>
        <v>0.99990000000000001</v>
      </c>
      <c r="L311" s="84">
        <f>IF(INDEX(lmic_raw_ub[],MATCH($A311,lmic_raw_ub[[setting]:[setting]],0), MATCH(L$277, lmic_raw_ub[#Headers],0))=0, INDEX(regions_ub[], MATCH($D311, regions_ub[[setting]:[setting]],0), MATCH(L$139, regions_ub[#Headers],0)),INDEX(lmic_raw_ub[],MATCH($A311,lmic_raw_ub[[setting]:[setting]],0), MATCH(L$277, lmic_raw_ub[#Headers],0)))</f>
        <v>0.99990000000000001</v>
      </c>
      <c r="M311" s="84">
        <f>IF(INDEX(lmic_raw_ub[],MATCH($A311,lmic_raw_ub[[setting]:[setting]],0), MATCH(M$277, lmic_raw_ub[#Headers],0))=0, INDEX(regions_ub[], MATCH($D311, regions_ub[[setting]:[setting]],0), MATCH(M$139, regions_ub[#Headers],0)),INDEX(lmic_raw_ub[],MATCH($A311,lmic_raw_ub[[setting]:[setting]],0), MATCH(M$277, lmic_raw_ub[#Headers],0)))</f>
        <v>8.2500000000000004E-2</v>
      </c>
      <c r="N311" s="84">
        <f>IF(INDEX(lmic_raw_ub[],MATCH($A311,lmic_raw_ub[[setting]:[setting]],0), MATCH(N$277, lmic_raw_ub[#Headers],0))=0, INDEX(regions_ub[], MATCH($D311, regions_ub[[setting]:[setting]],0), MATCH(N$139, regions_ub[#Headers],0)),INDEX(lmic_raw_ub[],MATCH($A311,lmic_raw_ub[[setting]:[setting]],0), MATCH(N$277, lmic_raw_ub[#Headers],0)))</f>
        <v>0.43402338236319343</v>
      </c>
      <c r="O311" s="84">
        <f>IF(INDEX(lmic_raw_ub[],MATCH($A311,lmic_raw_ub[[setting]:[setting]],0), MATCH(O$277, lmic_raw_ub[#Headers],0))=0, INDEX(regions_ub[], MATCH($D311, regions_ub[[setting]:[setting]],0), MATCH(O$139, regions_ub[#Headers],0)),INDEX(lmic_raw_ub[],MATCH($A311,lmic_raw_ub[[setting]:[setting]],0), MATCH(O$277, lmic_raw_ub[#Headers],0)))</f>
        <v>0.9</v>
      </c>
      <c r="P311" s="84">
        <f>IF(INDEX(lmic_raw_ub[],MATCH($A311,lmic_raw_ub[[setting]:[setting]],0), MATCH(P$277, lmic_raw_ub[#Headers],0))=0, INDEX(regions_ub[], MATCH($D311, regions_ub[[setting]:[setting]],0), MATCH(P$139, regions_ub[#Headers],0)),INDEX(lmic_raw_ub[],MATCH($A311,lmic_raw_ub[[setting]:[setting]],0), MATCH(P$277, lmic_raw_ub[#Headers],0)))</f>
        <v>0.3</v>
      </c>
      <c r="Q311" s="84">
        <f>IF(INDEX(lmic_raw_ub[],MATCH($A311,lmic_raw_ub[[setting]:[setting]],0), MATCH(Q$277, lmic_raw_ub[#Headers],0))=0, INDEX(regions_ub[], MATCH($D311, regions_ub[[setting]:[setting]],0), MATCH(Q$139, regions_ub[#Headers],0)),INDEX(lmic_raw_ub[],MATCH($A311,lmic_raw_ub[[setting]:[setting]],0), MATCH(Q$277, lmic_raw_ub[#Headers],0)))</f>
        <v>10.168273489948627</v>
      </c>
      <c r="R311" s="84">
        <f>IF(INDEX(lmic_raw_ub[],MATCH($A311,lmic_raw_ub[[setting]:[setting]],0), MATCH(R$277, lmic_raw_ub[#Headers],0))=0, INDEX(regions_ub[], MATCH($D311, regions_ub[[setting]:[setting]],0), MATCH(R$139, regions_ub[#Headers],0)),INDEX(lmic_raw_ub[],MATCH($A311,lmic_raw_ub[[setting]:[setting]],0), MATCH(R$277, lmic_raw_ub[#Headers],0)))</f>
        <v>91.228094999999996</v>
      </c>
      <c r="S311" s="84">
        <f>IF(INDEX(lmic_raw_ub[],MATCH($A311,lmic_raw_ub[[setting]:[setting]],0), MATCH(S$277, lmic_raw_ub[#Headers],0))=0, INDEX(regions_ub[], MATCH($D311, regions_ub[[setting]:[setting]],0), MATCH(S$139, regions_ub[#Headers],0)),INDEX(lmic_raw_ub[],MATCH($A311,lmic_raw_ub[[setting]:[setting]],0), MATCH(S$277, lmic_raw_ub[#Headers],0)))</f>
        <v>141.35719500000002</v>
      </c>
      <c r="T311" s="84">
        <f>IF(INDEX(lmic_raw_ub[],MATCH($A311,lmic_raw_ub[[setting]:[setting]],0), MATCH(T$277, lmic_raw_ub[#Headers],0))=0, INDEX(regions_ub[], MATCH($D311, regions_ub[[setting]:[setting]],0), MATCH(T$139, regions_ub[#Headers],0)),INDEX(lmic_raw_ub[],MATCH($A311,lmic_raw_ub[[setting]:[setting]],0), MATCH(T$277, lmic_raw_ub[#Headers],0)))</f>
        <v>141.35719500000002</v>
      </c>
      <c r="U311" s="84">
        <f>IF(INDEX(lmic_raw_ub[],MATCH($A311,lmic_raw_ub[[setting]:[setting]],0), MATCH(U$277, lmic_raw_ub[#Headers],0))=0, INDEX(regions_ub[], MATCH($D311, regions_ub[[setting]:[setting]],0), MATCH(U$139, regions_ub[#Headers],0)),INDEX(lmic_raw_ub[],MATCH($A311,lmic_raw_ub[[setting]:[setting]],0), MATCH(U$277, lmic_raw_ub[#Headers],0)))</f>
        <v>141.35719500000002</v>
      </c>
      <c r="V311" s="84">
        <f>IF(INDEX(lmic_raw_ub[],MATCH($A311,lmic_raw_ub[[setting]:[setting]],0), MATCH(V$277, lmic_raw_ub[#Headers],0))=0, INDEX(regions_ub[], MATCH($D311, regions_ub[[setting]:[setting]],0), MATCH(V$139, regions_ub[#Headers],0)),INDEX(lmic_raw_ub[],MATCH($A311,lmic_raw_ub[[setting]:[setting]],0), MATCH(V$277, lmic_raw_ub[#Headers],0)))</f>
        <v>38.30525780982223</v>
      </c>
      <c r="W311" s="84">
        <f>IF(INDEX(lmic_raw_ub[],MATCH($A311,lmic_raw_ub[[setting]:[setting]],0), MATCH(W$277, lmic_raw_ub[#Headers],0))=0, INDEX(regions_ub[], MATCH($D311, regions_ub[[setting]:[setting]],0), MATCH(W$139, regions_ub[#Headers],0)),INDEX(lmic_raw_ub[],MATCH($A311,lmic_raw_ub[[setting]:[setting]],0), MATCH(W$277, lmic_raw_ub[#Headers],0)))</f>
        <v>38.328147809822227</v>
      </c>
      <c r="X311" s="84">
        <f>IF(INDEX(lmic_raw_ub[],MATCH($A311,lmic_raw_ub[[setting]:[setting]],0), MATCH(X$277, lmic_raw_ub[#Headers],0))=0, INDEX(regions_ub[], MATCH($D311, regions_ub[[setting]:[setting]],0), MATCH(X$139, regions_ub[#Headers],0)),INDEX(lmic_raw_ub[],MATCH($A311,lmic_raw_ub[[setting]:[setting]],0), MATCH(X$277, lmic_raw_ub[#Headers],0)))</f>
        <v>37.775524864206986</v>
      </c>
      <c r="Y311" s="84">
        <f>IF(INDEX(lmic_raw_ub[],MATCH($A311,lmic_raw_ub[[setting]:[setting]],0), MATCH(Y$277, lmic_raw_ub[#Headers],0))=0, INDEX(regions_ub[], MATCH($D311, regions_ub[[setting]:[setting]],0), MATCH(Y$139, regions_ub[#Headers],0)),INDEX(lmic_raw_ub[],MATCH($A311,lmic_raw_ub[[setting]:[setting]],0), MATCH(Y$277, lmic_raw_ub[#Headers],0)))</f>
        <v>37.798414864206983</v>
      </c>
      <c r="Z311" s="84">
        <f>IF(INDEX(lmic_raw_ub[],MATCH($A311,lmic_raw_ub[[setting]:[setting]],0), MATCH(Z$277, lmic_raw_ub[#Headers],0))=0, INDEX(regions_ub[], MATCH($D311, regions_ub[[setting]:[setting]],0), MATCH(Z$139, regions_ub[#Headers],0)),INDEX(lmic_raw_ub[],MATCH($A311,lmic_raw_ub[[setting]:[setting]],0), MATCH(Z$277, lmic_raw_ub[#Headers],0)))</f>
        <v>37.774032404523112</v>
      </c>
      <c r="AA311" s="84">
        <f>IF(INDEX(lmic_raw_ub[],MATCH($A311,lmic_raw_ub[[setting]:[setting]],0), MATCH(AA$277, lmic_raw_ub[#Headers],0))=0, INDEX(regions_ub[], MATCH($D311, regions_ub[[setting]:[setting]],0), MATCH(AA$139, regions_ub[#Headers],0)),INDEX(lmic_raw_ub[],MATCH($A311,lmic_raw_ub[[setting]:[setting]],0), MATCH(AA$277, lmic_raw_ub[#Headers],0)))</f>
        <v>38.581578383384731</v>
      </c>
      <c r="AB311" s="84">
        <f>IF(INDEX(lmic_raw_ub[],MATCH($A311,lmic_raw_ub[[setting]:[setting]],0), MATCH(AB$277, lmic_raw_ub[#Headers],0))=0, INDEX(regions_ub[], MATCH($D311, regions_ub[[setting]:[setting]],0), MATCH(AB$139, regions_ub[#Headers],0)),INDEX(lmic_raw_ub[],MATCH($A311,lmic_raw_ub[[setting]:[setting]],0), MATCH(AB$277, lmic_raw_ub[#Headers],0)))</f>
        <v>38.604468383384727</v>
      </c>
      <c r="AC311" s="84">
        <f>IF(INDEX(lmic_raw_ub[],MATCH($A311,lmic_raw_ub[[setting]:[setting]],0), MATCH(AC$277, lmic_raw_ub[#Headers],0))=0, INDEX(regions_ub[], MATCH($D311, regions_ub[[setting]:[setting]],0), MATCH(AC$139, regions_ub[#Headers],0)),INDEX(lmic_raw_ub[],MATCH($A311,lmic_raw_ub[[setting]:[setting]],0), MATCH(AC$277, lmic_raw_ub[#Headers],0)))</f>
        <v>1.5068846118737734E-2</v>
      </c>
      <c r="AD311" s="84">
        <f>IF(INDEX(lmic_raw_ub[],MATCH($A311,lmic_raw_ub[[setting]:[setting]],0), MATCH(AD$277, lmic_raw_ub[#Headers],0))=0, INDEX(regions_ub[], MATCH($D311, regions_ub[[setting]:[setting]],0), MATCH(AD$139, regions_ub[#Headers],0)),INDEX(lmic_raw_ub[],MATCH($A311,lmic_raw_ub[[setting]:[setting]],0), MATCH(AD$277, lmic_raw_ub[#Headers],0)))</f>
        <v>7.4825058325918032E-4</v>
      </c>
      <c r="AE311" s="84">
        <f>IF(INDEX(lmic_raw_ub[],MATCH($A311,lmic_raw_ub[[setting]:[setting]],0), MATCH(AE$277, lmic_raw_ub[#Headers],0))=0, INDEX(regions_ub[], MATCH($D311, regions_ub[[setting]:[setting]],0), MATCH(AE$139, regions_ub[#Headers],0)),INDEX(lmic_raw_ub[],MATCH($A311,lmic_raw_ub[[setting]:[setting]],0), MATCH(AE$277, lmic_raw_ub[#Headers],0)))</f>
        <v>3.1794098768524214E-4</v>
      </c>
      <c r="AF311" s="84">
        <f>IF(INDEX(lmic_raw_ub[],MATCH($A311,lmic_raw_ub[[setting]:[setting]],0), MATCH(AF$277, lmic_raw_ub[#Headers],0))=0, INDEX(regions_ub[], MATCH($D311, regions_ub[[setting]:[setting]],0), MATCH(AF$139, regions_ub[#Headers],0)),INDEX(lmic_raw_ub[],MATCH($A311,lmic_raw_ub[[setting]:[setting]],0), MATCH(AF$277, lmic_raw_ub[#Headers],0)))</f>
        <v>3.6836687936309202E-4</v>
      </c>
      <c r="AG311" s="84">
        <f>IF(INDEX(lmic_raw_ub[],MATCH($A311,lmic_raw_ub[[setting]:[setting]],0), MATCH(AG$277, lmic_raw_ub[#Headers],0))=0, INDEX(regions_ub[], MATCH($D311, regions_ub[[setting]:[setting]],0), MATCH(AG$139, regions_ub[#Headers],0)),INDEX(lmic_raw_ub[],MATCH($A311,lmic_raw_ub[[setting]:[setting]],0), MATCH(AG$277, lmic_raw_ub[#Headers],0)))</f>
        <v>1.0647071490621038E-3</v>
      </c>
      <c r="AH311" s="84">
        <f>IF(INDEX(lmic_raw_ub[],MATCH($A311,lmic_raw_ub[[setting]:[setting]],0), MATCH(AH$277, lmic_raw_ub[#Headers],0))=0, INDEX(regions_ub[], MATCH($D311, regions_ub[[setting]:[setting]],0), MATCH(AH$139, regions_ub[#Headers],0)),INDEX(lmic_raw_ub[],MATCH($A311,lmic_raw_ub[[setting]:[setting]],0), MATCH(AH$277, lmic_raw_ub[#Headers],0)))</f>
        <v>1.6743145334687961E-3</v>
      </c>
      <c r="AI311" s="84">
        <f>IF(INDEX(lmic_raw_ub[],MATCH($A311,lmic_raw_ub[[setting]:[setting]],0), MATCH(AI$277, lmic_raw_ub[#Headers],0))=0, INDEX(regions_ub[], MATCH($D311, regions_ub[[setting]:[setting]],0), MATCH(AI$139, regions_ub[#Headers],0)),INDEX(lmic_raw_ub[],MATCH($A311,lmic_raw_ub[[setting]:[setting]],0), MATCH(AI$277, lmic_raw_ub[#Headers],0)))</f>
        <v>1.7784293848844546E-3</v>
      </c>
      <c r="AJ311" s="84">
        <f>IF(INDEX(lmic_raw_ub[],MATCH($A311,lmic_raw_ub[[setting]:[setting]],0), MATCH(AJ$277, lmic_raw_ub[#Headers],0))=0, INDEX(regions_ub[], MATCH($D311, regions_ub[[setting]:[setting]],0), MATCH(AJ$139, regions_ub[#Headers],0)),INDEX(lmic_raw_ub[],MATCH($A311,lmic_raw_ub[[setting]:[setting]],0), MATCH(AJ$277, lmic_raw_ub[#Headers],0)))</f>
        <v>1.9712364760497243E-3</v>
      </c>
      <c r="AK311" s="84">
        <f>IF(INDEX(lmic_raw_ub[],MATCH($A311,lmic_raw_ub[[setting]:[setting]],0), MATCH(AK$277, lmic_raw_ub[#Headers],0))=0, INDEX(regions_ub[], MATCH($D311, regions_ub[[setting]:[setting]],0), MATCH(AK$139, regions_ub[#Headers],0)),INDEX(lmic_raw_ub[],MATCH($A311,lmic_raw_ub[[setting]:[setting]],0), MATCH(AK$277, lmic_raw_ub[#Headers],0)))</f>
        <v>2.3134804631402685E-3</v>
      </c>
      <c r="AL311" s="84">
        <f>IF(INDEX(lmic_raw_ub[],MATCH($A311,lmic_raw_ub[[setting]:[setting]],0), MATCH(AL$277, lmic_raw_ub[#Headers],0))=0, INDEX(regions_ub[], MATCH($D311, regions_ub[[setting]:[setting]],0), MATCH(AL$139, regions_ub[#Headers],0)),INDEX(lmic_raw_ub[],MATCH($A311,lmic_raw_ub[[setting]:[setting]],0), MATCH(AL$277, lmic_raw_ub[#Headers],0)))</f>
        <v>2.910360932958404E-3</v>
      </c>
      <c r="AM311" s="84">
        <f>IF(INDEX(lmic_raw_ub[],MATCH($A311,lmic_raw_ub[[setting]:[setting]],0), MATCH(AM$277, lmic_raw_ub[#Headers],0))=0, INDEX(regions_ub[], MATCH($D311, regions_ub[[setting]:[setting]],0), MATCH(AM$139, regions_ub[#Headers],0)),INDEX(lmic_raw_ub[],MATCH($A311,lmic_raw_ub[[setting]:[setting]],0), MATCH(AM$277, lmic_raw_ub[#Headers],0)))</f>
        <v>4.0537598151164957E-3</v>
      </c>
      <c r="AN311" s="84">
        <f>IF(INDEX(lmic_raw_ub[],MATCH($A311,lmic_raw_ub[[setting]:[setting]],0), MATCH(AN$277, lmic_raw_ub[#Headers],0))=0, INDEX(regions_ub[], MATCH($D311, regions_ub[[setting]:[setting]],0), MATCH(AN$139, regions_ub[#Headers],0)),INDEX(lmic_raw_ub[],MATCH($A311,lmic_raw_ub[[setting]:[setting]],0), MATCH(AN$277, lmic_raw_ub[#Headers],0)))</f>
        <v>5.8675865590534599E-3</v>
      </c>
      <c r="AO311" s="84">
        <f>IF(INDEX(lmic_raw_ub[],MATCH($A311,lmic_raw_ub[[setting]:[setting]],0), MATCH(AO$277, lmic_raw_ub[#Headers],0))=0, INDEX(regions_ub[], MATCH($D311, regions_ub[[setting]:[setting]],0), MATCH(AO$139, regions_ub[#Headers],0)),INDEX(lmic_raw_ub[],MATCH($A311,lmic_raw_ub[[setting]:[setting]],0), MATCH(AO$277, lmic_raw_ub[#Headers],0)))</f>
        <v>8.5048493653677344E-3</v>
      </c>
      <c r="AP311" s="84">
        <f>IF(INDEX(lmic_raw_ub[],MATCH($A311,lmic_raw_ub[[setting]:[setting]],0), MATCH(AP$277, lmic_raw_ub[#Headers],0))=0, INDEX(regions_ub[], MATCH($D311, regions_ub[[setting]:[setting]],0), MATCH(AP$139, regions_ub[#Headers],0)),INDEX(lmic_raw_ub[],MATCH($A311,lmic_raw_ub[[setting]:[setting]],0), MATCH(AP$277, lmic_raw_ub[#Headers],0)))</f>
        <v>1.2721742582618999E-2</v>
      </c>
      <c r="AQ311" s="84">
        <f>IF(INDEX(lmic_raw_ub[],MATCH($A311,lmic_raw_ub[[setting]:[setting]],0), MATCH(AQ$277, lmic_raw_ub[#Headers],0))=0, INDEX(regions_ub[], MATCH($D311, regions_ub[[setting]:[setting]],0), MATCH(AQ$139, regions_ub[#Headers],0)),INDEX(lmic_raw_ub[],MATCH($A311,lmic_raw_ub[[setting]:[setting]],0), MATCH(AQ$277, lmic_raw_ub[#Headers],0)))</f>
        <v>1.9012060484279232E-2</v>
      </c>
      <c r="AR311" s="84">
        <f>IF(INDEX(lmic_raw_ub[],MATCH($A311,lmic_raw_ub[[setting]:[setting]],0), MATCH(AR$277, lmic_raw_ub[#Headers],0))=0, INDEX(regions_ub[], MATCH($D311, regions_ub[[setting]:[setting]],0), MATCH(AR$139, regions_ub[#Headers],0)),INDEX(lmic_raw_ub[],MATCH($A311,lmic_raw_ub[[setting]:[setting]],0), MATCH(AR$277, lmic_raw_ub[#Headers],0)))</f>
        <v>2.8031586348683368E-2</v>
      </c>
      <c r="AS311" s="84">
        <f>IF(INDEX(lmic_raw_ub[],MATCH($A311,lmic_raw_ub[[setting]:[setting]],0), MATCH(AS$277, lmic_raw_ub[#Headers],0))=0, INDEX(regions_ub[], MATCH($D311, regions_ub[[setting]:[setting]],0), MATCH(AS$139, regions_ub[#Headers],0)),INDEX(lmic_raw_ub[],MATCH($A311,lmic_raw_ub[[setting]:[setting]],0), MATCH(AS$277, lmic_raw_ub[#Headers],0)))</f>
        <v>4.2354929260592977E-2</v>
      </c>
      <c r="AT311" s="84">
        <f>IF(INDEX(lmic_raw_ub[],MATCH($A311,lmic_raw_ub[[setting]:[setting]],0), MATCH(AT$277, lmic_raw_ub[#Headers],0))=0, INDEX(regions_ub[], MATCH($D311, regions_ub[[setting]:[setting]],0), MATCH(AT$139, regions_ub[#Headers],0)),INDEX(lmic_raw_ub[],MATCH($A311,lmic_raw_ub[[setting]:[setting]],0), MATCH(AT$277, lmic_raw_ub[#Headers],0)))</f>
        <v>6.2846627899033905E-2</v>
      </c>
      <c r="AU311" s="84">
        <f>IF(INDEX(lmic_raw_ub[],MATCH($A311,lmic_raw_ub[[setting]:[setting]],0), MATCH(AU$277, lmic_raw_ub[#Headers],0))=0, INDEX(regions_ub[], MATCH($D311, regions_ub[[setting]:[setting]],0), MATCH(AU$139, regions_ub[#Headers],0)),INDEX(lmic_raw_ub[],MATCH($A311,lmic_raw_ub[[setting]:[setting]],0), MATCH(AU$277, lmic_raw_ub[#Headers],0)))</f>
        <v>9.0568433890057462E-2</v>
      </c>
      <c r="AV311" s="84">
        <f>IF(INDEX(lmic_raw_ub[],MATCH($A311,lmic_raw_ub[[setting]:[setting]],0), MATCH(AV$277, lmic_raw_ub[#Headers],0))=0, INDEX(regions_ub[], MATCH($D311, regions_ub[[setting]:[setting]],0), MATCH(AV$139, regions_ub[#Headers],0)),INDEX(lmic_raw_ub[],MATCH($A311,lmic_raw_ub[[setting]:[setting]],0), MATCH(AV$277, lmic_raw_ub[#Headers],0)))</f>
        <v>0.11803610691676426</v>
      </c>
      <c r="AW311" s="84">
        <f>IF(INDEX(lmic_raw_ub[],MATCH($A311,lmic_raw_ub[[setting]:[setting]],0), MATCH(AW$277, lmic_raw_ub[#Headers],0))=0, INDEX(regions_ub[], MATCH($D311, regions_ub[[setting]:[setting]],0), MATCH(AW$139, regions_ub[#Headers],0)),INDEX(lmic_raw_ub[],MATCH($A311,lmic_raw_ub[[setting]:[setting]],0), MATCH(AW$277, lmic_raw_ub[#Headers],0)))</f>
        <v>0.15197426146039272</v>
      </c>
      <c r="AX311" s="84">
        <f>IF(INDEX(lmic_raw_ub[],MATCH($A311,lmic_raw_ub[[setting]:[setting]],0), MATCH(AX$277, lmic_raw_ub[#Headers],0))=0, INDEX(regions_ub[], MATCH($D311, regions_ub[[setting]:[setting]],0), MATCH(AX$139, regions_ub[#Headers],0)),INDEX(lmic_raw_ub[],MATCH($A311,lmic_raw_ub[[setting]:[setting]],0), MATCH(AX$277, lmic_raw_ub[#Headers],0)))</f>
        <v>79.342182667842025</v>
      </c>
      <c r="AY311" s="33" t="str">
        <f>IF(VLOOKUP(lmics_ub[[#This Row],[setting]],lmic_raw_ub[],11,FALSE)=0, "Yes", "No")</f>
        <v>No</v>
      </c>
    </row>
    <row r="312" spans="1:51" x14ac:dyDescent="0.25">
      <c r="A312" s="109" t="s">
        <v>614</v>
      </c>
      <c r="B312" s="101" t="s">
        <v>415</v>
      </c>
      <c r="C312" s="102">
        <v>214</v>
      </c>
      <c r="D312" s="82" t="s">
        <v>679</v>
      </c>
      <c r="E312" s="82" t="s">
        <v>223</v>
      </c>
      <c r="F312" s="82" t="s">
        <v>665</v>
      </c>
      <c r="G312" s="82" t="s">
        <v>676</v>
      </c>
      <c r="J312" s="84">
        <f>IF(INDEX(lmic_raw_ub[],MATCH($A312,lmic_raw_ub[[setting]:[setting]],0), MATCH(J$277, lmic_raw_ub[#Headers],0))=0, INDEX(regions_ub[], MATCH($D312, regions_ub[[setting]:[setting]],0), MATCH(J$139, regions_ub[#Headers],0)),INDEX(lmic_raw_ub[],MATCH($A312,lmic_raw_ub[[setting]:[setting]],0), MATCH(J$277, lmic_raw_ub[#Headers],0)))</f>
        <v>0.99990000000000001</v>
      </c>
      <c r="K312" s="84">
        <f>IF(INDEX(lmic_raw_ub[],MATCH($A312,lmic_raw_ub[[setting]:[setting]],0), MATCH(K$277, lmic_raw_ub[#Headers],0))=0, INDEX(regions_ub[], MATCH($D312, regions_ub[[setting]:[setting]],0), MATCH(K$139, regions_ub[#Headers],0)),INDEX(lmic_raw_ub[],MATCH($A312,lmic_raw_ub[[setting]:[setting]],0), MATCH(K$277, lmic_raw_ub[#Headers],0)))</f>
        <v>0.69300000000000006</v>
      </c>
      <c r="L312" s="84">
        <f>IF(INDEX(lmic_raw_ub[],MATCH($A312,lmic_raw_ub[[setting]:[setting]],0), MATCH(L$277, lmic_raw_ub[#Headers],0))=0, INDEX(regions_ub[], MATCH($D312, regions_ub[[setting]:[setting]],0), MATCH(L$139, regions_ub[#Headers],0)),INDEX(lmic_raw_ub[],MATCH($A312,lmic_raw_ub[[setting]:[setting]],0), MATCH(L$277, lmic_raw_ub[#Headers],0)))</f>
        <v>0.91349999999999998</v>
      </c>
      <c r="M312" s="84">
        <f>IF(INDEX(lmic_raw_ub[],MATCH($A312,lmic_raw_ub[[setting]:[setting]],0), MATCH(M$277, lmic_raw_ub[#Headers],0))=0, INDEX(regions_ub[], MATCH($D312, regions_ub[[setting]:[setting]],0), MATCH(M$139, regions_ub[#Headers],0)),INDEX(lmic_raw_ub[],MATCH($A312,lmic_raw_ub[[setting]:[setting]],0), MATCH(M$277, lmic_raw_ub[#Headers],0)))</f>
        <v>0.13350000000000001</v>
      </c>
      <c r="N312" s="84">
        <f>IF(INDEX(lmic_raw_ub[],MATCH($A312,lmic_raw_ub[[setting]:[setting]],0), MATCH(N$277, lmic_raw_ub[#Headers],0))=0, INDEX(regions_ub[], MATCH($D312, regions_ub[[setting]:[setting]],0), MATCH(N$139, regions_ub[#Headers],0)),INDEX(lmic_raw_ub[],MATCH($A312,lmic_raw_ub[[setting]:[setting]],0), MATCH(N$277, lmic_raw_ub[#Headers],0)))</f>
        <v>0.43</v>
      </c>
      <c r="O312" s="84">
        <f>IF(INDEX(lmic_raw_ub[],MATCH($A312,lmic_raw_ub[[setting]:[setting]],0), MATCH(O$277, lmic_raw_ub[#Headers],0))=0, INDEX(regions_ub[], MATCH($D312, regions_ub[[setting]:[setting]],0), MATCH(O$139, regions_ub[#Headers],0)),INDEX(lmic_raw_ub[],MATCH($A312,lmic_raw_ub[[setting]:[setting]],0), MATCH(O$277, lmic_raw_ub[#Headers],0)))</f>
        <v>0.9</v>
      </c>
      <c r="P312" s="84">
        <f>IF(INDEX(lmic_raw_ub[],MATCH($A312,lmic_raw_ub[[setting]:[setting]],0), MATCH(P$277, lmic_raw_ub[#Headers],0))=0, INDEX(regions_ub[], MATCH($D312, regions_ub[[setting]:[setting]],0), MATCH(P$139, regions_ub[#Headers],0)),INDEX(lmic_raw_ub[],MATCH($A312,lmic_raw_ub[[setting]:[setting]],0), MATCH(P$277, lmic_raw_ub[#Headers],0)))</f>
        <v>0.3</v>
      </c>
      <c r="Q312" s="84">
        <f>IF(INDEX(lmic_raw_ub[],MATCH($A312,lmic_raw_ub[[setting]:[setting]],0), MATCH(Q$277, lmic_raw_ub[#Headers],0))=0, INDEX(regions_ub[], MATCH($D312, regions_ub[[setting]:[setting]],0), MATCH(Q$139, regions_ub[#Headers],0)),INDEX(lmic_raw_ub[],MATCH($A312,lmic_raw_ub[[setting]:[setting]],0), MATCH(Q$277, lmic_raw_ub[#Headers],0)))</f>
        <v>9.9820414791038523</v>
      </c>
      <c r="R312" s="84">
        <f>IF(INDEX(lmic_raw_ub[],MATCH($A312,lmic_raw_ub[[setting]:[setting]],0), MATCH(R$277, lmic_raw_ub[#Headers],0))=0, INDEX(regions_ub[], MATCH($D312, regions_ub[[setting]:[setting]],0), MATCH(R$139, regions_ub[#Headers],0)),INDEX(lmic_raw_ub[],MATCH($A312,lmic_raw_ub[[setting]:[setting]],0), MATCH(R$277, lmic_raw_ub[#Headers],0)))</f>
        <v>91.228094999999996</v>
      </c>
      <c r="S312" s="84">
        <f>IF(INDEX(lmic_raw_ub[],MATCH($A312,lmic_raw_ub[[setting]:[setting]],0), MATCH(S$277, lmic_raw_ub[#Headers],0))=0, INDEX(regions_ub[], MATCH($D312, regions_ub[[setting]:[setting]],0), MATCH(S$139, regions_ub[#Headers],0)),INDEX(lmic_raw_ub[],MATCH($A312,lmic_raw_ub[[setting]:[setting]],0), MATCH(S$277, lmic_raw_ub[#Headers],0)))</f>
        <v>141.35719500000002</v>
      </c>
      <c r="T312" s="84">
        <f>IF(INDEX(lmic_raw_ub[],MATCH($A312,lmic_raw_ub[[setting]:[setting]],0), MATCH(T$277, lmic_raw_ub[#Headers],0))=0, INDEX(regions_ub[], MATCH($D312, regions_ub[[setting]:[setting]],0), MATCH(T$139, regions_ub[#Headers],0)),INDEX(lmic_raw_ub[],MATCH($A312,lmic_raw_ub[[setting]:[setting]],0), MATCH(T$277, lmic_raw_ub[#Headers],0)))</f>
        <v>141.35719500000002</v>
      </c>
      <c r="U312" s="84">
        <f>IF(INDEX(lmic_raw_ub[],MATCH($A312,lmic_raw_ub[[setting]:[setting]],0), MATCH(U$277, lmic_raw_ub[#Headers],0))=0, INDEX(regions_ub[], MATCH($D312, regions_ub[[setting]:[setting]],0), MATCH(U$139, regions_ub[#Headers],0)),INDEX(lmic_raw_ub[],MATCH($A312,lmic_raw_ub[[setting]:[setting]],0), MATCH(U$277, lmic_raw_ub[#Headers],0)))</f>
        <v>141.35719500000002</v>
      </c>
      <c r="V312" s="84">
        <f>IF(INDEX(lmic_raw_ub[],MATCH($A312,lmic_raw_ub[[setting]:[setting]],0), MATCH(V$277, lmic_raw_ub[#Headers],0))=0, INDEX(regions_ub[], MATCH($D312, regions_ub[[setting]:[setting]],0), MATCH(V$139, regions_ub[#Headers],0)),INDEX(lmic_raw_ub[],MATCH($A312,lmic_raw_ub[[setting]:[setting]],0), MATCH(V$277, lmic_raw_ub[#Headers],0)))</f>
        <v>10.403193917290986</v>
      </c>
      <c r="W312" s="84">
        <f>IF(INDEX(lmic_raw_ub[],MATCH($A312,lmic_raw_ub[[setting]:[setting]],0), MATCH(W$277, lmic_raw_ub[#Headers],0))=0, INDEX(regions_ub[], MATCH($D312, regions_ub[[setting]:[setting]],0), MATCH(W$139, regions_ub[#Headers],0)),INDEX(lmic_raw_ub[],MATCH($A312,lmic_raw_ub[[setting]:[setting]],0), MATCH(W$277, lmic_raw_ub[#Headers],0)))</f>
        <v>10.426083917290986</v>
      </c>
      <c r="X312" s="84">
        <f>IF(INDEX(lmic_raw_ub[],MATCH($A312,lmic_raw_ub[[setting]:[setting]],0), MATCH(X$277, lmic_raw_ub[#Headers],0))=0, INDEX(regions_ub[], MATCH($D312, regions_ub[[setting]:[setting]],0), MATCH(X$139, regions_ub[#Headers],0)),INDEX(lmic_raw_ub[],MATCH($A312,lmic_raw_ub[[setting]:[setting]],0), MATCH(X$277, lmic_raw_ub[#Headers],0)))</f>
        <v>9.8685502677710399</v>
      </c>
      <c r="Y312" s="84">
        <f>IF(INDEX(lmic_raw_ub[],MATCH($A312,lmic_raw_ub[[setting]:[setting]],0), MATCH(Y$277, lmic_raw_ub[#Headers],0))=0, INDEX(regions_ub[], MATCH($D312, regions_ub[[setting]:[setting]],0), MATCH(Y$139, regions_ub[#Headers],0)),INDEX(lmic_raw_ub[],MATCH($A312,lmic_raw_ub[[setting]:[setting]],0), MATCH(Y$277, lmic_raw_ub[#Headers],0)))</f>
        <v>9.8914402677710402</v>
      </c>
      <c r="Z312" s="84">
        <f>IF(INDEX(lmic_raw_ub[],MATCH($A312,lmic_raw_ub[[setting]:[setting]],0), MATCH(Z$277, lmic_raw_ub[#Headers],0))=0, INDEX(regions_ub[], MATCH($D312, regions_ub[[setting]:[setting]],0), MATCH(Z$139, regions_ub[#Headers],0)),INDEX(lmic_raw_ub[],MATCH($A312,lmic_raw_ub[[setting]:[setting]],0), MATCH(Z$277, lmic_raw_ub[#Headers],0)))</f>
        <v>9.8617207137875287</v>
      </c>
      <c r="AA312" s="84">
        <f>IF(INDEX(lmic_raw_ub[],MATCH($A312,lmic_raw_ub[[setting]:[setting]],0), MATCH(AA$277, lmic_raw_ub[#Headers],0))=0, INDEX(regions_ub[], MATCH($D312, regions_ub[[setting]:[setting]],0), MATCH(AA$139, regions_ub[#Headers],0)),INDEX(lmic_raw_ub[],MATCH($A312,lmic_raw_ub[[setting]:[setting]],0), MATCH(AA$277, lmic_raw_ub[#Headers],0)))</f>
        <v>10.680629190512841</v>
      </c>
      <c r="AB312" s="84">
        <f>IF(INDEX(lmic_raw_ub[],MATCH($A312,lmic_raw_ub[[setting]:[setting]],0), MATCH(AB$277, lmic_raw_ub[#Headers],0))=0, INDEX(regions_ub[], MATCH($D312, regions_ub[[setting]:[setting]],0), MATCH(AB$139, regions_ub[#Headers],0)),INDEX(lmic_raw_ub[],MATCH($A312,lmic_raw_ub[[setting]:[setting]],0), MATCH(AB$277, lmic_raw_ub[#Headers],0)))</f>
        <v>10.703519190512841</v>
      </c>
      <c r="AC312" s="84">
        <f>IF(INDEX(lmic_raw_ub[],MATCH($A312,lmic_raw_ub[[setting]:[setting]],0), MATCH(AC$277, lmic_raw_ub[#Headers],0))=0, INDEX(regions_ub[], MATCH($D312, regions_ub[[setting]:[setting]],0), MATCH(AC$139, regions_ub[#Headers],0)),INDEX(lmic_raw_ub[],MATCH($A312,lmic_raw_ub[[setting]:[setting]],0), MATCH(AC$277, lmic_raw_ub[#Headers],0)))</f>
        <v>2.7156286499999946E-2</v>
      </c>
      <c r="AD312" s="84">
        <f>IF(INDEX(lmic_raw_ub[],MATCH($A312,lmic_raw_ub[[setting]:[setting]],0), MATCH(AD$277, lmic_raw_ub[#Headers],0))=0, INDEX(regions_ub[], MATCH($D312, regions_ub[[setting]:[setting]],0), MATCH(AD$139, regions_ub[#Headers],0)),INDEX(lmic_raw_ub[],MATCH($A312,lmic_raw_ub[[setting]:[setting]],0), MATCH(AD$277, lmic_raw_ub[#Headers],0)))</f>
        <v>8.1225328736405158E-4</v>
      </c>
      <c r="AE312" s="84">
        <f>IF(INDEX(lmic_raw_ub[],MATCH($A312,lmic_raw_ub[[setting]:[setting]],0), MATCH(AE$277, lmic_raw_ub[#Headers],0))=0, INDEX(regions_ub[], MATCH($D312, regions_ub[[setting]:[setting]],0), MATCH(AE$139, regions_ub[#Headers],0)),INDEX(lmic_raw_ub[],MATCH($A312,lmic_raw_ub[[setting]:[setting]],0), MATCH(AE$277, lmic_raw_ub[#Headers],0)))</f>
        <v>3.9047067795557028E-4</v>
      </c>
      <c r="AF312" s="84">
        <f>IF(INDEX(lmic_raw_ub[],MATCH($A312,lmic_raw_ub[[setting]:[setting]],0), MATCH(AF$277, lmic_raw_ub[#Headers],0))=0, INDEX(regions_ub[], MATCH($D312, regions_ub[[setting]:[setting]],0), MATCH(AF$139, regions_ub[#Headers],0)),INDEX(lmic_raw_ub[],MATCH($A312,lmic_raw_ub[[setting]:[setting]],0), MATCH(AF$277, lmic_raw_ub[#Headers],0)))</f>
        <v>3.9130638915606318E-4</v>
      </c>
      <c r="AG312" s="84">
        <f>IF(INDEX(lmic_raw_ub[],MATCH($A312,lmic_raw_ub[[setting]:[setting]],0), MATCH(AG$277, lmic_raw_ub[#Headers],0))=0, INDEX(regions_ub[], MATCH($D312, regions_ub[[setting]:[setting]],0), MATCH(AG$139, regions_ub[#Headers],0)),INDEX(lmic_raw_ub[],MATCH($A312,lmic_raw_ub[[setting]:[setting]],0), MATCH(AG$277, lmic_raw_ub[#Headers],0)))</f>
        <v>9.8608178729017227E-4</v>
      </c>
      <c r="AH312" s="84">
        <f>IF(INDEX(lmic_raw_ub[],MATCH($A312,lmic_raw_ub[[setting]:[setting]],0), MATCH(AH$277, lmic_raw_ub[#Headers],0))=0, INDEX(regions_ub[], MATCH($D312, regions_ub[[setting]:[setting]],0), MATCH(AH$139, regions_ub[#Headers],0)),INDEX(lmic_raw_ub[],MATCH($A312,lmic_raw_ub[[setting]:[setting]],0), MATCH(AH$277, lmic_raw_ub[#Headers],0)))</f>
        <v>1.7425678837705554E-3</v>
      </c>
      <c r="AI312" s="84">
        <f>IF(INDEX(lmic_raw_ub[],MATCH($A312,lmic_raw_ub[[setting]:[setting]],0), MATCH(AI$277, lmic_raw_ub[#Headers],0))=0, INDEX(regions_ub[], MATCH($D312, regions_ub[[setting]:[setting]],0), MATCH(AI$139, regions_ub[#Headers],0)),INDEX(lmic_raw_ub[],MATCH($A312,lmic_raw_ub[[setting]:[setting]],0), MATCH(AI$277, lmic_raw_ub[#Headers],0)))</f>
        <v>2.2040437623105005E-3</v>
      </c>
      <c r="AJ312" s="84">
        <f>IF(INDEX(lmic_raw_ub[],MATCH($A312,lmic_raw_ub[[setting]:[setting]],0), MATCH(AJ$277, lmic_raw_ub[#Headers],0))=0, INDEX(regions_ub[], MATCH($D312, regions_ub[[setting]:[setting]],0), MATCH(AJ$139, regions_ub[#Headers],0)),INDEX(lmic_raw_ub[],MATCH($A312,lmic_raw_ub[[setting]:[setting]],0), MATCH(AJ$277, lmic_raw_ub[#Headers],0)))</f>
        <v>2.6871705481480174E-3</v>
      </c>
      <c r="AK312" s="84">
        <f>IF(INDEX(lmic_raw_ub[],MATCH($A312,lmic_raw_ub[[setting]:[setting]],0), MATCH(AK$277, lmic_raw_ub[#Headers],0))=0, INDEX(regions_ub[], MATCH($D312, regions_ub[[setting]:[setting]],0), MATCH(AK$139, regions_ub[#Headers],0)),INDEX(lmic_raw_ub[],MATCH($A312,lmic_raw_ub[[setting]:[setting]],0), MATCH(AK$277, lmic_raw_ub[#Headers],0)))</f>
        <v>2.9847787520991226E-3</v>
      </c>
      <c r="AL312" s="84">
        <f>IF(INDEX(lmic_raw_ub[],MATCH($A312,lmic_raw_ub[[setting]:[setting]],0), MATCH(AL$277, lmic_raw_ub[#Headers],0))=0, INDEX(regions_ub[], MATCH($D312, regions_ub[[setting]:[setting]],0), MATCH(AL$139, regions_ub[#Headers],0)),INDEX(lmic_raw_ub[],MATCH($A312,lmic_raw_ub[[setting]:[setting]],0), MATCH(AL$277, lmic_raw_ub[#Headers],0)))</f>
        <v>3.7500411862322162E-3</v>
      </c>
      <c r="AM312" s="84">
        <f>IF(INDEX(lmic_raw_ub[],MATCH($A312,lmic_raw_ub[[setting]:[setting]],0), MATCH(AM$277, lmic_raw_ub[#Headers],0))=0, INDEX(regions_ub[], MATCH($D312, regions_ub[[setting]:[setting]],0), MATCH(AM$139, regions_ub[#Headers],0)),INDEX(lmic_raw_ub[],MATCH($A312,lmic_raw_ub[[setting]:[setting]],0), MATCH(AM$277, lmic_raw_ub[#Headers],0)))</f>
        <v>5.0038463465409914E-3</v>
      </c>
      <c r="AN312" s="84">
        <f>IF(INDEX(lmic_raw_ub[],MATCH($A312,lmic_raw_ub[[setting]:[setting]],0), MATCH(AN$277, lmic_raw_ub[#Headers],0))=0, INDEX(regions_ub[], MATCH($D312, regions_ub[[setting]:[setting]],0), MATCH(AN$139, regions_ub[#Headers],0)),INDEX(lmic_raw_ub[],MATCH($A312,lmic_raw_ub[[setting]:[setting]],0), MATCH(AN$277, lmic_raw_ub[#Headers],0)))</f>
        <v>6.6241016614006967E-3</v>
      </c>
      <c r="AO312" s="84">
        <f>IF(INDEX(lmic_raw_ub[],MATCH($A312,lmic_raw_ub[[setting]:[setting]],0), MATCH(AO$277, lmic_raw_ub[#Headers],0))=0, INDEX(regions_ub[], MATCH($D312, regions_ub[[setting]:[setting]],0), MATCH(AO$139, regions_ub[#Headers],0)),INDEX(lmic_raw_ub[],MATCH($A312,lmic_raw_ub[[setting]:[setting]],0), MATCH(AO$277, lmic_raw_ub[#Headers],0)))</f>
        <v>9.6066629240124084E-3</v>
      </c>
      <c r="AP312" s="84">
        <f>IF(INDEX(lmic_raw_ub[],MATCH($A312,lmic_raw_ub[[setting]:[setting]],0), MATCH(AP$277, lmic_raw_ub[#Headers],0))=0, INDEX(regions_ub[], MATCH($D312, regions_ub[[setting]:[setting]],0), MATCH(AP$139, regions_ub[#Headers],0)),INDEX(lmic_raw_ub[],MATCH($A312,lmic_raw_ub[[setting]:[setting]],0), MATCH(AP$277, lmic_raw_ub[#Headers],0)))</f>
        <v>1.4171404144453878E-2</v>
      </c>
      <c r="AQ312" s="84">
        <f>IF(INDEX(lmic_raw_ub[],MATCH($A312,lmic_raw_ub[[setting]:[setting]],0), MATCH(AQ$277, lmic_raw_ub[#Headers],0))=0, INDEX(regions_ub[], MATCH($D312, regions_ub[[setting]:[setting]],0), MATCH(AQ$139, regions_ub[#Headers],0)),INDEX(lmic_raw_ub[],MATCH($A312,lmic_raw_ub[[setting]:[setting]],0), MATCH(AQ$277, lmic_raw_ub[#Headers],0)))</f>
        <v>2.0859036833784282E-2</v>
      </c>
      <c r="AR312" s="84">
        <f>IF(INDEX(lmic_raw_ub[],MATCH($A312,lmic_raw_ub[[setting]:[setting]],0), MATCH(AR$277, lmic_raw_ub[#Headers],0))=0, INDEX(regions_ub[], MATCH($D312, regions_ub[[setting]:[setting]],0), MATCH(AR$139, regions_ub[#Headers],0)),INDEX(lmic_raw_ub[],MATCH($A312,lmic_raw_ub[[setting]:[setting]],0), MATCH(AR$277, lmic_raw_ub[#Headers],0)))</f>
        <v>3.0246212685517852E-2</v>
      </c>
      <c r="AS312" s="84">
        <f>IF(INDEX(lmic_raw_ub[],MATCH($A312,lmic_raw_ub[[setting]:[setting]],0), MATCH(AS$277, lmic_raw_ub[#Headers],0))=0, INDEX(regions_ub[], MATCH($D312, regions_ub[[setting]:[setting]],0), MATCH(AS$139, regions_ub[#Headers],0)),INDEX(lmic_raw_ub[],MATCH($A312,lmic_raw_ub[[setting]:[setting]],0), MATCH(AS$277, lmic_raw_ub[#Headers],0)))</f>
        <v>4.3860022794586513E-2</v>
      </c>
      <c r="AT312" s="84">
        <f>IF(INDEX(lmic_raw_ub[],MATCH($A312,lmic_raw_ub[[setting]:[setting]],0), MATCH(AT$277, lmic_raw_ub[#Headers],0))=0, INDEX(regions_ub[], MATCH($D312, regions_ub[[setting]:[setting]],0), MATCH(AT$139, regions_ub[#Headers],0)),INDEX(lmic_raw_ub[],MATCH($A312,lmic_raw_ub[[setting]:[setting]],0), MATCH(AT$277, lmic_raw_ub[#Headers],0)))</f>
        <v>6.0637465725273842E-2</v>
      </c>
      <c r="AU312" s="84">
        <f>IF(INDEX(lmic_raw_ub[],MATCH($A312,lmic_raw_ub[[setting]:[setting]],0), MATCH(AU$277, lmic_raw_ub[#Headers],0))=0, INDEX(regions_ub[], MATCH($D312, regions_ub[[setting]:[setting]],0), MATCH(AU$139, regions_ub[#Headers],0)),INDEX(lmic_raw_ub[],MATCH($A312,lmic_raw_ub[[setting]:[setting]],0), MATCH(AU$277, lmic_raw_ub[#Headers],0)))</f>
        <v>8.0014745456791062E-2</v>
      </c>
      <c r="AV312" s="84">
        <f>IF(INDEX(lmic_raw_ub[],MATCH($A312,lmic_raw_ub[[setting]:[setting]],0), MATCH(AV$277, lmic_raw_ub[#Headers],0))=0, INDEX(regions_ub[], MATCH($D312, regions_ub[[setting]:[setting]],0), MATCH(AV$139, regions_ub[#Headers],0)),INDEX(lmic_raw_ub[],MATCH($A312,lmic_raw_ub[[setting]:[setting]],0), MATCH(AV$277, lmic_raw_ub[#Headers],0)))</f>
        <v>0.10064475645029461</v>
      </c>
      <c r="AW312" s="84">
        <f>IF(INDEX(lmic_raw_ub[],MATCH($A312,lmic_raw_ub[[setting]:[setting]],0), MATCH(AW$277, lmic_raw_ub[#Headers],0))=0, INDEX(regions_ub[], MATCH($D312, regions_ub[[setting]:[setting]],0), MATCH(AW$139, regions_ub[#Headers],0)),INDEX(lmic_raw_ub[],MATCH($A312,lmic_raw_ub[[setting]:[setting]],0), MATCH(AW$277, lmic_raw_ub[#Headers],0)))</f>
        <v>0.12096311876246614</v>
      </c>
      <c r="AX312" s="84">
        <f>IF(INDEX(lmic_raw_ub[],MATCH($A312,lmic_raw_ub[[setting]:[setting]],0), MATCH(AX$277, lmic_raw_ub[#Headers],0))=0, INDEX(regions_ub[], MATCH($D312, regions_ub[[setting]:[setting]],0), MATCH(AX$139, regions_ub[#Headers],0)),INDEX(lmic_raw_ub[],MATCH($A312,lmic_raw_ub[[setting]:[setting]],0), MATCH(AX$277, lmic_raw_ub[#Headers],0)))</f>
        <v>77.501550000000009</v>
      </c>
      <c r="AY312" s="33" t="str">
        <f>IF(VLOOKUP(lmics_ub[[#This Row],[setting]],lmic_raw_ub[],11,FALSE)=0, "Yes", "No")</f>
        <v>No</v>
      </c>
    </row>
    <row r="313" spans="1:51" x14ac:dyDescent="0.25">
      <c r="A313" s="110" t="s">
        <v>267</v>
      </c>
      <c r="B313" s="104" t="s">
        <v>416</v>
      </c>
      <c r="C313" s="105">
        <v>218</v>
      </c>
      <c r="D313" s="84" t="s">
        <v>679</v>
      </c>
      <c r="E313" s="84" t="s">
        <v>593</v>
      </c>
      <c r="F313" s="84" t="s">
        <v>665</v>
      </c>
      <c r="G313" s="84" t="s">
        <v>676</v>
      </c>
      <c r="J313" s="84">
        <f>IF(INDEX(lmic_raw_ub[],MATCH($A313,lmic_raw_ub[[setting]:[setting]],0), MATCH(J$277, lmic_raw_ub[#Headers],0))=0, INDEX(regions_ub[], MATCH($D313, regions_ub[[setting]:[setting]],0), MATCH(J$139, regions_ub[#Headers],0)),INDEX(lmic_raw_ub[],MATCH($A313,lmic_raw_ub[[setting]:[setting]],0), MATCH(J$277, lmic_raw_ub[#Headers],0)))</f>
        <v>0.97965000000000002</v>
      </c>
      <c r="K313" s="84">
        <f>IF(INDEX(lmic_raw_ub[],MATCH($A313,lmic_raw_ub[[setting]:[setting]],0), MATCH(K$277, lmic_raw_ub[#Headers],0))=0, INDEX(regions_ub[], MATCH($D313, regions_ub[[setting]:[setting]],0), MATCH(K$139, regions_ub[#Headers],0)),INDEX(lmic_raw_ub[],MATCH($A313,lmic_raw_ub[[setting]:[setting]],0), MATCH(K$277, lmic_raw_ub[#Headers],0)))</f>
        <v>0.74549999999999994</v>
      </c>
      <c r="L313" s="84">
        <f>IF(INDEX(lmic_raw_ub[],MATCH($A313,lmic_raw_ub[[setting]:[setting]],0), MATCH(L$277, lmic_raw_ub[#Headers],0))=0, INDEX(regions_ub[], MATCH($D313, regions_ub[[setting]:[setting]],0), MATCH(L$139, regions_ub[#Headers],0)),INDEX(lmic_raw_ub[],MATCH($A313,lmic_raw_ub[[setting]:[setting]],0), MATCH(L$277, lmic_raw_ub[#Headers],0)))</f>
        <v>0.89249999999999996</v>
      </c>
      <c r="M313" s="84">
        <f>IF(INDEX(lmic_raw_ub[],MATCH($A313,lmic_raw_ub[[setting]:[setting]],0), MATCH(M$277, lmic_raw_ub[#Headers],0))=0, INDEX(regions_ub[], MATCH($D313, regions_ub[[setting]:[setting]],0), MATCH(M$139, regions_ub[#Headers],0)),INDEX(lmic_raw_ub[],MATCH($A313,lmic_raw_ub[[setting]:[setting]],0), MATCH(M$277, lmic_raw_ub[#Headers],0)))</f>
        <v>0.1143</v>
      </c>
      <c r="N313" s="84">
        <f>IF(INDEX(lmic_raw_ub[],MATCH($A313,lmic_raw_ub[[setting]:[setting]],0), MATCH(N$277, lmic_raw_ub[#Headers],0))=0, INDEX(regions_ub[], MATCH($D313, regions_ub[[setting]:[setting]],0), MATCH(N$139, regions_ub[#Headers],0)),INDEX(lmic_raw_ub[],MATCH($A313,lmic_raw_ub[[setting]:[setting]],0), MATCH(N$277, lmic_raw_ub[#Headers],0)))</f>
        <v>0.43020000000000003</v>
      </c>
      <c r="O313" s="84">
        <f>IF(INDEX(lmic_raw_ub[],MATCH($A313,lmic_raw_ub[[setting]:[setting]],0), MATCH(O$277, lmic_raw_ub[#Headers],0))=0, INDEX(regions_ub[], MATCH($D313, regions_ub[[setting]:[setting]],0), MATCH(O$139, regions_ub[#Headers],0)),INDEX(lmic_raw_ub[],MATCH($A313,lmic_raw_ub[[setting]:[setting]],0), MATCH(O$277, lmic_raw_ub[#Headers],0)))</f>
        <v>0.9</v>
      </c>
      <c r="P313" s="84">
        <f>IF(INDEX(lmic_raw_ub[],MATCH($A313,lmic_raw_ub[[setting]:[setting]],0), MATCH(P$277, lmic_raw_ub[#Headers],0))=0, INDEX(regions_ub[], MATCH($D313, regions_ub[[setting]:[setting]],0), MATCH(P$139, regions_ub[#Headers],0)),INDEX(lmic_raw_ub[],MATCH($A313,lmic_raw_ub[[setting]:[setting]],0), MATCH(P$277, lmic_raw_ub[#Headers],0)))</f>
        <v>0.3</v>
      </c>
      <c r="Q313" s="84">
        <f>IF(INDEX(lmic_raw_ub[],MATCH($A313,lmic_raw_ub[[setting]:[setting]],0), MATCH(Q$277, lmic_raw_ub[#Headers],0))=0, INDEX(regions_ub[], MATCH($D313, regions_ub[[setting]:[setting]],0), MATCH(Q$139, regions_ub[#Headers],0)),INDEX(lmic_raw_ub[],MATCH($A313,lmic_raw_ub[[setting]:[setting]],0), MATCH(Q$277, lmic_raw_ub[#Headers],0)))</f>
        <v>10.168273489948627</v>
      </c>
      <c r="R313" s="84">
        <f>IF(INDEX(lmic_raw_ub[],MATCH($A313,lmic_raw_ub[[setting]:[setting]],0), MATCH(R$277, lmic_raw_ub[#Headers],0))=0, INDEX(regions_ub[], MATCH($D313, regions_ub[[setting]:[setting]],0), MATCH(R$139, regions_ub[#Headers],0)),INDEX(lmic_raw_ub[],MATCH($A313,lmic_raw_ub[[setting]:[setting]],0), MATCH(R$277, lmic_raw_ub[#Headers],0)))</f>
        <v>91.228094999999996</v>
      </c>
      <c r="S313" s="84">
        <f>IF(INDEX(lmic_raw_ub[],MATCH($A313,lmic_raw_ub[[setting]:[setting]],0), MATCH(S$277, lmic_raw_ub[#Headers],0))=0, INDEX(regions_ub[], MATCH($D313, regions_ub[[setting]:[setting]],0), MATCH(S$139, regions_ub[#Headers],0)),INDEX(lmic_raw_ub[],MATCH($A313,lmic_raw_ub[[setting]:[setting]],0), MATCH(S$277, lmic_raw_ub[#Headers],0)))</f>
        <v>141.35719500000002</v>
      </c>
      <c r="T313" s="84">
        <f>IF(INDEX(lmic_raw_ub[],MATCH($A313,lmic_raw_ub[[setting]:[setting]],0), MATCH(T$277, lmic_raw_ub[#Headers],0))=0, INDEX(regions_ub[], MATCH($D313, regions_ub[[setting]:[setting]],0), MATCH(T$139, regions_ub[#Headers],0)),INDEX(lmic_raw_ub[],MATCH($A313,lmic_raw_ub[[setting]:[setting]],0), MATCH(T$277, lmic_raw_ub[#Headers],0)))</f>
        <v>141.35719500000002</v>
      </c>
      <c r="U313" s="84">
        <f>IF(INDEX(lmic_raw_ub[],MATCH($A313,lmic_raw_ub[[setting]:[setting]],0), MATCH(U$277, lmic_raw_ub[#Headers],0))=0, INDEX(regions_ub[], MATCH($D313, regions_ub[[setting]:[setting]],0), MATCH(U$139, regions_ub[#Headers],0)),INDEX(lmic_raw_ub[],MATCH($A313,lmic_raw_ub[[setting]:[setting]],0), MATCH(U$277, lmic_raw_ub[#Headers],0)))</f>
        <v>141.35719500000002</v>
      </c>
      <c r="V313" s="84">
        <f>IF(INDEX(lmic_raw_ub[],MATCH($A313,lmic_raw_ub[[setting]:[setting]],0), MATCH(V$277, lmic_raw_ub[#Headers],0))=0, INDEX(regions_ub[], MATCH($D313, regions_ub[[setting]:[setting]],0), MATCH(V$139, regions_ub[#Headers],0)),INDEX(lmic_raw_ub[],MATCH($A313,lmic_raw_ub[[setting]:[setting]],0), MATCH(V$277, lmic_raw_ub[#Headers],0)))</f>
        <v>7.6846152565058778</v>
      </c>
      <c r="W313" s="84">
        <f>IF(INDEX(lmic_raw_ub[],MATCH($A313,lmic_raw_ub[[setting]:[setting]],0), MATCH(W$277, lmic_raw_ub[#Headers],0))=0, INDEX(regions_ub[], MATCH($D313, regions_ub[[setting]:[setting]],0), MATCH(W$139, regions_ub[#Headers],0)),INDEX(lmic_raw_ub[],MATCH($A313,lmic_raw_ub[[setting]:[setting]],0), MATCH(W$277, lmic_raw_ub[#Headers],0)))</f>
        <v>7.7075052565058781</v>
      </c>
      <c r="X313" s="84">
        <f>IF(INDEX(lmic_raw_ub[],MATCH($A313,lmic_raw_ub[[setting]:[setting]],0), MATCH(X$277, lmic_raw_ub[#Headers],0))=0, INDEX(regions_ub[], MATCH($D313, regions_ub[[setting]:[setting]],0), MATCH(X$139, regions_ub[#Headers],0)),INDEX(lmic_raw_ub[],MATCH($A313,lmic_raw_ub[[setting]:[setting]],0), MATCH(X$277, lmic_raw_ub[#Headers],0)))</f>
        <v>7.1635678100381979</v>
      </c>
      <c r="Y313" s="84">
        <f>IF(INDEX(lmic_raw_ub[],MATCH($A313,lmic_raw_ub[[setting]:[setting]],0), MATCH(Y$277, lmic_raw_ub[#Headers],0))=0, INDEX(regions_ub[], MATCH($D313, regions_ub[[setting]:[setting]],0), MATCH(Y$139, regions_ub[#Headers],0)),INDEX(lmic_raw_ub[],MATCH($A313,lmic_raw_ub[[setting]:[setting]],0), MATCH(Y$277, lmic_raw_ub[#Headers],0)))</f>
        <v>7.1864578100381982</v>
      </c>
      <c r="Z313" s="84">
        <f>IF(INDEX(lmic_raw_ub[],MATCH($A313,lmic_raw_ub[[setting]:[setting]],0), MATCH(Z$277, lmic_raw_ub[#Headers],0))=0, INDEX(regions_ub[], MATCH($D313, regions_ub[[setting]:[setting]],0), MATCH(Z$139, regions_ub[#Headers],0)),INDEX(lmic_raw_ub[],MATCH($A313,lmic_raw_ub[[setting]:[setting]],0), MATCH(Z$277, lmic_raw_ub[#Headers],0)))</f>
        <v>7.1650016388032975</v>
      </c>
      <c r="AA313" s="84">
        <f>IF(INDEX(lmic_raw_ub[],MATCH($A313,lmic_raw_ub[[setting]:[setting]],0), MATCH(AA$277, lmic_raw_ub[#Headers],0))=0, INDEX(regions_ub[], MATCH($D313, regions_ub[[setting]:[setting]],0), MATCH(AA$139, regions_ub[#Headers],0)),INDEX(lmic_raw_ub[],MATCH($A313,lmic_raw_ub[[setting]:[setting]],0), MATCH(AA$277, lmic_raw_ub[#Headers],0)))</f>
        <v>7.9589642750471556</v>
      </c>
      <c r="AB313" s="84">
        <f>IF(INDEX(lmic_raw_ub[],MATCH($A313,lmic_raw_ub[[setting]:[setting]],0), MATCH(AB$277, lmic_raw_ub[#Headers],0))=0, INDEX(regions_ub[], MATCH($D313, regions_ub[[setting]:[setting]],0), MATCH(AB$139, regions_ub[#Headers],0)),INDEX(lmic_raw_ub[],MATCH($A313,lmic_raw_ub[[setting]:[setting]],0), MATCH(AB$277, lmic_raw_ub[#Headers],0)))</f>
        <v>7.9818542750471559</v>
      </c>
      <c r="AC313" s="84">
        <f>IF(INDEX(lmic_raw_ub[],MATCH($A313,lmic_raw_ub[[setting]:[setting]],0), MATCH(AC$277, lmic_raw_ub[#Headers],0))=0, INDEX(regions_ub[], MATCH($D313, regions_ub[[setting]:[setting]],0), MATCH(AC$139, regions_ub[#Headers],0)),INDEX(lmic_raw_ub[],MATCH($A313,lmic_raw_ub[[setting]:[setting]],0), MATCH(AC$277, lmic_raw_ub[#Headers],0)))</f>
        <v>1.428419999999994E-2</v>
      </c>
      <c r="AD313" s="84">
        <f>IF(INDEX(lmic_raw_ub[],MATCH($A313,lmic_raw_ub[[setting]:[setting]],0), MATCH(AD$277, lmic_raw_ub[#Headers],0))=0, INDEX(regions_ub[], MATCH($D313, regions_ub[[setting]:[setting]],0), MATCH(AD$139, regions_ub[#Headers],0)),INDEX(lmic_raw_ub[],MATCH($A313,lmic_raw_ub[[setting]:[setting]],0), MATCH(AD$277, lmic_raw_ub[#Headers],0)))</f>
        <v>7.2205356672168429E-4</v>
      </c>
      <c r="AE313" s="84">
        <f>IF(INDEX(lmic_raw_ub[],MATCH($A313,lmic_raw_ub[[setting]:[setting]],0), MATCH(AE$277, lmic_raw_ub[#Headers],0))=0, INDEX(regions_ub[], MATCH($D313, regions_ub[[setting]:[setting]],0), MATCH(AE$139, regions_ub[#Headers],0)),INDEX(lmic_raw_ub[],MATCH($A313,lmic_raw_ub[[setting]:[setting]],0), MATCH(AE$277, lmic_raw_ub[#Headers],0)))</f>
        <v>4.133893820277855E-4</v>
      </c>
      <c r="AF313" s="84">
        <f>IF(INDEX(lmic_raw_ub[],MATCH($A313,lmic_raw_ub[[setting]:[setting]],0), MATCH(AF$277, lmic_raw_ub[#Headers],0))=0, INDEX(regions_ub[], MATCH($D313, regions_ub[[setting]:[setting]],0), MATCH(AF$139, regions_ub[#Headers],0)),INDEX(lmic_raw_ub[],MATCH($A313,lmic_raw_ub[[setting]:[setting]],0), MATCH(AF$277, lmic_raw_ub[#Headers],0)))</f>
        <v>5.2002974617661971E-4</v>
      </c>
      <c r="AG313" s="84">
        <f>IF(INDEX(lmic_raw_ub[],MATCH($A313,lmic_raw_ub[[setting]:[setting]],0), MATCH(AG$277, lmic_raw_ub[#Headers],0))=0, INDEX(regions_ub[], MATCH($D313, regions_ub[[setting]:[setting]],0), MATCH(AG$139, regions_ub[#Headers],0)),INDEX(lmic_raw_ub[],MATCH($A313,lmic_raw_ub[[setting]:[setting]],0), MATCH(AG$277, lmic_raw_ub[#Headers],0)))</f>
        <v>1.0807316063231292E-3</v>
      </c>
      <c r="AH313" s="84">
        <f>IF(INDEX(lmic_raw_ub[],MATCH($A313,lmic_raw_ub[[setting]:[setting]],0), MATCH(AH$277, lmic_raw_ub[#Headers],0))=0, INDEX(regions_ub[], MATCH($D313, regions_ub[[setting]:[setting]],0), MATCH(AH$139, regions_ub[#Headers],0)),INDEX(lmic_raw_ub[],MATCH($A313,lmic_raw_ub[[setting]:[setting]],0), MATCH(AH$277, lmic_raw_ub[#Headers],0)))</f>
        <v>1.7032050036944414E-3</v>
      </c>
      <c r="AI313" s="84">
        <f>IF(INDEX(lmic_raw_ub[],MATCH($A313,lmic_raw_ub[[setting]:[setting]],0), MATCH(AI$277, lmic_raw_ub[#Headers],0))=0, INDEX(regions_ub[], MATCH($D313, regions_ub[[setting]:[setting]],0), MATCH(AI$139, regions_ub[#Headers],0)),INDEX(lmic_raw_ub[],MATCH($A313,lmic_raw_ub[[setting]:[setting]],0), MATCH(AI$277, lmic_raw_ub[#Headers],0)))</f>
        <v>2.0485036913162062E-3</v>
      </c>
      <c r="AJ313" s="84">
        <f>IF(INDEX(lmic_raw_ub[],MATCH($A313,lmic_raw_ub[[setting]:[setting]],0), MATCH(AJ$277, lmic_raw_ub[#Headers],0))=0, INDEX(regions_ub[], MATCH($D313, regions_ub[[setting]:[setting]],0), MATCH(AJ$139, regions_ub[#Headers],0)),INDEX(lmic_raw_ub[],MATCH($A313,lmic_raw_ub[[setting]:[setting]],0), MATCH(AJ$277, lmic_raw_ub[#Headers],0)))</f>
        <v>2.1255970682588798E-3</v>
      </c>
      <c r="AK313" s="84">
        <f>IF(INDEX(lmic_raw_ub[],MATCH($A313,lmic_raw_ub[[setting]:[setting]],0), MATCH(AK$277, lmic_raw_ub[#Headers],0))=0, INDEX(regions_ub[], MATCH($D313, regions_ub[[setting]:[setting]],0), MATCH(AK$139, regions_ub[#Headers],0)),INDEX(lmic_raw_ub[],MATCH($A313,lmic_raw_ub[[setting]:[setting]],0), MATCH(AK$277, lmic_raw_ub[#Headers],0)))</f>
        <v>2.2768445375733145E-3</v>
      </c>
      <c r="AL313" s="84">
        <f>IF(INDEX(lmic_raw_ub[],MATCH($A313,lmic_raw_ub[[setting]:[setting]],0), MATCH(AL$277, lmic_raw_ub[#Headers],0))=0, INDEX(regions_ub[], MATCH($D313, regions_ub[[setting]:[setting]],0), MATCH(AL$139, regions_ub[#Headers],0)),INDEX(lmic_raw_ub[],MATCH($A313,lmic_raw_ub[[setting]:[setting]],0), MATCH(AL$277, lmic_raw_ub[#Headers],0)))</f>
        <v>2.84626015544155E-3</v>
      </c>
      <c r="AM313" s="84">
        <f>IF(INDEX(lmic_raw_ub[],MATCH($A313,lmic_raw_ub[[setting]:[setting]],0), MATCH(AM$277, lmic_raw_ub[#Headers],0))=0, INDEX(regions_ub[], MATCH($D313, regions_ub[[setting]:[setting]],0), MATCH(AM$139, regions_ub[#Headers],0)),INDEX(lmic_raw_ub[],MATCH($A313,lmic_raw_ub[[setting]:[setting]],0), MATCH(AM$277, lmic_raw_ub[#Headers],0)))</f>
        <v>3.6232942825225943E-3</v>
      </c>
      <c r="AN313" s="84">
        <f>IF(INDEX(lmic_raw_ub[],MATCH($A313,lmic_raw_ub[[setting]:[setting]],0), MATCH(AN$277, lmic_raw_ub[#Headers],0))=0, INDEX(regions_ub[], MATCH($D313, regions_ub[[setting]:[setting]],0), MATCH(AN$139, regions_ub[#Headers],0)),INDEX(lmic_raw_ub[],MATCH($A313,lmic_raw_ub[[setting]:[setting]],0), MATCH(AN$277, lmic_raw_ub[#Headers],0)))</f>
        <v>5.281412038155288E-3</v>
      </c>
      <c r="AO313" s="84">
        <f>IF(INDEX(lmic_raw_ub[],MATCH($A313,lmic_raw_ub[[setting]:[setting]],0), MATCH(AO$277, lmic_raw_ub[#Headers],0))=0, INDEX(regions_ub[], MATCH($D313, regions_ub[[setting]:[setting]],0), MATCH(AO$139, regions_ub[#Headers],0)),INDEX(lmic_raw_ub[],MATCH($A313,lmic_raw_ub[[setting]:[setting]],0), MATCH(AO$277, lmic_raw_ub[#Headers],0)))</f>
        <v>7.201212862297671E-3</v>
      </c>
      <c r="AP313" s="84">
        <f>IF(INDEX(lmic_raw_ub[],MATCH($A313,lmic_raw_ub[[setting]:[setting]],0), MATCH(AP$277, lmic_raw_ub[#Headers],0))=0, INDEX(regions_ub[], MATCH($D313, regions_ub[[setting]:[setting]],0), MATCH(AP$139, regions_ub[#Headers],0)),INDEX(lmic_raw_ub[],MATCH($A313,lmic_raw_ub[[setting]:[setting]],0), MATCH(AP$277, lmic_raw_ub[#Headers],0)))</f>
        <v>1.0470697422218135E-2</v>
      </c>
      <c r="AQ313" s="84">
        <f>IF(INDEX(lmic_raw_ub[],MATCH($A313,lmic_raw_ub[[setting]:[setting]],0), MATCH(AQ$277, lmic_raw_ub[#Headers],0))=0, INDEX(regions_ub[], MATCH($D313, regions_ub[[setting]:[setting]],0), MATCH(AQ$139, regions_ub[#Headers],0)),INDEX(lmic_raw_ub[],MATCH($A313,lmic_raw_ub[[setting]:[setting]],0), MATCH(AQ$277, lmic_raw_ub[#Headers],0)))</f>
        <v>1.4680739461354821E-2</v>
      </c>
      <c r="AR313" s="84">
        <f>IF(INDEX(lmic_raw_ub[],MATCH($A313,lmic_raw_ub[[setting]:[setting]],0), MATCH(AR$277, lmic_raw_ub[#Headers],0))=0, INDEX(regions_ub[], MATCH($D313, regions_ub[[setting]:[setting]],0), MATCH(AR$139, regions_ub[#Headers],0)),INDEX(lmic_raw_ub[],MATCH($A313,lmic_raw_ub[[setting]:[setting]],0), MATCH(AR$277, lmic_raw_ub[#Headers],0)))</f>
        <v>2.3956681473236725E-2</v>
      </c>
      <c r="AS313" s="84">
        <f>IF(INDEX(lmic_raw_ub[],MATCH($A313,lmic_raw_ub[[setting]:[setting]],0), MATCH(AS$277, lmic_raw_ub[#Headers],0))=0, INDEX(regions_ub[], MATCH($D313, regions_ub[[setting]:[setting]],0), MATCH(AS$139, regions_ub[#Headers],0)),INDEX(lmic_raw_ub[],MATCH($A313,lmic_raw_ub[[setting]:[setting]],0), MATCH(AS$277, lmic_raw_ub[#Headers],0)))</f>
        <v>3.8348397163032455E-2</v>
      </c>
      <c r="AT313" s="84">
        <f>IF(INDEX(lmic_raw_ub[],MATCH($A313,lmic_raw_ub[[setting]:[setting]],0), MATCH(AT$277, lmic_raw_ub[#Headers],0))=0, INDEX(regions_ub[], MATCH($D313, regions_ub[[setting]:[setting]],0), MATCH(AT$139, regions_ub[#Headers],0)),INDEX(lmic_raw_ub[],MATCH($A313,lmic_raw_ub[[setting]:[setting]],0), MATCH(AT$277, lmic_raw_ub[#Headers],0)))</f>
        <v>5.8721609166823716E-2</v>
      </c>
      <c r="AU313" s="84">
        <f>IF(INDEX(lmic_raw_ub[],MATCH($A313,lmic_raw_ub[[setting]:[setting]],0), MATCH(AU$277, lmic_raw_ub[#Headers],0))=0, INDEX(regions_ub[], MATCH($D313, regions_ub[[setting]:[setting]],0), MATCH(AU$139, regions_ub[#Headers],0)),INDEX(lmic_raw_ub[],MATCH($A313,lmic_raw_ub[[setting]:[setting]],0), MATCH(AU$277, lmic_raw_ub[#Headers],0)))</f>
        <v>8.9383277352656554E-2</v>
      </c>
      <c r="AV313" s="84">
        <f>IF(INDEX(lmic_raw_ub[],MATCH($A313,lmic_raw_ub[[setting]:[setting]],0), MATCH(AV$277, lmic_raw_ub[#Headers],0))=0, INDEX(regions_ub[], MATCH($D313, regions_ub[[setting]:[setting]],0), MATCH(AV$139, regions_ub[#Headers],0)),INDEX(lmic_raw_ub[],MATCH($A313,lmic_raw_ub[[setting]:[setting]],0), MATCH(AV$277, lmic_raw_ub[#Headers],0)))</f>
        <v>0.11446772273272936</v>
      </c>
      <c r="AW313" s="84">
        <f>IF(INDEX(lmic_raw_ub[],MATCH($A313,lmic_raw_ub[[setting]:[setting]],0), MATCH(AW$277, lmic_raw_ub[#Headers],0))=0, INDEX(regions_ub[], MATCH($D313, regions_ub[[setting]:[setting]],0), MATCH(AW$139, regions_ub[#Headers],0)),INDEX(lmic_raw_ub[],MATCH($A313,lmic_raw_ub[[setting]:[setting]],0), MATCH(AW$277, lmic_raw_ub[#Headers],0)))</f>
        <v>0.14670558266820294</v>
      </c>
      <c r="AX313" s="84">
        <f>IF(INDEX(lmic_raw_ub[],MATCH($A313,lmic_raw_ub[[setting]:[setting]],0), MATCH(AX$277, lmic_raw_ub[#Headers],0))=0, INDEX(regions_ub[], MATCH($D313, regions_ub[[setting]:[setting]],0), MATCH(AX$139, regions_ub[#Headers],0)),INDEX(lmic_raw_ub[],MATCH($A313,lmic_raw_ub[[setting]:[setting]],0), MATCH(AX$277, lmic_raw_ub[#Headers],0)))</f>
        <v>80.537099999999995</v>
      </c>
      <c r="AY313" s="33" t="str">
        <f>IF(VLOOKUP(lmics_ub[[#This Row],[setting]],lmic_raw_ub[],11,FALSE)=0, "Yes", "No")</f>
        <v>No</v>
      </c>
    </row>
    <row r="314" spans="1:51" x14ac:dyDescent="0.25">
      <c r="A314" s="109" t="s">
        <v>158</v>
      </c>
      <c r="B314" s="101" t="s">
        <v>417</v>
      </c>
      <c r="C314" s="102">
        <v>818</v>
      </c>
      <c r="D314" s="82" t="s">
        <v>673</v>
      </c>
      <c r="E314" s="82" t="s">
        <v>579</v>
      </c>
      <c r="F314" s="82" t="s">
        <v>579</v>
      </c>
      <c r="G314" s="82" t="s">
        <v>678</v>
      </c>
      <c r="J314" s="84">
        <f>IF(INDEX(lmic_raw_ub[],MATCH($A314,lmic_raw_ub[[setting]:[setting]],0), MATCH(J$277, lmic_raw_ub[#Headers],0))=0, INDEX(regions_ub[], MATCH($D314, regions_ub[[setting]:[setting]],0), MATCH(J$139, regions_ub[#Headers],0)),INDEX(lmic_raw_ub[],MATCH($A314,lmic_raw_ub[[setting]:[setting]],0), MATCH(J$277, lmic_raw_ub[#Headers],0)))</f>
        <v>0.91034999999999999</v>
      </c>
      <c r="K314" s="84">
        <f>IF(INDEX(lmic_raw_ub[],MATCH($A314,lmic_raw_ub[[setting]:[setting]],0), MATCH(K$277, lmic_raw_ub[#Headers],0))=0, INDEX(regions_ub[], MATCH($D314, regions_ub[[setting]:[setting]],0), MATCH(K$139, regions_ub[#Headers],0)),INDEX(lmic_raw_ub[],MATCH($A314,lmic_raw_ub[[setting]:[setting]],0), MATCH(K$277, lmic_raw_ub[#Headers],0)))</f>
        <v>0.95550000000000013</v>
      </c>
      <c r="L314" s="84">
        <f>IF(INDEX(lmic_raw_ub[],MATCH($A314,lmic_raw_ub[[setting]:[setting]],0), MATCH(L$277, lmic_raw_ub[#Headers],0))=0, INDEX(regions_ub[], MATCH($D314, regions_ub[[setting]:[setting]],0), MATCH(L$139, regions_ub[#Headers],0)),INDEX(lmic_raw_ub[],MATCH($A314,lmic_raw_ub[[setting]:[setting]],0), MATCH(L$277, lmic_raw_ub[#Headers],0)))</f>
        <v>0.99749999999999994</v>
      </c>
      <c r="M314" s="84">
        <f>IF(INDEX(lmic_raw_ub[],MATCH($A314,lmic_raw_ub[[setting]:[setting]],0), MATCH(M$277, lmic_raw_ub[#Headers],0))=0, INDEX(regions_ub[], MATCH($D314, regions_ub[[setting]:[setting]],0), MATCH(M$139, regions_ub[#Headers],0)),INDEX(lmic_raw_ub[],MATCH($A314,lmic_raw_ub[[setting]:[setting]],0), MATCH(M$277, lmic_raw_ub[#Headers],0)))</f>
        <v>2.4300000000000002E-2</v>
      </c>
      <c r="N314" s="84">
        <f>IF(INDEX(lmic_raw_ub[],MATCH($A314,lmic_raw_ub[[setting]:[setting]],0), MATCH(N$277, lmic_raw_ub[#Headers],0))=0, INDEX(regions_ub[], MATCH($D314, regions_ub[[setting]:[setting]],0), MATCH(N$139, regions_ub[#Headers],0)),INDEX(lmic_raw_ub[],MATCH($A314,lmic_raw_ub[[setting]:[setting]],0), MATCH(N$277, lmic_raw_ub[#Headers],0)))</f>
        <v>0.37619999999999998</v>
      </c>
      <c r="O314" s="84">
        <f>IF(INDEX(lmic_raw_ub[],MATCH($A314,lmic_raw_ub[[setting]:[setting]],0), MATCH(O$277, lmic_raw_ub[#Headers],0))=0, INDEX(regions_ub[], MATCH($D314, regions_ub[[setting]:[setting]],0), MATCH(O$139, regions_ub[#Headers],0)),INDEX(lmic_raw_ub[],MATCH($A314,lmic_raw_ub[[setting]:[setting]],0), MATCH(O$277, lmic_raw_ub[#Headers],0)))</f>
        <v>0.9</v>
      </c>
      <c r="P314" s="84">
        <f>IF(INDEX(lmic_raw_ub[],MATCH($A314,lmic_raw_ub[[setting]:[setting]],0), MATCH(P$277, lmic_raw_ub[#Headers],0))=0, INDEX(regions_ub[], MATCH($D314, regions_ub[[setting]:[setting]],0), MATCH(P$139, regions_ub[#Headers],0)),INDEX(lmic_raw_ub[],MATCH($A314,lmic_raw_ub[[setting]:[setting]],0), MATCH(P$277, lmic_raw_ub[#Headers],0)))</f>
        <v>0.3</v>
      </c>
      <c r="Q314" s="84">
        <f>IF(INDEX(lmic_raw_ub[],MATCH($A314,lmic_raw_ub[[setting]:[setting]],0), MATCH(Q$277, lmic_raw_ub[#Headers],0))=0, INDEX(regions_ub[], MATCH($D314, regions_ub[[setting]:[setting]],0), MATCH(Q$139, regions_ub[#Headers],0)),INDEX(lmic_raw_ub[],MATCH($A314,lmic_raw_ub[[setting]:[setting]],0), MATCH(Q$277, lmic_raw_ub[#Headers],0)))</f>
        <v>6.8874579874984834</v>
      </c>
      <c r="R314" s="84">
        <f>IF(INDEX(lmic_raw_ub[],MATCH($A314,lmic_raw_ub[[setting]:[setting]],0), MATCH(R$277, lmic_raw_ub[#Headers],0))=0, INDEX(regions_ub[], MATCH($D314, regions_ub[[setting]:[setting]],0), MATCH(R$139, regions_ub[#Headers],0)),INDEX(lmic_raw_ub[],MATCH($A314,lmic_raw_ub[[setting]:[setting]],0), MATCH(R$277, lmic_raw_ub[#Headers],0)))</f>
        <v>48.652695000000001</v>
      </c>
      <c r="S314" s="84">
        <f>IF(INDEX(lmic_raw_ub[],MATCH($A314,lmic_raw_ub[[setting]:[setting]],0), MATCH(S$277, lmic_raw_ub[#Headers],0))=0, INDEX(regions_ub[], MATCH($D314, regions_ub[[setting]:[setting]],0), MATCH(S$139, regions_ub[#Headers],0)),INDEX(lmic_raw_ub[],MATCH($A314,lmic_raw_ub[[setting]:[setting]],0), MATCH(S$277, lmic_raw_ub[#Headers],0)))</f>
        <v>98.781795000000017</v>
      </c>
      <c r="T314" s="84">
        <f>IF(INDEX(lmic_raw_ub[],MATCH($A314,lmic_raw_ub[[setting]:[setting]],0), MATCH(T$277, lmic_raw_ub[#Headers],0))=0, INDEX(regions_ub[], MATCH($D314, regions_ub[[setting]:[setting]],0), MATCH(T$139, regions_ub[#Headers],0)),INDEX(lmic_raw_ub[],MATCH($A314,lmic_raw_ub[[setting]:[setting]],0), MATCH(T$277, lmic_raw_ub[#Headers],0)))</f>
        <v>98.781795000000017</v>
      </c>
      <c r="U314" s="84">
        <f>IF(INDEX(lmic_raw_ub[],MATCH($A314,lmic_raw_ub[[setting]:[setting]],0), MATCH(U$277, lmic_raw_ub[#Headers],0))=0, INDEX(regions_ub[], MATCH($D314, regions_ub[[setting]:[setting]],0), MATCH(U$139, regions_ub[#Headers],0)),INDEX(lmic_raw_ub[],MATCH($A314,lmic_raw_ub[[setting]:[setting]],0), MATCH(U$277, lmic_raw_ub[#Headers],0)))</f>
        <v>98.781795000000017</v>
      </c>
      <c r="V314" s="84">
        <f>IF(INDEX(lmic_raw_ub[],MATCH($A314,lmic_raw_ub[[setting]:[setting]],0), MATCH(V$277, lmic_raw_ub[#Headers],0))=0, INDEX(regions_ub[], MATCH($D314, regions_ub[[setting]:[setting]],0), MATCH(V$139, regions_ub[#Headers],0)),INDEX(lmic_raw_ub[],MATCH($A314,lmic_raw_ub[[setting]:[setting]],0), MATCH(V$277, lmic_raw_ub[#Headers],0)))</f>
        <v>5.7999676848699941</v>
      </c>
      <c r="W314" s="84">
        <f>IF(INDEX(lmic_raw_ub[],MATCH($A314,lmic_raw_ub[[setting]:[setting]],0), MATCH(W$277, lmic_raw_ub[#Headers],0))=0, INDEX(regions_ub[], MATCH($D314, regions_ub[[setting]:[setting]],0), MATCH(W$139, regions_ub[#Headers],0)),INDEX(lmic_raw_ub[],MATCH($A314,lmic_raw_ub[[setting]:[setting]],0), MATCH(W$277, lmic_raw_ub[#Headers],0)))</f>
        <v>6.3035476848699945</v>
      </c>
      <c r="X314" s="84">
        <f>IF(INDEX(lmic_raw_ub[],MATCH($A314,lmic_raw_ub[[setting]:[setting]],0), MATCH(X$277, lmic_raw_ub[#Headers],0))=0, INDEX(regions_ub[], MATCH($D314, regions_ub[[setting]:[setting]],0), MATCH(X$139, regions_ub[#Headers],0)),INDEX(lmic_raw_ub[],MATCH($A314,lmic_raw_ub[[setting]:[setting]],0), MATCH(X$277, lmic_raw_ub[#Headers],0)))</f>
        <v>5.2834319578972142</v>
      </c>
      <c r="Y314" s="84">
        <f>IF(INDEX(lmic_raw_ub[],MATCH($A314,lmic_raw_ub[[setting]:[setting]],0), MATCH(Y$277, lmic_raw_ub[#Headers],0))=0, INDEX(regions_ub[], MATCH($D314, regions_ub[[setting]:[setting]],0), MATCH(Y$139, regions_ub[#Headers],0)),INDEX(lmic_raw_ub[],MATCH($A314,lmic_raw_ub[[setting]:[setting]],0), MATCH(Y$277, lmic_raw_ub[#Headers],0)))</f>
        <v>5.7870119578972146</v>
      </c>
      <c r="Z314" s="84">
        <f>IF(INDEX(lmic_raw_ub[],MATCH($A314,lmic_raw_ub[[setting]:[setting]],0), MATCH(Z$277, lmic_raw_ub[#Headers],0))=0, INDEX(regions_ub[], MATCH($D314, regions_ub[[setting]:[setting]],0), MATCH(Z$139, regions_ub[#Headers],0)),INDEX(lmic_raw_ub[],MATCH($A314,lmic_raw_ub[[setting]:[setting]],0), MATCH(Z$277, lmic_raw_ub[#Headers],0)))</f>
        <v>5.7686444876193894</v>
      </c>
      <c r="AA314" s="84">
        <f>IF(INDEX(lmic_raw_ub[],MATCH($A314,lmic_raw_ub[[setting]:[setting]],0), MATCH(AA$277, lmic_raw_ub[#Headers],0))=0, INDEX(regions_ub[], MATCH($D314, regions_ub[[setting]:[setting]],0), MATCH(AA$139, regions_ub[#Headers],0)),INDEX(lmic_raw_ub[],MATCH($A314,lmic_raw_ub[[setting]:[setting]],0), MATCH(AA$277, lmic_raw_ub[#Headers],0)))</f>
        <v>6.0732925707651884</v>
      </c>
      <c r="AB314" s="84">
        <f>IF(INDEX(lmic_raw_ub[],MATCH($A314,lmic_raw_ub[[setting]:[setting]],0), MATCH(AB$277, lmic_raw_ub[#Headers],0))=0, INDEX(regions_ub[], MATCH($D314, regions_ub[[setting]:[setting]],0), MATCH(AB$139, regions_ub[#Headers],0)),INDEX(lmic_raw_ub[],MATCH($A314,lmic_raw_ub[[setting]:[setting]],0), MATCH(AB$277, lmic_raw_ub[#Headers],0)))</f>
        <v>6.5768725707651887</v>
      </c>
      <c r="AC314" s="84">
        <f>IF(INDEX(lmic_raw_ub[],MATCH($A314,lmic_raw_ub[[setting]:[setting]],0), MATCH(AC$277, lmic_raw_ub[#Headers],0))=0, INDEX(regions_ub[], MATCH($D314, regions_ub[[setting]:[setting]],0), MATCH(AC$139, regions_ub[#Headers],0)),INDEX(lmic_raw_ub[],MATCH($A314,lmic_raw_ub[[setting]:[setting]],0), MATCH(AC$277, lmic_raw_ub[#Headers],0)))</f>
        <v>1.638315000000003E-2</v>
      </c>
      <c r="AD314" s="84">
        <f>IF(INDEX(lmic_raw_ub[],MATCH($A314,lmic_raw_ub[[setting]:[setting]],0), MATCH(AD$277, lmic_raw_ub[#Headers],0))=0, INDEX(regions_ub[], MATCH($D314, regions_ub[[setting]:[setting]],0), MATCH(AD$139, regions_ub[#Headers],0)),INDEX(lmic_raw_ub[],MATCH($A314,lmic_raw_ub[[setting]:[setting]],0), MATCH(AD$277, lmic_raw_ub[#Headers],0)))</f>
        <v>1.1528382349803813E-3</v>
      </c>
      <c r="AE314" s="84">
        <f>IF(INDEX(lmic_raw_ub[],MATCH($A314,lmic_raw_ub[[setting]:[setting]],0), MATCH(AE$277, lmic_raw_ub[#Headers],0))=0, INDEX(regions_ub[], MATCH($D314, regions_ub[[setting]:[setting]],0), MATCH(AE$139, regions_ub[#Headers],0)),INDEX(lmic_raw_ub[],MATCH($A314,lmic_raw_ub[[setting]:[setting]],0), MATCH(AE$277, lmic_raw_ub[#Headers],0)))</f>
        <v>4.2213251378143171E-4</v>
      </c>
      <c r="AF314" s="84">
        <f>IF(INDEX(lmic_raw_ub[],MATCH($A314,lmic_raw_ub[[setting]:[setting]],0), MATCH(AF$277, lmic_raw_ub[#Headers],0))=0, INDEX(regions_ub[], MATCH($D314, regions_ub[[setting]:[setting]],0), MATCH(AF$139, regions_ub[#Headers],0)),INDEX(lmic_raw_ub[],MATCH($A314,lmic_raw_ub[[setting]:[setting]],0), MATCH(AF$277, lmic_raw_ub[#Headers],0)))</f>
        <v>3.5409375730175482E-4</v>
      </c>
      <c r="AG314" s="84">
        <f>IF(INDEX(lmic_raw_ub[],MATCH($A314,lmic_raw_ub[[setting]:[setting]],0), MATCH(AG$277, lmic_raw_ub[#Headers],0))=0, INDEX(regions_ub[], MATCH($D314, regions_ub[[setting]:[setting]],0), MATCH(AG$139, regions_ub[#Headers],0)),INDEX(lmic_raw_ub[],MATCH($A314,lmic_raw_ub[[setting]:[setting]],0), MATCH(AG$277, lmic_raw_ub[#Headers],0)))</f>
        <v>5.1395302199563789E-4</v>
      </c>
      <c r="AH314" s="84">
        <f>IF(INDEX(lmic_raw_ub[],MATCH($A314,lmic_raw_ub[[setting]:[setting]],0), MATCH(AH$277, lmic_raw_ub[#Headers],0))=0, INDEX(regions_ub[], MATCH($D314, regions_ub[[setting]:[setting]],0), MATCH(AH$139, regions_ub[#Headers],0)),INDEX(lmic_raw_ub[],MATCH($A314,lmic_raw_ub[[setting]:[setting]],0), MATCH(AH$277, lmic_raw_ub[#Headers],0)))</f>
        <v>7.7133442836673719E-4</v>
      </c>
      <c r="AI314" s="84">
        <f>IF(INDEX(lmic_raw_ub[],MATCH($A314,lmic_raw_ub[[setting]:[setting]],0), MATCH(AI$277, lmic_raw_ub[#Headers],0))=0, INDEX(regions_ub[], MATCH($D314, regions_ub[[setting]:[setting]],0), MATCH(AI$139, regions_ub[#Headers],0)),INDEX(lmic_raw_ub[],MATCH($A314,lmic_raw_ub[[setting]:[setting]],0), MATCH(AI$277, lmic_raw_ub[#Headers],0)))</f>
        <v>9.52025843440297E-4</v>
      </c>
      <c r="AJ314" s="84">
        <f>IF(INDEX(lmic_raw_ub[],MATCH($A314,lmic_raw_ub[[setting]:[setting]],0), MATCH(AJ$277, lmic_raw_ub[#Headers],0))=0, INDEX(regions_ub[], MATCH($D314, regions_ub[[setting]:[setting]],0), MATCH(AJ$139, regions_ub[#Headers],0)),INDEX(lmic_raw_ub[],MATCH($A314,lmic_raw_ub[[setting]:[setting]],0), MATCH(AJ$277, lmic_raw_ub[#Headers],0)))</f>
        <v>1.2549258103742853E-3</v>
      </c>
      <c r="AK314" s="84">
        <f>IF(INDEX(lmic_raw_ub[],MATCH($A314,lmic_raw_ub[[setting]:[setting]],0), MATCH(AK$277, lmic_raw_ub[#Headers],0))=0, INDEX(regions_ub[], MATCH($D314, regions_ub[[setting]:[setting]],0), MATCH(AK$139, regions_ub[#Headers],0)),INDEX(lmic_raw_ub[],MATCH($A314,lmic_raw_ub[[setting]:[setting]],0), MATCH(AK$277, lmic_raw_ub[#Headers],0)))</f>
        <v>1.5123277640267806E-3</v>
      </c>
      <c r="AL314" s="84">
        <f>IF(INDEX(lmic_raw_ub[],MATCH($A314,lmic_raw_ub[[setting]:[setting]],0), MATCH(AL$277, lmic_raw_ub[#Headers],0))=0, INDEX(regions_ub[], MATCH($D314, regions_ub[[setting]:[setting]],0), MATCH(AL$139, regions_ub[#Headers],0)),INDEX(lmic_raw_ub[],MATCH($A314,lmic_raw_ub[[setting]:[setting]],0), MATCH(AL$277, lmic_raw_ub[#Headers],0)))</f>
        <v>2.2650481154104056E-3</v>
      </c>
      <c r="AM314" s="84">
        <f>IF(INDEX(lmic_raw_ub[],MATCH($A314,lmic_raw_ub[[setting]:[setting]],0), MATCH(AM$277, lmic_raw_ub[#Headers],0))=0, INDEX(regions_ub[], MATCH($D314, regions_ub[[setting]:[setting]],0), MATCH(AM$139, regions_ub[#Headers],0)),INDEX(lmic_raw_ub[],MATCH($A314,lmic_raw_ub[[setting]:[setting]],0), MATCH(AM$277, lmic_raw_ub[#Headers],0)))</f>
        <v>4.7218431975087159E-3</v>
      </c>
      <c r="AN314" s="84">
        <f>IF(INDEX(lmic_raw_ub[],MATCH($A314,lmic_raw_ub[[setting]:[setting]],0), MATCH(AN$277, lmic_raw_ub[#Headers],0))=0, INDEX(regions_ub[], MATCH($D314, regions_ub[[setting]:[setting]],0), MATCH(AN$139, regions_ub[#Headers],0)),INDEX(lmic_raw_ub[],MATCH($A314,lmic_raw_ub[[setting]:[setting]],0), MATCH(AN$277, lmic_raw_ub[#Headers],0)))</f>
        <v>8.6722904388792776E-3</v>
      </c>
      <c r="AO314" s="84">
        <f>IF(INDEX(lmic_raw_ub[],MATCH($A314,lmic_raw_ub[[setting]:[setting]],0), MATCH(AO$277, lmic_raw_ub[#Headers],0))=0, INDEX(regions_ub[], MATCH($D314, regions_ub[[setting]:[setting]],0), MATCH(AO$139, regions_ub[#Headers],0)),INDEX(lmic_raw_ub[],MATCH($A314,lmic_raw_ub[[setting]:[setting]],0), MATCH(AO$277, lmic_raw_ub[#Headers],0)))</f>
        <v>1.1967305862328633E-2</v>
      </c>
      <c r="AP314" s="84">
        <f>IF(INDEX(lmic_raw_ub[],MATCH($A314,lmic_raw_ub[[setting]:[setting]],0), MATCH(AP$277, lmic_raw_ub[#Headers],0))=0, INDEX(regions_ub[], MATCH($D314, regions_ub[[setting]:[setting]],0), MATCH(AP$139, regions_ub[#Headers],0)),INDEX(lmic_raw_ub[],MATCH($A314,lmic_raw_ub[[setting]:[setting]],0), MATCH(AP$277, lmic_raw_ub[#Headers],0)))</f>
        <v>1.9247043768680021E-2</v>
      </c>
      <c r="AQ314" s="84">
        <f>IF(INDEX(lmic_raw_ub[],MATCH($A314,lmic_raw_ub[[setting]:[setting]],0), MATCH(AQ$277, lmic_raw_ub[#Headers],0))=0, INDEX(regions_ub[], MATCH($D314, regions_ub[[setting]:[setting]],0), MATCH(AQ$139, regions_ub[#Headers],0)),INDEX(lmic_raw_ub[],MATCH($A314,lmic_raw_ub[[setting]:[setting]],0), MATCH(AQ$277, lmic_raw_ub[#Headers],0)))</f>
        <v>2.9512164945043898E-2</v>
      </c>
      <c r="AR314" s="84">
        <f>IF(INDEX(lmic_raw_ub[],MATCH($A314,lmic_raw_ub[[setting]:[setting]],0), MATCH(AR$277, lmic_raw_ub[#Headers],0))=0, INDEX(regions_ub[], MATCH($D314, regions_ub[[setting]:[setting]],0), MATCH(AR$139, regions_ub[#Headers],0)),INDEX(lmic_raw_ub[],MATCH($A314,lmic_raw_ub[[setting]:[setting]],0), MATCH(AR$277, lmic_raw_ub[#Headers],0)))</f>
        <v>4.6176992920395669E-2</v>
      </c>
      <c r="AS314" s="84">
        <f>IF(INDEX(lmic_raw_ub[],MATCH($A314,lmic_raw_ub[[setting]:[setting]],0), MATCH(AS$277, lmic_raw_ub[#Headers],0))=0, INDEX(regions_ub[], MATCH($D314, regions_ub[[setting]:[setting]],0), MATCH(AS$139, regions_ub[#Headers],0)),INDEX(lmic_raw_ub[],MATCH($A314,lmic_raw_ub[[setting]:[setting]],0), MATCH(AS$277, lmic_raw_ub[#Headers],0)))</f>
        <v>7.0742415569198233E-2</v>
      </c>
      <c r="AT314" s="84">
        <f>IF(INDEX(lmic_raw_ub[],MATCH($A314,lmic_raw_ub[[setting]:[setting]],0), MATCH(AT$277, lmic_raw_ub[#Headers],0))=0, INDEX(regions_ub[], MATCH($D314, regions_ub[[setting]:[setting]],0), MATCH(AT$139, regions_ub[#Headers],0)),INDEX(lmic_raw_ub[],MATCH($A314,lmic_raw_ub[[setting]:[setting]],0), MATCH(AT$277, lmic_raw_ub[#Headers],0)))</f>
        <v>9.9560630893391691E-2</v>
      </c>
      <c r="AU314" s="84">
        <f>IF(INDEX(lmic_raw_ub[],MATCH($A314,lmic_raw_ub[[setting]:[setting]],0), MATCH(AU$277, lmic_raw_ub[#Headers],0))=0, INDEX(regions_ub[], MATCH($D314, regions_ub[[setting]:[setting]],0), MATCH(AU$139, regions_ub[#Headers],0)),INDEX(lmic_raw_ub[],MATCH($A314,lmic_raw_ub[[setting]:[setting]],0), MATCH(AU$277, lmic_raw_ub[#Headers],0)))</f>
        <v>0.13085176926174732</v>
      </c>
      <c r="AV314" s="84">
        <f>IF(INDEX(lmic_raw_ub[],MATCH($A314,lmic_raw_ub[[setting]:[setting]],0), MATCH(AV$277, lmic_raw_ub[#Headers],0))=0, INDEX(regions_ub[], MATCH($D314, regions_ub[[setting]:[setting]],0), MATCH(AV$139, regions_ub[#Headers],0)),INDEX(lmic_raw_ub[],MATCH($A314,lmic_raw_ub[[setting]:[setting]],0), MATCH(AV$277, lmic_raw_ub[#Headers],0)))</f>
        <v>0.15714082040458924</v>
      </c>
      <c r="AW314" s="84">
        <f>IF(INDEX(lmic_raw_ub[],MATCH($A314,lmic_raw_ub[[setting]:[setting]],0), MATCH(AW$277, lmic_raw_ub[#Headers],0))=0, INDEX(regions_ub[], MATCH($D314, regions_ub[[setting]:[setting]],0), MATCH(AW$139, regions_ub[#Headers],0)),INDEX(lmic_raw_ub[],MATCH($A314,lmic_raw_ub[[setting]:[setting]],0), MATCH(AW$277, lmic_raw_ub[#Headers],0)))</f>
        <v>0.18023538214993942</v>
      </c>
      <c r="AX314" s="84">
        <f>IF(INDEX(lmic_raw_ub[],MATCH($A314,lmic_raw_ub[[setting]:[setting]],0), MATCH(AX$277, lmic_raw_ub[#Headers],0))=0, INDEX(regions_ub[], MATCH($D314, regions_ub[[setting]:[setting]],0), MATCH(AX$139, regions_ub[#Headers],0)),INDEX(lmic_raw_ub[],MATCH($A314,lmic_raw_ub[[setting]:[setting]],0), MATCH(AX$277, lmic_raw_ub[#Headers],0)))</f>
        <v>75.33120000000001</v>
      </c>
      <c r="AY314" s="33" t="str">
        <f>IF(VLOOKUP(lmics_ub[[#This Row],[setting]],lmic_raw_ub[],11,FALSE)=0, "Yes", "No")</f>
        <v>No</v>
      </c>
    </row>
    <row r="315" spans="1:51" x14ac:dyDescent="0.25">
      <c r="A315" s="110" t="s">
        <v>255</v>
      </c>
      <c r="B315" s="104" t="s">
        <v>418</v>
      </c>
      <c r="C315" s="105">
        <v>222</v>
      </c>
      <c r="D315" s="84" t="s">
        <v>679</v>
      </c>
      <c r="E315" s="84" t="s">
        <v>604</v>
      </c>
      <c r="F315" s="84" t="s">
        <v>665</v>
      </c>
      <c r="G315" s="84" t="s">
        <v>678</v>
      </c>
      <c r="J315" s="84">
        <f>IF(INDEX(lmic_raw_ub[],MATCH($A315,lmic_raw_ub[[setting]:[setting]],0), MATCH(J$277, lmic_raw_ub[#Headers],0))=0, INDEX(regions_ub[], MATCH($D315, regions_ub[[setting]:[setting]],0), MATCH(J$139, regions_ub[#Headers],0)),INDEX(lmic_raw_ub[],MATCH($A315,lmic_raw_ub[[setting]:[setting]],0), MATCH(J$277, lmic_raw_ub[#Headers],0)))</f>
        <v>0.99990000000000001</v>
      </c>
      <c r="K315" s="84">
        <f>IF(INDEX(lmic_raw_ub[],MATCH($A315,lmic_raw_ub[[setting]:[setting]],0), MATCH(K$277, lmic_raw_ub[#Headers],0))=0, INDEX(regions_ub[], MATCH($D315, regions_ub[[setting]:[setting]],0), MATCH(K$139, regions_ub[#Headers],0)),INDEX(lmic_raw_ub[],MATCH($A315,lmic_raw_ub[[setting]:[setting]],0), MATCH(K$277, lmic_raw_ub[#Headers],0)))</f>
        <v>0.79800000000000004</v>
      </c>
      <c r="L315" s="84">
        <f>IF(INDEX(lmic_raw_ub[],MATCH($A315,lmic_raw_ub[[setting]:[setting]],0), MATCH(L$277, lmic_raw_ub[#Headers],0))=0, INDEX(regions_ub[], MATCH($D315, regions_ub[[setting]:[setting]],0), MATCH(L$139, regions_ub[#Headers],0)),INDEX(lmic_raw_ub[],MATCH($A315,lmic_raw_ub[[setting]:[setting]],0), MATCH(L$277, lmic_raw_ub[#Headers],0)))</f>
        <v>0.85050000000000014</v>
      </c>
      <c r="M315" s="84">
        <f>IF(INDEX(lmic_raw_ub[],MATCH($A315,lmic_raw_ub[[setting]:[setting]],0), MATCH(M$277, lmic_raw_ub[#Headers],0))=0, INDEX(regions_ub[], MATCH($D315, regions_ub[[setting]:[setting]],0), MATCH(M$139, regions_ub[#Headers],0)),INDEX(lmic_raw_ub[],MATCH($A315,lmic_raw_ub[[setting]:[setting]],0), MATCH(M$277, lmic_raw_ub[#Headers],0)))</f>
        <v>0.1928</v>
      </c>
      <c r="N315" s="84">
        <f>IF(INDEX(lmic_raw_ub[],MATCH($A315,lmic_raw_ub[[setting]:[setting]],0), MATCH(N$277, lmic_raw_ub[#Headers],0))=0, INDEX(regions_ub[], MATCH($D315, regions_ub[[setting]:[setting]],0), MATCH(N$139, regions_ub[#Headers],0)),INDEX(lmic_raw_ub[],MATCH($A315,lmic_raw_ub[[setting]:[setting]],0), MATCH(N$277, lmic_raw_ub[#Headers],0)))</f>
        <v>0.42950000000000005</v>
      </c>
      <c r="O315" s="84">
        <f>IF(INDEX(lmic_raw_ub[],MATCH($A315,lmic_raw_ub[[setting]:[setting]],0), MATCH(O$277, lmic_raw_ub[#Headers],0))=0, INDEX(regions_ub[], MATCH($D315, regions_ub[[setting]:[setting]],0), MATCH(O$139, regions_ub[#Headers],0)),INDEX(lmic_raw_ub[],MATCH($A315,lmic_raw_ub[[setting]:[setting]],0), MATCH(O$277, lmic_raw_ub[#Headers],0)))</f>
        <v>0.9</v>
      </c>
      <c r="P315" s="84">
        <f>IF(INDEX(lmic_raw_ub[],MATCH($A315,lmic_raw_ub[[setting]:[setting]],0), MATCH(P$277, lmic_raw_ub[#Headers],0))=0, INDEX(regions_ub[], MATCH($D315, regions_ub[[setting]:[setting]],0), MATCH(P$139, regions_ub[#Headers],0)),INDEX(lmic_raw_ub[],MATCH($A315,lmic_raw_ub[[setting]:[setting]],0), MATCH(P$277, lmic_raw_ub[#Headers],0)))</f>
        <v>0.3</v>
      </c>
      <c r="Q315" s="84">
        <f>IF(INDEX(lmic_raw_ub[],MATCH($A315,lmic_raw_ub[[setting]:[setting]],0), MATCH(Q$277, lmic_raw_ub[#Headers],0))=0, INDEX(regions_ub[], MATCH($D315, regions_ub[[setting]:[setting]],0), MATCH(Q$139, regions_ub[#Headers],0)),INDEX(lmic_raw_ub[],MATCH($A315,lmic_raw_ub[[setting]:[setting]],0), MATCH(Q$277, lmic_raw_ub[#Headers],0)))</f>
        <v>10.168273489948627</v>
      </c>
      <c r="R315" s="84">
        <f>IF(INDEX(lmic_raw_ub[],MATCH($A315,lmic_raw_ub[[setting]:[setting]],0), MATCH(R$277, lmic_raw_ub[#Headers],0))=0, INDEX(regions_ub[], MATCH($D315, regions_ub[[setting]:[setting]],0), MATCH(R$139, regions_ub[#Headers],0)),INDEX(lmic_raw_ub[],MATCH($A315,lmic_raw_ub[[setting]:[setting]],0), MATCH(R$277, lmic_raw_ub[#Headers],0)))</f>
        <v>91.228094999999996</v>
      </c>
      <c r="S315" s="84">
        <f>IF(INDEX(lmic_raw_ub[],MATCH($A315,lmic_raw_ub[[setting]:[setting]],0), MATCH(S$277, lmic_raw_ub[#Headers],0))=0, INDEX(regions_ub[], MATCH($D315, regions_ub[[setting]:[setting]],0), MATCH(S$139, regions_ub[#Headers],0)),INDEX(lmic_raw_ub[],MATCH($A315,lmic_raw_ub[[setting]:[setting]],0), MATCH(S$277, lmic_raw_ub[#Headers],0)))</f>
        <v>141.35719500000002</v>
      </c>
      <c r="T315" s="84">
        <f>IF(INDEX(lmic_raw_ub[],MATCH($A315,lmic_raw_ub[[setting]:[setting]],0), MATCH(T$277, lmic_raw_ub[#Headers],0))=0, INDEX(regions_ub[], MATCH($D315, regions_ub[[setting]:[setting]],0), MATCH(T$139, regions_ub[#Headers],0)),INDEX(lmic_raw_ub[],MATCH($A315,lmic_raw_ub[[setting]:[setting]],0), MATCH(T$277, lmic_raw_ub[#Headers],0)))</f>
        <v>141.35719500000002</v>
      </c>
      <c r="U315" s="84">
        <f>IF(INDEX(lmic_raw_ub[],MATCH($A315,lmic_raw_ub[[setting]:[setting]],0), MATCH(U$277, lmic_raw_ub[#Headers],0))=0, INDEX(regions_ub[], MATCH($D315, regions_ub[[setting]:[setting]],0), MATCH(U$139, regions_ub[#Headers],0)),INDEX(lmic_raw_ub[],MATCH($A315,lmic_raw_ub[[setting]:[setting]],0), MATCH(U$277, lmic_raw_ub[#Headers],0)))</f>
        <v>141.35719500000002</v>
      </c>
      <c r="V315" s="84">
        <f>IF(INDEX(lmic_raw_ub[],MATCH($A315,lmic_raw_ub[[setting]:[setting]],0), MATCH(V$277, lmic_raw_ub[#Headers],0))=0, INDEX(regions_ub[], MATCH($D315, regions_ub[[setting]:[setting]],0), MATCH(V$139, regions_ub[#Headers],0)),INDEX(lmic_raw_ub[],MATCH($A315,lmic_raw_ub[[setting]:[setting]],0), MATCH(V$277, lmic_raw_ub[#Headers],0)))</f>
        <v>7.1526792182855141</v>
      </c>
      <c r="W315" s="84">
        <f>IF(INDEX(lmic_raw_ub[],MATCH($A315,lmic_raw_ub[[setting]:[setting]],0), MATCH(W$277, lmic_raw_ub[#Headers],0))=0, INDEX(regions_ub[], MATCH($D315, regions_ub[[setting]:[setting]],0), MATCH(W$139, regions_ub[#Headers],0)),INDEX(lmic_raw_ub[],MATCH($A315,lmic_raw_ub[[setting]:[setting]],0), MATCH(W$277, lmic_raw_ub[#Headers],0)))</f>
        <v>7.1755692182855144</v>
      </c>
      <c r="X315" s="84">
        <f>IF(INDEX(lmic_raw_ub[],MATCH($A315,lmic_raw_ub[[setting]:[setting]],0), MATCH(X$277, lmic_raw_ub[#Headers],0))=0, INDEX(regions_ub[], MATCH($D315, regions_ub[[setting]:[setting]],0), MATCH(X$139, regions_ub[#Headers],0)),INDEX(lmic_raw_ub[],MATCH($A315,lmic_raw_ub[[setting]:[setting]],0), MATCH(X$277, lmic_raw_ub[#Headers],0)))</f>
        <v>6.6207363840214679</v>
      </c>
      <c r="Y315" s="84">
        <f>IF(INDEX(lmic_raw_ub[],MATCH($A315,lmic_raw_ub[[setting]:[setting]],0), MATCH(Y$277, lmic_raw_ub[#Headers],0))=0, INDEX(regions_ub[], MATCH($D315, regions_ub[[setting]:[setting]],0), MATCH(Y$139, regions_ub[#Headers],0)),INDEX(lmic_raw_ub[],MATCH($A315,lmic_raw_ub[[setting]:[setting]],0), MATCH(Y$277, lmic_raw_ub[#Headers],0)))</f>
        <v>6.6436263840214682</v>
      </c>
      <c r="Z315" s="84">
        <f>IF(INDEX(lmic_raw_ub[],MATCH($A315,lmic_raw_ub[[setting]:[setting]],0), MATCH(Z$277, lmic_raw_ub[#Headers],0))=0, INDEX(regions_ub[], MATCH($D315, regions_ub[[setting]:[setting]],0), MATCH(Z$139, regions_ub[#Headers],0)),INDEX(lmic_raw_ub[],MATCH($A315,lmic_raw_ub[[setting]:[setting]],0), MATCH(Z$277, lmic_raw_ub[#Headers],0)))</f>
        <v>6.6150066668970888</v>
      </c>
      <c r="AA315" s="84">
        <f>IF(INDEX(lmic_raw_ub[],MATCH($A315,lmic_raw_ub[[setting]:[setting]],0), MATCH(AA$277, lmic_raw_ub[#Headers],0))=0, INDEX(regions_ub[], MATCH($D315, regions_ub[[setting]:[setting]],0), MATCH(AA$139, regions_ub[#Headers],0)),INDEX(lmic_raw_ub[],MATCH($A315,lmic_raw_ub[[setting]:[setting]],0), MATCH(AA$277, lmic_raw_ub[#Headers],0)))</f>
        <v>7.4295014230136953</v>
      </c>
      <c r="AB315" s="84">
        <f>IF(INDEX(lmic_raw_ub[],MATCH($A315,lmic_raw_ub[[setting]:[setting]],0), MATCH(AB$277, lmic_raw_ub[#Headers],0))=0, INDEX(regions_ub[], MATCH($D315, regions_ub[[setting]:[setting]],0), MATCH(AB$139, regions_ub[#Headers],0)),INDEX(lmic_raw_ub[],MATCH($A315,lmic_raw_ub[[setting]:[setting]],0), MATCH(AB$277, lmic_raw_ub[#Headers],0)))</f>
        <v>7.4523914230136956</v>
      </c>
      <c r="AC315" s="84">
        <f>IF(INDEX(lmic_raw_ub[],MATCH($A315,lmic_raw_ub[[setting]:[setting]],0), MATCH(AC$277, lmic_raw_ub[#Headers],0))=0, INDEX(regions_ub[], MATCH($D315, regions_ub[[setting]:[setting]],0), MATCH(AC$139, regions_ub[#Headers],0)),INDEX(lmic_raw_ub[],MATCH($A315,lmic_raw_ub[[setting]:[setting]],0), MATCH(AC$277, lmic_raw_ub[#Headers],0)))</f>
        <v>1.5302805000000037E-2</v>
      </c>
      <c r="AD315" s="84">
        <f>IF(INDEX(lmic_raw_ub[],MATCH($A315,lmic_raw_ub[[setting]:[setting]],0), MATCH(AD$277, lmic_raw_ub[#Headers],0))=0, INDEX(regions_ub[], MATCH($D315, regions_ub[[setting]:[setting]],0), MATCH(AD$139, regions_ub[#Headers],0)),INDEX(lmic_raw_ub[],MATCH($A315,lmic_raw_ub[[setting]:[setting]],0), MATCH(AD$277, lmic_raw_ub[#Headers],0)))</f>
        <v>6.1726635153387492E-4</v>
      </c>
      <c r="AE315" s="84">
        <f>IF(INDEX(lmic_raw_ub[],MATCH($A315,lmic_raw_ub[[setting]:[setting]],0), MATCH(AE$277, lmic_raw_ub[#Headers],0))=0, INDEX(regions_ub[], MATCH($D315, regions_ub[[setting]:[setting]],0), MATCH(AE$139, regions_ub[#Headers],0)),INDEX(lmic_raw_ub[],MATCH($A315,lmic_raw_ub[[setting]:[setting]],0), MATCH(AE$277, lmic_raw_ub[#Headers],0)))</f>
        <v>2.8727302051692729E-4</v>
      </c>
      <c r="AF315" s="84">
        <f>IF(INDEX(lmic_raw_ub[],MATCH($A315,lmic_raw_ub[[setting]:[setting]],0), MATCH(AF$277, lmic_raw_ub[#Headers],0))=0, INDEX(regions_ub[], MATCH($D315, regions_ub[[setting]:[setting]],0), MATCH(AF$139, regions_ub[#Headers],0)),INDEX(lmic_raw_ub[],MATCH($A315,lmic_raw_ub[[setting]:[setting]],0), MATCH(AF$277, lmic_raw_ub[#Headers],0)))</f>
        <v>5.9446435905531202E-4</v>
      </c>
      <c r="AG315" s="84">
        <f>IF(INDEX(lmic_raw_ub[],MATCH($A315,lmic_raw_ub[[setting]:[setting]],0), MATCH(AG$277, lmic_raw_ub[#Headers],0))=0, INDEX(regions_ub[], MATCH($D315, regions_ub[[setting]:[setting]],0), MATCH(AG$139, regions_ub[#Headers],0)),INDEX(lmic_raw_ub[],MATCH($A315,lmic_raw_ub[[setting]:[setting]],0), MATCH(AG$277, lmic_raw_ub[#Headers],0)))</f>
        <v>1.6240397474665356E-3</v>
      </c>
      <c r="AH315" s="84">
        <f>IF(INDEX(lmic_raw_ub[],MATCH($A315,lmic_raw_ub[[setting]:[setting]],0), MATCH(AH$277, lmic_raw_ub[#Headers],0))=0, INDEX(regions_ub[], MATCH($D315, regions_ub[[setting]:[setting]],0), MATCH(AH$139, regions_ub[#Headers],0)),INDEX(lmic_raw_ub[],MATCH($A315,lmic_raw_ub[[setting]:[setting]],0), MATCH(AH$277, lmic_raw_ub[#Headers],0)))</f>
        <v>2.6962743142812996E-3</v>
      </c>
      <c r="AI315" s="84">
        <f>IF(INDEX(lmic_raw_ub[],MATCH($A315,lmic_raw_ub[[setting]:[setting]],0), MATCH(AI$277, lmic_raw_ub[#Headers],0))=0, INDEX(regions_ub[], MATCH($D315, regions_ub[[setting]:[setting]],0), MATCH(AI$139, regions_ub[#Headers],0)),INDEX(lmic_raw_ub[],MATCH($A315,lmic_raw_ub[[setting]:[setting]],0), MATCH(AI$277, lmic_raw_ub[#Headers],0)))</f>
        <v>3.3524862611766359E-3</v>
      </c>
      <c r="AJ315" s="84">
        <f>IF(INDEX(lmic_raw_ub[],MATCH($A315,lmic_raw_ub[[setting]:[setting]],0), MATCH(AJ$277, lmic_raw_ub[#Headers],0))=0, INDEX(regions_ub[], MATCH($D315, regions_ub[[setting]:[setting]],0), MATCH(AJ$139, regions_ub[#Headers],0)),INDEX(lmic_raw_ub[],MATCH($A315,lmic_raw_ub[[setting]:[setting]],0), MATCH(AJ$277, lmic_raw_ub[#Headers],0)))</f>
        <v>3.5114590262010151E-3</v>
      </c>
      <c r="AK315" s="84">
        <f>IF(INDEX(lmic_raw_ub[],MATCH($A315,lmic_raw_ub[[setting]:[setting]],0), MATCH(AK$277, lmic_raw_ub[#Headers],0))=0, INDEX(regions_ub[], MATCH($D315, regions_ub[[setting]:[setting]],0), MATCH(AK$139, regions_ub[#Headers],0)),INDEX(lmic_raw_ub[],MATCH($A315,lmic_raw_ub[[setting]:[setting]],0), MATCH(AK$277, lmic_raw_ub[#Headers],0)))</f>
        <v>3.6787158201554643E-3</v>
      </c>
      <c r="AL315" s="84">
        <f>IF(INDEX(lmic_raw_ub[],MATCH($A315,lmic_raw_ub[[setting]:[setting]],0), MATCH(AL$277, lmic_raw_ub[#Headers],0))=0, INDEX(regions_ub[], MATCH($D315, regions_ub[[setting]:[setting]],0), MATCH(AL$139, regions_ub[#Headers],0)),INDEX(lmic_raw_ub[],MATCH($A315,lmic_raw_ub[[setting]:[setting]],0), MATCH(AL$277, lmic_raw_ub[#Headers],0)))</f>
        <v>4.3855814915660912E-3</v>
      </c>
      <c r="AM315" s="84">
        <f>IF(INDEX(lmic_raw_ub[],MATCH($A315,lmic_raw_ub[[setting]:[setting]],0), MATCH(AM$277, lmic_raw_ub[#Headers],0))=0, INDEX(regions_ub[], MATCH($D315, regions_ub[[setting]:[setting]],0), MATCH(AM$139, regions_ub[#Headers],0)),INDEX(lmic_raw_ub[],MATCH($A315,lmic_raw_ub[[setting]:[setting]],0), MATCH(AM$277, lmic_raw_ub[#Headers],0)))</f>
        <v>5.5951148198739821E-3</v>
      </c>
      <c r="AN315" s="84">
        <f>IF(INDEX(lmic_raw_ub[],MATCH($A315,lmic_raw_ub[[setting]:[setting]],0), MATCH(AN$277, lmic_raw_ub[#Headers],0))=0, INDEX(regions_ub[], MATCH($D315, regions_ub[[setting]:[setting]],0), MATCH(AN$139, regions_ub[#Headers],0)),INDEX(lmic_raw_ub[],MATCH($A315,lmic_raw_ub[[setting]:[setting]],0), MATCH(AN$277, lmic_raw_ub[#Headers],0)))</f>
        <v>7.352392571720121E-3</v>
      </c>
      <c r="AO315" s="84">
        <f>IF(INDEX(lmic_raw_ub[],MATCH($A315,lmic_raw_ub[[setting]:[setting]],0), MATCH(AO$277, lmic_raw_ub[#Headers],0))=0, INDEX(regions_ub[], MATCH($D315, regions_ub[[setting]:[setting]],0), MATCH(AO$139, regions_ub[#Headers],0)),INDEX(lmic_raw_ub[],MATCH($A315,lmic_raw_ub[[setting]:[setting]],0), MATCH(AO$277, lmic_raw_ub[#Headers],0)))</f>
        <v>9.6971712402376762E-3</v>
      </c>
      <c r="AP315" s="84">
        <f>IF(INDEX(lmic_raw_ub[],MATCH($A315,lmic_raw_ub[[setting]:[setting]],0), MATCH(AP$277, lmic_raw_ub[#Headers],0))=0, INDEX(regions_ub[], MATCH($D315, regions_ub[[setting]:[setting]],0), MATCH(AP$139, regions_ub[#Headers],0)),INDEX(lmic_raw_ub[],MATCH($A315,lmic_raw_ub[[setting]:[setting]],0), MATCH(AP$277, lmic_raw_ub[#Headers],0)))</f>
        <v>1.322639481709945E-2</v>
      </c>
      <c r="AQ315" s="84">
        <f>IF(INDEX(lmic_raw_ub[],MATCH($A315,lmic_raw_ub[[setting]:[setting]],0), MATCH(AQ$277, lmic_raw_ub[#Headers],0))=0, INDEX(regions_ub[], MATCH($D315, regions_ub[[setting]:[setting]],0), MATCH(AQ$139, regions_ub[#Headers],0)),INDEX(lmic_raw_ub[],MATCH($A315,lmic_raw_ub[[setting]:[setting]],0), MATCH(AQ$277, lmic_raw_ub[#Headers],0)))</f>
        <v>1.8819588424880677E-2</v>
      </c>
      <c r="AR315" s="84">
        <f>IF(INDEX(lmic_raw_ub[],MATCH($A315,lmic_raw_ub[[setting]:[setting]],0), MATCH(AR$277, lmic_raw_ub[#Headers],0))=0, INDEX(regions_ub[], MATCH($D315, regions_ub[[setting]:[setting]],0), MATCH(AR$139, regions_ub[#Headers],0)),INDEX(lmic_raw_ub[],MATCH($A315,lmic_raw_ub[[setting]:[setting]],0), MATCH(AR$277, lmic_raw_ub[#Headers],0)))</f>
        <v>2.7280637203718459E-2</v>
      </c>
      <c r="AS315" s="84">
        <f>IF(INDEX(lmic_raw_ub[],MATCH($A315,lmic_raw_ub[[setting]:[setting]],0), MATCH(AS$277, lmic_raw_ub[#Headers],0))=0, INDEX(regions_ub[], MATCH($D315, regions_ub[[setting]:[setting]],0), MATCH(AS$139, regions_ub[#Headers],0)),INDEX(lmic_raw_ub[],MATCH($A315,lmic_raw_ub[[setting]:[setting]],0), MATCH(AS$277, lmic_raw_ub[#Headers],0)))</f>
        <v>4.2064076015538826E-2</v>
      </c>
      <c r="AT315" s="84">
        <f>IF(INDEX(lmic_raw_ub[],MATCH($A315,lmic_raw_ub[[setting]:[setting]],0), MATCH(AT$277, lmic_raw_ub[#Headers],0))=0, INDEX(regions_ub[], MATCH($D315, regions_ub[[setting]:[setting]],0), MATCH(AT$139, regions_ub[#Headers],0)),INDEX(lmic_raw_ub[],MATCH($A315,lmic_raw_ub[[setting]:[setting]],0), MATCH(AT$277, lmic_raw_ub[#Headers],0)))</f>
        <v>6.8114848311823184E-2</v>
      </c>
      <c r="AU315" s="84">
        <f>IF(INDEX(lmic_raw_ub[],MATCH($A315,lmic_raw_ub[[setting]:[setting]],0), MATCH(AU$277, lmic_raw_ub[#Headers],0))=0, INDEX(regions_ub[], MATCH($D315, regions_ub[[setting]:[setting]],0), MATCH(AU$139, regions_ub[#Headers],0)),INDEX(lmic_raw_ub[],MATCH($A315,lmic_raw_ub[[setting]:[setting]],0), MATCH(AU$277, lmic_raw_ub[#Headers],0)))</f>
        <v>0.10264041908714509</v>
      </c>
      <c r="AV315" s="84">
        <f>IF(INDEX(lmic_raw_ub[],MATCH($A315,lmic_raw_ub[[setting]:[setting]],0), MATCH(AV$277, lmic_raw_ub[#Headers],0))=0, INDEX(regions_ub[], MATCH($D315, regions_ub[[setting]:[setting]],0), MATCH(AV$139, regions_ub[#Headers],0)),INDEX(lmic_raw_ub[],MATCH($A315,lmic_raw_ub[[setting]:[setting]],0), MATCH(AV$277, lmic_raw_ub[#Headers],0)))</f>
        <v>0.13998121802759006</v>
      </c>
      <c r="AW315" s="84">
        <f>IF(INDEX(lmic_raw_ub[],MATCH($A315,lmic_raw_ub[[setting]:[setting]],0), MATCH(AW$277, lmic_raw_ub[#Headers],0))=0, INDEX(regions_ub[], MATCH($D315, regions_ub[[setting]:[setting]],0), MATCH(AW$139, regions_ub[#Headers],0)),INDEX(lmic_raw_ub[],MATCH($A315,lmic_raw_ub[[setting]:[setting]],0), MATCH(AW$277, lmic_raw_ub[#Headers],0)))</f>
        <v>0.17267349238044222</v>
      </c>
      <c r="AX315" s="84">
        <f>IF(INDEX(lmic_raw_ub[],MATCH($A315,lmic_raw_ub[[setting]:[setting]],0), MATCH(AX$277, lmic_raw_ub[#Headers],0))=0, INDEX(regions_ub[], MATCH($D315, regions_ub[[setting]:[setting]],0), MATCH(AX$139, regions_ub[#Headers],0)),INDEX(lmic_raw_ub[],MATCH($A315,lmic_raw_ub[[setting]:[setting]],0), MATCH(AX$277, lmic_raw_ub[#Headers],0)))</f>
        <v>76.635300000000001</v>
      </c>
      <c r="AY315" s="33" t="str">
        <f>IF(VLOOKUP(lmics_ub[[#This Row],[setting]],lmic_raw_ub[],11,FALSE)=0, "Yes", "No")</f>
        <v>No</v>
      </c>
    </row>
    <row r="316" spans="1:51" x14ac:dyDescent="0.25">
      <c r="A316" s="109" t="s">
        <v>128</v>
      </c>
      <c r="B316" s="101" t="s">
        <v>419</v>
      </c>
      <c r="C316" s="102">
        <v>226</v>
      </c>
      <c r="D316" s="82" t="s">
        <v>677</v>
      </c>
      <c r="E316" s="82" t="s">
        <v>582</v>
      </c>
      <c r="F316" s="82" t="s">
        <v>667</v>
      </c>
      <c r="G316" s="82" t="s">
        <v>676</v>
      </c>
      <c r="J316" s="84">
        <f>IF(INDEX(lmic_raw_ub[],MATCH($A316,lmic_raw_ub[[setting]:[setting]],0), MATCH(J$277, lmic_raw_ub[#Headers],0))=0, INDEX(regions_ub[], MATCH($D316, regions_ub[[setting]:[setting]],0), MATCH(J$139, regions_ub[#Headers],0)),INDEX(lmic_raw_ub[],MATCH($A316,lmic_raw_ub[[setting]:[setting]],0), MATCH(J$277, lmic_raw_ub[#Headers],0)))</f>
        <v>0.70665</v>
      </c>
      <c r="K316" s="84">
        <f>IF(INDEX(lmic_raw_ub[],MATCH($A316,lmic_raw_ub[[setting]:[setting]],0), MATCH(K$277, lmic_raw_ub[#Headers],0))=0, INDEX(regions_ub[], MATCH($D316, regions_ub[[setting]:[setting]],0), MATCH(K$139, regions_ub[#Headers],0)),INDEX(lmic_raw_ub[],MATCH($A316,lmic_raw_ub[[setting]:[setting]],0), MATCH(K$277, lmic_raw_ub[#Headers],0)))</f>
        <v>0.71433037619548323</v>
      </c>
      <c r="L316" s="84">
        <f>IF(INDEX(lmic_raw_ub[],MATCH($A316,lmic_raw_ub[[setting]:[setting]],0), MATCH(L$277, lmic_raw_ub[#Headers],0))=0, INDEX(regions_ub[], MATCH($D316, regions_ub[[setting]:[setting]],0), MATCH(L$139, regions_ub[#Headers],0)),INDEX(lmic_raw_ub[],MATCH($A316,lmic_raw_ub[[setting]:[setting]],0), MATCH(L$277, lmic_raw_ub[#Headers],0)))</f>
        <v>0.55650000000000011</v>
      </c>
      <c r="M316" s="84">
        <f>IF(INDEX(lmic_raw_ub[],MATCH($A316,lmic_raw_ub[[setting]:[setting]],0), MATCH(M$277, lmic_raw_ub[#Headers],0))=0, INDEX(regions_ub[], MATCH($D316, regions_ub[[setting]:[setting]],0), MATCH(M$139, regions_ub[#Headers],0)),INDEX(lmic_raw_ub[],MATCH($A316,lmic_raw_ub[[setting]:[setting]],0), MATCH(M$277, lmic_raw_ub[#Headers],0)))</f>
        <v>0.114</v>
      </c>
      <c r="N316" s="84">
        <f>IF(INDEX(lmic_raw_ub[],MATCH($A316,lmic_raw_ub[[setting]:[setting]],0), MATCH(N$277, lmic_raw_ub[#Headers],0))=0, INDEX(regions_ub[], MATCH($D316, regions_ub[[setting]:[setting]],0), MATCH(N$139, regions_ub[#Headers],0)),INDEX(lmic_raw_ub[],MATCH($A316,lmic_raw_ub[[setting]:[setting]],0), MATCH(N$277, lmic_raw_ub[#Headers],0)))</f>
        <v>0.40200000000000002</v>
      </c>
      <c r="O316" s="84">
        <f>IF(INDEX(lmic_raw_ub[],MATCH($A316,lmic_raw_ub[[setting]:[setting]],0), MATCH(O$277, lmic_raw_ub[#Headers],0))=0, INDEX(regions_ub[], MATCH($D316, regions_ub[[setting]:[setting]],0), MATCH(O$139, regions_ub[#Headers],0)),INDEX(lmic_raw_ub[],MATCH($A316,lmic_raw_ub[[setting]:[setting]],0), MATCH(O$277, lmic_raw_ub[#Headers],0)))</f>
        <v>0.74399999999999999</v>
      </c>
      <c r="P316" s="84">
        <f>IF(INDEX(lmic_raw_ub[],MATCH($A316,lmic_raw_ub[[setting]:[setting]],0), MATCH(P$277, lmic_raw_ub[#Headers],0))=0, INDEX(regions_ub[], MATCH($D316, regions_ub[[setting]:[setting]],0), MATCH(P$139, regions_ub[#Headers],0)),INDEX(lmic_raw_ub[],MATCH($A316,lmic_raw_ub[[setting]:[setting]],0), MATCH(P$277, lmic_raw_ub[#Headers],0)))</f>
        <v>0.13300000000000001</v>
      </c>
      <c r="Q316" s="84">
        <f>IF(INDEX(lmic_raw_ub[],MATCH($A316,lmic_raw_ub[[setting]:[setting]],0), MATCH(Q$277, lmic_raw_ub[#Headers],0))=0, INDEX(regions_ub[], MATCH($D316, regions_ub[[setting]:[setting]],0), MATCH(Q$139, regions_ub[#Headers],0)),INDEX(lmic_raw_ub[],MATCH($A316,lmic_raw_ub[[setting]:[setting]],0), MATCH(Q$277, lmic_raw_ub[#Headers],0)))</f>
        <v>4.8907647106941052</v>
      </c>
      <c r="R316" s="84">
        <f>IF(INDEX(lmic_raw_ub[],MATCH($A316,lmic_raw_ub[[setting]:[setting]],0), MATCH(R$277, lmic_raw_ub[#Headers],0))=0, INDEX(regions_ub[], MATCH($D316, regions_ub[[setting]:[setting]],0), MATCH(R$139, regions_ub[#Headers],0)),INDEX(lmic_raw_ub[],MATCH($A316,lmic_raw_ub[[setting]:[setting]],0), MATCH(R$277, lmic_raw_ub[#Headers],0)))</f>
        <v>31.416525000000004</v>
      </c>
      <c r="S316" s="84">
        <f>IF(INDEX(lmic_raw_ub[],MATCH($A316,lmic_raw_ub[[setting]:[setting]],0), MATCH(S$277, lmic_raw_ub[#Headers],0))=0, INDEX(regions_ub[], MATCH($D316, regions_ub[[setting]:[setting]],0), MATCH(S$139, regions_ub[#Headers],0)),INDEX(lmic_raw_ub[],MATCH($A316,lmic_raw_ub[[setting]:[setting]],0), MATCH(S$277, lmic_raw_ub[#Headers],0)))</f>
        <v>81.545625000000015</v>
      </c>
      <c r="T316" s="84">
        <f>IF(INDEX(lmic_raw_ub[],MATCH($A316,lmic_raw_ub[[setting]:[setting]],0), MATCH(T$277, lmic_raw_ub[#Headers],0))=0, INDEX(regions_ub[], MATCH($D316, regions_ub[[setting]:[setting]],0), MATCH(T$139, regions_ub[#Headers],0)),INDEX(lmic_raw_ub[],MATCH($A316,lmic_raw_ub[[setting]:[setting]],0), MATCH(T$277, lmic_raw_ub[#Headers],0)))</f>
        <v>81.545625000000015</v>
      </c>
      <c r="U316" s="84">
        <f>IF(INDEX(lmic_raw_ub[],MATCH($A316,lmic_raw_ub[[setting]:[setting]],0), MATCH(U$277, lmic_raw_ub[#Headers],0))=0, INDEX(regions_ub[], MATCH($D316, regions_ub[[setting]:[setting]],0), MATCH(U$139, regions_ub[#Headers],0)),INDEX(lmic_raw_ub[],MATCH($A316,lmic_raw_ub[[setting]:[setting]],0), MATCH(U$277, lmic_raw_ub[#Headers],0)))</f>
        <v>81.545625000000015</v>
      </c>
      <c r="V316" s="84">
        <f>IF(INDEX(lmic_raw_ub[],MATCH($A316,lmic_raw_ub[[setting]:[setting]],0), MATCH(V$277, lmic_raw_ub[#Headers],0))=0, INDEX(regions_ub[], MATCH($D316, regions_ub[[setting]:[setting]],0), MATCH(V$139, regions_ub[#Headers],0)),INDEX(lmic_raw_ub[],MATCH($A316,lmic_raw_ub[[setting]:[setting]],0), MATCH(V$277, lmic_raw_ub[#Headers],0)))</f>
        <v>7.5564862866696174</v>
      </c>
      <c r="W316" s="84">
        <f>IF(INDEX(lmic_raw_ub[],MATCH($A316,lmic_raw_ub[[setting]:[setting]],0), MATCH(W$277, lmic_raw_ub[#Headers],0))=0, INDEX(regions_ub[], MATCH($D316, regions_ub[[setting]:[setting]],0), MATCH(W$139, regions_ub[#Headers],0)),INDEX(lmic_raw_ub[],MATCH($A316,lmic_raw_ub[[setting]:[setting]],0), MATCH(W$277, lmic_raw_ub[#Headers],0)))</f>
        <v>12.626621286669618</v>
      </c>
      <c r="X316" s="84">
        <f>IF(INDEX(lmic_raw_ub[],MATCH($A316,lmic_raw_ub[[setting]:[setting]],0), MATCH(X$277, lmic_raw_ub[#Headers],0))=0, INDEX(regions_ub[], MATCH($D316, regions_ub[[setting]:[setting]],0), MATCH(X$139, regions_ub[#Headers],0)),INDEX(lmic_raw_ub[],MATCH($A316,lmic_raw_ub[[setting]:[setting]],0), MATCH(X$277, lmic_raw_ub[#Headers],0)))</f>
        <v>7.0235973032413597</v>
      </c>
      <c r="Y316" s="84">
        <f>IF(INDEX(lmic_raw_ub[],MATCH($A316,lmic_raw_ub[[setting]:[setting]],0), MATCH(Y$277, lmic_raw_ub[#Headers],0))=0, INDEX(regions_ub[], MATCH($D316, regions_ub[[setting]:[setting]],0), MATCH(Y$139, regions_ub[#Headers],0)),INDEX(lmic_raw_ub[],MATCH($A316,lmic_raw_ub[[setting]:[setting]],0), MATCH(Y$277, lmic_raw_ub[#Headers],0)))</f>
        <v>12.09373230324136</v>
      </c>
      <c r="Z316" s="84">
        <f>IF(INDEX(lmic_raw_ub[],MATCH($A316,lmic_raw_ub[[setting]:[setting]],0), MATCH(Z$277, lmic_raw_ub[#Headers],0))=0, INDEX(regions_ub[], MATCH($D316, regions_ub[[setting]:[setting]],0), MATCH(Z$139, regions_ub[#Headers],0)),INDEX(lmic_raw_ub[],MATCH($A316,lmic_raw_ub[[setting]:[setting]],0), MATCH(Z$277, lmic_raw_ub[#Headers],0)))</f>
        <v>12.065563089674512</v>
      </c>
      <c r="AA316" s="84">
        <f>IF(INDEX(lmic_raw_ub[],MATCH($A316,lmic_raw_ub[[setting]:[setting]],0), MATCH(AA$277, lmic_raw_ub[#Headers],0))=0, INDEX(regions_ub[], MATCH($D316, regions_ub[[setting]:[setting]],0), MATCH(AA$139, regions_ub[#Headers],0)),INDEX(lmic_raw_ub[],MATCH($A316,lmic_raw_ub[[setting]:[setting]],0), MATCH(AA$277, lmic_raw_ub[#Headers],0)))</f>
        <v>7.8335232614534798</v>
      </c>
      <c r="AB316" s="84">
        <f>IF(INDEX(lmic_raw_ub[],MATCH($A316,lmic_raw_ub[[setting]:[setting]],0), MATCH(AB$277, lmic_raw_ub[#Headers],0))=0, INDEX(regions_ub[], MATCH($D316, regions_ub[[setting]:[setting]],0), MATCH(AB$139, regions_ub[#Headers],0)),INDEX(lmic_raw_ub[],MATCH($A316,lmic_raw_ub[[setting]:[setting]],0), MATCH(AB$277, lmic_raw_ub[#Headers],0)))</f>
        <v>12.903658261453479</v>
      </c>
      <c r="AC316" s="84">
        <f>IF(INDEX(lmic_raw_ub[],MATCH($A316,lmic_raw_ub[[setting]:[setting]],0), MATCH(AC$277, lmic_raw_ub[#Headers],0))=0, INDEX(regions_ub[], MATCH($D316, regions_ub[[setting]:[setting]],0), MATCH(AC$139, regions_ub[#Headers],0)),INDEX(lmic_raw_ub[],MATCH($A316,lmic_raw_ub[[setting]:[setting]],0), MATCH(AC$277, lmic_raw_ub[#Headers],0)))</f>
        <v>6.9459127499999995E-2</v>
      </c>
      <c r="AD316" s="84">
        <f>IF(INDEX(lmic_raw_ub[],MATCH($A316,lmic_raw_ub[[setting]:[setting]],0), MATCH(AD$277, lmic_raw_ub[#Headers],0))=0, INDEX(regions_ub[], MATCH($D316, regions_ub[[setting]:[setting]],0), MATCH(AD$139, regions_ub[#Headers],0)),INDEX(lmic_raw_ub[],MATCH($A316,lmic_raw_ub[[setting]:[setting]],0), MATCH(AD$277, lmic_raw_ub[#Headers],0)))</f>
        <v>7.7727648153188104E-3</v>
      </c>
      <c r="AE316" s="84">
        <f>IF(INDEX(lmic_raw_ub[],MATCH($A316,lmic_raw_ub[[setting]:[setting]],0), MATCH(AE$277, lmic_raw_ub[#Headers],0))=0, INDEX(regions_ub[], MATCH($D316, regions_ub[[setting]:[setting]],0), MATCH(AE$139, regions_ub[#Headers],0)),INDEX(lmic_raw_ub[],MATCH($A316,lmic_raw_ub[[setting]:[setting]],0), MATCH(AE$277, lmic_raw_ub[#Headers],0)))</f>
        <v>2.2901229942682453E-3</v>
      </c>
      <c r="AF316" s="84">
        <f>IF(INDEX(lmic_raw_ub[],MATCH($A316,lmic_raw_ub[[setting]:[setting]],0), MATCH(AF$277, lmic_raw_ub[#Headers],0))=0, INDEX(regions_ub[], MATCH($D316, regions_ub[[setting]:[setting]],0), MATCH(AF$139, regions_ub[#Headers],0)),INDEX(lmic_raw_ub[],MATCH($A316,lmic_raw_ub[[setting]:[setting]],0), MATCH(AF$277, lmic_raw_ub[#Headers],0)))</f>
        <v>1.6340611587468763E-3</v>
      </c>
      <c r="AG316" s="84">
        <f>IF(INDEX(lmic_raw_ub[],MATCH($A316,lmic_raw_ub[[setting]:[setting]],0), MATCH(AG$277, lmic_raw_ub[#Headers],0))=0, INDEX(regions_ub[], MATCH($D316, regions_ub[[setting]:[setting]],0), MATCH(AG$139, regions_ub[#Headers],0)),INDEX(lmic_raw_ub[],MATCH($A316,lmic_raw_ub[[setting]:[setting]],0), MATCH(AG$277, lmic_raw_ub[#Headers],0)))</f>
        <v>2.4289178669117686E-3</v>
      </c>
      <c r="AH316" s="84">
        <f>IF(INDEX(lmic_raw_ub[],MATCH($A316,lmic_raw_ub[[setting]:[setting]],0), MATCH(AH$277, lmic_raw_ub[#Headers],0))=0, INDEX(regions_ub[], MATCH($D316, regions_ub[[setting]:[setting]],0), MATCH(AH$139, regions_ub[#Headers],0)),INDEX(lmic_raw_ub[],MATCH($A316,lmic_raw_ub[[setting]:[setting]],0), MATCH(AH$277, lmic_raw_ub[#Headers],0)))</f>
        <v>3.654245761964534E-3</v>
      </c>
      <c r="AI316" s="84">
        <f>IF(INDEX(lmic_raw_ub[],MATCH($A316,lmic_raw_ub[[setting]:[setting]],0), MATCH(AI$277, lmic_raw_ub[#Headers],0))=0, INDEX(regions_ub[], MATCH($D316, regions_ub[[setting]:[setting]],0), MATCH(AI$139, regions_ub[#Headers],0)),INDEX(lmic_raw_ub[],MATCH($A316,lmic_raw_ub[[setting]:[setting]],0), MATCH(AI$277, lmic_raw_ub[#Headers],0)))</f>
        <v>4.7797341048343052E-3</v>
      </c>
      <c r="AJ316" s="84">
        <f>IF(INDEX(lmic_raw_ub[],MATCH($A316,lmic_raw_ub[[setting]:[setting]],0), MATCH(AJ$277, lmic_raw_ub[#Headers],0))=0, INDEX(regions_ub[], MATCH($D316, regions_ub[[setting]:[setting]],0), MATCH(AJ$139, regions_ub[#Headers],0)),INDEX(lmic_raw_ub[],MATCH($A316,lmic_raw_ub[[setting]:[setting]],0), MATCH(AJ$277, lmic_raw_ub[#Headers],0)))</f>
        <v>6.0354805068088564E-3</v>
      </c>
      <c r="AK316" s="84">
        <f>IF(INDEX(lmic_raw_ub[],MATCH($A316,lmic_raw_ub[[setting]:[setting]],0), MATCH(AK$277, lmic_raw_ub[#Headers],0))=0, INDEX(regions_ub[], MATCH($D316, regions_ub[[setting]:[setting]],0), MATCH(AK$139, regions_ub[#Headers],0)),INDEX(lmic_raw_ub[],MATCH($A316,lmic_raw_ub[[setting]:[setting]],0), MATCH(AK$277, lmic_raw_ub[#Headers],0)))</f>
        <v>7.7953479373147044E-3</v>
      </c>
      <c r="AL316" s="84">
        <f>IF(INDEX(lmic_raw_ub[],MATCH($A316,lmic_raw_ub[[setting]:[setting]],0), MATCH(AL$277, lmic_raw_ub[#Headers],0))=0, INDEX(regions_ub[], MATCH($D316, regions_ub[[setting]:[setting]],0), MATCH(AL$139, regions_ub[#Headers],0)),INDEX(lmic_raw_ub[],MATCH($A316,lmic_raw_ub[[setting]:[setting]],0), MATCH(AL$277, lmic_raw_ub[#Headers],0)))</f>
        <v>9.4988338490574163E-3</v>
      </c>
      <c r="AM316" s="84">
        <f>IF(INDEX(lmic_raw_ub[],MATCH($A316,lmic_raw_ub[[setting]:[setting]],0), MATCH(AM$277, lmic_raw_ub[#Headers],0))=0, INDEX(regions_ub[], MATCH($D316, regions_ub[[setting]:[setting]],0), MATCH(AM$139, regions_ub[#Headers],0)),INDEX(lmic_raw_ub[],MATCH($A316,lmic_raw_ub[[setting]:[setting]],0), MATCH(AM$277, lmic_raw_ub[#Headers],0)))</f>
        <v>1.1404862497359539E-2</v>
      </c>
      <c r="AN316" s="84">
        <f>IF(INDEX(lmic_raw_ub[],MATCH($A316,lmic_raw_ub[[setting]:[setting]],0), MATCH(AN$277, lmic_raw_ub[#Headers],0))=0, INDEX(regions_ub[], MATCH($D316, regions_ub[[setting]:[setting]],0), MATCH(AN$139, regions_ub[#Headers],0)),INDEX(lmic_raw_ub[],MATCH($A316,lmic_raw_ub[[setting]:[setting]],0), MATCH(AN$277, lmic_raw_ub[#Headers],0)))</f>
        <v>1.4690660704199984E-2</v>
      </c>
      <c r="AO316" s="84">
        <f>IF(INDEX(lmic_raw_ub[],MATCH($A316,lmic_raw_ub[[setting]:[setting]],0), MATCH(AO$277, lmic_raw_ub[#Headers],0))=0, INDEX(regions_ub[], MATCH($D316, regions_ub[[setting]:[setting]],0), MATCH(AO$139, regions_ub[#Headers],0)),INDEX(lmic_raw_ub[],MATCH($A316,lmic_raw_ub[[setting]:[setting]],0), MATCH(AO$277, lmic_raw_ub[#Headers],0)))</f>
        <v>1.8644016875275959E-2</v>
      </c>
      <c r="AP316" s="84">
        <f>IF(INDEX(lmic_raw_ub[],MATCH($A316,lmic_raw_ub[[setting]:[setting]],0), MATCH(AP$277, lmic_raw_ub[#Headers],0))=0, INDEX(regions_ub[], MATCH($D316, regions_ub[[setting]:[setting]],0), MATCH(AP$139, regions_ub[#Headers],0)),INDEX(lmic_raw_ub[],MATCH($A316,lmic_raw_ub[[setting]:[setting]],0), MATCH(AP$277, lmic_raw_ub[#Headers],0)))</f>
        <v>2.6242524152832521E-2</v>
      </c>
      <c r="AQ316" s="84">
        <f>IF(INDEX(lmic_raw_ub[],MATCH($A316,lmic_raw_ub[[setting]:[setting]],0), MATCH(AQ$277, lmic_raw_ub[#Headers],0))=0, INDEX(regions_ub[], MATCH($D316, regions_ub[[setting]:[setting]],0), MATCH(AQ$139, regions_ub[#Headers],0)),INDEX(lmic_raw_ub[],MATCH($A316,lmic_raw_ub[[setting]:[setting]],0), MATCH(AQ$277, lmic_raw_ub[#Headers],0)))</f>
        <v>3.8400236269681545E-2</v>
      </c>
      <c r="AR316" s="84">
        <f>IF(INDEX(lmic_raw_ub[],MATCH($A316,lmic_raw_ub[[setting]:[setting]],0), MATCH(AR$277, lmic_raw_ub[#Headers],0))=0, INDEX(regions_ub[], MATCH($D316, regions_ub[[setting]:[setting]],0), MATCH(AR$139, regions_ub[#Headers],0)),INDEX(lmic_raw_ub[],MATCH($A316,lmic_raw_ub[[setting]:[setting]],0), MATCH(AR$277, lmic_raw_ub[#Headers],0)))</f>
        <v>5.7298368615599643E-2</v>
      </c>
      <c r="AS316" s="84">
        <f>IF(INDEX(lmic_raw_ub[],MATCH($A316,lmic_raw_ub[[setting]:[setting]],0), MATCH(AS$277, lmic_raw_ub[#Headers],0))=0, INDEX(regions_ub[], MATCH($D316, regions_ub[[setting]:[setting]],0), MATCH(AS$139, regions_ub[#Headers],0)),INDEX(lmic_raw_ub[],MATCH($A316,lmic_raw_ub[[setting]:[setting]],0), MATCH(AS$277, lmic_raw_ub[#Headers],0)))</f>
        <v>8.426329423058708E-2</v>
      </c>
      <c r="AT316" s="84">
        <f>IF(INDEX(lmic_raw_ub[],MATCH($A316,lmic_raw_ub[[setting]:[setting]],0), MATCH(AT$277, lmic_raw_ub[#Headers],0))=0, INDEX(regions_ub[], MATCH($D316, regions_ub[[setting]:[setting]],0), MATCH(AT$139, regions_ub[#Headers],0)),INDEX(lmic_raw_ub[],MATCH($A316,lmic_raw_ub[[setting]:[setting]],0), MATCH(AT$277, lmic_raw_ub[#Headers],0)))</f>
        <v>0.12172810430954861</v>
      </c>
      <c r="AU316" s="84">
        <f>IF(INDEX(lmic_raw_ub[],MATCH($A316,lmic_raw_ub[[setting]:[setting]],0), MATCH(AU$277, lmic_raw_ub[#Headers],0))=0, INDEX(regions_ub[], MATCH($D316, regions_ub[[setting]:[setting]],0), MATCH(AU$139, regions_ub[#Headers],0)),INDEX(lmic_raw_ub[],MATCH($A316,lmic_raw_ub[[setting]:[setting]],0), MATCH(AU$277, lmic_raw_ub[#Headers],0)))</f>
        <v>0.16180336919267241</v>
      </c>
      <c r="AV316" s="84">
        <f>IF(INDEX(lmic_raw_ub[],MATCH($A316,lmic_raw_ub[[setting]:[setting]],0), MATCH(AV$277, lmic_raw_ub[#Headers],0))=0, INDEX(regions_ub[], MATCH($D316, regions_ub[[setting]:[setting]],0), MATCH(AV$139, regions_ub[#Headers],0)),INDEX(lmic_raw_ub[],MATCH($A316,lmic_raw_ub[[setting]:[setting]],0), MATCH(AV$277, lmic_raw_ub[#Headers],0)))</f>
        <v>0.19072366440381383</v>
      </c>
      <c r="AW316" s="84">
        <f>IF(INDEX(lmic_raw_ub[],MATCH($A316,lmic_raw_ub[[setting]:[setting]],0), MATCH(AW$277, lmic_raw_ub[#Headers],0))=0, INDEX(regions_ub[], MATCH($D316, regions_ub[[setting]:[setting]],0), MATCH(AW$139, regions_ub[#Headers],0)),INDEX(lmic_raw_ub[],MATCH($A316,lmic_raw_ub[[setting]:[setting]],0), MATCH(AW$277, lmic_raw_ub[#Headers],0)))</f>
        <v>0.19864548158872186</v>
      </c>
      <c r="AX316" s="84">
        <f>IF(INDEX(lmic_raw_ub[],MATCH($A316,lmic_raw_ub[[setting]:[setting]],0), MATCH(AX$277, lmic_raw_ub[#Headers],0))=0, INDEX(regions_ub[], MATCH($D316, regions_ub[[setting]:[setting]],0), MATCH(AX$139, regions_ub[#Headers],0)),INDEX(lmic_raw_ub[],MATCH($A316,lmic_raw_ub[[setting]:[setting]],0), MATCH(AX$277, lmic_raw_ub[#Headers],0)))</f>
        <v>61.158300000000004</v>
      </c>
      <c r="AY316" s="33" t="str">
        <f>IF(VLOOKUP(lmics_ub[[#This Row],[setting]],lmic_raw_ub[],11,FALSE)=0, "Yes", "No")</f>
        <v>Yes</v>
      </c>
    </row>
    <row r="317" spans="1:51" x14ac:dyDescent="0.25">
      <c r="A317" s="110" t="s">
        <v>104</v>
      </c>
      <c r="B317" s="104" t="s">
        <v>420</v>
      </c>
      <c r="C317" s="105">
        <v>232</v>
      </c>
      <c r="D317" s="84" t="s">
        <v>677</v>
      </c>
      <c r="E317" s="84" t="s">
        <v>597</v>
      </c>
      <c r="F317" s="84" t="s">
        <v>667</v>
      </c>
      <c r="G317" s="84" t="s">
        <v>674</v>
      </c>
      <c r="J317" s="84">
        <f>IF(INDEX(lmic_raw_ub[],MATCH($A317,lmic_raw_ub[[setting]:[setting]],0), MATCH(J$277, lmic_raw_ub[#Headers],0))=0, INDEX(regions_ub[], MATCH($D317, regions_ub[[setting]:[setting]],0), MATCH(J$139, regions_ub[#Headers],0)),INDEX(lmic_raw_ub[],MATCH($A317,lmic_raw_ub[[setting]:[setting]],0), MATCH(J$277, lmic_raw_ub[#Headers],0)))</f>
        <v>0.35385000000000005</v>
      </c>
      <c r="K317" s="84">
        <f>IF(INDEX(lmic_raw_ub[],MATCH($A317,lmic_raw_ub[[setting]:[setting]],0), MATCH(K$277, lmic_raw_ub[#Headers],0))=0, INDEX(regions_ub[], MATCH($D317, regions_ub[[setting]:[setting]],0), MATCH(K$139, regions_ub[#Headers],0)),INDEX(lmic_raw_ub[],MATCH($A317,lmic_raw_ub[[setting]:[setting]],0), MATCH(K$277, lmic_raw_ub[#Headers],0)))</f>
        <v>0.71433037619548323</v>
      </c>
      <c r="L317" s="84">
        <f>IF(INDEX(lmic_raw_ub[],MATCH($A317,lmic_raw_ub[[setting]:[setting]],0), MATCH(L$277, lmic_raw_ub[#Headers],0))=0, INDEX(regions_ub[], MATCH($D317, regions_ub[[setting]:[setting]],0), MATCH(L$139, regions_ub[#Headers],0)),INDEX(lmic_raw_ub[],MATCH($A317,lmic_raw_ub[[setting]:[setting]],0), MATCH(L$277, lmic_raw_ub[#Headers],0)))</f>
        <v>0.99749999999999994</v>
      </c>
      <c r="M317" s="84">
        <f>IF(INDEX(lmic_raw_ub[],MATCH($A317,lmic_raw_ub[[setting]:[setting]],0), MATCH(M$277, lmic_raw_ub[#Headers],0))=0, INDEX(regions_ub[], MATCH($D317, regions_ub[[setting]:[setting]],0), MATCH(M$139, regions_ub[#Headers],0)),INDEX(lmic_raw_ub[],MATCH($A317,lmic_raw_ub[[setting]:[setting]],0), MATCH(M$277, lmic_raw_ub[#Headers],0)))</f>
        <v>2.2700000000000001E-2</v>
      </c>
      <c r="N317" s="84">
        <f>IF(INDEX(lmic_raw_ub[],MATCH($A317,lmic_raw_ub[[setting]:[setting]],0), MATCH(N$277, lmic_raw_ub[#Headers],0))=0, INDEX(regions_ub[], MATCH($D317, regions_ub[[setting]:[setting]],0), MATCH(N$139, regions_ub[#Headers],0)),INDEX(lmic_raw_ub[],MATCH($A317,lmic_raw_ub[[setting]:[setting]],0), MATCH(N$277, lmic_raw_ub[#Headers],0)))</f>
        <v>0.39960000000000001</v>
      </c>
      <c r="O317" s="84">
        <f>IF(INDEX(lmic_raw_ub[],MATCH($A317,lmic_raw_ub[[setting]:[setting]],0), MATCH(O$277, lmic_raw_ub[#Headers],0))=0, INDEX(regions_ub[], MATCH($D317, regions_ub[[setting]:[setting]],0), MATCH(O$139, regions_ub[#Headers],0)),INDEX(lmic_raw_ub[],MATCH($A317,lmic_raw_ub[[setting]:[setting]],0), MATCH(O$277, lmic_raw_ub[#Headers],0)))</f>
        <v>0.74399999999999999</v>
      </c>
      <c r="P317" s="84">
        <f>IF(INDEX(lmic_raw_ub[],MATCH($A317,lmic_raw_ub[[setting]:[setting]],0), MATCH(P$277, lmic_raw_ub[#Headers],0))=0, INDEX(regions_ub[], MATCH($D317, regions_ub[[setting]:[setting]],0), MATCH(P$139, regions_ub[#Headers],0)),INDEX(lmic_raw_ub[],MATCH($A317,lmic_raw_ub[[setting]:[setting]],0), MATCH(P$277, lmic_raw_ub[#Headers],0)))</f>
        <v>0.13300000000000001</v>
      </c>
      <c r="Q317" s="84">
        <f>IF(INDEX(lmic_raw_ub[],MATCH($A317,lmic_raw_ub[[setting]:[setting]],0), MATCH(Q$277, lmic_raw_ub[#Headers],0))=0, INDEX(regions_ub[], MATCH($D317, regions_ub[[setting]:[setting]],0), MATCH(Q$139, regions_ub[#Headers],0)),INDEX(lmic_raw_ub[],MATCH($A317,lmic_raw_ub[[setting]:[setting]],0), MATCH(Q$277, lmic_raw_ub[#Headers],0)))</f>
        <v>2.3425273450875119</v>
      </c>
      <c r="R317" s="84">
        <f>IF(INDEX(lmic_raw_ub[],MATCH($A317,lmic_raw_ub[[setting]:[setting]],0), MATCH(R$277, lmic_raw_ub[#Headers],0))=0, INDEX(regions_ub[], MATCH($D317, regions_ub[[setting]:[setting]],0), MATCH(R$139, regions_ub[#Headers],0)),INDEX(lmic_raw_ub[],MATCH($A317,lmic_raw_ub[[setting]:[setting]],0), MATCH(R$277, lmic_raw_ub[#Headers],0)))</f>
        <v>31.416525000000004</v>
      </c>
      <c r="S317" s="84">
        <f>IF(INDEX(lmic_raw_ub[],MATCH($A317,lmic_raw_ub[[setting]:[setting]],0), MATCH(S$277, lmic_raw_ub[#Headers],0))=0, INDEX(regions_ub[], MATCH($D317, regions_ub[[setting]:[setting]],0), MATCH(S$139, regions_ub[#Headers],0)),INDEX(lmic_raw_ub[],MATCH($A317,lmic_raw_ub[[setting]:[setting]],0), MATCH(S$277, lmic_raw_ub[#Headers],0)))</f>
        <v>81.545625000000015</v>
      </c>
      <c r="T317" s="84">
        <f>IF(INDEX(lmic_raw_ub[],MATCH($A317,lmic_raw_ub[[setting]:[setting]],0), MATCH(T$277, lmic_raw_ub[#Headers],0))=0, INDEX(regions_ub[], MATCH($D317, regions_ub[[setting]:[setting]],0), MATCH(T$139, regions_ub[#Headers],0)),INDEX(lmic_raw_ub[],MATCH($A317,lmic_raw_ub[[setting]:[setting]],0), MATCH(T$277, lmic_raw_ub[#Headers],0)))</f>
        <v>81.545625000000015</v>
      </c>
      <c r="U317" s="84">
        <f>IF(INDEX(lmic_raw_ub[],MATCH($A317,lmic_raw_ub[[setting]:[setting]],0), MATCH(U$277, lmic_raw_ub[#Headers],0))=0, INDEX(regions_ub[], MATCH($D317, regions_ub[[setting]:[setting]],0), MATCH(U$139, regions_ub[#Headers],0)),INDEX(lmic_raw_ub[],MATCH($A317,lmic_raw_ub[[setting]:[setting]],0), MATCH(U$277, lmic_raw_ub[#Headers],0)))</f>
        <v>81.545625000000015</v>
      </c>
      <c r="V317" s="84">
        <f>IF(INDEX(lmic_raw_ub[],MATCH($A317,lmic_raw_ub[[setting]:[setting]],0), MATCH(V$277, lmic_raw_ub[#Headers],0))=0, INDEX(regions_ub[], MATCH($D317, regions_ub[[setting]:[setting]],0), MATCH(V$139, regions_ub[#Headers],0)),INDEX(lmic_raw_ub[],MATCH($A317,lmic_raw_ub[[setting]:[setting]],0), MATCH(V$277, lmic_raw_ub[#Headers],0)))</f>
        <v>9.2821854831519843</v>
      </c>
      <c r="W317" s="84">
        <f>IF(INDEX(lmic_raw_ub[],MATCH($A317,lmic_raw_ub[[setting]:[setting]],0), MATCH(W$277, lmic_raw_ub[#Headers],0))=0, INDEX(regions_ub[], MATCH($D317, regions_ub[[setting]:[setting]],0), MATCH(W$139, regions_ub[#Headers],0)),INDEX(lmic_raw_ub[],MATCH($A317,lmic_raw_ub[[setting]:[setting]],0), MATCH(W$277, lmic_raw_ub[#Headers],0)))</f>
        <v>14.352320483151985</v>
      </c>
      <c r="X317" s="84">
        <f>IF(INDEX(lmic_raw_ub[],MATCH($A317,lmic_raw_ub[[setting]:[setting]],0), MATCH(X$277, lmic_raw_ub[#Headers],0))=0, INDEX(regions_ub[], MATCH($D317, regions_ub[[setting]:[setting]],0), MATCH(X$139, regions_ub[#Headers],0)),INDEX(lmic_raw_ub[],MATCH($A317,lmic_raw_ub[[setting]:[setting]],0), MATCH(X$277, lmic_raw_ub[#Headers],0)))</f>
        <v>8.7884078798156651</v>
      </c>
      <c r="Y317" s="84">
        <f>IF(INDEX(lmic_raw_ub[],MATCH($A317,lmic_raw_ub[[setting]:[setting]],0), MATCH(Y$277, lmic_raw_ub[#Headers],0))=0, INDEX(regions_ub[], MATCH($D317, regions_ub[[setting]:[setting]],0), MATCH(Y$139, regions_ub[#Headers],0)),INDEX(lmic_raw_ub[],MATCH($A317,lmic_raw_ub[[setting]:[setting]],0), MATCH(Y$277, lmic_raw_ub[#Headers],0)))</f>
        <v>13.858542879815666</v>
      </c>
      <c r="Z317" s="84">
        <f>IF(INDEX(lmic_raw_ub[],MATCH($A317,lmic_raw_ub[[setting]:[setting]],0), MATCH(Z$277, lmic_raw_ub[#Headers],0))=0, INDEX(regions_ub[], MATCH($D317, regions_ub[[setting]:[setting]],0), MATCH(Z$139, regions_ub[#Headers],0)),INDEX(lmic_raw_ub[],MATCH($A317,lmic_raw_ub[[setting]:[setting]],0), MATCH(Z$277, lmic_raw_ub[#Headers],0)))</f>
        <v>13.853072278822641</v>
      </c>
      <c r="AA317" s="84">
        <f>IF(INDEX(lmic_raw_ub[],MATCH($A317,lmic_raw_ub[[setting]:[setting]],0), MATCH(AA$277, lmic_raw_ub[#Headers],0))=0, INDEX(regions_ub[], MATCH($D317, regions_ub[[setting]:[setting]],0), MATCH(AA$139, regions_ub[#Headers],0)),INDEX(lmic_raw_ub[],MATCH($A317,lmic_raw_ub[[setting]:[setting]],0), MATCH(AA$277, lmic_raw_ub[#Headers],0)))</f>
        <v>9.5503444146020939</v>
      </c>
      <c r="AB317" s="84">
        <f>IF(INDEX(lmic_raw_ub[],MATCH($A317,lmic_raw_ub[[setting]:[setting]],0), MATCH(AB$277, lmic_raw_ub[#Headers],0))=0, INDEX(regions_ub[], MATCH($D317, regions_ub[[setting]:[setting]],0), MATCH(AB$139, regions_ub[#Headers],0)),INDEX(lmic_raw_ub[],MATCH($A317,lmic_raw_ub[[setting]:[setting]],0), MATCH(AB$277, lmic_raw_ub[#Headers],0)))</f>
        <v>14.620479414602094</v>
      </c>
      <c r="AC317" s="84">
        <f>IF(INDEX(lmic_raw_ub[],MATCH($A317,lmic_raw_ub[[setting]:[setting]],0), MATCH(AC$277, lmic_raw_ub[#Headers],0))=0, INDEX(regions_ub[], MATCH($D317, regions_ub[[setting]:[setting]],0), MATCH(AC$139, regions_ub[#Headers],0)),INDEX(lmic_raw_ub[],MATCH($A317,lmic_raw_ub[[setting]:[setting]],0), MATCH(AC$277, lmic_raw_ub[#Headers],0)))</f>
        <v>3.6459948000000048E-2</v>
      </c>
      <c r="AD317" s="84">
        <f>IF(INDEX(lmic_raw_ub[],MATCH($A317,lmic_raw_ub[[setting]:[setting]],0), MATCH(AD$277, lmic_raw_ub[#Headers],0))=0, INDEX(regions_ub[], MATCH($D317, regions_ub[[setting]:[setting]],0), MATCH(AD$139, regions_ub[#Headers],0)),INDEX(lmic_raw_ub[],MATCH($A317,lmic_raw_ub[[setting]:[setting]],0), MATCH(AD$277, lmic_raw_ub[#Headers],0)))</f>
        <v>2.6020065768944962E-3</v>
      </c>
      <c r="AE317" s="84">
        <f>IF(INDEX(lmic_raw_ub[],MATCH($A317,lmic_raw_ub[[setting]:[setting]],0), MATCH(AE$277, lmic_raw_ub[#Headers],0))=0, INDEX(regions_ub[], MATCH($D317, regions_ub[[setting]:[setting]],0), MATCH(AE$139, regions_ub[#Headers],0)),INDEX(lmic_raw_ub[],MATCH($A317,lmic_raw_ub[[setting]:[setting]],0), MATCH(AE$277, lmic_raw_ub[#Headers],0)))</f>
        <v>8.8375704031701003E-4</v>
      </c>
      <c r="AF317" s="84">
        <f>IF(INDEX(lmic_raw_ub[],MATCH($A317,lmic_raw_ub[[setting]:[setting]],0), MATCH(AF$277, lmic_raw_ub[#Headers],0))=0, INDEX(regions_ub[], MATCH($D317, regions_ub[[setting]:[setting]],0), MATCH(AF$139, regions_ub[#Headers],0)),INDEX(lmic_raw_ub[],MATCH($A317,lmic_raw_ub[[setting]:[setting]],0), MATCH(AF$277, lmic_raw_ub[#Headers],0)))</f>
        <v>6.6808869723276648E-4</v>
      </c>
      <c r="AG317" s="84">
        <f>IF(INDEX(lmic_raw_ub[],MATCH($A317,lmic_raw_ub[[setting]:[setting]],0), MATCH(AG$277, lmic_raw_ub[#Headers],0))=0, INDEX(regions_ub[], MATCH($D317, regions_ub[[setting]:[setting]],0), MATCH(AG$139, regions_ub[#Headers],0)),INDEX(lmic_raw_ub[],MATCH($A317,lmic_raw_ub[[setting]:[setting]],0), MATCH(AG$277, lmic_raw_ub[#Headers],0)))</f>
        <v>1.2893950160499862E-3</v>
      </c>
      <c r="AH317" s="84">
        <f>IF(INDEX(lmic_raw_ub[],MATCH($A317,lmic_raw_ub[[setting]:[setting]],0), MATCH(AH$277, lmic_raw_ub[#Headers],0))=0, INDEX(regions_ub[], MATCH($D317, regions_ub[[setting]:[setting]],0), MATCH(AH$139, regions_ub[#Headers],0)),INDEX(lmic_raw_ub[],MATCH($A317,lmic_raw_ub[[setting]:[setting]],0), MATCH(AH$277, lmic_raw_ub[#Headers],0)))</f>
        <v>1.833124538989459E-3</v>
      </c>
      <c r="AI317" s="84">
        <f>IF(INDEX(lmic_raw_ub[],MATCH($A317,lmic_raw_ub[[setting]:[setting]],0), MATCH(AI$277, lmic_raw_ub[#Headers],0))=0, INDEX(regions_ub[], MATCH($D317, regions_ub[[setting]:[setting]],0), MATCH(AI$139, regions_ub[#Headers],0)),INDEX(lmic_raw_ub[],MATCH($A317,lmic_raw_ub[[setting]:[setting]],0), MATCH(AI$277, lmic_raw_ub[#Headers],0)))</f>
        <v>2.4245764112803174E-3</v>
      </c>
      <c r="AJ317" s="84">
        <f>IF(INDEX(lmic_raw_ub[],MATCH($A317,lmic_raw_ub[[setting]:[setting]],0), MATCH(AJ$277, lmic_raw_ub[#Headers],0))=0, INDEX(regions_ub[], MATCH($D317, regions_ub[[setting]:[setting]],0), MATCH(AJ$139, regions_ub[#Headers],0)),INDEX(lmic_raw_ub[],MATCH($A317,lmic_raw_ub[[setting]:[setting]],0), MATCH(AJ$277, lmic_raw_ub[#Headers],0)))</f>
        <v>3.2478075052726567E-3</v>
      </c>
      <c r="AK317" s="84">
        <f>IF(INDEX(lmic_raw_ub[],MATCH($A317,lmic_raw_ub[[setting]:[setting]],0), MATCH(AK$277, lmic_raw_ub[#Headers],0))=0, INDEX(regions_ub[], MATCH($D317, regions_ub[[setting]:[setting]],0), MATCH(AK$139, regions_ub[#Headers],0)),INDEX(lmic_raw_ub[],MATCH($A317,lmic_raw_ub[[setting]:[setting]],0), MATCH(AK$277, lmic_raw_ub[#Headers],0)))</f>
        <v>4.2153265458819223E-3</v>
      </c>
      <c r="AL317" s="84">
        <f>IF(INDEX(lmic_raw_ub[],MATCH($A317,lmic_raw_ub[[setting]:[setting]],0), MATCH(AL$277, lmic_raw_ub[#Headers],0))=0, INDEX(regions_ub[], MATCH($D317, regions_ub[[setting]:[setting]],0), MATCH(AL$139, regions_ub[#Headers],0)),INDEX(lmic_raw_ub[],MATCH($A317,lmic_raw_ub[[setting]:[setting]],0), MATCH(AL$277, lmic_raw_ub[#Headers],0)))</f>
        <v>6.0940457915160976E-3</v>
      </c>
      <c r="AM317" s="84">
        <f>IF(INDEX(lmic_raw_ub[],MATCH($A317,lmic_raw_ub[[setting]:[setting]],0), MATCH(AM$277, lmic_raw_ub[#Headers],0))=0, INDEX(regions_ub[], MATCH($D317, regions_ub[[setting]:[setting]],0), MATCH(AM$139, regions_ub[#Headers],0)),INDEX(lmic_raw_ub[],MATCH($A317,lmic_raw_ub[[setting]:[setting]],0), MATCH(AM$277, lmic_raw_ub[#Headers],0)))</f>
        <v>8.2437444320121334E-3</v>
      </c>
      <c r="AN317" s="84">
        <f>IF(INDEX(lmic_raw_ub[],MATCH($A317,lmic_raw_ub[[setting]:[setting]],0), MATCH(AN$277, lmic_raw_ub[#Headers],0))=0, INDEX(regions_ub[], MATCH($D317, regions_ub[[setting]:[setting]],0), MATCH(AN$139, regions_ub[#Headers],0)),INDEX(lmic_raw_ub[],MATCH($A317,lmic_raw_ub[[setting]:[setting]],0), MATCH(AN$277, lmic_raw_ub[#Headers],0)))</f>
        <v>1.2181586819863623E-2</v>
      </c>
      <c r="AO317" s="84">
        <f>IF(INDEX(lmic_raw_ub[],MATCH($A317,lmic_raw_ub[[setting]:[setting]],0), MATCH(AO$277, lmic_raw_ub[#Headers],0))=0, INDEX(regions_ub[], MATCH($D317, regions_ub[[setting]:[setting]],0), MATCH(AO$139, regions_ub[#Headers],0)),INDEX(lmic_raw_ub[],MATCH($A317,lmic_raw_ub[[setting]:[setting]],0), MATCH(AO$277, lmic_raw_ub[#Headers],0)))</f>
        <v>1.7660339558705246E-2</v>
      </c>
      <c r="AP317" s="84">
        <f>IF(INDEX(lmic_raw_ub[],MATCH($A317,lmic_raw_ub[[setting]:[setting]],0), MATCH(AP$277, lmic_raw_ub[#Headers],0))=0, INDEX(regions_ub[], MATCH($D317, regions_ub[[setting]:[setting]],0), MATCH(AP$139, regions_ub[#Headers],0)),INDEX(lmic_raw_ub[],MATCH($A317,lmic_raw_ub[[setting]:[setting]],0), MATCH(AP$277, lmic_raw_ub[#Headers],0)))</f>
        <v>2.5298541650025284E-2</v>
      </c>
      <c r="AQ317" s="84">
        <f>IF(INDEX(lmic_raw_ub[],MATCH($A317,lmic_raw_ub[[setting]:[setting]],0), MATCH(AQ$277, lmic_raw_ub[#Headers],0))=0, INDEX(regions_ub[], MATCH($D317, regions_ub[[setting]:[setting]],0), MATCH(AQ$139, regions_ub[#Headers],0)),INDEX(lmic_raw_ub[],MATCH($A317,lmic_raw_ub[[setting]:[setting]],0), MATCH(AQ$277, lmic_raw_ub[#Headers],0)))</f>
        <v>3.5611633705219345E-2</v>
      </c>
      <c r="AR317" s="84">
        <f>IF(INDEX(lmic_raw_ub[],MATCH($A317,lmic_raw_ub[[setting]:[setting]],0), MATCH(AR$277, lmic_raw_ub[#Headers],0))=0, INDEX(regions_ub[], MATCH($D317, regions_ub[[setting]:[setting]],0), MATCH(AR$139, regions_ub[#Headers],0)),INDEX(lmic_raw_ub[],MATCH($A317,lmic_raw_ub[[setting]:[setting]],0), MATCH(AR$277, lmic_raw_ub[#Headers],0)))</f>
        <v>5.2638882094616299E-2</v>
      </c>
      <c r="AS317" s="84">
        <f>IF(INDEX(lmic_raw_ub[],MATCH($A317,lmic_raw_ub[[setting]:[setting]],0), MATCH(AS$277, lmic_raw_ub[#Headers],0))=0, INDEX(regions_ub[], MATCH($D317, regions_ub[[setting]:[setting]],0), MATCH(AS$139, regions_ub[#Headers],0)),INDEX(lmic_raw_ub[],MATCH($A317,lmic_raw_ub[[setting]:[setting]],0), MATCH(AS$277, lmic_raw_ub[#Headers],0)))</f>
        <v>7.2204057153309048E-2</v>
      </c>
      <c r="AT317" s="84">
        <f>IF(INDEX(lmic_raw_ub[],MATCH($A317,lmic_raw_ub[[setting]:[setting]],0), MATCH(AT$277, lmic_raw_ub[#Headers],0))=0, INDEX(regions_ub[], MATCH($D317, regions_ub[[setting]:[setting]],0), MATCH(AT$139, regions_ub[#Headers],0)),INDEX(lmic_raw_ub[],MATCH($A317,lmic_raw_ub[[setting]:[setting]],0), MATCH(AT$277, lmic_raw_ub[#Headers],0)))</f>
        <v>0.10044624467875078</v>
      </c>
      <c r="AU317" s="84">
        <f>IF(INDEX(lmic_raw_ub[],MATCH($A317,lmic_raw_ub[[setting]:[setting]],0), MATCH(AU$277, lmic_raw_ub[#Headers],0))=0, INDEX(regions_ub[], MATCH($D317, regions_ub[[setting]:[setting]],0), MATCH(AU$139, regions_ub[#Headers],0)),INDEX(lmic_raw_ub[],MATCH($A317,lmic_raw_ub[[setting]:[setting]],0), MATCH(AU$277, lmic_raw_ub[#Headers],0)))</f>
        <v>0.12796630358206371</v>
      </c>
      <c r="AV317" s="84">
        <f>IF(INDEX(lmic_raw_ub[],MATCH($A317,lmic_raw_ub[[setting]:[setting]],0), MATCH(AV$277, lmic_raw_ub[#Headers],0))=0, INDEX(regions_ub[], MATCH($D317, regions_ub[[setting]:[setting]],0), MATCH(AV$139, regions_ub[#Headers],0)),INDEX(lmic_raw_ub[],MATCH($A317,lmic_raw_ub[[setting]:[setting]],0), MATCH(AV$277, lmic_raw_ub[#Headers],0)))</f>
        <v>0.1506764640334636</v>
      </c>
      <c r="AW317" s="84">
        <f>IF(INDEX(lmic_raw_ub[],MATCH($A317,lmic_raw_ub[[setting]:[setting]],0), MATCH(AW$277, lmic_raw_ub[#Headers],0))=0, INDEX(regions_ub[], MATCH($D317, regions_ub[[setting]:[setting]],0), MATCH(AW$139, regions_ub[#Headers],0)),INDEX(lmic_raw_ub[],MATCH($A317,lmic_raw_ub[[setting]:[setting]],0), MATCH(AW$277, lmic_raw_ub[#Headers],0)))</f>
        <v>0.16940372407082813</v>
      </c>
      <c r="AX317" s="84">
        <f>IF(INDEX(lmic_raw_ub[],MATCH($A317,lmic_raw_ub[[setting]:[setting]],0), MATCH(AX$277, lmic_raw_ub[#Headers],0))=0, INDEX(regions_ub[], MATCH($D317, regions_ub[[setting]:[setting]],0), MATCH(AX$139, regions_ub[#Headers],0)),INDEX(lmic_raw_ub[],MATCH($A317,lmic_raw_ub[[setting]:[setting]],0), MATCH(AX$277, lmic_raw_ub[#Headers],0)))</f>
        <v>69.030149999999992</v>
      </c>
      <c r="AY317" s="33" t="str">
        <f>IF(VLOOKUP(lmics_ub[[#This Row],[setting]],lmic_raw_ub[],11,FALSE)=0, "Yes", "No")</f>
        <v>Yes</v>
      </c>
    </row>
    <row r="318" spans="1:51" x14ac:dyDescent="0.25">
      <c r="A318" s="109" t="s">
        <v>133</v>
      </c>
      <c r="B318" s="101" t="s">
        <v>422</v>
      </c>
      <c r="C318" s="102">
        <v>748</v>
      </c>
      <c r="D318" s="82" t="s">
        <v>677</v>
      </c>
      <c r="E318" s="82" t="s">
        <v>594</v>
      </c>
      <c r="F318" s="82" t="s">
        <v>667</v>
      </c>
      <c r="G318" s="82" t="s">
        <v>678</v>
      </c>
      <c r="J318" s="84">
        <f>IF(INDEX(lmic_raw_ub[],MATCH($A318,lmic_raw_ub[[setting]:[setting]],0), MATCH(J$277, lmic_raw_ub[#Headers],0))=0, INDEX(regions_ub[], MATCH($D318, regions_ub[[setting]:[setting]],0), MATCH(J$139, regions_ub[#Headers],0)),INDEX(lmic_raw_ub[],MATCH($A318,lmic_raw_ub[[setting]:[setting]],0), MATCH(J$277, lmic_raw_ub[#Headers],0)))</f>
        <v>0.92085000000000006</v>
      </c>
      <c r="K318" s="84">
        <f>IF(INDEX(lmic_raw_ub[],MATCH($A318,lmic_raw_ub[[setting]:[setting]],0), MATCH(K$277, lmic_raw_ub[#Headers],0))=0, INDEX(regions_ub[], MATCH($D318, regions_ub[[setting]:[setting]],0), MATCH(K$139, regions_ub[#Headers],0)),INDEX(lmic_raw_ub[],MATCH($A318,lmic_raw_ub[[setting]:[setting]],0), MATCH(K$277, lmic_raw_ub[#Headers],0)))</f>
        <v>0.71433037619548323</v>
      </c>
      <c r="L318" s="84">
        <f>IF(INDEX(lmic_raw_ub[],MATCH($A318,lmic_raw_ub[[setting]:[setting]],0), MATCH(L$277, lmic_raw_ub[#Headers],0))=0, INDEX(regions_ub[], MATCH($D318, regions_ub[[setting]:[setting]],0), MATCH(L$139, regions_ub[#Headers],0)),INDEX(lmic_raw_ub[],MATCH($A318,lmic_raw_ub[[setting]:[setting]],0), MATCH(L$277, lmic_raw_ub[#Headers],0)))</f>
        <v>0.94500000000000006</v>
      </c>
      <c r="M318" s="84">
        <f>IF(INDEX(lmic_raw_ub[],MATCH($A318,lmic_raw_ub[[setting]:[setting]],0), MATCH(M$277, lmic_raw_ub[#Headers],0))=0, INDEX(regions_ub[], MATCH($D318, regions_ub[[setting]:[setting]],0), MATCH(M$139, regions_ub[#Headers],0)),INDEX(lmic_raw_ub[],MATCH($A318,lmic_raw_ub[[setting]:[setting]],0), MATCH(M$277, lmic_raw_ub[#Headers],0)))</f>
        <v>0.18329999999999999</v>
      </c>
      <c r="N318" s="84">
        <f>IF(INDEX(lmic_raw_ub[],MATCH($A318,lmic_raw_ub[[setting]:[setting]],0), MATCH(N$277, lmic_raw_ub[#Headers],0))=0, INDEX(regions_ub[], MATCH($D318, regions_ub[[setting]:[setting]],0), MATCH(N$139, regions_ub[#Headers],0)),INDEX(lmic_raw_ub[],MATCH($A318,lmic_raw_ub[[setting]:[setting]],0), MATCH(N$277, lmic_raw_ub[#Headers],0)))</f>
        <v>0.3679</v>
      </c>
      <c r="O318" s="84">
        <f>IF(INDEX(lmic_raw_ub[],MATCH($A318,lmic_raw_ub[[setting]:[setting]],0), MATCH(O$277, lmic_raw_ub[#Headers],0))=0, INDEX(regions_ub[], MATCH($D318, regions_ub[[setting]:[setting]],0), MATCH(O$139, regions_ub[#Headers],0)),INDEX(lmic_raw_ub[],MATCH($A318,lmic_raw_ub[[setting]:[setting]],0), MATCH(O$277, lmic_raw_ub[#Headers],0)))</f>
        <v>0.74399999999999999</v>
      </c>
      <c r="P318" s="84">
        <f>IF(INDEX(lmic_raw_ub[],MATCH($A318,lmic_raw_ub[[setting]:[setting]],0), MATCH(P$277, lmic_raw_ub[#Headers],0))=0, INDEX(regions_ub[], MATCH($D318, regions_ub[[setting]:[setting]],0), MATCH(P$139, regions_ub[#Headers],0)),INDEX(lmic_raw_ub[],MATCH($A318,lmic_raw_ub[[setting]:[setting]],0), MATCH(P$277, lmic_raw_ub[#Headers],0)))</f>
        <v>0.13300000000000001</v>
      </c>
      <c r="Q318" s="84">
        <f>IF(INDEX(lmic_raw_ub[],MATCH($A318,lmic_raw_ub[[setting]:[setting]],0), MATCH(Q$277, lmic_raw_ub[#Headers],0))=0, INDEX(regions_ub[], MATCH($D318, regions_ub[[setting]:[setting]],0), MATCH(Q$139, regions_ub[#Headers],0)),INDEX(lmic_raw_ub[],MATCH($A318,lmic_raw_ub[[setting]:[setting]],0), MATCH(Q$277, lmic_raw_ub[#Headers],0)))</f>
        <v>6.97857833669286</v>
      </c>
      <c r="R318" s="84">
        <f>IF(INDEX(lmic_raw_ub[],MATCH($A318,lmic_raw_ub[[setting]:[setting]],0), MATCH(R$277, lmic_raw_ub[#Headers],0))=0, INDEX(regions_ub[], MATCH($D318, regions_ub[[setting]:[setting]],0), MATCH(R$139, regions_ub[#Headers],0)),INDEX(lmic_raw_ub[],MATCH($A318,lmic_raw_ub[[setting]:[setting]],0), MATCH(R$277, lmic_raw_ub[#Headers],0)))</f>
        <v>31.416525000000004</v>
      </c>
      <c r="S318" s="84">
        <f>IF(INDEX(lmic_raw_ub[],MATCH($A318,lmic_raw_ub[[setting]:[setting]],0), MATCH(S$277, lmic_raw_ub[#Headers],0))=0, INDEX(regions_ub[], MATCH($D318, regions_ub[[setting]:[setting]],0), MATCH(S$139, regions_ub[#Headers],0)),INDEX(lmic_raw_ub[],MATCH($A318,lmic_raw_ub[[setting]:[setting]],0), MATCH(S$277, lmic_raw_ub[#Headers],0)))</f>
        <v>81.545625000000015</v>
      </c>
      <c r="T318" s="84">
        <f>IF(INDEX(lmic_raw_ub[],MATCH($A318,lmic_raw_ub[[setting]:[setting]],0), MATCH(T$277, lmic_raw_ub[#Headers],0))=0, INDEX(regions_ub[], MATCH($D318, regions_ub[[setting]:[setting]],0), MATCH(T$139, regions_ub[#Headers],0)),INDEX(lmic_raw_ub[],MATCH($A318,lmic_raw_ub[[setting]:[setting]],0), MATCH(T$277, lmic_raw_ub[#Headers],0)))</f>
        <v>81.545625000000015</v>
      </c>
      <c r="U318" s="84">
        <f>IF(INDEX(lmic_raw_ub[],MATCH($A318,lmic_raw_ub[[setting]:[setting]],0), MATCH(U$277, lmic_raw_ub[#Headers],0))=0, INDEX(regions_ub[], MATCH($D318, regions_ub[[setting]:[setting]],0), MATCH(U$139, regions_ub[#Headers],0)),INDEX(lmic_raw_ub[],MATCH($A318,lmic_raw_ub[[setting]:[setting]],0), MATCH(U$277, lmic_raw_ub[#Headers],0)))</f>
        <v>81.545625000000015</v>
      </c>
      <c r="V318" s="84">
        <f>IF(INDEX(lmic_raw_ub[],MATCH($A318,lmic_raw_ub[[setting]:[setting]],0), MATCH(V$277, lmic_raw_ub[#Headers],0))=0, INDEX(regions_ub[], MATCH($D318, regions_ub[[setting]:[setting]],0), MATCH(V$139, regions_ub[#Headers],0)),INDEX(lmic_raw_ub[],MATCH($A318,lmic_raw_ub[[setting]:[setting]],0), MATCH(V$277, lmic_raw_ub[#Headers],0)))</f>
        <v>12.503817240050285</v>
      </c>
      <c r="W318" s="84">
        <f>IF(INDEX(lmic_raw_ub[],MATCH($A318,lmic_raw_ub[[setting]:[setting]],0), MATCH(W$277, lmic_raw_ub[#Headers],0))=0, INDEX(regions_ub[], MATCH($D318, regions_ub[[setting]:[setting]],0), MATCH(W$139, regions_ub[#Headers],0)),INDEX(lmic_raw_ub[],MATCH($A318,lmic_raw_ub[[setting]:[setting]],0), MATCH(W$277, lmic_raw_ub[#Headers],0)))</f>
        <v>17.573952240050286</v>
      </c>
      <c r="X318" s="84">
        <f>IF(INDEX(lmic_raw_ub[],MATCH($A318,lmic_raw_ub[[setting]:[setting]],0), MATCH(X$277, lmic_raw_ub[#Headers],0))=0, INDEX(regions_ub[], MATCH($D318, regions_ub[[setting]:[setting]],0), MATCH(X$139, regions_ub[#Headers],0)),INDEX(lmic_raw_ub[],MATCH($A318,lmic_raw_ub[[setting]:[setting]],0), MATCH(X$277, lmic_raw_ub[#Headers],0)))</f>
        <v>11.978682677004814</v>
      </c>
      <c r="Y318" s="84">
        <f>IF(INDEX(lmic_raw_ub[],MATCH($A318,lmic_raw_ub[[setting]:[setting]],0), MATCH(Y$277, lmic_raw_ub[#Headers],0))=0, INDEX(regions_ub[], MATCH($D318, regions_ub[[setting]:[setting]],0), MATCH(Y$139, regions_ub[#Headers],0)),INDEX(lmic_raw_ub[],MATCH($A318,lmic_raw_ub[[setting]:[setting]],0), MATCH(Y$277, lmic_raw_ub[#Headers],0)))</f>
        <v>17.048817677004813</v>
      </c>
      <c r="Z318" s="84">
        <f>IF(INDEX(lmic_raw_ub[],MATCH($A318,lmic_raw_ub[[setting]:[setting]],0), MATCH(Z$277, lmic_raw_ub[#Headers],0))=0, INDEX(regions_ub[], MATCH($D318, regions_ub[[setting]:[setting]],0), MATCH(Z$139, regions_ub[#Headers],0)),INDEX(lmic_raw_ub[],MATCH($A318,lmic_raw_ub[[setting]:[setting]],0), MATCH(Z$277, lmic_raw_ub[#Headers],0)))</f>
        <v>17.026384480050773</v>
      </c>
      <c r="AA318" s="84">
        <f>IF(INDEX(lmic_raw_ub[],MATCH($A318,lmic_raw_ub[[setting]:[setting]],0), MATCH(AA$277, lmic_raw_ub[#Headers],0))=0, INDEX(regions_ub[], MATCH($D318, regions_ub[[setting]:[setting]],0), MATCH(AA$139, regions_ub[#Headers],0)),INDEX(lmic_raw_ub[],MATCH($A318,lmic_raw_ub[[setting]:[setting]],0), MATCH(AA$277, lmic_raw_ub[#Headers],0)))</f>
        <v>12.779094008980389</v>
      </c>
      <c r="AB318" s="84">
        <f>IF(INDEX(lmic_raw_ub[],MATCH($A318,lmic_raw_ub[[setting]:[setting]],0), MATCH(AB$277, lmic_raw_ub[#Headers],0))=0, INDEX(regions_ub[], MATCH($D318, regions_ub[[setting]:[setting]],0), MATCH(AB$139, regions_ub[#Headers],0)),INDEX(lmic_raw_ub[],MATCH($A318,lmic_raw_ub[[setting]:[setting]],0), MATCH(AB$277, lmic_raw_ub[#Headers],0)))</f>
        <v>17.849229008980387</v>
      </c>
      <c r="AC318" s="84">
        <f>IF(INDEX(lmic_raw_ub[],MATCH($A318,lmic_raw_ub[[setting]:[setting]],0), MATCH(AC$277, lmic_raw_ub[#Headers],0))=0, INDEX(regions_ub[], MATCH($D318, regions_ub[[setting]:[setting]],0), MATCH(AC$139, regions_ub[#Headers],0)),INDEX(lmic_raw_ub[],MATCH($A318,lmic_raw_ub[[setting]:[setting]],0), MATCH(AC$277, lmic_raw_ub[#Headers],0)))</f>
        <v>4.3433019000000031E-2</v>
      </c>
      <c r="AD318" s="84">
        <f>IF(INDEX(lmic_raw_ub[],MATCH($A318,lmic_raw_ub[[setting]:[setting]],0), MATCH(AD$277, lmic_raw_ub[#Headers],0))=0, INDEX(regions_ub[], MATCH($D318, regions_ub[[setting]:[setting]],0), MATCH(AD$139, regions_ub[#Headers],0)),INDEX(lmic_raw_ub[],MATCH($A318,lmic_raw_ub[[setting]:[setting]],0), MATCH(AD$277, lmic_raw_ub[#Headers],0)))</f>
        <v>3.5762380501730292E-3</v>
      </c>
      <c r="AE318" s="84">
        <f>IF(INDEX(lmic_raw_ub[],MATCH($A318,lmic_raw_ub[[setting]:[setting]],0), MATCH(AE$277, lmic_raw_ub[#Headers],0))=0, INDEX(regions_ub[], MATCH($D318, regions_ub[[setting]:[setting]],0), MATCH(AE$139, regions_ub[#Headers],0)),INDEX(lmic_raw_ub[],MATCH($A318,lmic_raw_ub[[setting]:[setting]],0), MATCH(AE$277, lmic_raw_ub[#Headers],0)))</f>
        <v>1.0293225814980279E-3</v>
      </c>
      <c r="AF318" s="84">
        <f>IF(INDEX(lmic_raw_ub[],MATCH($A318,lmic_raw_ub[[setting]:[setting]],0), MATCH(AF$277, lmic_raw_ub[#Headers],0))=0, INDEX(regions_ub[], MATCH($D318, regions_ub[[setting]:[setting]],0), MATCH(AF$139, regions_ub[#Headers],0)),INDEX(lmic_raw_ub[],MATCH($A318,lmic_raw_ub[[setting]:[setting]],0), MATCH(AF$277, lmic_raw_ub[#Headers],0)))</f>
        <v>9.1148021166019175E-4</v>
      </c>
      <c r="AG318" s="84">
        <f>IF(INDEX(lmic_raw_ub[],MATCH($A318,lmic_raw_ub[[setting]:[setting]],0), MATCH(AG$277, lmic_raw_ub[#Headers],0))=0, INDEX(regions_ub[], MATCH($D318, regions_ub[[setting]:[setting]],0), MATCH(AG$139, regions_ub[#Headers],0)),INDEX(lmic_raw_ub[],MATCH($A318,lmic_raw_ub[[setting]:[setting]],0), MATCH(AG$277, lmic_raw_ub[#Headers],0)))</f>
        <v>1.518447884728179E-3</v>
      </c>
      <c r="AH318" s="84">
        <f>IF(INDEX(lmic_raw_ub[],MATCH($A318,lmic_raw_ub[[setting]:[setting]],0), MATCH(AH$277, lmic_raw_ub[#Headers],0))=0, INDEX(regions_ub[], MATCH($D318, regions_ub[[setting]:[setting]],0), MATCH(AH$139, regions_ub[#Headers],0)),INDEX(lmic_raw_ub[],MATCH($A318,lmic_raw_ub[[setting]:[setting]],0), MATCH(AH$277, lmic_raw_ub[#Headers],0)))</f>
        <v>2.8503178525989509E-3</v>
      </c>
      <c r="AI318" s="84">
        <f>IF(INDEX(lmic_raw_ub[],MATCH($A318,lmic_raw_ub[[setting]:[setting]],0), MATCH(AI$277, lmic_raw_ub[#Headers],0))=0, INDEX(regions_ub[], MATCH($D318, regions_ub[[setting]:[setting]],0), MATCH(AI$139, regions_ub[#Headers],0)),INDEX(lmic_raw_ub[],MATCH($A318,lmic_raw_ub[[setting]:[setting]],0), MATCH(AI$277, lmic_raw_ub[#Headers],0)))</f>
        <v>5.3693649293698959E-3</v>
      </c>
      <c r="AJ318" s="84">
        <f>IF(INDEX(lmic_raw_ub[],MATCH($A318,lmic_raw_ub[[setting]:[setting]],0), MATCH(AJ$277, lmic_raw_ub[#Headers],0))=0, INDEX(regions_ub[], MATCH($D318, regions_ub[[setting]:[setting]],0), MATCH(AJ$139, regions_ub[#Headers],0)),INDEX(lmic_raw_ub[],MATCH($A318,lmic_raw_ub[[setting]:[setting]],0), MATCH(AJ$277, lmic_raw_ub[#Headers],0)))</f>
        <v>8.2856259412120974E-3</v>
      </c>
      <c r="AK318" s="84">
        <f>IF(INDEX(lmic_raw_ub[],MATCH($A318,lmic_raw_ub[[setting]:[setting]],0), MATCH(AK$277, lmic_raw_ub[#Headers],0))=0, INDEX(regions_ub[], MATCH($D318, regions_ub[[setting]:[setting]],0), MATCH(AK$139, regions_ub[#Headers],0)),INDEX(lmic_raw_ub[],MATCH($A318,lmic_raw_ub[[setting]:[setting]],0), MATCH(AK$277, lmic_raw_ub[#Headers],0)))</f>
        <v>1.2436137130275863E-2</v>
      </c>
      <c r="AL318" s="84">
        <f>IF(INDEX(lmic_raw_ub[],MATCH($A318,lmic_raw_ub[[setting]:[setting]],0), MATCH(AL$277, lmic_raw_ub[#Headers],0))=0, INDEX(regions_ub[], MATCH($D318, regions_ub[[setting]:[setting]],0), MATCH(AL$139, regions_ub[#Headers],0)),INDEX(lmic_raw_ub[],MATCH($A318,lmic_raw_ub[[setting]:[setting]],0), MATCH(AL$277, lmic_raw_ub[#Headers],0)))</f>
        <v>1.4463324215198001E-2</v>
      </c>
      <c r="AM318" s="84">
        <f>IF(INDEX(lmic_raw_ub[],MATCH($A318,lmic_raw_ub[[setting]:[setting]],0), MATCH(AM$277, lmic_raw_ub[#Headers],0))=0, INDEX(regions_ub[], MATCH($D318, regions_ub[[setting]:[setting]],0), MATCH(AM$139, regions_ub[#Headers],0)),INDEX(lmic_raw_ub[],MATCH($A318,lmic_raw_ub[[setting]:[setting]],0), MATCH(AM$277, lmic_raw_ub[#Headers],0)))</f>
        <v>1.7297621643383106E-2</v>
      </c>
      <c r="AN318" s="84">
        <f>IF(INDEX(lmic_raw_ub[],MATCH($A318,lmic_raw_ub[[setting]:[setting]],0), MATCH(AN$277, lmic_raw_ub[#Headers],0))=0, INDEX(regions_ub[], MATCH($D318, regions_ub[[setting]:[setting]],0), MATCH(AN$139, regions_ub[#Headers],0)),INDEX(lmic_raw_ub[],MATCH($A318,lmic_raw_ub[[setting]:[setting]],0), MATCH(AN$277, lmic_raw_ub[#Headers],0)))</f>
        <v>2.0151659552270246E-2</v>
      </c>
      <c r="AO318" s="84">
        <f>IF(INDEX(lmic_raw_ub[],MATCH($A318,lmic_raw_ub[[setting]:[setting]],0), MATCH(AO$277, lmic_raw_ub[#Headers],0))=0, INDEX(regions_ub[], MATCH($D318, regions_ub[[setting]:[setting]],0), MATCH(AO$139, regions_ub[#Headers],0)),INDEX(lmic_raw_ub[],MATCH($A318,lmic_raw_ub[[setting]:[setting]],0), MATCH(AO$277, lmic_raw_ub[#Headers],0)))</f>
        <v>2.3506111254844586E-2</v>
      </c>
      <c r="AP318" s="84">
        <f>IF(INDEX(lmic_raw_ub[],MATCH($A318,lmic_raw_ub[[setting]:[setting]],0), MATCH(AP$277, lmic_raw_ub[#Headers],0))=0, INDEX(regions_ub[], MATCH($D318, regions_ub[[setting]:[setting]],0), MATCH(AP$139, regions_ub[#Headers],0)),INDEX(lmic_raw_ub[],MATCH($A318,lmic_raw_ub[[setting]:[setting]],0), MATCH(AP$277, lmic_raw_ub[#Headers],0)))</f>
        <v>2.8476642952101266E-2</v>
      </c>
      <c r="AQ318" s="84">
        <f>IF(INDEX(lmic_raw_ub[],MATCH($A318,lmic_raw_ub[[setting]:[setting]],0), MATCH(AQ$277, lmic_raw_ub[#Headers],0))=0, INDEX(regions_ub[], MATCH($D318, regions_ub[[setting]:[setting]],0), MATCH(AQ$139, regions_ub[#Headers],0)),INDEX(lmic_raw_ub[],MATCH($A318,lmic_raw_ub[[setting]:[setting]],0), MATCH(AQ$277, lmic_raw_ub[#Headers],0)))</f>
        <v>3.6672144151176318E-2</v>
      </c>
      <c r="AR318" s="84">
        <f>IF(INDEX(lmic_raw_ub[],MATCH($A318,lmic_raw_ub[[setting]:[setting]],0), MATCH(AR$277, lmic_raw_ub[#Headers],0))=0, INDEX(regions_ub[], MATCH($D318, regions_ub[[setting]:[setting]],0), MATCH(AR$139, regions_ub[#Headers],0)),INDEX(lmic_raw_ub[],MATCH($A318,lmic_raw_ub[[setting]:[setting]],0), MATCH(AR$277, lmic_raw_ub[#Headers],0)))</f>
        <v>5.01182610318745E-2</v>
      </c>
      <c r="AS318" s="84">
        <f>IF(INDEX(lmic_raw_ub[],MATCH($A318,lmic_raw_ub[[setting]:[setting]],0), MATCH(AS$277, lmic_raw_ub[#Headers],0))=0, INDEX(regions_ub[], MATCH($D318, regions_ub[[setting]:[setting]],0), MATCH(AS$139, regions_ub[#Headers],0)),INDEX(lmic_raw_ub[],MATCH($A318,lmic_raw_ub[[setting]:[setting]],0), MATCH(AS$277, lmic_raw_ub[#Headers],0)))</f>
        <v>6.9901736627838731E-2</v>
      </c>
      <c r="AT318" s="84">
        <f>IF(INDEX(lmic_raw_ub[],MATCH($A318,lmic_raw_ub[[setting]:[setting]],0), MATCH(AT$277, lmic_raw_ub[#Headers],0))=0, INDEX(regions_ub[], MATCH($D318, regions_ub[[setting]:[setting]],0), MATCH(AT$139, regions_ub[#Headers],0)),INDEX(lmic_raw_ub[],MATCH($A318,lmic_raw_ub[[setting]:[setting]],0), MATCH(AT$277, lmic_raw_ub[#Headers],0)))</f>
        <v>0.10236749938676604</v>
      </c>
      <c r="AU318" s="84">
        <f>IF(INDEX(lmic_raw_ub[],MATCH($A318,lmic_raw_ub[[setting]:[setting]],0), MATCH(AU$277, lmic_raw_ub[#Headers],0))=0, INDEX(regions_ub[], MATCH($D318, regions_ub[[setting]:[setting]],0), MATCH(AU$139, regions_ub[#Headers],0)),INDEX(lmic_raw_ub[],MATCH($A318,lmic_raw_ub[[setting]:[setting]],0), MATCH(AU$277, lmic_raw_ub[#Headers],0)))</f>
        <v>0.14420090098177638</v>
      </c>
      <c r="AV318" s="84">
        <f>IF(INDEX(lmic_raw_ub[],MATCH($A318,lmic_raw_ub[[setting]:[setting]],0), MATCH(AV$277, lmic_raw_ub[#Headers],0))=0, INDEX(regions_ub[], MATCH($D318, regions_ub[[setting]:[setting]],0), MATCH(AV$139, regions_ub[#Headers],0)),INDEX(lmic_raw_ub[],MATCH($A318,lmic_raw_ub[[setting]:[setting]],0), MATCH(AV$277, lmic_raw_ub[#Headers],0)))</f>
        <v>0.17796457763234289</v>
      </c>
      <c r="AW318" s="84">
        <f>IF(INDEX(lmic_raw_ub[],MATCH($A318,lmic_raw_ub[[setting]:[setting]],0), MATCH(AW$277, lmic_raw_ub[#Headers],0))=0, INDEX(regions_ub[], MATCH($D318, regions_ub[[setting]:[setting]],0), MATCH(AW$139, regions_ub[#Headers],0)),INDEX(lmic_raw_ub[],MATCH($A318,lmic_raw_ub[[setting]:[setting]],0), MATCH(AW$277, lmic_raw_ub[#Headers],0)))</f>
        <v>0.19213435031867798</v>
      </c>
      <c r="AX318" s="84">
        <f>IF(INDEX(lmic_raw_ub[],MATCH($A318,lmic_raw_ub[[setting]:[setting]],0), MATCH(AX$277, lmic_raw_ub[#Headers],0))=0, INDEX(regions_ub[], MATCH($D318, regions_ub[[setting]:[setting]],0), MATCH(AX$139, regions_ub[#Headers],0)),INDEX(lmic_raw_ub[],MATCH($A318,lmic_raw_ub[[setting]:[setting]],0), MATCH(AX$277, lmic_raw_ub[#Headers],0)))</f>
        <v>62.279700000000005</v>
      </c>
      <c r="AY318" s="33" t="str">
        <f>IF(VLOOKUP(lmics_ub[[#This Row],[setting]],lmic_raw_ub[],11,FALSE)=0, "Yes", "No")</f>
        <v>Yes</v>
      </c>
    </row>
    <row r="319" spans="1:51" x14ac:dyDescent="0.25">
      <c r="A319" s="110" t="s">
        <v>105</v>
      </c>
      <c r="B319" s="104" t="s">
        <v>423</v>
      </c>
      <c r="C319" s="105">
        <v>231</v>
      </c>
      <c r="D319" s="84" t="s">
        <v>677</v>
      </c>
      <c r="E319" s="84" t="s">
        <v>597</v>
      </c>
      <c r="F319" s="84" t="s">
        <v>667</v>
      </c>
      <c r="G319" s="84" t="s">
        <v>674</v>
      </c>
      <c r="J319" s="84">
        <f>IF(INDEX(lmic_raw_ub[],MATCH($A319,lmic_raw_ub[[setting]:[setting]],0), MATCH(J$277, lmic_raw_ub[#Headers],0))=0, INDEX(regions_ub[], MATCH($D319, regions_ub[[setting]:[setting]],0), MATCH(J$139, regions_ub[#Headers],0)),INDEX(lmic_raw_ub[],MATCH($A319,lmic_raw_ub[[setting]:[setting]],0), MATCH(J$277, lmic_raw_ub[#Headers],0)))</f>
        <v>0.49874999999999997</v>
      </c>
      <c r="K319" s="84">
        <f>IF(INDEX(lmic_raw_ub[],MATCH($A319,lmic_raw_ub[[setting]:[setting]],0), MATCH(K$277, lmic_raw_ub[#Headers],0))=0, INDEX(regions_ub[], MATCH($D319, regions_ub[[setting]:[setting]],0), MATCH(K$139, regions_ub[#Headers],0)),INDEX(lmic_raw_ub[],MATCH($A319,lmic_raw_ub[[setting]:[setting]],0), MATCH(K$277, lmic_raw_ub[#Headers],0)))</f>
        <v>0.71433037619548323</v>
      </c>
      <c r="L319" s="84">
        <f>IF(INDEX(lmic_raw_ub[],MATCH($A319,lmic_raw_ub[[setting]:[setting]],0), MATCH(L$277, lmic_raw_ub[#Headers],0))=0, INDEX(regions_ub[], MATCH($D319, regions_ub[[setting]:[setting]],0), MATCH(L$139, regions_ub[#Headers],0)),INDEX(lmic_raw_ub[],MATCH($A319,lmic_raw_ub[[setting]:[setting]],0), MATCH(L$277, lmic_raw_ub[#Headers],0)))</f>
        <v>0.71400000000000008</v>
      </c>
      <c r="M319" s="84">
        <f>IF(INDEX(lmic_raw_ub[],MATCH($A319,lmic_raw_ub[[setting]:[setting]],0), MATCH(M$277, lmic_raw_ub[#Headers],0))=0, INDEX(regions_ub[], MATCH($D319, regions_ub[[setting]:[setting]],0), MATCH(M$139, regions_ub[#Headers],0)),INDEX(lmic_raw_ub[],MATCH($A319,lmic_raw_ub[[setting]:[setting]],0), MATCH(M$277, lmic_raw_ub[#Headers],0)))</f>
        <v>6.8199999999999997E-2</v>
      </c>
      <c r="N319" s="84">
        <f>IF(INDEX(lmic_raw_ub[],MATCH($A319,lmic_raw_ub[[setting]:[setting]],0), MATCH(N$277, lmic_raw_ub[#Headers],0))=0, INDEX(regions_ub[], MATCH($D319, regions_ub[[setting]:[setting]],0), MATCH(N$139, regions_ub[#Headers],0)),INDEX(lmic_raw_ub[],MATCH($A319,lmic_raw_ub[[setting]:[setting]],0), MATCH(N$277, lmic_raw_ub[#Headers],0)))</f>
        <v>0.39960000000000001</v>
      </c>
      <c r="O319" s="84">
        <f>IF(INDEX(lmic_raw_ub[],MATCH($A319,lmic_raw_ub[[setting]:[setting]],0), MATCH(O$277, lmic_raw_ub[#Headers],0))=0, INDEX(regions_ub[], MATCH($D319, regions_ub[[setting]:[setting]],0), MATCH(O$139, regions_ub[#Headers],0)),INDEX(lmic_raw_ub[],MATCH($A319,lmic_raw_ub[[setting]:[setting]],0), MATCH(O$277, lmic_raw_ub[#Headers],0)))</f>
        <v>0.74399999999999999</v>
      </c>
      <c r="P319" s="84">
        <f>IF(INDEX(lmic_raw_ub[],MATCH($A319,lmic_raw_ub[[setting]:[setting]],0), MATCH(P$277, lmic_raw_ub[#Headers],0))=0, INDEX(regions_ub[], MATCH($D319, regions_ub[[setting]:[setting]],0), MATCH(P$139, regions_ub[#Headers],0)),INDEX(lmic_raw_ub[],MATCH($A319,lmic_raw_ub[[setting]:[setting]],0), MATCH(P$277, lmic_raw_ub[#Headers],0)))</f>
        <v>0.13300000000000001</v>
      </c>
      <c r="Q319" s="84">
        <f>IF(INDEX(lmic_raw_ub[],MATCH($A319,lmic_raw_ub[[setting]:[setting]],0), MATCH(Q$277, lmic_raw_ub[#Headers],0))=0, INDEX(regions_ub[], MATCH($D319, regions_ub[[setting]:[setting]],0), MATCH(Q$139, regions_ub[#Headers],0)),INDEX(lmic_raw_ub[],MATCH($A319,lmic_raw_ub[[setting]:[setting]],0), MATCH(Q$277, lmic_raw_ub[#Headers],0)))</f>
        <v>2.5793148957340217</v>
      </c>
      <c r="R319" s="84">
        <f>IF(INDEX(lmic_raw_ub[],MATCH($A319,lmic_raw_ub[[setting]:[setting]],0), MATCH(R$277, lmic_raw_ub[#Headers],0))=0, INDEX(regions_ub[], MATCH($D319, regions_ub[[setting]:[setting]],0), MATCH(R$139, regions_ub[#Headers],0)),INDEX(lmic_raw_ub[],MATCH($A319,lmic_raw_ub[[setting]:[setting]],0), MATCH(R$277, lmic_raw_ub[#Headers],0)))</f>
        <v>31.416525000000004</v>
      </c>
      <c r="S319" s="84">
        <f>IF(INDEX(lmic_raw_ub[],MATCH($A319,lmic_raw_ub[[setting]:[setting]],0), MATCH(S$277, lmic_raw_ub[#Headers],0))=0, INDEX(regions_ub[], MATCH($D319, regions_ub[[setting]:[setting]],0), MATCH(S$139, regions_ub[#Headers],0)),INDEX(lmic_raw_ub[],MATCH($A319,lmic_raw_ub[[setting]:[setting]],0), MATCH(S$277, lmic_raw_ub[#Headers],0)))</f>
        <v>81.545625000000015</v>
      </c>
      <c r="T319" s="84">
        <f>IF(INDEX(lmic_raw_ub[],MATCH($A319,lmic_raw_ub[[setting]:[setting]],0), MATCH(T$277, lmic_raw_ub[#Headers],0))=0, INDEX(regions_ub[], MATCH($D319, regions_ub[[setting]:[setting]],0), MATCH(T$139, regions_ub[#Headers],0)),INDEX(lmic_raw_ub[],MATCH($A319,lmic_raw_ub[[setting]:[setting]],0), MATCH(T$277, lmic_raw_ub[#Headers],0)))</f>
        <v>81.545625000000015</v>
      </c>
      <c r="U319" s="84">
        <f>IF(INDEX(lmic_raw_ub[],MATCH($A319,lmic_raw_ub[[setting]:[setting]],0), MATCH(U$277, lmic_raw_ub[#Headers],0))=0, INDEX(regions_ub[], MATCH($D319, regions_ub[[setting]:[setting]],0), MATCH(U$139, regions_ub[#Headers],0)),INDEX(lmic_raw_ub[],MATCH($A319,lmic_raw_ub[[setting]:[setting]],0), MATCH(U$277, lmic_raw_ub[#Headers],0)))</f>
        <v>81.545625000000015</v>
      </c>
      <c r="V319" s="84">
        <f>IF(INDEX(lmic_raw_ub[],MATCH($A319,lmic_raw_ub[[setting]:[setting]],0), MATCH(V$277, lmic_raw_ub[#Headers],0))=0, INDEX(regions_ub[], MATCH($D319, regions_ub[[setting]:[setting]],0), MATCH(V$139, regions_ub[#Headers],0)),INDEX(lmic_raw_ub[],MATCH($A319,lmic_raw_ub[[setting]:[setting]],0), MATCH(V$277, lmic_raw_ub[#Headers],0)))</f>
        <v>2.6055731134885147</v>
      </c>
      <c r="W319" s="84">
        <f>IF(INDEX(lmic_raw_ub[],MATCH($A319,lmic_raw_ub[[setting]:[setting]],0), MATCH(W$277, lmic_raw_ub[#Headers],0))=0, INDEX(regions_ub[], MATCH($D319, regions_ub[[setting]:[setting]],0), MATCH(W$139, regions_ub[#Headers],0)),INDEX(lmic_raw_ub[],MATCH($A319,lmic_raw_ub[[setting]:[setting]],0), MATCH(W$277, lmic_raw_ub[#Headers],0)))</f>
        <v>7.6757081134885148</v>
      </c>
      <c r="X319" s="84">
        <f>IF(INDEX(lmic_raw_ub[],MATCH($A319,lmic_raw_ub[[setting]:[setting]],0), MATCH(X$277, lmic_raw_ub[#Headers],0))=0, INDEX(regions_ub[], MATCH($D319, regions_ub[[setting]:[setting]],0), MATCH(X$139, regions_ub[#Headers],0)),INDEX(lmic_raw_ub[],MATCH($A319,lmic_raw_ub[[setting]:[setting]],0), MATCH(X$277, lmic_raw_ub[#Headers],0)))</f>
        <v>2.1081638744914408</v>
      </c>
      <c r="Y319" s="84">
        <f>IF(INDEX(lmic_raw_ub[],MATCH($A319,lmic_raw_ub[[setting]:[setting]],0), MATCH(Y$277, lmic_raw_ub[#Headers],0))=0, INDEX(regions_ub[], MATCH($D319, regions_ub[[setting]:[setting]],0), MATCH(Y$139, regions_ub[#Headers],0)),INDEX(lmic_raw_ub[],MATCH($A319,lmic_raw_ub[[setting]:[setting]],0), MATCH(Y$277, lmic_raw_ub[#Headers],0)))</f>
        <v>7.1782988744914409</v>
      </c>
      <c r="Z319" s="84">
        <f>IF(INDEX(lmic_raw_ub[],MATCH($A319,lmic_raw_ub[[setting]:[setting]],0), MATCH(Z$277, lmic_raw_ub[#Headers],0))=0, INDEX(regions_ub[], MATCH($D319, regions_ub[[setting]:[setting]],0), MATCH(Z$139, regions_ub[#Headers],0)),INDEX(lmic_raw_ub[],MATCH($A319,lmic_raw_ub[[setting]:[setting]],0), MATCH(Z$277, lmic_raw_ub[#Headers],0)))</f>
        <v>7.1708075777482687</v>
      </c>
      <c r="AA319" s="84">
        <f>IF(INDEX(lmic_raw_ub[],MATCH($A319,lmic_raw_ub[[setting]:[setting]],0), MATCH(AA$277, lmic_raw_ub[#Headers],0))=0, INDEX(regions_ub[], MATCH($D319, regions_ub[[setting]:[setting]],0), MATCH(AA$139, regions_ub[#Headers],0)),INDEX(lmic_raw_ub[],MATCH($A319,lmic_raw_ub[[setting]:[setting]],0), MATCH(AA$277, lmic_raw_ub[#Headers],0)))</f>
        <v>2.8745564039536413</v>
      </c>
      <c r="AB319" s="84">
        <f>IF(INDEX(lmic_raw_ub[],MATCH($A319,lmic_raw_ub[[setting]:[setting]],0), MATCH(AB$277, lmic_raw_ub[#Headers],0))=0, INDEX(regions_ub[], MATCH($D319, regions_ub[[setting]:[setting]],0), MATCH(AB$139, regions_ub[#Headers],0)),INDEX(lmic_raw_ub[],MATCH($A319,lmic_raw_ub[[setting]:[setting]],0), MATCH(AB$277, lmic_raw_ub[#Headers],0)))</f>
        <v>7.9446914039536418</v>
      </c>
      <c r="AC319" s="84">
        <f>IF(INDEX(lmic_raw_ub[],MATCH($A319,lmic_raw_ub[[setting]:[setting]],0), MATCH(AC$277, lmic_raw_ub[#Headers],0))=0, INDEX(regions_ub[], MATCH($D319, regions_ub[[setting]:[setting]],0), MATCH(AC$139, regions_ub[#Headers],0)),INDEX(lmic_raw_ub[],MATCH($A319,lmic_raw_ub[[setting]:[setting]],0), MATCH(AC$277, lmic_raw_ub[#Headers],0)))</f>
        <v>3.8863377000000053E-2</v>
      </c>
      <c r="AD319" s="84">
        <f>IF(INDEX(lmic_raw_ub[],MATCH($A319,lmic_raw_ub[[setting]:[setting]],0), MATCH(AD$277, lmic_raw_ub[#Headers],0))=0, INDEX(regions_ub[], MATCH($D319, regions_ub[[setting]:[setting]],0), MATCH(AD$139, regions_ub[#Headers],0)),INDEX(lmic_raw_ub[],MATCH($A319,lmic_raw_ub[[setting]:[setting]],0), MATCH(AD$277, lmic_raw_ub[#Headers],0)))</f>
        <v>4.8735473405951083E-3</v>
      </c>
      <c r="AE319" s="84">
        <f>IF(INDEX(lmic_raw_ub[],MATCH($A319,lmic_raw_ub[[setting]:[setting]],0), MATCH(AE$277, lmic_raw_ub[#Headers],0))=0, INDEX(regions_ub[], MATCH($D319, regions_ub[[setting]:[setting]],0), MATCH(AE$139, regions_ub[#Headers],0)),INDEX(lmic_raw_ub[],MATCH($A319,lmic_raw_ub[[setting]:[setting]],0), MATCH(AE$277, lmic_raw_ub[#Headers],0)))</f>
        <v>2.0932284666478661E-3</v>
      </c>
      <c r="AF319" s="84">
        <f>IF(INDEX(lmic_raw_ub[],MATCH($A319,lmic_raw_ub[[setting]:[setting]],0), MATCH(AF$277, lmic_raw_ub[#Headers],0))=0, INDEX(regions_ub[], MATCH($D319, regions_ub[[setting]:[setting]],0), MATCH(AF$139, regions_ub[#Headers],0)),INDEX(lmic_raw_ub[],MATCH($A319,lmic_raw_ub[[setting]:[setting]],0), MATCH(AF$277, lmic_raw_ub[#Headers],0)))</f>
        <v>1.6227416762766205E-3</v>
      </c>
      <c r="AG319" s="84">
        <f>IF(INDEX(lmic_raw_ub[],MATCH($A319,lmic_raw_ub[[setting]:[setting]],0), MATCH(AG$277, lmic_raw_ub[#Headers],0))=0, INDEX(regions_ub[], MATCH($D319, regions_ub[[setting]:[setting]],0), MATCH(AG$139, regions_ub[#Headers],0)),INDEX(lmic_raw_ub[],MATCH($A319,lmic_raw_ub[[setting]:[setting]],0), MATCH(AG$277, lmic_raw_ub[#Headers],0)))</f>
        <v>2.0003318406964488E-3</v>
      </c>
      <c r="AH319" s="84">
        <f>IF(INDEX(lmic_raw_ub[],MATCH($A319,lmic_raw_ub[[setting]:[setting]],0), MATCH(AH$277, lmic_raw_ub[#Headers],0))=0, INDEX(regions_ub[], MATCH($D319, regions_ub[[setting]:[setting]],0), MATCH(AH$139, regions_ub[#Headers],0)),INDEX(lmic_raw_ub[],MATCH($A319,lmic_raw_ub[[setting]:[setting]],0), MATCH(AH$277, lmic_raw_ub[#Headers],0)))</f>
        <v>2.4651045026377071E-3</v>
      </c>
      <c r="AI319" s="84">
        <f>IF(INDEX(lmic_raw_ub[],MATCH($A319,lmic_raw_ub[[setting]:[setting]],0), MATCH(AI$277, lmic_raw_ub[#Headers],0))=0, INDEX(regions_ub[], MATCH($D319, regions_ub[[setting]:[setting]],0), MATCH(AI$139, regions_ub[#Headers],0)),INDEX(lmic_raw_ub[],MATCH($A319,lmic_raw_ub[[setting]:[setting]],0), MATCH(AI$277, lmic_raw_ub[#Headers],0)))</f>
        <v>2.8452405455671424E-3</v>
      </c>
      <c r="AJ319" s="84">
        <f>IF(INDEX(lmic_raw_ub[],MATCH($A319,lmic_raw_ub[[setting]:[setting]],0), MATCH(AJ$277, lmic_raw_ub[#Headers],0))=0, INDEX(regions_ub[], MATCH($D319, regions_ub[[setting]:[setting]],0), MATCH(AJ$139, regions_ub[#Headers],0)),INDEX(lmic_raw_ub[],MATCH($A319,lmic_raw_ub[[setting]:[setting]],0), MATCH(AJ$277, lmic_raw_ub[#Headers],0)))</f>
        <v>3.6007982730363918E-3</v>
      </c>
      <c r="AK319" s="84">
        <f>IF(INDEX(lmic_raw_ub[],MATCH($A319,lmic_raw_ub[[setting]:[setting]],0), MATCH(AK$277, lmic_raw_ub[#Headers],0))=0, INDEX(regions_ub[], MATCH($D319, regions_ub[[setting]:[setting]],0), MATCH(AK$139, regions_ub[#Headers],0)),INDEX(lmic_raw_ub[],MATCH($A319,lmic_raw_ub[[setting]:[setting]],0), MATCH(AK$277, lmic_raw_ub[#Headers],0)))</f>
        <v>4.9835809164021907E-3</v>
      </c>
      <c r="AL319" s="84">
        <f>IF(INDEX(lmic_raw_ub[],MATCH($A319,lmic_raw_ub[[setting]:[setting]],0), MATCH(AL$277, lmic_raw_ub[#Headers],0))=0, INDEX(regions_ub[], MATCH($D319, regions_ub[[setting]:[setting]],0), MATCH(AL$139, regions_ub[#Headers],0)),INDEX(lmic_raw_ub[],MATCH($A319,lmic_raw_ub[[setting]:[setting]],0), MATCH(AL$277, lmic_raw_ub[#Headers],0)))</f>
        <v>6.0668035110673377E-3</v>
      </c>
      <c r="AM319" s="84">
        <f>IF(INDEX(lmic_raw_ub[],MATCH($A319,lmic_raw_ub[[setting]:[setting]],0), MATCH(AM$277, lmic_raw_ub[#Headers],0))=0, INDEX(regions_ub[], MATCH($D319, regions_ub[[setting]:[setting]],0), MATCH(AM$139, regions_ub[#Headers],0)),INDEX(lmic_raw_ub[],MATCH($A319,lmic_raw_ub[[setting]:[setting]],0), MATCH(AM$277, lmic_raw_ub[#Headers],0)))</f>
        <v>7.069754286869125E-3</v>
      </c>
      <c r="AN319" s="84">
        <f>IF(INDEX(lmic_raw_ub[],MATCH($A319,lmic_raw_ub[[setting]:[setting]],0), MATCH(AN$277, lmic_raw_ub[#Headers],0))=0, INDEX(regions_ub[], MATCH($D319, regions_ub[[setting]:[setting]],0), MATCH(AN$139, regions_ub[#Headers],0)),INDEX(lmic_raw_ub[],MATCH($A319,lmic_raw_ub[[setting]:[setting]],0), MATCH(AN$277, lmic_raw_ub[#Headers],0)))</f>
        <v>9.0632100821740023E-3</v>
      </c>
      <c r="AO319" s="84">
        <f>IF(INDEX(lmic_raw_ub[],MATCH($A319,lmic_raw_ub[[setting]:[setting]],0), MATCH(AO$277, lmic_raw_ub[#Headers],0))=0, INDEX(regions_ub[], MATCH($D319, regions_ub[[setting]:[setting]],0), MATCH(AO$139, regions_ub[#Headers],0)),INDEX(lmic_raw_ub[],MATCH($A319,lmic_raw_ub[[setting]:[setting]],0), MATCH(AO$277, lmic_raw_ub[#Headers],0)))</f>
        <v>1.1652523788601626E-2</v>
      </c>
      <c r="AP319" s="84">
        <f>IF(INDEX(lmic_raw_ub[],MATCH($A319,lmic_raw_ub[[setting]:[setting]],0), MATCH(AP$277, lmic_raw_ub[#Headers],0))=0, INDEX(regions_ub[], MATCH($D319, regions_ub[[setting]:[setting]],0), MATCH(AP$139, regions_ub[#Headers],0)),INDEX(lmic_raw_ub[],MATCH($A319,lmic_raw_ub[[setting]:[setting]],0), MATCH(AP$277, lmic_raw_ub[#Headers],0)))</f>
        <v>1.7599924616462807E-2</v>
      </c>
      <c r="AQ319" s="84">
        <f>IF(INDEX(lmic_raw_ub[],MATCH($A319,lmic_raw_ub[[setting]:[setting]],0), MATCH(AQ$277, lmic_raw_ub[#Headers],0))=0, INDEX(regions_ub[], MATCH($D319, regions_ub[[setting]:[setting]],0), MATCH(AQ$139, regions_ub[#Headers],0)),INDEX(lmic_raw_ub[],MATCH($A319,lmic_raw_ub[[setting]:[setting]],0), MATCH(AQ$277, lmic_raw_ub[#Headers],0)))</f>
        <v>2.7242122044630664E-2</v>
      </c>
      <c r="AR319" s="84">
        <f>IF(INDEX(lmic_raw_ub[],MATCH($A319,lmic_raw_ub[[setting]:[setting]],0), MATCH(AR$277, lmic_raw_ub[#Headers],0))=0, INDEX(regions_ub[], MATCH($D319, regions_ub[[setting]:[setting]],0), MATCH(AR$139, regions_ub[#Headers],0)),INDEX(lmic_raw_ub[],MATCH($A319,lmic_raw_ub[[setting]:[setting]],0), MATCH(AR$277, lmic_raw_ub[#Headers],0)))</f>
        <v>4.2521951522242571E-2</v>
      </c>
      <c r="AS319" s="84">
        <f>IF(INDEX(lmic_raw_ub[],MATCH($A319,lmic_raw_ub[[setting]:[setting]],0), MATCH(AS$277, lmic_raw_ub[#Headers],0))=0, INDEX(regions_ub[], MATCH($D319, regions_ub[[setting]:[setting]],0), MATCH(AS$139, regions_ub[#Headers],0)),INDEX(lmic_raw_ub[],MATCH($A319,lmic_raw_ub[[setting]:[setting]],0), MATCH(AS$277, lmic_raw_ub[#Headers],0)))</f>
        <v>6.5186753808413281E-2</v>
      </c>
      <c r="AT319" s="84">
        <f>IF(INDEX(lmic_raw_ub[],MATCH($A319,lmic_raw_ub[[setting]:[setting]],0), MATCH(AT$277, lmic_raw_ub[#Headers],0))=0, INDEX(regions_ub[], MATCH($D319, regions_ub[[setting]:[setting]],0), MATCH(AT$139, regions_ub[#Headers],0)),INDEX(lmic_raw_ub[],MATCH($A319,lmic_raw_ub[[setting]:[setting]],0), MATCH(AT$277, lmic_raw_ub[#Headers],0)))</f>
        <v>9.5948251415376204E-2</v>
      </c>
      <c r="AU319" s="84">
        <f>IF(INDEX(lmic_raw_ub[],MATCH($A319,lmic_raw_ub[[setting]:[setting]],0), MATCH(AU$277, lmic_raw_ub[#Headers],0))=0, INDEX(regions_ub[], MATCH($D319, regions_ub[[setting]:[setting]],0), MATCH(AU$139, regions_ub[#Headers],0)),INDEX(lmic_raw_ub[],MATCH($A319,lmic_raw_ub[[setting]:[setting]],0), MATCH(AU$277, lmic_raw_ub[#Headers],0)))</f>
        <v>0.13042135034879945</v>
      </c>
      <c r="AV319" s="84">
        <f>IF(INDEX(lmic_raw_ub[],MATCH($A319,lmic_raw_ub[[setting]:[setting]],0), MATCH(AV$277, lmic_raw_ub[#Headers],0))=0, INDEX(regions_ub[], MATCH($D319, regions_ub[[setting]:[setting]],0), MATCH(AV$139, regions_ub[#Headers],0)),INDEX(lmic_raw_ub[],MATCH($A319,lmic_raw_ub[[setting]:[setting]],0), MATCH(AV$277, lmic_raw_ub[#Headers],0)))</f>
        <v>0.16077842641823614</v>
      </c>
      <c r="AW319" s="84">
        <f>IF(INDEX(lmic_raw_ub[],MATCH($A319,lmic_raw_ub[[setting]:[setting]],0), MATCH(AW$277, lmic_raw_ub[#Headers],0))=0, INDEX(regions_ub[], MATCH($D319, regions_ub[[setting]:[setting]],0), MATCH(AW$139, regions_ub[#Headers],0)),INDEX(lmic_raw_ub[],MATCH($A319,lmic_raw_ub[[setting]:[setting]],0), MATCH(AW$277, lmic_raw_ub[#Headers],0)))</f>
        <v>0.18186721102615686</v>
      </c>
      <c r="AX319" s="84">
        <f>IF(INDEX(lmic_raw_ub[],MATCH($A319,lmic_raw_ub[[setting]:[setting]],0), MATCH(AX$277, lmic_raw_ub[#Headers],0))=0, INDEX(regions_ub[], MATCH($D319, regions_ub[[setting]:[setting]],0), MATCH(AX$139, regions_ub[#Headers],0)),INDEX(lmic_raw_ub[],MATCH($A319,lmic_raw_ub[[setting]:[setting]],0), MATCH(AX$277, lmic_raw_ub[#Headers],0)))</f>
        <v>69.265349999999998</v>
      </c>
      <c r="AY319" s="33" t="str">
        <f>IF(VLOOKUP(lmics_ub[[#This Row],[setting]],lmic_raw_ub[],11,FALSE)=0, "Yes", "No")</f>
        <v>Yes</v>
      </c>
    </row>
    <row r="320" spans="1:51" x14ac:dyDescent="0.25">
      <c r="A320" s="109" t="s">
        <v>281</v>
      </c>
      <c r="B320" s="101" t="s">
        <v>424</v>
      </c>
      <c r="C320" s="102">
        <v>242</v>
      </c>
      <c r="D320" s="82" t="s">
        <v>681</v>
      </c>
      <c r="E320" s="82" t="s">
        <v>98</v>
      </c>
      <c r="F320" s="82" t="s">
        <v>666</v>
      </c>
      <c r="G320" s="82" t="s">
        <v>676</v>
      </c>
      <c r="J320" s="84">
        <f>IF(INDEX(lmic_raw_ub[],MATCH($A320,lmic_raw_ub[[setting]:[setting]],0), MATCH(J$277, lmic_raw_ub[#Headers],0))=0, INDEX(regions_ub[], MATCH($D320, regions_ub[[setting]:[setting]],0), MATCH(J$139, regions_ub[#Headers],0)),INDEX(lmic_raw_ub[],MATCH($A320,lmic_raw_ub[[setting]:[setting]],0), MATCH(J$277, lmic_raw_ub[#Headers],0)))</f>
        <v>0.99990000000000001</v>
      </c>
      <c r="K320" s="84">
        <f>IF(INDEX(lmic_raw_ub[],MATCH($A320,lmic_raw_ub[[setting]:[setting]],0), MATCH(K$277, lmic_raw_ub[#Headers],0))=0, INDEX(regions_ub[], MATCH($D320, regions_ub[[setting]:[setting]],0), MATCH(K$139, regions_ub[#Headers],0)),INDEX(lmic_raw_ub[],MATCH($A320,lmic_raw_ub[[setting]:[setting]],0), MATCH(K$277, lmic_raw_ub[#Headers],0)))</f>
        <v>0.99990000000000001</v>
      </c>
      <c r="L320" s="84">
        <f>IF(INDEX(lmic_raw_ub[],MATCH($A320,lmic_raw_ub[[setting]:[setting]],0), MATCH(L$277, lmic_raw_ub[#Headers],0))=0, INDEX(regions_ub[], MATCH($D320, regions_ub[[setting]:[setting]],0), MATCH(L$139, regions_ub[#Headers],0)),INDEX(lmic_raw_ub[],MATCH($A320,lmic_raw_ub[[setting]:[setting]],0), MATCH(L$277, lmic_raw_ub[#Headers],0)))</f>
        <v>0.99990000000000001</v>
      </c>
      <c r="M320" s="84">
        <f>IF(INDEX(lmic_raw_ub[],MATCH($A320,lmic_raw_ub[[setting]:[setting]],0), MATCH(M$277, lmic_raw_ub[#Headers],0))=0, INDEX(regions_ub[], MATCH($D320, regions_ub[[setting]:[setting]],0), MATCH(M$139, regions_ub[#Headers],0)),INDEX(lmic_raw_ub[],MATCH($A320,lmic_raw_ub[[setting]:[setting]],0), MATCH(M$277, lmic_raw_ub[#Headers],0)))</f>
        <v>2.9399999999999999E-2</v>
      </c>
      <c r="N320" s="84">
        <f>IF(INDEX(lmic_raw_ub[],MATCH($A320,lmic_raw_ub[[setting]:[setting]],0), MATCH(N$277, lmic_raw_ub[#Headers],0))=0, INDEX(regions_ub[], MATCH($D320, regions_ub[[setting]:[setting]],0), MATCH(N$139, regions_ub[#Headers],0)),INDEX(lmic_raw_ub[],MATCH($A320,lmic_raw_ub[[setting]:[setting]],0), MATCH(N$277, lmic_raw_ub[#Headers],0)))</f>
        <v>0.47889999999999999</v>
      </c>
      <c r="O320" s="84">
        <f>IF(INDEX(lmic_raw_ub[],MATCH($A320,lmic_raw_ub[[setting]:[setting]],0), MATCH(O$277, lmic_raw_ub[#Headers],0))=0, INDEX(regions_ub[], MATCH($D320, regions_ub[[setting]:[setting]],0), MATCH(O$139, regions_ub[#Headers],0)),INDEX(lmic_raw_ub[],MATCH($A320,lmic_raw_ub[[setting]:[setting]],0), MATCH(O$277, lmic_raw_ub[#Headers],0)))</f>
        <v>0.9</v>
      </c>
      <c r="P320" s="84">
        <f>IF(INDEX(lmic_raw_ub[],MATCH($A320,lmic_raw_ub[[setting]:[setting]],0), MATCH(P$277, lmic_raw_ub[#Headers],0))=0, INDEX(regions_ub[], MATCH($D320, regions_ub[[setting]:[setting]],0), MATCH(P$139, regions_ub[#Headers],0)),INDEX(lmic_raw_ub[],MATCH($A320,lmic_raw_ub[[setting]:[setting]],0), MATCH(P$277, lmic_raw_ub[#Headers],0)))</f>
        <v>0.3</v>
      </c>
      <c r="Q320" s="84">
        <f>IF(INDEX(lmic_raw_ub[],MATCH($A320,lmic_raw_ub[[setting]:[setting]],0), MATCH(Q$277, lmic_raw_ub[#Headers],0))=0, INDEX(regions_ub[], MATCH($D320, regions_ub[[setting]:[setting]],0), MATCH(Q$139, regions_ub[#Headers],0)),INDEX(lmic_raw_ub[],MATCH($A320,lmic_raw_ub[[setting]:[setting]],0), MATCH(Q$277, lmic_raw_ub[#Headers],0)))</f>
        <v>6.5174657380654466</v>
      </c>
      <c r="R320" s="84">
        <f>IF(INDEX(lmic_raw_ub[],MATCH($A320,lmic_raw_ub[[setting]:[setting]],0), MATCH(R$277, lmic_raw_ub[#Headers],0))=0, INDEX(regions_ub[], MATCH($D320, regions_ub[[setting]:[setting]],0), MATCH(R$139, regions_ub[#Headers],0)),INDEX(lmic_raw_ub[],MATCH($A320,lmic_raw_ub[[setting]:[setting]],0), MATCH(R$277, lmic_raw_ub[#Headers],0)))</f>
        <v>76.738725000000002</v>
      </c>
      <c r="S320" s="84">
        <f>IF(INDEX(lmic_raw_ub[],MATCH($A320,lmic_raw_ub[[setting]:[setting]],0), MATCH(S$277, lmic_raw_ub[#Headers],0))=0, INDEX(regions_ub[], MATCH($D320, regions_ub[[setting]:[setting]],0), MATCH(S$139, regions_ub[#Headers],0)),INDEX(lmic_raw_ub[],MATCH($A320,lmic_raw_ub[[setting]:[setting]],0), MATCH(S$277, lmic_raw_ub[#Headers],0)))</f>
        <v>126.867825</v>
      </c>
      <c r="T320" s="84">
        <f>IF(INDEX(lmic_raw_ub[],MATCH($A320,lmic_raw_ub[[setting]:[setting]],0), MATCH(T$277, lmic_raw_ub[#Headers],0))=0, INDEX(regions_ub[], MATCH($D320, regions_ub[[setting]:[setting]],0), MATCH(T$139, regions_ub[#Headers],0)),INDEX(lmic_raw_ub[],MATCH($A320,lmic_raw_ub[[setting]:[setting]],0), MATCH(T$277, lmic_raw_ub[#Headers],0)))</f>
        <v>126.867825</v>
      </c>
      <c r="U320" s="84">
        <f>IF(INDEX(lmic_raw_ub[],MATCH($A320,lmic_raw_ub[[setting]:[setting]],0), MATCH(U$277, lmic_raw_ub[#Headers],0))=0, INDEX(regions_ub[], MATCH($D320, regions_ub[[setting]:[setting]],0), MATCH(U$139, regions_ub[#Headers],0)),INDEX(lmic_raw_ub[],MATCH($A320,lmic_raw_ub[[setting]:[setting]],0), MATCH(U$277, lmic_raw_ub[#Headers],0)))</f>
        <v>126.867825</v>
      </c>
      <c r="V320" s="84">
        <f>IF(INDEX(lmic_raw_ub[],MATCH($A320,lmic_raw_ub[[setting]:[setting]],0), MATCH(V$277, lmic_raw_ub[#Headers],0))=0, INDEX(regions_ub[], MATCH($D320, regions_ub[[setting]:[setting]],0), MATCH(V$139, regions_ub[#Headers],0)),INDEX(lmic_raw_ub[],MATCH($A320,lmic_raw_ub[[setting]:[setting]],0), MATCH(V$277, lmic_raw_ub[#Headers],0)))</f>
        <v>9.1531640322878314</v>
      </c>
      <c r="W320" s="84">
        <f>IF(INDEX(lmic_raw_ub[],MATCH($A320,lmic_raw_ub[[setting]:[setting]],0), MATCH(W$277, lmic_raw_ub[#Headers],0))=0, INDEX(regions_ub[], MATCH($D320, regions_ub[[setting]:[setting]],0), MATCH(W$139, regions_ub[#Headers],0)),INDEX(lmic_raw_ub[],MATCH($A320,lmic_raw_ub[[setting]:[setting]],0), MATCH(W$277, lmic_raw_ub[#Headers],0)))</f>
        <v>9.8169740322878312</v>
      </c>
      <c r="X320" s="84">
        <f>IF(INDEX(lmic_raw_ub[],MATCH($A320,lmic_raw_ub[[setting]:[setting]],0), MATCH(X$277, lmic_raw_ub[#Headers],0))=0, INDEX(regions_ub[], MATCH($D320, regions_ub[[setting]:[setting]],0), MATCH(X$139, regions_ub[#Headers],0)),INDEX(lmic_raw_ub[],MATCH($A320,lmic_raw_ub[[setting]:[setting]],0), MATCH(X$277, lmic_raw_ub[#Headers],0)))</f>
        <v>8.6340704413230203</v>
      </c>
      <c r="Y320" s="84">
        <f>IF(INDEX(lmic_raw_ub[],MATCH($A320,lmic_raw_ub[[setting]:[setting]],0), MATCH(Y$277, lmic_raw_ub[#Headers],0))=0, INDEX(regions_ub[], MATCH($D320, regions_ub[[setting]:[setting]],0), MATCH(Y$139, regions_ub[#Headers],0)),INDEX(lmic_raw_ub[],MATCH($A320,lmic_raw_ub[[setting]:[setting]],0), MATCH(Y$277, lmic_raw_ub[#Headers],0)))</f>
        <v>9.2978804413230201</v>
      </c>
      <c r="Z320" s="84">
        <f>IF(INDEX(lmic_raw_ub[],MATCH($A320,lmic_raw_ub[[setting]:[setting]],0), MATCH(Z$277, lmic_raw_ub[#Headers],0))=0, INDEX(regions_ub[], MATCH($D320, regions_ub[[setting]:[setting]],0), MATCH(Z$139, regions_ub[#Headers],0)),INDEX(lmic_raw_ub[],MATCH($A320,lmic_raw_ub[[setting]:[setting]],0), MATCH(Z$277, lmic_raw_ub[#Headers],0)))</f>
        <v>9.2787898004210412</v>
      </c>
      <c r="AA320" s="84">
        <f>IF(INDEX(lmic_raw_ub[],MATCH($A320,lmic_raw_ub[[setting]:[setting]],0), MATCH(AA$277, lmic_raw_ub[#Headers],0))=0, INDEX(regions_ub[], MATCH($D320, regions_ub[[setting]:[setting]],0), MATCH(AA$139, regions_ub[#Headers],0)),INDEX(lmic_raw_ub[],MATCH($A320,lmic_raw_ub[[setting]:[setting]],0), MATCH(AA$277, lmic_raw_ub[#Headers],0)))</f>
        <v>9.4270695376168003</v>
      </c>
      <c r="AB320" s="84">
        <f>IF(INDEX(lmic_raw_ub[],MATCH($A320,lmic_raw_ub[[setting]:[setting]],0), MATCH(AB$277, lmic_raw_ub[#Headers],0))=0, INDEX(regions_ub[], MATCH($D320, regions_ub[[setting]:[setting]],0), MATCH(AB$139, regions_ub[#Headers],0)),INDEX(lmic_raw_ub[],MATCH($A320,lmic_raw_ub[[setting]:[setting]],0), MATCH(AB$277, lmic_raw_ub[#Headers],0)))</f>
        <v>10.0908795376168</v>
      </c>
      <c r="AC320" s="84">
        <f>IF(INDEX(lmic_raw_ub[],MATCH($A320,lmic_raw_ub[[setting]:[setting]],0), MATCH(AC$277, lmic_raw_ub[#Headers],0))=0, INDEX(regions_ub[], MATCH($D320, regions_ub[[setting]:[setting]],0), MATCH(AC$139, regions_ub[#Headers],0)),INDEX(lmic_raw_ub[],MATCH($A320,lmic_raw_ub[[setting]:[setting]],0), MATCH(AC$277, lmic_raw_ub[#Headers],0)))</f>
        <v>2.1343864499999962E-2</v>
      </c>
      <c r="AD320" s="84">
        <f>IF(INDEX(lmic_raw_ub[],MATCH($A320,lmic_raw_ub[[setting]:[setting]],0), MATCH(AD$277, lmic_raw_ub[#Headers],0))=0, INDEX(regions_ub[], MATCH($D320, regions_ub[[setting]:[setting]],0), MATCH(AD$139, regions_ub[#Headers],0)),INDEX(lmic_raw_ub[],MATCH($A320,lmic_raw_ub[[setting]:[setting]],0), MATCH(AD$277, lmic_raw_ub[#Headers],0)))</f>
        <v>1.1514097705977286E-3</v>
      </c>
      <c r="AE320" s="84">
        <f>IF(INDEX(lmic_raw_ub[],MATCH($A320,lmic_raw_ub[[setting]:[setting]],0), MATCH(AE$277, lmic_raw_ub[#Headers],0))=0, INDEX(regions_ub[], MATCH($D320, regions_ub[[setting]:[setting]],0), MATCH(AE$139, regions_ub[#Headers],0)),INDEX(lmic_raw_ub[],MATCH($A320,lmic_raw_ub[[setting]:[setting]],0), MATCH(AE$277, lmic_raw_ub[#Headers],0)))</f>
        <v>7.6466347032452613E-4</v>
      </c>
      <c r="AF320" s="84">
        <f>IF(INDEX(lmic_raw_ub[],MATCH($A320,lmic_raw_ub[[setting]:[setting]],0), MATCH(AF$277, lmic_raw_ub[#Headers],0))=0, INDEX(regions_ub[], MATCH($D320, regions_ub[[setting]:[setting]],0), MATCH(AF$139, regions_ub[#Headers],0)),INDEX(lmic_raw_ub[],MATCH($A320,lmic_raw_ub[[setting]:[setting]],0), MATCH(AF$277, lmic_raw_ub[#Headers],0)))</f>
        <v>7.1269681655038056E-4</v>
      </c>
      <c r="AG320" s="84">
        <f>IF(INDEX(lmic_raw_ub[],MATCH($A320,lmic_raw_ub[[setting]:[setting]],0), MATCH(AG$277, lmic_raw_ub[#Headers],0))=0, INDEX(regions_ub[], MATCH($D320, regions_ub[[setting]:[setting]],0), MATCH(AG$139, regions_ub[#Headers],0)),INDEX(lmic_raw_ub[],MATCH($A320,lmic_raw_ub[[setting]:[setting]],0), MATCH(AG$277, lmic_raw_ub[#Headers],0)))</f>
        <v>1.5944725838374597E-3</v>
      </c>
      <c r="AH320" s="84">
        <f>IF(INDEX(lmic_raw_ub[],MATCH($A320,lmic_raw_ub[[setting]:[setting]],0), MATCH(AH$277, lmic_raw_ub[#Headers],0))=0, INDEX(regions_ub[], MATCH($D320, regions_ub[[setting]:[setting]],0), MATCH(AH$139, regions_ub[#Headers],0)),INDEX(lmic_raw_ub[],MATCH($A320,lmic_raw_ub[[setting]:[setting]],0), MATCH(AH$277, lmic_raw_ub[#Headers],0)))</f>
        <v>2.264153410903076E-3</v>
      </c>
      <c r="AI320" s="84">
        <f>IF(INDEX(lmic_raw_ub[],MATCH($A320,lmic_raw_ub[[setting]:[setting]],0), MATCH(AI$277, lmic_raw_ub[#Headers],0))=0, INDEX(regions_ub[], MATCH($D320, regions_ub[[setting]:[setting]],0), MATCH(AI$139, regions_ub[#Headers],0)),INDEX(lmic_raw_ub[],MATCH($A320,lmic_raw_ub[[setting]:[setting]],0), MATCH(AI$277, lmic_raw_ub[#Headers],0)))</f>
        <v>2.5111045723504497E-3</v>
      </c>
      <c r="AJ320" s="84">
        <f>IF(INDEX(lmic_raw_ub[],MATCH($A320,lmic_raw_ub[[setting]:[setting]],0), MATCH(AJ$277, lmic_raw_ub[#Headers],0))=0, INDEX(regions_ub[], MATCH($D320, regions_ub[[setting]:[setting]],0), MATCH(AJ$139, regions_ub[#Headers],0)),INDEX(lmic_raw_ub[],MATCH($A320,lmic_raw_ub[[setting]:[setting]],0), MATCH(AJ$277, lmic_raw_ub[#Headers],0)))</f>
        <v>2.9441933324999294E-3</v>
      </c>
      <c r="AK320" s="84">
        <f>IF(INDEX(lmic_raw_ub[],MATCH($A320,lmic_raw_ub[[setting]:[setting]],0), MATCH(AK$277, lmic_raw_ub[#Headers],0))=0, INDEX(regions_ub[], MATCH($D320, regions_ub[[setting]:[setting]],0), MATCH(AK$139, regions_ub[#Headers],0)),INDEX(lmic_raw_ub[],MATCH($A320,lmic_raw_ub[[setting]:[setting]],0), MATCH(AK$277, lmic_raw_ub[#Headers],0)))</f>
        <v>3.7710238322378534E-3</v>
      </c>
      <c r="AL320" s="84">
        <f>IF(INDEX(lmic_raw_ub[],MATCH($A320,lmic_raw_ub[[setting]:[setting]],0), MATCH(AL$277, lmic_raw_ub[#Headers],0))=0, INDEX(regions_ub[], MATCH($D320, regions_ub[[setting]:[setting]],0), MATCH(AL$139, regions_ub[#Headers],0)),INDEX(lmic_raw_ub[],MATCH($A320,lmic_raw_ub[[setting]:[setting]],0), MATCH(AL$277, lmic_raw_ub[#Headers],0)))</f>
        <v>5.0807828777867849E-3</v>
      </c>
      <c r="AM320" s="84">
        <f>IF(INDEX(lmic_raw_ub[],MATCH($A320,lmic_raw_ub[[setting]:[setting]],0), MATCH(AM$277, lmic_raw_ub[#Headers],0))=0, INDEX(regions_ub[], MATCH($D320, regions_ub[[setting]:[setting]],0), MATCH(AM$139, regions_ub[#Headers],0)),INDEX(lmic_raw_ub[],MATCH($A320,lmic_raw_ub[[setting]:[setting]],0), MATCH(AM$277, lmic_raw_ub[#Headers],0)))</f>
        <v>7.2099280045811237E-3</v>
      </c>
      <c r="AN320" s="84">
        <f>IF(INDEX(lmic_raw_ub[],MATCH($A320,lmic_raw_ub[[setting]:[setting]],0), MATCH(AN$277, lmic_raw_ub[#Headers],0))=0, INDEX(regions_ub[], MATCH($D320, regions_ub[[setting]:[setting]],0), MATCH(AN$139, regions_ub[#Headers],0)),INDEX(lmic_raw_ub[],MATCH($A320,lmic_raw_ub[[setting]:[setting]],0), MATCH(AN$277, lmic_raw_ub[#Headers],0)))</f>
        <v>1.0410122629183274E-2</v>
      </c>
      <c r="AO320" s="84">
        <f>IF(INDEX(lmic_raw_ub[],MATCH($A320,lmic_raw_ub[[setting]:[setting]],0), MATCH(AO$277, lmic_raw_ub[#Headers],0))=0, INDEX(regions_ub[], MATCH($D320, regions_ub[[setting]:[setting]],0), MATCH(AO$139, regions_ub[#Headers],0)),INDEX(lmic_raw_ub[],MATCH($A320,lmic_raw_ub[[setting]:[setting]],0), MATCH(AO$277, lmic_raw_ub[#Headers],0)))</f>
        <v>1.5120178360183995E-2</v>
      </c>
      <c r="AP320" s="84">
        <f>IF(INDEX(lmic_raw_ub[],MATCH($A320,lmic_raw_ub[[setting]:[setting]],0), MATCH(AP$277, lmic_raw_ub[#Headers],0))=0, INDEX(regions_ub[], MATCH($D320, regions_ub[[setting]:[setting]],0), MATCH(AP$139, regions_ub[#Headers],0)),INDEX(lmic_raw_ub[],MATCH($A320,lmic_raw_ub[[setting]:[setting]],0), MATCH(AP$277, lmic_raw_ub[#Headers],0)))</f>
        <v>2.3500065495571713E-2</v>
      </c>
      <c r="AQ320" s="84">
        <f>IF(INDEX(lmic_raw_ub[],MATCH($A320,lmic_raw_ub[[setting]:[setting]],0), MATCH(AQ$277, lmic_raw_ub[#Headers],0))=0, INDEX(regions_ub[], MATCH($D320, regions_ub[[setting]:[setting]],0), MATCH(AQ$139, regions_ub[#Headers],0)),INDEX(lmic_raw_ub[],MATCH($A320,lmic_raw_ub[[setting]:[setting]],0), MATCH(AQ$277, lmic_raw_ub[#Headers],0)))</f>
        <v>3.6477982690851278E-2</v>
      </c>
      <c r="AR320" s="84">
        <f>IF(INDEX(lmic_raw_ub[],MATCH($A320,lmic_raw_ub[[setting]:[setting]],0), MATCH(AR$277, lmic_raw_ub[#Headers],0))=0, INDEX(regions_ub[], MATCH($D320, regions_ub[[setting]:[setting]],0), MATCH(AR$139, regions_ub[#Headers],0)),INDEX(lmic_raw_ub[],MATCH($A320,lmic_raw_ub[[setting]:[setting]],0), MATCH(AR$277, lmic_raw_ub[#Headers],0)))</f>
        <v>5.4861155548274983E-2</v>
      </c>
      <c r="AS320" s="84">
        <f>IF(INDEX(lmic_raw_ub[],MATCH($A320,lmic_raw_ub[[setting]:[setting]],0), MATCH(AS$277, lmic_raw_ub[#Headers],0))=0, INDEX(regions_ub[], MATCH($D320, regions_ub[[setting]:[setting]],0), MATCH(AS$139, regions_ub[#Headers],0)),INDEX(lmic_raw_ub[],MATCH($A320,lmic_raw_ub[[setting]:[setting]],0), MATCH(AS$277, lmic_raw_ub[#Headers],0)))</f>
        <v>8.0044787789601404E-2</v>
      </c>
      <c r="AT320" s="84">
        <f>IF(INDEX(lmic_raw_ub[],MATCH($A320,lmic_raw_ub[[setting]:[setting]],0), MATCH(AT$277, lmic_raw_ub[#Headers],0))=0, INDEX(regions_ub[], MATCH($D320, regions_ub[[setting]:[setting]],0), MATCH(AT$139, regions_ub[#Headers],0)),INDEX(lmic_raw_ub[],MATCH($A320,lmic_raw_ub[[setting]:[setting]],0), MATCH(AT$277, lmic_raw_ub[#Headers],0)))</f>
        <v>0.11284727802654002</v>
      </c>
      <c r="AU320" s="84">
        <f>IF(INDEX(lmic_raw_ub[],MATCH($A320,lmic_raw_ub[[setting]:[setting]],0), MATCH(AU$277, lmic_raw_ub[#Headers],0))=0, INDEX(regions_ub[], MATCH($D320, regions_ub[[setting]:[setting]],0), MATCH(AU$139, regions_ub[#Headers],0)),INDEX(lmic_raw_ub[],MATCH($A320,lmic_raw_ub[[setting]:[setting]],0), MATCH(AU$277, lmic_raw_ub[#Headers],0)))</f>
        <v>0.14811491462671822</v>
      </c>
      <c r="AV320" s="84">
        <f>IF(INDEX(lmic_raw_ub[],MATCH($A320,lmic_raw_ub[[setting]:[setting]],0), MATCH(AV$277, lmic_raw_ub[#Headers],0))=0, INDEX(regions_ub[], MATCH($D320, regions_ub[[setting]:[setting]],0), MATCH(AV$139, regions_ub[#Headers],0)),INDEX(lmic_raw_ub[],MATCH($A320,lmic_raw_ub[[setting]:[setting]],0), MATCH(AV$277, lmic_raw_ub[#Headers],0)))</f>
        <v>0.17576249145514306</v>
      </c>
      <c r="AW320" s="84">
        <f>IF(INDEX(lmic_raw_ub[],MATCH($A320,lmic_raw_ub[[setting]:[setting]],0), MATCH(AW$277, lmic_raw_ub[#Headers],0))=0, INDEX(regions_ub[], MATCH($D320, regions_ub[[setting]:[setting]],0), MATCH(AW$139, regions_ub[#Headers],0)),INDEX(lmic_raw_ub[],MATCH($A320,lmic_raw_ub[[setting]:[setting]],0), MATCH(AW$277, lmic_raw_ub[#Headers],0)))</f>
        <v>0.19274997976468136</v>
      </c>
      <c r="AX320" s="84">
        <f>IF(INDEX(lmic_raw_ub[],MATCH($A320,lmic_raw_ub[[setting]:[setting]],0), MATCH(AX$277, lmic_raw_ub[#Headers],0))=0, INDEX(regions_ub[], MATCH($D320, regions_ub[[setting]:[setting]],0), MATCH(AX$139, regions_ub[#Headers],0)),INDEX(lmic_raw_ub[],MATCH($A320,lmic_raw_ub[[setting]:[setting]],0), MATCH(AX$277, lmic_raw_ub[#Headers],0)))</f>
        <v>70.636650000000003</v>
      </c>
      <c r="AY320" s="33" t="str">
        <f>IF(VLOOKUP(lmics_ub[[#This Row],[setting]],lmic_raw_ub[],11,FALSE)=0, "Yes", "No")</f>
        <v>No</v>
      </c>
    </row>
    <row r="321" spans="1:51" x14ac:dyDescent="0.25">
      <c r="A321" s="110" t="s">
        <v>129</v>
      </c>
      <c r="B321" s="104" t="s">
        <v>427</v>
      </c>
      <c r="C321" s="105">
        <v>266</v>
      </c>
      <c r="D321" s="84" t="s">
        <v>677</v>
      </c>
      <c r="E321" s="84" t="s">
        <v>582</v>
      </c>
      <c r="F321" s="84" t="s">
        <v>667</v>
      </c>
      <c r="G321" s="84" t="s">
        <v>676</v>
      </c>
      <c r="J321" s="84">
        <f>IF(INDEX(lmic_raw_ub[],MATCH($A321,lmic_raw_ub[[setting]:[setting]],0), MATCH(J$277, lmic_raw_ub[#Headers],0))=0, INDEX(regions_ub[], MATCH($D321, regions_ub[[setting]:[setting]],0), MATCH(J$139, regions_ub[#Headers],0)),INDEX(lmic_raw_ub[],MATCH($A321,lmic_raw_ub[[setting]:[setting]],0), MATCH(J$277, lmic_raw_ub[#Headers],0)))</f>
        <v>0.94710000000000005</v>
      </c>
      <c r="K321" s="84">
        <f>IF(INDEX(lmic_raw_ub[],MATCH($A321,lmic_raw_ub[[setting]:[setting]],0), MATCH(K$277, lmic_raw_ub[#Headers],0))=0, INDEX(regions_ub[], MATCH($D321, regions_ub[[setting]:[setting]],0), MATCH(K$139, regions_ub[#Headers],0)),INDEX(lmic_raw_ub[],MATCH($A321,lmic_raw_ub[[setting]:[setting]],0), MATCH(K$277, lmic_raw_ub[#Headers],0)))</f>
        <v>0.71433037619548323</v>
      </c>
      <c r="L321" s="84">
        <f>IF(INDEX(lmic_raw_ub[],MATCH($A321,lmic_raw_ub[[setting]:[setting]],0), MATCH(L$277, lmic_raw_ub[#Headers],0))=0, INDEX(regions_ub[], MATCH($D321, regions_ub[[setting]:[setting]],0), MATCH(L$139, regions_ub[#Headers],0)),INDEX(lmic_raw_ub[],MATCH($A321,lmic_raw_ub[[setting]:[setting]],0), MATCH(L$277, lmic_raw_ub[#Headers],0)))</f>
        <v>0.73499999999999999</v>
      </c>
      <c r="M321" s="84">
        <f>IF(INDEX(lmic_raw_ub[],MATCH($A321,lmic_raw_ub[[setting]:[setting]],0), MATCH(M$277, lmic_raw_ub[#Headers],0))=0, INDEX(regions_ub[], MATCH($D321, regions_ub[[setting]:[setting]],0), MATCH(M$139, regions_ub[#Headers],0)),INDEX(lmic_raw_ub[],MATCH($A321,lmic_raw_ub[[setting]:[setting]],0), MATCH(M$277, lmic_raw_ub[#Headers],0)))</f>
        <v>0.1115</v>
      </c>
      <c r="N321" s="84">
        <f>IF(INDEX(lmic_raw_ub[],MATCH($A321,lmic_raw_ub[[setting]:[setting]],0), MATCH(N$277, lmic_raw_ub[#Headers],0))=0, INDEX(regions_ub[], MATCH($D321, regions_ub[[setting]:[setting]],0), MATCH(N$139, regions_ub[#Headers],0)),INDEX(lmic_raw_ub[],MATCH($A321,lmic_raw_ub[[setting]:[setting]],0), MATCH(N$277, lmic_raw_ub[#Headers],0)))</f>
        <v>0.40200000000000002</v>
      </c>
      <c r="O321" s="84">
        <f>IF(INDEX(lmic_raw_ub[],MATCH($A321,lmic_raw_ub[[setting]:[setting]],0), MATCH(O$277, lmic_raw_ub[#Headers],0))=0, INDEX(regions_ub[], MATCH($D321, regions_ub[[setting]:[setting]],0), MATCH(O$139, regions_ub[#Headers],0)),INDEX(lmic_raw_ub[],MATCH($A321,lmic_raw_ub[[setting]:[setting]],0), MATCH(O$277, lmic_raw_ub[#Headers],0)))</f>
        <v>0.74399999999999999</v>
      </c>
      <c r="P321" s="84">
        <f>IF(INDEX(lmic_raw_ub[],MATCH($A321,lmic_raw_ub[[setting]:[setting]],0), MATCH(P$277, lmic_raw_ub[#Headers],0))=0, INDEX(regions_ub[], MATCH($D321, regions_ub[[setting]:[setting]],0), MATCH(P$139, regions_ub[#Headers],0)),INDEX(lmic_raw_ub[],MATCH($A321,lmic_raw_ub[[setting]:[setting]],0), MATCH(P$277, lmic_raw_ub[#Headers],0)))</f>
        <v>0.13300000000000001</v>
      </c>
      <c r="Q321" s="84">
        <f>IF(INDEX(lmic_raw_ub[],MATCH($A321,lmic_raw_ub[[setting]:[setting]],0), MATCH(Q$277, lmic_raw_ub[#Headers],0))=0, INDEX(regions_ub[], MATCH($D321, regions_ub[[setting]:[setting]],0), MATCH(Q$139, regions_ub[#Headers],0)),INDEX(lmic_raw_ub[],MATCH($A321,lmic_raw_ub[[setting]:[setting]],0), MATCH(Q$277, lmic_raw_ub[#Headers],0)))</f>
        <v>15.365842630645547</v>
      </c>
      <c r="R321" s="84">
        <f>IF(INDEX(lmic_raw_ub[],MATCH($A321,lmic_raw_ub[[setting]:[setting]],0), MATCH(R$277, lmic_raw_ub[#Headers],0))=0, INDEX(regions_ub[], MATCH($D321, regions_ub[[setting]:[setting]],0), MATCH(R$139, regions_ub[#Headers],0)),INDEX(lmic_raw_ub[],MATCH($A321,lmic_raw_ub[[setting]:[setting]],0), MATCH(R$277, lmic_raw_ub[#Headers],0)))</f>
        <v>31.416525000000004</v>
      </c>
      <c r="S321" s="84">
        <f>IF(INDEX(lmic_raw_ub[],MATCH($A321,lmic_raw_ub[[setting]:[setting]],0), MATCH(S$277, lmic_raw_ub[#Headers],0))=0, INDEX(regions_ub[], MATCH($D321, regions_ub[[setting]:[setting]],0), MATCH(S$139, regions_ub[#Headers],0)),INDEX(lmic_raw_ub[],MATCH($A321,lmic_raw_ub[[setting]:[setting]],0), MATCH(S$277, lmic_raw_ub[#Headers],0)))</f>
        <v>81.545625000000015</v>
      </c>
      <c r="T321" s="84">
        <f>IF(INDEX(lmic_raw_ub[],MATCH($A321,lmic_raw_ub[[setting]:[setting]],0), MATCH(T$277, lmic_raw_ub[#Headers],0))=0, INDEX(regions_ub[], MATCH($D321, regions_ub[[setting]:[setting]],0), MATCH(T$139, regions_ub[#Headers],0)),INDEX(lmic_raw_ub[],MATCH($A321,lmic_raw_ub[[setting]:[setting]],0), MATCH(T$277, lmic_raw_ub[#Headers],0)))</f>
        <v>81.545625000000015</v>
      </c>
      <c r="U321" s="84">
        <f>IF(INDEX(lmic_raw_ub[],MATCH($A321,lmic_raw_ub[[setting]:[setting]],0), MATCH(U$277, lmic_raw_ub[#Headers],0))=0, INDEX(regions_ub[], MATCH($D321, regions_ub[[setting]:[setting]],0), MATCH(U$139, regions_ub[#Headers],0)),INDEX(lmic_raw_ub[],MATCH($A321,lmic_raw_ub[[setting]:[setting]],0), MATCH(U$277, lmic_raw_ub[#Headers],0)))</f>
        <v>81.545625000000015</v>
      </c>
      <c r="V321" s="84">
        <f>IF(INDEX(lmic_raw_ub[],MATCH($A321,lmic_raw_ub[[setting]:[setting]],0), MATCH(V$277, lmic_raw_ub[#Headers],0))=0, INDEX(regions_ub[], MATCH($D321, regions_ub[[setting]:[setting]],0), MATCH(V$139, regions_ub[#Headers],0)),INDEX(lmic_raw_ub[],MATCH($A321,lmic_raw_ub[[setting]:[setting]],0), MATCH(V$277, lmic_raw_ub[#Headers],0)))</f>
        <v>9.698649953940885</v>
      </c>
      <c r="W321" s="84">
        <f>IF(INDEX(lmic_raw_ub[],MATCH($A321,lmic_raw_ub[[setting]:[setting]],0), MATCH(W$277, lmic_raw_ub[#Headers],0))=0, INDEX(regions_ub[], MATCH($D321, regions_ub[[setting]:[setting]],0), MATCH(W$139, regions_ub[#Headers],0)),INDEX(lmic_raw_ub[],MATCH($A321,lmic_raw_ub[[setting]:[setting]],0), MATCH(W$277, lmic_raw_ub[#Headers],0)))</f>
        <v>14.768784953940886</v>
      </c>
      <c r="X321" s="84">
        <f>IF(INDEX(lmic_raw_ub[],MATCH($A321,lmic_raw_ub[[setting]:[setting]],0), MATCH(X$277, lmic_raw_ub[#Headers],0))=0, INDEX(regions_ub[], MATCH($D321, regions_ub[[setting]:[setting]],0), MATCH(X$139, regions_ub[#Headers],0)),INDEX(lmic_raw_ub[],MATCH($A321,lmic_raw_ub[[setting]:[setting]],0), MATCH(X$277, lmic_raw_ub[#Headers],0)))</f>
        <v>9.1704921612420573</v>
      </c>
      <c r="Y321" s="84">
        <f>IF(INDEX(lmic_raw_ub[],MATCH($A321,lmic_raw_ub[[setting]:[setting]],0), MATCH(Y$277, lmic_raw_ub[#Headers],0))=0, INDEX(regions_ub[], MATCH($D321, regions_ub[[setting]:[setting]],0), MATCH(Y$139, regions_ub[#Headers],0)),INDEX(lmic_raw_ub[],MATCH($A321,lmic_raw_ub[[setting]:[setting]],0), MATCH(Y$277, lmic_raw_ub[#Headers],0)))</f>
        <v>14.240627161242058</v>
      </c>
      <c r="Z321" s="84">
        <f>IF(INDEX(lmic_raw_ub[],MATCH($A321,lmic_raw_ub[[setting]:[setting]],0), MATCH(Z$277, lmic_raw_ub[#Headers],0))=0, INDEX(regions_ub[], MATCH($D321, regions_ub[[setting]:[setting]],0), MATCH(Z$139, regions_ub[#Headers],0)),INDEX(lmic_raw_ub[],MATCH($A321,lmic_raw_ub[[setting]:[setting]],0), MATCH(Z$277, lmic_raw_ub[#Headers],0)))</f>
        <v>14.216798942672007</v>
      </c>
      <c r="AA321" s="84">
        <f>IF(INDEX(lmic_raw_ub[],MATCH($A321,lmic_raw_ub[[setting]:[setting]],0), MATCH(AA$277, lmic_raw_ub[#Headers],0))=0, INDEX(regions_ub[], MATCH($D321, regions_ub[[setting]:[setting]],0), MATCH(AA$139, regions_ub[#Headers],0)),INDEX(lmic_raw_ub[],MATCH($A321,lmic_raw_ub[[setting]:[setting]],0), MATCH(AA$277, lmic_raw_ub[#Headers],0)))</f>
        <v>9.9746129774548766</v>
      </c>
      <c r="AB321" s="84">
        <f>IF(INDEX(lmic_raw_ub[],MATCH($A321,lmic_raw_ub[[setting]:[setting]],0), MATCH(AB$277, lmic_raw_ub[#Headers],0))=0, INDEX(regions_ub[], MATCH($D321, regions_ub[[setting]:[setting]],0), MATCH(AB$139, regions_ub[#Headers],0)),INDEX(lmic_raw_ub[],MATCH($A321,lmic_raw_ub[[setting]:[setting]],0), MATCH(AB$277, lmic_raw_ub[#Headers],0)))</f>
        <v>15.044747977454877</v>
      </c>
      <c r="AC321" s="84">
        <f>IF(INDEX(lmic_raw_ub[],MATCH($A321,lmic_raw_ub[[setting]:[setting]],0), MATCH(AC$277, lmic_raw_ub[#Headers],0))=0, INDEX(regions_ub[], MATCH($D321, regions_ub[[setting]:[setting]],0), MATCH(AC$139, regions_ub[#Headers],0)),INDEX(lmic_raw_ub[],MATCH($A321,lmic_raw_ub[[setting]:[setting]],0), MATCH(AC$277, lmic_raw_ub[#Headers],0)))</f>
        <v>3.7053502499999988E-2</v>
      </c>
      <c r="AD321" s="84">
        <f>IF(INDEX(lmic_raw_ub[],MATCH($A321,lmic_raw_ub[[setting]:[setting]],0), MATCH(AD$277, lmic_raw_ub[#Headers],0))=0, INDEX(regions_ub[], MATCH($D321, regions_ub[[setting]:[setting]],0), MATCH(AD$139, regions_ub[#Headers],0)),INDEX(lmic_raw_ub[],MATCH($A321,lmic_raw_ub[[setting]:[setting]],0), MATCH(AD$277, lmic_raw_ub[#Headers],0)))</f>
        <v>3.4463379937793742E-3</v>
      </c>
      <c r="AE321" s="84">
        <f>IF(INDEX(lmic_raw_ub[],MATCH($A321,lmic_raw_ub[[setting]:[setting]],0), MATCH(AE$277, lmic_raw_ub[#Headers],0))=0, INDEX(regions_ub[], MATCH($D321, regions_ub[[setting]:[setting]],0), MATCH(AE$139, regions_ub[#Headers],0)),INDEX(lmic_raw_ub[],MATCH($A321,lmic_raw_ub[[setting]:[setting]],0), MATCH(AE$277, lmic_raw_ub[#Headers],0)))</f>
        <v>1.495894181931569E-3</v>
      </c>
      <c r="AF321" s="84">
        <f>IF(INDEX(lmic_raw_ub[],MATCH($A321,lmic_raw_ub[[setting]:[setting]],0), MATCH(AF$277, lmic_raw_ub[#Headers],0))=0, INDEX(regions_ub[], MATCH($D321, regions_ub[[setting]:[setting]],0), MATCH(AF$139, regions_ub[#Headers],0)),INDEX(lmic_raw_ub[],MATCH($A321,lmic_raw_ub[[setting]:[setting]],0), MATCH(AF$277, lmic_raw_ub[#Headers],0)))</f>
        <v>1.0677132360660689E-3</v>
      </c>
      <c r="AG321" s="84">
        <f>IF(INDEX(lmic_raw_ub[],MATCH($A321,lmic_raw_ub[[setting]:[setting]],0), MATCH(AG$277, lmic_raw_ub[#Headers],0))=0, INDEX(regions_ub[], MATCH($D321, regions_ub[[setting]:[setting]],0), MATCH(AG$139, regions_ub[#Headers],0)),INDEX(lmic_raw_ub[],MATCH($A321,lmic_raw_ub[[setting]:[setting]],0), MATCH(AG$277, lmic_raw_ub[#Headers],0)))</f>
        <v>1.7672972366569145E-3</v>
      </c>
      <c r="AH321" s="84">
        <f>IF(INDEX(lmic_raw_ub[],MATCH($A321,lmic_raw_ub[[setting]:[setting]],0), MATCH(AH$277, lmic_raw_ub[#Headers],0))=0, INDEX(regions_ub[], MATCH($D321, regions_ub[[setting]:[setting]],0), MATCH(AH$139, regions_ub[#Headers],0)),INDEX(lmic_raw_ub[],MATCH($A321,lmic_raw_ub[[setting]:[setting]],0), MATCH(AH$277, lmic_raw_ub[#Headers],0)))</f>
        <v>2.5747785909020363E-3</v>
      </c>
      <c r="AI321" s="84">
        <f>IF(INDEX(lmic_raw_ub[],MATCH($A321,lmic_raw_ub[[setting]:[setting]],0), MATCH(AI$277, lmic_raw_ub[#Headers],0))=0, INDEX(regions_ub[], MATCH($D321, regions_ub[[setting]:[setting]],0), MATCH(AI$139, regions_ub[#Headers],0)),INDEX(lmic_raw_ub[],MATCH($A321,lmic_raw_ub[[setting]:[setting]],0), MATCH(AI$277, lmic_raw_ub[#Headers],0)))</f>
        <v>2.9432444823779256E-3</v>
      </c>
      <c r="AJ321" s="84">
        <f>IF(INDEX(lmic_raw_ub[],MATCH($A321,lmic_raw_ub[[setting]:[setting]],0), MATCH(AJ$277, lmic_raw_ub[#Headers],0))=0, INDEX(regions_ub[], MATCH($D321, regions_ub[[setting]:[setting]],0), MATCH(AJ$139, regions_ub[#Headers],0)),INDEX(lmic_raw_ub[],MATCH($A321,lmic_raw_ub[[setting]:[setting]],0), MATCH(AJ$277, lmic_raw_ub[#Headers],0)))</f>
        <v>3.4246067865379413E-3</v>
      </c>
      <c r="AK321" s="84">
        <f>IF(INDEX(lmic_raw_ub[],MATCH($A321,lmic_raw_ub[[setting]:[setting]],0), MATCH(AK$277, lmic_raw_ub[#Headers],0))=0, INDEX(regions_ub[], MATCH($D321, regions_ub[[setting]:[setting]],0), MATCH(AK$139, regions_ub[#Headers],0)),INDEX(lmic_raw_ub[],MATCH($A321,lmic_raw_ub[[setting]:[setting]],0), MATCH(AK$277, lmic_raw_ub[#Headers],0)))</f>
        <v>4.1658041736249473E-3</v>
      </c>
      <c r="AL321" s="84">
        <f>IF(INDEX(lmic_raw_ub[],MATCH($A321,lmic_raw_ub[[setting]:[setting]],0), MATCH(AL$277, lmic_raw_ub[#Headers],0))=0, INDEX(regions_ub[], MATCH($D321, regions_ub[[setting]:[setting]],0), MATCH(AL$139, regions_ub[#Headers],0)),INDEX(lmic_raw_ub[],MATCH($A321,lmic_raw_ub[[setting]:[setting]],0), MATCH(AL$277, lmic_raw_ub[#Headers],0)))</f>
        <v>5.2944684252241971E-3</v>
      </c>
      <c r="AM321" s="84">
        <f>IF(INDEX(lmic_raw_ub[],MATCH($A321,lmic_raw_ub[[setting]:[setting]],0), MATCH(AM$277, lmic_raw_ub[#Headers],0))=0, INDEX(regions_ub[], MATCH($D321, regions_ub[[setting]:[setting]],0), MATCH(AM$139, regions_ub[#Headers],0)),INDEX(lmic_raw_ub[],MATCH($A321,lmic_raw_ub[[setting]:[setting]],0), MATCH(AM$277, lmic_raw_ub[#Headers],0)))</f>
        <v>6.7402147866258656E-3</v>
      </c>
      <c r="AN321" s="84">
        <f>IF(INDEX(lmic_raw_ub[],MATCH($A321,lmic_raw_ub[[setting]:[setting]],0), MATCH(AN$277, lmic_raw_ub[#Headers],0))=0, INDEX(regions_ub[], MATCH($D321, regions_ub[[setting]:[setting]],0), MATCH(AN$139, regions_ub[#Headers],0)),INDEX(lmic_raw_ub[],MATCH($A321,lmic_raw_ub[[setting]:[setting]],0), MATCH(AN$277, lmic_raw_ub[#Headers],0)))</f>
        <v>9.6528266423356133E-3</v>
      </c>
      <c r="AO321" s="84">
        <f>IF(INDEX(lmic_raw_ub[],MATCH($A321,lmic_raw_ub[[setting]:[setting]],0), MATCH(AO$277, lmic_raw_ub[#Headers],0))=0, INDEX(regions_ub[], MATCH($D321, regions_ub[[setting]:[setting]],0), MATCH(AO$139, regions_ub[#Headers],0)),INDEX(lmic_raw_ub[],MATCH($A321,lmic_raw_ub[[setting]:[setting]],0), MATCH(AO$277, lmic_raw_ub[#Headers],0)))</f>
        <v>1.2995081423133124E-2</v>
      </c>
      <c r="AP321" s="84">
        <f>IF(INDEX(lmic_raw_ub[],MATCH($A321,lmic_raw_ub[[setting]:[setting]],0), MATCH(AP$277, lmic_raw_ub[#Headers],0))=0, INDEX(regions_ub[], MATCH($D321, regions_ub[[setting]:[setting]],0), MATCH(AP$139, regions_ub[#Headers],0)),INDEX(lmic_raw_ub[],MATCH($A321,lmic_raw_ub[[setting]:[setting]],0), MATCH(AP$277, lmic_raw_ub[#Headers],0)))</f>
        <v>1.9728221067850035E-2</v>
      </c>
      <c r="AQ321" s="84">
        <f>IF(INDEX(lmic_raw_ub[],MATCH($A321,lmic_raw_ub[[setting]:[setting]],0), MATCH(AQ$277, lmic_raw_ub[#Headers],0))=0, INDEX(regions_ub[], MATCH($D321, regions_ub[[setting]:[setting]],0), MATCH(AQ$139, regions_ub[#Headers],0)),INDEX(lmic_raw_ub[],MATCH($A321,lmic_raw_ub[[setting]:[setting]],0), MATCH(AQ$277, lmic_raw_ub[#Headers],0)))</f>
        <v>3.0693129810232825E-2</v>
      </c>
      <c r="AR321" s="84">
        <f>IF(INDEX(lmic_raw_ub[],MATCH($A321,lmic_raw_ub[[setting]:[setting]],0), MATCH(AR$277, lmic_raw_ub[#Headers],0))=0, INDEX(regions_ub[], MATCH($D321, regions_ub[[setting]:[setting]],0), MATCH(AR$139, regions_ub[#Headers],0)),INDEX(lmic_raw_ub[],MATCH($A321,lmic_raw_ub[[setting]:[setting]],0), MATCH(AR$277, lmic_raw_ub[#Headers],0)))</f>
        <v>4.7746477698816833E-2</v>
      </c>
      <c r="AS321" s="84">
        <f>IF(INDEX(lmic_raw_ub[],MATCH($A321,lmic_raw_ub[[setting]:[setting]],0), MATCH(AS$277, lmic_raw_ub[#Headers],0))=0, INDEX(regions_ub[], MATCH($D321, regions_ub[[setting]:[setting]],0), MATCH(AS$139, regions_ub[#Headers],0)),INDEX(lmic_raw_ub[],MATCH($A321,lmic_raw_ub[[setting]:[setting]],0), MATCH(AS$277, lmic_raw_ub[#Headers],0)))</f>
        <v>7.3214564947794186E-2</v>
      </c>
      <c r="AT321" s="84">
        <f>IF(INDEX(lmic_raw_ub[],MATCH($A321,lmic_raw_ub[[setting]:[setting]],0), MATCH(AT$277, lmic_raw_ub[#Headers],0))=0, INDEX(regions_ub[], MATCH($D321, regions_ub[[setting]:[setting]],0), MATCH(AT$139, regions_ub[#Headers],0)),INDEX(lmic_raw_ub[],MATCH($A321,lmic_raw_ub[[setting]:[setting]],0), MATCH(AT$277, lmic_raw_ub[#Headers],0)))</f>
        <v>0.10935768694579009</v>
      </c>
      <c r="AU321" s="84">
        <f>IF(INDEX(lmic_raw_ub[],MATCH($A321,lmic_raw_ub[[setting]:[setting]],0), MATCH(AU$277, lmic_raw_ub[#Headers],0))=0, INDEX(regions_ub[], MATCH($D321, regions_ub[[setting]:[setting]],0), MATCH(AU$139, regions_ub[#Headers],0)),INDEX(lmic_raw_ub[],MATCH($A321,lmic_raw_ub[[setting]:[setting]],0), MATCH(AU$277, lmic_raw_ub[#Headers],0)))</f>
        <v>0.15135489710843703</v>
      </c>
      <c r="AV321" s="84">
        <f>IF(INDEX(lmic_raw_ub[],MATCH($A321,lmic_raw_ub[[setting]:[setting]],0), MATCH(AV$277, lmic_raw_ub[#Headers],0))=0, INDEX(regions_ub[], MATCH($D321, regions_ub[[setting]:[setting]],0), MATCH(AV$139, regions_ub[#Headers],0)),INDEX(lmic_raw_ub[],MATCH($A321,lmic_raw_ub[[setting]:[setting]],0), MATCH(AV$277, lmic_raw_ub[#Headers],0)))</f>
        <v>0.18728235699113696</v>
      </c>
      <c r="AW321" s="84">
        <f>IF(INDEX(lmic_raw_ub[],MATCH($A321,lmic_raw_ub[[setting]:[setting]],0), MATCH(AW$277, lmic_raw_ub[#Headers],0))=0, INDEX(regions_ub[], MATCH($D321, regions_ub[[setting]:[setting]],0), MATCH(AW$139, regions_ub[#Headers],0)),INDEX(lmic_raw_ub[],MATCH($A321,lmic_raw_ub[[setting]:[setting]],0), MATCH(AW$277, lmic_raw_ub[#Headers],0)))</f>
        <v>0.19901805121162308</v>
      </c>
      <c r="AX321" s="84">
        <f>IF(INDEX(lmic_raw_ub[],MATCH($A321,lmic_raw_ub[[setting]:[setting]],0), MATCH(AX$277, lmic_raw_ub[#Headers],0))=0, INDEX(regions_ub[], MATCH($D321, regions_ub[[setting]:[setting]],0), MATCH(AX$139, regions_ub[#Headers],0)),INDEX(lmic_raw_ub[],MATCH($A321,lmic_raw_ub[[setting]:[setting]],0), MATCH(AX$277, lmic_raw_ub[#Headers],0)))</f>
        <v>69.363</v>
      </c>
      <c r="AY321" s="33" t="str">
        <f>IF(VLOOKUP(lmics_ub[[#This Row],[setting]],lmic_raw_ub[],11,FALSE)=0, "Yes", "No")</f>
        <v>Yes</v>
      </c>
    </row>
    <row r="322" spans="1:51" x14ac:dyDescent="0.25">
      <c r="A322" s="109" t="s">
        <v>617</v>
      </c>
      <c r="B322" s="101" t="s">
        <v>428</v>
      </c>
      <c r="C322" s="102">
        <v>270</v>
      </c>
      <c r="D322" s="82" t="s">
        <v>677</v>
      </c>
      <c r="E322" s="82" t="s">
        <v>591</v>
      </c>
      <c r="F322" s="82" t="s">
        <v>667</v>
      </c>
      <c r="G322" s="82" t="s">
        <v>674</v>
      </c>
      <c r="J322" s="84">
        <f>IF(INDEX(lmic_raw_ub[],MATCH($A322,lmic_raw_ub[[setting]:[setting]],0), MATCH(J$277, lmic_raw_ub[#Headers],0))=0, INDEX(regions_ub[], MATCH($D322, regions_ub[[setting]:[setting]],0), MATCH(J$139, regions_ub[#Headers],0)),INDEX(lmic_raw_ub[],MATCH($A322,lmic_raw_ub[[setting]:[setting]],0), MATCH(J$277, lmic_raw_ub[#Headers],0)))</f>
        <v>0.87885000000000013</v>
      </c>
      <c r="K322" s="84">
        <f>IF(INDEX(lmic_raw_ub[],MATCH($A322,lmic_raw_ub[[setting]:[setting]],0), MATCH(K$277, lmic_raw_ub[#Headers],0))=0, INDEX(regions_ub[], MATCH($D322, regions_ub[[setting]:[setting]],0), MATCH(K$139, regions_ub[#Headers],0)),INDEX(lmic_raw_ub[],MATCH($A322,lmic_raw_ub[[setting]:[setting]],0), MATCH(K$277, lmic_raw_ub[#Headers],0)))</f>
        <v>0.71433037619548323</v>
      </c>
      <c r="L322" s="84">
        <f>IF(INDEX(lmic_raw_ub[],MATCH($A322,lmic_raw_ub[[setting]:[setting]],0), MATCH(L$277, lmic_raw_ub[#Headers],0))=0, INDEX(regions_ub[], MATCH($D322, regions_ub[[setting]:[setting]],0), MATCH(L$139, regions_ub[#Headers],0)),INDEX(lmic_raw_ub[],MATCH($A322,lmic_raw_ub[[setting]:[setting]],0), MATCH(L$277, lmic_raw_ub[#Headers],0)))</f>
        <v>0.92400000000000004</v>
      </c>
      <c r="M322" s="84">
        <f>IF(INDEX(lmic_raw_ub[],MATCH($A322,lmic_raw_ub[[setting]:[setting]],0), MATCH(M$277, lmic_raw_ub[#Headers],0))=0, INDEX(regions_ub[], MATCH($D322, regions_ub[[setting]:[setting]],0), MATCH(M$139, regions_ub[#Headers],0)),INDEX(lmic_raw_ub[],MATCH($A322,lmic_raw_ub[[setting]:[setting]],0), MATCH(M$277, lmic_raw_ub[#Headers],0)))</f>
        <v>7.0800000000000002E-2</v>
      </c>
      <c r="N322" s="84">
        <f>IF(INDEX(lmic_raw_ub[],MATCH($A322,lmic_raw_ub[[setting]:[setting]],0), MATCH(N$277, lmic_raw_ub[#Headers],0))=0, INDEX(regions_ub[], MATCH($D322, regions_ub[[setting]:[setting]],0), MATCH(N$139, regions_ub[#Headers],0)),INDEX(lmic_raw_ub[],MATCH($A322,lmic_raw_ub[[setting]:[setting]],0), MATCH(N$277, lmic_raw_ub[#Headers],0)))</f>
        <v>0.41070000000000001</v>
      </c>
      <c r="O322" s="84">
        <f>IF(INDEX(lmic_raw_ub[],MATCH($A322,lmic_raw_ub[[setting]:[setting]],0), MATCH(O$277, lmic_raw_ub[#Headers],0))=0, INDEX(regions_ub[], MATCH($D322, regions_ub[[setting]:[setting]],0), MATCH(O$139, regions_ub[#Headers],0)),INDEX(lmic_raw_ub[],MATCH($A322,lmic_raw_ub[[setting]:[setting]],0), MATCH(O$277, lmic_raw_ub[#Headers],0)))</f>
        <v>0.74399999999999999</v>
      </c>
      <c r="P322" s="84">
        <f>IF(INDEX(lmic_raw_ub[],MATCH($A322,lmic_raw_ub[[setting]:[setting]],0), MATCH(P$277, lmic_raw_ub[#Headers],0))=0, INDEX(regions_ub[], MATCH($D322, regions_ub[[setting]:[setting]],0), MATCH(P$139, regions_ub[#Headers],0)),INDEX(lmic_raw_ub[],MATCH($A322,lmic_raw_ub[[setting]:[setting]],0), MATCH(P$277, lmic_raw_ub[#Headers],0)))</f>
        <v>0.13300000000000001</v>
      </c>
      <c r="Q322" s="84">
        <f>IF(INDEX(lmic_raw_ub[],MATCH($A322,lmic_raw_ub[[setting]:[setting]],0), MATCH(Q$277, lmic_raw_ub[#Headers],0))=0, INDEX(regions_ub[], MATCH($D322, regions_ub[[setting]:[setting]],0), MATCH(Q$139, regions_ub[#Headers],0)),INDEX(lmic_raw_ub[],MATCH($A322,lmic_raw_ub[[setting]:[setting]],0), MATCH(Q$277, lmic_raw_ub[#Headers],0)))</f>
        <v>3.3769150663327911</v>
      </c>
      <c r="R322" s="84">
        <f>IF(INDEX(lmic_raw_ub[],MATCH($A322,lmic_raw_ub[[setting]:[setting]],0), MATCH(R$277, lmic_raw_ub[#Headers],0))=0, INDEX(regions_ub[], MATCH($D322, regions_ub[[setting]:[setting]],0), MATCH(R$139, regions_ub[#Headers],0)),INDEX(lmic_raw_ub[],MATCH($A322,lmic_raw_ub[[setting]:[setting]],0), MATCH(R$277, lmic_raw_ub[#Headers],0)))</f>
        <v>31.416525000000004</v>
      </c>
      <c r="S322" s="84">
        <f>IF(INDEX(lmic_raw_ub[],MATCH($A322,lmic_raw_ub[[setting]:[setting]],0), MATCH(S$277, lmic_raw_ub[#Headers],0))=0, INDEX(regions_ub[], MATCH($D322, regions_ub[[setting]:[setting]],0), MATCH(S$139, regions_ub[#Headers],0)),INDEX(lmic_raw_ub[],MATCH($A322,lmic_raw_ub[[setting]:[setting]],0), MATCH(S$277, lmic_raw_ub[#Headers],0)))</f>
        <v>81.545625000000015</v>
      </c>
      <c r="T322" s="84">
        <f>IF(INDEX(lmic_raw_ub[],MATCH($A322,lmic_raw_ub[[setting]:[setting]],0), MATCH(T$277, lmic_raw_ub[#Headers],0))=0, INDEX(regions_ub[], MATCH($D322, regions_ub[[setting]:[setting]],0), MATCH(T$139, regions_ub[#Headers],0)),INDEX(lmic_raw_ub[],MATCH($A322,lmic_raw_ub[[setting]:[setting]],0), MATCH(T$277, lmic_raw_ub[#Headers],0)))</f>
        <v>81.545625000000015</v>
      </c>
      <c r="U322" s="84">
        <f>IF(INDEX(lmic_raw_ub[],MATCH($A322,lmic_raw_ub[[setting]:[setting]],0), MATCH(U$277, lmic_raw_ub[#Headers],0))=0, INDEX(regions_ub[], MATCH($D322, regions_ub[[setting]:[setting]],0), MATCH(U$139, regions_ub[#Headers],0)),INDEX(lmic_raw_ub[],MATCH($A322,lmic_raw_ub[[setting]:[setting]],0), MATCH(U$277, lmic_raw_ub[#Headers],0)))</f>
        <v>81.545625000000015</v>
      </c>
      <c r="V322" s="84">
        <f>IF(INDEX(lmic_raw_ub[],MATCH($A322,lmic_raw_ub[[setting]:[setting]],0), MATCH(V$277, lmic_raw_ub[#Headers],0))=0, INDEX(regions_ub[], MATCH($D322, regions_ub[[setting]:[setting]],0), MATCH(V$139, regions_ub[#Headers],0)),INDEX(lmic_raw_ub[],MATCH($A322,lmic_raw_ub[[setting]:[setting]],0), MATCH(V$277, lmic_raw_ub[#Headers],0)))</f>
        <v>9.4520029610677216</v>
      </c>
      <c r="W322" s="84">
        <f>IF(INDEX(lmic_raw_ub[],MATCH($A322,lmic_raw_ub[[setting]:[setting]],0), MATCH(W$277, lmic_raw_ub[#Headers],0))=0, INDEX(regions_ub[], MATCH($D322, regions_ub[[setting]:[setting]],0), MATCH(W$139, regions_ub[#Headers],0)),INDEX(lmic_raw_ub[],MATCH($A322,lmic_raw_ub[[setting]:[setting]],0), MATCH(W$277, lmic_raw_ub[#Headers],0)))</f>
        <v>14.522137961067722</v>
      </c>
      <c r="X322" s="84">
        <f>IF(INDEX(lmic_raw_ub[],MATCH($A322,lmic_raw_ub[[setting]:[setting]],0), MATCH(X$277, lmic_raw_ub[#Headers],0))=0, INDEX(regions_ub[], MATCH($D322, regions_ub[[setting]:[setting]],0), MATCH(X$139, regions_ub[#Headers],0)),INDEX(lmic_raw_ub[],MATCH($A322,lmic_raw_ub[[setting]:[setting]],0), MATCH(X$277, lmic_raw_ub[#Headers],0)))</f>
        <v>8.9559723304579464</v>
      </c>
      <c r="Y322" s="84">
        <f>IF(INDEX(lmic_raw_ub[],MATCH($A322,lmic_raw_ub[[setting]:[setting]],0), MATCH(Y$277, lmic_raw_ub[#Headers],0))=0, INDEX(regions_ub[], MATCH($D322, regions_ub[[setting]:[setting]],0), MATCH(Y$139, regions_ub[#Headers],0)),INDEX(lmic_raw_ub[],MATCH($A322,lmic_raw_ub[[setting]:[setting]],0), MATCH(Y$277, lmic_raw_ub[#Headers],0)))</f>
        <v>14.026107330457947</v>
      </c>
      <c r="Z322" s="84">
        <f>IF(INDEX(lmic_raw_ub[],MATCH($A322,lmic_raw_ub[[setting]:[setting]],0), MATCH(Z$277, lmic_raw_ub[#Headers],0))=0, INDEX(regions_ub[], MATCH($D322, regions_ub[[setting]:[setting]],0), MATCH(Z$139, regions_ub[#Headers],0)),INDEX(lmic_raw_ub[],MATCH($A322,lmic_raw_ub[[setting]:[setting]],0), MATCH(Z$277, lmic_raw_ub[#Headers],0)))</f>
        <v>14.019417420212072</v>
      </c>
      <c r="AA322" s="84">
        <f>IF(INDEX(lmic_raw_ub[],MATCH($A322,lmic_raw_ub[[setting]:[setting]],0), MATCH(AA$277, lmic_raw_ub[#Headers],0))=0, INDEX(regions_ub[], MATCH($D322, regions_ub[[setting]:[setting]],0), MATCH(AA$139, regions_ub[#Headers],0)),INDEX(lmic_raw_ub[],MATCH($A322,lmic_raw_ub[[setting]:[setting]],0), MATCH(AA$277, lmic_raw_ub[#Headers],0)))</f>
        <v>9.7206733158866534</v>
      </c>
      <c r="AB322" s="84">
        <f>IF(INDEX(lmic_raw_ub[],MATCH($A322,lmic_raw_ub[[setting]:[setting]],0), MATCH(AB$277, lmic_raw_ub[#Headers],0))=0, INDEX(regions_ub[], MATCH($D322, regions_ub[[setting]:[setting]],0), MATCH(AB$139, regions_ub[#Headers],0)),INDEX(lmic_raw_ub[],MATCH($A322,lmic_raw_ub[[setting]:[setting]],0), MATCH(AB$277, lmic_raw_ub[#Headers],0)))</f>
        <v>14.790808315886654</v>
      </c>
      <c r="AC322" s="84">
        <f>IF(INDEX(lmic_raw_ub[],MATCH($A322,lmic_raw_ub[[setting]:[setting]],0), MATCH(AC$277, lmic_raw_ub[#Headers],0))=0, INDEX(regions_ub[], MATCH($D322, regions_ub[[setting]:[setting]],0), MATCH(AC$139, regions_ub[#Headers],0)),INDEX(lmic_raw_ub[],MATCH($A322,lmic_raw_ub[[setting]:[setting]],0), MATCH(AC$277, lmic_raw_ub[#Headers],0)))</f>
        <v>4.708903499999998E-2</v>
      </c>
      <c r="AD322" s="84">
        <f>IF(INDEX(lmic_raw_ub[],MATCH($A322,lmic_raw_ub[[setting]:[setting]],0), MATCH(AD$277, lmic_raw_ub[#Headers],0))=0, INDEX(regions_ub[], MATCH($D322, regions_ub[[setting]:[setting]],0), MATCH(AD$139, regions_ub[#Headers],0)),INDEX(lmic_raw_ub[],MATCH($A322,lmic_raw_ub[[setting]:[setting]],0), MATCH(AD$277, lmic_raw_ub[#Headers],0)))</f>
        <v>6.304427650514339E-3</v>
      </c>
      <c r="AE322" s="84">
        <f>IF(INDEX(lmic_raw_ub[],MATCH($A322,lmic_raw_ub[[setting]:[setting]],0), MATCH(AE$277, lmic_raw_ub[#Headers],0))=0, INDEX(regions_ub[], MATCH($D322, regions_ub[[setting]:[setting]],0), MATCH(AE$139, regions_ub[#Headers],0)),INDEX(lmic_raw_ub[],MATCH($A322,lmic_raw_ub[[setting]:[setting]],0), MATCH(AE$277, lmic_raw_ub[#Headers],0)))</f>
        <v>2.9591481676767423E-3</v>
      </c>
      <c r="AF322" s="84">
        <f>IF(INDEX(lmic_raw_ub[],MATCH($A322,lmic_raw_ub[[setting]:[setting]],0), MATCH(AF$277, lmic_raw_ub[#Headers],0))=0, INDEX(regions_ub[], MATCH($D322, regions_ub[[setting]:[setting]],0), MATCH(AF$139, regions_ub[#Headers],0)),INDEX(lmic_raw_ub[],MATCH($A322,lmic_raw_ub[[setting]:[setting]],0), MATCH(AF$277, lmic_raw_ub[#Headers],0)))</f>
        <v>1.7775354792705473E-3</v>
      </c>
      <c r="AG322" s="84">
        <f>IF(INDEX(lmic_raw_ub[],MATCH($A322,lmic_raw_ub[[setting]:[setting]],0), MATCH(AG$277, lmic_raw_ub[#Headers],0))=0, INDEX(regions_ub[], MATCH($D322, regions_ub[[setting]:[setting]],0), MATCH(AG$139, regions_ub[#Headers],0)),INDEX(lmic_raw_ub[],MATCH($A322,lmic_raw_ub[[setting]:[setting]],0), MATCH(AG$277, lmic_raw_ub[#Headers],0)))</f>
        <v>2.7134372275555126E-3</v>
      </c>
      <c r="AH322" s="84">
        <f>IF(INDEX(lmic_raw_ub[],MATCH($A322,lmic_raw_ub[[setting]:[setting]],0), MATCH(AH$277, lmic_raw_ub[#Headers],0))=0, INDEX(regions_ub[], MATCH($D322, regions_ub[[setting]:[setting]],0), MATCH(AH$139, regions_ub[#Headers],0)),INDEX(lmic_raw_ub[],MATCH($A322,lmic_raw_ub[[setting]:[setting]],0), MATCH(AH$277, lmic_raw_ub[#Headers],0)))</f>
        <v>3.8224951283348406E-3</v>
      </c>
      <c r="AI322" s="84">
        <f>IF(INDEX(lmic_raw_ub[],MATCH($A322,lmic_raw_ub[[setting]:[setting]],0), MATCH(AI$277, lmic_raw_ub[#Headers],0))=0, INDEX(regions_ub[], MATCH($D322, regions_ub[[setting]:[setting]],0), MATCH(AI$139, regions_ub[#Headers],0)),INDEX(lmic_raw_ub[],MATCH($A322,lmic_raw_ub[[setting]:[setting]],0), MATCH(AI$277, lmic_raw_ub[#Headers],0)))</f>
        <v>4.0601913204760627E-3</v>
      </c>
      <c r="AJ322" s="84">
        <f>IF(INDEX(lmic_raw_ub[],MATCH($A322,lmic_raw_ub[[setting]:[setting]],0), MATCH(AJ$277, lmic_raw_ub[#Headers],0))=0, INDEX(regions_ub[], MATCH($D322, regions_ub[[setting]:[setting]],0), MATCH(AJ$139, regions_ub[#Headers],0)),INDEX(lmic_raw_ub[],MATCH($A322,lmic_raw_ub[[setting]:[setting]],0), MATCH(AJ$277, lmic_raw_ub[#Headers],0)))</f>
        <v>4.4567013953163738E-3</v>
      </c>
      <c r="AK322" s="84">
        <f>IF(INDEX(lmic_raw_ub[],MATCH($A322,lmic_raw_ub[[setting]:[setting]],0), MATCH(AK$277, lmic_raw_ub[#Headers],0))=0, INDEX(regions_ub[], MATCH($D322, regions_ub[[setting]:[setting]],0), MATCH(AK$139, regions_ub[#Headers],0)),INDEX(lmic_raw_ub[],MATCH($A322,lmic_raw_ub[[setting]:[setting]],0), MATCH(AK$277, lmic_raw_ub[#Headers],0)))</f>
        <v>5.0968330697575941E-3</v>
      </c>
      <c r="AL322" s="84">
        <f>IF(INDEX(lmic_raw_ub[],MATCH($A322,lmic_raw_ub[[setting]:[setting]],0), MATCH(AL$277, lmic_raw_ub[#Headers],0))=0, INDEX(regions_ub[], MATCH($D322, regions_ub[[setting]:[setting]],0), MATCH(AL$139, regions_ub[#Headers],0)),INDEX(lmic_raw_ub[],MATCH($A322,lmic_raw_ub[[setting]:[setting]],0), MATCH(AL$277, lmic_raw_ub[#Headers],0)))</f>
        <v>6.2528624161096906E-3</v>
      </c>
      <c r="AM322" s="84">
        <f>IF(INDEX(lmic_raw_ub[],MATCH($A322,lmic_raw_ub[[setting]:[setting]],0), MATCH(AM$277, lmic_raw_ub[#Headers],0))=0, INDEX(regions_ub[], MATCH($D322, regions_ub[[setting]:[setting]],0), MATCH(AM$139, regions_ub[#Headers],0)),INDEX(lmic_raw_ub[],MATCH($A322,lmic_raw_ub[[setting]:[setting]],0), MATCH(AM$277, lmic_raw_ub[#Headers],0)))</f>
        <v>7.803035782172443E-3</v>
      </c>
      <c r="AN322" s="84">
        <f>IF(INDEX(lmic_raw_ub[],MATCH($A322,lmic_raw_ub[[setting]:[setting]],0), MATCH(AN$277, lmic_raw_ub[#Headers],0))=0, INDEX(regions_ub[], MATCH($D322, regions_ub[[setting]:[setting]],0), MATCH(AN$139, regions_ub[#Headers],0)),INDEX(lmic_raw_ub[],MATCH($A322,lmic_raw_ub[[setting]:[setting]],0), MATCH(AN$277, lmic_raw_ub[#Headers],0)))</f>
        <v>1.090671446259542E-2</v>
      </c>
      <c r="AO322" s="84">
        <f>IF(INDEX(lmic_raw_ub[],MATCH($A322,lmic_raw_ub[[setting]:[setting]],0), MATCH(AO$277, lmic_raw_ub[#Headers],0))=0, INDEX(regions_ub[], MATCH($D322, regions_ub[[setting]:[setting]],0), MATCH(AO$139, regions_ub[#Headers],0)),INDEX(lmic_raw_ub[],MATCH($A322,lmic_raw_ub[[setting]:[setting]],0), MATCH(AO$277, lmic_raw_ub[#Headers],0)))</f>
        <v>1.5554271475994037E-2</v>
      </c>
      <c r="AP322" s="84">
        <f>IF(INDEX(lmic_raw_ub[],MATCH($A322,lmic_raw_ub[[setting]:[setting]],0), MATCH(AP$277, lmic_raw_ub[#Headers],0))=0, INDEX(regions_ub[], MATCH($D322, regions_ub[[setting]:[setting]],0), MATCH(AP$139, regions_ub[#Headers],0)),INDEX(lmic_raw_ub[],MATCH($A322,lmic_raw_ub[[setting]:[setting]],0), MATCH(AP$277, lmic_raw_ub[#Headers],0)))</f>
        <v>2.4098563065723982E-2</v>
      </c>
      <c r="AQ322" s="84">
        <f>IF(INDEX(lmic_raw_ub[],MATCH($A322,lmic_raw_ub[[setting]:[setting]],0), MATCH(AQ$277, lmic_raw_ub[#Headers],0))=0, INDEX(regions_ub[], MATCH($D322, regions_ub[[setting]:[setting]],0), MATCH(AQ$139, regions_ub[#Headers],0)),INDEX(lmic_raw_ub[],MATCH($A322,lmic_raw_ub[[setting]:[setting]],0), MATCH(AQ$277, lmic_raw_ub[#Headers],0)))</f>
        <v>3.6842378120373262E-2</v>
      </c>
      <c r="AR322" s="84">
        <f>IF(INDEX(lmic_raw_ub[],MATCH($A322,lmic_raw_ub[[setting]:[setting]],0), MATCH(AR$277, lmic_raw_ub[#Headers],0))=0, INDEX(regions_ub[], MATCH($D322, regions_ub[[setting]:[setting]],0), MATCH(AR$139, regions_ub[#Headers],0)),INDEX(lmic_raw_ub[],MATCH($A322,lmic_raw_ub[[setting]:[setting]],0), MATCH(AR$277, lmic_raw_ub[#Headers],0)))</f>
        <v>5.8659838678276552E-2</v>
      </c>
      <c r="AS322" s="84">
        <f>IF(INDEX(lmic_raw_ub[],MATCH($A322,lmic_raw_ub[[setting]:[setting]],0), MATCH(AS$277, lmic_raw_ub[#Headers],0))=0, INDEX(regions_ub[], MATCH($D322, regions_ub[[setting]:[setting]],0), MATCH(AS$139, regions_ub[#Headers],0)),INDEX(lmic_raw_ub[],MATCH($A322,lmic_raw_ub[[setting]:[setting]],0), MATCH(AS$277, lmic_raw_ub[#Headers],0)))</f>
        <v>8.9787021823395943E-2</v>
      </c>
      <c r="AT322" s="84">
        <f>IF(INDEX(lmic_raw_ub[],MATCH($A322,lmic_raw_ub[[setting]:[setting]],0), MATCH(AT$277, lmic_raw_ub[#Headers],0))=0, INDEX(regions_ub[], MATCH($D322, regions_ub[[setting]:[setting]],0), MATCH(AT$139, regions_ub[#Headers],0)),INDEX(lmic_raw_ub[],MATCH($A322,lmic_raw_ub[[setting]:[setting]],0), MATCH(AT$277, lmic_raw_ub[#Headers],0)))</f>
        <v>0.12770311621105288</v>
      </c>
      <c r="AU322" s="84">
        <f>IF(INDEX(lmic_raw_ub[],MATCH($A322,lmic_raw_ub[[setting]:[setting]],0), MATCH(AU$277, lmic_raw_ub[#Headers],0))=0, INDEX(regions_ub[], MATCH($D322, regions_ub[[setting]:[setting]],0), MATCH(AU$139, regions_ub[#Headers],0)),INDEX(lmic_raw_ub[],MATCH($A322,lmic_raw_ub[[setting]:[setting]],0), MATCH(AU$277, lmic_raw_ub[#Headers],0)))</f>
        <v>0.16232448519774068</v>
      </c>
      <c r="AV322" s="84">
        <f>IF(INDEX(lmic_raw_ub[],MATCH($A322,lmic_raw_ub[[setting]:[setting]],0), MATCH(AV$277, lmic_raw_ub[#Headers],0))=0, INDEX(regions_ub[], MATCH($D322, regions_ub[[setting]:[setting]],0), MATCH(AV$139, regions_ub[#Headers],0)),INDEX(lmic_raw_ub[],MATCH($A322,lmic_raw_ub[[setting]:[setting]],0), MATCH(AV$277, lmic_raw_ub[#Headers],0)))</f>
        <v>0.18604888851713505</v>
      </c>
      <c r="AW322" s="84">
        <f>IF(INDEX(lmic_raw_ub[],MATCH($A322,lmic_raw_ub[[setting]:[setting]],0), MATCH(AW$277, lmic_raw_ub[#Headers],0))=0, INDEX(regions_ub[], MATCH($D322, regions_ub[[setting]:[setting]],0), MATCH(AW$139, regions_ub[#Headers],0)),INDEX(lmic_raw_ub[],MATCH($A322,lmic_raw_ub[[setting]:[setting]],0), MATCH(AW$277, lmic_raw_ub[#Headers],0)))</f>
        <v>0.1972016587319631</v>
      </c>
      <c r="AX322" s="84">
        <f>IF(INDEX(lmic_raw_ub[],MATCH($A322,lmic_raw_ub[[setting]:[setting]],0), MATCH(AX$277, lmic_raw_ub[#Headers],0))=0, INDEX(regions_ub[], MATCH($D322, regions_ub[[setting]:[setting]],0), MATCH(AX$139, regions_ub[#Headers],0)),INDEX(lmic_raw_ub[],MATCH($A322,lmic_raw_ub[[setting]:[setting]],0), MATCH(AX$277, lmic_raw_ub[#Headers],0)))</f>
        <v>64.612800000000007</v>
      </c>
      <c r="AY322" s="33" t="str">
        <f>IF(VLOOKUP(lmics_ub[[#This Row],[setting]],lmic_raw_ub[],11,FALSE)=0, "Yes", "No")</f>
        <v>Yes</v>
      </c>
    </row>
    <row r="323" spans="1:51" x14ac:dyDescent="0.25">
      <c r="A323" s="110" t="s">
        <v>169</v>
      </c>
      <c r="B323" s="104" t="s">
        <v>429</v>
      </c>
      <c r="C323" s="105">
        <v>268</v>
      </c>
      <c r="D323" s="84" t="s">
        <v>675</v>
      </c>
      <c r="E323" s="84" t="s">
        <v>184</v>
      </c>
      <c r="F323" s="84" t="s">
        <v>663</v>
      </c>
      <c r="G323" s="84" t="s">
        <v>676</v>
      </c>
      <c r="J323" s="84">
        <f>IF(INDEX(lmic_raw_ub[],MATCH($A323,lmic_raw_ub[[setting]:[setting]],0), MATCH(J$277, lmic_raw_ub[#Headers],0))=0, INDEX(regions_ub[], MATCH($D323, regions_ub[[setting]:[setting]],0), MATCH(J$139, regions_ub[#Headers],0)),INDEX(lmic_raw_ub[],MATCH($A323,lmic_raw_ub[[setting]:[setting]],0), MATCH(J$277, lmic_raw_ub[#Headers],0)))</f>
        <v>0.99990000000000001</v>
      </c>
      <c r="K323" s="84">
        <f>IF(INDEX(lmic_raw_ub[],MATCH($A323,lmic_raw_ub[[setting]:[setting]],0), MATCH(K$277, lmic_raw_ub[#Headers],0))=0, INDEX(regions_ub[], MATCH($D323, regions_ub[[setting]:[setting]],0), MATCH(K$139, regions_ub[#Headers],0)),INDEX(lmic_raw_ub[],MATCH($A323,lmic_raw_ub[[setting]:[setting]],0), MATCH(K$277, lmic_raw_ub[#Headers],0)))</f>
        <v>0.98699999999999999</v>
      </c>
      <c r="L323" s="84">
        <f>IF(INDEX(lmic_raw_ub[],MATCH($A323,lmic_raw_ub[[setting]:[setting]],0), MATCH(L$277, lmic_raw_ub[#Headers],0))=0, INDEX(regions_ub[], MATCH($D323, regions_ub[[setting]:[setting]],0), MATCH(L$139, regions_ub[#Headers],0)),INDEX(lmic_raw_ub[],MATCH($A323,lmic_raw_ub[[setting]:[setting]],0), MATCH(L$277, lmic_raw_ub[#Headers],0)))</f>
        <v>0.98699999999999999</v>
      </c>
      <c r="M323" s="84">
        <f>IF(INDEX(lmic_raw_ub[],MATCH($A323,lmic_raw_ub[[setting]:[setting]],0), MATCH(M$277, lmic_raw_ub[#Headers],0))=0, INDEX(regions_ub[], MATCH($D323, regions_ub[[setting]:[setting]],0), MATCH(M$139, regions_ub[#Headers],0)),INDEX(lmic_raw_ub[],MATCH($A323,lmic_raw_ub[[setting]:[setting]],0), MATCH(M$277, lmic_raw_ub[#Headers],0)))</f>
        <v>2.8300000000000002E-2</v>
      </c>
      <c r="N323" s="84">
        <f>IF(INDEX(lmic_raw_ub[],MATCH($A323,lmic_raw_ub[[setting]:[setting]],0), MATCH(N$277, lmic_raw_ub[#Headers],0))=0, INDEX(regions_ub[], MATCH($D323, regions_ub[[setting]:[setting]],0), MATCH(N$139, regions_ub[#Headers],0)),INDEX(lmic_raw_ub[],MATCH($A323,lmic_raw_ub[[setting]:[setting]],0), MATCH(N$277, lmic_raw_ub[#Headers],0)))</f>
        <v>0.43079999999999996</v>
      </c>
      <c r="O323" s="84">
        <f>IF(INDEX(lmic_raw_ub[],MATCH($A323,lmic_raw_ub[[setting]:[setting]],0), MATCH(O$277, lmic_raw_ub[#Headers],0))=0, INDEX(regions_ub[], MATCH($D323, regions_ub[[setting]:[setting]],0), MATCH(O$139, regions_ub[#Headers],0)),INDEX(lmic_raw_ub[],MATCH($A323,lmic_raw_ub[[setting]:[setting]],0), MATCH(O$277, lmic_raw_ub[#Headers],0)))</f>
        <v>0.9</v>
      </c>
      <c r="P323" s="84">
        <f>IF(INDEX(lmic_raw_ub[],MATCH($A323,lmic_raw_ub[[setting]:[setting]],0), MATCH(P$277, lmic_raw_ub[#Headers],0))=0, INDEX(regions_ub[], MATCH($D323, regions_ub[[setting]:[setting]],0), MATCH(P$139, regions_ub[#Headers],0)),INDEX(lmic_raw_ub[],MATCH($A323,lmic_raw_ub[[setting]:[setting]],0), MATCH(P$277, lmic_raw_ub[#Headers],0)))</f>
        <v>0.3</v>
      </c>
      <c r="Q323" s="84">
        <f>IF(INDEX(lmic_raw_ub[],MATCH($A323,lmic_raw_ub[[setting]:[setting]],0), MATCH(Q$277, lmic_raw_ub[#Headers],0))=0, INDEX(regions_ub[], MATCH($D323, regions_ub[[setting]:[setting]],0), MATCH(Q$139, regions_ub[#Headers],0)),INDEX(lmic_raw_ub[],MATCH($A323,lmic_raw_ub[[setting]:[setting]],0), MATCH(Q$277, lmic_raw_ub[#Headers],0)))</f>
        <v>6.2557531820877257</v>
      </c>
      <c r="R323" s="84">
        <f>IF(INDEX(lmic_raw_ub[],MATCH($A323,lmic_raw_ub[[setting]:[setting]],0), MATCH(R$277, lmic_raw_ub[#Headers],0))=0, INDEX(regions_ub[], MATCH($D323, regions_ub[[setting]:[setting]],0), MATCH(R$139, regions_ub[#Headers],0)),INDEX(lmic_raw_ub[],MATCH($A323,lmic_raw_ub[[setting]:[setting]],0), MATCH(R$277, lmic_raw_ub[#Headers],0)))</f>
        <v>46.76427000000001</v>
      </c>
      <c r="S323" s="84">
        <f>IF(INDEX(lmic_raw_ub[],MATCH($A323,lmic_raw_ub[[setting]:[setting]],0), MATCH(S$277, lmic_raw_ub[#Headers],0))=0, INDEX(regions_ub[], MATCH($D323, regions_ub[[setting]:[setting]],0), MATCH(S$139, regions_ub[#Headers],0)),INDEX(lmic_raw_ub[],MATCH($A323,lmic_raw_ub[[setting]:[setting]],0), MATCH(S$277, lmic_raw_ub[#Headers],0)))</f>
        <v>96.893370000000019</v>
      </c>
      <c r="T323" s="84">
        <f>IF(INDEX(lmic_raw_ub[],MATCH($A323,lmic_raw_ub[[setting]:[setting]],0), MATCH(T$277, lmic_raw_ub[#Headers],0))=0, INDEX(regions_ub[], MATCH($D323, regions_ub[[setting]:[setting]],0), MATCH(T$139, regions_ub[#Headers],0)),INDEX(lmic_raw_ub[],MATCH($A323,lmic_raw_ub[[setting]:[setting]],0), MATCH(T$277, lmic_raw_ub[#Headers],0)))</f>
        <v>96.893370000000019</v>
      </c>
      <c r="U323" s="84">
        <f>IF(INDEX(lmic_raw_ub[],MATCH($A323,lmic_raw_ub[[setting]:[setting]],0), MATCH(U$277, lmic_raw_ub[#Headers],0))=0, INDEX(regions_ub[], MATCH($D323, regions_ub[[setting]:[setting]],0), MATCH(U$139, regions_ub[#Headers],0)),INDEX(lmic_raw_ub[],MATCH($A323,lmic_raw_ub[[setting]:[setting]],0), MATCH(U$277, lmic_raw_ub[#Headers],0)))</f>
        <v>96.893370000000019</v>
      </c>
      <c r="V323" s="84">
        <f>IF(INDEX(lmic_raw_ub[],MATCH($A323,lmic_raw_ub[[setting]:[setting]],0), MATCH(V$277, lmic_raw_ub[#Headers],0))=0, INDEX(regions_ub[], MATCH($D323, regions_ub[[setting]:[setting]],0), MATCH(V$139, regions_ub[#Headers],0)),INDEX(lmic_raw_ub[],MATCH($A323,lmic_raw_ub[[setting]:[setting]],0), MATCH(V$277, lmic_raw_ub[#Headers],0)))</f>
        <v>10.375340564931458</v>
      </c>
      <c r="W323" s="84">
        <f>IF(INDEX(lmic_raw_ub[],MATCH($A323,lmic_raw_ub[[setting]:[setting]],0), MATCH(W$277, lmic_raw_ub[#Headers],0))=0, INDEX(regions_ub[], MATCH($D323, regions_ub[[setting]:[setting]],0), MATCH(W$139, regions_ub[#Headers],0)),INDEX(lmic_raw_ub[],MATCH($A323,lmic_raw_ub[[setting]:[setting]],0), MATCH(W$277, lmic_raw_ub[#Headers],0)))</f>
        <v>14.644325564931458</v>
      </c>
      <c r="X323" s="84">
        <f>IF(INDEX(lmic_raw_ub[],MATCH($A323,lmic_raw_ub[[setting]:[setting]],0), MATCH(X$277, lmic_raw_ub[#Headers],0))=0, INDEX(regions_ub[], MATCH($D323, regions_ub[[setting]:[setting]],0), MATCH(X$139, regions_ub[#Headers],0)),INDEX(lmic_raw_ub[],MATCH($A323,lmic_raw_ub[[setting]:[setting]],0), MATCH(X$277, lmic_raw_ub[#Headers],0)))</f>
        <v>9.8624542058649638</v>
      </c>
      <c r="Y323" s="84">
        <f>IF(INDEX(lmic_raw_ub[],MATCH($A323,lmic_raw_ub[[setting]:[setting]],0), MATCH(Y$277, lmic_raw_ub[#Headers],0))=0, INDEX(regions_ub[], MATCH($D323, regions_ub[[setting]:[setting]],0), MATCH(Y$139, regions_ub[#Headers],0)),INDEX(lmic_raw_ub[],MATCH($A323,lmic_raw_ub[[setting]:[setting]],0), MATCH(Y$277, lmic_raw_ub[#Headers],0)))</f>
        <v>14.131439205864964</v>
      </c>
      <c r="Z323" s="84">
        <f>IF(INDEX(lmic_raw_ub[],MATCH($A323,lmic_raw_ub[[setting]:[setting]],0), MATCH(Z$277, lmic_raw_ub[#Headers],0))=0, INDEX(regions_ub[], MATCH($D323, regions_ub[[setting]:[setting]],0), MATCH(Z$139, regions_ub[#Headers],0)),INDEX(lmic_raw_ub[],MATCH($A323,lmic_raw_ub[[setting]:[setting]],0), MATCH(Z$277, lmic_raw_ub[#Headers],0)))</f>
        <v>14.114033814656578</v>
      </c>
      <c r="AA323" s="84">
        <f>IF(INDEX(lmic_raw_ub[],MATCH($A323,lmic_raw_ub[[setting]:[setting]],0), MATCH(AA$277, lmic_raw_ub[#Headers],0))=0, INDEX(regions_ub[], MATCH($D323, regions_ub[[setting]:[setting]],0), MATCH(AA$139, regions_ub[#Headers],0)),INDEX(lmic_raw_ub[],MATCH($A323,lmic_raw_ub[[setting]:[setting]],0), MATCH(AA$277, lmic_raw_ub[#Headers],0)))</f>
        <v>10.647837066700687</v>
      </c>
      <c r="AB323" s="84">
        <f>IF(INDEX(lmic_raw_ub[],MATCH($A323,lmic_raw_ub[[setting]:[setting]],0), MATCH(AB$277, lmic_raw_ub[#Headers],0))=0, INDEX(regions_ub[], MATCH($D323, regions_ub[[setting]:[setting]],0), MATCH(AB$139, regions_ub[#Headers],0)),INDEX(lmic_raw_ub[],MATCH($A323,lmic_raw_ub[[setting]:[setting]],0), MATCH(AB$277, lmic_raw_ub[#Headers],0)))</f>
        <v>14.916822066700687</v>
      </c>
      <c r="AC323" s="84">
        <f>IF(INDEX(lmic_raw_ub[],MATCH($A323,lmic_raw_ub[[setting]:[setting]],0), MATCH(AC$277, lmic_raw_ub[#Headers],0))=0, INDEX(regions_ub[], MATCH($D323, regions_ub[[setting]:[setting]],0), MATCH(AC$139, regions_ub[#Headers],0)),INDEX(lmic_raw_ub[],MATCH($A323,lmic_raw_ub[[setting]:[setting]],0), MATCH(AC$277, lmic_raw_ub[#Headers],0)))</f>
        <v>9.8411670000000083E-3</v>
      </c>
      <c r="AD323" s="84">
        <f>IF(INDEX(lmic_raw_ub[],MATCH($A323,lmic_raw_ub[[setting]:[setting]],0), MATCH(AD$277, lmic_raw_ub[#Headers],0))=0, INDEX(regions_ub[], MATCH($D323, regions_ub[[setting]:[setting]],0), MATCH(AD$139, regions_ub[#Headers],0)),INDEX(lmic_raw_ub[],MATCH($A323,lmic_raw_ub[[setting]:[setting]],0), MATCH(AD$277, lmic_raw_ub[#Headers],0)))</f>
        <v>2.0787431028815857E-4</v>
      </c>
      <c r="AE323" s="84">
        <f>IF(INDEX(lmic_raw_ub[],MATCH($A323,lmic_raw_ub[[setting]:[setting]],0), MATCH(AE$277, lmic_raw_ub[#Headers],0))=0, INDEX(regions_ub[], MATCH($D323, regions_ub[[setting]:[setting]],0), MATCH(AE$139, regions_ub[#Headers],0)),INDEX(lmic_raw_ub[],MATCH($A323,lmic_raw_ub[[setting]:[setting]],0), MATCH(AE$277, lmic_raw_ub[#Headers],0)))</f>
        <v>2.1772180472502006E-4</v>
      </c>
      <c r="AF323" s="84">
        <f>IF(INDEX(lmic_raw_ub[],MATCH($A323,lmic_raw_ub[[setting]:[setting]],0), MATCH(AF$277, lmic_raw_ub[#Headers],0))=0, INDEX(regions_ub[], MATCH($D323, regions_ub[[setting]:[setting]],0), MATCH(AF$139, regions_ub[#Headers],0)),INDEX(lmic_raw_ub[],MATCH($A323,lmic_raw_ub[[setting]:[setting]],0), MATCH(AF$277, lmic_raw_ub[#Headers],0)))</f>
        <v>2.5203820881914237E-4</v>
      </c>
      <c r="AG323" s="84">
        <f>IF(INDEX(lmic_raw_ub[],MATCH($A323,lmic_raw_ub[[setting]:[setting]],0), MATCH(AG$277, lmic_raw_ub[#Headers],0))=0, INDEX(regions_ub[], MATCH($D323, regions_ub[[setting]:[setting]],0), MATCH(AG$139, regions_ub[#Headers],0)),INDEX(lmic_raw_ub[],MATCH($A323,lmic_raw_ub[[setting]:[setting]],0), MATCH(AG$277, lmic_raw_ub[#Headers],0)))</f>
        <v>4.8040825978166757E-4</v>
      </c>
      <c r="AH323" s="84">
        <f>IF(INDEX(lmic_raw_ub[],MATCH($A323,lmic_raw_ub[[setting]:[setting]],0), MATCH(AH$277, lmic_raw_ub[#Headers],0))=0, INDEX(regions_ub[], MATCH($D323, regions_ub[[setting]:[setting]],0), MATCH(AH$139, regions_ub[#Headers],0)),INDEX(lmic_raw_ub[],MATCH($A323,lmic_raw_ub[[setting]:[setting]],0), MATCH(AH$277, lmic_raw_ub[#Headers],0)))</f>
        <v>7.98467078306036E-4</v>
      </c>
      <c r="AI323" s="84">
        <f>IF(INDEX(lmic_raw_ub[],MATCH($A323,lmic_raw_ub[[setting]:[setting]],0), MATCH(AI$277, lmic_raw_ub[#Headers],0))=0, INDEX(regions_ub[], MATCH($D323, regions_ub[[setting]:[setting]],0), MATCH(AI$139, regions_ub[#Headers],0)),INDEX(lmic_raw_ub[],MATCH($A323,lmic_raw_ub[[setting]:[setting]],0), MATCH(AI$277, lmic_raw_ub[#Headers],0)))</f>
        <v>9.8520021953007434E-4</v>
      </c>
      <c r="AJ323" s="84">
        <f>IF(INDEX(lmic_raw_ub[],MATCH($A323,lmic_raw_ub[[setting]:[setting]],0), MATCH(AJ$277, lmic_raw_ub[#Headers],0))=0, INDEX(regions_ub[], MATCH($D323, regions_ub[[setting]:[setting]],0), MATCH(AJ$139, regions_ub[#Headers],0)),INDEX(lmic_raw_ub[],MATCH($A323,lmic_raw_ub[[setting]:[setting]],0), MATCH(AJ$277, lmic_raw_ub[#Headers],0)))</f>
        <v>1.4703392606160934E-3</v>
      </c>
      <c r="AK323" s="84">
        <f>IF(INDEX(lmic_raw_ub[],MATCH($A323,lmic_raw_ub[[setting]:[setting]],0), MATCH(AK$277, lmic_raw_ub[#Headers],0))=0, INDEX(regions_ub[], MATCH($D323, regions_ub[[setting]:[setting]],0), MATCH(AK$139, regions_ub[#Headers],0)),INDEX(lmic_raw_ub[],MATCH($A323,lmic_raw_ub[[setting]:[setting]],0), MATCH(AK$277, lmic_raw_ub[#Headers],0)))</f>
        <v>2.0883934824790598E-3</v>
      </c>
      <c r="AL323" s="84">
        <f>IF(INDEX(lmic_raw_ub[],MATCH($A323,lmic_raw_ub[[setting]:[setting]],0), MATCH(AL$277, lmic_raw_ub[#Headers],0))=0, INDEX(regions_ub[], MATCH($D323, regions_ub[[setting]:[setting]],0), MATCH(AL$139, regions_ub[#Headers],0)),INDEX(lmic_raw_ub[],MATCH($A323,lmic_raw_ub[[setting]:[setting]],0), MATCH(AL$277, lmic_raw_ub[#Headers],0)))</f>
        <v>3.231299726391659E-3</v>
      </c>
      <c r="AM323" s="84">
        <f>IF(INDEX(lmic_raw_ub[],MATCH($A323,lmic_raw_ub[[setting]:[setting]],0), MATCH(AM$277, lmic_raw_ub[#Headers],0))=0, INDEX(regions_ub[], MATCH($D323, regions_ub[[setting]:[setting]],0), MATCH(AM$139, regions_ub[#Headers],0)),INDEX(lmic_raw_ub[],MATCH($A323,lmic_raw_ub[[setting]:[setting]],0), MATCH(AM$277, lmic_raw_ub[#Headers],0)))</f>
        <v>5.2859396940917163E-3</v>
      </c>
      <c r="AN323" s="84">
        <f>IF(INDEX(lmic_raw_ub[],MATCH($A323,lmic_raw_ub[[setting]:[setting]],0), MATCH(AN$277, lmic_raw_ub[#Headers],0))=0, INDEX(regions_ub[], MATCH($D323, regions_ub[[setting]:[setting]],0), MATCH(AN$139, regions_ub[#Headers],0)),INDEX(lmic_raw_ub[],MATCH($A323,lmic_raw_ub[[setting]:[setting]],0), MATCH(AN$277, lmic_raw_ub[#Headers],0)))</f>
        <v>7.783478422144937E-3</v>
      </c>
      <c r="AO323" s="84">
        <f>IF(INDEX(lmic_raw_ub[],MATCH($A323,lmic_raw_ub[[setting]:[setting]],0), MATCH(AO$277, lmic_raw_ub[#Headers],0))=0, INDEX(regions_ub[], MATCH($D323, regions_ub[[setting]:[setting]],0), MATCH(AO$139, regions_ub[#Headers],0)),INDEX(lmic_raw_ub[],MATCH($A323,lmic_raw_ub[[setting]:[setting]],0), MATCH(AO$277, lmic_raw_ub[#Headers],0)))</f>
        <v>1.1458882992652013E-2</v>
      </c>
      <c r="AP323" s="84">
        <f>IF(INDEX(lmic_raw_ub[],MATCH($A323,lmic_raw_ub[[setting]:[setting]],0), MATCH(AP$277, lmic_raw_ub[#Headers],0))=0, INDEX(regions_ub[], MATCH($D323, regions_ub[[setting]:[setting]],0), MATCH(AP$139, regions_ub[#Headers],0)),INDEX(lmic_raw_ub[],MATCH($A323,lmic_raw_ub[[setting]:[setting]],0), MATCH(AP$277, lmic_raw_ub[#Headers],0)))</f>
        <v>1.6522785735139895E-2</v>
      </c>
      <c r="AQ323" s="84">
        <f>IF(INDEX(lmic_raw_ub[],MATCH($A323,lmic_raw_ub[[setting]:[setting]],0), MATCH(AQ$277, lmic_raw_ub[#Headers],0))=0, INDEX(regions_ub[], MATCH($D323, regions_ub[[setting]:[setting]],0), MATCH(AQ$139, regions_ub[#Headers],0)),INDEX(lmic_raw_ub[],MATCH($A323,lmic_raw_ub[[setting]:[setting]],0), MATCH(AQ$277, lmic_raw_ub[#Headers],0)))</f>
        <v>2.3511544932271054E-2</v>
      </c>
      <c r="AR323" s="84">
        <f>IF(INDEX(lmic_raw_ub[],MATCH($A323,lmic_raw_ub[[setting]:[setting]],0), MATCH(AR$277, lmic_raw_ub[#Headers],0))=0, INDEX(regions_ub[], MATCH($D323, regions_ub[[setting]:[setting]],0), MATCH(AR$139, regions_ub[#Headers],0)),INDEX(lmic_raw_ub[],MATCH($A323,lmic_raw_ub[[setting]:[setting]],0), MATCH(AR$277, lmic_raw_ub[#Headers],0)))</f>
        <v>3.7763048569893432E-2</v>
      </c>
      <c r="AS323" s="84">
        <f>IF(INDEX(lmic_raw_ub[],MATCH($A323,lmic_raw_ub[[setting]:[setting]],0), MATCH(AS$277, lmic_raw_ub[#Headers],0))=0, INDEX(regions_ub[], MATCH($D323, regions_ub[[setting]:[setting]],0), MATCH(AS$139, regions_ub[#Headers],0)),INDEX(lmic_raw_ub[],MATCH($A323,lmic_raw_ub[[setting]:[setting]],0), MATCH(AS$277, lmic_raw_ub[#Headers],0)))</f>
        <v>6.0366774991244217E-2</v>
      </c>
      <c r="AT323" s="84">
        <f>IF(INDEX(lmic_raw_ub[],MATCH($A323,lmic_raw_ub[[setting]:[setting]],0), MATCH(AT$277, lmic_raw_ub[#Headers],0))=0, INDEX(regions_ub[], MATCH($D323, regions_ub[[setting]:[setting]],0), MATCH(AT$139, regions_ub[#Headers],0)),INDEX(lmic_raw_ub[],MATCH($A323,lmic_raw_ub[[setting]:[setting]],0), MATCH(AT$277, lmic_raw_ub[#Headers],0)))</f>
        <v>9.0125234556428027E-2</v>
      </c>
      <c r="AU323" s="84">
        <f>IF(INDEX(lmic_raw_ub[],MATCH($A323,lmic_raw_ub[[setting]:[setting]],0), MATCH(AU$277, lmic_raw_ub[#Headers],0))=0, INDEX(regions_ub[], MATCH($D323, regions_ub[[setting]:[setting]],0), MATCH(AU$139, regions_ub[#Headers],0)),INDEX(lmic_raw_ub[],MATCH($A323,lmic_raw_ub[[setting]:[setting]],0), MATCH(AU$277, lmic_raw_ub[#Headers],0)))</f>
        <v>0.12432472659422408</v>
      </c>
      <c r="AV323" s="84">
        <f>IF(INDEX(lmic_raw_ub[],MATCH($A323,lmic_raw_ub[[setting]:[setting]],0), MATCH(AV$277, lmic_raw_ub[#Headers],0))=0, INDEX(regions_ub[], MATCH($D323, regions_ub[[setting]:[setting]],0), MATCH(AV$139, regions_ub[#Headers],0)),INDEX(lmic_raw_ub[],MATCH($A323,lmic_raw_ub[[setting]:[setting]],0), MATCH(AV$277, lmic_raw_ub[#Headers],0)))</f>
        <v>0.15880486785268871</v>
      </c>
      <c r="AW323" s="84">
        <f>IF(INDEX(lmic_raw_ub[],MATCH($A323,lmic_raw_ub[[setting]:[setting]],0), MATCH(AW$277, lmic_raw_ub[#Headers],0))=0, INDEX(regions_ub[], MATCH($D323, regions_ub[[setting]:[setting]],0), MATCH(AW$139, regions_ub[#Headers],0)),INDEX(lmic_raw_ub[],MATCH($A323,lmic_raw_ub[[setting]:[setting]],0), MATCH(AW$277, lmic_raw_ub[#Headers],0)))</f>
        <v>0.18328161388065764</v>
      </c>
      <c r="AX323" s="84">
        <f>IF(INDEX(lmic_raw_ub[],MATCH($A323,lmic_raw_ub[[setting]:[setting]],0), MATCH(AX$277, lmic_raw_ub[#Headers],0))=0, INDEX(regions_ub[], MATCH($D323, regions_ub[[setting]:[setting]],0), MATCH(AX$139, regions_ub[#Headers],0)),INDEX(lmic_raw_ub[],MATCH($A323,lmic_raw_ub[[setting]:[setting]],0), MATCH(AX$277, lmic_raw_ub[#Headers],0)))</f>
        <v>77.195999999999998</v>
      </c>
      <c r="AY323" s="33" t="str">
        <f>IF(VLOOKUP(lmics_ub[[#This Row],[setting]],lmic_raw_ub[],11,FALSE)=0, "Yes", "No")</f>
        <v>No</v>
      </c>
    </row>
    <row r="324" spans="1:51" x14ac:dyDescent="0.25">
      <c r="A324" s="109" t="s">
        <v>143</v>
      </c>
      <c r="B324" s="101" t="s">
        <v>431</v>
      </c>
      <c r="C324" s="102">
        <v>288</v>
      </c>
      <c r="D324" s="82" t="s">
        <v>677</v>
      </c>
      <c r="E324" s="82" t="s">
        <v>591</v>
      </c>
      <c r="F324" s="82" t="s">
        <v>667</v>
      </c>
      <c r="G324" s="82" t="s">
        <v>678</v>
      </c>
      <c r="J324" s="84">
        <f>IF(INDEX(lmic_raw_ub[],MATCH($A324,lmic_raw_ub[[setting]:[setting]],0), MATCH(J$277, lmic_raw_ub[#Headers],0))=0, INDEX(regions_ub[], MATCH($D324, regions_ub[[setting]:[setting]],0), MATCH(J$139, regions_ub[#Headers],0)),INDEX(lmic_raw_ub[],MATCH($A324,lmic_raw_ub[[setting]:[setting]],0), MATCH(J$277, lmic_raw_ub[#Headers],0)))</f>
        <v>0.81795000000000007</v>
      </c>
      <c r="K324" s="84">
        <f>IF(INDEX(lmic_raw_ub[],MATCH($A324,lmic_raw_ub[[setting]:[setting]],0), MATCH(K$277, lmic_raw_ub[#Headers],0))=0, INDEX(regions_ub[], MATCH($D324, regions_ub[[setting]:[setting]],0), MATCH(K$139, regions_ub[#Headers],0)),INDEX(lmic_raw_ub[],MATCH($A324,lmic_raw_ub[[setting]:[setting]],0), MATCH(K$277, lmic_raw_ub[#Headers],0)))</f>
        <v>0.71433037619548323</v>
      </c>
      <c r="L324" s="84">
        <f>IF(INDEX(lmic_raw_ub[],MATCH($A324,lmic_raw_ub[[setting]:[setting]],0), MATCH(L$277, lmic_raw_ub[#Headers],0))=0, INDEX(regions_ub[], MATCH($D324, regions_ub[[setting]:[setting]],0), MATCH(L$139, regions_ub[#Headers],0)),INDEX(lmic_raw_ub[],MATCH($A324,lmic_raw_ub[[setting]:[setting]],0), MATCH(L$277, lmic_raw_ub[#Headers],0)))</f>
        <v>0.99990000000000001</v>
      </c>
      <c r="M324" s="84">
        <f>IF(INDEX(lmic_raw_ub[],MATCH($A324,lmic_raw_ub[[setting]:[setting]],0), MATCH(M$277, lmic_raw_ub[#Headers],0))=0, INDEX(regions_ub[], MATCH($D324, regions_ub[[setting]:[setting]],0), MATCH(M$139, regions_ub[#Headers],0)),INDEX(lmic_raw_ub[],MATCH($A324,lmic_raw_ub[[setting]:[setting]],0), MATCH(M$277, lmic_raw_ub[#Headers],0)))</f>
        <v>0.10339999999999999</v>
      </c>
      <c r="N324" s="84">
        <f>IF(INDEX(lmic_raw_ub[],MATCH($A324,lmic_raw_ub[[setting]:[setting]],0), MATCH(N$277, lmic_raw_ub[#Headers],0))=0, INDEX(regions_ub[], MATCH($D324, regions_ub[[setting]:[setting]],0), MATCH(N$139, regions_ub[#Headers],0)),INDEX(lmic_raw_ub[],MATCH($A324,lmic_raw_ub[[setting]:[setting]],0), MATCH(N$277, lmic_raw_ub[#Headers],0)))</f>
        <v>0.41070000000000001</v>
      </c>
      <c r="O324" s="84">
        <f>IF(INDEX(lmic_raw_ub[],MATCH($A324,lmic_raw_ub[[setting]:[setting]],0), MATCH(O$277, lmic_raw_ub[#Headers],0))=0, INDEX(regions_ub[], MATCH($D324, regions_ub[[setting]:[setting]],0), MATCH(O$139, regions_ub[#Headers],0)),INDEX(lmic_raw_ub[],MATCH($A324,lmic_raw_ub[[setting]:[setting]],0), MATCH(O$277, lmic_raw_ub[#Headers],0)))</f>
        <v>0.74399999999999999</v>
      </c>
      <c r="P324" s="84">
        <f>IF(INDEX(lmic_raw_ub[],MATCH($A324,lmic_raw_ub[[setting]:[setting]],0), MATCH(P$277, lmic_raw_ub[#Headers],0))=0, INDEX(regions_ub[], MATCH($D324, regions_ub[[setting]:[setting]],0), MATCH(P$139, regions_ub[#Headers],0)),INDEX(lmic_raw_ub[],MATCH($A324,lmic_raw_ub[[setting]:[setting]],0), MATCH(P$277, lmic_raw_ub[#Headers],0)))</f>
        <v>0.13300000000000001</v>
      </c>
      <c r="Q324" s="84">
        <f>IF(INDEX(lmic_raw_ub[],MATCH($A324,lmic_raw_ub[[setting]:[setting]],0), MATCH(Q$277, lmic_raw_ub[#Headers],0))=0, INDEX(regions_ub[], MATCH($D324, regions_ub[[setting]:[setting]],0), MATCH(Q$139, regions_ub[#Headers],0)),INDEX(lmic_raw_ub[],MATCH($A324,lmic_raw_ub[[setting]:[setting]],0), MATCH(Q$277, lmic_raw_ub[#Headers],0)))</f>
        <v>3.5140025956544552</v>
      </c>
      <c r="R324" s="84">
        <f>IF(INDEX(lmic_raw_ub[],MATCH($A324,lmic_raw_ub[[setting]:[setting]],0), MATCH(R$277, lmic_raw_ub[#Headers],0))=0, INDEX(regions_ub[], MATCH($D324, regions_ub[[setting]:[setting]],0), MATCH(R$139, regions_ub[#Headers],0)),INDEX(lmic_raw_ub[],MATCH($A324,lmic_raw_ub[[setting]:[setting]],0), MATCH(R$277, lmic_raw_ub[#Headers],0)))</f>
        <v>31.416525000000004</v>
      </c>
      <c r="S324" s="84">
        <f>IF(INDEX(lmic_raw_ub[],MATCH($A324,lmic_raw_ub[[setting]:[setting]],0), MATCH(S$277, lmic_raw_ub[#Headers],0))=0, INDEX(regions_ub[], MATCH($D324, regions_ub[[setting]:[setting]],0), MATCH(S$139, regions_ub[#Headers],0)),INDEX(lmic_raw_ub[],MATCH($A324,lmic_raw_ub[[setting]:[setting]],0), MATCH(S$277, lmic_raw_ub[#Headers],0)))</f>
        <v>81.545625000000015</v>
      </c>
      <c r="T324" s="84">
        <f>IF(INDEX(lmic_raw_ub[],MATCH($A324,lmic_raw_ub[[setting]:[setting]],0), MATCH(T$277, lmic_raw_ub[#Headers],0))=0, INDEX(regions_ub[], MATCH($D324, regions_ub[[setting]:[setting]],0), MATCH(T$139, regions_ub[#Headers],0)),INDEX(lmic_raw_ub[],MATCH($A324,lmic_raw_ub[[setting]:[setting]],0), MATCH(T$277, lmic_raw_ub[#Headers],0)))</f>
        <v>81.545625000000015</v>
      </c>
      <c r="U324" s="84">
        <f>IF(INDEX(lmic_raw_ub[],MATCH($A324,lmic_raw_ub[[setting]:[setting]],0), MATCH(U$277, lmic_raw_ub[#Headers],0))=0, INDEX(regions_ub[], MATCH($D324, regions_ub[[setting]:[setting]],0), MATCH(U$139, regions_ub[#Headers],0)),INDEX(lmic_raw_ub[],MATCH($A324,lmic_raw_ub[[setting]:[setting]],0), MATCH(U$277, lmic_raw_ub[#Headers],0)))</f>
        <v>81.545625000000015</v>
      </c>
      <c r="V324" s="84">
        <f>IF(INDEX(lmic_raw_ub[],MATCH($A324,lmic_raw_ub[[setting]:[setting]],0), MATCH(V$277, lmic_raw_ub[#Headers],0))=0, INDEX(regions_ub[], MATCH($D324, regions_ub[[setting]:[setting]],0), MATCH(V$139, regions_ub[#Headers],0)),INDEX(lmic_raw_ub[],MATCH($A324,lmic_raw_ub[[setting]:[setting]],0), MATCH(V$277, lmic_raw_ub[#Headers],0)))</f>
        <v>8.7136982951427839</v>
      </c>
      <c r="W324" s="84">
        <f>IF(INDEX(lmic_raw_ub[],MATCH($A324,lmic_raw_ub[[setting]:[setting]],0), MATCH(W$277, lmic_raw_ub[#Headers],0))=0, INDEX(regions_ub[], MATCH($D324, regions_ub[[setting]:[setting]],0), MATCH(W$139, regions_ub[#Headers],0)),INDEX(lmic_raw_ub[],MATCH($A324,lmic_raw_ub[[setting]:[setting]],0), MATCH(W$277, lmic_raw_ub[#Headers],0)))</f>
        <v>13.783833295142784</v>
      </c>
      <c r="X324" s="84">
        <f>IF(INDEX(lmic_raw_ub[],MATCH($A324,lmic_raw_ub[[setting]:[setting]],0), MATCH(X$277, lmic_raw_ub[#Headers],0))=0, INDEX(regions_ub[], MATCH($D324, regions_ub[[setting]:[setting]],0), MATCH(X$139, regions_ub[#Headers],0)),INDEX(lmic_raw_ub[],MATCH($A324,lmic_raw_ub[[setting]:[setting]],0), MATCH(X$277, lmic_raw_ub[#Headers],0)))</f>
        <v>8.2069378037775405</v>
      </c>
      <c r="Y324" s="84">
        <f>IF(INDEX(lmic_raw_ub[],MATCH($A324,lmic_raw_ub[[setting]:[setting]],0), MATCH(Y$277, lmic_raw_ub[#Headers],0))=0, INDEX(regions_ub[], MATCH($D324, regions_ub[[setting]:[setting]],0), MATCH(Y$139, regions_ub[#Headers],0)),INDEX(lmic_raw_ub[],MATCH($A324,lmic_raw_ub[[setting]:[setting]],0), MATCH(Y$277, lmic_raw_ub[#Headers],0)))</f>
        <v>13.277072803777541</v>
      </c>
      <c r="Z324" s="84">
        <f>IF(INDEX(lmic_raw_ub[],MATCH($A324,lmic_raw_ub[[setting]:[setting]],0), MATCH(Z$277, lmic_raw_ub[#Headers],0))=0, INDEX(regions_ub[], MATCH($D324, regions_ub[[setting]:[setting]],0), MATCH(Z$139, regions_ub[#Headers],0)),INDEX(lmic_raw_ub[],MATCH($A324,lmic_raw_ub[[setting]:[setting]],0), MATCH(Z$277, lmic_raw_ub[#Headers],0)))</f>
        <v>13.264646967165783</v>
      </c>
      <c r="AA324" s="84">
        <f>IF(INDEX(lmic_raw_ub[],MATCH($A324,lmic_raw_ub[[setting]:[setting]],0), MATCH(AA$277, lmic_raw_ub[#Headers],0))=0, INDEX(regions_ub[], MATCH($D324, regions_ub[[setting]:[setting]],0), MATCH(AA$139, regions_ub[#Headers],0)),INDEX(lmic_raw_ub[],MATCH($A324,lmic_raw_ub[[setting]:[setting]],0), MATCH(AA$277, lmic_raw_ub[#Headers],0)))</f>
        <v>8.9848042625258415</v>
      </c>
      <c r="AB324" s="84">
        <f>IF(INDEX(lmic_raw_ub[],MATCH($A324,lmic_raw_ub[[setting]:[setting]],0), MATCH(AB$277, lmic_raw_ub[#Headers],0))=0, INDEX(regions_ub[], MATCH($D324, regions_ub[[setting]:[setting]],0), MATCH(AB$139, regions_ub[#Headers],0)),INDEX(lmic_raw_ub[],MATCH($A324,lmic_raw_ub[[setting]:[setting]],0), MATCH(AB$277, lmic_raw_ub[#Headers],0)))</f>
        <v>14.054939262525842</v>
      </c>
      <c r="AC324" s="84">
        <f>IF(INDEX(lmic_raw_ub[],MATCH($A324,lmic_raw_ub[[setting]:[setting]],0), MATCH(AC$277, lmic_raw_ub[#Headers],0))=0, INDEX(regions_ub[], MATCH($D324, regions_ub[[setting]:[setting]],0), MATCH(AC$139, regions_ub[#Headers],0)),INDEX(lmic_raw_ub[],MATCH($A324,lmic_raw_ub[[setting]:[setting]],0), MATCH(AC$277, lmic_raw_ub[#Headers],0)))</f>
        <v>3.7424729999999948E-2</v>
      </c>
      <c r="AD324" s="84">
        <f>IF(INDEX(lmic_raw_ub[],MATCH($A324,lmic_raw_ub[[setting]:[setting]],0), MATCH(AD$277, lmic_raw_ub[#Headers],0))=0, INDEX(regions_ub[], MATCH($D324, regions_ub[[setting]:[setting]],0), MATCH(AD$139, regions_ub[#Headers],0)),INDEX(lmic_raw_ub[],MATCH($A324,lmic_raw_ub[[setting]:[setting]],0), MATCH(AD$277, lmic_raw_ub[#Headers],0)))</f>
        <v>4.357349515853785E-3</v>
      </c>
      <c r="AE324" s="84">
        <f>IF(INDEX(lmic_raw_ub[],MATCH($A324,lmic_raw_ub[[setting]:[setting]],0), MATCH(AE$277, lmic_raw_ub[#Headers],0))=0, INDEX(regions_ub[], MATCH($D324, regions_ub[[setting]:[setting]],0), MATCH(AE$139, regions_ub[#Headers],0)),INDEX(lmic_raw_ub[],MATCH($A324,lmic_raw_ub[[setting]:[setting]],0), MATCH(AE$277, lmic_raw_ub[#Headers],0)))</f>
        <v>2.5503667096950858E-3</v>
      </c>
      <c r="AF324" s="84">
        <f>IF(INDEX(lmic_raw_ub[],MATCH($A324,lmic_raw_ub[[setting]:[setting]],0), MATCH(AF$277, lmic_raw_ub[#Headers],0))=0, INDEX(regions_ub[], MATCH($D324, regions_ub[[setting]:[setting]],0), MATCH(AF$139, regions_ub[#Headers],0)),INDEX(lmic_raw_ub[],MATCH($A324,lmic_raw_ub[[setting]:[setting]],0), MATCH(AF$277, lmic_raw_ub[#Headers],0)))</f>
        <v>1.5519133099052599E-3</v>
      </c>
      <c r="AG324" s="84">
        <f>IF(INDEX(lmic_raw_ub[],MATCH($A324,lmic_raw_ub[[setting]:[setting]],0), MATCH(AG$277, lmic_raw_ub[#Headers],0))=0, INDEX(regions_ub[], MATCH($D324, regions_ub[[setting]:[setting]],0), MATCH(AG$139, regions_ub[#Headers],0)),INDEX(lmic_raw_ub[],MATCH($A324,lmic_raw_ub[[setting]:[setting]],0), MATCH(AG$277, lmic_raw_ub[#Headers],0)))</f>
        <v>2.3836134553547046E-3</v>
      </c>
      <c r="AH324" s="84">
        <f>IF(INDEX(lmic_raw_ub[],MATCH($A324,lmic_raw_ub[[setting]:[setting]],0), MATCH(AH$277, lmic_raw_ub[#Headers],0))=0, INDEX(regions_ub[], MATCH($D324, regions_ub[[setting]:[setting]],0), MATCH(AH$139, regions_ub[#Headers],0)),INDEX(lmic_raw_ub[],MATCH($A324,lmic_raw_ub[[setting]:[setting]],0), MATCH(AH$277, lmic_raw_ub[#Headers],0)))</f>
        <v>3.35640348010861E-3</v>
      </c>
      <c r="AI324" s="84">
        <f>IF(INDEX(lmic_raw_ub[],MATCH($A324,lmic_raw_ub[[setting]:[setting]],0), MATCH(AI$277, lmic_raw_ub[#Headers],0))=0, INDEX(regions_ub[], MATCH($D324, regions_ub[[setting]:[setting]],0), MATCH(AI$139, regions_ub[#Headers],0)),INDEX(lmic_raw_ub[],MATCH($A324,lmic_raw_ub[[setting]:[setting]],0), MATCH(AI$277, lmic_raw_ub[#Headers],0)))</f>
        <v>3.5888415113675661E-3</v>
      </c>
      <c r="AJ324" s="84">
        <f>IF(INDEX(lmic_raw_ub[],MATCH($A324,lmic_raw_ub[[setting]:[setting]],0), MATCH(AJ$277, lmic_raw_ub[#Headers],0))=0, INDEX(regions_ub[], MATCH($D324, regions_ub[[setting]:[setting]],0), MATCH(AJ$139, regions_ub[#Headers],0)),INDEX(lmic_raw_ub[],MATCH($A324,lmic_raw_ub[[setting]:[setting]],0), MATCH(AJ$277, lmic_raw_ub[#Headers],0)))</f>
        <v>3.9890540456286178E-3</v>
      </c>
      <c r="AK324" s="84">
        <f>IF(INDEX(lmic_raw_ub[],MATCH($A324,lmic_raw_ub[[setting]:[setting]],0), MATCH(AK$277, lmic_raw_ub[#Headers],0))=0, INDEX(regions_ub[], MATCH($D324, regions_ub[[setting]:[setting]],0), MATCH(AK$139, regions_ub[#Headers],0)),INDEX(lmic_raw_ub[],MATCH($A324,lmic_raw_ub[[setting]:[setting]],0), MATCH(AK$277, lmic_raw_ub[#Headers],0)))</f>
        <v>4.6032836278182459E-3</v>
      </c>
      <c r="AL324" s="84">
        <f>IF(INDEX(lmic_raw_ub[],MATCH($A324,lmic_raw_ub[[setting]:[setting]],0), MATCH(AL$277, lmic_raw_ub[#Headers],0))=0, INDEX(regions_ub[], MATCH($D324, regions_ub[[setting]:[setting]],0), MATCH(AL$139, regions_ub[#Headers],0)),INDEX(lmic_raw_ub[],MATCH($A324,lmic_raw_ub[[setting]:[setting]],0), MATCH(AL$277, lmic_raw_ub[#Headers],0)))</f>
        <v>5.7351335657581885E-3</v>
      </c>
      <c r="AM324" s="84">
        <f>IF(INDEX(lmic_raw_ub[],MATCH($A324,lmic_raw_ub[[setting]:[setting]],0), MATCH(AM$277, lmic_raw_ub[#Headers],0))=0, INDEX(regions_ub[], MATCH($D324, regions_ub[[setting]:[setting]],0), MATCH(AM$139, regions_ub[#Headers],0)),INDEX(lmic_raw_ub[],MATCH($A324,lmic_raw_ub[[setting]:[setting]],0), MATCH(AM$277, lmic_raw_ub[#Headers],0)))</f>
        <v>7.2593404653250888E-3</v>
      </c>
      <c r="AN324" s="84">
        <f>IF(INDEX(lmic_raw_ub[],MATCH($A324,lmic_raw_ub[[setting]:[setting]],0), MATCH(AN$277, lmic_raw_ub[#Headers],0))=0, INDEX(regions_ub[], MATCH($D324, regions_ub[[setting]:[setting]],0), MATCH(AN$139, regions_ub[#Headers],0)),INDEX(lmic_raw_ub[],MATCH($A324,lmic_raw_ub[[setting]:[setting]],0), MATCH(AN$277, lmic_raw_ub[#Headers],0)))</f>
        <v>1.0271765640290545E-2</v>
      </c>
      <c r="AO324" s="84">
        <f>IF(INDEX(lmic_raw_ub[],MATCH($A324,lmic_raw_ub[[setting]:[setting]],0), MATCH(AO$277, lmic_raw_ub[#Headers],0))=0, INDEX(regions_ub[], MATCH($D324, regions_ub[[setting]:[setting]],0), MATCH(AO$139, regions_ub[#Headers],0)),INDEX(lmic_raw_ub[],MATCH($A324,lmic_raw_ub[[setting]:[setting]],0), MATCH(AO$277, lmic_raw_ub[#Headers],0)))</f>
        <v>1.4674194809737149E-2</v>
      </c>
      <c r="AP324" s="84">
        <f>IF(INDEX(lmic_raw_ub[],MATCH($A324,lmic_raw_ub[[setting]:[setting]],0), MATCH(AP$277, lmic_raw_ub[#Headers],0))=0, INDEX(regions_ub[], MATCH($D324, regions_ub[[setting]:[setting]],0), MATCH(AP$139, regions_ub[#Headers],0)),INDEX(lmic_raw_ub[],MATCH($A324,lmic_raw_ub[[setting]:[setting]],0), MATCH(AP$277, lmic_raw_ub[#Headers],0)))</f>
        <v>2.2741168308894257E-2</v>
      </c>
      <c r="AQ324" s="84">
        <f>IF(INDEX(lmic_raw_ub[],MATCH($A324,lmic_raw_ub[[setting]:[setting]],0), MATCH(AQ$277, lmic_raw_ub[#Headers],0))=0, INDEX(regions_ub[], MATCH($D324, regions_ub[[setting]:[setting]],0), MATCH(AQ$139, regions_ub[#Headers],0)),INDEX(lmic_raw_ub[],MATCH($A324,lmic_raw_ub[[setting]:[setting]],0), MATCH(AQ$277, lmic_raw_ub[#Headers],0)))</f>
        <v>3.5066318406387388E-2</v>
      </c>
      <c r="AR324" s="84">
        <f>IF(INDEX(lmic_raw_ub[],MATCH($A324,lmic_raw_ub[[setting]:[setting]],0), MATCH(AR$277, lmic_raw_ub[#Headers],0))=0, INDEX(regions_ub[], MATCH($D324, regions_ub[[setting]:[setting]],0), MATCH(AR$139, regions_ub[#Headers],0)),INDEX(lmic_raw_ub[],MATCH($A324,lmic_raw_ub[[setting]:[setting]],0), MATCH(AR$277, lmic_raw_ub[#Headers],0)))</f>
        <v>5.6325470896592233E-2</v>
      </c>
      <c r="AS324" s="84">
        <f>IF(INDEX(lmic_raw_ub[],MATCH($A324,lmic_raw_ub[[setting]:[setting]],0), MATCH(AS$277, lmic_raw_ub[#Headers],0))=0, INDEX(regions_ub[], MATCH($D324, regions_ub[[setting]:[setting]],0), MATCH(AS$139, regions_ub[#Headers],0)),INDEX(lmic_raw_ub[],MATCH($A324,lmic_raw_ub[[setting]:[setting]],0), MATCH(AS$277, lmic_raw_ub[#Headers],0)))</f>
        <v>8.7089312881041894E-2</v>
      </c>
      <c r="AT324" s="84">
        <f>IF(INDEX(lmic_raw_ub[],MATCH($A324,lmic_raw_ub[[setting]:[setting]],0), MATCH(AT$277, lmic_raw_ub[#Headers],0))=0, INDEX(regions_ub[], MATCH($D324, regions_ub[[setting]:[setting]],0), MATCH(AT$139, regions_ub[#Headers],0)),INDEX(lmic_raw_ub[],MATCH($A324,lmic_raw_ub[[setting]:[setting]],0), MATCH(AT$277, lmic_raw_ub[#Headers],0)))</f>
        <v>0.12232427496198646</v>
      </c>
      <c r="AU324" s="84">
        <f>IF(INDEX(lmic_raw_ub[],MATCH($A324,lmic_raw_ub[[setting]:[setting]],0), MATCH(AU$277, lmic_raw_ub[#Headers],0))=0, INDEX(regions_ub[], MATCH($D324, regions_ub[[setting]:[setting]],0), MATCH(AU$139, regions_ub[#Headers],0)),INDEX(lmic_raw_ub[],MATCH($A324,lmic_raw_ub[[setting]:[setting]],0), MATCH(AU$277, lmic_raw_ub[#Headers],0)))</f>
        <v>0.15446318932776751</v>
      </c>
      <c r="AV324" s="84">
        <f>IF(INDEX(lmic_raw_ub[],MATCH($A324,lmic_raw_ub[[setting]:[setting]],0), MATCH(AV$277, lmic_raw_ub[#Headers],0))=0, INDEX(regions_ub[], MATCH($D324, regions_ub[[setting]:[setting]],0), MATCH(AV$139, regions_ub[#Headers],0)),INDEX(lmic_raw_ub[],MATCH($A324,lmic_raw_ub[[setting]:[setting]],0), MATCH(AV$277, lmic_raw_ub[#Headers],0)))</f>
        <v>0.17817517741158681</v>
      </c>
      <c r="AW324" s="84">
        <f>IF(INDEX(lmic_raw_ub[],MATCH($A324,lmic_raw_ub[[setting]:[setting]],0), MATCH(AW$277, lmic_raw_ub[#Headers],0))=0, INDEX(regions_ub[], MATCH($D324, regions_ub[[setting]:[setting]],0), MATCH(AW$139, regions_ub[#Headers],0)),INDEX(lmic_raw_ub[],MATCH($A324,lmic_raw_ub[[setting]:[setting]],0), MATCH(AW$277, lmic_raw_ub[#Headers],0)))</f>
        <v>0.19433075135202785</v>
      </c>
      <c r="AX324" s="84">
        <f>IF(INDEX(lmic_raw_ub[],MATCH($A324,lmic_raw_ub[[setting]:[setting]],0), MATCH(AX$277, lmic_raw_ub[#Headers],0))=0, INDEX(regions_ub[], MATCH($D324, regions_ub[[setting]:[setting]],0), MATCH(AX$139, regions_ub[#Headers],0)),INDEX(lmic_raw_ub[],MATCH($A324,lmic_raw_ub[[setting]:[setting]],0), MATCH(AX$277, lmic_raw_ub[#Headers],0)))</f>
        <v>66.834600000000009</v>
      </c>
      <c r="AY324" s="33" t="str">
        <f>IF(VLOOKUP(lmics_ub[[#This Row],[setting]],lmic_raw_ub[],11,FALSE)=0, "Yes", "No")</f>
        <v>Yes</v>
      </c>
    </row>
    <row r="325" spans="1:51" x14ac:dyDescent="0.25">
      <c r="A325" s="110" t="s">
        <v>236</v>
      </c>
      <c r="B325" s="104" t="s">
        <v>619</v>
      </c>
      <c r="C325" s="105">
        <v>308</v>
      </c>
      <c r="D325" s="84" t="s">
        <v>679</v>
      </c>
      <c r="E325" s="84" t="s">
        <v>223</v>
      </c>
      <c r="F325" s="84" t="s">
        <v>665</v>
      </c>
      <c r="G325" s="84" t="s">
        <v>676</v>
      </c>
      <c r="J325" s="84">
        <f>IF(INDEX(lmic_raw_ub[],MATCH($A325,lmic_raw_ub[[setting]:[setting]],0), MATCH(J$277, lmic_raw_ub[#Headers],0))=0, INDEX(regions_ub[], MATCH($D325, regions_ub[[setting]:[setting]],0), MATCH(J$139, regions_ub[#Headers],0)),INDEX(lmic_raw_ub[],MATCH($A325,lmic_raw_ub[[setting]:[setting]],0), MATCH(J$277, lmic_raw_ub[#Headers],0)))</f>
        <v>0.97190446634167316</v>
      </c>
      <c r="K325" s="84">
        <f>IF(INDEX(lmic_raw_ub[],MATCH($A325,lmic_raw_ub[[setting]:[setting]],0), MATCH(K$277, lmic_raw_ub[#Headers],0))=0, INDEX(regions_ub[], MATCH($D325, regions_ub[[setting]:[setting]],0), MATCH(K$139, regions_ub[#Headers],0)),INDEX(lmic_raw_ub[],MATCH($A325,lmic_raw_ub[[setting]:[setting]],0), MATCH(K$277, lmic_raw_ub[#Headers],0)))</f>
        <v>0.99990000000000001</v>
      </c>
      <c r="L325" s="84">
        <f>IF(INDEX(lmic_raw_ub[],MATCH($A325,lmic_raw_ub[[setting]:[setting]],0), MATCH(L$277, lmic_raw_ub[#Headers],0))=0, INDEX(regions_ub[], MATCH($D325, regions_ub[[setting]:[setting]],0), MATCH(L$139, regions_ub[#Headers],0)),INDEX(lmic_raw_ub[],MATCH($A325,lmic_raw_ub[[setting]:[setting]],0), MATCH(L$277, lmic_raw_ub[#Headers],0)))</f>
        <v>0.98699999999999999</v>
      </c>
      <c r="M325" s="84">
        <f>IF(INDEX(lmic_raw_ub[],MATCH($A325,lmic_raw_ub[[setting]:[setting]],0), MATCH(M$277, lmic_raw_ub[#Headers],0))=0, INDEX(regions_ub[], MATCH($D325, regions_ub[[setting]:[setting]],0), MATCH(M$139, regions_ub[#Headers],0)),INDEX(lmic_raw_ub[],MATCH($A325,lmic_raw_ub[[setting]:[setting]],0), MATCH(M$277, lmic_raw_ub[#Headers],0)))</f>
        <v>0.11840000000000001</v>
      </c>
      <c r="N325" s="84">
        <f>IF(INDEX(lmic_raw_ub[],MATCH($A325,lmic_raw_ub[[setting]:[setting]],0), MATCH(N$277, lmic_raw_ub[#Headers],0))=0, INDEX(regions_ub[], MATCH($D325, regions_ub[[setting]:[setting]],0), MATCH(N$139, regions_ub[#Headers],0)),INDEX(lmic_raw_ub[],MATCH($A325,lmic_raw_ub[[setting]:[setting]],0), MATCH(N$277, lmic_raw_ub[#Headers],0)))</f>
        <v>0.43</v>
      </c>
      <c r="O325" s="84">
        <f>IF(INDEX(lmic_raw_ub[],MATCH($A325,lmic_raw_ub[[setting]:[setting]],0), MATCH(O$277, lmic_raw_ub[#Headers],0))=0, INDEX(regions_ub[], MATCH($D325, regions_ub[[setting]:[setting]],0), MATCH(O$139, regions_ub[#Headers],0)),INDEX(lmic_raw_ub[],MATCH($A325,lmic_raw_ub[[setting]:[setting]],0), MATCH(O$277, lmic_raw_ub[#Headers],0)))</f>
        <v>0.9</v>
      </c>
      <c r="P325" s="84">
        <f>IF(INDEX(lmic_raw_ub[],MATCH($A325,lmic_raw_ub[[setting]:[setting]],0), MATCH(P$277, lmic_raw_ub[#Headers],0))=0, INDEX(regions_ub[], MATCH($D325, regions_ub[[setting]:[setting]],0), MATCH(P$139, regions_ub[#Headers],0)),INDEX(lmic_raw_ub[],MATCH($A325,lmic_raw_ub[[setting]:[setting]],0), MATCH(P$277, lmic_raw_ub[#Headers],0)))</f>
        <v>0.3</v>
      </c>
      <c r="Q325" s="84">
        <f>IF(INDEX(lmic_raw_ub[],MATCH($A325,lmic_raw_ub[[setting]:[setting]],0), MATCH(Q$277, lmic_raw_ub[#Headers],0))=0, INDEX(regions_ub[], MATCH($D325, regions_ub[[setting]:[setting]],0), MATCH(Q$139, regions_ub[#Headers],0)),INDEX(lmic_raw_ub[],MATCH($A325,lmic_raw_ub[[setting]:[setting]],0), MATCH(Q$277, lmic_raw_ub[#Headers],0)))</f>
        <v>14.007429840094517</v>
      </c>
      <c r="R325" s="84">
        <f>IF(INDEX(lmic_raw_ub[],MATCH($A325,lmic_raw_ub[[setting]:[setting]],0), MATCH(R$277, lmic_raw_ub[#Headers],0))=0, INDEX(regions_ub[], MATCH($D325, regions_ub[[setting]:[setting]],0), MATCH(R$139, regions_ub[#Headers],0)),INDEX(lmic_raw_ub[],MATCH($A325,lmic_raw_ub[[setting]:[setting]],0), MATCH(R$277, lmic_raw_ub[#Headers],0)))</f>
        <v>91.228094999999996</v>
      </c>
      <c r="S325" s="84">
        <f>IF(INDEX(lmic_raw_ub[],MATCH($A325,lmic_raw_ub[[setting]:[setting]],0), MATCH(S$277, lmic_raw_ub[#Headers],0))=0, INDEX(regions_ub[], MATCH($D325, regions_ub[[setting]:[setting]],0), MATCH(S$139, regions_ub[#Headers],0)),INDEX(lmic_raw_ub[],MATCH($A325,lmic_raw_ub[[setting]:[setting]],0), MATCH(S$277, lmic_raw_ub[#Headers],0)))</f>
        <v>141.35719500000002</v>
      </c>
      <c r="T325" s="84">
        <f>IF(INDEX(lmic_raw_ub[],MATCH($A325,lmic_raw_ub[[setting]:[setting]],0), MATCH(T$277, lmic_raw_ub[#Headers],0))=0, INDEX(regions_ub[], MATCH($D325, regions_ub[[setting]:[setting]],0), MATCH(T$139, regions_ub[#Headers],0)),INDEX(lmic_raw_ub[],MATCH($A325,lmic_raw_ub[[setting]:[setting]],0), MATCH(T$277, lmic_raw_ub[#Headers],0)))</f>
        <v>141.35719500000002</v>
      </c>
      <c r="U325" s="84">
        <f>IF(INDEX(lmic_raw_ub[],MATCH($A325,lmic_raw_ub[[setting]:[setting]],0), MATCH(U$277, lmic_raw_ub[#Headers],0))=0, INDEX(regions_ub[], MATCH($D325, regions_ub[[setting]:[setting]],0), MATCH(U$139, regions_ub[#Headers],0)),INDEX(lmic_raw_ub[],MATCH($A325,lmic_raw_ub[[setting]:[setting]],0), MATCH(U$277, lmic_raw_ub[#Headers],0)))</f>
        <v>141.35719500000002</v>
      </c>
      <c r="V325" s="84">
        <f>IF(INDEX(lmic_raw_ub[],MATCH($A325,lmic_raw_ub[[setting]:[setting]],0), MATCH(V$277, lmic_raw_ub[#Headers],0))=0, INDEX(regions_ub[], MATCH($D325, regions_ub[[setting]:[setting]],0), MATCH(V$139, regions_ub[#Headers],0)),INDEX(lmic_raw_ub[],MATCH($A325,lmic_raw_ub[[setting]:[setting]],0), MATCH(V$277, lmic_raw_ub[#Headers],0)))</f>
        <v>40.194684469071817</v>
      </c>
      <c r="W325" s="84">
        <f>IF(INDEX(lmic_raw_ub[],MATCH($A325,lmic_raw_ub[[setting]:[setting]],0), MATCH(W$277, lmic_raw_ub[#Headers],0))=0, INDEX(regions_ub[], MATCH($D325, regions_ub[[setting]:[setting]],0), MATCH(W$139, regions_ub[#Headers],0)),INDEX(lmic_raw_ub[],MATCH($A325,lmic_raw_ub[[setting]:[setting]],0), MATCH(W$277, lmic_raw_ub[#Headers],0)))</f>
        <v>40.217574469071813</v>
      </c>
      <c r="X325" s="84">
        <f>IF(INDEX(lmic_raw_ub[],MATCH($A325,lmic_raw_ub[[setting]:[setting]],0), MATCH(X$277, lmic_raw_ub[#Headers],0))=0, INDEX(regions_ub[], MATCH($D325, regions_ub[[setting]:[setting]],0), MATCH(X$139, regions_ub[#Headers],0)),INDEX(lmic_raw_ub[],MATCH($A325,lmic_raw_ub[[setting]:[setting]],0), MATCH(X$277, lmic_raw_ub[#Headers],0)))</f>
        <v>39.649043684730174</v>
      </c>
      <c r="Y325" s="84">
        <f>IF(INDEX(lmic_raw_ub[],MATCH($A325,lmic_raw_ub[[setting]:[setting]],0), MATCH(Y$277, lmic_raw_ub[#Headers],0))=0, INDEX(regions_ub[], MATCH($D325, regions_ub[[setting]:[setting]],0), MATCH(Y$139, regions_ub[#Headers],0)),INDEX(lmic_raw_ub[],MATCH($A325,lmic_raw_ub[[setting]:[setting]],0), MATCH(Y$277, lmic_raw_ub[#Headers],0)))</f>
        <v>39.67193368473017</v>
      </c>
      <c r="Z325" s="84">
        <f>IF(INDEX(lmic_raw_ub[],MATCH($A325,lmic_raw_ub[[setting]:[setting]],0), MATCH(Z$277, lmic_raw_ub[#Headers],0))=0, INDEX(regions_ub[], MATCH($D325, regions_ub[[setting]:[setting]],0), MATCH(Z$139, regions_ub[#Headers],0)),INDEX(lmic_raw_ub[],MATCH($A325,lmic_raw_ub[[setting]:[setting]],0), MATCH(Z$277, lmic_raw_ub[#Headers],0)))</f>
        <v>39.638858128885403</v>
      </c>
      <c r="AA325" s="84">
        <f>IF(INDEX(lmic_raw_ub[],MATCH($A325,lmic_raw_ub[[setting]:[setting]],0), MATCH(AA$277, lmic_raw_ub[#Headers],0))=0, INDEX(regions_ub[], MATCH($D325, regions_ub[[setting]:[setting]],0), MATCH(AA$139, regions_ub[#Headers],0)),INDEX(lmic_raw_ub[],MATCH($A325,lmic_raw_ub[[setting]:[setting]],0), MATCH(AA$277, lmic_raw_ub[#Headers],0)))</f>
        <v>40.474616024431107</v>
      </c>
      <c r="AB325" s="84">
        <f>IF(INDEX(lmic_raw_ub[],MATCH($A325,lmic_raw_ub[[setting]:[setting]],0), MATCH(AB$277, lmic_raw_ub[#Headers],0))=0, INDEX(regions_ub[], MATCH($D325, regions_ub[[setting]:[setting]],0), MATCH(AB$139, regions_ub[#Headers],0)),INDEX(lmic_raw_ub[],MATCH($A325,lmic_raw_ub[[setting]:[setting]],0), MATCH(AB$277, lmic_raw_ub[#Headers],0)))</f>
        <v>40.497506024431104</v>
      </c>
      <c r="AC325" s="84">
        <f>IF(INDEX(lmic_raw_ub[],MATCH($A325,lmic_raw_ub[[setting]:[setting]],0), MATCH(AC$277, lmic_raw_ub[#Headers],0))=0, INDEX(regions_ub[], MATCH($D325, regions_ub[[setting]:[setting]],0), MATCH(AC$139, regions_ub[#Headers],0)),INDEX(lmic_raw_ub[],MATCH($A325,lmic_raw_ub[[setting]:[setting]],0), MATCH(AC$277, lmic_raw_ub[#Headers],0)))</f>
        <v>1.5747637499999939E-2</v>
      </c>
      <c r="AD325" s="84">
        <f>IF(INDEX(lmic_raw_ub[],MATCH($A325,lmic_raw_ub[[setting]:[setting]],0), MATCH(AD$277, lmic_raw_ub[#Headers],0))=0, INDEX(regions_ub[], MATCH($D325, regions_ub[[setting]:[setting]],0), MATCH(AD$139, regions_ub[#Headers],0)),INDEX(lmic_raw_ub[],MATCH($A325,lmic_raw_ub[[setting]:[setting]],0), MATCH(AD$277, lmic_raw_ub[#Headers],0)))</f>
        <v>3.8572221535537792E-4</v>
      </c>
      <c r="AE325" s="84">
        <f>IF(INDEX(lmic_raw_ub[],MATCH($A325,lmic_raw_ub[[setting]:[setting]],0), MATCH(AE$277, lmic_raw_ub[#Headers],0))=0, INDEX(regions_ub[], MATCH($D325, regions_ub[[setting]:[setting]],0), MATCH(AE$139, regions_ub[#Headers],0)),INDEX(lmic_raw_ub[],MATCH($A325,lmic_raw_ub[[setting]:[setting]],0), MATCH(AE$277, lmic_raw_ub[#Headers],0)))</f>
        <v>4.076612421226703E-4</v>
      </c>
      <c r="AF325" s="84">
        <f>IF(INDEX(lmic_raw_ub[],MATCH($A325,lmic_raw_ub[[setting]:[setting]],0), MATCH(AF$277, lmic_raw_ub[#Headers],0))=0, INDEX(regions_ub[], MATCH($D325, regions_ub[[setting]:[setting]],0), MATCH(AF$139, regions_ub[#Headers],0)),INDEX(lmic_raw_ub[],MATCH($A325,lmic_raw_ub[[setting]:[setting]],0), MATCH(AF$277, lmic_raw_ub[#Headers],0)))</f>
        <v>3.8673205415129877E-4</v>
      </c>
      <c r="AG325" s="84">
        <f>IF(INDEX(lmic_raw_ub[],MATCH($A325,lmic_raw_ub[[setting]:[setting]],0), MATCH(AG$277, lmic_raw_ub[#Headers],0))=0, INDEX(regions_ub[], MATCH($D325, regions_ub[[setting]:[setting]],0), MATCH(AG$139, regions_ub[#Headers],0)),INDEX(lmic_raw_ub[],MATCH($A325,lmic_raw_ub[[setting]:[setting]],0), MATCH(AG$277, lmic_raw_ub[#Headers],0)))</f>
        <v>9.0805317700703536E-4</v>
      </c>
      <c r="AH325" s="84">
        <f>IF(INDEX(lmic_raw_ub[],MATCH($A325,lmic_raw_ub[[setting]:[setting]],0), MATCH(AH$277, lmic_raw_ub[#Headers],0))=0, INDEX(regions_ub[], MATCH($D325, regions_ub[[setting]:[setting]],0), MATCH(AH$139, regions_ub[#Headers],0)),INDEX(lmic_raw_ub[],MATCH($A325,lmic_raw_ub[[setting]:[setting]],0), MATCH(AH$277, lmic_raw_ub[#Headers],0)))</f>
        <v>1.2342783943134936E-3</v>
      </c>
      <c r="AI325" s="84">
        <f>IF(INDEX(lmic_raw_ub[],MATCH($A325,lmic_raw_ub[[setting]:[setting]],0), MATCH(AI$277, lmic_raw_ub[#Headers],0))=0, INDEX(regions_ub[], MATCH($D325, regions_ub[[setting]:[setting]],0), MATCH(AI$139, regions_ub[#Headers],0)),INDEX(lmic_raw_ub[],MATCH($A325,lmic_raw_ub[[setting]:[setting]],0), MATCH(AI$277, lmic_raw_ub[#Headers],0)))</f>
        <v>1.3242816709321511E-3</v>
      </c>
      <c r="AJ325" s="84">
        <f>IF(INDEX(lmic_raw_ub[],MATCH($A325,lmic_raw_ub[[setting]:[setting]],0), MATCH(AJ$277, lmic_raw_ub[#Headers],0))=0, INDEX(regions_ub[], MATCH($D325, regions_ub[[setting]:[setting]],0), MATCH(AJ$139, regions_ub[#Headers],0)),INDEX(lmic_raw_ub[],MATCH($A325,lmic_raw_ub[[setting]:[setting]],0), MATCH(AJ$277, lmic_raw_ub[#Headers],0)))</f>
        <v>1.5845613393588216E-3</v>
      </c>
      <c r="AK325" s="84">
        <f>IF(INDEX(lmic_raw_ub[],MATCH($A325,lmic_raw_ub[[setting]:[setting]],0), MATCH(AK$277, lmic_raw_ub[#Headers],0))=0, INDEX(regions_ub[], MATCH($D325, regions_ub[[setting]:[setting]],0), MATCH(AK$139, regions_ub[#Headers],0)),INDEX(lmic_raw_ub[],MATCH($A325,lmic_raw_ub[[setting]:[setting]],0), MATCH(AK$277, lmic_raw_ub[#Headers],0)))</f>
        <v>2.1356674449276064E-3</v>
      </c>
      <c r="AL325" s="84">
        <f>IF(INDEX(lmic_raw_ub[],MATCH($A325,lmic_raw_ub[[setting]:[setting]],0), MATCH(AL$277, lmic_raw_ub[#Headers],0))=0, INDEX(regions_ub[], MATCH($D325, regions_ub[[setting]:[setting]],0), MATCH(AL$139, regions_ub[#Headers],0)),INDEX(lmic_raw_ub[],MATCH($A325,lmic_raw_ub[[setting]:[setting]],0), MATCH(AL$277, lmic_raw_ub[#Headers],0)))</f>
        <v>3.096784905901118E-3</v>
      </c>
      <c r="AM325" s="84">
        <f>IF(INDEX(lmic_raw_ub[],MATCH($A325,lmic_raw_ub[[setting]:[setting]],0), MATCH(AM$277, lmic_raw_ub[#Headers],0))=0, INDEX(regions_ub[], MATCH($D325, regions_ub[[setting]:[setting]],0), MATCH(AM$139, regions_ub[#Headers],0)),INDEX(lmic_raw_ub[],MATCH($A325,lmic_raw_ub[[setting]:[setting]],0), MATCH(AM$277, lmic_raw_ub[#Headers],0)))</f>
        <v>4.7592093307938406E-3</v>
      </c>
      <c r="AN325" s="84">
        <f>IF(INDEX(lmic_raw_ub[],MATCH($A325,lmic_raw_ub[[setting]:[setting]],0), MATCH(AN$277, lmic_raw_ub[#Headers],0))=0, INDEX(regions_ub[], MATCH($D325, regions_ub[[setting]:[setting]],0), MATCH(AN$139, regions_ub[#Headers],0)),INDEX(lmic_raw_ub[],MATCH($A325,lmic_raw_ub[[setting]:[setting]],0), MATCH(AN$277, lmic_raw_ub[#Headers],0)))</f>
        <v>7.3155595528970061E-3</v>
      </c>
      <c r="AO325" s="84">
        <f>IF(INDEX(lmic_raw_ub[],MATCH($A325,lmic_raw_ub[[setting]:[setting]],0), MATCH(AO$277, lmic_raw_ub[#Headers],0))=0, INDEX(regions_ub[], MATCH($D325, regions_ub[[setting]:[setting]],0), MATCH(AO$139, regions_ub[#Headers],0)),INDEX(lmic_raw_ub[],MATCH($A325,lmic_raw_ub[[setting]:[setting]],0), MATCH(AO$277, lmic_raw_ub[#Headers],0)))</f>
        <v>1.1204530064487118E-2</v>
      </c>
      <c r="AP325" s="84">
        <f>IF(INDEX(lmic_raw_ub[],MATCH($A325,lmic_raw_ub[[setting]:[setting]],0), MATCH(AP$277, lmic_raw_ub[#Headers],0))=0, INDEX(regions_ub[], MATCH($D325, regions_ub[[setting]:[setting]],0), MATCH(AP$139, regions_ub[#Headers],0)),INDEX(lmic_raw_ub[],MATCH($A325,lmic_raw_ub[[setting]:[setting]],0), MATCH(AP$277, lmic_raw_ub[#Headers],0)))</f>
        <v>1.7373515471689582E-2</v>
      </c>
      <c r="AQ325" s="84">
        <f>IF(INDEX(lmic_raw_ub[],MATCH($A325,lmic_raw_ub[[setting]:[setting]],0), MATCH(AQ$277, lmic_raw_ub[#Headers],0))=0, INDEX(regions_ub[], MATCH($D325, regions_ub[[setting]:[setting]],0), MATCH(AQ$139, regions_ub[#Headers],0)),INDEX(lmic_raw_ub[],MATCH($A325,lmic_raw_ub[[setting]:[setting]],0), MATCH(AQ$277, lmic_raw_ub[#Headers],0)))</f>
        <v>2.6656383893143346E-2</v>
      </c>
      <c r="AR325" s="84">
        <f>IF(INDEX(lmic_raw_ub[],MATCH($A325,lmic_raw_ub[[setting]:[setting]],0), MATCH(AR$277, lmic_raw_ub[#Headers],0))=0, INDEX(regions_ub[], MATCH($D325, regions_ub[[setting]:[setting]],0), MATCH(AR$139, regions_ub[#Headers],0)),INDEX(lmic_raw_ub[],MATCH($A325,lmic_raw_ub[[setting]:[setting]],0), MATCH(AR$277, lmic_raw_ub[#Headers],0)))</f>
        <v>4.0478838095112171E-2</v>
      </c>
      <c r="AS325" s="84">
        <f>IF(INDEX(lmic_raw_ub[],MATCH($A325,lmic_raw_ub[[setting]:[setting]],0), MATCH(AS$277, lmic_raw_ub[#Headers],0))=0, INDEX(regions_ub[], MATCH($D325, regions_ub[[setting]:[setting]],0), MATCH(AS$139, regions_ub[#Headers],0)),INDEX(lmic_raw_ub[],MATCH($A325,lmic_raw_ub[[setting]:[setting]],0), MATCH(AS$277, lmic_raw_ub[#Headers],0)))</f>
        <v>6.1951871626471283E-2</v>
      </c>
      <c r="AT325" s="84">
        <f>IF(INDEX(lmic_raw_ub[],MATCH($A325,lmic_raw_ub[[setting]:[setting]],0), MATCH(AT$277, lmic_raw_ub[#Headers],0))=0, INDEX(regions_ub[], MATCH($D325, regions_ub[[setting]:[setting]],0), MATCH(AT$139, regions_ub[#Headers],0)),INDEX(lmic_raw_ub[],MATCH($A325,lmic_raw_ub[[setting]:[setting]],0), MATCH(AT$277, lmic_raw_ub[#Headers],0)))</f>
        <v>9.1646826999831496E-2</v>
      </c>
      <c r="AU325" s="84">
        <f>IF(INDEX(lmic_raw_ub[],MATCH($A325,lmic_raw_ub[[setting]:[setting]],0), MATCH(AU$277, lmic_raw_ub[#Headers],0))=0, INDEX(regions_ub[], MATCH($D325, regions_ub[[setting]:[setting]],0), MATCH(AU$139, regions_ub[#Headers],0)),INDEX(lmic_raw_ub[],MATCH($A325,lmic_raw_ub[[setting]:[setting]],0), MATCH(AU$277, lmic_raw_ub[#Headers],0)))</f>
        <v>0.12670779569935195</v>
      </c>
      <c r="AV325" s="84">
        <f>IF(INDEX(lmic_raw_ub[],MATCH($A325,lmic_raw_ub[[setting]:[setting]],0), MATCH(AV$277, lmic_raw_ub[#Headers],0))=0, INDEX(regions_ub[], MATCH($D325, regions_ub[[setting]:[setting]],0), MATCH(AV$139, regions_ub[#Headers],0)),INDEX(lmic_raw_ub[],MATCH($A325,lmic_raw_ub[[setting]:[setting]],0), MATCH(AV$277, lmic_raw_ub[#Headers],0)))</f>
        <v>0.15898620186137613</v>
      </c>
      <c r="AW325" s="84">
        <f>IF(INDEX(lmic_raw_ub[],MATCH($A325,lmic_raw_ub[[setting]:[setting]],0), MATCH(AW$277, lmic_raw_ub[#Headers],0))=0, INDEX(regions_ub[], MATCH($D325, regions_ub[[setting]:[setting]],0), MATCH(AW$139, regions_ub[#Headers],0)),INDEX(lmic_raw_ub[],MATCH($A325,lmic_raw_ub[[setting]:[setting]],0), MATCH(AW$277, lmic_raw_ub[#Headers],0)))</f>
        <v>0.18328439760721746</v>
      </c>
      <c r="AX325" s="84">
        <f>IF(INDEX(lmic_raw_ub[],MATCH($A325,lmic_raw_ub[[setting]:[setting]],0), MATCH(AX$277, lmic_raw_ub[#Headers],0))=0, INDEX(regions_ub[], MATCH($D325, regions_ub[[setting]:[setting]],0), MATCH(AX$139, regions_ub[#Headers],0)),INDEX(lmic_raw_ub[],MATCH($A325,lmic_raw_ub[[setting]:[setting]],0), MATCH(AX$277, lmic_raw_ub[#Headers],0)))</f>
        <v>76.012650000000008</v>
      </c>
      <c r="AY325" s="33" t="str">
        <f>IF(VLOOKUP(lmics_ub[[#This Row],[setting]],lmic_raw_ub[],11,FALSE)=0, "Yes", "No")</f>
        <v>No</v>
      </c>
    </row>
    <row r="326" spans="1:51" x14ac:dyDescent="0.25">
      <c r="A326" s="109" t="s">
        <v>256</v>
      </c>
      <c r="B326" s="101" t="s">
        <v>432</v>
      </c>
      <c r="C326" s="102">
        <v>320</v>
      </c>
      <c r="D326" s="82" t="s">
        <v>679</v>
      </c>
      <c r="E326" s="82" t="s">
        <v>604</v>
      </c>
      <c r="F326" s="82" t="s">
        <v>665</v>
      </c>
      <c r="G326" s="82" t="s">
        <v>676</v>
      </c>
      <c r="J326" s="84">
        <f>IF(INDEX(lmic_raw_ub[],MATCH($A326,lmic_raw_ub[[setting]:[setting]],0), MATCH(J$277, lmic_raw_ub[#Headers],0))=0, INDEX(regions_ub[], MATCH($D326, regions_ub[[setting]:[setting]],0), MATCH(J$139, regions_ub[#Headers],0)),INDEX(lmic_raw_ub[],MATCH($A326,lmic_raw_ub[[setting]:[setting]],0), MATCH(J$277, lmic_raw_ub[#Headers],0)))</f>
        <v>0.68250000000000011</v>
      </c>
      <c r="K326" s="84">
        <f>IF(INDEX(lmic_raw_ub[],MATCH($A326,lmic_raw_ub[[setting]:[setting]],0), MATCH(K$277, lmic_raw_ub[#Headers],0))=0, INDEX(regions_ub[], MATCH($D326, regions_ub[[setting]:[setting]],0), MATCH(K$139, regions_ub[#Headers],0)),INDEX(lmic_raw_ub[],MATCH($A326,lmic_raw_ub[[setting]:[setting]],0), MATCH(K$277, lmic_raw_ub[#Headers],0)))</f>
        <v>0.504</v>
      </c>
      <c r="L326" s="84">
        <f>IF(INDEX(lmic_raw_ub[],MATCH($A326,lmic_raw_ub[[setting]:[setting]],0), MATCH(L$277, lmic_raw_ub[#Headers],0))=0, INDEX(regions_ub[], MATCH($D326, regions_ub[[setting]:[setting]],0), MATCH(L$139, regions_ub[#Headers],0)),INDEX(lmic_raw_ub[],MATCH($A326,lmic_raw_ub[[setting]:[setting]],0), MATCH(L$277, lmic_raw_ub[#Headers],0)))</f>
        <v>0.90300000000000002</v>
      </c>
      <c r="M326" s="84">
        <f>IF(INDEX(lmic_raw_ub[],MATCH($A326,lmic_raw_ub[[setting]:[setting]],0), MATCH(M$277, lmic_raw_ub[#Headers],0))=0, INDEX(regions_ub[], MATCH($D326, regions_ub[[setting]:[setting]],0), MATCH(M$139, regions_ub[#Headers],0)),INDEX(lmic_raw_ub[],MATCH($A326,lmic_raw_ub[[setting]:[setting]],0), MATCH(M$277, lmic_raw_ub[#Headers],0)))</f>
        <v>2.5000000000000001E-3</v>
      </c>
      <c r="N326" s="84">
        <f>IF(INDEX(lmic_raw_ub[],MATCH($A326,lmic_raw_ub[[setting]:[setting]],0), MATCH(N$277, lmic_raw_ub[#Headers],0))=0, INDEX(regions_ub[], MATCH($D326, regions_ub[[setting]:[setting]],0), MATCH(N$139, regions_ub[#Headers],0)),INDEX(lmic_raw_ub[],MATCH($A326,lmic_raw_ub[[setting]:[setting]],0), MATCH(N$277, lmic_raw_ub[#Headers],0)))</f>
        <v>0.42950000000000005</v>
      </c>
      <c r="O326" s="84">
        <f>IF(INDEX(lmic_raw_ub[],MATCH($A326,lmic_raw_ub[[setting]:[setting]],0), MATCH(O$277, lmic_raw_ub[#Headers],0))=0, INDEX(regions_ub[], MATCH($D326, regions_ub[[setting]:[setting]],0), MATCH(O$139, regions_ub[#Headers],0)),INDEX(lmic_raw_ub[],MATCH($A326,lmic_raw_ub[[setting]:[setting]],0), MATCH(O$277, lmic_raw_ub[#Headers],0)))</f>
        <v>0.9</v>
      </c>
      <c r="P326" s="84">
        <f>IF(INDEX(lmic_raw_ub[],MATCH($A326,lmic_raw_ub[[setting]:[setting]],0), MATCH(P$277, lmic_raw_ub[#Headers],0))=0, INDEX(regions_ub[], MATCH($D326, regions_ub[[setting]:[setting]],0), MATCH(P$139, regions_ub[#Headers],0)),INDEX(lmic_raw_ub[],MATCH($A326,lmic_raw_ub[[setting]:[setting]],0), MATCH(P$277, lmic_raw_ub[#Headers],0)))</f>
        <v>0.3</v>
      </c>
      <c r="Q326" s="84">
        <f>IF(INDEX(lmic_raw_ub[],MATCH($A326,lmic_raw_ub[[setting]:[setting]],0), MATCH(Q$277, lmic_raw_ub[#Headers],0))=0, INDEX(regions_ub[], MATCH($D326, regions_ub[[setting]:[setting]],0), MATCH(Q$139, regions_ub[#Headers],0)),INDEX(lmic_raw_ub[],MATCH($A326,lmic_raw_ub[[setting]:[setting]],0), MATCH(Q$277, lmic_raw_ub[#Headers],0)))</f>
        <v>5.8444905941227345</v>
      </c>
      <c r="R326" s="84">
        <f>IF(INDEX(lmic_raw_ub[],MATCH($A326,lmic_raw_ub[[setting]:[setting]],0), MATCH(R$277, lmic_raw_ub[#Headers],0))=0, INDEX(regions_ub[], MATCH($D326, regions_ub[[setting]:[setting]],0), MATCH(R$139, regions_ub[#Headers],0)),INDEX(lmic_raw_ub[],MATCH($A326,lmic_raw_ub[[setting]:[setting]],0), MATCH(R$277, lmic_raw_ub[#Headers],0)))</f>
        <v>91.228094999999996</v>
      </c>
      <c r="S326" s="84">
        <f>IF(INDEX(lmic_raw_ub[],MATCH($A326,lmic_raw_ub[[setting]:[setting]],0), MATCH(S$277, lmic_raw_ub[#Headers],0))=0, INDEX(regions_ub[], MATCH($D326, regions_ub[[setting]:[setting]],0), MATCH(S$139, regions_ub[#Headers],0)),INDEX(lmic_raw_ub[],MATCH($A326,lmic_raw_ub[[setting]:[setting]],0), MATCH(S$277, lmic_raw_ub[#Headers],0)))</f>
        <v>141.35719500000002</v>
      </c>
      <c r="T326" s="84">
        <f>IF(INDEX(lmic_raw_ub[],MATCH($A326,lmic_raw_ub[[setting]:[setting]],0), MATCH(T$277, lmic_raw_ub[#Headers],0))=0, INDEX(regions_ub[], MATCH($D326, regions_ub[[setting]:[setting]],0), MATCH(T$139, regions_ub[#Headers],0)),INDEX(lmic_raw_ub[],MATCH($A326,lmic_raw_ub[[setting]:[setting]],0), MATCH(T$277, lmic_raw_ub[#Headers],0)))</f>
        <v>141.35719500000002</v>
      </c>
      <c r="U326" s="84">
        <f>IF(INDEX(lmic_raw_ub[],MATCH($A326,lmic_raw_ub[[setting]:[setting]],0), MATCH(U$277, lmic_raw_ub[#Headers],0))=0, INDEX(regions_ub[], MATCH($D326, regions_ub[[setting]:[setting]],0), MATCH(U$139, regions_ub[#Headers],0)),INDEX(lmic_raw_ub[],MATCH($A326,lmic_raw_ub[[setting]:[setting]],0), MATCH(U$277, lmic_raw_ub[#Headers],0)))</f>
        <v>141.35719500000002</v>
      </c>
      <c r="V326" s="84">
        <f>IF(INDEX(lmic_raw_ub[],MATCH($A326,lmic_raw_ub[[setting]:[setting]],0), MATCH(V$277, lmic_raw_ub[#Headers],0))=0, INDEX(regions_ub[], MATCH($D326, regions_ub[[setting]:[setting]],0), MATCH(V$139, regions_ub[#Headers],0)),INDEX(lmic_raw_ub[],MATCH($A326,lmic_raw_ub[[setting]:[setting]],0), MATCH(V$277, lmic_raw_ub[#Headers],0)))</f>
        <v>6.8133843429323955</v>
      </c>
      <c r="W326" s="84">
        <f>IF(INDEX(lmic_raw_ub[],MATCH($A326,lmic_raw_ub[[setting]:[setting]],0), MATCH(W$277, lmic_raw_ub[#Headers],0))=0, INDEX(regions_ub[], MATCH($D326, regions_ub[[setting]:[setting]],0), MATCH(W$139, regions_ub[#Headers],0)),INDEX(lmic_raw_ub[],MATCH($A326,lmic_raw_ub[[setting]:[setting]],0), MATCH(W$277, lmic_raw_ub[#Headers],0)))</f>
        <v>6.8362743429323958</v>
      </c>
      <c r="X326" s="84">
        <f>IF(INDEX(lmic_raw_ub[],MATCH($A326,lmic_raw_ub[[setting]:[setting]],0), MATCH(X$277, lmic_raw_ub[#Headers],0))=0, INDEX(regions_ub[], MATCH($D326, regions_ub[[setting]:[setting]],0), MATCH(X$139, regions_ub[#Headers],0)),INDEX(lmic_raw_ub[],MATCH($A326,lmic_raw_ub[[setting]:[setting]],0), MATCH(X$277, lmic_raw_ub[#Headers],0)))</f>
        <v>6.2996700615128622</v>
      </c>
      <c r="Y326" s="84">
        <f>IF(INDEX(lmic_raw_ub[],MATCH($A326,lmic_raw_ub[[setting]:[setting]],0), MATCH(Y$277, lmic_raw_ub[#Headers],0))=0, INDEX(regions_ub[], MATCH($D326, regions_ub[[setting]:[setting]],0), MATCH(Y$139, regions_ub[#Headers],0)),INDEX(lmic_raw_ub[],MATCH($A326,lmic_raw_ub[[setting]:[setting]],0), MATCH(Y$277, lmic_raw_ub[#Headers],0)))</f>
        <v>6.3225600615128625</v>
      </c>
      <c r="Z326" s="84">
        <f>IF(INDEX(lmic_raw_ub[],MATCH($A326,lmic_raw_ub[[setting]:[setting]],0), MATCH(Z$277, lmic_raw_ub[#Headers],0))=0, INDEX(regions_ub[], MATCH($D326, regions_ub[[setting]:[setting]],0), MATCH(Z$139, regions_ub[#Headers],0)),INDEX(lmic_raw_ub[],MATCH($A326,lmic_raw_ub[[setting]:[setting]],0), MATCH(Z$277, lmic_raw_ub[#Headers],0)))</f>
        <v>6.303826977887919</v>
      </c>
      <c r="AA326" s="84">
        <f>IF(INDEX(lmic_raw_ub[],MATCH($A326,lmic_raw_ub[[setting]:[setting]],0), MATCH(AA$277, lmic_raw_ub[#Headers],0))=0, INDEX(regions_ub[], MATCH($D326, regions_ub[[setting]:[setting]],0), MATCH(AA$139, regions_ub[#Headers],0)),INDEX(lmic_raw_ub[],MATCH($A326,lmic_raw_ub[[setting]:[setting]],0), MATCH(AA$277, lmic_raw_ub[#Headers],0)))</f>
        <v>7.0860687779964842</v>
      </c>
      <c r="AB326" s="84">
        <f>IF(INDEX(lmic_raw_ub[],MATCH($A326,lmic_raw_ub[[setting]:[setting]],0), MATCH(AB$277, lmic_raw_ub[#Headers],0))=0, INDEX(regions_ub[], MATCH($D326, regions_ub[[setting]:[setting]],0), MATCH(AB$139, regions_ub[#Headers],0)),INDEX(lmic_raw_ub[],MATCH($A326,lmic_raw_ub[[setting]:[setting]],0), MATCH(AB$277, lmic_raw_ub[#Headers],0)))</f>
        <v>7.1089587779964845</v>
      </c>
      <c r="AC326" s="84">
        <f>IF(INDEX(lmic_raw_ub[],MATCH($A326,lmic_raw_ub[[setting]:[setting]],0), MATCH(AC$277, lmic_raw_ub[#Headers],0))=0, INDEX(regions_ub[], MATCH($D326, regions_ub[[setting]:[setting]],0), MATCH(AC$139, regions_ub[#Headers],0)),INDEX(lmic_raw_ub[],MATCH($A326,lmic_raw_ub[[setting]:[setting]],0), MATCH(AC$277, lmic_raw_ub[#Headers],0)))</f>
        <v>2.1779299499999974E-2</v>
      </c>
      <c r="AD326" s="84">
        <f>IF(INDEX(lmic_raw_ub[],MATCH($A326,lmic_raw_ub[[setting]:[setting]],0), MATCH(AD$277, lmic_raw_ub[#Headers],0))=0, INDEX(regions_ub[], MATCH($D326, regions_ub[[setting]:[setting]],0), MATCH(AD$139, regions_ub[#Headers],0)),INDEX(lmic_raw_ub[],MATCH($A326,lmic_raw_ub[[setting]:[setting]],0), MATCH(AD$277, lmic_raw_ub[#Headers],0)))</f>
        <v>1.4368533604036313E-3</v>
      </c>
      <c r="AE326" s="84">
        <f>IF(INDEX(lmic_raw_ub[],MATCH($A326,lmic_raw_ub[[setting]:[setting]],0), MATCH(AE$277, lmic_raw_ub[#Headers],0))=0, INDEX(regions_ub[], MATCH($D326, regions_ub[[setting]:[setting]],0), MATCH(AE$139, regions_ub[#Headers],0)),INDEX(lmic_raw_ub[],MATCH($A326,lmic_raw_ub[[setting]:[setting]],0), MATCH(AE$277, lmic_raw_ub[#Headers],0)))</f>
        <v>3.8057552702510798E-4</v>
      </c>
      <c r="AF326" s="84">
        <f>IF(INDEX(lmic_raw_ub[],MATCH($A326,lmic_raw_ub[[setting]:[setting]],0), MATCH(AF$277, lmic_raw_ub[#Headers],0))=0, INDEX(regions_ub[], MATCH($D326, regions_ub[[setting]:[setting]],0), MATCH(AF$139, regions_ub[#Headers],0)),INDEX(lmic_raw_ub[],MATCH($A326,lmic_raw_ub[[setting]:[setting]],0), MATCH(AF$277, lmic_raw_ub[#Headers],0)))</f>
        <v>5.4743979077917667E-4</v>
      </c>
      <c r="AG326" s="84">
        <f>IF(INDEX(lmic_raw_ub[],MATCH($A326,lmic_raw_ub[[setting]:[setting]],0), MATCH(AG$277, lmic_raw_ub[#Headers],0))=0, INDEX(regions_ub[], MATCH($D326, regions_ub[[setting]:[setting]],0), MATCH(AG$139, regions_ub[#Headers],0)),INDEX(lmic_raw_ub[],MATCH($A326,lmic_raw_ub[[setting]:[setting]],0), MATCH(AG$277, lmic_raw_ub[#Headers],0)))</f>
        <v>1.1651380012004079E-3</v>
      </c>
      <c r="AH326" s="84">
        <f>IF(INDEX(lmic_raw_ub[],MATCH($A326,lmic_raw_ub[[setting]:[setting]],0), MATCH(AH$277, lmic_raw_ub[#Headers],0))=0, INDEX(regions_ub[], MATCH($D326, regions_ub[[setting]:[setting]],0), MATCH(AH$139, regions_ub[#Headers],0)),INDEX(lmic_raw_ub[],MATCH($A326,lmic_raw_ub[[setting]:[setting]],0), MATCH(AH$277, lmic_raw_ub[#Headers],0)))</f>
        <v>1.9953791610690889E-3</v>
      </c>
      <c r="AI326" s="84">
        <f>IF(INDEX(lmic_raw_ub[],MATCH($A326,lmic_raw_ub[[setting]:[setting]],0), MATCH(AI$277, lmic_raw_ub[#Headers],0))=0, INDEX(regions_ub[], MATCH($D326, regions_ub[[setting]:[setting]],0), MATCH(AI$139, regions_ub[#Headers],0)),INDEX(lmic_raw_ub[],MATCH($A326,lmic_raw_ub[[setting]:[setting]],0), MATCH(AI$277, lmic_raw_ub[#Headers],0)))</f>
        <v>2.6491094463751397E-3</v>
      </c>
      <c r="AJ326" s="84">
        <f>IF(INDEX(lmic_raw_ub[],MATCH($A326,lmic_raw_ub[[setting]:[setting]],0), MATCH(AJ$277, lmic_raw_ub[#Headers],0))=0, INDEX(regions_ub[], MATCH($D326, regions_ub[[setting]:[setting]],0), MATCH(AJ$139, regions_ub[#Headers],0)),INDEX(lmic_raw_ub[],MATCH($A326,lmic_raw_ub[[setting]:[setting]],0), MATCH(AJ$277, lmic_raw_ub[#Headers],0)))</f>
        <v>3.0562652959143679E-3</v>
      </c>
      <c r="AK326" s="84">
        <f>IF(INDEX(lmic_raw_ub[],MATCH($A326,lmic_raw_ub[[setting]:[setting]],0), MATCH(AK$277, lmic_raw_ub[#Headers],0))=0, INDEX(regions_ub[], MATCH($D326, regions_ub[[setting]:[setting]],0), MATCH(AK$139, regions_ub[#Headers],0)),INDEX(lmic_raw_ub[],MATCH($A326,lmic_raw_ub[[setting]:[setting]],0), MATCH(AK$277, lmic_raw_ub[#Headers],0)))</f>
        <v>3.3691071828936834E-3</v>
      </c>
      <c r="AL326" s="84">
        <f>IF(INDEX(lmic_raw_ub[],MATCH($A326,lmic_raw_ub[[setting]:[setting]],0), MATCH(AL$277, lmic_raw_ub[#Headers],0))=0, INDEX(regions_ub[], MATCH($D326, regions_ub[[setting]:[setting]],0), MATCH(AL$139, regions_ub[#Headers],0)),INDEX(lmic_raw_ub[],MATCH($A326,lmic_raw_ub[[setting]:[setting]],0), MATCH(AL$277, lmic_raw_ub[#Headers],0)))</f>
        <v>3.8254346742596992E-3</v>
      </c>
      <c r="AM326" s="84">
        <f>IF(INDEX(lmic_raw_ub[],MATCH($A326,lmic_raw_ub[[setting]:[setting]],0), MATCH(AM$277, lmic_raw_ub[#Headers],0))=0, INDEX(regions_ub[], MATCH($D326, regions_ub[[setting]:[setting]],0), MATCH(AM$139, regions_ub[#Headers],0)),INDEX(lmic_raw_ub[],MATCH($A326,lmic_raw_ub[[setting]:[setting]],0), MATCH(AM$277, lmic_raw_ub[#Headers],0)))</f>
        <v>4.6646731486246033E-3</v>
      </c>
      <c r="AN326" s="84">
        <f>IF(INDEX(lmic_raw_ub[],MATCH($A326,lmic_raw_ub[[setting]:[setting]],0), MATCH(AN$277, lmic_raw_ub[#Headers],0))=0, INDEX(regions_ub[], MATCH($D326, regions_ub[[setting]:[setting]],0), MATCH(AN$139, regions_ub[#Headers],0)),INDEX(lmic_raw_ub[],MATCH($A326,lmic_raw_ub[[setting]:[setting]],0), MATCH(AN$277, lmic_raw_ub[#Headers],0)))</f>
        <v>6.1341943719321846E-3</v>
      </c>
      <c r="AO326" s="84">
        <f>IF(INDEX(lmic_raw_ub[],MATCH($A326,lmic_raw_ub[[setting]:[setting]],0), MATCH(AO$277, lmic_raw_ub[#Headers],0))=0, INDEX(regions_ub[], MATCH($D326, regions_ub[[setting]:[setting]],0), MATCH(AO$139, regions_ub[#Headers],0)),INDEX(lmic_raw_ub[],MATCH($A326,lmic_raw_ub[[setting]:[setting]],0), MATCH(AO$277, lmic_raw_ub[#Headers],0)))</f>
        <v>8.5306310226280421E-3</v>
      </c>
      <c r="AP326" s="84">
        <f>IF(INDEX(lmic_raw_ub[],MATCH($A326,lmic_raw_ub[[setting]:[setting]],0), MATCH(AP$277, lmic_raw_ub[#Headers],0))=0, INDEX(regions_ub[], MATCH($D326, regions_ub[[setting]:[setting]],0), MATCH(AP$139, regions_ub[#Headers],0)),INDEX(lmic_raw_ub[],MATCH($A326,lmic_raw_ub[[setting]:[setting]],0), MATCH(AP$277, lmic_raw_ub[#Headers],0)))</f>
        <v>1.2375416405832939E-2</v>
      </c>
      <c r="AQ326" s="84">
        <f>IF(INDEX(lmic_raw_ub[],MATCH($A326,lmic_raw_ub[[setting]:[setting]],0), MATCH(AQ$277, lmic_raw_ub[#Headers],0))=0, INDEX(regions_ub[], MATCH($D326, regions_ub[[setting]:[setting]],0), MATCH(AQ$139, regions_ub[#Headers],0)),INDEX(lmic_raw_ub[],MATCH($A326,lmic_raw_ub[[setting]:[setting]],0), MATCH(AQ$277, lmic_raw_ub[#Headers],0)))</f>
        <v>1.6691641741807393E-2</v>
      </c>
      <c r="AR326" s="84">
        <f>IF(INDEX(lmic_raw_ub[],MATCH($A326,lmic_raw_ub[[setting]:[setting]],0), MATCH(AR$277, lmic_raw_ub[#Headers],0))=0, INDEX(regions_ub[], MATCH($D326, regions_ub[[setting]:[setting]],0), MATCH(AR$139, regions_ub[#Headers],0)),INDEX(lmic_raw_ub[],MATCH($A326,lmic_raw_ub[[setting]:[setting]],0), MATCH(AR$277, lmic_raw_ub[#Headers],0)))</f>
        <v>2.4050841673526578E-2</v>
      </c>
      <c r="AS326" s="84">
        <f>IF(INDEX(lmic_raw_ub[],MATCH($A326,lmic_raw_ub[[setting]:[setting]],0), MATCH(AS$277, lmic_raw_ub[#Headers],0))=0, INDEX(regions_ub[], MATCH($D326, regions_ub[[setting]:[setting]],0), MATCH(AS$139, regions_ub[#Headers],0)),INDEX(lmic_raw_ub[],MATCH($A326,lmic_raw_ub[[setting]:[setting]],0), MATCH(AS$277, lmic_raw_ub[#Headers],0)))</f>
        <v>4.0141232717967892E-2</v>
      </c>
      <c r="AT326" s="84">
        <f>IF(INDEX(lmic_raw_ub[],MATCH($A326,lmic_raw_ub[[setting]:[setting]],0), MATCH(AT$277, lmic_raw_ub[#Headers],0))=0, INDEX(regions_ub[], MATCH($D326, regions_ub[[setting]:[setting]],0), MATCH(AT$139, regions_ub[#Headers],0)),INDEX(lmic_raw_ub[],MATCH($A326,lmic_raw_ub[[setting]:[setting]],0), MATCH(AT$277, lmic_raw_ub[#Headers],0)))</f>
        <v>6.5766262303756068E-2</v>
      </c>
      <c r="AU326" s="84">
        <f>IF(INDEX(lmic_raw_ub[],MATCH($A326,lmic_raw_ub[[setting]:[setting]],0), MATCH(AU$277, lmic_raw_ub[#Headers],0))=0, INDEX(regions_ub[], MATCH($D326, regions_ub[[setting]:[setting]],0), MATCH(AU$139, regions_ub[#Headers],0)),INDEX(lmic_raw_ub[],MATCH($A326,lmic_raw_ub[[setting]:[setting]],0), MATCH(AU$277, lmic_raw_ub[#Headers],0)))</f>
        <v>9.795758438313594E-2</v>
      </c>
      <c r="AV326" s="84">
        <f>IF(INDEX(lmic_raw_ub[],MATCH($A326,lmic_raw_ub[[setting]:[setting]],0), MATCH(AV$277, lmic_raw_ub[#Headers],0))=0, INDEX(regions_ub[], MATCH($D326, regions_ub[[setting]:[setting]],0), MATCH(AV$139, regions_ub[#Headers],0)),INDEX(lmic_raw_ub[],MATCH($A326,lmic_raw_ub[[setting]:[setting]],0), MATCH(AV$277, lmic_raw_ub[#Headers],0)))</f>
        <v>0.1324538429464607</v>
      </c>
      <c r="AW326" s="84">
        <f>IF(INDEX(lmic_raw_ub[],MATCH($A326,lmic_raw_ub[[setting]:[setting]],0), MATCH(AW$277, lmic_raw_ub[#Headers],0))=0, INDEX(regions_ub[], MATCH($D326, regions_ub[[setting]:[setting]],0), MATCH(AW$139, regions_ub[#Headers],0)),INDEX(lmic_raw_ub[],MATCH($A326,lmic_raw_ub[[setting]:[setting]],0), MATCH(AW$277, lmic_raw_ub[#Headers],0)))</f>
        <v>0.16183257890731084</v>
      </c>
      <c r="AX326" s="84">
        <f>IF(INDEX(lmic_raw_ub[],MATCH($A326,lmic_raw_ub[[setting]:[setting]],0), MATCH(AX$277, lmic_raw_ub[#Headers],0))=0, INDEX(regions_ub[], MATCH($D326, regions_ub[[setting]:[setting]],0), MATCH(AX$139, regions_ub[#Headers],0)),INDEX(lmic_raw_ub[],MATCH($A326,lmic_raw_ub[[setting]:[setting]],0), MATCH(AX$277, lmic_raw_ub[#Headers],0)))</f>
        <v>77.632800000000017</v>
      </c>
      <c r="AY326" s="33" t="str">
        <f>IF(VLOOKUP(lmics_ub[[#This Row],[setting]],lmic_raw_ub[],11,FALSE)=0, "Yes", "No")</f>
        <v>No</v>
      </c>
    </row>
    <row r="327" spans="1:51" x14ac:dyDescent="0.25">
      <c r="A327" s="110" t="s">
        <v>144</v>
      </c>
      <c r="B327" s="104" t="s">
        <v>433</v>
      </c>
      <c r="C327" s="105">
        <v>324</v>
      </c>
      <c r="D327" s="84" t="s">
        <v>677</v>
      </c>
      <c r="E327" s="84" t="s">
        <v>591</v>
      </c>
      <c r="F327" s="84" t="s">
        <v>667</v>
      </c>
      <c r="G327" s="84" t="s">
        <v>674</v>
      </c>
      <c r="J327" s="84">
        <f>IF(INDEX(lmic_raw_ub[],MATCH($A327,lmic_raw_ub[[setting]:[setting]],0), MATCH(J$277, lmic_raw_ub[#Headers],0))=0, INDEX(regions_ub[], MATCH($D327, regions_ub[[setting]:[setting]],0), MATCH(J$139, regions_ub[#Headers],0)),INDEX(lmic_raw_ub[],MATCH($A327,lmic_raw_ub[[setting]:[setting]],0), MATCH(J$277, lmic_raw_ub[#Headers],0)))</f>
        <v>0.55230000000000001</v>
      </c>
      <c r="K327" s="84">
        <f>IF(INDEX(lmic_raw_ub[],MATCH($A327,lmic_raw_ub[[setting]:[setting]],0), MATCH(K$277, lmic_raw_ub[#Headers],0))=0, INDEX(regions_ub[], MATCH($D327, regions_ub[[setting]:[setting]],0), MATCH(K$139, regions_ub[#Headers],0)),INDEX(lmic_raw_ub[],MATCH($A327,lmic_raw_ub[[setting]:[setting]],0), MATCH(K$277, lmic_raw_ub[#Headers],0)))</f>
        <v>0.71433037619548323</v>
      </c>
      <c r="L327" s="84">
        <f>IF(INDEX(lmic_raw_ub[],MATCH($A327,lmic_raw_ub[[setting]:[setting]],0), MATCH(L$277, lmic_raw_ub[#Headers],0))=0, INDEX(regions_ub[], MATCH($D327, regions_ub[[setting]:[setting]],0), MATCH(L$139, regions_ub[#Headers],0)),INDEX(lmic_raw_ub[],MATCH($A327,lmic_raw_ub[[setting]:[setting]],0), MATCH(L$277, lmic_raw_ub[#Headers],0)))</f>
        <v>0.49349999999999999</v>
      </c>
      <c r="M327" s="84">
        <f>IF(INDEX(lmic_raw_ub[],MATCH($A327,lmic_raw_ub[[setting]:[setting]],0), MATCH(M$277, lmic_raw_ub[#Headers],0))=0, INDEX(regions_ub[], MATCH($D327, regions_ub[[setting]:[setting]],0), MATCH(M$139, regions_ub[#Headers],0)),INDEX(lmic_raw_ub[],MATCH($A327,lmic_raw_ub[[setting]:[setting]],0), MATCH(M$277, lmic_raw_ub[#Headers],0)))</f>
        <v>0.21789999999999998</v>
      </c>
      <c r="N327" s="84">
        <f>IF(INDEX(lmic_raw_ub[],MATCH($A327,lmic_raw_ub[[setting]:[setting]],0), MATCH(N$277, lmic_raw_ub[#Headers],0))=0, INDEX(regions_ub[], MATCH($D327, regions_ub[[setting]:[setting]],0), MATCH(N$139, regions_ub[#Headers],0)),INDEX(lmic_raw_ub[],MATCH($A327,lmic_raw_ub[[setting]:[setting]],0), MATCH(N$277, lmic_raw_ub[#Headers],0)))</f>
        <v>0.41070000000000001</v>
      </c>
      <c r="O327" s="84">
        <f>IF(INDEX(lmic_raw_ub[],MATCH($A327,lmic_raw_ub[[setting]:[setting]],0), MATCH(O$277, lmic_raw_ub[#Headers],0))=0, INDEX(regions_ub[], MATCH($D327, regions_ub[[setting]:[setting]],0), MATCH(O$139, regions_ub[#Headers],0)),INDEX(lmic_raw_ub[],MATCH($A327,lmic_raw_ub[[setting]:[setting]],0), MATCH(O$277, lmic_raw_ub[#Headers],0)))</f>
        <v>0.74399999999999999</v>
      </c>
      <c r="P327" s="84">
        <f>IF(INDEX(lmic_raw_ub[],MATCH($A327,lmic_raw_ub[[setting]:[setting]],0), MATCH(P$277, lmic_raw_ub[#Headers],0))=0, INDEX(regions_ub[], MATCH($D327, regions_ub[[setting]:[setting]],0), MATCH(P$139, regions_ub[#Headers],0)),INDEX(lmic_raw_ub[],MATCH($A327,lmic_raw_ub[[setting]:[setting]],0), MATCH(P$277, lmic_raw_ub[#Headers],0)))</f>
        <v>0.13300000000000001</v>
      </c>
      <c r="Q327" s="84">
        <f>IF(INDEX(lmic_raw_ub[],MATCH($A327,lmic_raw_ub[[setting]:[setting]],0), MATCH(Q$277, lmic_raw_ub[#Headers],0))=0, INDEX(regions_ub[], MATCH($D327, regions_ub[[setting]:[setting]],0), MATCH(Q$139, regions_ub[#Headers],0)),INDEX(lmic_raw_ub[],MATCH($A327,lmic_raw_ub[[setting]:[setting]],0), MATCH(Q$277, lmic_raw_ub[#Headers],0)))</f>
        <v>2.7288649277212911</v>
      </c>
      <c r="R327" s="84">
        <f>IF(INDEX(lmic_raw_ub[],MATCH($A327,lmic_raw_ub[[setting]:[setting]],0), MATCH(R$277, lmic_raw_ub[#Headers],0))=0, INDEX(regions_ub[], MATCH($D327, regions_ub[[setting]:[setting]],0), MATCH(R$139, regions_ub[#Headers],0)),INDEX(lmic_raw_ub[],MATCH($A327,lmic_raw_ub[[setting]:[setting]],0), MATCH(R$277, lmic_raw_ub[#Headers],0)))</f>
        <v>31.416525000000004</v>
      </c>
      <c r="S327" s="84">
        <f>IF(INDEX(lmic_raw_ub[],MATCH($A327,lmic_raw_ub[[setting]:[setting]],0), MATCH(S$277, lmic_raw_ub[#Headers],0))=0, INDEX(regions_ub[], MATCH($D327, regions_ub[[setting]:[setting]],0), MATCH(S$139, regions_ub[#Headers],0)),INDEX(lmic_raw_ub[],MATCH($A327,lmic_raw_ub[[setting]:[setting]],0), MATCH(S$277, lmic_raw_ub[#Headers],0)))</f>
        <v>81.545625000000015</v>
      </c>
      <c r="T327" s="84">
        <f>IF(INDEX(lmic_raw_ub[],MATCH($A327,lmic_raw_ub[[setting]:[setting]],0), MATCH(T$277, lmic_raw_ub[#Headers],0))=0, INDEX(regions_ub[], MATCH($D327, regions_ub[[setting]:[setting]],0), MATCH(T$139, regions_ub[#Headers],0)),INDEX(lmic_raw_ub[],MATCH($A327,lmic_raw_ub[[setting]:[setting]],0), MATCH(T$277, lmic_raw_ub[#Headers],0)))</f>
        <v>81.545625000000015</v>
      </c>
      <c r="U327" s="84">
        <f>IF(INDEX(lmic_raw_ub[],MATCH($A327,lmic_raw_ub[[setting]:[setting]],0), MATCH(U$277, lmic_raw_ub[#Headers],0))=0, INDEX(regions_ub[], MATCH($D327, regions_ub[[setting]:[setting]],0), MATCH(U$139, regions_ub[#Headers],0)),INDEX(lmic_raw_ub[],MATCH($A327,lmic_raw_ub[[setting]:[setting]],0), MATCH(U$277, lmic_raw_ub[#Headers],0)))</f>
        <v>81.545625000000015</v>
      </c>
      <c r="V327" s="84">
        <f>IF(INDEX(lmic_raw_ub[],MATCH($A327,lmic_raw_ub[[setting]:[setting]],0), MATCH(V$277, lmic_raw_ub[#Headers],0))=0, INDEX(regions_ub[], MATCH($D327, regions_ub[[setting]:[setting]],0), MATCH(V$139, regions_ub[#Headers],0)),INDEX(lmic_raw_ub[],MATCH($A327,lmic_raw_ub[[setting]:[setting]],0), MATCH(V$277, lmic_raw_ub[#Headers],0)))</f>
        <v>2.9619865353081263</v>
      </c>
      <c r="W327" s="84">
        <f>IF(INDEX(lmic_raw_ub[],MATCH($A327,lmic_raw_ub[[setting]:[setting]],0), MATCH(W$277, lmic_raw_ub[#Headers],0))=0, INDEX(regions_ub[], MATCH($D327, regions_ub[[setting]:[setting]],0), MATCH(W$139, regions_ub[#Headers],0)),INDEX(lmic_raw_ub[],MATCH($A327,lmic_raw_ub[[setting]:[setting]],0), MATCH(W$277, lmic_raw_ub[#Headers],0)))</f>
        <v>8.0321215353081268</v>
      </c>
      <c r="X327" s="84">
        <f>IF(INDEX(lmic_raw_ub[],MATCH($A327,lmic_raw_ub[[setting]:[setting]],0), MATCH(X$277, lmic_raw_ub[#Headers],0))=0, INDEX(regions_ub[], MATCH($D327, regions_ub[[setting]:[setting]],0), MATCH(X$139, regions_ub[#Headers],0)),INDEX(lmic_raw_ub[],MATCH($A327,lmic_raw_ub[[setting]:[setting]],0), MATCH(X$277, lmic_raw_ub[#Headers],0)))</f>
        <v>2.4617872473948079</v>
      </c>
      <c r="Y327" s="84">
        <f>IF(INDEX(lmic_raw_ub[],MATCH($A327,lmic_raw_ub[[setting]:[setting]],0), MATCH(Y$277, lmic_raw_ub[#Headers],0))=0, INDEX(regions_ub[], MATCH($D327, regions_ub[[setting]:[setting]],0), MATCH(Y$139, regions_ub[#Headers],0)),INDEX(lmic_raw_ub[],MATCH($A327,lmic_raw_ub[[setting]:[setting]],0), MATCH(Y$277, lmic_raw_ub[#Headers],0)))</f>
        <v>7.5319222473948084</v>
      </c>
      <c r="Z327" s="84">
        <f>IF(INDEX(lmic_raw_ub[],MATCH($A327,lmic_raw_ub[[setting]:[setting]],0), MATCH(Z$277, lmic_raw_ub[#Headers],0))=0, INDEX(regions_ub[], MATCH($D327, regions_ub[[setting]:[setting]],0), MATCH(Z$139, regions_ub[#Headers],0)),INDEX(lmic_raw_ub[],MATCH($A327,lmic_raw_ub[[setting]:[setting]],0), MATCH(Z$277, lmic_raw_ub[#Headers],0)))</f>
        <v>7.5222303940178241</v>
      </c>
      <c r="AA327" s="84">
        <f>IF(INDEX(lmic_raw_ub[],MATCH($A327,lmic_raw_ub[[setting]:[setting]],0), MATCH(AA$277, lmic_raw_ub[#Headers],0))=0, INDEX(regions_ub[], MATCH($D327, regions_ub[[setting]:[setting]],0), MATCH(AA$139, regions_ub[#Headers],0)),INDEX(lmic_raw_ub[],MATCH($A327,lmic_raw_ub[[setting]:[setting]],0), MATCH(AA$277, lmic_raw_ub[#Headers],0)))</f>
        <v>3.2316031497603763</v>
      </c>
      <c r="AB327" s="84">
        <f>IF(INDEX(lmic_raw_ub[],MATCH($A327,lmic_raw_ub[[setting]:[setting]],0), MATCH(AB$277, lmic_raw_ub[#Headers],0))=0, INDEX(regions_ub[], MATCH($D327, regions_ub[[setting]:[setting]],0), MATCH(AB$139, regions_ub[#Headers],0)),INDEX(lmic_raw_ub[],MATCH($A327,lmic_raw_ub[[setting]:[setting]],0), MATCH(AB$277, lmic_raw_ub[#Headers],0)))</f>
        <v>8.3017381497603768</v>
      </c>
      <c r="AC327" s="84">
        <f>IF(INDEX(lmic_raw_ub[],MATCH($A327,lmic_raw_ub[[setting]:[setting]],0), MATCH(AC$277, lmic_raw_ub[#Headers],0))=0, INDEX(regions_ub[], MATCH($D327, regions_ub[[setting]:[setting]],0), MATCH(AC$139, regions_ub[#Headers],0)),INDEX(lmic_raw_ub[],MATCH($A327,lmic_raw_ub[[setting]:[setting]],0), MATCH(AC$277, lmic_raw_ub[#Headers],0)))</f>
        <v>5.424397649999993E-2</v>
      </c>
      <c r="AD327" s="84">
        <f>IF(INDEX(lmic_raw_ub[],MATCH($A327,lmic_raw_ub[[setting]:[setting]],0), MATCH(AD$277, lmic_raw_ub[#Headers],0))=0, INDEX(regions_ub[], MATCH($D327, regions_ub[[setting]:[setting]],0), MATCH(AD$139, regions_ub[#Headers],0)),INDEX(lmic_raw_ub[],MATCH($A327,lmic_raw_ub[[setting]:[setting]],0), MATCH(AD$277, lmic_raw_ub[#Headers],0)))</f>
        <v>8.0517139033405311E-3</v>
      </c>
      <c r="AE327" s="84">
        <f>IF(INDEX(lmic_raw_ub[],MATCH($A327,lmic_raw_ub[[setting]:[setting]],0), MATCH(AE$277, lmic_raw_ub[#Headers],0))=0, INDEX(regions_ub[], MATCH($D327, regions_ub[[setting]:[setting]],0), MATCH(AE$139, regions_ub[#Headers],0)),INDEX(lmic_raw_ub[],MATCH($A327,lmic_raw_ub[[setting]:[setting]],0), MATCH(AE$277, lmic_raw_ub[#Headers],0)))</f>
        <v>2.8907727086528189E-3</v>
      </c>
      <c r="AF327" s="84">
        <f>IF(INDEX(lmic_raw_ub[],MATCH($A327,lmic_raw_ub[[setting]:[setting]],0), MATCH(AF$277, lmic_raw_ub[#Headers],0))=0, INDEX(regions_ub[], MATCH($D327, regions_ub[[setting]:[setting]],0), MATCH(AF$139, regions_ub[#Headers],0)),INDEX(lmic_raw_ub[],MATCH($A327,lmic_raw_ub[[setting]:[setting]],0), MATCH(AF$277, lmic_raw_ub[#Headers],0)))</f>
        <v>1.703119158440099E-3</v>
      </c>
      <c r="AG327" s="84">
        <f>IF(INDEX(lmic_raw_ub[],MATCH($A327,lmic_raw_ub[[setting]:[setting]],0), MATCH(AG$277, lmic_raw_ub[#Headers],0))=0, INDEX(regions_ub[], MATCH($D327, regions_ub[[setting]:[setting]],0), MATCH(AG$139, regions_ub[#Headers],0)),INDEX(lmic_raw_ub[],MATCH($A327,lmic_raw_ub[[setting]:[setting]],0), MATCH(AG$277, lmic_raw_ub[#Headers],0)))</f>
        <v>2.5964443594545341E-3</v>
      </c>
      <c r="AH327" s="84">
        <f>IF(INDEX(lmic_raw_ub[],MATCH($A327,lmic_raw_ub[[setting]:[setting]],0), MATCH(AH$277, lmic_raw_ub[#Headers],0))=0, INDEX(regions_ub[], MATCH($D327, regions_ub[[setting]:[setting]],0), MATCH(AH$139, regions_ub[#Headers],0)),INDEX(lmic_raw_ub[],MATCH($A327,lmic_raw_ub[[setting]:[setting]],0), MATCH(AH$277, lmic_raw_ub[#Headers],0)))</f>
        <v>3.6383525749246336E-3</v>
      </c>
      <c r="AI327" s="84">
        <f>IF(INDEX(lmic_raw_ub[],MATCH($A327,lmic_raw_ub[[setting]:[setting]],0), MATCH(AI$277, lmic_raw_ub[#Headers],0))=0, INDEX(regions_ub[], MATCH($D327, regions_ub[[setting]:[setting]],0), MATCH(AI$139, regions_ub[#Headers],0)),INDEX(lmic_raw_ub[],MATCH($A327,lmic_raw_ub[[setting]:[setting]],0), MATCH(AI$277, lmic_raw_ub[#Headers],0)))</f>
        <v>3.9016798160823271E-3</v>
      </c>
      <c r="AJ327" s="84">
        <f>IF(INDEX(lmic_raw_ub[],MATCH($A327,lmic_raw_ub[[setting]:[setting]],0), MATCH(AJ$277, lmic_raw_ub[#Headers],0))=0, INDEX(regions_ub[], MATCH($D327, regions_ub[[setting]:[setting]],0), MATCH(AJ$139, regions_ub[#Headers],0)),INDEX(lmic_raw_ub[],MATCH($A327,lmic_raw_ub[[setting]:[setting]],0), MATCH(AJ$277, lmic_raw_ub[#Headers],0)))</f>
        <v>4.3056398854803193E-3</v>
      </c>
      <c r="AK327" s="84">
        <f>IF(INDEX(lmic_raw_ub[],MATCH($A327,lmic_raw_ub[[setting]:[setting]],0), MATCH(AK$277, lmic_raw_ub[#Headers],0))=0, INDEX(regions_ub[], MATCH($D327, regions_ub[[setting]:[setting]],0), MATCH(AK$139, regions_ub[#Headers],0)),INDEX(lmic_raw_ub[],MATCH($A327,lmic_raw_ub[[setting]:[setting]],0), MATCH(AK$277, lmic_raw_ub[#Headers],0)))</f>
        <v>4.9452078930670986E-3</v>
      </c>
      <c r="AL327" s="84">
        <f>IF(INDEX(lmic_raw_ub[],MATCH($A327,lmic_raw_ub[[setting]:[setting]],0), MATCH(AL$277, lmic_raw_ub[#Headers],0))=0, INDEX(regions_ub[], MATCH($D327, regions_ub[[setting]:[setting]],0), MATCH(AL$139, regions_ub[#Headers],0)),INDEX(lmic_raw_ub[],MATCH($A327,lmic_raw_ub[[setting]:[setting]],0), MATCH(AL$277, lmic_raw_ub[#Headers],0)))</f>
        <v>6.0183218453963632E-3</v>
      </c>
      <c r="AM327" s="84">
        <f>IF(INDEX(lmic_raw_ub[],MATCH($A327,lmic_raw_ub[[setting]:[setting]],0), MATCH(AM$277, lmic_raw_ub[#Headers],0))=0, INDEX(regions_ub[], MATCH($D327, regions_ub[[setting]:[setting]],0), MATCH(AM$139, regions_ub[#Headers],0)),INDEX(lmic_raw_ub[],MATCH($A327,lmic_raw_ub[[setting]:[setting]],0), MATCH(AM$277, lmic_raw_ub[#Headers],0)))</f>
        <v>7.4643935642659262E-3</v>
      </c>
      <c r="AN327" s="84">
        <f>IF(INDEX(lmic_raw_ub[],MATCH($A327,lmic_raw_ub[[setting]:[setting]],0), MATCH(AN$277, lmic_raw_ub[#Headers],0))=0, INDEX(regions_ub[], MATCH($D327, regions_ub[[setting]:[setting]],0), MATCH(AN$139, regions_ub[#Headers],0)),INDEX(lmic_raw_ub[],MATCH($A327,lmic_raw_ub[[setting]:[setting]],0), MATCH(AN$277, lmic_raw_ub[#Headers],0)))</f>
        <v>1.0485746465616855E-2</v>
      </c>
      <c r="AO327" s="84">
        <f>IF(INDEX(lmic_raw_ub[],MATCH($A327,lmic_raw_ub[[setting]:[setting]],0), MATCH(AO$277, lmic_raw_ub[#Headers],0))=0, INDEX(regions_ub[], MATCH($D327, regions_ub[[setting]:[setting]],0), MATCH(AO$139, regions_ub[#Headers],0)),INDEX(lmic_raw_ub[],MATCH($A327,lmic_raw_ub[[setting]:[setting]],0), MATCH(AO$277, lmic_raw_ub[#Headers],0)))</f>
        <v>1.4954558362932574E-2</v>
      </c>
      <c r="AP327" s="84">
        <f>IF(INDEX(lmic_raw_ub[],MATCH($A327,lmic_raw_ub[[setting]:[setting]],0), MATCH(AP$277, lmic_raw_ub[#Headers],0))=0, INDEX(regions_ub[], MATCH($D327, regions_ub[[setting]:[setting]],0), MATCH(AP$139, regions_ub[#Headers],0)),INDEX(lmic_raw_ub[],MATCH($A327,lmic_raw_ub[[setting]:[setting]],0), MATCH(AP$277, lmic_raw_ub[#Headers],0)))</f>
        <v>2.3498902756790042E-2</v>
      </c>
      <c r="AQ327" s="84">
        <f>IF(INDEX(lmic_raw_ub[],MATCH($A327,lmic_raw_ub[[setting]:[setting]],0), MATCH(AQ$277, lmic_raw_ub[#Headers],0))=0, INDEX(regions_ub[], MATCH($D327, regions_ub[[setting]:[setting]],0), MATCH(AQ$139, regions_ub[#Headers],0)),INDEX(lmic_raw_ub[],MATCH($A327,lmic_raw_ub[[setting]:[setting]],0), MATCH(AQ$277, lmic_raw_ub[#Headers],0)))</f>
        <v>3.6413878600653191E-2</v>
      </c>
      <c r="AR327" s="84">
        <f>IF(INDEX(lmic_raw_ub[],MATCH($A327,lmic_raw_ub[[setting]:[setting]],0), MATCH(AR$277, lmic_raw_ub[#Headers],0))=0, INDEX(regions_ub[], MATCH($D327, regions_ub[[setting]:[setting]],0), MATCH(AR$139, regions_ub[#Headers],0)),INDEX(lmic_raw_ub[],MATCH($A327,lmic_raw_ub[[setting]:[setting]],0), MATCH(AR$277, lmic_raw_ub[#Headers],0)))</f>
        <v>5.8433438655127345E-2</v>
      </c>
      <c r="AS327" s="84">
        <f>IF(INDEX(lmic_raw_ub[],MATCH($A327,lmic_raw_ub[[setting]:[setting]],0), MATCH(AS$277, lmic_raw_ub[#Headers],0))=0, INDEX(regions_ub[], MATCH($D327, regions_ub[[setting]:[setting]],0), MATCH(AS$139, regions_ub[#Headers],0)),INDEX(lmic_raw_ub[],MATCH($A327,lmic_raw_ub[[setting]:[setting]],0), MATCH(AS$277, lmic_raw_ub[#Headers],0)))</f>
        <v>8.9687753740723922E-2</v>
      </c>
      <c r="AT327" s="84">
        <f>IF(INDEX(lmic_raw_ub[],MATCH($A327,lmic_raw_ub[[setting]:[setting]],0), MATCH(AT$277, lmic_raw_ub[#Headers],0))=0, INDEX(regions_ub[], MATCH($D327, regions_ub[[setting]:[setting]],0), MATCH(AT$139, regions_ub[#Headers],0)),INDEX(lmic_raw_ub[],MATCH($A327,lmic_raw_ub[[setting]:[setting]],0), MATCH(AT$277, lmic_raw_ub[#Headers],0)))</f>
        <v>0.12784537400537241</v>
      </c>
      <c r="AU327" s="84">
        <f>IF(INDEX(lmic_raw_ub[],MATCH($A327,lmic_raw_ub[[setting]:[setting]],0), MATCH(AU$277, lmic_raw_ub[#Headers],0))=0, INDEX(regions_ub[], MATCH($D327, regions_ub[[setting]:[setting]],0), MATCH(AU$139, regions_ub[#Headers],0)),INDEX(lmic_raw_ub[],MATCH($A327,lmic_raw_ub[[setting]:[setting]],0), MATCH(AU$277, lmic_raw_ub[#Headers],0)))</f>
        <v>0.16246672435143339</v>
      </c>
      <c r="AV327" s="84">
        <f>IF(INDEX(lmic_raw_ub[],MATCH($A327,lmic_raw_ub[[setting]:[setting]],0), MATCH(AV$277, lmic_raw_ub[#Headers],0))=0, INDEX(regions_ub[], MATCH($D327, regions_ub[[setting]:[setting]],0), MATCH(AV$139, regions_ub[#Headers],0)),INDEX(lmic_raw_ub[],MATCH($A327,lmic_raw_ub[[setting]:[setting]],0), MATCH(AV$277, lmic_raw_ub[#Headers],0)))</f>
        <v>0.18605618074129321</v>
      </c>
      <c r="AW327" s="84">
        <f>IF(INDEX(lmic_raw_ub[],MATCH($A327,lmic_raw_ub[[setting]:[setting]],0), MATCH(AW$277, lmic_raw_ub[#Headers],0))=0, INDEX(regions_ub[], MATCH($D327, regions_ub[[setting]:[setting]],0), MATCH(AW$139, regions_ub[#Headers],0)),INDEX(lmic_raw_ub[],MATCH($A327,lmic_raw_ub[[setting]:[setting]],0), MATCH(AW$277, lmic_raw_ub[#Headers],0)))</f>
        <v>0.19741801182182186</v>
      </c>
      <c r="AX327" s="84">
        <f>IF(INDEX(lmic_raw_ub[],MATCH($A327,lmic_raw_ub[[setting]:[setting]],0), MATCH(AX$277, lmic_raw_ub[#Headers],0))=0, INDEX(regions_ub[], MATCH($D327, regions_ub[[setting]:[setting]],0), MATCH(AX$139, regions_ub[#Headers],0)),INDEX(lmic_raw_ub[],MATCH($A327,lmic_raw_ub[[setting]:[setting]],0), MATCH(AX$277, lmic_raw_ub[#Headers],0)))</f>
        <v>64.096199999999996</v>
      </c>
      <c r="AY327" s="33" t="str">
        <f>IF(VLOOKUP(lmics_ub[[#This Row],[setting]],lmic_raw_ub[],11,FALSE)=0, "Yes", "No")</f>
        <v>Yes</v>
      </c>
    </row>
    <row r="328" spans="1:51" x14ac:dyDescent="0.25">
      <c r="A328" s="109" t="s">
        <v>145</v>
      </c>
      <c r="B328" s="101" t="s">
        <v>434</v>
      </c>
      <c r="C328" s="102">
        <v>624</v>
      </c>
      <c r="D328" s="82" t="s">
        <v>677</v>
      </c>
      <c r="E328" s="82" t="s">
        <v>591</v>
      </c>
      <c r="F328" s="82" t="s">
        <v>667</v>
      </c>
      <c r="G328" s="82" t="s">
        <v>674</v>
      </c>
      <c r="J328" s="84">
        <f>IF(INDEX(lmic_raw_ub[],MATCH($A328,lmic_raw_ub[[setting]:[setting]],0), MATCH(J$277, lmic_raw_ub[#Headers],0))=0, INDEX(regions_ub[], MATCH($D328, regions_ub[[setting]:[setting]],0), MATCH(J$139, regions_ub[#Headers],0)),INDEX(lmic_raw_ub[],MATCH($A328,lmic_raw_ub[[setting]:[setting]],0), MATCH(J$277, lmic_raw_ub[#Headers],0)))</f>
        <v>0.46200000000000002</v>
      </c>
      <c r="K328" s="84">
        <f>IF(INDEX(lmic_raw_ub[],MATCH($A328,lmic_raw_ub[[setting]:[setting]],0), MATCH(K$277, lmic_raw_ub[#Headers],0))=0, INDEX(regions_ub[], MATCH($D328, regions_ub[[setting]:[setting]],0), MATCH(K$139, regions_ub[#Headers],0)),INDEX(lmic_raw_ub[],MATCH($A328,lmic_raw_ub[[setting]:[setting]],0), MATCH(K$277, lmic_raw_ub[#Headers],0)))</f>
        <v>0.71433037619548323</v>
      </c>
      <c r="L328" s="84">
        <f>IF(INDEX(lmic_raw_ub[],MATCH($A328,lmic_raw_ub[[setting]:[setting]],0), MATCH(L$277, lmic_raw_ub[#Headers],0))=0, INDEX(regions_ub[], MATCH($D328, regions_ub[[setting]:[setting]],0), MATCH(L$139, regions_ub[#Headers],0)),INDEX(lmic_raw_ub[],MATCH($A328,lmic_raw_ub[[setting]:[setting]],0), MATCH(L$277, lmic_raw_ub[#Headers],0)))</f>
        <v>0.88200000000000001</v>
      </c>
      <c r="M328" s="84">
        <f>IF(INDEX(lmic_raw_ub[],MATCH($A328,lmic_raw_ub[[setting]:[setting]],0), MATCH(M$277, lmic_raw_ub[#Headers],0))=0, INDEX(regions_ub[], MATCH($D328, regions_ub[[setting]:[setting]],0), MATCH(M$139, regions_ub[#Headers],0)),INDEX(lmic_raw_ub[],MATCH($A328,lmic_raw_ub[[setting]:[setting]],0), MATCH(M$277, lmic_raw_ub[#Headers],0)))</f>
        <v>0.3831</v>
      </c>
      <c r="N328" s="84">
        <f>IF(INDEX(lmic_raw_ub[],MATCH($A328,lmic_raw_ub[[setting]:[setting]],0), MATCH(N$277, lmic_raw_ub[#Headers],0))=0, INDEX(regions_ub[], MATCH($D328, regions_ub[[setting]:[setting]],0), MATCH(N$139, regions_ub[#Headers],0)),INDEX(lmic_raw_ub[],MATCH($A328,lmic_raw_ub[[setting]:[setting]],0), MATCH(N$277, lmic_raw_ub[#Headers],0)))</f>
        <v>0.41070000000000001</v>
      </c>
      <c r="O328" s="84">
        <f>IF(INDEX(lmic_raw_ub[],MATCH($A328,lmic_raw_ub[[setting]:[setting]],0), MATCH(O$277, lmic_raw_ub[#Headers],0))=0, INDEX(regions_ub[], MATCH($D328, regions_ub[[setting]:[setting]],0), MATCH(O$139, regions_ub[#Headers],0)),INDEX(lmic_raw_ub[],MATCH($A328,lmic_raw_ub[[setting]:[setting]],0), MATCH(O$277, lmic_raw_ub[#Headers],0)))</f>
        <v>0.74399999999999999</v>
      </c>
      <c r="P328" s="84">
        <f>IF(INDEX(lmic_raw_ub[],MATCH($A328,lmic_raw_ub[[setting]:[setting]],0), MATCH(P$277, lmic_raw_ub[#Headers],0))=0, INDEX(regions_ub[], MATCH($D328, regions_ub[[setting]:[setting]],0), MATCH(P$139, regions_ub[#Headers],0)),INDEX(lmic_raw_ub[],MATCH($A328,lmic_raw_ub[[setting]:[setting]],0), MATCH(P$277, lmic_raw_ub[#Headers],0)))</f>
        <v>0.13300000000000001</v>
      </c>
      <c r="Q328" s="84">
        <f>IF(INDEX(lmic_raw_ub[],MATCH($A328,lmic_raw_ub[[setting]:[setting]],0), MATCH(Q$277, lmic_raw_ub[#Headers],0))=0, INDEX(regions_ub[], MATCH($D328, regions_ub[[setting]:[setting]],0), MATCH(Q$139, regions_ub[#Headers],0)),INDEX(lmic_raw_ub[],MATCH($A328,lmic_raw_ub[[setting]:[setting]],0), MATCH(Q$277, lmic_raw_ub[#Headers],0)))</f>
        <v>4.8907647106941052</v>
      </c>
      <c r="R328" s="84">
        <f>IF(INDEX(lmic_raw_ub[],MATCH($A328,lmic_raw_ub[[setting]:[setting]],0), MATCH(R$277, lmic_raw_ub[#Headers],0))=0, INDEX(regions_ub[], MATCH($D328, regions_ub[[setting]:[setting]],0), MATCH(R$139, regions_ub[#Headers],0)),INDEX(lmic_raw_ub[],MATCH($A328,lmic_raw_ub[[setting]:[setting]],0), MATCH(R$277, lmic_raw_ub[#Headers],0)))</f>
        <v>31.416525000000004</v>
      </c>
      <c r="S328" s="84">
        <f>IF(INDEX(lmic_raw_ub[],MATCH($A328,lmic_raw_ub[[setting]:[setting]],0), MATCH(S$277, lmic_raw_ub[#Headers],0))=0, INDEX(regions_ub[], MATCH($D328, regions_ub[[setting]:[setting]],0), MATCH(S$139, regions_ub[#Headers],0)),INDEX(lmic_raw_ub[],MATCH($A328,lmic_raw_ub[[setting]:[setting]],0), MATCH(S$277, lmic_raw_ub[#Headers],0)))</f>
        <v>81.545625000000015</v>
      </c>
      <c r="T328" s="84">
        <f>IF(INDEX(lmic_raw_ub[],MATCH($A328,lmic_raw_ub[[setting]:[setting]],0), MATCH(T$277, lmic_raw_ub[#Headers],0))=0, INDEX(regions_ub[], MATCH($D328, regions_ub[[setting]:[setting]],0), MATCH(T$139, regions_ub[#Headers],0)),INDEX(lmic_raw_ub[],MATCH($A328,lmic_raw_ub[[setting]:[setting]],0), MATCH(T$277, lmic_raw_ub[#Headers],0)))</f>
        <v>81.545625000000015</v>
      </c>
      <c r="U328" s="84">
        <f>IF(INDEX(lmic_raw_ub[],MATCH($A328,lmic_raw_ub[[setting]:[setting]],0), MATCH(U$277, lmic_raw_ub[#Headers],0))=0, INDEX(regions_ub[], MATCH($D328, regions_ub[[setting]:[setting]],0), MATCH(U$139, regions_ub[#Headers],0)),INDEX(lmic_raw_ub[],MATCH($A328,lmic_raw_ub[[setting]:[setting]],0), MATCH(U$277, lmic_raw_ub[#Headers],0)))</f>
        <v>81.545625000000015</v>
      </c>
      <c r="V328" s="84">
        <f>IF(INDEX(lmic_raw_ub[],MATCH($A328,lmic_raw_ub[[setting]:[setting]],0), MATCH(V$277, lmic_raw_ub[#Headers],0))=0, INDEX(regions_ub[], MATCH($D328, regions_ub[[setting]:[setting]],0), MATCH(V$139, regions_ub[#Headers],0)),INDEX(lmic_raw_ub[],MATCH($A328,lmic_raw_ub[[setting]:[setting]],0), MATCH(V$277, lmic_raw_ub[#Headers],0)))</f>
        <v>7.2659938062968132</v>
      </c>
      <c r="W328" s="84">
        <f>IF(INDEX(lmic_raw_ub[],MATCH($A328,lmic_raw_ub[[setting]:[setting]],0), MATCH(W$277, lmic_raw_ub[#Headers],0))=0, INDEX(regions_ub[], MATCH($D328, regions_ub[[setting]:[setting]],0), MATCH(W$139, regions_ub[#Headers],0)),INDEX(lmic_raw_ub[],MATCH($A328,lmic_raw_ub[[setting]:[setting]],0), MATCH(W$277, lmic_raw_ub[#Headers],0)))</f>
        <v>12.336128806296813</v>
      </c>
      <c r="X328" s="84">
        <f>IF(INDEX(lmic_raw_ub[],MATCH($A328,lmic_raw_ub[[setting]:[setting]],0), MATCH(X$277, lmic_raw_ub[#Headers],0))=0, INDEX(regions_ub[], MATCH($D328, regions_ub[[setting]:[setting]],0), MATCH(X$139, regions_ub[#Headers],0)),INDEX(lmic_raw_ub[],MATCH($A328,lmic_raw_ub[[setting]:[setting]],0), MATCH(X$277, lmic_raw_ub[#Headers],0)))</f>
        <v>6.771044972457446</v>
      </c>
      <c r="Y328" s="84">
        <f>IF(INDEX(lmic_raw_ub[],MATCH($A328,lmic_raw_ub[[setting]:[setting]],0), MATCH(Y$277, lmic_raw_ub[#Headers],0))=0, INDEX(regions_ub[], MATCH($D328, regions_ub[[setting]:[setting]],0), MATCH(Y$139, regions_ub[#Headers],0)),INDEX(lmic_raw_ub[],MATCH($A328,lmic_raw_ub[[setting]:[setting]],0), MATCH(Y$277, lmic_raw_ub[#Headers],0)))</f>
        <v>11.841179972457446</v>
      </c>
      <c r="Z328" s="84">
        <f>IF(INDEX(lmic_raw_ub[],MATCH($A328,lmic_raw_ub[[setting]:[setting]],0), MATCH(Z$277, lmic_raw_ub[#Headers],0))=0, INDEX(regions_ub[], MATCH($D328, regions_ub[[setting]:[setting]],0), MATCH(Z$139, regions_ub[#Headers],0)),INDEX(lmic_raw_ub[],MATCH($A328,lmic_raw_ub[[setting]:[setting]],0), MATCH(Z$277, lmic_raw_ub[#Headers],0)))</f>
        <v>11.834897935893117</v>
      </c>
      <c r="AA328" s="84">
        <f>IF(INDEX(lmic_raw_ub[],MATCH($A328,lmic_raw_ub[[setting]:[setting]],0), MATCH(AA$277, lmic_raw_ub[#Headers],0))=0, INDEX(regions_ub[], MATCH($D328, regions_ub[[setting]:[setting]],0), MATCH(AA$139, regions_ub[#Headers],0)),INDEX(lmic_raw_ub[],MATCH($A328,lmic_raw_ub[[setting]:[setting]],0), MATCH(AA$277, lmic_raw_ub[#Headers],0)))</f>
        <v>7.5344185998856519</v>
      </c>
      <c r="AB328" s="84">
        <f>IF(INDEX(lmic_raw_ub[],MATCH($A328,lmic_raw_ub[[setting]:[setting]],0), MATCH(AB$277, lmic_raw_ub[#Headers],0))=0, INDEX(regions_ub[], MATCH($D328, regions_ub[[setting]:[setting]],0), MATCH(AB$139, regions_ub[#Headers],0)),INDEX(lmic_raw_ub[],MATCH($A328,lmic_raw_ub[[setting]:[setting]],0), MATCH(AB$277, lmic_raw_ub[#Headers],0)))</f>
        <v>12.604553599885651</v>
      </c>
      <c r="AC328" s="84">
        <f>IF(INDEX(lmic_raw_ub[],MATCH($A328,lmic_raw_ub[[setting]:[setting]],0), MATCH(AC$277, lmic_raw_ub[#Headers],0))=0, INDEX(regions_ub[], MATCH($D328, regions_ub[[setting]:[setting]],0), MATCH(AC$139, regions_ub[#Headers],0)),INDEX(lmic_raw_ub[],MATCH($A328,lmic_raw_ub[[setting]:[setting]],0), MATCH(AC$277, lmic_raw_ub[#Headers],0)))</f>
        <v>5.9993891999999979E-2</v>
      </c>
      <c r="AD328" s="84">
        <f>IF(INDEX(lmic_raw_ub[],MATCH($A328,lmic_raw_ub[[setting]:[setting]],0), MATCH(AD$277, lmic_raw_ub[#Headers],0))=0, INDEX(regions_ub[], MATCH($D328, regions_ub[[setting]:[setting]],0), MATCH(AD$139, regions_ub[#Headers],0)),INDEX(lmic_raw_ub[],MATCH($A328,lmic_raw_ub[[setting]:[setting]],0), MATCH(AD$277, lmic_raw_ub[#Headers],0)))</f>
        <v>7.0498760498556448E-3</v>
      </c>
      <c r="AE328" s="84">
        <f>IF(INDEX(lmic_raw_ub[],MATCH($A328,lmic_raw_ub[[setting]:[setting]],0), MATCH(AE$277, lmic_raw_ub[#Headers],0))=0, INDEX(regions_ub[], MATCH($D328, regions_ub[[setting]:[setting]],0), MATCH(AE$139, regions_ub[#Headers],0)),INDEX(lmic_raw_ub[],MATCH($A328,lmic_raw_ub[[setting]:[setting]],0), MATCH(AE$277, lmic_raw_ub[#Headers],0)))</f>
        <v>2.7742593026925961E-3</v>
      </c>
      <c r="AF328" s="84">
        <f>IF(INDEX(lmic_raw_ub[],MATCH($A328,lmic_raw_ub[[setting]:[setting]],0), MATCH(AF$277, lmic_raw_ub[#Headers],0))=0, INDEX(regions_ub[], MATCH($D328, regions_ub[[setting]:[setting]],0), MATCH(AF$139, regions_ub[#Headers],0)),INDEX(lmic_raw_ub[],MATCH($A328,lmic_raw_ub[[setting]:[setting]],0), MATCH(AF$277, lmic_raw_ub[#Headers],0)))</f>
        <v>1.9511884984040506E-3</v>
      </c>
      <c r="AG328" s="84">
        <f>IF(INDEX(lmic_raw_ub[],MATCH($A328,lmic_raw_ub[[setting]:[setting]],0), MATCH(AG$277, lmic_raw_ub[#Headers],0))=0, INDEX(regions_ub[], MATCH($D328, regions_ub[[setting]:[setting]],0), MATCH(AG$139, regions_ub[#Headers],0)),INDEX(lmic_raw_ub[],MATCH($A328,lmic_raw_ub[[setting]:[setting]],0), MATCH(AG$277, lmic_raw_ub[#Headers],0)))</f>
        <v>2.896362658566241E-3</v>
      </c>
      <c r="AH328" s="84">
        <f>IF(INDEX(lmic_raw_ub[],MATCH($A328,lmic_raw_ub[[setting]:[setting]],0), MATCH(AH$277, lmic_raw_ub[#Headers],0))=0, INDEX(regions_ub[], MATCH($D328, regions_ub[[setting]:[setting]],0), MATCH(AH$139, regions_ub[#Headers],0)),INDEX(lmic_raw_ub[],MATCH($A328,lmic_raw_ub[[setting]:[setting]],0), MATCH(AH$277, lmic_raw_ub[#Headers],0)))</f>
        <v>4.2707239403003442E-3</v>
      </c>
      <c r="AI328" s="84">
        <f>IF(INDEX(lmic_raw_ub[],MATCH($A328,lmic_raw_ub[[setting]:[setting]],0), MATCH(AI$277, lmic_raw_ub[#Headers],0))=0, INDEX(regions_ub[], MATCH($D328, regions_ub[[setting]:[setting]],0), MATCH(AI$139, regions_ub[#Headers],0)),INDEX(lmic_raw_ub[],MATCH($A328,lmic_raw_ub[[setting]:[setting]],0), MATCH(AI$277, lmic_raw_ub[#Headers],0)))</f>
        <v>5.396555867944311E-3</v>
      </c>
      <c r="AJ328" s="84">
        <f>IF(INDEX(lmic_raw_ub[],MATCH($A328,lmic_raw_ub[[setting]:[setting]],0), MATCH(AJ$277, lmic_raw_ub[#Headers],0))=0, INDEX(regions_ub[], MATCH($D328, regions_ub[[setting]:[setting]],0), MATCH(AJ$139, regions_ub[#Headers],0)),INDEX(lmic_raw_ub[],MATCH($A328,lmic_raw_ub[[setting]:[setting]],0), MATCH(AJ$277, lmic_raw_ub[#Headers],0)))</f>
        <v>6.5936793803368426E-3</v>
      </c>
      <c r="AK328" s="84">
        <f>IF(INDEX(lmic_raw_ub[],MATCH($A328,lmic_raw_ub[[setting]:[setting]],0), MATCH(AK$277, lmic_raw_ub[#Headers],0))=0, INDEX(regions_ub[], MATCH($D328, regions_ub[[setting]:[setting]],0), MATCH(AK$139, regions_ub[#Headers],0)),INDEX(lmic_raw_ub[],MATCH($A328,lmic_raw_ub[[setting]:[setting]],0), MATCH(AK$277, lmic_raw_ub[#Headers],0)))</f>
        <v>8.2372583866583467E-3</v>
      </c>
      <c r="AL328" s="84">
        <f>IF(INDEX(lmic_raw_ub[],MATCH($A328,lmic_raw_ub[[setting]:[setting]],0), MATCH(AL$277, lmic_raw_ub[#Headers],0))=0, INDEX(regions_ub[], MATCH($D328, regions_ub[[setting]:[setting]],0), MATCH(AL$139, regions_ub[#Headers],0)),INDEX(lmic_raw_ub[],MATCH($A328,lmic_raw_ub[[setting]:[setting]],0), MATCH(AL$277, lmic_raw_ub[#Headers],0)))</f>
        <v>9.984233390263976E-3</v>
      </c>
      <c r="AM328" s="84">
        <f>IF(INDEX(lmic_raw_ub[],MATCH($A328,lmic_raw_ub[[setting]:[setting]],0), MATCH(AM$277, lmic_raw_ub[#Headers],0))=0, INDEX(regions_ub[], MATCH($D328, regions_ub[[setting]:[setting]],0), MATCH(AM$139, regions_ub[#Headers],0)),INDEX(lmic_raw_ub[],MATCH($A328,lmic_raw_ub[[setting]:[setting]],0), MATCH(AM$277, lmic_raw_ub[#Headers],0)))</f>
        <v>1.1972046214426378E-2</v>
      </c>
      <c r="AN328" s="84">
        <f>IF(INDEX(lmic_raw_ub[],MATCH($A328,lmic_raw_ub[[setting]:[setting]],0), MATCH(AN$277, lmic_raw_ub[#Headers],0))=0, INDEX(regions_ub[], MATCH($D328, regions_ub[[setting]:[setting]],0), MATCH(AN$139, regions_ub[#Headers],0)),INDEX(lmic_raw_ub[],MATCH($A328,lmic_raw_ub[[setting]:[setting]],0), MATCH(AN$277, lmic_raw_ub[#Headers],0)))</f>
        <v>1.5585866714706033E-2</v>
      </c>
      <c r="AO328" s="84">
        <f>IF(INDEX(lmic_raw_ub[],MATCH($A328,lmic_raw_ub[[setting]:[setting]],0), MATCH(AO$277, lmic_raw_ub[#Headers],0))=0, INDEX(regions_ub[], MATCH($D328, regions_ub[[setting]:[setting]],0), MATCH(AO$139, regions_ub[#Headers],0)),INDEX(lmic_raw_ub[],MATCH($A328,lmic_raw_ub[[setting]:[setting]],0), MATCH(AO$277, lmic_raw_ub[#Headers],0)))</f>
        <v>1.9820299206392247E-2</v>
      </c>
      <c r="AP328" s="84">
        <f>IF(INDEX(lmic_raw_ub[],MATCH($A328,lmic_raw_ub[[setting]:[setting]],0), MATCH(AP$277, lmic_raw_ub[#Headers],0))=0, INDEX(regions_ub[], MATCH($D328, regions_ub[[setting]:[setting]],0), MATCH(AP$139, regions_ub[#Headers],0)),INDEX(lmic_raw_ub[],MATCH($A328,lmic_raw_ub[[setting]:[setting]],0), MATCH(AP$277, lmic_raw_ub[#Headers],0)))</f>
        <v>2.7901741904926045E-2</v>
      </c>
      <c r="AQ328" s="84">
        <f>IF(INDEX(lmic_raw_ub[],MATCH($A328,lmic_raw_ub[[setting]:[setting]],0), MATCH(AQ$277, lmic_raw_ub[#Headers],0))=0, INDEX(regions_ub[], MATCH($D328, regions_ub[[setting]:[setting]],0), MATCH(AQ$139, regions_ub[#Headers],0)),INDEX(lmic_raw_ub[],MATCH($A328,lmic_raw_ub[[setting]:[setting]],0), MATCH(AQ$277, lmic_raw_ub[#Headers],0)))</f>
        <v>4.0774328990910581E-2</v>
      </c>
      <c r="AR328" s="84">
        <f>IF(INDEX(lmic_raw_ub[],MATCH($A328,lmic_raw_ub[[setting]:[setting]],0), MATCH(AR$277, lmic_raw_ub[#Headers],0))=0, INDEX(regions_ub[], MATCH($D328, regions_ub[[setting]:[setting]],0), MATCH(AR$139, regions_ub[#Headers],0)),INDEX(lmic_raw_ub[],MATCH($A328,lmic_raw_ub[[setting]:[setting]],0), MATCH(AR$277, lmic_raw_ub[#Headers],0)))</f>
        <v>6.0690493984278303E-2</v>
      </c>
      <c r="AS328" s="84">
        <f>IF(INDEX(lmic_raw_ub[],MATCH($A328,lmic_raw_ub[[setting]:[setting]],0), MATCH(AS$277, lmic_raw_ub[#Headers],0))=0, INDEX(regions_ub[], MATCH($D328, regions_ub[[setting]:[setting]],0), MATCH(AS$139, regions_ub[#Headers],0)),INDEX(lmic_raw_ub[],MATCH($A328,lmic_raw_ub[[setting]:[setting]],0), MATCH(AS$277, lmic_raw_ub[#Headers],0)))</f>
        <v>8.8706089706367675E-2</v>
      </c>
      <c r="AT328" s="84">
        <f>IF(INDEX(lmic_raw_ub[],MATCH($A328,lmic_raw_ub[[setting]:[setting]],0), MATCH(AT$277, lmic_raw_ub[#Headers],0))=0, INDEX(regions_ub[], MATCH($D328, regions_ub[[setting]:[setting]],0), MATCH(AT$139, regions_ub[#Headers],0)),INDEX(lmic_raw_ub[],MATCH($A328,lmic_raw_ub[[setting]:[setting]],0), MATCH(AT$277, lmic_raw_ub[#Headers],0)))</f>
        <v>0.12680589056312347</v>
      </c>
      <c r="AU328" s="84">
        <f>IF(INDEX(lmic_raw_ub[],MATCH($A328,lmic_raw_ub[[setting]:[setting]],0), MATCH(AU$277, lmic_raw_ub[#Headers],0))=0, INDEX(regions_ub[], MATCH($D328, regions_ub[[setting]:[setting]],0), MATCH(AU$139, regions_ub[#Headers],0)),INDEX(lmic_raw_ub[],MATCH($A328,lmic_raw_ub[[setting]:[setting]],0), MATCH(AU$277, lmic_raw_ub[#Headers],0)))</f>
        <v>0.16634345042019608</v>
      </c>
      <c r="AV328" s="84">
        <f>IF(INDEX(lmic_raw_ub[],MATCH($A328,lmic_raw_ub[[setting]:[setting]],0), MATCH(AV$277, lmic_raw_ub[#Headers],0))=0, INDEX(regions_ub[], MATCH($D328, regions_ub[[setting]:[setting]],0), MATCH(AV$139, regions_ub[#Headers],0)),INDEX(lmic_raw_ub[],MATCH($A328,lmic_raw_ub[[setting]:[setting]],0), MATCH(AV$277, lmic_raw_ub[#Headers],0)))</f>
        <v>0.1935066490589358</v>
      </c>
      <c r="AW328" s="84">
        <f>IF(INDEX(lmic_raw_ub[],MATCH($A328,lmic_raw_ub[[setting]:[setting]],0), MATCH(AW$277, lmic_raw_ub[#Headers],0))=0, INDEX(regions_ub[], MATCH($D328, regions_ub[[setting]:[setting]],0), MATCH(AW$139, regions_ub[#Headers],0)),INDEX(lmic_raw_ub[],MATCH($A328,lmic_raw_ub[[setting]:[setting]],0), MATCH(AW$277, lmic_raw_ub[#Headers],0)))</f>
        <v>0.19933349476755366</v>
      </c>
      <c r="AX328" s="84">
        <f>IF(INDEX(lmic_raw_ub[],MATCH($A328,lmic_raw_ub[[setting]:[setting]],0), MATCH(AX$277, lmic_raw_ub[#Headers],0))=0, INDEX(regions_ub[], MATCH($D328, regions_ub[[setting]:[setting]],0), MATCH(AX$139, regions_ub[#Headers],0)),INDEX(lmic_raw_ub[],MATCH($A328,lmic_raw_ub[[setting]:[setting]],0), MATCH(AX$277, lmic_raw_ub[#Headers],0)))</f>
        <v>60.709950000000006</v>
      </c>
      <c r="AY328" s="33" t="str">
        <f>IF(VLOOKUP(lmics_ub[[#This Row],[setting]],lmic_raw_ub[],11,FALSE)=0, "Yes", "No")</f>
        <v>Yes</v>
      </c>
    </row>
    <row r="329" spans="1:51" x14ac:dyDescent="0.25">
      <c r="A329" s="110" t="s">
        <v>270</v>
      </c>
      <c r="B329" s="104" t="s">
        <v>435</v>
      </c>
      <c r="C329" s="105">
        <v>328</v>
      </c>
      <c r="D329" s="84" t="s">
        <v>679</v>
      </c>
      <c r="E329" s="84" t="s">
        <v>223</v>
      </c>
      <c r="F329" s="84" t="s">
        <v>665</v>
      </c>
      <c r="G329" s="84" t="s">
        <v>676</v>
      </c>
      <c r="J329" s="84">
        <f>IF(INDEX(lmic_raw_ub[],MATCH($A329,lmic_raw_ub[[setting]:[setting]],0), MATCH(J$277, lmic_raw_ub[#Headers],0))=0, INDEX(regions_ub[], MATCH($D329, regions_ub[[setting]:[setting]],0), MATCH(J$139, regions_ub[#Headers],0)),INDEX(lmic_raw_ub[],MATCH($A329,lmic_raw_ub[[setting]:[setting]],0), MATCH(J$277, lmic_raw_ub[#Headers],0)))</f>
        <v>0.97335000000000005</v>
      </c>
      <c r="K329" s="84">
        <f>IF(INDEX(lmic_raw_ub[],MATCH($A329,lmic_raw_ub[[setting]:[setting]],0), MATCH(K$277, lmic_raw_ub[#Headers],0))=0, INDEX(regions_ub[], MATCH($D329, regions_ub[[setting]:[setting]],0), MATCH(K$139, regions_ub[#Headers],0)),INDEX(lmic_raw_ub[],MATCH($A329,lmic_raw_ub[[setting]:[setting]],0), MATCH(K$277, lmic_raw_ub[#Headers],0)))</f>
        <v>0.78230516513860726</v>
      </c>
      <c r="L329" s="84">
        <f>IF(INDEX(lmic_raw_ub[],MATCH($A329,lmic_raw_ub[[setting]:[setting]],0), MATCH(L$277, lmic_raw_ub[#Headers],0))=0, INDEX(regions_ub[], MATCH($D329, regions_ub[[setting]:[setting]],0), MATCH(L$139, regions_ub[#Headers],0)),INDEX(lmic_raw_ub[],MATCH($A329,lmic_raw_ub[[setting]:[setting]],0), MATCH(L$277, lmic_raw_ub[#Headers],0)))</f>
        <v>0.99990000000000001</v>
      </c>
      <c r="M329" s="84">
        <f>IF(INDEX(lmic_raw_ub[],MATCH($A329,lmic_raw_ub[[setting]:[setting]],0), MATCH(M$277, lmic_raw_ub[#Headers],0))=0, INDEX(regions_ub[], MATCH($D329, regions_ub[[setting]:[setting]],0), MATCH(M$139, regions_ub[#Headers],0)),INDEX(lmic_raw_ub[],MATCH($A329,lmic_raw_ub[[setting]:[setting]],0), MATCH(M$277, lmic_raw_ub[#Headers],0)))</f>
        <v>0.3271</v>
      </c>
      <c r="N329" s="84">
        <f>IF(INDEX(lmic_raw_ub[],MATCH($A329,lmic_raw_ub[[setting]:[setting]],0), MATCH(N$277, lmic_raw_ub[#Headers],0))=0, INDEX(regions_ub[], MATCH($D329, regions_ub[[setting]:[setting]],0), MATCH(N$139, regions_ub[#Headers],0)),INDEX(lmic_raw_ub[],MATCH($A329,lmic_raw_ub[[setting]:[setting]],0), MATCH(N$277, lmic_raw_ub[#Headers],0)))</f>
        <v>0.43</v>
      </c>
      <c r="O329" s="84">
        <f>IF(INDEX(lmic_raw_ub[],MATCH($A329,lmic_raw_ub[[setting]:[setting]],0), MATCH(O$277, lmic_raw_ub[#Headers],0))=0, INDEX(regions_ub[], MATCH($D329, regions_ub[[setting]:[setting]],0), MATCH(O$139, regions_ub[#Headers],0)),INDEX(lmic_raw_ub[],MATCH($A329,lmic_raw_ub[[setting]:[setting]],0), MATCH(O$277, lmic_raw_ub[#Headers],0)))</f>
        <v>0.9</v>
      </c>
      <c r="P329" s="84">
        <f>IF(INDEX(lmic_raw_ub[],MATCH($A329,lmic_raw_ub[[setting]:[setting]],0), MATCH(P$277, lmic_raw_ub[#Headers],0))=0, INDEX(regions_ub[], MATCH($D329, regions_ub[[setting]:[setting]],0), MATCH(P$139, regions_ub[#Headers],0)),INDEX(lmic_raw_ub[],MATCH($A329,lmic_raw_ub[[setting]:[setting]],0), MATCH(P$277, lmic_raw_ub[#Headers],0)))</f>
        <v>0.3</v>
      </c>
      <c r="Q329" s="84">
        <f>IF(INDEX(lmic_raw_ub[],MATCH($A329,lmic_raw_ub[[setting]:[setting]],0), MATCH(Q$277, lmic_raw_ub[#Headers],0))=0, INDEX(regions_ub[], MATCH($D329, regions_ub[[setting]:[setting]],0), MATCH(Q$139, regions_ub[#Headers],0)),INDEX(lmic_raw_ub[],MATCH($A329,lmic_raw_ub[[setting]:[setting]],0), MATCH(Q$277, lmic_raw_ub[#Headers],0)))</f>
        <v>7.7761785072916298</v>
      </c>
      <c r="R329" s="84">
        <f>IF(INDEX(lmic_raw_ub[],MATCH($A329,lmic_raw_ub[[setting]:[setting]],0), MATCH(R$277, lmic_raw_ub[#Headers],0))=0, INDEX(regions_ub[], MATCH($D329, regions_ub[[setting]:[setting]],0), MATCH(R$139, regions_ub[#Headers],0)),INDEX(lmic_raw_ub[],MATCH($A329,lmic_raw_ub[[setting]:[setting]],0), MATCH(R$277, lmic_raw_ub[#Headers],0)))</f>
        <v>91.228094999999996</v>
      </c>
      <c r="S329" s="84">
        <f>IF(INDEX(lmic_raw_ub[],MATCH($A329,lmic_raw_ub[[setting]:[setting]],0), MATCH(S$277, lmic_raw_ub[#Headers],0))=0, INDEX(regions_ub[], MATCH($D329, regions_ub[[setting]:[setting]],0), MATCH(S$139, regions_ub[#Headers],0)),INDEX(lmic_raw_ub[],MATCH($A329,lmic_raw_ub[[setting]:[setting]],0), MATCH(S$277, lmic_raw_ub[#Headers],0)))</f>
        <v>141.35719500000002</v>
      </c>
      <c r="T329" s="84">
        <f>IF(INDEX(lmic_raw_ub[],MATCH($A329,lmic_raw_ub[[setting]:[setting]],0), MATCH(T$277, lmic_raw_ub[#Headers],0))=0, INDEX(regions_ub[], MATCH($D329, regions_ub[[setting]:[setting]],0), MATCH(T$139, regions_ub[#Headers],0)),INDEX(lmic_raw_ub[],MATCH($A329,lmic_raw_ub[[setting]:[setting]],0), MATCH(T$277, lmic_raw_ub[#Headers],0)))</f>
        <v>141.35719500000002</v>
      </c>
      <c r="U329" s="84">
        <f>IF(INDEX(lmic_raw_ub[],MATCH($A329,lmic_raw_ub[[setting]:[setting]],0), MATCH(U$277, lmic_raw_ub[#Headers],0))=0, INDEX(regions_ub[], MATCH($D329, regions_ub[[setting]:[setting]],0), MATCH(U$139, regions_ub[#Headers],0)),INDEX(lmic_raw_ub[],MATCH($A329,lmic_raw_ub[[setting]:[setting]],0), MATCH(U$277, lmic_raw_ub[#Headers],0)))</f>
        <v>141.35719500000002</v>
      </c>
      <c r="V329" s="84">
        <f>IF(INDEX(lmic_raw_ub[],MATCH($A329,lmic_raw_ub[[setting]:[setting]],0), MATCH(V$277, lmic_raw_ub[#Headers],0))=0, INDEX(regions_ub[], MATCH($D329, regions_ub[[setting]:[setting]],0), MATCH(V$139, regions_ub[#Headers],0)),INDEX(lmic_raw_ub[],MATCH($A329,lmic_raw_ub[[setting]:[setting]],0), MATCH(V$277, lmic_raw_ub[#Headers],0)))</f>
        <v>15.919856689289492</v>
      </c>
      <c r="W329" s="84">
        <f>IF(INDEX(lmic_raw_ub[],MATCH($A329,lmic_raw_ub[[setting]:[setting]],0), MATCH(W$277, lmic_raw_ub[#Headers],0))=0, INDEX(regions_ub[], MATCH($D329, regions_ub[[setting]:[setting]],0), MATCH(W$139, regions_ub[#Headers],0)),INDEX(lmic_raw_ub[],MATCH($A329,lmic_raw_ub[[setting]:[setting]],0), MATCH(W$277, lmic_raw_ub[#Headers],0)))</f>
        <v>15.942746689289493</v>
      </c>
      <c r="X329" s="84">
        <f>IF(INDEX(lmic_raw_ub[],MATCH($A329,lmic_raw_ub[[setting]:[setting]],0), MATCH(X$277, lmic_raw_ub[#Headers],0))=0, INDEX(regions_ub[], MATCH($D329, regions_ub[[setting]:[setting]],0), MATCH(X$139, regions_ub[#Headers],0)),INDEX(lmic_raw_ub[],MATCH($A329,lmic_raw_ub[[setting]:[setting]],0), MATCH(X$277, lmic_raw_ub[#Headers],0)))</f>
        <v>15.396320941048455</v>
      </c>
      <c r="Y329" s="84">
        <f>IF(INDEX(lmic_raw_ub[],MATCH($A329,lmic_raw_ub[[setting]:[setting]],0), MATCH(Y$277, lmic_raw_ub[#Headers],0))=0, INDEX(regions_ub[], MATCH($D329, regions_ub[[setting]:[setting]],0), MATCH(Y$139, regions_ub[#Headers],0)),INDEX(lmic_raw_ub[],MATCH($A329,lmic_raw_ub[[setting]:[setting]],0), MATCH(Y$277, lmic_raw_ub[#Headers],0)))</f>
        <v>15.419210941048455</v>
      </c>
      <c r="Z329" s="84">
        <f>IF(INDEX(lmic_raw_ub[],MATCH($A329,lmic_raw_ub[[setting]:[setting]],0), MATCH(Z$277, lmic_raw_ub[#Headers],0))=0, INDEX(regions_ub[], MATCH($D329, regions_ub[[setting]:[setting]],0), MATCH(Z$139, regions_ub[#Headers],0)),INDEX(lmic_raw_ub[],MATCH($A329,lmic_raw_ub[[setting]:[setting]],0), MATCH(Z$277, lmic_raw_ub[#Headers],0)))</f>
        <v>15.396409945532545</v>
      </c>
      <c r="AA329" s="84">
        <f>IF(INDEX(lmic_raw_ub[],MATCH($A329,lmic_raw_ub[[setting]:[setting]],0), MATCH(AA$277, lmic_raw_ub[#Headers],0))=0, INDEX(regions_ub[], MATCH($D329, regions_ub[[setting]:[setting]],0), MATCH(AA$139, regions_ub[#Headers],0)),INDEX(lmic_raw_ub[],MATCH($A329,lmic_raw_ub[[setting]:[setting]],0), MATCH(AA$277, lmic_raw_ub[#Headers],0)))</f>
        <v>16.194770537067669</v>
      </c>
      <c r="AB329" s="84">
        <f>IF(INDEX(lmic_raw_ub[],MATCH($A329,lmic_raw_ub[[setting]:[setting]],0), MATCH(AB$277, lmic_raw_ub[#Headers],0))=0, INDEX(regions_ub[], MATCH($D329, regions_ub[[setting]:[setting]],0), MATCH(AB$139, regions_ub[#Headers],0)),INDEX(lmic_raw_ub[],MATCH($A329,lmic_raw_ub[[setting]:[setting]],0), MATCH(AB$277, lmic_raw_ub[#Headers],0)))</f>
        <v>16.217660537067669</v>
      </c>
      <c r="AC329" s="84">
        <f>IF(INDEX(lmic_raw_ub[],MATCH($A329,lmic_raw_ub[[setting]:[setting]],0), MATCH(AC$277, lmic_raw_ub[#Headers],0))=0, INDEX(regions_ub[], MATCH($D329, regions_ub[[setting]:[setting]],0), MATCH(AC$139, regions_ub[#Headers],0)),INDEX(lmic_raw_ub[],MATCH($A329,lmic_raw_ub[[setting]:[setting]],0), MATCH(AC$277, lmic_raw_ub[#Headers],0)))</f>
        <v>2.8109665500000051E-2</v>
      </c>
      <c r="AD329" s="84">
        <f>IF(INDEX(lmic_raw_ub[],MATCH($A329,lmic_raw_ub[[setting]:[setting]],0), MATCH(AD$277, lmic_raw_ub[#Headers],0))=0, INDEX(regions_ub[], MATCH($D329, regions_ub[[setting]:[setting]],0), MATCH(AD$139, regions_ub[#Headers],0)),INDEX(lmic_raw_ub[],MATCH($A329,lmic_raw_ub[[setting]:[setting]],0), MATCH(AD$277, lmic_raw_ub[#Headers],0)))</f>
        <v>1.49086511396099E-3</v>
      </c>
      <c r="AE329" s="84">
        <f>IF(INDEX(lmic_raw_ub[],MATCH($A329,lmic_raw_ub[[setting]:[setting]],0), MATCH(AE$277, lmic_raw_ub[#Headers],0))=0, INDEX(regions_ub[], MATCH($D329, regions_ub[[setting]:[setting]],0), MATCH(AE$139, regions_ub[#Headers],0)),INDEX(lmic_raw_ub[],MATCH($A329,lmic_raw_ub[[setting]:[setting]],0), MATCH(AE$277, lmic_raw_ub[#Headers],0)))</f>
        <v>9.9295108010844803E-4</v>
      </c>
      <c r="AF329" s="84">
        <f>IF(INDEX(lmic_raw_ub[],MATCH($A329,lmic_raw_ub[[setting]:[setting]],0), MATCH(AF$277, lmic_raw_ub[#Headers],0))=0, INDEX(regions_ub[], MATCH($D329, regions_ub[[setting]:[setting]],0), MATCH(AF$139, regions_ub[#Headers],0)),INDEX(lmic_raw_ub[],MATCH($A329,lmic_raw_ub[[setting]:[setting]],0), MATCH(AF$277, lmic_raw_ub[#Headers],0)))</f>
        <v>8.1067507035916973E-4</v>
      </c>
      <c r="AG329" s="84">
        <f>IF(INDEX(lmic_raw_ub[],MATCH($A329,lmic_raw_ub[[setting]:[setting]],0), MATCH(AG$277, lmic_raw_ub[#Headers],0))=0, INDEX(regions_ub[], MATCH($D329, regions_ub[[setting]:[setting]],0), MATCH(AG$139, regions_ub[#Headers],0)),INDEX(lmic_raw_ub[],MATCH($A329,lmic_raw_ub[[setting]:[setting]],0), MATCH(AG$277, lmic_raw_ub[#Headers],0)))</f>
        <v>1.8118492092341015E-3</v>
      </c>
      <c r="AH329" s="84">
        <f>IF(INDEX(lmic_raw_ub[],MATCH($A329,lmic_raw_ub[[setting]:[setting]],0), MATCH(AH$277, lmic_raw_ub[#Headers],0))=0, INDEX(regions_ub[], MATCH($D329, regions_ub[[setting]:[setting]],0), MATCH(AH$139, regions_ub[#Headers],0)),INDEX(lmic_raw_ub[],MATCH($A329,lmic_raw_ub[[setting]:[setting]],0), MATCH(AH$277, lmic_raw_ub[#Headers],0)))</f>
        <v>2.9545207686026654E-3</v>
      </c>
      <c r="AI329" s="84">
        <f>IF(INDEX(lmic_raw_ub[],MATCH($A329,lmic_raw_ub[[setting]:[setting]],0), MATCH(AI$277, lmic_raw_ub[#Headers],0))=0, INDEX(regions_ub[], MATCH($D329, regions_ub[[setting]:[setting]],0), MATCH(AI$139, regions_ub[#Headers],0)),INDEX(lmic_raw_ub[],MATCH($A329,lmic_raw_ub[[setting]:[setting]],0), MATCH(AI$277, lmic_raw_ub[#Headers],0)))</f>
        <v>3.6917596037999829E-3</v>
      </c>
      <c r="AJ329" s="84">
        <f>IF(INDEX(lmic_raw_ub[],MATCH($A329,lmic_raw_ub[[setting]:[setting]],0), MATCH(AJ$277, lmic_raw_ub[#Headers],0))=0, INDEX(regions_ub[], MATCH($D329, regions_ub[[setting]:[setting]],0), MATCH(AJ$139, regions_ub[#Headers],0)),INDEX(lmic_raw_ub[],MATCH($A329,lmic_raw_ub[[setting]:[setting]],0), MATCH(AJ$277, lmic_raw_ub[#Headers],0)))</f>
        <v>3.9654386049692899E-3</v>
      </c>
      <c r="AK329" s="84">
        <f>IF(INDEX(lmic_raw_ub[],MATCH($A329,lmic_raw_ub[[setting]:[setting]],0), MATCH(AK$277, lmic_raw_ub[#Headers],0))=0, INDEX(regions_ub[], MATCH($D329, regions_ub[[setting]:[setting]],0), MATCH(AK$139, regions_ub[#Headers],0)),INDEX(lmic_raw_ub[],MATCH($A329,lmic_raw_ub[[setting]:[setting]],0), MATCH(AK$277, lmic_raw_ub[#Headers],0)))</f>
        <v>4.6099533613859255E-3</v>
      </c>
      <c r="AL329" s="84">
        <f>IF(INDEX(lmic_raw_ub[],MATCH($A329,lmic_raw_ub[[setting]:[setting]],0), MATCH(AL$277, lmic_raw_ub[#Headers],0))=0, INDEX(regions_ub[], MATCH($D329, regions_ub[[setting]:[setting]],0), MATCH(AL$139, regions_ub[#Headers],0)),INDEX(lmic_raw_ub[],MATCH($A329,lmic_raw_ub[[setting]:[setting]],0), MATCH(AL$277, lmic_raw_ub[#Headers],0)))</f>
        <v>5.2610919138176577E-3</v>
      </c>
      <c r="AM329" s="84">
        <f>IF(INDEX(lmic_raw_ub[],MATCH($A329,lmic_raw_ub[[setting]:[setting]],0), MATCH(AM$277, lmic_raw_ub[#Headers],0))=0, INDEX(regions_ub[], MATCH($D329, regions_ub[[setting]:[setting]],0), MATCH(AM$139, regions_ub[#Headers],0)),INDEX(lmic_raw_ub[],MATCH($A329,lmic_raw_ub[[setting]:[setting]],0), MATCH(AM$277, lmic_raw_ub[#Headers],0)))</f>
        <v>6.2840229222297156E-3</v>
      </c>
      <c r="AN329" s="84">
        <f>IF(INDEX(lmic_raw_ub[],MATCH($A329,lmic_raw_ub[[setting]:[setting]],0), MATCH(AN$277, lmic_raw_ub[#Headers],0))=0, INDEX(regions_ub[], MATCH($D329, regions_ub[[setting]:[setting]],0), MATCH(AN$139, regions_ub[#Headers],0)),INDEX(lmic_raw_ub[],MATCH($A329,lmic_raw_ub[[setting]:[setting]],0), MATCH(AN$277, lmic_raw_ub[#Headers],0)))</f>
        <v>1.1503630244220978E-2</v>
      </c>
      <c r="AO329" s="84">
        <f>IF(INDEX(lmic_raw_ub[],MATCH($A329,lmic_raw_ub[[setting]:[setting]],0), MATCH(AO$277, lmic_raw_ub[#Headers],0))=0, INDEX(regions_ub[], MATCH($D329, regions_ub[[setting]:[setting]],0), MATCH(AO$139, regions_ub[#Headers],0)),INDEX(lmic_raw_ub[],MATCH($A329,lmic_raw_ub[[setting]:[setting]],0), MATCH(AO$277, lmic_raw_ub[#Headers],0)))</f>
        <v>1.3166796921062221E-2</v>
      </c>
      <c r="AP329" s="84">
        <f>IF(INDEX(lmic_raw_ub[],MATCH($A329,lmic_raw_ub[[setting]:[setting]],0), MATCH(AP$277, lmic_raw_ub[#Headers],0))=0, INDEX(regions_ub[], MATCH($D329, regions_ub[[setting]:[setting]],0), MATCH(AP$139, regions_ub[#Headers],0)),INDEX(lmic_raw_ub[],MATCH($A329,lmic_raw_ub[[setting]:[setting]],0), MATCH(AP$277, lmic_raw_ub[#Headers],0)))</f>
        <v>1.8257430937563601E-2</v>
      </c>
      <c r="AQ329" s="84">
        <f>IF(INDEX(lmic_raw_ub[],MATCH($A329,lmic_raw_ub[[setting]:[setting]],0), MATCH(AQ$277, lmic_raw_ub[#Headers],0))=0, INDEX(regions_ub[], MATCH($D329, regions_ub[[setting]:[setting]],0), MATCH(AQ$139, regions_ub[#Headers],0)),INDEX(lmic_raw_ub[],MATCH($A329,lmic_raw_ub[[setting]:[setting]],0), MATCH(AQ$277, lmic_raw_ub[#Headers],0)))</f>
        <v>2.4107825647710537E-2</v>
      </c>
      <c r="AR329" s="84">
        <f>IF(INDEX(lmic_raw_ub[],MATCH($A329,lmic_raw_ub[[setting]:[setting]],0), MATCH(AR$277, lmic_raw_ub[#Headers],0))=0, INDEX(regions_ub[], MATCH($D329, regions_ub[[setting]:[setting]],0), MATCH(AR$139, regions_ub[#Headers],0)),INDEX(lmic_raw_ub[],MATCH($A329,lmic_raw_ub[[setting]:[setting]],0), MATCH(AR$277, lmic_raw_ub[#Headers],0)))</f>
        <v>3.2427761630128379E-2</v>
      </c>
      <c r="AS329" s="84">
        <f>IF(INDEX(lmic_raw_ub[],MATCH($A329,lmic_raw_ub[[setting]:[setting]],0), MATCH(AS$277, lmic_raw_ub[#Headers],0))=0, INDEX(regions_ub[], MATCH($D329, regions_ub[[setting]:[setting]],0), MATCH(AS$139, regions_ub[#Headers],0)),INDEX(lmic_raw_ub[],MATCH($A329,lmic_raw_ub[[setting]:[setting]],0), MATCH(AS$277, lmic_raw_ub[#Headers],0)))</f>
        <v>4.9049365398026325E-2</v>
      </c>
      <c r="AT329" s="84">
        <f>IF(INDEX(lmic_raw_ub[],MATCH($A329,lmic_raw_ub[[setting]:[setting]],0), MATCH(AT$277, lmic_raw_ub[#Headers],0))=0, INDEX(regions_ub[], MATCH($D329, regions_ub[[setting]:[setting]],0), MATCH(AT$139, regions_ub[#Headers],0)),INDEX(lmic_raw_ub[],MATCH($A329,lmic_raw_ub[[setting]:[setting]],0), MATCH(AT$277, lmic_raw_ub[#Headers],0)))</f>
        <v>6.2734951646005399E-2</v>
      </c>
      <c r="AU329" s="84">
        <f>IF(INDEX(lmic_raw_ub[],MATCH($A329,lmic_raw_ub[[setting]:[setting]],0), MATCH(AU$277, lmic_raw_ub[#Headers],0))=0, INDEX(regions_ub[], MATCH($D329, regions_ub[[setting]:[setting]],0), MATCH(AU$139, regions_ub[#Headers],0)),INDEX(lmic_raw_ub[],MATCH($A329,lmic_raw_ub[[setting]:[setting]],0), MATCH(AU$277, lmic_raw_ub[#Headers],0)))</f>
        <v>8.2640185370226674E-2</v>
      </c>
      <c r="AV329" s="84">
        <f>IF(INDEX(lmic_raw_ub[],MATCH($A329,lmic_raw_ub[[setting]:[setting]],0), MATCH(AV$277, lmic_raw_ub[#Headers],0))=0, INDEX(regions_ub[], MATCH($D329, regions_ub[[setting]:[setting]],0), MATCH(AV$139, regions_ub[#Headers],0)),INDEX(lmic_raw_ub[],MATCH($A329,lmic_raw_ub[[setting]:[setting]],0), MATCH(AV$277, lmic_raw_ub[#Headers],0)))</f>
        <v>0.10409162231405004</v>
      </c>
      <c r="AW329" s="84">
        <f>IF(INDEX(lmic_raw_ub[],MATCH($A329,lmic_raw_ub[[setting]:[setting]],0), MATCH(AW$277, lmic_raw_ub[#Headers],0))=0, INDEX(regions_ub[], MATCH($D329, regions_ub[[setting]:[setting]],0), MATCH(AW$139, regions_ub[#Headers],0)),INDEX(lmic_raw_ub[],MATCH($A329,lmic_raw_ub[[setting]:[setting]],0), MATCH(AW$277, lmic_raw_ub[#Headers],0)))</f>
        <v>0.12573821260563994</v>
      </c>
      <c r="AX329" s="84">
        <f>IF(INDEX(lmic_raw_ub[],MATCH($A329,lmic_raw_ub[[setting]:[setting]],0), MATCH(AX$277, lmic_raw_ub[#Headers],0))=0, INDEX(regions_ub[], MATCH($D329, regions_ub[[setting]:[setting]],0), MATCH(AX$139, regions_ub[#Headers],0)),INDEX(lmic_raw_ub[],MATCH($A329,lmic_raw_ub[[setting]:[setting]],0), MATCH(AX$277, lmic_raw_ub[#Headers],0)))</f>
        <v>73.198650000000001</v>
      </c>
      <c r="AY329" s="33" t="str">
        <f>IF(VLOOKUP(lmics_ub[[#This Row],[setting]],lmic_raw_ub[],11,FALSE)=0, "Yes", "No")</f>
        <v>Yes</v>
      </c>
    </row>
    <row r="330" spans="1:51" x14ac:dyDescent="0.25">
      <c r="A330" s="109" t="s">
        <v>238</v>
      </c>
      <c r="B330" s="101" t="s">
        <v>436</v>
      </c>
      <c r="C330" s="102">
        <v>332</v>
      </c>
      <c r="D330" s="82" t="s">
        <v>679</v>
      </c>
      <c r="E330" s="82" t="s">
        <v>223</v>
      </c>
      <c r="F330" s="82" t="s">
        <v>665</v>
      </c>
      <c r="G330" s="82" t="s">
        <v>674</v>
      </c>
      <c r="J330" s="84">
        <f>IF(INDEX(lmic_raw_ub[],MATCH($A330,lmic_raw_ub[[setting]:[setting]],0), MATCH(J$277, lmic_raw_ub[#Headers],0))=0, INDEX(regions_ub[], MATCH($D330, regions_ub[[setting]:[setting]],0), MATCH(J$139, regions_ub[#Headers],0)),INDEX(lmic_raw_ub[],MATCH($A330,lmic_raw_ub[[setting]:[setting]],0), MATCH(J$277, lmic_raw_ub[#Headers],0)))</f>
        <v>0.41369999999999996</v>
      </c>
      <c r="K330" s="84">
        <f>IF(INDEX(lmic_raw_ub[],MATCH($A330,lmic_raw_ub[[setting]:[setting]],0), MATCH(K$277, lmic_raw_ub[#Headers],0))=0, INDEX(regions_ub[], MATCH($D330, regions_ub[[setting]:[setting]],0), MATCH(K$139, regions_ub[#Headers],0)),INDEX(lmic_raw_ub[],MATCH($A330,lmic_raw_ub[[setting]:[setting]],0), MATCH(K$277, lmic_raw_ub[#Headers],0)))</f>
        <v>0.78230516513860726</v>
      </c>
      <c r="L330" s="84">
        <f>IF(INDEX(lmic_raw_ub[],MATCH($A330,lmic_raw_ub[[setting]:[setting]],0), MATCH(L$277, lmic_raw_ub[#Headers],0))=0, INDEX(regions_ub[], MATCH($D330, regions_ub[[setting]:[setting]],0), MATCH(L$139, regions_ub[#Headers],0)),INDEX(lmic_raw_ub[],MATCH($A330,lmic_raw_ub[[setting]:[setting]],0), MATCH(L$277, lmic_raw_ub[#Headers],0)))</f>
        <v>0.53550000000000009</v>
      </c>
      <c r="M330" s="84">
        <f>IF(INDEX(lmic_raw_ub[],MATCH($A330,lmic_raw_ub[[setting]:[setting]],0), MATCH(M$277, lmic_raw_ub[#Headers],0))=0, INDEX(regions_ub[], MATCH($D330, regions_ub[[setting]:[setting]],0), MATCH(M$139, regions_ub[#Headers],0)),INDEX(lmic_raw_ub[],MATCH($A330,lmic_raw_ub[[setting]:[setting]],0), MATCH(M$277, lmic_raw_ub[#Headers],0)))</f>
        <v>4.3799999999999999E-2</v>
      </c>
      <c r="N330" s="84">
        <f>IF(INDEX(lmic_raw_ub[],MATCH($A330,lmic_raw_ub[[setting]:[setting]],0), MATCH(N$277, lmic_raw_ub[#Headers],0))=0, INDEX(regions_ub[], MATCH($D330, regions_ub[[setting]:[setting]],0), MATCH(N$139, regions_ub[#Headers],0)),INDEX(lmic_raw_ub[],MATCH($A330,lmic_raw_ub[[setting]:[setting]],0), MATCH(N$277, lmic_raw_ub[#Headers],0)))</f>
        <v>0.43</v>
      </c>
      <c r="O330" s="84">
        <f>IF(INDEX(lmic_raw_ub[],MATCH($A330,lmic_raw_ub[[setting]:[setting]],0), MATCH(O$277, lmic_raw_ub[#Headers],0))=0, INDEX(regions_ub[], MATCH($D330, regions_ub[[setting]:[setting]],0), MATCH(O$139, regions_ub[#Headers],0)),INDEX(lmic_raw_ub[],MATCH($A330,lmic_raw_ub[[setting]:[setting]],0), MATCH(O$277, lmic_raw_ub[#Headers],0)))</f>
        <v>0.9</v>
      </c>
      <c r="P330" s="84">
        <f>IF(INDEX(lmic_raw_ub[],MATCH($A330,lmic_raw_ub[[setting]:[setting]],0), MATCH(P$277, lmic_raw_ub[#Headers],0))=0, INDEX(regions_ub[], MATCH($D330, regions_ub[[setting]:[setting]],0), MATCH(P$139, regions_ub[#Headers],0)),INDEX(lmic_raw_ub[],MATCH($A330,lmic_raw_ub[[setting]:[setting]],0), MATCH(P$277, lmic_raw_ub[#Headers],0)))</f>
        <v>0.3</v>
      </c>
      <c r="Q330" s="84">
        <f>IF(INDEX(lmic_raw_ub[],MATCH($A330,lmic_raw_ub[[setting]:[setting]],0), MATCH(Q$277, lmic_raw_ub[#Headers],0))=0, INDEX(regions_ub[], MATCH($D330, regions_ub[[setting]:[setting]],0), MATCH(Q$139, regions_ub[#Headers],0)),INDEX(lmic_raw_ub[],MATCH($A330,lmic_raw_ub[[setting]:[setting]],0), MATCH(Q$277, lmic_raw_ub[#Headers],0)))</f>
        <v>3.4641525849920316</v>
      </c>
      <c r="R330" s="84">
        <f>IF(INDEX(lmic_raw_ub[],MATCH($A330,lmic_raw_ub[[setting]:[setting]],0), MATCH(R$277, lmic_raw_ub[#Headers],0))=0, INDEX(regions_ub[], MATCH($D330, regions_ub[[setting]:[setting]],0), MATCH(R$139, regions_ub[#Headers],0)),INDEX(lmic_raw_ub[],MATCH($A330,lmic_raw_ub[[setting]:[setting]],0), MATCH(R$277, lmic_raw_ub[#Headers],0)))</f>
        <v>91.228094999999996</v>
      </c>
      <c r="S330" s="84">
        <f>IF(INDEX(lmic_raw_ub[],MATCH($A330,lmic_raw_ub[[setting]:[setting]],0), MATCH(S$277, lmic_raw_ub[#Headers],0))=0, INDEX(regions_ub[], MATCH($D330, regions_ub[[setting]:[setting]],0), MATCH(S$139, regions_ub[#Headers],0)),INDEX(lmic_raw_ub[],MATCH($A330,lmic_raw_ub[[setting]:[setting]],0), MATCH(S$277, lmic_raw_ub[#Headers],0)))</f>
        <v>141.35719500000002</v>
      </c>
      <c r="T330" s="84">
        <f>IF(INDEX(lmic_raw_ub[],MATCH($A330,lmic_raw_ub[[setting]:[setting]],0), MATCH(T$277, lmic_raw_ub[#Headers],0))=0, INDEX(regions_ub[], MATCH($D330, regions_ub[[setting]:[setting]],0), MATCH(T$139, regions_ub[#Headers],0)),INDEX(lmic_raw_ub[],MATCH($A330,lmic_raw_ub[[setting]:[setting]],0), MATCH(T$277, lmic_raw_ub[#Headers],0)))</f>
        <v>141.35719500000002</v>
      </c>
      <c r="U330" s="84">
        <f>IF(INDEX(lmic_raw_ub[],MATCH($A330,lmic_raw_ub[[setting]:[setting]],0), MATCH(U$277, lmic_raw_ub[#Headers],0))=0, INDEX(regions_ub[], MATCH($D330, regions_ub[[setting]:[setting]],0), MATCH(U$139, regions_ub[#Headers],0)),INDEX(lmic_raw_ub[],MATCH($A330,lmic_raw_ub[[setting]:[setting]],0), MATCH(U$277, lmic_raw_ub[#Headers],0)))</f>
        <v>141.35719500000002</v>
      </c>
      <c r="V330" s="84">
        <f>IF(INDEX(lmic_raw_ub[],MATCH($A330,lmic_raw_ub[[setting]:[setting]],0), MATCH(V$277, lmic_raw_ub[#Headers],0))=0, INDEX(regions_ub[], MATCH($D330, regions_ub[[setting]:[setting]],0), MATCH(V$139, regions_ub[#Headers],0)),INDEX(lmic_raw_ub[],MATCH($A330,lmic_raw_ub[[setting]:[setting]],0), MATCH(V$277, lmic_raw_ub[#Headers],0)))</f>
        <v>3.3537152968412443</v>
      </c>
      <c r="W330" s="84">
        <f>IF(INDEX(lmic_raw_ub[],MATCH($A330,lmic_raw_ub[[setting]:[setting]],0), MATCH(W$277, lmic_raw_ub[#Headers],0))=0, INDEX(regions_ub[], MATCH($D330, regions_ub[[setting]:[setting]],0), MATCH(W$139, regions_ub[#Headers],0)),INDEX(lmic_raw_ub[],MATCH($A330,lmic_raw_ub[[setting]:[setting]],0), MATCH(W$277, lmic_raw_ub[#Headers],0)))</f>
        <v>3.3766052968412441</v>
      </c>
      <c r="X330" s="84">
        <f>IF(INDEX(lmic_raw_ub[],MATCH($A330,lmic_raw_ub[[setting]:[setting]],0), MATCH(X$277, lmic_raw_ub[#Headers],0))=0, INDEX(regions_ub[], MATCH($D330, regions_ub[[setting]:[setting]],0), MATCH(X$139, regions_ub[#Headers],0)),INDEX(lmic_raw_ub[],MATCH($A330,lmic_raw_ub[[setting]:[setting]],0), MATCH(X$277, lmic_raw_ub[#Headers],0)))</f>
        <v>2.8487433143552039</v>
      </c>
      <c r="Y330" s="84">
        <f>IF(INDEX(lmic_raw_ub[],MATCH($A330,lmic_raw_ub[[setting]:[setting]],0), MATCH(Y$277, lmic_raw_ub[#Headers],0))=0, INDEX(regions_ub[], MATCH($D330, regions_ub[[setting]:[setting]],0), MATCH(Y$139, regions_ub[#Headers],0)),INDEX(lmic_raw_ub[],MATCH($A330,lmic_raw_ub[[setting]:[setting]],0), MATCH(Y$277, lmic_raw_ub[#Headers],0)))</f>
        <v>2.8716333143552037</v>
      </c>
      <c r="Z330" s="84">
        <f>IF(INDEX(lmic_raw_ub[],MATCH($A330,lmic_raw_ub[[setting]:[setting]],0), MATCH(Z$277, lmic_raw_ub[#Headers],0))=0, INDEX(regions_ub[], MATCH($D330, regions_ub[[setting]:[setting]],0), MATCH(Z$139, regions_ub[#Headers],0)),INDEX(lmic_raw_ub[],MATCH($A330,lmic_raw_ub[[setting]:[setting]],0), MATCH(Z$277, lmic_raw_ub[#Headers],0)))</f>
        <v>2.8596215321644807</v>
      </c>
      <c r="AA330" s="84">
        <f>IF(INDEX(lmic_raw_ub[],MATCH($A330,lmic_raw_ub[[setting]:[setting]],0), MATCH(AA$277, lmic_raw_ub[#Headers],0))=0, INDEX(regions_ub[], MATCH($D330, regions_ub[[setting]:[setting]],0), MATCH(AA$139, regions_ub[#Headers],0)),INDEX(lmic_raw_ub[],MATCH($A330,lmic_raw_ub[[setting]:[setting]],0), MATCH(AA$277, lmic_raw_ub[#Headers],0)))</f>
        <v>3.6244152836811674</v>
      </c>
      <c r="AB330" s="84">
        <f>IF(INDEX(lmic_raw_ub[],MATCH($A330,lmic_raw_ub[[setting]:[setting]],0), MATCH(AB$277, lmic_raw_ub[#Headers],0))=0, INDEX(regions_ub[], MATCH($D330, regions_ub[[setting]:[setting]],0), MATCH(AB$139, regions_ub[#Headers],0)),INDEX(lmic_raw_ub[],MATCH($A330,lmic_raw_ub[[setting]:[setting]],0), MATCH(AB$277, lmic_raw_ub[#Headers],0)))</f>
        <v>3.6473052836811672</v>
      </c>
      <c r="AC330" s="84">
        <f>IF(INDEX(lmic_raw_ub[],MATCH($A330,lmic_raw_ub[[setting]:[setting]],0), MATCH(AC$277, lmic_raw_ub[#Headers],0))=0, INDEX(regions_ub[], MATCH($D330, regions_ub[[setting]:[setting]],0), MATCH(AC$139, regions_ub[#Headers],0)),INDEX(lmic_raw_ub[],MATCH($A330,lmic_raw_ub[[setting]:[setting]],0), MATCH(AC$277, lmic_raw_ub[#Headers],0)))</f>
        <v>5.7040147500000041E-2</v>
      </c>
      <c r="AD330" s="84">
        <f>IF(INDEX(lmic_raw_ub[],MATCH($A330,lmic_raw_ub[[setting]:[setting]],0), MATCH(AD$277, lmic_raw_ub[#Headers],0))=0, INDEX(regions_ub[], MATCH($D330, regions_ub[[setting]:[setting]],0), MATCH(AD$139, regions_ub[#Headers],0)),INDEX(lmic_raw_ub[],MATCH($A330,lmic_raw_ub[[setting]:[setting]],0), MATCH(AD$277, lmic_raw_ub[#Headers],0)))</f>
        <v>7.4205663503902914E-3</v>
      </c>
      <c r="AE330" s="84">
        <f>IF(INDEX(lmic_raw_ub[],MATCH($A330,lmic_raw_ub[[setting]:[setting]],0), MATCH(AE$277, lmic_raw_ub[#Headers],0))=0, INDEX(regions_ub[], MATCH($D330, regions_ub[[setting]:[setting]],0), MATCH(AE$139, regions_ub[#Headers],0)),INDEX(lmic_raw_ub[],MATCH($A330,lmic_raw_ub[[setting]:[setting]],0), MATCH(AE$277, lmic_raw_ub[#Headers],0)))</f>
        <v>2.6404444715770487E-3</v>
      </c>
      <c r="AF330" s="84">
        <f>IF(INDEX(lmic_raw_ub[],MATCH($A330,lmic_raw_ub[[setting]:[setting]],0), MATCH(AF$277, lmic_raw_ub[#Headers],0))=0, INDEX(regions_ub[], MATCH($D330, regions_ub[[setting]:[setting]],0), MATCH(AF$139, regions_ub[#Headers],0)),INDEX(lmic_raw_ub[],MATCH($A330,lmic_raw_ub[[setting]:[setting]],0), MATCH(AF$277, lmic_raw_ub[#Headers],0)))</f>
        <v>2.1486576428291428E-3</v>
      </c>
      <c r="AG330" s="84">
        <f>IF(INDEX(lmic_raw_ub[],MATCH($A330,lmic_raw_ub[[setting]:[setting]],0), MATCH(AG$277, lmic_raw_ub[#Headers],0))=0, INDEX(regions_ub[], MATCH($D330, regions_ub[[setting]:[setting]],0), MATCH(AG$139, regions_ub[#Headers],0)),INDEX(lmic_raw_ub[],MATCH($A330,lmic_raw_ub[[setting]:[setting]],0), MATCH(AG$277, lmic_raw_ub[#Headers],0)))</f>
        <v>2.6588077065428199E-3</v>
      </c>
      <c r="AH330" s="84">
        <f>IF(INDEX(lmic_raw_ub[],MATCH($A330,lmic_raw_ub[[setting]:[setting]],0), MATCH(AH$277, lmic_raw_ub[#Headers],0))=0, INDEX(regions_ub[], MATCH($D330, regions_ub[[setting]:[setting]],0), MATCH(AH$139, regions_ub[#Headers],0)),INDEX(lmic_raw_ub[],MATCH($A330,lmic_raw_ub[[setting]:[setting]],0), MATCH(AH$277, lmic_raw_ub[#Headers],0)))</f>
        <v>3.3593780616230431E-3</v>
      </c>
      <c r="AI330" s="84">
        <f>IF(INDEX(lmic_raw_ub[],MATCH($A330,lmic_raw_ub[[setting]:[setting]],0), MATCH(AI$277, lmic_raw_ub[#Headers],0))=0, INDEX(regions_ub[], MATCH($D330, regions_ub[[setting]:[setting]],0), MATCH(AI$139, regions_ub[#Headers],0)),INDEX(lmic_raw_ub[],MATCH($A330,lmic_raw_ub[[setting]:[setting]],0), MATCH(AI$277, lmic_raw_ub[#Headers],0)))</f>
        <v>3.9900289771890984E-3</v>
      </c>
      <c r="AJ330" s="84">
        <f>IF(INDEX(lmic_raw_ub[],MATCH($A330,lmic_raw_ub[[setting]:[setting]],0), MATCH(AJ$277, lmic_raw_ub[#Headers],0))=0, INDEX(regions_ub[], MATCH($D330, regions_ub[[setting]:[setting]],0), MATCH(AJ$139, regions_ub[#Headers],0)),INDEX(lmic_raw_ub[],MATCH($A330,lmic_raw_ub[[setting]:[setting]],0), MATCH(AJ$277, lmic_raw_ub[#Headers],0)))</f>
        <v>4.5347711191606674E-3</v>
      </c>
      <c r="AK330" s="84">
        <f>IF(INDEX(lmic_raw_ub[],MATCH($A330,lmic_raw_ub[[setting]:[setting]],0), MATCH(AK$277, lmic_raw_ub[#Headers],0))=0, INDEX(regions_ub[], MATCH($D330, regions_ub[[setting]:[setting]],0), MATCH(AK$139, regions_ub[#Headers],0)),INDEX(lmic_raw_ub[],MATCH($A330,lmic_raw_ub[[setting]:[setting]],0), MATCH(AK$277, lmic_raw_ub[#Headers],0)))</f>
        <v>5.0887955226757891E-3</v>
      </c>
      <c r="AL330" s="84">
        <f>IF(INDEX(lmic_raw_ub[],MATCH($A330,lmic_raw_ub[[setting]:[setting]],0), MATCH(AL$277, lmic_raw_ub[#Headers],0))=0, INDEX(regions_ub[], MATCH($D330, regions_ub[[setting]:[setting]],0), MATCH(AL$139, regions_ub[#Headers],0)),INDEX(lmic_raw_ub[],MATCH($A330,lmic_raw_ub[[setting]:[setting]],0), MATCH(AL$277, lmic_raw_ub[#Headers],0)))</f>
        <v>5.8250385227866771E-3</v>
      </c>
      <c r="AM330" s="84">
        <f>IF(INDEX(lmic_raw_ub[],MATCH($A330,lmic_raw_ub[[setting]:[setting]],0), MATCH(AM$277, lmic_raw_ub[#Headers],0))=0, INDEX(regions_ub[], MATCH($D330, regions_ub[[setting]:[setting]],0), MATCH(AM$139, regions_ub[#Headers],0)),INDEX(lmic_raw_ub[],MATCH($A330,lmic_raw_ub[[setting]:[setting]],0), MATCH(AM$277, lmic_raw_ub[#Headers],0)))</f>
        <v>7.0018002095518402E-3</v>
      </c>
      <c r="AN330" s="84">
        <f>IF(INDEX(lmic_raw_ub[],MATCH($A330,lmic_raw_ub[[setting]:[setting]],0), MATCH(AN$277, lmic_raw_ub[#Headers],0))=0, INDEX(regions_ub[], MATCH($D330, regions_ub[[setting]:[setting]],0), MATCH(AN$139, regions_ub[#Headers],0)),INDEX(lmic_raw_ub[],MATCH($A330,lmic_raw_ub[[setting]:[setting]],0), MATCH(AN$277, lmic_raw_ub[#Headers],0)))</f>
        <v>9.0041316181609828E-3</v>
      </c>
      <c r="AO330" s="84">
        <f>IF(INDEX(lmic_raw_ub[],MATCH($A330,lmic_raw_ub[[setting]:[setting]],0), MATCH(AO$277, lmic_raw_ub[#Headers],0))=0, INDEX(regions_ub[], MATCH($D330, regions_ub[[setting]:[setting]],0), MATCH(AO$139, regions_ub[#Headers],0)),INDEX(lmic_raw_ub[],MATCH($A330,lmic_raw_ub[[setting]:[setting]],0), MATCH(AO$277, lmic_raw_ub[#Headers],0)))</f>
        <v>1.2400312391851822E-2</v>
      </c>
      <c r="AP330" s="84">
        <f>IF(INDEX(lmic_raw_ub[],MATCH($A330,lmic_raw_ub[[setting]:[setting]],0), MATCH(AP$277, lmic_raw_ub[#Headers],0))=0, INDEX(regions_ub[], MATCH($D330, regions_ub[[setting]:[setting]],0), MATCH(AP$139, regions_ub[#Headers],0)),INDEX(lmic_raw_ub[],MATCH($A330,lmic_raw_ub[[setting]:[setting]],0), MATCH(AP$277, lmic_raw_ub[#Headers],0)))</f>
        <v>1.8049033182618589E-2</v>
      </c>
      <c r="AQ330" s="84">
        <f>IF(INDEX(lmic_raw_ub[],MATCH($A330,lmic_raw_ub[[setting]:[setting]],0), MATCH(AQ$277, lmic_raw_ub[#Headers],0))=0, INDEX(regions_ub[], MATCH($D330, regions_ub[[setting]:[setting]],0), MATCH(AQ$139, regions_ub[#Headers],0)),INDEX(lmic_raw_ub[],MATCH($A330,lmic_raw_ub[[setting]:[setting]],0), MATCH(AQ$277, lmic_raw_ub[#Headers],0)))</f>
        <v>2.7147381763469477E-2</v>
      </c>
      <c r="AR330" s="84">
        <f>IF(INDEX(lmic_raw_ub[],MATCH($A330,lmic_raw_ub[[setting]:[setting]],0), MATCH(AR$277, lmic_raw_ub[#Headers],0))=0, INDEX(regions_ub[], MATCH($D330, regions_ub[[setting]:[setting]],0), MATCH(AR$139, regions_ub[#Headers],0)),INDEX(lmic_raw_ub[],MATCH($A330,lmic_raw_ub[[setting]:[setting]],0), MATCH(AR$277, lmic_raw_ub[#Headers],0)))</f>
        <v>4.13878636686517E-2</v>
      </c>
      <c r="AS330" s="84">
        <f>IF(INDEX(lmic_raw_ub[],MATCH($A330,lmic_raw_ub[[setting]:[setting]],0), MATCH(AS$277, lmic_raw_ub[#Headers],0))=0, INDEX(regions_ub[], MATCH($D330, regions_ub[[setting]:[setting]],0), MATCH(AS$139, regions_ub[#Headers],0)),INDEX(lmic_raw_ub[],MATCH($A330,lmic_raw_ub[[setting]:[setting]],0), MATCH(AS$277, lmic_raw_ub[#Headers],0)))</f>
        <v>6.2376032156177062E-2</v>
      </c>
      <c r="AT330" s="84">
        <f>IF(INDEX(lmic_raw_ub[],MATCH($A330,lmic_raw_ub[[setting]:[setting]],0), MATCH(AT$277, lmic_raw_ub[#Headers],0))=0, INDEX(regions_ub[], MATCH($D330, regions_ub[[setting]:[setting]],0), MATCH(AT$139, regions_ub[#Headers],0)),INDEX(lmic_raw_ub[],MATCH($A330,lmic_raw_ub[[setting]:[setting]],0), MATCH(AT$277, lmic_raw_ub[#Headers],0)))</f>
        <v>8.5893149357849766E-2</v>
      </c>
      <c r="AU330" s="84">
        <f>IF(INDEX(lmic_raw_ub[],MATCH($A330,lmic_raw_ub[[setting]:[setting]],0), MATCH(AU$277, lmic_raw_ub[#Headers],0))=0, INDEX(regions_ub[], MATCH($D330, regions_ub[[setting]:[setting]],0), MATCH(AU$139, regions_ub[#Headers],0)),INDEX(lmic_raw_ub[],MATCH($A330,lmic_raw_ub[[setting]:[setting]],0), MATCH(AU$277, lmic_raw_ub[#Headers],0)))</f>
        <v>0.11113244906708877</v>
      </c>
      <c r="AV330" s="84">
        <f>IF(INDEX(lmic_raw_ub[],MATCH($A330,lmic_raw_ub[[setting]:[setting]],0), MATCH(AV$277, lmic_raw_ub[#Headers],0))=0, INDEX(regions_ub[], MATCH($D330, regions_ub[[setting]:[setting]],0), MATCH(AV$139, regions_ub[#Headers],0)),INDEX(lmic_raw_ub[],MATCH($A330,lmic_raw_ub[[setting]:[setting]],0), MATCH(AV$277, lmic_raw_ub[#Headers],0)))</f>
        <v>0.1349973880947645</v>
      </c>
      <c r="AW330" s="84">
        <f>IF(INDEX(lmic_raw_ub[],MATCH($A330,lmic_raw_ub[[setting]:[setting]],0), MATCH(AW$277, lmic_raw_ub[#Headers],0))=0, INDEX(regions_ub[], MATCH($D330, regions_ub[[setting]:[setting]],0), MATCH(AW$139, regions_ub[#Headers],0)),INDEX(lmic_raw_ub[],MATCH($A330,lmic_raw_ub[[setting]:[setting]],0), MATCH(AW$277, lmic_raw_ub[#Headers],0)))</f>
        <v>0.15564628846374504</v>
      </c>
      <c r="AX330" s="84">
        <f>IF(INDEX(lmic_raw_ub[],MATCH($A330,lmic_raw_ub[[setting]:[setting]],0), MATCH(AX$277, lmic_raw_ub[#Headers],0))=0, INDEX(regions_ub[], MATCH($D330, regions_ub[[setting]:[setting]],0), MATCH(AX$139, regions_ub[#Headers],0)),INDEX(lmic_raw_ub[],MATCH($A330,lmic_raw_ub[[setting]:[setting]],0), MATCH(AX$277, lmic_raw_ub[#Headers],0)))</f>
        <v>66.694950000000006</v>
      </c>
      <c r="AY330" s="33" t="str">
        <f>IF(VLOOKUP(lmics_ub[[#This Row],[setting]],lmic_raw_ub[],11,FALSE)=0, "Yes", "No")</f>
        <v>Yes</v>
      </c>
    </row>
    <row r="331" spans="1:51" x14ac:dyDescent="0.25">
      <c r="A331" s="110" t="s">
        <v>257</v>
      </c>
      <c r="B331" s="104" t="s">
        <v>437</v>
      </c>
      <c r="C331" s="105">
        <v>340</v>
      </c>
      <c r="D331" s="84" t="s">
        <v>679</v>
      </c>
      <c r="E331" s="84" t="s">
        <v>604</v>
      </c>
      <c r="F331" s="84" t="s">
        <v>665</v>
      </c>
      <c r="G331" s="84" t="s">
        <v>678</v>
      </c>
      <c r="J331" s="84">
        <f>IF(INDEX(lmic_raw_ub[],MATCH($A331,lmic_raw_ub[[setting]:[setting]],0), MATCH(J$277, lmic_raw_ub[#Headers],0))=0, INDEX(regions_ub[], MATCH($D331, regions_ub[[setting]:[setting]],0), MATCH(J$139, regions_ub[#Headers],0)),INDEX(lmic_raw_ub[],MATCH($A331,lmic_raw_ub[[setting]:[setting]],0), MATCH(J$277, lmic_raw_ub[#Headers],0)))</f>
        <v>0.86835000000000007</v>
      </c>
      <c r="K331" s="84">
        <f>IF(INDEX(lmic_raw_ub[],MATCH($A331,lmic_raw_ub[[setting]:[setting]],0), MATCH(K$277, lmic_raw_ub[#Headers],0))=0, INDEX(regions_ub[], MATCH($D331, regions_ub[[setting]:[setting]],0), MATCH(K$139, regions_ub[#Headers],0)),INDEX(lmic_raw_ub[],MATCH($A331,lmic_raw_ub[[setting]:[setting]],0), MATCH(K$277, lmic_raw_ub[#Headers],0)))</f>
        <v>0.78750000000000009</v>
      </c>
      <c r="L331" s="84">
        <f>IF(INDEX(lmic_raw_ub[],MATCH($A331,lmic_raw_ub[[setting]:[setting]],0), MATCH(L$277, lmic_raw_ub[#Headers],0))=0, INDEX(regions_ub[], MATCH($D331, regions_ub[[setting]:[setting]],0), MATCH(L$139, regions_ub[#Headers],0)),INDEX(lmic_raw_ub[],MATCH($A331,lmic_raw_ub[[setting]:[setting]],0), MATCH(L$277, lmic_raw_ub[#Headers],0)))</f>
        <v>0.91349999999999998</v>
      </c>
      <c r="M331" s="84">
        <f>IF(INDEX(lmic_raw_ub[],MATCH($A331,lmic_raw_ub[[setting]:[setting]],0), MATCH(M$277, lmic_raw_ub[#Headers],0))=0, INDEX(regions_ub[], MATCH($D331, regions_ub[[setting]:[setting]],0), MATCH(M$139, regions_ub[#Headers],0)),INDEX(lmic_raw_ub[],MATCH($A331,lmic_raw_ub[[setting]:[setting]],0), MATCH(M$277, lmic_raw_ub[#Headers],0)))</f>
        <v>0.12909999999999999</v>
      </c>
      <c r="N331" s="84">
        <f>IF(INDEX(lmic_raw_ub[],MATCH($A331,lmic_raw_ub[[setting]:[setting]],0), MATCH(N$277, lmic_raw_ub[#Headers],0))=0, INDEX(regions_ub[], MATCH($D331, regions_ub[[setting]:[setting]],0), MATCH(N$139, regions_ub[#Headers],0)),INDEX(lmic_raw_ub[],MATCH($A331,lmic_raw_ub[[setting]:[setting]],0), MATCH(N$277, lmic_raw_ub[#Headers],0)))</f>
        <v>0.42950000000000005</v>
      </c>
      <c r="O331" s="84">
        <f>IF(INDEX(lmic_raw_ub[],MATCH($A331,lmic_raw_ub[[setting]:[setting]],0), MATCH(O$277, lmic_raw_ub[#Headers],0))=0, INDEX(regions_ub[], MATCH($D331, regions_ub[[setting]:[setting]],0), MATCH(O$139, regions_ub[#Headers],0)),INDEX(lmic_raw_ub[],MATCH($A331,lmic_raw_ub[[setting]:[setting]],0), MATCH(O$277, lmic_raw_ub[#Headers],0)))</f>
        <v>0.9</v>
      </c>
      <c r="P331" s="84">
        <f>IF(INDEX(lmic_raw_ub[],MATCH($A331,lmic_raw_ub[[setting]:[setting]],0), MATCH(P$277, lmic_raw_ub[#Headers],0))=0, INDEX(regions_ub[], MATCH($D331, regions_ub[[setting]:[setting]],0), MATCH(P$139, regions_ub[#Headers],0)),INDEX(lmic_raw_ub[],MATCH($A331,lmic_raw_ub[[setting]:[setting]],0), MATCH(P$277, lmic_raw_ub[#Headers],0)))</f>
        <v>0.3</v>
      </c>
      <c r="Q331" s="84">
        <f>IF(INDEX(lmic_raw_ub[],MATCH($A331,lmic_raw_ub[[setting]:[setting]],0), MATCH(Q$277, lmic_raw_ub[#Headers],0))=0, INDEX(regions_ub[], MATCH($D331, regions_ub[[setting]:[setting]],0), MATCH(Q$139, regions_ub[#Headers],0)),INDEX(lmic_raw_ub[],MATCH($A331,lmic_raw_ub[[setting]:[setting]],0), MATCH(Q$277, lmic_raw_ub[#Headers],0)))</f>
        <v>5.6450905514730421</v>
      </c>
      <c r="R331" s="84">
        <f>IF(INDEX(lmic_raw_ub[],MATCH($A331,lmic_raw_ub[[setting]:[setting]],0), MATCH(R$277, lmic_raw_ub[#Headers],0))=0, INDEX(regions_ub[], MATCH($D331, regions_ub[[setting]:[setting]],0), MATCH(R$139, regions_ub[#Headers],0)),INDEX(lmic_raw_ub[],MATCH($A331,lmic_raw_ub[[setting]:[setting]],0), MATCH(R$277, lmic_raw_ub[#Headers],0)))</f>
        <v>91.228094999999996</v>
      </c>
      <c r="S331" s="84">
        <f>IF(INDEX(lmic_raw_ub[],MATCH($A331,lmic_raw_ub[[setting]:[setting]],0), MATCH(S$277, lmic_raw_ub[#Headers],0))=0, INDEX(regions_ub[], MATCH($D331, regions_ub[[setting]:[setting]],0), MATCH(S$139, regions_ub[#Headers],0)),INDEX(lmic_raw_ub[],MATCH($A331,lmic_raw_ub[[setting]:[setting]],0), MATCH(S$277, lmic_raw_ub[#Headers],0)))</f>
        <v>141.35719500000002</v>
      </c>
      <c r="T331" s="84">
        <f>IF(INDEX(lmic_raw_ub[],MATCH($A331,lmic_raw_ub[[setting]:[setting]],0), MATCH(T$277, lmic_raw_ub[#Headers],0))=0, INDEX(regions_ub[], MATCH($D331, regions_ub[[setting]:[setting]],0), MATCH(T$139, regions_ub[#Headers],0)),INDEX(lmic_raw_ub[],MATCH($A331,lmic_raw_ub[[setting]:[setting]],0), MATCH(T$277, lmic_raw_ub[#Headers],0)))</f>
        <v>141.35719500000002</v>
      </c>
      <c r="U331" s="84">
        <f>IF(INDEX(lmic_raw_ub[],MATCH($A331,lmic_raw_ub[[setting]:[setting]],0), MATCH(U$277, lmic_raw_ub[#Headers],0))=0, INDEX(regions_ub[], MATCH($D331, regions_ub[[setting]:[setting]],0), MATCH(U$139, regions_ub[#Headers],0)),INDEX(lmic_raw_ub[],MATCH($A331,lmic_raw_ub[[setting]:[setting]],0), MATCH(U$277, lmic_raw_ub[#Headers],0)))</f>
        <v>141.35719500000002</v>
      </c>
      <c r="V331" s="84">
        <f>IF(INDEX(lmic_raw_ub[],MATCH($A331,lmic_raw_ub[[setting]:[setting]],0), MATCH(V$277, lmic_raw_ub[#Headers],0))=0, INDEX(regions_ub[], MATCH($D331, regions_ub[[setting]:[setting]],0), MATCH(V$139, regions_ub[#Headers],0)),INDEX(lmic_raw_ub[],MATCH($A331,lmic_raw_ub[[setting]:[setting]],0), MATCH(V$277, lmic_raw_ub[#Headers],0)))</f>
        <v>7.0264597950955467</v>
      </c>
      <c r="W331" s="84">
        <f>IF(INDEX(lmic_raw_ub[],MATCH($A331,lmic_raw_ub[[setting]:[setting]],0), MATCH(W$277, lmic_raw_ub[#Headers],0))=0, INDEX(regions_ub[], MATCH($D331, regions_ub[[setting]:[setting]],0), MATCH(W$139, regions_ub[#Headers],0)),INDEX(lmic_raw_ub[],MATCH($A331,lmic_raw_ub[[setting]:[setting]],0), MATCH(W$277, lmic_raw_ub[#Headers],0)))</f>
        <v>7.049349795095547</v>
      </c>
      <c r="X331" s="84">
        <f>IF(INDEX(lmic_raw_ub[],MATCH($A331,lmic_raw_ub[[setting]:[setting]],0), MATCH(X$277, lmic_raw_ub[#Headers],0))=0, INDEX(regions_ub[], MATCH($D331, regions_ub[[setting]:[setting]],0), MATCH(X$139, regions_ub[#Headers],0)),INDEX(lmic_raw_ub[],MATCH($A331,lmic_raw_ub[[setting]:[setting]],0), MATCH(X$277, lmic_raw_ub[#Headers],0)))</f>
        <v>6.5141934511344335</v>
      </c>
      <c r="Y331" s="84">
        <f>IF(INDEX(lmic_raw_ub[],MATCH($A331,lmic_raw_ub[[setting]:[setting]],0), MATCH(Y$277, lmic_raw_ub[#Headers],0))=0, INDEX(regions_ub[], MATCH($D331, regions_ub[[setting]:[setting]],0), MATCH(Y$139, regions_ub[#Headers],0)),INDEX(lmic_raw_ub[],MATCH($A331,lmic_raw_ub[[setting]:[setting]],0), MATCH(Y$277, lmic_raw_ub[#Headers],0)))</f>
        <v>6.5370834511344338</v>
      </c>
      <c r="Z331" s="84">
        <f>IF(INDEX(lmic_raw_ub[],MATCH($A331,lmic_raw_ub[[setting]:[setting]],0), MATCH(Z$277, lmic_raw_ub[#Headers],0))=0, INDEX(regions_ub[], MATCH($D331, regions_ub[[setting]:[setting]],0), MATCH(Z$139, regions_ub[#Headers],0)),INDEX(lmic_raw_ub[],MATCH($A331,lmic_raw_ub[[setting]:[setting]],0), MATCH(Z$277, lmic_raw_ub[#Headers],0)))</f>
        <v>6.5206634236346259</v>
      </c>
      <c r="AA331" s="84">
        <f>IF(INDEX(lmic_raw_ub[],MATCH($A331,lmic_raw_ub[[setting]:[setting]],0), MATCH(AA$277, lmic_raw_ub[#Headers],0))=0, INDEX(regions_ub[], MATCH($D331, regions_ub[[setting]:[setting]],0), MATCH(AA$139, regions_ub[#Headers],0)),INDEX(lmic_raw_ub[],MATCH($A331,lmic_raw_ub[[setting]:[setting]],0), MATCH(AA$277, lmic_raw_ub[#Headers],0)))</f>
        <v>7.298815557239628</v>
      </c>
      <c r="AB331" s="84">
        <f>IF(INDEX(lmic_raw_ub[],MATCH($A331,lmic_raw_ub[[setting]:[setting]],0), MATCH(AB$277, lmic_raw_ub[#Headers],0))=0, INDEX(regions_ub[], MATCH($D331, regions_ub[[setting]:[setting]],0), MATCH(AB$139, regions_ub[#Headers],0)),INDEX(lmic_raw_ub[],MATCH($A331,lmic_raw_ub[[setting]:[setting]],0), MATCH(AB$277, lmic_raw_ub[#Headers],0)))</f>
        <v>7.3217055572396283</v>
      </c>
      <c r="AC331" s="84">
        <f>IF(INDEX(lmic_raw_ub[],MATCH($A331,lmic_raw_ub[[setting]:[setting]],0), MATCH(AC$277, lmic_raw_ub[#Headers],0))=0, INDEX(regions_ub[], MATCH($D331, regions_ub[[setting]:[setting]],0), MATCH(AC$139, regions_ub[#Headers],0)),INDEX(lmic_raw_ub[],MATCH($A331,lmic_raw_ub[[setting]:[setting]],0), MATCH(AC$277, lmic_raw_ub[#Headers],0)))</f>
        <v>1.5792073499999979E-2</v>
      </c>
      <c r="AD331" s="84">
        <f>IF(INDEX(lmic_raw_ub[],MATCH($A331,lmic_raw_ub[[setting]:[setting]],0), MATCH(AD$277, lmic_raw_ub[#Headers],0))=0, INDEX(regions_ub[], MATCH($D331, regions_ub[[setting]:[setting]],0), MATCH(AD$139, regions_ub[#Headers],0)),INDEX(lmic_raw_ub[],MATCH($A331,lmic_raw_ub[[setting]:[setting]],0), MATCH(AD$277, lmic_raw_ub[#Headers],0)))</f>
        <v>1.6717639467830933E-3</v>
      </c>
      <c r="AE331" s="84">
        <f>IF(INDEX(lmic_raw_ub[],MATCH($A331,lmic_raw_ub[[setting]:[setting]],0), MATCH(AE$277, lmic_raw_ub[#Headers],0))=0, INDEX(regions_ub[], MATCH($D331, regions_ub[[setting]:[setting]],0), MATCH(AE$139, regions_ub[#Headers],0)),INDEX(lmic_raw_ub[],MATCH($A331,lmic_raw_ub[[setting]:[setting]],0), MATCH(AE$277, lmic_raw_ub[#Headers],0)))</f>
        <v>9.0188754814369773E-4</v>
      </c>
      <c r="AF331" s="84">
        <f>IF(INDEX(lmic_raw_ub[],MATCH($A331,lmic_raw_ub[[setting]:[setting]],0), MATCH(AF$277, lmic_raw_ub[#Headers],0))=0, INDEX(regions_ub[], MATCH($D331, regions_ub[[setting]:[setting]],0), MATCH(AF$139, regions_ub[#Headers],0)),INDEX(lmic_raw_ub[],MATCH($A331,lmic_raw_ub[[setting]:[setting]],0), MATCH(AF$277, lmic_raw_ub[#Headers],0)))</f>
        <v>7.293703727815435E-4</v>
      </c>
      <c r="AG331" s="84">
        <f>IF(INDEX(lmic_raw_ub[],MATCH($A331,lmic_raw_ub[[setting]:[setting]],0), MATCH(AG$277, lmic_raw_ub[#Headers],0))=0, INDEX(regions_ub[], MATCH($D331, regions_ub[[setting]:[setting]],0), MATCH(AG$139, regions_ub[#Headers],0)),INDEX(lmic_raw_ub[],MATCH($A331,lmic_raw_ub[[setting]:[setting]],0), MATCH(AG$277, lmic_raw_ub[#Headers],0)))</f>
        <v>1.0476176304721121E-3</v>
      </c>
      <c r="AH331" s="84">
        <f>IF(INDEX(lmic_raw_ub[],MATCH($A331,lmic_raw_ub[[setting]:[setting]],0), MATCH(AH$277, lmic_raw_ub[#Headers],0))=0, INDEX(regions_ub[], MATCH($D331, regions_ub[[setting]:[setting]],0), MATCH(AH$139, regions_ub[#Headers],0)),INDEX(lmic_raw_ub[],MATCH($A331,lmic_raw_ub[[setting]:[setting]],0), MATCH(AH$277, lmic_raw_ub[#Headers],0)))</f>
        <v>1.5322109579639107E-3</v>
      </c>
      <c r="AI331" s="84">
        <f>IF(INDEX(lmic_raw_ub[],MATCH($A331,lmic_raw_ub[[setting]:[setting]],0), MATCH(AI$277, lmic_raw_ub[#Headers],0))=0, INDEX(regions_ub[], MATCH($D331, regions_ub[[setting]:[setting]],0), MATCH(AI$139, regions_ub[#Headers],0)),INDEX(lmic_raw_ub[],MATCH($A331,lmic_raw_ub[[setting]:[setting]],0), MATCH(AI$277, lmic_raw_ub[#Headers],0)))</f>
        <v>2.0238888702855222E-3</v>
      </c>
      <c r="AJ331" s="84">
        <f>IF(INDEX(lmic_raw_ub[],MATCH($A331,lmic_raw_ub[[setting]:[setting]],0), MATCH(AJ$277, lmic_raw_ub[#Headers],0))=0, INDEX(regions_ub[], MATCH($D331, regions_ub[[setting]:[setting]],0), MATCH(AJ$139, regions_ub[#Headers],0)),INDEX(lmic_raw_ub[],MATCH($A331,lmic_raw_ub[[setting]:[setting]],0), MATCH(AJ$277, lmic_raw_ub[#Headers],0)))</f>
        <v>2.4914288009719454E-3</v>
      </c>
      <c r="AK331" s="84">
        <f>IF(INDEX(lmic_raw_ub[],MATCH($A331,lmic_raw_ub[[setting]:[setting]],0), MATCH(AK$277, lmic_raw_ub[#Headers],0))=0, INDEX(regions_ub[], MATCH($D331, regions_ub[[setting]:[setting]],0), MATCH(AK$139, regions_ub[#Headers],0)),INDEX(lmic_raw_ub[],MATCH($A331,lmic_raw_ub[[setting]:[setting]],0), MATCH(AK$277, lmic_raw_ub[#Headers],0)))</f>
        <v>2.973814171014646E-3</v>
      </c>
      <c r="AL331" s="84">
        <f>IF(INDEX(lmic_raw_ub[],MATCH($A331,lmic_raw_ub[[setting]:[setting]],0), MATCH(AL$277, lmic_raw_ub[#Headers],0))=0, INDEX(regions_ub[], MATCH($D331, regions_ub[[setting]:[setting]],0), MATCH(AL$139, regions_ub[#Headers],0)),INDEX(lmic_raw_ub[],MATCH($A331,lmic_raw_ub[[setting]:[setting]],0), MATCH(AL$277, lmic_raw_ub[#Headers],0)))</f>
        <v>3.5712719514487583E-3</v>
      </c>
      <c r="AM331" s="84">
        <f>IF(INDEX(lmic_raw_ub[],MATCH($A331,lmic_raw_ub[[setting]:[setting]],0), MATCH(AM$277, lmic_raw_ub[#Headers],0))=0, INDEX(regions_ub[], MATCH($D331, regions_ub[[setting]:[setting]],0), MATCH(AM$139, regions_ub[#Headers],0)),INDEX(lmic_raw_ub[],MATCH($A331,lmic_raw_ub[[setting]:[setting]],0), MATCH(AM$277, lmic_raw_ub[#Headers],0)))</f>
        <v>4.4353964606050145E-3</v>
      </c>
      <c r="AN331" s="84">
        <f>IF(INDEX(lmic_raw_ub[],MATCH($A331,lmic_raw_ub[[setting]:[setting]],0), MATCH(AN$277, lmic_raw_ub[#Headers],0))=0, INDEX(regions_ub[], MATCH($D331, regions_ub[[setting]:[setting]],0), MATCH(AN$139, regions_ub[#Headers],0)),INDEX(lmic_raw_ub[],MATCH($A331,lmic_raw_ub[[setting]:[setting]],0), MATCH(AN$277, lmic_raw_ub[#Headers],0)))</f>
        <v>5.797216795984458E-3</v>
      </c>
      <c r="AO331" s="84">
        <f>IF(INDEX(lmic_raw_ub[],MATCH($A331,lmic_raw_ub[[setting]:[setting]],0), MATCH(AO$277, lmic_raw_ub[#Headers],0))=0, INDEX(regions_ub[], MATCH($D331, regions_ub[[setting]:[setting]],0), MATCH(AO$139, regions_ub[#Headers],0)),INDEX(lmic_raw_ub[],MATCH($A331,lmic_raw_ub[[setting]:[setting]],0), MATCH(AO$277, lmic_raw_ub[#Headers],0)))</f>
        <v>8.0036799474726798E-3</v>
      </c>
      <c r="AP331" s="84">
        <f>IF(INDEX(lmic_raw_ub[],MATCH($A331,lmic_raw_ub[[setting]:[setting]],0), MATCH(AP$277, lmic_raw_ub[#Headers],0))=0, INDEX(regions_ub[], MATCH($D331, regions_ub[[setting]:[setting]],0), MATCH(AP$139, regions_ub[#Headers],0)),INDEX(lmic_raw_ub[],MATCH($A331,lmic_raw_ub[[setting]:[setting]],0), MATCH(AP$277, lmic_raw_ub[#Headers],0)))</f>
        <v>1.1584147559840711E-2</v>
      </c>
      <c r="AQ331" s="84">
        <f>IF(INDEX(lmic_raw_ub[],MATCH($A331,lmic_raw_ub[[setting]:[setting]],0), MATCH(AQ$277, lmic_raw_ub[#Headers],0))=0, INDEX(regions_ub[], MATCH($D331, regions_ub[[setting]:[setting]],0), MATCH(AQ$139, regions_ub[#Headers],0)),INDEX(lmic_raw_ub[],MATCH($A331,lmic_raw_ub[[setting]:[setting]],0), MATCH(AQ$277, lmic_raw_ub[#Headers],0)))</f>
        <v>1.7335642049845654E-2</v>
      </c>
      <c r="AR331" s="84">
        <f>IF(INDEX(lmic_raw_ub[],MATCH($A331,lmic_raw_ub[[setting]:[setting]],0), MATCH(AR$277, lmic_raw_ub[#Headers],0))=0, INDEX(regions_ub[], MATCH($D331, regions_ub[[setting]:[setting]],0), MATCH(AR$139, regions_ub[#Headers],0)),INDEX(lmic_raw_ub[],MATCH($A331,lmic_raw_ub[[setting]:[setting]],0), MATCH(AR$277, lmic_raw_ub[#Headers],0)))</f>
        <v>2.6394264605353469E-2</v>
      </c>
      <c r="AS331" s="84">
        <f>IF(INDEX(lmic_raw_ub[],MATCH($A331,lmic_raw_ub[[setting]:[setting]],0), MATCH(AS$277, lmic_raw_ub[#Headers],0))=0, INDEX(regions_ub[], MATCH($D331, regions_ub[[setting]:[setting]],0), MATCH(AS$139, regions_ub[#Headers],0)),INDEX(lmic_raw_ub[],MATCH($A331,lmic_raw_ub[[setting]:[setting]],0), MATCH(AS$277, lmic_raw_ub[#Headers],0)))</f>
        <v>4.0219273780321488E-2</v>
      </c>
      <c r="AT331" s="84">
        <f>IF(INDEX(lmic_raw_ub[],MATCH($A331,lmic_raw_ub[[setting]:[setting]],0), MATCH(AT$277, lmic_raw_ub[#Headers],0))=0, INDEX(regions_ub[], MATCH($D331, regions_ub[[setting]:[setting]],0), MATCH(AT$139, regions_ub[#Headers],0)),INDEX(lmic_raw_ub[],MATCH($A331,lmic_raw_ub[[setting]:[setting]],0), MATCH(AT$277, lmic_raw_ub[#Headers],0)))</f>
        <v>6.0312289412620346E-2</v>
      </c>
      <c r="AU331" s="84">
        <f>IF(INDEX(lmic_raw_ub[],MATCH($A331,lmic_raw_ub[[setting]:[setting]],0), MATCH(AU$277, lmic_raw_ub[#Headers],0))=0, INDEX(regions_ub[], MATCH($D331, regions_ub[[setting]:[setting]],0), MATCH(AU$139, regions_ub[#Headers],0)),INDEX(lmic_raw_ub[],MATCH($A331,lmic_raw_ub[[setting]:[setting]],0), MATCH(AU$277, lmic_raw_ub[#Headers],0)))</f>
        <v>8.7474377440953904E-2</v>
      </c>
      <c r="AV331" s="84">
        <f>IF(INDEX(lmic_raw_ub[],MATCH($A331,lmic_raw_ub[[setting]:[setting]],0), MATCH(AV$277, lmic_raw_ub[#Headers],0))=0, INDEX(regions_ub[], MATCH($D331, regions_ub[[setting]:[setting]],0), MATCH(AV$139, regions_ub[#Headers],0)),INDEX(lmic_raw_ub[],MATCH($A331,lmic_raw_ub[[setting]:[setting]],0), MATCH(AV$277, lmic_raw_ub[#Headers],0)))</f>
        <v>0.12046970838195394</v>
      </c>
      <c r="AW331" s="84">
        <f>IF(INDEX(lmic_raw_ub[],MATCH($A331,lmic_raw_ub[[setting]:[setting]],0), MATCH(AW$277, lmic_raw_ub[#Headers],0))=0, INDEX(regions_ub[], MATCH($D331, regions_ub[[setting]:[setting]],0), MATCH(AW$139, regions_ub[#Headers],0)),INDEX(lmic_raw_ub[],MATCH($A331,lmic_raw_ub[[setting]:[setting]],0), MATCH(AW$277, lmic_raw_ub[#Headers],0)))</f>
        <v>0.15680807090473531</v>
      </c>
      <c r="AX331" s="84">
        <f>IF(INDEX(lmic_raw_ub[],MATCH($A331,lmic_raw_ub[[setting]:[setting]],0), MATCH(AX$277, lmic_raw_ub[#Headers],0))=0, INDEX(regions_ub[], MATCH($D331, regions_ub[[setting]:[setting]],0), MATCH(AX$139, regions_ub[#Headers],0)),INDEX(lmic_raw_ub[],MATCH($A331,lmic_raw_ub[[setting]:[setting]],0), MATCH(AX$277, lmic_raw_ub[#Headers],0)))</f>
        <v>78.741600000000005</v>
      </c>
      <c r="AY331" s="33" t="str">
        <f>IF(VLOOKUP(lmics_ub[[#This Row],[setting]],lmic_raw_ub[],11,FALSE)=0, "Yes", "No")</f>
        <v>No</v>
      </c>
    </row>
    <row r="332" spans="1:51" x14ac:dyDescent="0.25">
      <c r="A332" s="109" t="s">
        <v>194</v>
      </c>
      <c r="B332" s="101" t="s">
        <v>438</v>
      </c>
      <c r="C332" s="102">
        <v>356</v>
      </c>
      <c r="D332" s="82" t="s">
        <v>680</v>
      </c>
      <c r="E332" s="82" t="s">
        <v>589</v>
      </c>
      <c r="F332" s="82" t="s">
        <v>589</v>
      </c>
      <c r="G332" s="82" t="s">
        <v>678</v>
      </c>
      <c r="J332" s="84">
        <f>IF(INDEX(lmic_raw_ub[],MATCH($A332,lmic_raw_ub[[setting]:[setting]],0), MATCH(J$277, lmic_raw_ub[#Headers],0))=0, INDEX(regions_ub[], MATCH($D332, regions_ub[[setting]:[setting]],0), MATCH(J$139, regions_ub[#Headers],0)),INDEX(lmic_raw_ub[],MATCH($A332,lmic_raw_ub[[setting]:[setting]],0), MATCH(J$277, lmic_raw_ub[#Headers],0)))</f>
        <v>0.82845000000000002</v>
      </c>
      <c r="K332" s="84">
        <f>IF(INDEX(lmic_raw_ub[],MATCH($A332,lmic_raw_ub[[setting]:[setting]],0), MATCH(K$277, lmic_raw_ub[#Headers],0))=0, INDEX(regions_ub[], MATCH($D332, regions_ub[[setting]:[setting]],0), MATCH(K$139, regions_ub[#Headers],0)),INDEX(lmic_raw_ub[],MATCH($A332,lmic_raw_ub[[setting]:[setting]],0), MATCH(K$277, lmic_raw_ub[#Headers],0)))</f>
        <v>0.58800000000000008</v>
      </c>
      <c r="L332" s="84">
        <f>IF(INDEX(lmic_raw_ub[],MATCH($A332,lmic_raw_ub[[setting]:[setting]],0), MATCH(L$277, lmic_raw_ub[#Headers],0))=0, INDEX(regions_ub[], MATCH($D332, regions_ub[[setting]:[setting]],0), MATCH(L$139, regions_ub[#Headers],0)),INDEX(lmic_raw_ub[],MATCH($A332,lmic_raw_ub[[setting]:[setting]],0), MATCH(L$277, lmic_raw_ub[#Headers],0)))</f>
        <v>0.95550000000000013</v>
      </c>
      <c r="M332" s="84">
        <f>IF(INDEX(lmic_raw_ub[],MATCH($A332,lmic_raw_ub[[setting]:[setting]],0), MATCH(M$277, lmic_raw_ub[#Headers],0))=0, INDEX(regions_ub[], MATCH($D332, regions_ub[[setting]:[setting]],0), MATCH(M$139, regions_ub[#Headers],0)),INDEX(lmic_raw_ub[],MATCH($A332,lmic_raw_ub[[setting]:[setting]],0), MATCH(M$277, lmic_raw_ub[#Headers],0)))</f>
        <v>2.0199999999999999E-2</v>
      </c>
      <c r="N332" s="84">
        <f>IF(INDEX(lmic_raw_ub[],MATCH($A332,lmic_raw_ub[[setting]:[setting]],0), MATCH(N$277, lmic_raw_ub[#Headers],0))=0, INDEX(regions_ub[], MATCH($D332, regions_ub[[setting]:[setting]],0), MATCH(N$139, regions_ub[#Headers],0)),INDEX(lmic_raw_ub[],MATCH($A332,lmic_raw_ub[[setting]:[setting]],0), MATCH(N$277, lmic_raw_ub[#Headers],0)))</f>
        <v>0.35830000000000001</v>
      </c>
      <c r="O332" s="84">
        <f>IF(INDEX(lmic_raw_ub[],MATCH($A332,lmic_raw_ub[[setting]:[setting]],0), MATCH(O$277, lmic_raw_ub[#Headers],0))=0, INDEX(regions_ub[], MATCH($D332, regions_ub[[setting]:[setting]],0), MATCH(O$139, regions_ub[#Headers],0)),INDEX(lmic_raw_ub[],MATCH($A332,lmic_raw_ub[[setting]:[setting]],0), MATCH(O$277, lmic_raw_ub[#Headers],0)))</f>
        <v>0.9</v>
      </c>
      <c r="P332" s="84">
        <f>IF(INDEX(lmic_raw_ub[],MATCH($A332,lmic_raw_ub[[setting]:[setting]],0), MATCH(P$277, lmic_raw_ub[#Headers],0))=0, INDEX(regions_ub[], MATCH($D332, regions_ub[[setting]:[setting]],0), MATCH(P$139, regions_ub[#Headers],0)),INDEX(lmic_raw_ub[],MATCH($A332,lmic_raw_ub[[setting]:[setting]],0), MATCH(P$277, lmic_raw_ub[#Headers],0)))</f>
        <v>0.3</v>
      </c>
      <c r="Q332" s="84">
        <f>IF(INDEX(lmic_raw_ub[],MATCH($A332,lmic_raw_ub[[setting]:[setting]],0), MATCH(Q$277, lmic_raw_ub[#Headers],0))=0, INDEX(regions_ub[], MATCH($D332, regions_ub[[setting]:[setting]],0), MATCH(Q$139, regions_ub[#Headers],0)),INDEX(lmic_raw_ub[],MATCH($A332,lmic_raw_ub[[setting]:[setting]],0), MATCH(Q$277, lmic_raw_ub[#Headers],0)))</f>
        <v>4.0498902102755032</v>
      </c>
      <c r="R332" s="84">
        <f>IF(INDEX(lmic_raw_ub[],MATCH($A332,lmic_raw_ub[[setting]:[setting]],0), MATCH(R$277, lmic_raw_ub[#Headers],0))=0, INDEX(regions_ub[], MATCH($D332, regions_ub[[setting]:[setting]],0), MATCH(R$139, regions_ub[#Headers],0)),INDEX(lmic_raw_ub[],MATCH($A332,lmic_raw_ub[[setting]:[setting]],0), MATCH(R$277, lmic_raw_ub[#Headers],0)))</f>
        <v>48.194895000000002</v>
      </c>
      <c r="S332" s="84">
        <f>IF(INDEX(lmic_raw_ub[],MATCH($A332,lmic_raw_ub[[setting]:[setting]],0), MATCH(S$277, lmic_raw_ub[#Headers],0))=0, INDEX(regions_ub[], MATCH($D332, regions_ub[[setting]:[setting]],0), MATCH(S$139, regions_ub[#Headers],0)),INDEX(lmic_raw_ub[],MATCH($A332,lmic_raw_ub[[setting]:[setting]],0), MATCH(S$277, lmic_raw_ub[#Headers],0)))</f>
        <v>98.323995000000011</v>
      </c>
      <c r="T332" s="84">
        <f>IF(INDEX(lmic_raw_ub[],MATCH($A332,lmic_raw_ub[[setting]:[setting]],0), MATCH(T$277, lmic_raw_ub[#Headers],0))=0, INDEX(regions_ub[], MATCH($D332, regions_ub[[setting]:[setting]],0), MATCH(T$139, regions_ub[#Headers],0)),INDEX(lmic_raw_ub[],MATCH($A332,lmic_raw_ub[[setting]:[setting]],0), MATCH(T$277, lmic_raw_ub[#Headers],0)))</f>
        <v>98.323995000000011</v>
      </c>
      <c r="U332" s="84">
        <f>IF(INDEX(lmic_raw_ub[],MATCH($A332,lmic_raw_ub[[setting]:[setting]],0), MATCH(U$277, lmic_raw_ub[#Headers],0))=0, INDEX(regions_ub[], MATCH($D332, regions_ub[[setting]:[setting]],0), MATCH(U$139, regions_ub[#Headers],0)),INDEX(lmic_raw_ub[],MATCH($A332,lmic_raw_ub[[setting]:[setting]],0), MATCH(U$277, lmic_raw_ub[#Headers],0)))</f>
        <v>98.323995000000011</v>
      </c>
      <c r="V332" s="84">
        <f>IF(INDEX(lmic_raw_ub[],MATCH($A332,lmic_raw_ub[[setting]:[setting]],0), MATCH(V$277, lmic_raw_ub[#Headers],0))=0, INDEX(regions_ub[], MATCH($D332, regions_ub[[setting]:[setting]],0), MATCH(V$139, regions_ub[#Headers],0)),INDEX(lmic_raw_ub[],MATCH($A332,lmic_raw_ub[[setting]:[setting]],0), MATCH(V$277, lmic_raw_ub[#Headers],0)))</f>
        <v>3.5850488222521313</v>
      </c>
      <c r="W332" s="84">
        <f>IF(INDEX(lmic_raw_ub[],MATCH($A332,lmic_raw_ub[[setting]:[setting]],0), MATCH(W$277, lmic_raw_ub[#Headers],0))=0, INDEX(regions_ub[], MATCH($D332, regions_ub[[setting]:[setting]],0), MATCH(W$139, regions_ub[#Headers],0)),INDEX(lmic_raw_ub[],MATCH($A332,lmic_raw_ub[[setting]:[setting]],0), MATCH(W$277, lmic_raw_ub[#Headers],0)))</f>
        <v>6.1575488222521315</v>
      </c>
      <c r="X332" s="84">
        <f>IF(INDEX(lmic_raw_ub[],MATCH($A332,lmic_raw_ub[[setting]:[setting]],0), MATCH(X$277, lmic_raw_ub[#Headers],0))=0, INDEX(regions_ub[], MATCH($D332, regions_ub[[setting]:[setting]],0), MATCH(X$139, regions_ub[#Headers],0)),INDEX(lmic_raw_ub[],MATCH($A332,lmic_raw_ub[[setting]:[setting]],0), MATCH(X$277, lmic_raw_ub[#Headers],0)))</f>
        <v>3.0779513173364084</v>
      </c>
      <c r="Y332" s="84">
        <f>IF(INDEX(lmic_raw_ub[],MATCH($A332,lmic_raw_ub[[setting]:[setting]],0), MATCH(Y$277, lmic_raw_ub[#Headers],0))=0, INDEX(regions_ub[], MATCH($D332, regions_ub[[setting]:[setting]],0), MATCH(Y$139, regions_ub[#Headers],0)),INDEX(lmic_raw_ub[],MATCH($A332,lmic_raw_ub[[setting]:[setting]],0), MATCH(Y$277, lmic_raw_ub[#Headers],0)))</f>
        <v>5.6504513173364082</v>
      </c>
      <c r="Z332" s="84">
        <f>IF(INDEX(lmic_raw_ub[],MATCH($A332,lmic_raw_ub[[setting]:[setting]],0), MATCH(Z$277, lmic_raw_ub[#Headers],0))=0, INDEX(regions_ub[], MATCH($D332, regions_ub[[setting]:[setting]],0), MATCH(Z$139, regions_ub[#Headers],0)),INDEX(lmic_raw_ub[],MATCH($A332,lmic_raw_ub[[setting]:[setting]],0), MATCH(Z$277, lmic_raw_ub[#Headers],0)))</f>
        <v>5.6368525855415452</v>
      </c>
      <c r="AA332" s="84">
        <f>IF(INDEX(lmic_raw_ub[],MATCH($A332,lmic_raw_ub[[setting]:[setting]],0), MATCH(AA$277, lmic_raw_ub[#Headers],0))=0, INDEX(regions_ub[], MATCH($D332, regions_ub[[setting]:[setting]],0), MATCH(AA$139, regions_ub[#Headers],0)),INDEX(lmic_raw_ub[],MATCH($A332,lmic_raw_ub[[setting]:[setting]],0), MATCH(AA$277, lmic_raw_ub[#Headers],0)))</f>
        <v>3.8562312896435769</v>
      </c>
      <c r="AB332" s="84">
        <f>IF(INDEX(lmic_raw_ub[],MATCH($A332,lmic_raw_ub[[setting]:[setting]],0), MATCH(AB$277, lmic_raw_ub[#Headers],0))=0, INDEX(regions_ub[], MATCH($D332, regions_ub[[setting]:[setting]],0), MATCH(AB$139, regions_ub[#Headers],0)),INDEX(lmic_raw_ub[],MATCH($A332,lmic_raw_ub[[setting]:[setting]],0), MATCH(AB$277, lmic_raw_ub[#Headers],0)))</f>
        <v>6.4287312896435775</v>
      </c>
      <c r="AC332" s="84">
        <f>IF(INDEX(lmic_raw_ub[],MATCH($A332,lmic_raw_ub[[setting]:[setting]],0), MATCH(AC$277, lmic_raw_ub[#Headers],0))=0, INDEX(regions_ub[], MATCH($D332, regions_ub[[setting]:[setting]],0), MATCH(AC$139, regions_ub[#Headers],0)),INDEX(lmic_raw_ub[],MATCH($A332,lmic_raw_ub[[setting]:[setting]],0), MATCH(AC$277, lmic_raw_ub[#Headers],0)))</f>
        <v>3.3600000000000005E-2</v>
      </c>
      <c r="AD332" s="84">
        <f>IF(INDEX(lmic_raw_ub[],MATCH($A332,lmic_raw_ub[[setting]:[setting]],0), MATCH(AD$277, lmic_raw_ub[#Headers],0))=0, INDEX(regions_ub[], MATCH($D332, regions_ub[[setting]:[setting]],0), MATCH(AD$139, regions_ub[#Headers],0)),INDEX(lmic_raw_ub[],MATCH($A332,lmic_raw_ub[[setting]:[setting]],0), MATCH(AD$277, lmic_raw_ub[#Headers],0)))</f>
        <v>2.0081846590909126E-3</v>
      </c>
      <c r="AE332" s="84">
        <f>IF(INDEX(lmic_raw_ub[],MATCH($A332,lmic_raw_ub[[setting]:[setting]],0), MATCH(AE$277, lmic_raw_ub[#Headers],0))=0, INDEX(regions_ub[], MATCH($D332, regions_ub[[setting]:[setting]],0), MATCH(AE$139, regions_ub[#Headers],0)),INDEX(lmic_raw_ub[],MATCH($A332,lmic_raw_ub[[setting]:[setting]],0), MATCH(AE$277, lmic_raw_ub[#Headers],0)))</f>
        <v>7.5111822929503907E-4</v>
      </c>
      <c r="AF332" s="84">
        <f>IF(INDEX(lmic_raw_ub[],MATCH($A332,lmic_raw_ub[[setting]:[setting]],0), MATCH(AF$277, lmic_raw_ub[#Headers],0))=0, INDEX(regions_ub[], MATCH($D332, regions_ub[[setting]:[setting]],0), MATCH(AF$139, regions_ub[#Headers],0)),INDEX(lmic_raw_ub[],MATCH($A332,lmic_raw_ub[[setting]:[setting]],0), MATCH(AF$277, lmic_raw_ub[#Headers],0)))</f>
        <v>6.3168579649538678E-4</v>
      </c>
      <c r="AG332" s="84">
        <f>IF(INDEX(lmic_raw_ub[],MATCH($A332,lmic_raw_ub[[setting]:[setting]],0), MATCH(AG$277, lmic_raw_ub[#Headers],0))=0, INDEX(regions_ub[], MATCH($D332, regions_ub[[setting]:[setting]],0), MATCH(AG$139, regions_ub[#Headers],0)),INDEX(lmic_raw_ub[],MATCH($A332,lmic_raw_ub[[setting]:[setting]],0), MATCH(AG$277, lmic_raw_ub[#Headers],0)))</f>
        <v>9.9374396147896529E-4</v>
      </c>
      <c r="AH332" s="84">
        <f>IF(INDEX(lmic_raw_ub[],MATCH($A332,lmic_raw_ub[[setting]:[setting]],0), MATCH(AH$277, lmic_raw_ub[#Headers],0))=0, INDEX(regions_ub[], MATCH($D332, regions_ub[[setting]:[setting]],0), MATCH(AH$139, regions_ub[#Headers],0)),INDEX(lmic_raw_ub[],MATCH($A332,lmic_raw_ub[[setting]:[setting]],0), MATCH(AH$277, lmic_raw_ub[#Headers],0)))</f>
        <v>1.4418757883867452E-3</v>
      </c>
      <c r="AI332" s="84">
        <f>IF(INDEX(lmic_raw_ub[],MATCH($A332,lmic_raw_ub[[setting]:[setting]],0), MATCH(AI$277, lmic_raw_ub[#Headers],0))=0, INDEX(regions_ub[], MATCH($D332, regions_ub[[setting]:[setting]],0), MATCH(AI$139, regions_ub[#Headers],0)),INDEX(lmic_raw_ub[],MATCH($A332,lmic_raw_ub[[setting]:[setting]],0), MATCH(AI$277, lmic_raw_ub[#Headers],0)))</f>
        <v>1.6302938787652668E-3</v>
      </c>
      <c r="AJ332" s="84">
        <f>IF(INDEX(lmic_raw_ub[],MATCH($A332,lmic_raw_ub[[setting]:[setting]],0), MATCH(AJ$277, lmic_raw_ub[#Headers],0))=0, INDEX(regions_ub[], MATCH($D332, regions_ub[[setting]:[setting]],0), MATCH(AJ$139, regions_ub[#Headers],0)),INDEX(lmic_raw_ub[],MATCH($A332,lmic_raw_ub[[setting]:[setting]],0), MATCH(AJ$277, lmic_raw_ub[#Headers],0)))</f>
        <v>2.0806540712741571E-3</v>
      </c>
      <c r="AK332" s="84">
        <f>IF(INDEX(lmic_raw_ub[],MATCH($A332,lmic_raw_ub[[setting]:[setting]],0), MATCH(AK$277, lmic_raw_ub[#Headers],0))=0, INDEX(regions_ub[], MATCH($D332, regions_ub[[setting]:[setting]],0), MATCH(AK$139, regions_ub[#Headers],0)),INDEX(lmic_raw_ub[],MATCH($A332,lmic_raw_ub[[setting]:[setting]],0), MATCH(AK$277, lmic_raw_ub[#Headers],0)))</f>
        <v>2.8809037149678733E-3</v>
      </c>
      <c r="AL332" s="84">
        <f>IF(INDEX(lmic_raw_ub[],MATCH($A332,lmic_raw_ub[[setting]:[setting]],0), MATCH(AL$277, lmic_raw_ub[#Headers],0))=0, INDEX(regions_ub[], MATCH($D332, regions_ub[[setting]:[setting]],0), MATCH(AL$139, regions_ub[#Headers],0)),INDEX(lmic_raw_ub[],MATCH($A332,lmic_raw_ub[[setting]:[setting]],0), MATCH(AL$277, lmic_raw_ub[#Headers],0)))</f>
        <v>3.8737288411454128E-3</v>
      </c>
      <c r="AM332" s="84">
        <f>IF(INDEX(lmic_raw_ub[],MATCH($A332,lmic_raw_ub[[setting]:[setting]],0), MATCH(AM$277, lmic_raw_ub[#Headers],0))=0, INDEX(regions_ub[], MATCH($D332, regions_ub[[setting]:[setting]],0), MATCH(AM$139, regions_ub[#Headers],0)),INDEX(lmic_raw_ub[],MATCH($A332,lmic_raw_ub[[setting]:[setting]],0), MATCH(AM$277, lmic_raw_ub[#Headers],0)))</f>
        <v>5.5633275713169424E-3</v>
      </c>
      <c r="AN332" s="84">
        <f>IF(INDEX(lmic_raw_ub[],MATCH($A332,lmic_raw_ub[[setting]:[setting]],0), MATCH(AN$277, lmic_raw_ub[#Headers],0))=0, INDEX(regions_ub[], MATCH($D332, regions_ub[[setting]:[setting]],0), MATCH(AN$139, regions_ub[#Headers],0)),INDEX(lmic_raw_ub[],MATCH($A332,lmic_raw_ub[[setting]:[setting]],0), MATCH(AN$277, lmic_raw_ub[#Headers],0)))</f>
        <v>8.9025352994668728E-3</v>
      </c>
      <c r="AO332" s="84">
        <f>IF(INDEX(lmic_raw_ub[],MATCH($A332,lmic_raw_ub[[setting]:[setting]],0), MATCH(AO$277, lmic_raw_ub[#Headers],0))=0, INDEX(regions_ub[], MATCH($D332, regions_ub[[setting]:[setting]],0), MATCH(AO$139, regions_ub[#Headers],0)),INDEX(lmic_raw_ub[],MATCH($A332,lmic_raw_ub[[setting]:[setting]],0), MATCH(AO$277, lmic_raw_ub[#Headers],0)))</f>
        <v>1.3227090473912609E-2</v>
      </c>
      <c r="AP332" s="84">
        <f>IF(INDEX(lmic_raw_ub[],MATCH($A332,lmic_raw_ub[[setting]:[setting]],0), MATCH(AP$277, lmic_raw_ub[#Headers],0))=0, INDEX(regions_ub[], MATCH($D332, regions_ub[[setting]:[setting]],0), MATCH(AP$139, regions_ub[#Headers],0)),INDEX(lmic_raw_ub[],MATCH($A332,lmic_raw_ub[[setting]:[setting]],0), MATCH(AP$277, lmic_raw_ub[#Headers],0)))</f>
        <v>1.9527255378280872E-2</v>
      </c>
      <c r="AQ332" s="84">
        <f>IF(INDEX(lmic_raw_ub[],MATCH($A332,lmic_raw_ub[[setting]:[setting]],0), MATCH(AQ$277, lmic_raw_ub[#Headers],0))=0, INDEX(regions_ub[], MATCH($D332, regions_ub[[setting]:[setting]],0), MATCH(AQ$139, regions_ub[#Headers],0)),INDEX(lmic_raw_ub[],MATCH($A332,lmic_raw_ub[[setting]:[setting]],0), MATCH(AQ$277, lmic_raw_ub[#Headers],0)))</f>
        <v>2.9292368121390539E-2</v>
      </c>
      <c r="AR332" s="84">
        <f>IF(INDEX(lmic_raw_ub[],MATCH($A332,lmic_raw_ub[[setting]:[setting]],0), MATCH(AR$277, lmic_raw_ub[#Headers],0))=0, INDEX(regions_ub[], MATCH($D332, regions_ub[[setting]:[setting]],0), MATCH(AR$139, regions_ub[#Headers],0)),INDEX(lmic_raw_ub[],MATCH($A332,lmic_raw_ub[[setting]:[setting]],0), MATCH(AR$277, lmic_raw_ub[#Headers],0)))</f>
        <v>4.4992146679166824E-2</v>
      </c>
      <c r="AS332" s="84">
        <f>IF(INDEX(lmic_raw_ub[],MATCH($A332,lmic_raw_ub[[setting]:[setting]],0), MATCH(AS$277, lmic_raw_ub[#Headers],0))=0, INDEX(regions_ub[], MATCH($D332, regions_ub[[setting]:[setting]],0), MATCH(AS$139, regions_ub[#Headers],0)),INDEX(lmic_raw_ub[],MATCH($A332,lmic_raw_ub[[setting]:[setting]],0), MATCH(AS$277, lmic_raw_ub[#Headers],0)))</f>
        <v>6.3713977040217709E-2</v>
      </c>
      <c r="AT332" s="84">
        <f>IF(INDEX(lmic_raw_ub[],MATCH($A332,lmic_raw_ub[[setting]:[setting]],0), MATCH(AT$277, lmic_raw_ub[#Headers],0))=0, INDEX(regions_ub[], MATCH($D332, regions_ub[[setting]:[setting]],0), MATCH(AT$139, regions_ub[#Headers],0)),INDEX(lmic_raw_ub[],MATCH($A332,lmic_raw_ub[[setting]:[setting]],0), MATCH(AT$277, lmic_raw_ub[#Headers],0)))</f>
        <v>9.0951123657178709E-2</v>
      </c>
      <c r="AU332" s="84">
        <f>IF(INDEX(lmic_raw_ub[],MATCH($A332,lmic_raw_ub[[setting]:[setting]],0), MATCH(AU$277, lmic_raw_ub[#Headers],0))=0, INDEX(regions_ub[], MATCH($D332, regions_ub[[setting]:[setting]],0), MATCH(AU$139, regions_ub[#Headers],0)),INDEX(lmic_raw_ub[],MATCH($A332,lmic_raw_ub[[setting]:[setting]],0), MATCH(AU$277, lmic_raw_ub[#Headers],0)))</f>
        <v>0.12180646425240672</v>
      </c>
      <c r="AV332" s="84">
        <f>IF(INDEX(lmic_raw_ub[],MATCH($A332,lmic_raw_ub[[setting]:[setting]],0), MATCH(AV$277, lmic_raw_ub[#Headers],0))=0, INDEX(regions_ub[], MATCH($D332, regions_ub[[setting]:[setting]],0), MATCH(AV$139, regions_ub[#Headers],0)),INDEX(lmic_raw_ub[],MATCH($A332,lmic_raw_ub[[setting]:[setting]],0), MATCH(AV$277, lmic_raw_ub[#Headers],0)))</f>
        <v>0.15026254255736265</v>
      </c>
      <c r="AW332" s="84">
        <f>IF(INDEX(lmic_raw_ub[],MATCH($A332,lmic_raw_ub[[setting]:[setting]],0), MATCH(AW$277, lmic_raw_ub[#Headers],0))=0, INDEX(regions_ub[], MATCH($D332, regions_ub[[setting]:[setting]],0), MATCH(AW$139, regions_ub[#Headers],0)),INDEX(lmic_raw_ub[],MATCH($A332,lmic_raw_ub[[setting]:[setting]],0), MATCH(AW$277, lmic_raw_ub[#Headers],0)))</f>
        <v>0.14490689248034472</v>
      </c>
      <c r="AX332" s="84">
        <f>IF(INDEX(lmic_raw_ub[],MATCH($A332,lmic_raw_ub[[setting]:[setting]],0), MATCH(AX$277, lmic_raw_ub[#Headers],0))=0, INDEX(regions_ub[], MATCH($D332, regions_ub[[setting]:[setting]],0), MATCH(AX$139, regions_ub[#Headers],0)),INDEX(lmic_raw_ub[],MATCH($A332,lmic_raw_ub[[setting]:[setting]],0), MATCH(AX$277, lmic_raw_ub[#Headers],0)))</f>
        <v>72.735600000000005</v>
      </c>
      <c r="AY332" s="33" t="str">
        <f>IF(VLOOKUP(lmics_ub[[#This Row],[setting]],lmic_raw_ub[],11,FALSE)=0, "Yes", "No")</f>
        <v>No</v>
      </c>
    </row>
    <row r="333" spans="1:51" x14ac:dyDescent="0.25">
      <c r="A333" s="110" t="s">
        <v>213</v>
      </c>
      <c r="B333" s="104" t="s">
        <v>439</v>
      </c>
      <c r="C333" s="105">
        <v>360</v>
      </c>
      <c r="D333" s="84" t="s">
        <v>680</v>
      </c>
      <c r="E333" s="84" t="s">
        <v>598</v>
      </c>
      <c r="F333" s="84" t="s">
        <v>666</v>
      </c>
      <c r="G333" s="84" t="s">
        <v>678</v>
      </c>
      <c r="J333" s="84">
        <f>IF(INDEX(lmic_raw_ub[],MATCH($A333,lmic_raw_ub[[setting]:[setting]],0), MATCH(J$277, lmic_raw_ub[#Headers],0))=0, INDEX(regions_ub[], MATCH($D333, regions_ub[[setting]:[setting]],0), MATCH(J$139, regions_ub[#Headers],0)),INDEX(lmic_raw_ub[],MATCH($A333,lmic_raw_ub[[setting]:[setting]],0), MATCH(J$277, lmic_raw_ub[#Headers],0)))</f>
        <v>0.82950000000000013</v>
      </c>
      <c r="K333" s="84">
        <f>IF(INDEX(lmic_raw_ub[],MATCH($A333,lmic_raw_ub[[setting]:[setting]],0), MATCH(K$277, lmic_raw_ub[#Headers],0))=0, INDEX(regions_ub[], MATCH($D333, regions_ub[[setting]:[setting]],0), MATCH(K$139, regions_ub[#Headers],0)),INDEX(lmic_raw_ub[],MATCH($A333,lmic_raw_ub[[setting]:[setting]],0), MATCH(K$277, lmic_raw_ub[#Headers],0)))</f>
        <v>0.88200000000000001</v>
      </c>
      <c r="L333" s="84">
        <f>IF(INDEX(lmic_raw_ub[],MATCH($A333,lmic_raw_ub[[setting]:[setting]],0), MATCH(L$277, lmic_raw_ub[#Headers],0))=0, INDEX(regions_ub[], MATCH($D333, regions_ub[[setting]:[setting]],0), MATCH(L$139, regions_ub[#Headers],0)),INDEX(lmic_raw_ub[],MATCH($A333,lmic_raw_ub[[setting]:[setting]],0), MATCH(L$277, lmic_raw_ub[#Headers],0)))</f>
        <v>0.89249999999999996</v>
      </c>
      <c r="M333" s="84">
        <f>IF(INDEX(lmic_raw_ub[],MATCH($A333,lmic_raw_ub[[setting]:[setting]],0), MATCH(M$277, lmic_raw_ub[#Headers],0))=0, INDEX(regions_ub[], MATCH($D333, regions_ub[[setting]:[setting]],0), MATCH(M$139, regions_ub[#Headers],0)),INDEX(lmic_raw_ub[],MATCH($A333,lmic_raw_ub[[setting]:[setting]],0), MATCH(M$277, lmic_raw_ub[#Headers],0)))</f>
        <v>3.1400000000000004E-2</v>
      </c>
      <c r="N333" s="84">
        <f>IF(INDEX(lmic_raw_ub[],MATCH($A333,lmic_raw_ub[[setting]:[setting]],0), MATCH(N$277, lmic_raw_ub[#Headers],0))=0, INDEX(regions_ub[], MATCH($D333, regions_ub[[setting]:[setting]],0), MATCH(N$139, regions_ub[#Headers],0)),INDEX(lmic_raw_ub[],MATCH($A333,lmic_raw_ub[[setting]:[setting]],0), MATCH(N$277, lmic_raw_ub[#Headers],0)))</f>
        <v>0.47729999999999995</v>
      </c>
      <c r="O333" s="84">
        <f>IF(INDEX(lmic_raw_ub[],MATCH($A333,lmic_raw_ub[[setting]:[setting]],0), MATCH(O$277, lmic_raw_ub[#Headers],0))=0, INDEX(regions_ub[], MATCH($D333, regions_ub[[setting]:[setting]],0), MATCH(O$139, regions_ub[#Headers],0)),INDEX(lmic_raw_ub[],MATCH($A333,lmic_raw_ub[[setting]:[setting]],0), MATCH(O$277, lmic_raw_ub[#Headers],0)))</f>
        <v>0.9</v>
      </c>
      <c r="P333" s="84">
        <f>IF(INDEX(lmic_raw_ub[],MATCH($A333,lmic_raw_ub[[setting]:[setting]],0), MATCH(P$277, lmic_raw_ub[#Headers],0))=0, INDEX(regions_ub[], MATCH($D333, regions_ub[[setting]:[setting]],0), MATCH(P$139, regions_ub[#Headers],0)),INDEX(lmic_raw_ub[],MATCH($A333,lmic_raw_ub[[setting]:[setting]],0), MATCH(P$277, lmic_raw_ub[#Headers],0)))</f>
        <v>0.3</v>
      </c>
      <c r="Q333" s="84">
        <f>IF(INDEX(lmic_raw_ub[],MATCH($A333,lmic_raw_ub[[setting]:[setting]],0), MATCH(Q$277, lmic_raw_ub[#Headers],0))=0, INDEX(regions_ub[], MATCH($D333, regions_ub[[setting]:[setting]],0), MATCH(Q$139, regions_ub[#Headers],0)),INDEX(lmic_raw_ub[],MATCH($A333,lmic_raw_ub[[setting]:[setting]],0), MATCH(Q$277, lmic_raw_ub[#Headers],0)))</f>
        <v>5.0344279208583593</v>
      </c>
      <c r="R333" s="84">
        <f>IF(INDEX(lmic_raw_ub[],MATCH($A333,lmic_raw_ub[[setting]:[setting]],0), MATCH(R$277, lmic_raw_ub[#Headers],0))=0, INDEX(regions_ub[], MATCH($D333, regions_ub[[setting]:[setting]],0), MATCH(R$139, regions_ub[#Headers],0)),INDEX(lmic_raw_ub[],MATCH($A333,lmic_raw_ub[[setting]:[setting]],0), MATCH(R$277, lmic_raw_ub[#Headers],0)))</f>
        <v>76.738725000000002</v>
      </c>
      <c r="S333" s="84">
        <f>IF(INDEX(lmic_raw_ub[],MATCH($A333,lmic_raw_ub[[setting]:[setting]],0), MATCH(S$277, lmic_raw_ub[#Headers],0))=0, INDEX(regions_ub[], MATCH($D333, regions_ub[[setting]:[setting]],0), MATCH(S$139, regions_ub[#Headers],0)),INDEX(lmic_raw_ub[],MATCH($A333,lmic_raw_ub[[setting]:[setting]],0), MATCH(S$277, lmic_raw_ub[#Headers],0)))</f>
        <v>126.867825</v>
      </c>
      <c r="T333" s="84">
        <f>IF(INDEX(lmic_raw_ub[],MATCH($A333,lmic_raw_ub[[setting]:[setting]],0), MATCH(T$277, lmic_raw_ub[#Headers],0))=0, INDEX(regions_ub[], MATCH($D333, regions_ub[[setting]:[setting]],0), MATCH(T$139, regions_ub[#Headers],0)),INDEX(lmic_raw_ub[],MATCH($A333,lmic_raw_ub[[setting]:[setting]],0), MATCH(T$277, lmic_raw_ub[#Headers],0)))</f>
        <v>126.867825</v>
      </c>
      <c r="U333" s="84">
        <f>IF(INDEX(lmic_raw_ub[],MATCH($A333,lmic_raw_ub[[setting]:[setting]],0), MATCH(U$277, lmic_raw_ub[#Headers],0))=0, INDEX(regions_ub[], MATCH($D333, regions_ub[[setting]:[setting]],0), MATCH(U$139, regions_ub[#Headers],0)),INDEX(lmic_raw_ub[],MATCH($A333,lmic_raw_ub[[setting]:[setting]],0), MATCH(U$277, lmic_raw_ub[#Headers],0)))</f>
        <v>126.867825</v>
      </c>
      <c r="V333" s="84">
        <f>IF(INDEX(lmic_raw_ub[],MATCH($A333,lmic_raw_ub[[setting]:[setting]],0), MATCH(V$277, lmic_raw_ub[#Headers],0))=0, INDEX(regions_ub[], MATCH($D333, regions_ub[[setting]:[setting]],0), MATCH(V$139, regions_ub[#Headers],0)),INDEX(lmic_raw_ub[],MATCH($A333,lmic_raw_ub[[setting]:[setting]],0), MATCH(V$277, lmic_raw_ub[#Headers],0)))</f>
        <v>4.4050725956494947</v>
      </c>
      <c r="W333" s="84">
        <f>IF(INDEX(lmic_raw_ub[],MATCH($A333,lmic_raw_ub[[setting]:[setting]],0), MATCH(W$277, lmic_raw_ub[#Headers],0))=0, INDEX(regions_ub[], MATCH($D333, regions_ub[[setting]:[setting]],0), MATCH(W$139, regions_ub[#Headers],0)),INDEX(lmic_raw_ub[],MATCH($A333,lmic_raw_ub[[setting]:[setting]],0), MATCH(W$277, lmic_raw_ub[#Headers],0)))</f>
        <v>5.0688825956494945</v>
      </c>
      <c r="X333" s="84">
        <f>IF(INDEX(lmic_raw_ub[],MATCH($A333,lmic_raw_ub[[setting]:[setting]],0), MATCH(X$277, lmic_raw_ub[#Headers],0))=0, INDEX(regions_ub[], MATCH($D333, regions_ub[[setting]:[setting]],0), MATCH(X$139, regions_ub[#Headers],0)),INDEX(lmic_raw_ub[],MATCH($A333,lmic_raw_ub[[setting]:[setting]],0), MATCH(X$277, lmic_raw_ub[#Headers],0)))</f>
        <v>3.876635214525038</v>
      </c>
      <c r="Y333" s="84">
        <f>IF(INDEX(lmic_raw_ub[],MATCH($A333,lmic_raw_ub[[setting]:[setting]],0), MATCH(Y$277, lmic_raw_ub[#Headers],0))=0, INDEX(regions_ub[], MATCH($D333, regions_ub[[setting]:[setting]],0), MATCH(Y$139, regions_ub[#Headers],0)),INDEX(lmic_raw_ub[],MATCH($A333,lmic_raw_ub[[setting]:[setting]],0), MATCH(Y$277, lmic_raw_ub[#Headers],0)))</f>
        <v>4.5404452145250378</v>
      </c>
      <c r="Z333" s="84">
        <f>IF(INDEX(lmic_raw_ub[],MATCH($A333,lmic_raw_ub[[setting]:[setting]],0), MATCH(Z$277, lmic_raw_ub[#Headers],0))=0, INDEX(regions_ub[], MATCH($D333, regions_ub[[setting]:[setting]],0), MATCH(Z$139, regions_ub[#Headers],0)),INDEX(lmic_raw_ub[],MATCH($A333,lmic_raw_ub[[setting]:[setting]],0), MATCH(Z$277, lmic_raw_ub[#Headers],0)))</f>
        <v>4.5157438463912261</v>
      </c>
      <c r="AA333" s="84">
        <f>IF(INDEX(lmic_raw_ub[],MATCH($A333,lmic_raw_ub[[setting]:[setting]],0), MATCH(AA$277, lmic_raw_ub[#Headers],0))=0, INDEX(regions_ub[], MATCH($D333, regions_ub[[setting]:[setting]],0), MATCH(AA$139, regions_ub[#Headers],0)),INDEX(lmic_raw_ub[],MATCH($A333,lmic_raw_ub[[setting]:[setting]],0), MATCH(AA$277, lmic_raw_ub[#Headers],0)))</f>
        <v>4.6810990840208362</v>
      </c>
      <c r="AB333" s="84">
        <f>IF(INDEX(lmic_raw_ub[],MATCH($A333,lmic_raw_ub[[setting]:[setting]],0), MATCH(AB$277, lmic_raw_ub[#Headers],0))=0, INDEX(regions_ub[], MATCH($D333, regions_ub[[setting]:[setting]],0), MATCH(AB$139, regions_ub[#Headers],0)),INDEX(lmic_raw_ub[],MATCH($A333,lmic_raw_ub[[setting]:[setting]],0), MATCH(AB$277, lmic_raw_ub[#Headers],0)))</f>
        <v>5.344909084020836</v>
      </c>
      <c r="AC333" s="84">
        <f>IF(INDEX(lmic_raw_ub[],MATCH($A333,lmic_raw_ub[[setting]:[setting]],0), MATCH(AC$277, lmic_raw_ub[#Headers],0))=0, INDEX(regions_ub[], MATCH($D333, regions_ub[[setting]:[setting]],0), MATCH(AC$139, regions_ub[#Headers],0)),INDEX(lmic_raw_ub[],MATCH($A333,lmic_raw_ub[[setting]:[setting]],0), MATCH(AC$277, lmic_raw_ub[#Headers],0)))</f>
        <v>1.9869024000000002E-2</v>
      </c>
      <c r="AD333" s="84">
        <f>IF(INDEX(lmic_raw_ub[],MATCH($A333,lmic_raw_ub[[setting]:[setting]],0), MATCH(AD$277, lmic_raw_ub[#Headers],0))=0, INDEX(regions_ub[], MATCH($D333, regions_ub[[setting]:[setting]],0), MATCH(AD$139, regions_ub[#Headers],0)),INDEX(lmic_raw_ub[],MATCH($A333,lmic_raw_ub[[setting]:[setting]],0), MATCH(AD$277, lmic_raw_ub[#Headers],0)))</f>
        <v>1.5983280957566452E-3</v>
      </c>
      <c r="AE333" s="84">
        <f>IF(INDEX(lmic_raw_ub[],MATCH($A333,lmic_raw_ub[[setting]:[setting]],0), MATCH(AE$277, lmic_raw_ub[#Headers],0))=0, INDEX(regions_ub[], MATCH($D333, regions_ub[[setting]:[setting]],0), MATCH(AE$139, regions_ub[#Headers],0)),INDEX(lmic_raw_ub[],MATCH($A333,lmic_raw_ub[[setting]:[setting]],0), MATCH(AE$277, lmic_raw_ub[#Headers],0)))</f>
        <v>5.317669518702259E-4</v>
      </c>
      <c r="AF333" s="84">
        <f>IF(INDEX(lmic_raw_ub[],MATCH($A333,lmic_raw_ub[[setting]:[setting]],0), MATCH(AF$277, lmic_raw_ub[#Headers],0))=0, INDEX(regions_ub[], MATCH($D333, regions_ub[[setting]:[setting]],0), MATCH(AF$139, regions_ub[#Headers],0)),INDEX(lmic_raw_ub[],MATCH($A333,lmic_raw_ub[[setting]:[setting]],0), MATCH(AF$277, lmic_raw_ub[#Headers],0)))</f>
        <v>4.6992266743958847E-4</v>
      </c>
      <c r="AG333" s="84">
        <f>IF(INDEX(lmic_raw_ub[],MATCH($A333,lmic_raw_ub[[setting]:[setting]],0), MATCH(AG$277, lmic_raw_ub[#Headers],0))=0, INDEX(regions_ub[], MATCH($D333, regions_ub[[setting]:[setting]],0), MATCH(AG$139, regions_ub[#Headers],0)),INDEX(lmic_raw_ub[],MATCH($A333,lmic_raw_ub[[setting]:[setting]],0), MATCH(AG$277, lmic_raw_ub[#Headers],0)))</f>
        <v>9.8525335156254032E-4</v>
      </c>
      <c r="AH333" s="84">
        <f>IF(INDEX(lmic_raw_ub[],MATCH($A333,lmic_raw_ub[[setting]:[setting]],0), MATCH(AH$277, lmic_raw_ub[#Headers],0))=0, INDEX(regions_ub[], MATCH($D333, regions_ub[[setting]:[setting]],0), MATCH(AH$139, regions_ub[#Headers],0)),INDEX(lmic_raw_ub[],MATCH($A333,lmic_raw_ub[[setting]:[setting]],0), MATCH(AH$277, lmic_raw_ub[#Headers],0)))</f>
        <v>1.294545076868453E-3</v>
      </c>
      <c r="AI333" s="84">
        <f>IF(INDEX(lmic_raw_ub[],MATCH($A333,lmic_raw_ub[[setting]:[setting]],0), MATCH(AI$277, lmic_raw_ub[#Headers],0))=0, INDEX(regions_ub[], MATCH($D333, regions_ub[[setting]:[setting]],0), MATCH(AI$139, regions_ub[#Headers],0)),INDEX(lmic_raw_ub[],MATCH($A333,lmic_raw_ub[[setting]:[setting]],0), MATCH(AI$277, lmic_raw_ub[#Headers],0)))</f>
        <v>1.3718696299308646E-3</v>
      </c>
      <c r="AJ333" s="84">
        <f>IF(INDEX(lmic_raw_ub[],MATCH($A333,lmic_raw_ub[[setting]:[setting]],0), MATCH(AJ$277, lmic_raw_ub[#Headers],0))=0, INDEX(regions_ub[], MATCH($D333, regions_ub[[setting]:[setting]],0), MATCH(AJ$139, regions_ub[#Headers],0)),INDEX(lmic_raw_ub[],MATCH($A333,lmic_raw_ub[[setting]:[setting]],0), MATCH(AJ$277, lmic_raw_ub[#Headers],0)))</f>
        <v>1.6319205705330731E-3</v>
      </c>
      <c r="AK333" s="84">
        <f>IF(INDEX(lmic_raw_ub[],MATCH($A333,lmic_raw_ub[[setting]:[setting]],0), MATCH(AK$277, lmic_raw_ub[#Headers],0))=0, INDEX(regions_ub[], MATCH($D333, regions_ub[[setting]:[setting]],0), MATCH(AK$139, regions_ub[#Headers],0)),INDEX(lmic_raw_ub[],MATCH($A333,lmic_raw_ub[[setting]:[setting]],0), MATCH(AK$277, lmic_raw_ub[#Headers],0)))</f>
        <v>2.1955601320357318E-3</v>
      </c>
      <c r="AL333" s="84">
        <f>IF(INDEX(lmic_raw_ub[],MATCH($A333,lmic_raw_ub[[setting]:[setting]],0), MATCH(AL$277, lmic_raw_ub[#Headers],0))=0, INDEX(regions_ub[], MATCH($D333, regions_ub[[setting]:[setting]],0), MATCH(AL$139, regions_ub[#Headers],0)),INDEX(lmic_raw_ub[],MATCH($A333,lmic_raw_ub[[setting]:[setting]],0), MATCH(AL$277, lmic_raw_ub[#Headers],0)))</f>
        <v>3.1497590788818132E-3</v>
      </c>
      <c r="AM333" s="84">
        <f>IF(INDEX(lmic_raw_ub[],MATCH($A333,lmic_raw_ub[[setting]:[setting]],0), MATCH(AM$277, lmic_raw_ub[#Headers],0))=0, INDEX(regions_ub[], MATCH($D333, regions_ub[[setting]:[setting]],0), MATCH(AM$139, regions_ub[#Headers],0)),INDEX(lmic_raw_ub[],MATCH($A333,lmic_raw_ub[[setting]:[setting]],0), MATCH(AM$277, lmic_raw_ub[#Headers],0)))</f>
        <v>4.8260066024062532E-3</v>
      </c>
      <c r="AN333" s="84">
        <f>IF(INDEX(lmic_raw_ub[],MATCH($A333,lmic_raw_ub[[setting]:[setting]],0), MATCH(AN$277, lmic_raw_ub[#Headers],0))=0, INDEX(regions_ub[], MATCH($D333, regions_ub[[setting]:[setting]],0), MATCH(AN$139, regions_ub[#Headers],0)),INDEX(lmic_raw_ub[],MATCH($A333,lmic_raw_ub[[setting]:[setting]],0), MATCH(AN$277, lmic_raw_ub[#Headers],0)))</f>
        <v>7.4628070438420829E-3</v>
      </c>
      <c r="AO333" s="84">
        <f>IF(INDEX(lmic_raw_ub[],MATCH($A333,lmic_raw_ub[[setting]:[setting]],0), MATCH(AO$277, lmic_raw_ub[#Headers],0))=0, INDEX(regions_ub[], MATCH($D333, regions_ub[[setting]:[setting]],0), MATCH(AO$139, regions_ub[#Headers],0)),INDEX(lmic_raw_ub[],MATCH($A333,lmic_raw_ub[[setting]:[setting]],0), MATCH(AO$277, lmic_raw_ub[#Headers],0)))</f>
        <v>1.1589469335299878E-2</v>
      </c>
      <c r="AP333" s="84">
        <f>IF(INDEX(lmic_raw_ub[],MATCH($A333,lmic_raw_ub[[setting]:[setting]],0), MATCH(AP$277, lmic_raw_ub[#Headers],0))=0, INDEX(regions_ub[], MATCH($D333, regions_ub[[setting]:[setting]],0), MATCH(AP$139, regions_ub[#Headers],0)),INDEX(lmic_raw_ub[],MATCH($A333,lmic_raw_ub[[setting]:[setting]],0), MATCH(AP$277, lmic_raw_ub[#Headers],0)))</f>
        <v>1.78593161261161E-2</v>
      </c>
      <c r="AQ333" s="84">
        <f>IF(INDEX(lmic_raw_ub[],MATCH($A333,lmic_raw_ub[[setting]:[setting]],0), MATCH(AQ$277, lmic_raw_ub[#Headers],0))=0, INDEX(regions_ub[], MATCH($D333, regions_ub[[setting]:[setting]],0), MATCH(AQ$139, regions_ub[#Headers],0)),INDEX(lmic_raw_ub[],MATCH($A333,lmic_raw_ub[[setting]:[setting]],0), MATCH(AQ$277, lmic_raw_ub[#Headers],0)))</f>
        <v>2.7082054787097947E-2</v>
      </c>
      <c r="AR333" s="84">
        <f>IF(INDEX(lmic_raw_ub[],MATCH($A333,lmic_raw_ub[[setting]:[setting]],0), MATCH(AR$277, lmic_raw_ub[#Headers],0))=0, INDEX(regions_ub[], MATCH($D333, regions_ub[[setting]:[setting]],0), MATCH(AR$139, regions_ub[#Headers],0)),INDEX(lmic_raw_ub[],MATCH($A333,lmic_raw_ub[[setting]:[setting]],0), MATCH(AR$277, lmic_raw_ub[#Headers],0)))</f>
        <v>4.1457301910177359E-2</v>
      </c>
      <c r="AS333" s="84">
        <f>IF(INDEX(lmic_raw_ub[],MATCH($A333,lmic_raw_ub[[setting]:[setting]],0), MATCH(AS$277, lmic_raw_ub[#Headers],0))=0, INDEX(regions_ub[], MATCH($D333, regions_ub[[setting]:[setting]],0), MATCH(AS$139, regions_ub[#Headers],0)),INDEX(lmic_raw_ub[],MATCH($A333,lmic_raw_ub[[setting]:[setting]],0), MATCH(AS$277, lmic_raw_ub[#Headers],0)))</f>
        <v>6.4054375396910709E-2</v>
      </c>
      <c r="AT333" s="84">
        <f>IF(INDEX(lmic_raw_ub[],MATCH($A333,lmic_raw_ub[[setting]:[setting]],0), MATCH(AT$277, lmic_raw_ub[#Headers],0))=0, INDEX(regions_ub[], MATCH($D333, regions_ub[[setting]:[setting]],0), MATCH(AT$139, regions_ub[#Headers],0)),INDEX(lmic_raw_ub[],MATCH($A333,lmic_raw_ub[[setting]:[setting]],0), MATCH(AT$277, lmic_raw_ub[#Headers],0)))</f>
        <v>9.3890542058254117E-2</v>
      </c>
      <c r="AU333" s="84">
        <f>IF(INDEX(lmic_raw_ub[],MATCH($A333,lmic_raw_ub[[setting]:[setting]],0), MATCH(AU$277, lmic_raw_ub[#Headers],0))=0, INDEX(regions_ub[], MATCH($D333, regions_ub[[setting]:[setting]],0), MATCH(AU$139, regions_ub[#Headers],0)),INDEX(lmic_raw_ub[],MATCH($A333,lmic_raw_ub[[setting]:[setting]],0), MATCH(AU$277, lmic_raw_ub[#Headers],0)))</f>
        <v>0.12900237788885924</v>
      </c>
      <c r="AV333" s="84">
        <f>IF(INDEX(lmic_raw_ub[],MATCH($A333,lmic_raw_ub[[setting]:[setting]],0), MATCH(AV$277, lmic_raw_ub[#Headers],0))=0, INDEX(regions_ub[], MATCH($D333, regions_ub[[setting]:[setting]],0), MATCH(AV$139, regions_ub[#Headers],0)),INDEX(lmic_raw_ub[],MATCH($A333,lmic_raw_ub[[setting]:[setting]],0), MATCH(AV$277, lmic_raw_ub[#Headers],0)))</f>
        <v>0.15996857237431761</v>
      </c>
      <c r="AW333" s="84">
        <f>IF(INDEX(lmic_raw_ub[],MATCH($A333,lmic_raw_ub[[setting]:[setting]],0), MATCH(AW$277, lmic_raw_ub[#Headers],0))=0, INDEX(regions_ub[], MATCH($D333, regions_ub[[setting]:[setting]],0), MATCH(AW$139, regions_ub[#Headers],0)),INDEX(lmic_raw_ub[],MATCH($A333,lmic_raw_ub[[setting]:[setting]],0), MATCH(AW$277, lmic_raw_ub[#Headers],0)))</f>
        <v>0.18287860799293942</v>
      </c>
      <c r="AX333" s="84">
        <f>IF(INDEX(lmic_raw_ub[],MATCH($A333,lmic_raw_ub[[setting]:[setting]],0), MATCH(AX$277, lmic_raw_ub[#Headers],0))=0, INDEX(regions_ub[], MATCH($D333, regions_ub[[setting]:[setting]],0), MATCH(AX$139, regions_ub[#Headers],0)),INDEX(lmic_raw_ub[],MATCH($A333,lmic_raw_ub[[setting]:[setting]],0), MATCH(AX$277, lmic_raw_ub[#Headers],0)))</f>
        <v>74.979450000000014</v>
      </c>
      <c r="AY333" s="33" t="str">
        <f>IF(VLOOKUP(lmics_ub[[#This Row],[setting]],lmic_raw_ub[],11,FALSE)=0, "Yes", "No")</f>
        <v>No</v>
      </c>
    </row>
    <row r="334" spans="1:51" x14ac:dyDescent="0.25">
      <c r="A334" s="82" t="s">
        <v>195</v>
      </c>
      <c r="B334" s="101" t="s">
        <v>440</v>
      </c>
      <c r="C334" s="102">
        <v>364</v>
      </c>
      <c r="D334" s="82" t="s">
        <v>673</v>
      </c>
      <c r="E334" s="82" t="s">
        <v>579</v>
      </c>
      <c r="F334" s="82" t="s">
        <v>579</v>
      </c>
      <c r="G334" s="82" t="s">
        <v>676</v>
      </c>
      <c r="J334" s="84">
        <f>IF(INDEX(lmic_raw_ub[],MATCH($A334,lmic_raw_ub[[setting]:[setting]],0), MATCH(J$277, lmic_raw_ub[#Headers],0))=0, INDEX(regions_ub[], MATCH($D334, regions_ub[[setting]:[setting]],0), MATCH(J$139, regions_ub[#Headers],0)),INDEX(lmic_raw_ub[],MATCH($A334,lmic_raw_ub[[setting]:[setting]],0), MATCH(J$277, lmic_raw_ub[#Headers],0)))</f>
        <v>0.99990000000000001</v>
      </c>
      <c r="K334" s="84">
        <f>IF(INDEX(lmic_raw_ub[],MATCH($A334,lmic_raw_ub[[setting]:[setting]],0), MATCH(K$277, lmic_raw_ub[#Headers],0))=0, INDEX(regions_ub[], MATCH($D334, regions_ub[[setting]:[setting]],0), MATCH(K$139, regions_ub[#Headers],0)),INDEX(lmic_raw_ub[],MATCH($A334,lmic_raw_ub[[setting]:[setting]],0), MATCH(K$277, lmic_raw_ub[#Headers],0)))</f>
        <v>0.99749999999999994</v>
      </c>
      <c r="L334" s="84">
        <f>IF(INDEX(lmic_raw_ub[],MATCH($A334,lmic_raw_ub[[setting]:[setting]],0), MATCH(L$277, lmic_raw_ub[#Headers],0))=0, INDEX(regions_ub[], MATCH($D334, regions_ub[[setting]:[setting]],0), MATCH(L$139, regions_ub[#Headers],0)),INDEX(lmic_raw_ub[],MATCH($A334,lmic_raw_ub[[setting]:[setting]],0), MATCH(L$277, lmic_raw_ub[#Headers],0)))</f>
        <v>0.99990000000000001</v>
      </c>
      <c r="M334" s="84">
        <f>IF(INDEX(lmic_raw_ub[],MATCH($A334,lmic_raw_ub[[setting]:[setting]],0), MATCH(M$277, lmic_raw_ub[#Headers],0))=0, INDEX(regions_ub[], MATCH($D334, regions_ub[[setting]:[setting]],0), MATCH(M$139, regions_ub[#Headers],0)),INDEX(lmic_raw_ub[],MATCH($A334,lmic_raw_ub[[setting]:[setting]],0), MATCH(M$277, lmic_raw_ub[#Headers],0)))</f>
        <v>1.9E-3</v>
      </c>
      <c r="N334" s="84">
        <f>IF(INDEX(lmic_raw_ub[],MATCH($A334,lmic_raw_ub[[setting]:[setting]],0), MATCH(N$277, lmic_raw_ub[#Headers],0))=0, INDEX(regions_ub[], MATCH($D334, regions_ub[[setting]:[setting]],0), MATCH(N$139, regions_ub[#Headers],0)),INDEX(lmic_raw_ub[],MATCH($A334,lmic_raw_ub[[setting]:[setting]],0), MATCH(N$277, lmic_raw_ub[#Headers],0)))</f>
        <v>0.37619999999999998</v>
      </c>
      <c r="O334" s="84">
        <f>IF(INDEX(lmic_raw_ub[],MATCH($A334,lmic_raw_ub[[setting]:[setting]],0), MATCH(O$277, lmic_raw_ub[#Headers],0))=0, INDEX(regions_ub[], MATCH($D334, regions_ub[[setting]:[setting]],0), MATCH(O$139, regions_ub[#Headers],0)),INDEX(lmic_raw_ub[],MATCH($A334,lmic_raw_ub[[setting]:[setting]],0), MATCH(O$277, lmic_raw_ub[#Headers],0)))</f>
        <v>0.9</v>
      </c>
      <c r="P334" s="84">
        <f>IF(INDEX(lmic_raw_ub[],MATCH($A334,lmic_raw_ub[[setting]:[setting]],0), MATCH(P$277, lmic_raw_ub[#Headers],0))=0, INDEX(regions_ub[], MATCH($D334, regions_ub[[setting]:[setting]],0), MATCH(P$139, regions_ub[#Headers],0)),INDEX(lmic_raw_ub[],MATCH($A334,lmic_raw_ub[[setting]:[setting]],0), MATCH(P$277, lmic_raw_ub[#Headers],0)))</f>
        <v>0.3</v>
      </c>
      <c r="Q334" s="84">
        <f>IF(INDEX(lmic_raw_ub[],MATCH($A334,lmic_raw_ub[[setting]:[setting]],0), MATCH(Q$277, lmic_raw_ub[#Headers],0))=0, INDEX(regions_ub[], MATCH($D334, regions_ub[[setting]:[setting]],0), MATCH(Q$139, regions_ub[#Headers],0)),INDEX(lmic_raw_ub[],MATCH($A334,lmic_raw_ub[[setting]:[setting]],0), MATCH(Q$277, lmic_raw_ub[#Headers],0)))</f>
        <v>11.041354205680342</v>
      </c>
      <c r="R334" s="84">
        <f>IF(INDEX(lmic_raw_ub[],MATCH($A334,lmic_raw_ub[[setting]:[setting]],0), MATCH(R$277, lmic_raw_ub[#Headers],0))=0, INDEX(regions_ub[], MATCH($D334, regions_ub[[setting]:[setting]],0), MATCH(R$139, regions_ub[#Headers],0)),INDEX(lmic_raw_ub[],MATCH($A334,lmic_raw_ub[[setting]:[setting]],0), MATCH(R$277, lmic_raw_ub[#Headers],0)))</f>
        <v>48.652695000000001</v>
      </c>
      <c r="S334" s="84">
        <f>IF(INDEX(lmic_raw_ub[],MATCH($A334,lmic_raw_ub[[setting]:[setting]],0), MATCH(S$277, lmic_raw_ub[#Headers],0))=0, INDEX(regions_ub[], MATCH($D334, regions_ub[[setting]:[setting]],0), MATCH(S$139, regions_ub[#Headers],0)),INDEX(lmic_raw_ub[],MATCH($A334,lmic_raw_ub[[setting]:[setting]],0), MATCH(S$277, lmic_raw_ub[#Headers],0)))</f>
        <v>98.781795000000017</v>
      </c>
      <c r="T334" s="84">
        <f>IF(INDEX(lmic_raw_ub[],MATCH($A334,lmic_raw_ub[[setting]:[setting]],0), MATCH(T$277, lmic_raw_ub[#Headers],0))=0, INDEX(regions_ub[], MATCH($D334, regions_ub[[setting]:[setting]],0), MATCH(T$139, regions_ub[#Headers],0)),INDEX(lmic_raw_ub[],MATCH($A334,lmic_raw_ub[[setting]:[setting]],0), MATCH(T$277, lmic_raw_ub[#Headers],0)))</f>
        <v>98.781795000000017</v>
      </c>
      <c r="U334" s="84">
        <f>IF(INDEX(lmic_raw_ub[],MATCH($A334,lmic_raw_ub[[setting]:[setting]],0), MATCH(U$277, lmic_raw_ub[#Headers],0))=0, INDEX(regions_ub[], MATCH($D334, regions_ub[[setting]:[setting]],0), MATCH(U$139, regions_ub[#Headers],0)),INDEX(lmic_raw_ub[],MATCH($A334,lmic_raw_ub[[setting]:[setting]],0), MATCH(U$277, lmic_raw_ub[#Headers],0)))</f>
        <v>98.781795000000017</v>
      </c>
      <c r="V334" s="84">
        <f>IF(INDEX(lmic_raw_ub[],MATCH($A334,lmic_raw_ub[[setting]:[setting]],0), MATCH(V$277, lmic_raw_ub[#Headers],0))=0, INDEX(regions_ub[], MATCH($D334, regions_ub[[setting]:[setting]],0), MATCH(V$139, regions_ub[#Headers],0)),INDEX(lmic_raw_ub[],MATCH($A334,lmic_raw_ub[[setting]:[setting]],0), MATCH(V$277, lmic_raw_ub[#Headers],0)))</f>
        <v>7.444286432361614</v>
      </c>
      <c r="W334" s="84">
        <f>IF(INDEX(lmic_raw_ub[],MATCH($A334,lmic_raw_ub[[setting]:[setting]],0), MATCH(W$277, lmic_raw_ub[#Headers],0))=0, INDEX(regions_ub[], MATCH($D334, regions_ub[[setting]:[setting]],0), MATCH(W$139, regions_ub[#Headers],0)),INDEX(lmic_raw_ub[],MATCH($A334,lmic_raw_ub[[setting]:[setting]],0), MATCH(W$277, lmic_raw_ub[#Headers],0)))</f>
        <v>7.9478664323616144</v>
      </c>
      <c r="X334" s="84">
        <f>IF(INDEX(lmic_raw_ub[],MATCH($A334,lmic_raw_ub[[setting]:[setting]],0), MATCH(X$277, lmic_raw_ub[#Headers],0))=0, INDEX(regions_ub[], MATCH($D334, regions_ub[[setting]:[setting]],0), MATCH(X$139, regions_ub[#Headers],0)),INDEX(lmic_raw_ub[],MATCH($A334,lmic_raw_ub[[setting]:[setting]],0), MATCH(X$277, lmic_raw_ub[#Headers],0)))</f>
        <v>6.9247786507300635</v>
      </c>
      <c r="Y334" s="84">
        <f>IF(INDEX(lmic_raw_ub[],MATCH($A334,lmic_raw_ub[[setting]:[setting]],0), MATCH(Y$277, lmic_raw_ub[#Headers],0))=0, INDEX(regions_ub[], MATCH($D334, regions_ub[[setting]:[setting]],0), MATCH(Y$139, regions_ub[#Headers],0)),INDEX(lmic_raw_ub[],MATCH($A334,lmic_raw_ub[[setting]:[setting]],0), MATCH(Y$277, lmic_raw_ub[#Headers],0)))</f>
        <v>7.4283586507300639</v>
      </c>
      <c r="Z334" s="84">
        <f>IF(INDEX(lmic_raw_ub[],MATCH($A334,lmic_raw_ub[[setting]:[setting]],0), MATCH(Z$277, lmic_raw_ub[#Headers],0))=0, INDEX(regions_ub[], MATCH($D334, regions_ub[[setting]:[setting]],0), MATCH(Z$139, regions_ub[#Headers],0)),INDEX(lmic_raw_ub[],MATCH($A334,lmic_raw_ub[[setting]:[setting]],0), MATCH(Z$277, lmic_raw_ub[#Headers],0)))</f>
        <v>7.4062487630991338</v>
      </c>
      <c r="AA334" s="84">
        <f>IF(INDEX(lmic_raw_ub[],MATCH($A334,lmic_raw_ub[[setting]:[setting]],0), MATCH(AA$277, lmic_raw_ub[#Headers],0))=0, INDEX(regions_ub[], MATCH($D334, regions_ub[[setting]:[setting]],0), MATCH(AA$139, regions_ub[#Headers],0)),INDEX(lmic_raw_ub[],MATCH($A334,lmic_raw_ub[[setting]:[setting]],0), MATCH(AA$277, lmic_raw_ub[#Headers],0)))</f>
        <v>7.7182859564308872</v>
      </c>
      <c r="AB334" s="84">
        <f>IF(INDEX(lmic_raw_ub[],MATCH($A334,lmic_raw_ub[[setting]:[setting]],0), MATCH(AB$277, lmic_raw_ub[#Headers],0))=0, INDEX(regions_ub[], MATCH($D334, regions_ub[[setting]:[setting]],0), MATCH(AB$139, regions_ub[#Headers],0)),INDEX(lmic_raw_ub[],MATCH($A334,lmic_raw_ub[[setting]:[setting]],0), MATCH(AB$277, lmic_raw_ub[#Headers],0)))</f>
        <v>8.2218659564308876</v>
      </c>
      <c r="AC334" s="84">
        <f>IF(INDEX(lmic_raw_ub[],MATCH($A334,lmic_raw_ub[[setting]:[setting]],0), MATCH(AC$277, lmic_raw_ub[#Headers],0))=0, INDEX(regions_ub[], MATCH($D334, regions_ub[[setting]:[setting]],0), MATCH(AC$139, regions_ub[#Headers],0)),INDEX(lmic_raw_ub[],MATCH($A334,lmic_raw_ub[[setting]:[setting]],0), MATCH(AC$277, lmic_raw_ub[#Headers],0)))</f>
        <v>1.3458322499999953E-2</v>
      </c>
      <c r="AD334" s="84">
        <f>IF(INDEX(lmic_raw_ub[],MATCH($A334,lmic_raw_ub[[setting]:[setting]],0), MATCH(AD$277, lmic_raw_ub[#Headers],0))=0, INDEX(regions_ub[], MATCH($D334, regions_ub[[setting]:[setting]],0), MATCH(AD$139, regions_ub[#Headers],0)),INDEX(lmic_raw_ub[],MATCH($A334,lmic_raw_ub[[setting]:[setting]],0), MATCH(AD$277, lmic_raw_ub[#Headers],0)))</f>
        <v>5.5841267656120972E-4</v>
      </c>
      <c r="AE334" s="84">
        <f>IF(INDEX(lmic_raw_ub[],MATCH($A334,lmic_raw_ub[[setting]:[setting]],0), MATCH(AE$277, lmic_raw_ub[#Headers],0))=0, INDEX(regions_ub[], MATCH($D334, regions_ub[[setting]:[setting]],0), MATCH(AE$139, regions_ub[#Headers],0)),INDEX(lmic_raw_ub[],MATCH($A334,lmic_raw_ub[[setting]:[setting]],0), MATCH(AE$277, lmic_raw_ub[#Headers],0)))</f>
        <v>1.8471629986170014E-4</v>
      </c>
      <c r="AF334" s="84">
        <f>IF(INDEX(lmic_raw_ub[],MATCH($A334,lmic_raw_ub[[setting]:[setting]],0), MATCH(AF$277, lmic_raw_ub[#Headers],0))=0, INDEX(regions_ub[], MATCH($D334, regions_ub[[setting]:[setting]],0), MATCH(AF$139, regions_ub[#Headers],0)),INDEX(lmic_raw_ub[],MATCH($A334,lmic_raw_ub[[setting]:[setting]],0), MATCH(AF$277, lmic_raw_ub[#Headers],0)))</f>
        <v>2.0574202178473276E-4</v>
      </c>
      <c r="AG334" s="84">
        <f>IF(INDEX(lmic_raw_ub[],MATCH($A334,lmic_raw_ub[[setting]:[setting]],0), MATCH(AG$277, lmic_raw_ub[#Headers],0))=0, INDEX(regions_ub[], MATCH($D334, regions_ub[[setting]:[setting]],0), MATCH(AG$139, regions_ub[#Headers],0)),INDEX(lmic_raw_ub[],MATCH($A334,lmic_raw_ub[[setting]:[setting]],0), MATCH(AG$277, lmic_raw_ub[#Headers],0)))</f>
        <v>4.4805471444909898E-4</v>
      </c>
      <c r="AH334" s="84">
        <f>IF(INDEX(lmic_raw_ub[],MATCH($A334,lmic_raw_ub[[setting]:[setting]],0), MATCH(AH$277, lmic_raw_ub[#Headers],0))=0, INDEX(regions_ub[], MATCH($D334, regions_ub[[setting]:[setting]],0), MATCH(AH$139, regions_ub[#Headers],0)),INDEX(lmic_raw_ub[],MATCH($A334,lmic_raw_ub[[setting]:[setting]],0), MATCH(AH$277, lmic_raw_ub[#Headers],0)))</f>
        <v>7.9738038658215245E-4</v>
      </c>
      <c r="AI334" s="84">
        <f>IF(INDEX(lmic_raw_ub[],MATCH($A334,lmic_raw_ub[[setting]:[setting]],0), MATCH(AI$277, lmic_raw_ub[#Headers],0))=0, INDEX(regions_ub[], MATCH($D334, regions_ub[[setting]:[setting]],0), MATCH(AI$139, regions_ub[#Headers],0)),INDEX(lmic_raw_ub[],MATCH($A334,lmic_raw_ub[[setting]:[setting]],0), MATCH(AI$277, lmic_raw_ub[#Headers],0)))</f>
        <v>6.2137479854789638E-4</v>
      </c>
      <c r="AJ334" s="84">
        <f>IF(INDEX(lmic_raw_ub[],MATCH($A334,lmic_raw_ub[[setting]:[setting]],0), MATCH(AJ$277, lmic_raw_ub[#Headers],0))=0, INDEX(regions_ub[], MATCH($D334, regions_ub[[setting]:[setting]],0), MATCH(AJ$139, regions_ub[#Headers],0)),INDEX(lmic_raw_ub[],MATCH($A334,lmic_raw_ub[[setting]:[setting]],0), MATCH(AJ$277, lmic_raw_ub[#Headers],0)))</f>
        <v>6.773125844568551E-4</v>
      </c>
      <c r="AK334" s="84">
        <f>IF(INDEX(lmic_raw_ub[],MATCH($A334,lmic_raw_ub[[setting]:[setting]],0), MATCH(AK$277, lmic_raw_ub[#Headers],0))=0, INDEX(regions_ub[], MATCH($D334, regions_ub[[setting]:[setting]],0), MATCH(AK$139, regions_ub[#Headers],0)),INDEX(lmic_raw_ub[],MATCH($A334,lmic_raw_ub[[setting]:[setting]],0), MATCH(AK$277, lmic_raw_ub[#Headers],0)))</f>
        <v>7.4112321547917909E-4</v>
      </c>
      <c r="AL334" s="84">
        <f>IF(INDEX(lmic_raw_ub[],MATCH($A334,lmic_raw_ub[[setting]:[setting]],0), MATCH(AL$277, lmic_raw_ub[#Headers],0))=0, INDEX(regions_ub[], MATCH($D334, regions_ub[[setting]:[setting]],0), MATCH(AL$139, regions_ub[#Headers],0)),INDEX(lmic_raw_ub[],MATCH($A334,lmic_raw_ub[[setting]:[setting]],0), MATCH(AL$277, lmic_raw_ub[#Headers],0)))</f>
        <v>1.0916555623559725E-3</v>
      </c>
      <c r="AM334" s="84">
        <f>IF(INDEX(lmic_raw_ub[],MATCH($A334,lmic_raw_ub[[setting]:[setting]],0), MATCH(AM$277, lmic_raw_ub[#Headers],0))=0, INDEX(regions_ub[], MATCH($D334, regions_ub[[setting]:[setting]],0), MATCH(AM$139, regions_ub[#Headers],0)),INDEX(lmic_raw_ub[],MATCH($A334,lmic_raw_ub[[setting]:[setting]],0), MATCH(AM$277, lmic_raw_ub[#Headers],0)))</f>
        <v>1.8266907638754982E-3</v>
      </c>
      <c r="AN334" s="84">
        <f>IF(INDEX(lmic_raw_ub[],MATCH($A334,lmic_raw_ub[[setting]:[setting]],0), MATCH(AN$277, lmic_raw_ub[#Headers],0))=0, INDEX(regions_ub[], MATCH($D334, regions_ub[[setting]:[setting]],0), MATCH(AN$139, regions_ub[#Headers],0)),INDEX(lmic_raw_ub[],MATCH($A334,lmic_raw_ub[[setting]:[setting]],0), MATCH(AN$277, lmic_raw_ub[#Headers],0)))</f>
        <v>3.4010818631050768E-3</v>
      </c>
      <c r="AO334" s="84">
        <f>IF(INDEX(lmic_raw_ub[],MATCH($A334,lmic_raw_ub[[setting]:[setting]],0), MATCH(AO$277, lmic_raw_ub[#Headers],0))=0, INDEX(regions_ub[], MATCH($D334, regions_ub[[setting]:[setting]],0), MATCH(AO$139, regions_ub[#Headers],0)),INDEX(lmic_raw_ub[],MATCH($A334,lmic_raw_ub[[setting]:[setting]],0), MATCH(AO$277, lmic_raw_ub[#Headers],0)))</f>
        <v>5.0381783102678348E-3</v>
      </c>
      <c r="AP334" s="84">
        <f>IF(INDEX(lmic_raw_ub[],MATCH($A334,lmic_raw_ub[[setting]:[setting]],0), MATCH(AP$277, lmic_raw_ub[#Headers],0))=0, INDEX(regions_ub[], MATCH($D334, regions_ub[[setting]:[setting]],0), MATCH(AP$139, regions_ub[#Headers],0)),INDEX(lmic_raw_ub[],MATCH($A334,lmic_raw_ub[[setting]:[setting]],0), MATCH(AP$277, lmic_raw_ub[#Headers],0)))</f>
        <v>9.3134854406086241E-3</v>
      </c>
      <c r="AQ334" s="84">
        <f>IF(INDEX(lmic_raw_ub[],MATCH($A334,lmic_raw_ub[[setting]:[setting]],0), MATCH(AQ$277, lmic_raw_ub[#Headers],0))=0, INDEX(regions_ub[], MATCH($D334, regions_ub[[setting]:[setting]],0), MATCH(AQ$139, regions_ub[#Headers],0)),INDEX(lmic_raw_ub[],MATCH($A334,lmic_raw_ub[[setting]:[setting]],0), MATCH(AQ$277, lmic_raw_ub[#Headers],0)))</f>
        <v>1.6971039634590228E-2</v>
      </c>
      <c r="AR334" s="84">
        <f>IF(INDEX(lmic_raw_ub[],MATCH($A334,lmic_raw_ub[[setting]:[setting]],0), MATCH(AR$277, lmic_raw_ub[#Headers],0))=0, INDEX(regions_ub[], MATCH($D334, regions_ub[[setting]:[setting]],0), MATCH(AR$139, regions_ub[#Headers],0)),INDEX(lmic_raw_ub[],MATCH($A334,lmic_raw_ub[[setting]:[setting]],0), MATCH(AR$277, lmic_raw_ub[#Headers],0)))</f>
        <v>3.3831010608886755E-2</v>
      </c>
      <c r="AS334" s="84">
        <f>IF(INDEX(lmic_raw_ub[],MATCH($A334,lmic_raw_ub[[setting]:[setting]],0), MATCH(AS$277, lmic_raw_ub[#Headers],0))=0, INDEX(regions_ub[], MATCH($D334, regions_ub[[setting]:[setting]],0), MATCH(AS$139, regions_ub[#Headers],0)),INDEX(lmic_raw_ub[],MATCH($A334,lmic_raw_ub[[setting]:[setting]],0), MATCH(AS$277, lmic_raw_ub[#Headers],0)))</f>
        <v>6.7229980862245561E-2</v>
      </c>
      <c r="AT334" s="84">
        <f>IF(INDEX(lmic_raw_ub[],MATCH($A334,lmic_raw_ub[[setting]:[setting]],0), MATCH(AT$277, lmic_raw_ub[#Headers],0))=0, INDEX(regions_ub[], MATCH($D334, regions_ub[[setting]:[setting]],0), MATCH(AT$139, regions_ub[#Headers],0)),INDEX(lmic_raw_ub[],MATCH($A334,lmic_raw_ub[[setting]:[setting]],0), MATCH(AT$277, lmic_raw_ub[#Headers],0)))</f>
        <v>9.675867699245766E-2</v>
      </c>
      <c r="AU334" s="84">
        <f>IF(INDEX(lmic_raw_ub[],MATCH($A334,lmic_raw_ub[[setting]:[setting]],0), MATCH(AU$277, lmic_raw_ub[#Headers],0))=0, INDEX(regions_ub[], MATCH($D334, regions_ub[[setting]:[setting]],0), MATCH(AU$139, regions_ub[#Headers],0)),INDEX(lmic_raw_ub[],MATCH($A334,lmic_raw_ub[[setting]:[setting]],0), MATCH(AU$277, lmic_raw_ub[#Headers],0)))</f>
        <v>0.13191119083738626</v>
      </c>
      <c r="AV334" s="84">
        <f>IF(INDEX(lmic_raw_ub[],MATCH($A334,lmic_raw_ub[[setting]:[setting]],0), MATCH(AV$277, lmic_raw_ub[#Headers],0))=0, INDEX(regions_ub[], MATCH($D334, regions_ub[[setting]:[setting]],0), MATCH(AV$139, regions_ub[#Headers],0)),INDEX(lmic_raw_ub[],MATCH($A334,lmic_raw_ub[[setting]:[setting]],0), MATCH(AV$277, lmic_raw_ub[#Headers],0)))</f>
        <v>0.16558841105245961</v>
      </c>
      <c r="AW334" s="84">
        <f>IF(INDEX(lmic_raw_ub[],MATCH($A334,lmic_raw_ub[[setting]:[setting]],0), MATCH(AW$277, lmic_raw_ub[#Headers],0))=0, INDEX(regions_ub[], MATCH($D334, regions_ub[[setting]:[setting]],0), MATCH(AW$139, regions_ub[#Headers],0)),INDEX(lmic_raw_ub[],MATCH($A334,lmic_raw_ub[[setting]:[setting]],0), MATCH(AW$277, lmic_raw_ub[#Headers],0)))</f>
        <v>0.18775466739068844</v>
      </c>
      <c r="AX334" s="84">
        <f>IF(INDEX(lmic_raw_ub[],MATCH($A334,lmic_raw_ub[[setting]:[setting]],0), MATCH(AX$277, lmic_raw_ub[#Headers],0))=0, INDEX(regions_ub[], MATCH($D334, regions_ub[[setting]:[setting]],0), MATCH(AX$139, regions_ub[#Headers],0)),INDEX(lmic_raw_ub[],MATCH($A334,lmic_raw_ub[[setting]:[setting]],0), MATCH(AX$277, lmic_raw_ub[#Headers],0)))</f>
        <v>80.163300000000007</v>
      </c>
      <c r="AY334" s="33" t="str">
        <f>IF(VLOOKUP(lmics_ub[[#This Row],[setting]],lmic_raw_ub[],11,FALSE)=0, "Yes", "No")</f>
        <v>No</v>
      </c>
    </row>
    <row r="335" spans="1:51" x14ac:dyDescent="0.25">
      <c r="A335" s="110" t="s">
        <v>170</v>
      </c>
      <c r="B335" s="104" t="s">
        <v>441</v>
      </c>
      <c r="C335" s="105">
        <v>368</v>
      </c>
      <c r="D335" s="84" t="s">
        <v>673</v>
      </c>
      <c r="E335" s="84" t="s">
        <v>579</v>
      </c>
      <c r="F335" s="84" t="s">
        <v>579</v>
      </c>
      <c r="G335" s="84" t="s">
        <v>676</v>
      </c>
      <c r="J335" s="84">
        <f>IF(INDEX(lmic_raw_ub[],MATCH($A335,lmic_raw_ub[[setting]:[setting]],0), MATCH(J$277, lmic_raw_ub[#Headers],0))=0, INDEX(regions_ub[], MATCH($D335, regions_ub[[setting]:[setting]],0), MATCH(J$139, regions_ub[#Headers],0)),INDEX(lmic_raw_ub[],MATCH($A335,lmic_raw_ub[[setting]:[setting]],0), MATCH(J$277, lmic_raw_ub[#Headers],0)))</f>
        <v>0.9093</v>
      </c>
      <c r="K335" s="84">
        <f>IF(INDEX(lmic_raw_ub[],MATCH($A335,lmic_raw_ub[[setting]:[setting]],0), MATCH(K$277, lmic_raw_ub[#Headers],0))=0, INDEX(regions_ub[], MATCH($D335, regions_ub[[setting]:[setting]],0), MATCH(K$139, regions_ub[#Headers],0)),INDEX(lmic_raw_ub[],MATCH($A335,lmic_raw_ub[[setting]:[setting]],0), MATCH(K$277, lmic_raw_ub[#Headers],0)))</f>
        <v>0.43049999999999999</v>
      </c>
      <c r="L335" s="84">
        <f>IF(INDEX(lmic_raw_ub[],MATCH($A335,lmic_raw_ub[[setting]:[setting]],0), MATCH(L$277, lmic_raw_ub[#Headers],0))=0, INDEX(regions_ub[], MATCH($D335, regions_ub[[setting]:[setting]],0), MATCH(L$139, regions_ub[#Headers],0)),INDEX(lmic_raw_ub[],MATCH($A335,lmic_raw_ub[[setting]:[setting]],0), MATCH(L$277, lmic_raw_ub[#Headers],0)))</f>
        <v>0.88200000000000001</v>
      </c>
      <c r="M335" s="84">
        <f>IF(INDEX(lmic_raw_ub[],MATCH($A335,lmic_raw_ub[[setting]:[setting]],0), MATCH(M$277, lmic_raw_ub[#Headers],0))=0, INDEX(regions_ub[], MATCH($D335, regions_ub[[setting]:[setting]],0), MATCH(M$139, regions_ub[#Headers],0)),INDEX(lmic_raw_ub[],MATCH($A335,lmic_raw_ub[[setting]:[setting]],0), MATCH(M$277, lmic_raw_ub[#Headers],0)))</f>
        <v>1.8E-3</v>
      </c>
      <c r="N335" s="84">
        <f>IF(INDEX(lmic_raw_ub[],MATCH($A335,lmic_raw_ub[[setting]:[setting]],0), MATCH(N$277, lmic_raw_ub[#Headers],0))=0, INDEX(regions_ub[], MATCH($D335, regions_ub[[setting]:[setting]],0), MATCH(N$139, regions_ub[#Headers],0)),INDEX(lmic_raw_ub[],MATCH($A335,lmic_raw_ub[[setting]:[setting]],0), MATCH(N$277, lmic_raw_ub[#Headers],0)))</f>
        <v>0.37619999999999998</v>
      </c>
      <c r="O335" s="84">
        <f>IF(INDEX(lmic_raw_ub[],MATCH($A335,lmic_raw_ub[[setting]:[setting]],0), MATCH(O$277, lmic_raw_ub[#Headers],0))=0, INDEX(regions_ub[], MATCH($D335, regions_ub[[setting]:[setting]],0), MATCH(O$139, regions_ub[#Headers],0)),INDEX(lmic_raw_ub[],MATCH($A335,lmic_raw_ub[[setting]:[setting]],0), MATCH(O$277, lmic_raw_ub[#Headers],0)))</f>
        <v>0.9</v>
      </c>
      <c r="P335" s="84">
        <f>IF(INDEX(lmic_raw_ub[],MATCH($A335,lmic_raw_ub[[setting]:[setting]],0), MATCH(P$277, lmic_raw_ub[#Headers],0))=0, INDEX(regions_ub[], MATCH($D335, regions_ub[[setting]:[setting]],0), MATCH(P$139, regions_ub[#Headers],0)),INDEX(lmic_raw_ub[],MATCH($A335,lmic_raw_ub[[setting]:[setting]],0), MATCH(P$277, lmic_raw_ub[#Headers],0)))</f>
        <v>0.3</v>
      </c>
      <c r="Q335" s="84">
        <f>IF(INDEX(lmic_raw_ub[],MATCH($A335,lmic_raw_ub[[setting]:[setting]],0), MATCH(Q$277, lmic_raw_ub[#Headers],0))=0, INDEX(regions_ub[], MATCH($D335, regions_ub[[setting]:[setting]],0), MATCH(Q$139, regions_ub[#Headers],0)),INDEX(lmic_raw_ub[],MATCH($A335,lmic_raw_ub[[setting]:[setting]],0), MATCH(Q$277, lmic_raw_ub[#Headers],0)))</f>
        <v>4.6356278355589744</v>
      </c>
      <c r="R335" s="84">
        <f>IF(INDEX(lmic_raw_ub[],MATCH($A335,lmic_raw_ub[[setting]:[setting]],0), MATCH(R$277, lmic_raw_ub[#Headers],0))=0, INDEX(regions_ub[], MATCH($D335, regions_ub[[setting]:[setting]],0), MATCH(R$139, regions_ub[#Headers],0)),INDEX(lmic_raw_ub[],MATCH($A335,lmic_raw_ub[[setting]:[setting]],0), MATCH(R$277, lmic_raw_ub[#Headers],0)))</f>
        <v>48.652695000000001</v>
      </c>
      <c r="S335" s="84">
        <f>IF(INDEX(lmic_raw_ub[],MATCH($A335,lmic_raw_ub[[setting]:[setting]],0), MATCH(S$277, lmic_raw_ub[#Headers],0))=0, INDEX(regions_ub[], MATCH($D335, regions_ub[[setting]:[setting]],0), MATCH(S$139, regions_ub[#Headers],0)),INDEX(lmic_raw_ub[],MATCH($A335,lmic_raw_ub[[setting]:[setting]],0), MATCH(S$277, lmic_raw_ub[#Headers],0)))</f>
        <v>98.781795000000017</v>
      </c>
      <c r="T335" s="84">
        <f>IF(INDEX(lmic_raw_ub[],MATCH($A335,lmic_raw_ub[[setting]:[setting]],0), MATCH(T$277, lmic_raw_ub[#Headers],0))=0, INDEX(regions_ub[], MATCH($D335, regions_ub[[setting]:[setting]],0), MATCH(T$139, regions_ub[#Headers],0)),INDEX(lmic_raw_ub[],MATCH($A335,lmic_raw_ub[[setting]:[setting]],0), MATCH(T$277, lmic_raw_ub[#Headers],0)))</f>
        <v>98.781795000000017</v>
      </c>
      <c r="U335" s="84">
        <f>IF(INDEX(lmic_raw_ub[],MATCH($A335,lmic_raw_ub[[setting]:[setting]],0), MATCH(U$277, lmic_raw_ub[#Headers],0))=0, INDEX(regions_ub[], MATCH($D335, regions_ub[[setting]:[setting]],0), MATCH(U$139, regions_ub[#Headers],0)),INDEX(lmic_raw_ub[],MATCH($A335,lmic_raw_ub[[setting]:[setting]],0), MATCH(U$277, lmic_raw_ub[#Headers],0)))</f>
        <v>98.781795000000017</v>
      </c>
      <c r="V335" s="84">
        <f>IF(INDEX(lmic_raw_ub[],MATCH($A335,lmic_raw_ub[[setting]:[setting]],0), MATCH(V$277, lmic_raw_ub[#Headers],0))=0, INDEX(regions_ub[], MATCH($D335, regions_ub[[setting]:[setting]],0), MATCH(V$139, regions_ub[#Headers],0)),INDEX(lmic_raw_ub[],MATCH($A335,lmic_raw_ub[[setting]:[setting]],0), MATCH(V$277, lmic_raw_ub[#Headers],0)))</f>
        <v>6.39082000154401</v>
      </c>
      <c r="W335" s="84">
        <f>IF(INDEX(lmic_raw_ub[],MATCH($A335,lmic_raw_ub[[setting]:[setting]],0), MATCH(W$277, lmic_raw_ub[#Headers],0))=0, INDEX(regions_ub[], MATCH($D335, regions_ub[[setting]:[setting]],0), MATCH(W$139, regions_ub[#Headers],0)),INDEX(lmic_raw_ub[],MATCH($A335,lmic_raw_ub[[setting]:[setting]],0), MATCH(W$277, lmic_raw_ub[#Headers],0)))</f>
        <v>6.8944000015440103</v>
      </c>
      <c r="X335" s="84">
        <f>IF(INDEX(lmic_raw_ub[],MATCH($A335,lmic_raw_ub[[setting]:[setting]],0), MATCH(X$277, lmic_raw_ub[#Headers],0))=0, INDEX(regions_ub[], MATCH($D335, regions_ub[[setting]:[setting]],0), MATCH(X$139, regions_ub[#Headers],0)),INDEX(lmic_raw_ub[],MATCH($A335,lmic_raw_ub[[setting]:[setting]],0), MATCH(X$277, lmic_raw_ub[#Headers],0)))</f>
        <v>5.8725993500041103</v>
      </c>
      <c r="Y335" s="84">
        <f>IF(INDEX(lmic_raw_ub[],MATCH($A335,lmic_raw_ub[[setting]:[setting]],0), MATCH(Y$277, lmic_raw_ub[#Headers],0))=0, INDEX(regions_ub[], MATCH($D335, regions_ub[[setting]:[setting]],0), MATCH(Y$139, regions_ub[#Headers],0)),INDEX(lmic_raw_ub[],MATCH($A335,lmic_raw_ub[[setting]:[setting]],0), MATCH(Y$277, lmic_raw_ub[#Headers],0)))</f>
        <v>6.3761793500041106</v>
      </c>
      <c r="Z335" s="84">
        <f>IF(INDEX(lmic_raw_ub[],MATCH($A335,lmic_raw_ub[[setting]:[setting]],0), MATCH(Z$277, lmic_raw_ub[#Headers],0))=0, INDEX(regions_ub[], MATCH($D335, regions_ub[[setting]:[setting]],0), MATCH(Z$139, regions_ub[#Headers],0)),INDEX(lmic_raw_ub[],MATCH($A335,lmic_raw_ub[[setting]:[setting]],0), MATCH(Z$277, lmic_raw_ub[#Headers],0)))</f>
        <v>6.3572739559057991</v>
      </c>
      <c r="AA335" s="84">
        <f>IF(INDEX(lmic_raw_ub[],MATCH($A335,lmic_raw_ub[[setting]:[setting]],0), MATCH(AA$277, lmic_raw_ub[#Headers],0))=0, INDEX(regions_ub[], MATCH($D335, regions_ub[[setting]:[setting]],0), MATCH(AA$139, regions_ub[#Headers],0)),INDEX(lmic_raw_ub[],MATCH($A335,lmic_raw_ub[[setting]:[setting]],0), MATCH(AA$277, lmic_raw_ub[#Headers],0)))</f>
        <v>6.664527354978981</v>
      </c>
      <c r="AB335" s="84">
        <f>IF(INDEX(lmic_raw_ub[],MATCH($A335,lmic_raw_ub[[setting]:[setting]],0), MATCH(AB$277, lmic_raw_ub[#Headers],0))=0, INDEX(regions_ub[], MATCH($D335, regions_ub[[setting]:[setting]],0), MATCH(AB$139, regions_ub[#Headers],0)),INDEX(lmic_raw_ub[],MATCH($A335,lmic_raw_ub[[setting]:[setting]],0), MATCH(AB$277, lmic_raw_ub[#Headers],0)))</f>
        <v>7.1681073549789813</v>
      </c>
      <c r="AC335" s="84">
        <f>IF(INDEX(lmic_raw_ub[],MATCH($A335,lmic_raw_ub[[setting]:[setting]],0), MATCH(AC$277, lmic_raw_ub[#Headers],0))=0, INDEX(regions_ub[], MATCH($D335, regions_ub[[setting]:[setting]],0), MATCH(AC$139, regions_ub[#Headers],0)),INDEX(lmic_raw_ub[],MATCH($A335,lmic_raw_ub[[setting]:[setting]],0), MATCH(AC$277, lmic_raw_ub[#Headers],0)))</f>
        <v>2.531634000000002E-2</v>
      </c>
      <c r="AD335" s="84">
        <f>IF(INDEX(lmic_raw_ub[],MATCH($A335,lmic_raw_ub[[setting]:[setting]],0), MATCH(AD$277, lmic_raw_ub[#Headers],0))=0, INDEX(regions_ub[], MATCH($D335, regions_ub[[setting]:[setting]],0), MATCH(AD$139, regions_ub[#Headers],0)),INDEX(lmic_raw_ub[],MATCH($A335,lmic_raw_ub[[setting]:[setting]],0), MATCH(AD$277, lmic_raw_ub[#Headers],0)))</f>
        <v>1.1339808095017472E-3</v>
      </c>
      <c r="AE335" s="84">
        <f>IF(INDEX(lmic_raw_ub[],MATCH($A335,lmic_raw_ub[[setting]:[setting]],0), MATCH(AE$277, lmic_raw_ub[#Headers],0))=0, INDEX(regions_ub[], MATCH($D335, regions_ub[[setting]:[setting]],0), MATCH(AE$139, regions_ub[#Headers],0)),INDEX(lmic_raw_ub[],MATCH($A335,lmic_raw_ub[[setting]:[setting]],0), MATCH(AE$277, lmic_raw_ub[#Headers],0)))</f>
        <v>7.1212629535417633E-4</v>
      </c>
      <c r="AF335" s="84">
        <f>IF(INDEX(lmic_raw_ub[],MATCH($A335,lmic_raw_ub[[setting]:[setting]],0), MATCH(AF$277, lmic_raw_ub[#Headers],0))=0, INDEX(regions_ub[], MATCH($D335, regions_ub[[setting]:[setting]],0), MATCH(AF$139, regions_ub[#Headers],0)),INDEX(lmic_raw_ub[],MATCH($A335,lmic_raw_ub[[setting]:[setting]],0), MATCH(AF$277, lmic_raw_ub[#Headers],0)))</f>
        <v>5.9385741571829132E-4</v>
      </c>
      <c r="AG335" s="84">
        <f>IF(INDEX(lmic_raw_ub[],MATCH($A335,lmic_raw_ub[[setting]:[setting]],0), MATCH(AG$277, lmic_raw_ub[#Headers],0))=0, INDEX(regions_ub[], MATCH($D335, regions_ub[[setting]:[setting]],0), MATCH(AG$139, regions_ub[#Headers],0)),INDEX(lmic_raw_ub[],MATCH($A335,lmic_raw_ub[[setting]:[setting]],0), MATCH(AG$277, lmic_raw_ub[#Headers],0)))</f>
        <v>1.0504350099686313E-3</v>
      </c>
      <c r="AH335" s="84">
        <f>IF(INDEX(lmic_raw_ub[],MATCH($A335,lmic_raw_ub[[setting]:[setting]],0), MATCH(AH$277, lmic_raw_ub[#Headers],0))=0, INDEX(regions_ub[], MATCH($D335, regions_ub[[setting]:[setting]],0), MATCH(AH$139, regions_ub[#Headers],0)),INDEX(lmic_raw_ub[],MATCH($A335,lmic_raw_ub[[setting]:[setting]],0), MATCH(AH$277, lmic_raw_ub[#Headers],0)))</f>
        <v>1.4858813775139265E-3</v>
      </c>
      <c r="AI335" s="84">
        <f>IF(INDEX(lmic_raw_ub[],MATCH($A335,lmic_raw_ub[[setting]:[setting]],0), MATCH(AI$277, lmic_raw_ub[#Headers],0))=0, INDEX(regions_ub[], MATCH($D335, regions_ub[[setting]:[setting]],0), MATCH(AI$139, regions_ub[#Headers],0)),INDEX(lmic_raw_ub[],MATCH($A335,lmic_raw_ub[[setting]:[setting]],0), MATCH(AI$277, lmic_raw_ub[#Headers],0)))</f>
        <v>1.6004185945742446E-3</v>
      </c>
      <c r="AJ335" s="84">
        <f>IF(INDEX(lmic_raw_ub[],MATCH($A335,lmic_raw_ub[[setting]:[setting]],0), MATCH(AJ$277, lmic_raw_ub[#Headers],0))=0, INDEX(regions_ub[], MATCH($D335, regions_ub[[setting]:[setting]],0), MATCH(AJ$139, regions_ub[#Headers],0)),INDEX(lmic_raw_ub[],MATCH($A335,lmic_raw_ub[[setting]:[setting]],0), MATCH(AJ$277, lmic_raw_ub[#Headers],0)))</f>
        <v>1.83530794092175E-3</v>
      </c>
      <c r="AK335" s="84">
        <f>IF(INDEX(lmic_raw_ub[],MATCH($A335,lmic_raw_ub[[setting]:[setting]],0), MATCH(AK$277, lmic_raw_ub[#Headers],0))=0, INDEX(regions_ub[], MATCH($D335, regions_ub[[setting]:[setting]],0), MATCH(AK$139, regions_ub[#Headers],0)),INDEX(lmic_raw_ub[],MATCH($A335,lmic_raw_ub[[setting]:[setting]],0), MATCH(AK$277, lmic_raw_ub[#Headers],0)))</f>
        <v>2.313926199303277E-3</v>
      </c>
      <c r="AL335" s="84">
        <f>IF(INDEX(lmic_raw_ub[],MATCH($A335,lmic_raw_ub[[setting]:[setting]],0), MATCH(AL$277, lmic_raw_ub[#Headers],0))=0, INDEX(regions_ub[], MATCH($D335, regions_ub[[setting]:[setting]],0), MATCH(AL$139, regions_ub[#Headers],0)),INDEX(lmic_raw_ub[],MATCH($A335,lmic_raw_ub[[setting]:[setting]],0), MATCH(AL$277, lmic_raw_ub[#Headers],0)))</f>
        <v>3.2453648241989354E-3</v>
      </c>
      <c r="AM335" s="84">
        <f>IF(INDEX(lmic_raw_ub[],MATCH($A335,lmic_raw_ub[[setting]:[setting]],0), MATCH(AM$277, lmic_raw_ub[#Headers],0))=0, INDEX(regions_ub[], MATCH($D335, regions_ub[[setting]:[setting]],0), MATCH(AM$139, regions_ub[#Headers],0)),INDEX(lmic_raw_ub[],MATCH($A335,lmic_raw_ub[[setting]:[setting]],0), MATCH(AM$277, lmic_raw_ub[#Headers],0)))</f>
        <v>4.9269924895710953E-3</v>
      </c>
      <c r="AN335" s="84">
        <f>IF(INDEX(lmic_raw_ub[],MATCH($A335,lmic_raw_ub[[setting]:[setting]],0), MATCH(AN$277, lmic_raw_ub[#Headers],0))=0, INDEX(regions_ub[], MATCH($D335, regions_ub[[setting]:[setting]],0), MATCH(AN$139, regions_ub[#Headers],0)),INDEX(lmic_raw_ub[],MATCH($A335,lmic_raw_ub[[setting]:[setting]],0), MATCH(AN$277, lmic_raw_ub[#Headers],0)))</f>
        <v>7.5229696541237335E-3</v>
      </c>
      <c r="AO335" s="84">
        <f>IF(INDEX(lmic_raw_ub[],MATCH($A335,lmic_raw_ub[[setting]:[setting]],0), MATCH(AO$277, lmic_raw_ub[#Headers],0))=0, INDEX(regions_ub[], MATCH($D335, regions_ub[[setting]:[setting]],0), MATCH(AO$139, regions_ub[#Headers],0)),INDEX(lmic_raw_ub[],MATCH($A335,lmic_raw_ub[[setting]:[setting]],0), MATCH(AO$277, lmic_raw_ub[#Headers],0)))</f>
        <v>1.1630352163331073E-2</v>
      </c>
      <c r="AP335" s="84">
        <f>IF(INDEX(lmic_raw_ub[],MATCH($A335,lmic_raw_ub[[setting]:[setting]],0), MATCH(AP$277, lmic_raw_ub[#Headers],0))=0, INDEX(regions_ub[], MATCH($D335, regions_ub[[setting]:[setting]],0), MATCH(AP$139, regions_ub[#Headers],0)),INDEX(lmic_raw_ub[],MATCH($A335,lmic_raw_ub[[setting]:[setting]],0), MATCH(AP$277, lmic_raw_ub[#Headers],0)))</f>
        <v>1.8076219864854696E-2</v>
      </c>
      <c r="AQ335" s="84">
        <f>IF(INDEX(lmic_raw_ub[],MATCH($A335,lmic_raw_ub[[setting]:[setting]],0), MATCH(AQ$277, lmic_raw_ub[#Headers],0))=0, INDEX(regions_ub[], MATCH($D335, regions_ub[[setting]:[setting]],0), MATCH(AQ$139, regions_ub[#Headers],0)),INDEX(lmic_raw_ub[],MATCH($A335,lmic_raw_ub[[setting]:[setting]],0), MATCH(AQ$277, lmic_raw_ub[#Headers],0)))</f>
        <v>2.8603318144052894E-2</v>
      </c>
      <c r="AR335" s="84">
        <f>IF(INDEX(lmic_raw_ub[],MATCH($A335,lmic_raw_ub[[setting]:[setting]],0), MATCH(AR$277, lmic_raw_ub[#Headers],0))=0, INDEX(regions_ub[], MATCH($D335, regions_ub[[setting]:[setting]],0), MATCH(AR$139, regions_ub[#Headers],0)),INDEX(lmic_raw_ub[],MATCH($A335,lmic_raw_ub[[setting]:[setting]],0), MATCH(AR$277, lmic_raw_ub[#Headers],0)))</f>
        <v>4.5211923299575726E-2</v>
      </c>
      <c r="AS335" s="84">
        <f>IF(INDEX(lmic_raw_ub[],MATCH($A335,lmic_raw_ub[[setting]:[setting]],0), MATCH(AS$277, lmic_raw_ub[#Headers],0))=0, INDEX(regions_ub[], MATCH($D335, regions_ub[[setting]:[setting]],0), MATCH(AS$139, regions_ub[#Headers],0)),INDEX(lmic_raw_ub[],MATCH($A335,lmic_raw_ub[[setting]:[setting]],0), MATCH(AS$277, lmic_raw_ub[#Headers],0)))</f>
        <v>6.9239899546043274E-2</v>
      </c>
      <c r="AT335" s="84">
        <f>IF(INDEX(lmic_raw_ub[],MATCH($A335,lmic_raw_ub[[setting]:[setting]],0), MATCH(AT$277, lmic_raw_ub[#Headers],0))=0, INDEX(regions_ub[], MATCH($D335, regions_ub[[setting]:[setting]],0), MATCH(AT$139, regions_ub[#Headers],0)),INDEX(lmic_raw_ub[],MATCH($A335,lmic_raw_ub[[setting]:[setting]],0), MATCH(AT$277, lmic_raw_ub[#Headers],0)))</f>
        <v>0.10203123668849866</v>
      </c>
      <c r="AU335" s="84">
        <f>IF(INDEX(lmic_raw_ub[],MATCH($A335,lmic_raw_ub[[setting]:[setting]],0), MATCH(AU$277, lmic_raw_ub[#Headers],0))=0, INDEX(regions_ub[], MATCH($D335, regions_ub[[setting]:[setting]],0), MATCH(AU$139, regions_ub[#Headers],0)),INDEX(lmic_raw_ub[],MATCH($A335,lmic_raw_ub[[setting]:[setting]],0), MATCH(AU$277, lmic_raw_ub[#Headers],0)))</f>
        <v>0.1373325941575895</v>
      </c>
      <c r="AV335" s="84">
        <f>IF(INDEX(lmic_raw_ub[],MATCH($A335,lmic_raw_ub[[setting]:[setting]],0), MATCH(AV$277, lmic_raw_ub[#Headers],0))=0, INDEX(regions_ub[], MATCH($D335, regions_ub[[setting]:[setting]],0), MATCH(AV$139, regions_ub[#Headers],0)),INDEX(lmic_raw_ub[],MATCH($A335,lmic_raw_ub[[setting]:[setting]],0), MATCH(AV$277, lmic_raw_ub[#Headers],0)))</f>
        <v>0.16773222384353303</v>
      </c>
      <c r="AW335" s="84">
        <f>IF(INDEX(lmic_raw_ub[],MATCH($A335,lmic_raw_ub[[setting]:[setting]],0), MATCH(AW$277, lmic_raw_ub[#Headers],0))=0, INDEX(regions_ub[], MATCH($D335, regions_ub[[setting]:[setting]],0), MATCH(AW$139, regions_ub[#Headers],0)),INDEX(lmic_raw_ub[],MATCH($A335,lmic_raw_ub[[setting]:[setting]],0), MATCH(AW$277, lmic_raw_ub[#Headers],0)))</f>
        <v>0.18674116218268028</v>
      </c>
      <c r="AX335" s="84">
        <f>IF(INDEX(lmic_raw_ub[],MATCH($A335,lmic_raw_ub[[setting]:[setting]],0), MATCH(AX$277, lmic_raw_ub[#Headers],0))=0, INDEX(regions_ub[], MATCH($D335, regions_ub[[setting]:[setting]],0), MATCH(AX$139, regions_ub[#Headers],0)),INDEX(lmic_raw_ub[],MATCH($A335,lmic_raw_ub[[setting]:[setting]],0), MATCH(AX$277, lmic_raw_ub[#Headers],0)))</f>
        <v>73.886399999999995</v>
      </c>
      <c r="AY335" s="33" t="str">
        <f>IF(VLOOKUP(lmics_ub[[#This Row],[setting]],lmic_raw_ub[],11,FALSE)=0, "Yes", "No")</f>
        <v>No</v>
      </c>
    </row>
    <row r="336" spans="1:51" x14ac:dyDescent="0.25">
      <c r="A336" s="109" t="s">
        <v>239</v>
      </c>
      <c r="B336" s="101" t="s">
        <v>444</v>
      </c>
      <c r="C336" s="102">
        <v>388</v>
      </c>
      <c r="D336" s="82" t="s">
        <v>679</v>
      </c>
      <c r="E336" s="82" t="s">
        <v>223</v>
      </c>
      <c r="F336" s="82" t="s">
        <v>665</v>
      </c>
      <c r="G336" s="82" t="s">
        <v>676</v>
      </c>
      <c r="J336" s="84">
        <f>IF(INDEX(lmic_raw_ub[],MATCH($A336,lmic_raw_ub[[setting]:[setting]],0), MATCH(J$277, lmic_raw_ub[#Headers],0))=0, INDEX(regions_ub[], MATCH($D336, regions_ub[[setting]:[setting]],0), MATCH(J$139, regions_ub[#Headers],0)),INDEX(lmic_raw_ub[],MATCH($A336,lmic_raw_ub[[setting]:[setting]],0), MATCH(J$277, lmic_raw_ub[#Headers],0)))</f>
        <v>0.99990000000000001</v>
      </c>
      <c r="K336" s="84">
        <f>IF(INDEX(lmic_raw_ub[],MATCH($A336,lmic_raw_ub[[setting]:[setting]],0), MATCH(K$277, lmic_raw_ub[#Headers],0))=0, INDEX(regions_ub[], MATCH($D336, regions_ub[[setting]:[setting]],0), MATCH(K$139, regions_ub[#Headers],0)),INDEX(lmic_raw_ub[],MATCH($A336,lmic_raw_ub[[setting]:[setting]],0), MATCH(K$277, lmic_raw_ub[#Headers],0)))</f>
        <v>0.78230516513860726</v>
      </c>
      <c r="L336" s="84">
        <f>IF(INDEX(lmic_raw_ub[],MATCH($A336,lmic_raw_ub[[setting]:[setting]],0), MATCH(L$277, lmic_raw_ub[#Headers],0))=0, INDEX(regions_ub[], MATCH($D336, regions_ub[[setting]:[setting]],0), MATCH(L$139, regions_ub[#Headers],0)),INDEX(lmic_raw_ub[],MATCH($A336,lmic_raw_ub[[setting]:[setting]],0), MATCH(L$277, lmic_raw_ub[#Headers],0)))</f>
        <v>0.99990000000000001</v>
      </c>
      <c r="M336" s="84">
        <f>IF(INDEX(lmic_raw_ub[],MATCH($A336,lmic_raw_ub[[setting]:[setting]],0), MATCH(M$277, lmic_raw_ub[#Headers],0))=0, INDEX(regions_ub[], MATCH($D336, regions_ub[[setting]:[setting]],0), MATCH(M$139, regions_ub[#Headers],0)),INDEX(lmic_raw_ub[],MATCH($A336,lmic_raw_ub[[setting]:[setting]],0), MATCH(M$277, lmic_raw_ub[#Headers],0)))</f>
        <v>1.41E-2</v>
      </c>
      <c r="N336" s="84">
        <f>IF(INDEX(lmic_raw_ub[],MATCH($A336,lmic_raw_ub[[setting]:[setting]],0), MATCH(N$277, lmic_raw_ub[#Headers],0))=0, INDEX(regions_ub[], MATCH($D336, regions_ub[[setting]:[setting]],0), MATCH(N$139, regions_ub[#Headers],0)),INDEX(lmic_raw_ub[],MATCH($A336,lmic_raw_ub[[setting]:[setting]],0), MATCH(N$277, lmic_raw_ub[#Headers],0)))</f>
        <v>0.43</v>
      </c>
      <c r="O336" s="84">
        <f>IF(INDEX(lmic_raw_ub[],MATCH($A336,lmic_raw_ub[[setting]:[setting]],0), MATCH(O$277, lmic_raw_ub[#Headers],0))=0, INDEX(regions_ub[], MATCH($D336, regions_ub[[setting]:[setting]],0), MATCH(O$139, regions_ub[#Headers],0)),INDEX(lmic_raw_ub[],MATCH($A336,lmic_raw_ub[[setting]:[setting]],0), MATCH(O$277, lmic_raw_ub[#Headers],0)))</f>
        <v>0.9</v>
      </c>
      <c r="P336" s="84">
        <f>IF(INDEX(lmic_raw_ub[],MATCH($A336,lmic_raw_ub[[setting]:[setting]],0), MATCH(P$277, lmic_raw_ub[#Headers],0))=0, INDEX(regions_ub[], MATCH($D336, regions_ub[[setting]:[setting]],0), MATCH(P$139, regions_ub[#Headers],0)),INDEX(lmic_raw_ub[],MATCH($A336,lmic_raw_ub[[setting]:[setting]],0), MATCH(P$277, lmic_raw_ub[#Headers],0)))</f>
        <v>0.3</v>
      </c>
      <c r="Q336" s="84">
        <f>IF(INDEX(lmic_raw_ub[],MATCH($A336,lmic_raw_ub[[setting]:[setting]],0), MATCH(Q$277, lmic_raw_ub[#Headers],0))=0, INDEX(regions_ub[], MATCH($D336, regions_ub[[setting]:[setting]],0), MATCH(Q$139, regions_ub[#Headers],0)),INDEX(lmic_raw_ub[],MATCH($A336,lmic_raw_ub[[setting]:[setting]],0), MATCH(Q$277, lmic_raw_ub[#Headers],0)))</f>
        <v>9.9321914684414292</v>
      </c>
      <c r="R336" s="84">
        <f>IF(INDEX(lmic_raw_ub[],MATCH($A336,lmic_raw_ub[[setting]:[setting]],0), MATCH(R$277, lmic_raw_ub[#Headers],0))=0, INDEX(regions_ub[], MATCH($D336, regions_ub[[setting]:[setting]],0), MATCH(R$139, regions_ub[#Headers],0)),INDEX(lmic_raw_ub[],MATCH($A336,lmic_raw_ub[[setting]:[setting]],0), MATCH(R$277, lmic_raw_ub[#Headers],0)))</f>
        <v>91.228094999999996</v>
      </c>
      <c r="S336" s="84">
        <f>IF(INDEX(lmic_raw_ub[],MATCH($A336,lmic_raw_ub[[setting]:[setting]],0), MATCH(S$277, lmic_raw_ub[#Headers],0))=0, INDEX(regions_ub[], MATCH($D336, regions_ub[[setting]:[setting]],0), MATCH(S$139, regions_ub[#Headers],0)),INDEX(lmic_raw_ub[],MATCH($A336,lmic_raw_ub[[setting]:[setting]],0), MATCH(S$277, lmic_raw_ub[#Headers],0)))</f>
        <v>141.35719500000002</v>
      </c>
      <c r="T336" s="84">
        <f>IF(INDEX(lmic_raw_ub[],MATCH($A336,lmic_raw_ub[[setting]:[setting]],0), MATCH(T$277, lmic_raw_ub[#Headers],0))=0, INDEX(regions_ub[], MATCH($D336, regions_ub[[setting]:[setting]],0), MATCH(T$139, regions_ub[#Headers],0)),INDEX(lmic_raw_ub[],MATCH($A336,lmic_raw_ub[[setting]:[setting]],0), MATCH(T$277, lmic_raw_ub[#Headers],0)))</f>
        <v>141.35719500000002</v>
      </c>
      <c r="U336" s="84">
        <f>IF(INDEX(lmic_raw_ub[],MATCH($A336,lmic_raw_ub[[setting]:[setting]],0), MATCH(U$277, lmic_raw_ub[#Headers],0))=0, INDEX(regions_ub[], MATCH($D336, regions_ub[[setting]:[setting]],0), MATCH(U$139, regions_ub[#Headers],0)),INDEX(lmic_raw_ub[],MATCH($A336,lmic_raw_ub[[setting]:[setting]],0), MATCH(U$277, lmic_raw_ub[#Headers],0)))</f>
        <v>141.35719500000002</v>
      </c>
      <c r="V336" s="84">
        <f>IF(INDEX(lmic_raw_ub[],MATCH($A336,lmic_raw_ub[[setting]:[setting]],0), MATCH(V$277, lmic_raw_ub[#Headers],0))=0, INDEX(regions_ub[], MATCH($D336, regions_ub[[setting]:[setting]],0), MATCH(V$139, regions_ub[#Headers],0)),INDEX(lmic_raw_ub[],MATCH($A336,lmic_raw_ub[[setting]:[setting]],0), MATCH(V$277, lmic_raw_ub[#Headers],0)))</f>
        <v>12.633399385463767</v>
      </c>
      <c r="W336" s="84">
        <f>IF(INDEX(lmic_raw_ub[],MATCH($A336,lmic_raw_ub[[setting]:[setting]],0), MATCH(W$277, lmic_raw_ub[#Headers],0))=0, INDEX(regions_ub[], MATCH($D336, regions_ub[[setting]:[setting]],0), MATCH(W$139, regions_ub[#Headers],0)),INDEX(lmic_raw_ub[],MATCH($A336,lmic_raw_ub[[setting]:[setting]],0), MATCH(W$277, lmic_raw_ub[#Headers],0)))</f>
        <v>12.656289385463767</v>
      </c>
      <c r="X336" s="84">
        <f>IF(INDEX(lmic_raw_ub[],MATCH($A336,lmic_raw_ub[[setting]:[setting]],0), MATCH(X$277, lmic_raw_ub[#Headers],0))=0, INDEX(regions_ub[], MATCH($D336, regions_ub[[setting]:[setting]],0), MATCH(X$139, regions_ub[#Headers],0)),INDEX(lmic_raw_ub[],MATCH($A336,lmic_raw_ub[[setting]:[setting]],0), MATCH(X$277, lmic_raw_ub[#Headers],0)))</f>
        <v>12.114828762632076</v>
      </c>
      <c r="Y336" s="84">
        <f>IF(INDEX(lmic_raw_ub[],MATCH($A336,lmic_raw_ub[[setting]:[setting]],0), MATCH(Y$277, lmic_raw_ub[#Headers],0))=0, INDEX(regions_ub[], MATCH($D336, regions_ub[[setting]:[setting]],0), MATCH(Y$139, regions_ub[#Headers],0)),INDEX(lmic_raw_ub[],MATCH($A336,lmic_raw_ub[[setting]:[setting]],0), MATCH(Y$277, lmic_raw_ub[#Headers],0)))</f>
        <v>12.137718762632076</v>
      </c>
      <c r="Z336" s="84">
        <f>IF(INDEX(lmic_raw_ub[],MATCH($A336,lmic_raw_ub[[setting]:[setting]],0), MATCH(Z$277, lmic_raw_ub[#Headers],0))=0, INDEX(regions_ub[], MATCH($D336, regions_ub[[setting]:[setting]],0), MATCH(Z$139, regions_ub[#Headers],0)),INDEX(lmic_raw_ub[],MATCH($A336,lmic_raw_ub[[setting]:[setting]],0), MATCH(Z$277, lmic_raw_ub[#Headers],0)))</f>
        <v>12.116887971946969</v>
      </c>
      <c r="AA336" s="84">
        <f>IF(INDEX(lmic_raw_ub[],MATCH($A336,lmic_raw_ub[[setting]:[setting]],0), MATCH(AA$277, lmic_raw_ub[#Headers],0))=0, INDEX(regions_ub[], MATCH($D336, regions_ub[[setting]:[setting]],0), MATCH(AA$139, regions_ub[#Headers],0)),INDEX(lmic_raw_ub[],MATCH($A336,lmic_raw_ub[[setting]:[setting]],0), MATCH(AA$277, lmic_raw_ub[#Headers],0)))</f>
        <v>12.907186180234911</v>
      </c>
      <c r="AB336" s="84">
        <f>IF(INDEX(lmic_raw_ub[],MATCH($A336,lmic_raw_ub[[setting]:[setting]],0), MATCH(AB$277, lmic_raw_ub[#Headers],0))=0, INDEX(regions_ub[], MATCH($D336, regions_ub[[setting]:[setting]],0), MATCH(AB$139, regions_ub[#Headers],0)),INDEX(lmic_raw_ub[],MATCH($A336,lmic_raw_ub[[setting]:[setting]],0), MATCH(AB$277, lmic_raw_ub[#Headers],0)))</f>
        <v>12.930076180234911</v>
      </c>
      <c r="AC336" s="84">
        <f>IF(INDEX(lmic_raw_ub[],MATCH($A336,lmic_raw_ub[[setting]:[setting]],0), MATCH(AC$277, lmic_raw_ub[#Headers],0))=0, INDEX(regions_ub[], MATCH($D336, regions_ub[[setting]:[setting]],0), MATCH(AC$139, regions_ub[#Headers],0)),INDEX(lmic_raw_ub[],MATCH($A336,lmic_raw_ub[[setting]:[setting]],0), MATCH(AC$277, lmic_raw_ub[#Headers],0)))</f>
        <v>1.2361219500000058E-2</v>
      </c>
      <c r="AD336" s="84">
        <f>IF(INDEX(lmic_raw_ub[],MATCH($A336,lmic_raw_ub[[setting]:[setting]],0), MATCH(AD$277, lmic_raw_ub[#Headers],0))=0, INDEX(regions_ub[], MATCH($D336, regions_ub[[setting]:[setting]],0), MATCH(AD$139, regions_ub[#Headers],0)),INDEX(lmic_raw_ub[],MATCH($A336,lmic_raw_ub[[setting]:[setting]],0), MATCH(AD$277, lmic_raw_ub[#Headers],0)))</f>
        <v>8.4839973726287619E-4</v>
      </c>
      <c r="AE336" s="84">
        <f>IF(INDEX(lmic_raw_ub[],MATCH($A336,lmic_raw_ub[[setting]:[setting]],0), MATCH(AE$277, lmic_raw_ub[#Headers],0))=0, INDEX(regions_ub[], MATCH($D336, regions_ub[[setting]:[setting]],0), MATCH(AE$139, regions_ub[#Headers],0)),INDEX(lmic_raw_ub[],MATCH($A336,lmic_raw_ub[[setting]:[setting]],0), MATCH(AE$277, lmic_raw_ub[#Headers],0)))</f>
        <v>3.6026461476752004E-4</v>
      </c>
      <c r="AF336" s="84">
        <f>IF(INDEX(lmic_raw_ub[],MATCH($A336,lmic_raw_ub[[setting]:[setting]],0), MATCH(AF$277, lmic_raw_ub[#Headers],0))=0, INDEX(regions_ub[], MATCH($D336, regions_ub[[setting]:[setting]],0), MATCH(AF$139, regions_ub[#Headers],0)),INDEX(lmic_raw_ub[],MATCH($A336,lmic_raw_ub[[setting]:[setting]],0), MATCH(AF$277, lmic_raw_ub[#Headers],0)))</f>
        <v>3.4351085768505172E-4</v>
      </c>
      <c r="AG336" s="84">
        <f>IF(INDEX(lmic_raw_ub[],MATCH($A336,lmic_raw_ub[[setting]:[setting]],0), MATCH(AG$277, lmic_raw_ub[#Headers],0))=0, INDEX(regions_ub[], MATCH($D336, regions_ub[[setting]:[setting]],0), MATCH(AG$139, regions_ub[#Headers],0)),INDEX(lmic_raw_ub[],MATCH($A336,lmic_raw_ub[[setting]:[setting]],0), MATCH(AG$277, lmic_raw_ub[#Headers],0)))</f>
        <v>8.2836981671643398E-4</v>
      </c>
      <c r="AH336" s="84">
        <f>IF(INDEX(lmic_raw_ub[],MATCH($A336,lmic_raw_ub[[setting]:[setting]],0), MATCH(AH$277, lmic_raw_ub[#Headers],0))=0, INDEX(regions_ub[], MATCH($D336, regions_ub[[setting]:[setting]],0), MATCH(AH$139, regions_ub[#Headers],0)),INDEX(lmic_raw_ub[],MATCH($A336,lmic_raw_ub[[setting]:[setting]],0), MATCH(AH$277, lmic_raw_ub[#Headers],0)))</f>
        <v>1.1319560776694008E-3</v>
      </c>
      <c r="AI336" s="84">
        <f>IF(INDEX(lmic_raw_ub[],MATCH($A336,lmic_raw_ub[[setting]:[setting]],0), MATCH(AI$277, lmic_raw_ub[#Headers],0))=0, INDEX(regions_ub[], MATCH($D336, regions_ub[[setting]:[setting]],0), MATCH(AI$139, regions_ub[#Headers],0)),INDEX(lmic_raw_ub[],MATCH($A336,lmic_raw_ub[[setting]:[setting]],0), MATCH(AI$277, lmic_raw_ub[#Headers],0)))</f>
        <v>1.2054311884014434E-3</v>
      </c>
      <c r="AJ336" s="84">
        <f>IF(INDEX(lmic_raw_ub[],MATCH($A336,lmic_raw_ub[[setting]:[setting]],0), MATCH(AJ$277, lmic_raw_ub[#Headers],0))=0, INDEX(regions_ub[], MATCH($D336, regions_ub[[setting]:[setting]],0), MATCH(AJ$139, regions_ub[#Headers],0)),INDEX(lmic_raw_ub[],MATCH($A336,lmic_raw_ub[[setting]:[setting]],0), MATCH(AJ$277, lmic_raw_ub[#Headers],0)))</f>
        <v>1.4423720720455817E-3</v>
      </c>
      <c r="AK336" s="84">
        <f>IF(INDEX(lmic_raw_ub[],MATCH($A336,lmic_raw_ub[[setting]:[setting]],0), MATCH(AK$277, lmic_raw_ub[#Headers],0))=0, INDEX(regions_ub[], MATCH($D336, regions_ub[[setting]:[setting]],0), MATCH(AK$139, regions_ub[#Headers],0)),INDEX(lmic_raw_ub[],MATCH($A336,lmic_raw_ub[[setting]:[setting]],0), MATCH(AK$277, lmic_raw_ub[#Headers],0)))</f>
        <v>1.9517706201661006E-3</v>
      </c>
      <c r="AL336" s="84">
        <f>IF(INDEX(lmic_raw_ub[],MATCH($A336,lmic_raw_ub[[setting]:[setting]],0), MATCH(AL$277, lmic_raw_ub[#Headers],0))=0, INDEX(regions_ub[], MATCH($D336, regions_ub[[setting]:[setting]],0), MATCH(AL$139, regions_ub[#Headers],0)),INDEX(lmic_raw_ub[],MATCH($A336,lmic_raw_ub[[setting]:[setting]],0), MATCH(AL$277, lmic_raw_ub[#Headers],0)))</f>
        <v>2.8533758647448148E-3</v>
      </c>
      <c r="AM336" s="84">
        <f>IF(INDEX(lmic_raw_ub[],MATCH($A336,lmic_raw_ub[[setting]:[setting]],0), MATCH(AM$277, lmic_raw_ub[#Headers],0))=0, INDEX(regions_ub[], MATCH($D336, regions_ub[[setting]:[setting]],0), MATCH(AM$139, regions_ub[#Headers],0)),INDEX(lmic_raw_ub[],MATCH($A336,lmic_raw_ub[[setting]:[setting]],0), MATCH(AM$277, lmic_raw_ub[#Headers],0)))</f>
        <v>4.4276788163067141E-3</v>
      </c>
      <c r="AN336" s="84">
        <f>IF(INDEX(lmic_raw_ub[],MATCH($A336,lmic_raw_ub[[setting]:[setting]],0), MATCH(AN$277, lmic_raw_ub[#Headers],0))=0, INDEX(regions_ub[], MATCH($D336, regions_ub[[setting]:[setting]],0), MATCH(AN$139, regions_ub[#Headers],0)),INDEX(lmic_raw_ub[],MATCH($A336,lmic_raw_ub[[setting]:[setting]],0), MATCH(AN$277, lmic_raw_ub[#Headers],0)))</f>
        <v>6.8970928109862994E-3</v>
      </c>
      <c r="AO336" s="84">
        <f>IF(INDEX(lmic_raw_ub[],MATCH($A336,lmic_raw_ub[[setting]:[setting]],0), MATCH(AO$277, lmic_raw_ub[#Headers],0))=0, INDEX(regions_ub[], MATCH($D336, regions_ub[[setting]:[setting]],0), MATCH(AO$139, regions_ub[#Headers],0)),INDEX(lmic_raw_ub[],MATCH($A336,lmic_raw_ub[[setting]:[setting]],0), MATCH(AO$277, lmic_raw_ub[#Headers],0)))</f>
        <v>1.0612424063641648E-2</v>
      </c>
      <c r="AP336" s="84">
        <f>IF(INDEX(lmic_raw_ub[],MATCH($A336,lmic_raw_ub[[setting]:[setting]],0), MATCH(AP$277, lmic_raw_ub[#Headers],0))=0, INDEX(regions_ub[], MATCH($D336, regions_ub[[setting]:[setting]],0), MATCH(AP$139, regions_ub[#Headers],0)),INDEX(lmic_raw_ub[],MATCH($A336,lmic_raw_ub[[setting]:[setting]],0), MATCH(AP$277, lmic_raw_ub[#Headers],0)))</f>
        <v>1.4869253583329434E-2</v>
      </c>
      <c r="AQ336" s="84">
        <f>IF(INDEX(lmic_raw_ub[],MATCH($A336,lmic_raw_ub[[setting]:[setting]],0), MATCH(AQ$277, lmic_raw_ub[#Headers],0))=0, INDEX(regions_ub[], MATCH($D336, regions_ub[[setting]:[setting]],0), MATCH(AQ$139, regions_ub[#Headers],0)),INDEX(lmic_raw_ub[],MATCH($A336,lmic_raw_ub[[setting]:[setting]],0), MATCH(AQ$277, lmic_raw_ub[#Headers],0)))</f>
        <v>2.1023688699544747E-2</v>
      </c>
      <c r="AR336" s="84">
        <f>IF(INDEX(lmic_raw_ub[],MATCH($A336,lmic_raw_ub[[setting]:[setting]],0), MATCH(AR$277, lmic_raw_ub[#Headers],0))=0, INDEX(regions_ub[], MATCH($D336, regions_ub[[setting]:[setting]],0), MATCH(AR$139, regions_ub[#Headers],0)),INDEX(lmic_raw_ub[],MATCH($A336,lmic_raw_ub[[setting]:[setting]],0), MATCH(AR$277, lmic_raw_ub[#Headers],0)))</f>
        <v>3.1757470504404466E-2</v>
      </c>
      <c r="AS336" s="84">
        <f>IF(INDEX(lmic_raw_ub[],MATCH($A336,lmic_raw_ub[[setting]:[setting]],0), MATCH(AS$277, lmic_raw_ub[#Headers],0))=0, INDEX(regions_ub[], MATCH($D336, regions_ub[[setting]:[setting]],0), MATCH(AS$139, regions_ub[#Headers],0)),INDEX(lmic_raw_ub[],MATCH($A336,lmic_raw_ub[[setting]:[setting]],0), MATCH(AS$277, lmic_raw_ub[#Headers],0)))</f>
        <v>5.1018392212887634E-2</v>
      </c>
      <c r="AT336" s="84">
        <f>IF(INDEX(lmic_raw_ub[],MATCH($A336,lmic_raw_ub[[setting]:[setting]],0), MATCH(AT$277, lmic_raw_ub[#Headers],0))=0, INDEX(regions_ub[], MATCH($D336, regions_ub[[setting]:[setting]],0), MATCH(AT$139, regions_ub[#Headers],0)),INDEX(lmic_raw_ub[],MATCH($A336,lmic_raw_ub[[setting]:[setting]],0), MATCH(AT$277, lmic_raw_ub[#Headers],0)))</f>
        <v>7.8619034170265875E-2</v>
      </c>
      <c r="AU336" s="84">
        <f>IF(INDEX(lmic_raw_ub[],MATCH($A336,lmic_raw_ub[[setting]:[setting]],0), MATCH(AU$277, lmic_raw_ub[#Headers],0))=0, INDEX(regions_ub[], MATCH($D336, regions_ub[[setting]:[setting]],0), MATCH(AU$139, regions_ub[#Headers],0)),INDEX(lmic_raw_ub[],MATCH($A336,lmic_raw_ub[[setting]:[setting]],0), MATCH(AU$277, lmic_raw_ub[#Headers],0)))</f>
        <v>0.1130521063295285</v>
      </c>
      <c r="AV336" s="84">
        <f>IF(INDEX(lmic_raw_ub[],MATCH($A336,lmic_raw_ub[[setting]:[setting]],0), MATCH(AV$277, lmic_raw_ub[#Headers],0))=0, INDEX(regions_ub[], MATCH($D336, regions_ub[[setting]:[setting]],0), MATCH(AV$139, regions_ub[#Headers],0)),INDEX(lmic_raw_ub[],MATCH($A336,lmic_raw_ub[[setting]:[setting]],0), MATCH(AV$277, lmic_raw_ub[#Headers],0)))</f>
        <v>0.14621290912694762</v>
      </c>
      <c r="AW336" s="84">
        <f>IF(INDEX(lmic_raw_ub[],MATCH($A336,lmic_raw_ub[[setting]:[setting]],0), MATCH(AW$277, lmic_raw_ub[#Headers],0))=0, INDEX(regions_ub[], MATCH($D336, regions_ub[[setting]:[setting]],0), MATCH(AW$139, regions_ub[#Headers],0)),INDEX(lmic_raw_ub[],MATCH($A336,lmic_raw_ub[[setting]:[setting]],0), MATCH(AW$277, lmic_raw_ub[#Headers],0)))</f>
        <v>0.17218635636877758</v>
      </c>
      <c r="AX336" s="84">
        <f>IF(INDEX(lmic_raw_ub[],MATCH($A336,lmic_raw_ub[[setting]:[setting]],0), MATCH(AX$277, lmic_raw_ub[#Headers],0))=0, INDEX(regions_ub[], MATCH($D336, regions_ub[[setting]:[setting]],0), MATCH(AX$139, regions_ub[#Headers],0)),INDEX(lmic_raw_ub[],MATCH($A336,lmic_raw_ub[[setting]:[setting]],0), MATCH(AX$277, lmic_raw_ub[#Headers],0)))</f>
        <v>78.048599999999993</v>
      </c>
      <c r="AY336" s="33" t="str">
        <f>IF(VLOOKUP(lmics_ub[[#This Row],[setting]],lmic_raw_ub[],11,FALSE)=0, "Yes", "No")</f>
        <v>Yes</v>
      </c>
    </row>
    <row r="337" spans="1:51" x14ac:dyDescent="0.25">
      <c r="A337" s="110" t="s">
        <v>172</v>
      </c>
      <c r="B337" s="104" t="s">
        <v>446</v>
      </c>
      <c r="C337" s="105">
        <v>400</v>
      </c>
      <c r="D337" s="84" t="s">
        <v>673</v>
      </c>
      <c r="E337" s="84" t="s">
        <v>579</v>
      </c>
      <c r="F337" s="84" t="s">
        <v>579</v>
      </c>
      <c r="G337" s="84" t="s">
        <v>676</v>
      </c>
      <c r="J337" s="84">
        <f>IF(INDEX(lmic_raw_ub[],MATCH($A337,lmic_raw_ub[[setting]:[setting]],0), MATCH(J$277, lmic_raw_ub[#Headers],0))=0, INDEX(regions_ub[], MATCH($D337, regions_ub[[setting]:[setting]],0), MATCH(J$139, regions_ub[#Headers],0)),INDEX(lmic_raw_ub[],MATCH($A337,lmic_raw_ub[[setting]:[setting]],0), MATCH(J$277, lmic_raw_ub[#Headers],0)))</f>
        <v>0.99990000000000001</v>
      </c>
      <c r="K337" s="84">
        <f>IF(INDEX(lmic_raw_ub[],MATCH($A337,lmic_raw_ub[[setting]:[setting]],0), MATCH(K$277, lmic_raw_ub[#Headers],0))=0, INDEX(regions_ub[], MATCH($D337, regions_ub[[setting]:[setting]],0), MATCH(K$139, regions_ub[#Headers],0)),INDEX(lmic_raw_ub[],MATCH($A337,lmic_raw_ub[[setting]:[setting]],0), MATCH(K$277, lmic_raw_ub[#Headers],0)))</f>
        <v>0.74462879341111321</v>
      </c>
      <c r="L337" s="84">
        <f>IF(INDEX(lmic_raw_ub[],MATCH($A337,lmic_raw_ub[[setting]:[setting]],0), MATCH(L$277, lmic_raw_ub[#Headers],0))=0, INDEX(regions_ub[], MATCH($D337, regions_ub[[setting]:[setting]],0), MATCH(L$139, regions_ub[#Headers],0)),INDEX(lmic_raw_ub[],MATCH($A337,lmic_raw_ub[[setting]:[setting]],0), MATCH(L$277, lmic_raw_ub[#Headers],0)))</f>
        <v>0.93450000000000011</v>
      </c>
      <c r="M337" s="84">
        <f>IF(INDEX(lmic_raw_ub[],MATCH($A337,lmic_raw_ub[[setting]:[setting]],0), MATCH(M$277, lmic_raw_ub[#Headers],0))=0, INDEX(regions_ub[], MATCH($D337, regions_ub[[setting]:[setting]],0), MATCH(M$139, regions_ub[#Headers],0)),INDEX(lmic_raw_ub[],MATCH($A337,lmic_raw_ub[[setting]:[setting]],0), MATCH(M$277, lmic_raw_ub[#Headers],0)))</f>
        <v>3.8599999999999995E-2</v>
      </c>
      <c r="N337" s="84">
        <f>IF(INDEX(lmic_raw_ub[],MATCH($A337,lmic_raw_ub[[setting]:[setting]],0), MATCH(N$277, lmic_raw_ub[#Headers],0))=0, INDEX(regions_ub[], MATCH($D337, regions_ub[[setting]:[setting]],0), MATCH(N$139, regions_ub[#Headers],0)),INDEX(lmic_raw_ub[],MATCH($A337,lmic_raw_ub[[setting]:[setting]],0), MATCH(N$277, lmic_raw_ub[#Headers],0)))</f>
        <v>0.37619999999999998</v>
      </c>
      <c r="O337" s="84">
        <f>IF(INDEX(lmic_raw_ub[],MATCH($A337,lmic_raw_ub[[setting]:[setting]],0), MATCH(O$277, lmic_raw_ub[#Headers],0))=0, INDEX(regions_ub[], MATCH($D337, regions_ub[[setting]:[setting]],0), MATCH(O$139, regions_ub[#Headers],0)),INDEX(lmic_raw_ub[],MATCH($A337,lmic_raw_ub[[setting]:[setting]],0), MATCH(O$277, lmic_raw_ub[#Headers],0)))</f>
        <v>0.9</v>
      </c>
      <c r="P337" s="84">
        <f>IF(INDEX(lmic_raw_ub[],MATCH($A337,lmic_raw_ub[[setting]:[setting]],0), MATCH(P$277, lmic_raw_ub[#Headers],0))=0, INDEX(regions_ub[], MATCH($D337, regions_ub[[setting]:[setting]],0), MATCH(P$139, regions_ub[#Headers],0)),INDEX(lmic_raw_ub[],MATCH($A337,lmic_raw_ub[[setting]:[setting]],0), MATCH(P$277, lmic_raw_ub[#Headers],0)))</f>
        <v>0.3</v>
      </c>
      <c r="Q337" s="84">
        <f>IF(INDEX(lmic_raw_ub[],MATCH($A337,lmic_raw_ub[[setting]:[setting]],0), MATCH(Q$277, lmic_raw_ub[#Headers],0))=0, INDEX(regions_ub[], MATCH($D337, regions_ub[[setting]:[setting]],0), MATCH(Q$139, regions_ub[#Headers],0)),INDEX(lmic_raw_ub[],MATCH($A337,lmic_raw_ub[[setting]:[setting]],0), MATCH(Q$277, lmic_raw_ub[#Headers],0)))</f>
        <v>6.8874579874984834</v>
      </c>
      <c r="R337" s="84">
        <f>IF(INDEX(lmic_raw_ub[],MATCH($A337,lmic_raw_ub[[setting]:[setting]],0), MATCH(R$277, lmic_raw_ub[#Headers],0))=0, INDEX(regions_ub[], MATCH($D337, regions_ub[[setting]:[setting]],0), MATCH(R$139, regions_ub[#Headers],0)),INDEX(lmic_raw_ub[],MATCH($A337,lmic_raw_ub[[setting]:[setting]],0), MATCH(R$277, lmic_raw_ub[#Headers],0)))</f>
        <v>48.652695000000001</v>
      </c>
      <c r="S337" s="84">
        <f>IF(INDEX(lmic_raw_ub[],MATCH($A337,lmic_raw_ub[[setting]:[setting]],0), MATCH(S$277, lmic_raw_ub[#Headers],0))=0, INDEX(regions_ub[], MATCH($D337, regions_ub[[setting]:[setting]],0), MATCH(S$139, regions_ub[#Headers],0)),INDEX(lmic_raw_ub[],MATCH($A337,lmic_raw_ub[[setting]:[setting]],0), MATCH(S$277, lmic_raw_ub[#Headers],0)))</f>
        <v>98.781795000000017</v>
      </c>
      <c r="T337" s="84">
        <f>IF(INDEX(lmic_raw_ub[],MATCH($A337,lmic_raw_ub[[setting]:[setting]],0), MATCH(T$277, lmic_raw_ub[#Headers],0))=0, INDEX(regions_ub[], MATCH($D337, regions_ub[[setting]:[setting]],0), MATCH(T$139, regions_ub[#Headers],0)),INDEX(lmic_raw_ub[],MATCH($A337,lmic_raw_ub[[setting]:[setting]],0), MATCH(T$277, lmic_raw_ub[#Headers],0)))</f>
        <v>98.781795000000017</v>
      </c>
      <c r="U337" s="84">
        <f>IF(INDEX(lmic_raw_ub[],MATCH($A337,lmic_raw_ub[[setting]:[setting]],0), MATCH(U$277, lmic_raw_ub[#Headers],0))=0, INDEX(regions_ub[], MATCH($D337, regions_ub[[setting]:[setting]],0), MATCH(U$139, regions_ub[#Headers],0)),INDEX(lmic_raw_ub[],MATCH($A337,lmic_raw_ub[[setting]:[setting]],0), MATCH(U$277, lmic_raw_ub[#Headers],0)))</f>
        <v>98.781795000000017</v>
      </c>
      <c r="V337" s="84">
        <f>IF(INDEX(lmic_raw_ub[],MATCH($A337,lmic_raw_ub[[setting]:[setting]],0), MATCH(V$277, lmic_raw_ub[#Headers],0))=0, INDEX(regions_ub[], MATCH($D337, regions_ub[[setting]:[setting]],0), MATCH(V$139, regions_ub[#Headers],0)),INDEX(lmic_raw_ub[],MATCH($A337,lmic_raw_ub[[setting]:[setting]],0), MATCH(V$277, lmic_raw_ub[#Headers],0)))</f>
        <v>9.4012064832855806</v>
      </c>
      <c r="W337" s="84">
        <f>IF(INDEX(lmic_raw_ub[],MATCH($A337,lmic_raw_ub[[setting]:[setting]],0), MATCH(W$277, lmic_raw_ub[#Headers],0))=0, INDEX(regions_ub[], MATCH($D337, regions_ub[[setting]:[setting]],0), MATCH(W$139, regions_ub[#Headers],0)),INDEX(lmic_raw_ub[],MATCH($A337,lmic_raw_ub[[setting]:[setting]],0), MATCH(W$277, lmic_raw_ub[#Headers],0)))</f>
        <v>9.9047864832855801</v>
      </c>
      <c r="X337" s="84">
        <f>IF(INDEX(lmic_raw_ub[],MATCH($A337,lmic_raw_ub[[setting]:[setting]],0), MATCH(X$277, lmic_raw_ub[#Headers],0))=0, INDEX(regions_ub[], MATCH($D337, regions_ub[[setting]:[setting]],0), MATCH(X$139, regions_ub[#Headers],0)),INDEX(lmic_raw_ub[],MATCH($A337,lmic_raw_ub[[setting]:[setting]],0), MATCH(X$277, lmic_raw_ub[#Headers],0)))</f>
        <v>8.8909847393934065</v>
      </c>
      <c r="Y337" s="84">
        <f>IF(INDEX(lmic_raw_ub[],MATCH($A337,lmic_raw_ub[[setting]:[setting]],0), MATCH(Y$277, lmic_raw_ub[#Headers],0))=0, INDEX(regions_ub[], MATCH($D337, regions_ub[[setting]:[setting]],0), MATCH(Y$139, regions_ub[#Headers],0)),INDEX(lmic_raw_ub[],MATCH($A337,lmic_raw_ub[[setting]:[setting]],0), MATCH(Y$277, lmic_raw_ub[#Headers],0)))</f>
        <v>9.394564739393406</v>
      </c>
      <c r="Z337" s="84">
        <f>IF(INDEX(lmic_raw_ub[],MATCH($A337,lmic_raw_ub[[setting]:[setting]],0), MATCH(Z$277, lmic_raw_ub[#Headers],0))=0, INDEX(regions_ub[], MATCH($D337, regions_ub[[setting]:[setting]],0), MATCH(Z$139, regions_ub[#Headers],0)),INDEX(lmic_raw_ub[],MATCH($A337,lmic_raw_ub[[setting]:[setting]],0), MATCH(Z$277, lmic_raw_ub[#Headers],0)))</f>
        <v>9.3792563423950632</v>
      </c>
      <c r="AA337" s="84">
        <f>IF(INDEX(lmic_raw_ub[],MATCH($A337,lmic_raw_ub[[setting]:[setting]],0), MATCH(AA$277, lmic_raw_ub[#Headers],0))=0, INDEX(regions_ub[], MATCH($D337, regions_ub[[setting]:[setting]],0), MATCH(AA$139, regions_ub[#Headers],0)),INDEX(lmic_raw_ub[],MATCH($A337,lmic_raw_ub[[setting]:[setting]],0), MATCH(AA$277, lmic_raw_ub[#Headers],0)))</f>
        <v>9.6730981337575734</v>
      </c>
      <c r="AB337" s="84">
        <f>IF(INDEX(lmic_raw_ub[],MATCH($A337,lmic_raw_ub[[setting]:[setting]],0), MATCH(AB$277, lmic_raw_ub[#Headers],0))=0, INDEX(regions_ub[], MATCH($D337, regions_ub[[setting]:[setting]],0), MATCH(AB$139, regions_ub[#Headers],0)),INDEX(lmic_raw_ub[],MATCH($A337,lmic_raw_ub[[setting]:[setting]],0), MATCH(AB$277, lmic_raw_ub[#Headers],0)))</f>
        <v>10.176678133757573</v>
      </c>
      <c r="AC337" s="84">
        <f>IF(INDEX(lmic_raw_ub[],MATCH($A337,lmic_raw_ub[[setting]:[setting]],0), MATCH(AC$277, lmic_raw_ub[#Headers],0))=0, INDEX(regions_ub[], MATCH($D337, regions_ub[[setting]:[setting]],0), MATCH(AC$139, regions_ub[#Headers],0)),INDEX(lmic_raw_ub[],MATCH($A337,lmic_raw_ub[[setting]:[setting]],0), MATCH(AC$277, lmic_raw_ub[#Headers],0)))</f>
        <v>1.5364387499999939E-2</v>
      </c>
      <c r="AD337" s="84">
        <f>IF(INDEX(lmic_raw_ub[],MATCH($A337,lmic_raw_ub[[setting]:[setting]],0), MATCH(AD$277, lmic_raw_ub[#Headers],0))=0, INDEX(regions_ub[], MATCH($D337, regions_ub[[setting]:[setting]],0), MATCH(AD$139, regions_ub[#Headers],0)),INDEX(lmic_raw_ub[],MATCH($A337,lmic_raw_ub[[setting]:[setting]],0), MATCH(AD$277, lmic_raw_ub[#Headers],0)))</f>
        <v>6.4013074820584053E-4</v>
      </c>
      <c r="AE337" s="84">
        <f>IF(INDEX(lmic_raw_ub[],MATCH($A337,lmic_raw_ub[[setting]:[setting]],0), MATCH(AE$277, lmic_raw_ub[#Headers],0))=0, INDEX(regions_ub[], MATCH($D337, regions_ub[[setting]:[setting]],0), MATCH(AE$139, regions_ub[#Headers],0)),INDEX(lmic_raw_ub[],MATCH($A337,lmic_raw_ub[[setting]:[setting]],0), MATCH(AE$277, lmic_raw_ub[#Headers],0)))</f>
        <v>3.4470090746118831E-4</v>
      </c>
      <c r="AF337" s="84">
        <f>IF(INDEX(lmic_raw_ub[],MATCH($A337,lmic_raw_ub[[setting]:[setting]],0), MATCH(AF$277, lmic_raw_ub[#Headers],0))=0, INDEX(regions_ub[], MATCH($D337, regions_ub[[setting]:[setting]],0), MATCH(AF$139, regions_ub[#Headers],0)),INDEX(lmic_raw_ub[],MATCH($A337,lmic_raw_ub[[setting]:[setting]],0), MATCH(AF$277, lmic_raw_ub[#Headers],0)))</f>
        <v>2.8956157138782066E-4</v>
      </c>
      <c r="AG337" s="84">
        <f>IF(INDEX(lmic_raw_ub[],MATCH($A337,lmic_raw_ub[[setting]:[setting]],0), MATCH(AG$277, lmic_raw_ub[#Headers],0))=0, INDEX(regions_ub[], MATCH($D337, regions_ub[[setting]:[setting]],0), MATCH(AG$139, regions_ub[#Headers],0)),INDEX(lmic_raw_ub[],MATCH($A337,lmic_raw_ub[[setting]:[setting]],0), MATCH(AG$277, lmic_raw_ub[#Headers],0)))</f>
        <v>5.3762053650491227E-4</v>
      </c>
      <c r="AH337" s="84">
        <f>IF(INDEX(lmic_raw_ub[],MATCH($A337,lmic_raw_ub[[setting]:[setting]],0), MATCH(AH$277, lmic_raw_ub[#Headers],0))=0, INDEX(regions_ub[], MATCH($D337, regions_ub[[setting]:[setting]],0), MATCH(AH$139, regions_ub[#Headers],0)),INDEX(lmic_raw_ub[],MATCH($A337,lmic_raw_ub[[setting]:[setting]],0), MATCH(AH$277, lmic_raw_ub[#Headers],0)))</f>
        <v>7.5192675091745027E-4</v>
      </c>
      <c r="AI337" s="84">
        <f>IF(INDEX(lmic_raw_ub[],MATCH($A337,lmic_raw_ub[[setting]:[setting]],0), MATCH(AI$277, lmic_raw_ub[#Headers],0))=0, INDEX(regions_ub[], MATCH($D337, regions_ub[[setting]:[setting]],0), MATCH(AI$139, regions_ub[#Headers],0)),INDEX(lmic_raw_ub[],MATCH($A337,lmic_raw_ub[[setting]:[setting]],0), MATCH(AI$277, lmic_raw_ub[#Headers],0)))</f>
        <v>8.1037212716291004E-4</v>
      </c>
      <c r="AJ337" s="84">
        <f>IF(INDEX(lmic_raw_ub[],MATCH($A337,lmic_raw_ub[[setting]:[setting]],0), MATCH(AJ$277, lmic_raw_ub[#Headers],0))=0, INDEX(regions_ub[], MATCH($D337, regions_ub[[setting]:[setting]],0), MATCH(AJ$139, regions_ub[#Headers],0)),INDEX(lmic_raw_ub[],MATCH($A337,lmic_raw_ub[[setting]:[setting]],0), MATCH(AJ$277, lmic_raw_ub[#Headers],0)))</f>
        <v>9.5615846007032106E-4</v>
      </c>
      <c r="AK337" s="84">
        <f>IF(INDEX(lmic_raw_ub[],MATCH($A337,lmic_raw_ub[[setting]:[setting]],0), MATCH(AK$277, lmic_raw_ub[#Headers],0))=0, INDEX(regions_ub[], MATCH($D337, regions_ub[[setting]:[setting]],0), MATCH(AK$139, regions_ub[#Headers],0)),INDEX(lmic_raw_ub[],MATCH($A337,lmic_raw_ub[[setting]:[setting]],0), MATCH(AK$277, lmic_raw_ub[#Headers],0)))</f>
        <v>1.2835836596474712E-3</v>
      </c>
      <c r="AL337" s="84">
        <f>IF(INDEX(lmic_raw_ub[],MATCH($A337,lmic_raw_ub[[setting]:[setting]],0), MATCH(AL$277, lmic_raw_ub[#Headers],0))=0, INDEX(regions_ub[], MATCH($D337, regions_ub[[setting]:[setting]],0), MATCH(AL$139, regions_ub[#Headers],0)),INDEX(lmic_raw_ub[],MATCH($A337,lmic_raw_ub[[setting]:[setting]],0), MATCH(AL$277, lmic_raw_ub[#Headers],0)))</f>
        <v>1.9438385307546247E-3</v>
      </c>
      <c r="AM337" s="84">
        <f>IF(INDEX(lmic_raw_ub[],MATCH($A337,lmic_raw_ub[[setting]:[setting]],0), MATCH(AM$277, lmic_raw_ub[#Headers],0))=0, INDEX(regions_ub[], MATCH($D337, regions_ub[[setting]:[setting]],0), MATCH(AM$139, regions_ub[#Headers],0)),INDEX(lmic_raw_ub[],MATCH($A337,lmic_raw_ub[[setting]:[setting]],0), MATCH(AM$277, lmic_raw_ub[#Headers],0)))</f>
        <v>3.2678595267535025E-3</v>
      </c>
      <c r="AN337" s="84">
        <f>IF(INDEX(lmic_raw_ub[],MATCH($A337,lmic_raw_ub[[setting]:[setting]],0), MATCH(AN$277, lmic_raw_ub[#Headers],0))=0, INDEX(regions_ub[], MATCH($D337, regions_ub[[setting]:[setting]],0), MATCH(AN$139, regions_ub[#Headers],0)),INDEX(lmic_raw_ub[],MATCH($A337,lmic_raw_ub[[setting]:[setting]],0), MATCH(AN$277, lmic_raw_ub[#Headers],0)))</f>
        <v>5.3265767948915211E-3</v>
      </c>
      <c r="AO337" s="84">
        <f>IF(INDEX(lmic_raw_ub[],MATCH($A337,lmic_raw_ub[[setting]:[setting]],0), MATCH(AO$277, lmic_raw_ub[#Headers],0))=0, INDEX(regions_ub[], MATCH($D337, regions_ub[[setting]:[setting]],0), MATCH(AO$139, regions_ub[#Headers],0)),INDEX(lmic_raw_ub[],MATCH($A337,lmic_raw_ub[[setting]:[setting]],0), MATCH(AO$277, lmic_raw_ub[#Headers],0)))</f>
        <v>8.7884626691527128E-3</v>
      </c>
      <c r="AP337" s="84">
        <f>IF(INDEX(lmic_raw_ub[],MATCH($A337,lmic_raw_ub[[setting]:[setting]],0), MATCH(AP$277, lmic_raw_ub[#Headers],0))=0, INDEX(regions_ub[], MATCH($D337, regions_ub[[setting]:[setting]],0), MATCH(AP$139, regions_ub[#Headers],0)),INDEX(lmic_raw_ub[],MATCH($A337,lmic_raw_ub[[setting]:[setting]],0), MATCH(AP$277, lmic_raw_ub[#Headers],0)))</f>
        <v>1.4061494474419272E-2</v>
      </c>
      <c r="AQ337" s="84">
        <f>IF(INDEX(lmic_raw_ub[],MATCH($A337,lmic_raw_ub[[setting]:[setting]],0), MATCH(AQ$277, lmic_raw_ub[#Headers],0))=0, INDEX(regions_ub[], MATCH($D337, regions_ub[[setting]:[setting]],0), MATCH(AQ$139, regions_ub[#Headers],0)),INDEX(lmic_raw_ub[],MATCH($A337,lmic_raw_ub[[setting]:[setting]],0), MATCH(AQ$277, lmic_raw_ub[#Headers],0)))</f>
        <v>2.3230489463282485E-2</v>
      </c>
      <c r="AR337" s="84">
        <f>IF(INDEX(lmic_raw_ub[],MATCH($A337,lmic_raw_ub[[setting]:[setting]],0), MATCH(AR$277, lmic_raw_ub[#Headers],0))=0, INDEX(regions_ub[], MATCH($D337, regions_ub[[setting]:[setting]],0), MATCH(AR$139, regions_ub[#Headers],0)),INDEX(lmic_raw_ub[],MATCH($A337,lmic_raw_ub[[setting]:[setting]],0), MATCH(AR$277, lmic_raw_ub[#Headers],0)))</f>
        <v>3.799688720853122E-2</v>
      </c>
      <c r="AS337" s="84">
        <f>IF(INDEX(lmic_raw_ub[],MATCH($A337,lmic_raw_ub[[setting]:[setting]],0), MATCH(AS$277, lmic_raw_ub[#Headers],0))=0, INDEX(regions_ub[], MATCH($D337, regions_ub[[setting]:[setting]],0), MATCH(AS$139, regions_ub[#Headers],0)),INDEX(lmic_raw_ub[],MATCH($A337,lmic_raw_ub[[setting]:[setting]],0), MATCH(AS$277, lmic_raw_ub[#Headers],0)))</f>
        <v>6.0522364756295147E-2</v>
      </c>
      <c r="AT337" s="84">
        <f>IF(INDEX(lmic_raw_ub[],MATCH($A337,lmic_raw_ub[[setting]:[setting]],0), MATCH(AT$277, lmic_raw_ub[#Headers],0))=0, INDEX(regions_ub[], MATCH($D337, regions_ub[[setting]:[setting]],0), MATCH(AT$139, regions_ub[#Headers],0)),INDEX(lmic_raw_ub[],MATCH($A337,lmic_raw_ub[[setting]:[setting]],0), MATCH(AT$277, lmic_raw_ub[#Headers],0)))</f>
        <v>9.330819155977442E-2</v>
      </c>
      <c r="AU337" s="84">
        <f>IF(INDEX(lmic_raw_ub[],MATCH($A337,lmic_raw_ub[[setting]:[setting]],0), MATCH(AU$277, lmic_raw_ub[#Headers],0))=0, INDEX(regions_ub[], MATCH($D337, regions_ub[[setting]:[setting]],0), MATCH(AU$139, regions_ub[#Headers],0)),INDEX(lmic_raw_ub[],MATCH($A337,lmic_raw_ub[[setting]:[setting]],0), MATCH(AU$277, lmic_raw_ub[#Headers],0)))</f>
        <v>0.12955131956512234</v>
      </c>
      <c r="AV337" s="84">
        <f>IF(INDEX(lmic_raw_ub[],MATCH($A337,lmic_raw_ub[[setting]:[setting]],0), MATCH(AV$277, lmic_raw_ub[#Headers],0))=0, INDEX(regions_ub[], MATCH($D337, regions_ub[[setting]:[setting]],0), MATCH(AV$139, regions_ub[#Headers],0)),INDEX(lmic_raw_ub[],MATCH($A337,lmic_raw_ub[[setting]:[setting]],0), MATCH(AV$277, lmic_raw_ub[#Headers],0)))</f>
        <v>0.16245439537153941</v>
      </c>
      <c r="AW337" s="84">
        <f>IF(INDEX(lmic_raw_ub[],MATCH($A337,lmic_raw_ub[[setting]:[setting]],0), MATCH(AW$277, lmic_raw_ub[#Headers],0))=0, INDEX(regions_ub[], MATCH($D337, regions_ub[[setting]:[setting]],0), MATCH(AW$139, regions_ub[#Headers],0)),INDEX(lmic_raw_ub[],MATCH($A337,lmic_raw_ub[[setting]:[setting]],0), MATCH(AW$277, lmic_raw_ub[#Headers],0)))</f>
        <v>0.18537709770482003</v>
      </c>
      <c r="AX337" s="84">
        <f>IF(INDEX(lmic_raw_ub[],MATCH($A337,lmic_raw_ub[[setting]:[setting]],0), MATCH(AX$277, lmic_raw_ub[#Headers],0))=0, INDEX(regions_ub[], MATCH($D337, regions_ub[[setting]:[setting]],0), MATCH(AX$139, regions_ub[#Headers],0)),INDEX(lmic_raw_ub[],MATCH($A337,lmic_raw_ub[[setting]:[setting]],0), MATCH(AX$277, lmic_raw_ub[#Headers],0)))</f>
        <v>78.043350000000004</v>
      </c>
      <c r="AY337" s="33" t="str">
        <f>IF(VLOOKUP(lmics_ub[[#This Row],[setting]],lmic_raw_ub[],11,FALSE)=0, "Yes", "No")</f>
        <v>Yes</v>
      </c>
    </row>
    <row r="338" spans="1:51" x14ac:dyDescent="0.25">
      <c r="A338" s="109" t="s">
        <v>185</v>
      </c>
      <c r="B338" s="101" t="s">
        <v>447</v>
      </c>
      <c r="C338" s="102">
        <v>398</v>
      </c>
      <c r="D338" s="82" t="s">
        <v>675</v>
      </c>
      <c r="E338" s="82" t="s">
        <v>184</v>
      </c>
      <c r="F338" s="82" t="s">
        <v>663</v>
      </c>
      <c r="G338" s="82" t="s">
        <v>676</v>
      </c>
      <c r="J338" s="84">
        <f>IF(INDEX(lmic_raw_ub[],MATCH($A338,lmic_raw_ub[[setting]:[setting]],0), MATCH(J$277, lmic_raw_ub[#Headers],0))=0, INDEX(regions_ub[], MATCH($D338, regions_ub[[setting]:[setting]],0), MATCH(J$139, regions_ub[#Headers],0)),INDEX(lmic_raw_ub[],MATCH($A338,lmic_raw_ub[[setting]:[setting]],0), MATCH(J$277, lmic_raw_ub[#Headers],0)))</f>
        <v>0.99990000000000001</v>
      </c>
      <c r="K338" s="84">
        <f>IF(INDEX(lmic_raw_ub[],MATCH($A338,lmic_raw_ub[[setting]:[setting]],0), MATCH(K$277, lmic_raw_ub[#Headers],0))=0, INDEX(regions_ub[], MATCH($D338, regions_ub[[setting]:[setting]],0), MATCH(K$139, regions_ub[#Headers],0)),INDEX(lmic_raw_ub[],MATCH($A338,lmic_raw_ub[[setting]:[setting]],0), MATCH(K$277, lmic_raw_ub[#Headers],0)))</f>
        <v>0.97650000000000015</v>
      </c>
      <c r="L338" s="84">
        <f>IF(INDEX(lmic_raw_ub[],MATCH($A338,lmic_raw_ub[[setting]:[setting]],0), MATCH(L$277, lmic_raw_ub[#Headers],0))=0, INDEX(regions_ub[], MATCH($D338, regions_ub[[setting]:[setting]],0), MATCH(L$139, regions_ub[#Headers],0)),INDEX(lmic_raw_ub[],MATCH($A338,lmic_raw_ub[[setting]:[setting]],0), MATCH(L$277, lmic_raw_ub[#Headers],0)))</f>
        <v>0.99990000000000001</v>
      </c>
      <c r="M338" s="84">
        <f>IF(INDEX(lmic_raw_ub[],MATCH($A338,lmic_raw_ub[[setting]:[setting]],0), MATCH(M$277, lmic_raw_ub[#Headers],0))=0, INDEX(regions_ub[], MATCH($D338, regions_ub[[setting]:[setting]],0), MATCH(M$139, regions_ub[#Headers],0)),INDEX(lmic_raw_ub[],MATCH($A338,lmic_raw_ub[[setting]:[setting]],0), MATCH(M$277, lmic_raw_ub[#Headers],0)))</f>
        <v>2.0499999999999997E-2</v>
      </c>
      <c r="N338" s="84">
        <f>IF(INDEX(lmic_raw_ub[],MATCH($A338,lmic_raw_ub[[setting]:[setting]],0), MATCH(N$277, lmic_raw_ub[#Headers],0))=0, INDEX(regions_ub[], MATCH($D338, regions_ub[[setting]:[setting]],0), MATCH(N$139, regions_ub[#Headers],0)),INDEX(lmic_raw_ub[],MATCH($A338,lmic_raw_ub[[setting]:[setting]],0), MATCH(N$277, lmic_raw_ub[#Headers],0)))</f>
        <v>0.43079999999999996</v>
      </c>
      <c r="O338" s="84">
        <f>IF(INDEX(lmic_raw_ub[],MATCH($A338,lmic_raw_ub[[setting]:[setting]],0), MATCH(O$277, lmic_raw_ub[#Headers],0))=0, INDEX(regions_ub[], MATCH($D338, regions_ub[[setting]:[setting]],0), MATCH(O$139, regions_ub[#Headers],0)),INDEX(lmic_raw_ub[],MATCH($A338,lmic_raw_ub[[setting]:[setting]],0), MATCH(O$277, lmic_raw_ub[#Headers],0)))</f>
        <v>0.9</v>
      </c>
      <c r="P338" s="84">
        <f>IF(INDEX(lmic_raw_ub[],MATCH($A338,lmic_raw_ub[[setting]:[setting]],0), MATCH(P$277, lmic_raw_ub[#Headers],0))=0, INDEX(regions_ub[], MATCH($D338, regions_ub[[setting]:[setting]],0), MATCH(P$139, regions_ub[#Headers],0)),INDEX(lmic_raw_ub[],MATCH($A338,lmic_raw_ub[[setting]:[setting]],0), MATCH(P$277, lmic_raw_ub[#Headers],0)))</f>
        <v>0.3</v>
      </c>
      <c r="Q338" s="84">
        <f>IF(INDEX(lmic_raw_ub[],MATCH($A338,lmic_raw_ub[[setting]:[setting]],0), MATCH(Q$277, lmic_raw_ub[#Headers],0))=0, INDEX(regions_ub[], MATCH($D338, regions_ub[[setting]:[setting]],0), MATCH(Q$139, regions_ub[#Headers],0)),INDEX(lmic_raw_ub[],MATCH($A338,lmic_raw_ub[[setting]:[setting]],0), MATCH(Q$277, lmic_raw_ub[#Headers],0)))</f>
        <v>11.801566868282295</v>
      </c>
      <c r="R338" s="84">
        <f>IF(INDEX(lmic_raw_ub[],MATCH($A338,lmic_raw_ub[[setting]:[setting]],0), MATCH(R$277, lmic_raw_ub[#Headers],0))=0, INDEX(regions_ub[], MATCH($D338, regions_ub[[setting]:[setting]],0), MATCH(R$139, regions_ub[#Headers],0)),INDEX(lmic_raw_ub[],MATCH($A338,lmic_raw_ub[[setting]:[setting]],0), MATCH(R$277, lmic_raw_ub[#Headers],0)))</f>
        <v>46.76427000000001</v>
      </c>
      <c r="S338" s="84">
        <f>IF(INDEX(lmic_raw_ub[],MATCH($A338,lmic_raw_ub[[setting]:[setting]],0), MATCH(S$277, lmic_raw_ub[#Headers],0))=0, INDEX(regions_ub[], MATCH($D338, regions_ub[[setting]:[setting]],0), MATCH(S$139, regions_ub[#Headers],0)),INDEX(lmic_raw_ub[],MATCH($A338,lmic_raw_ub[[setting]:[setting]],0), MATCH(S$277, lmic_raw_ub[#Headers],0)))</f>
        <v>96.893370000000019</v>
      </c>
      <c r="T338" s="84">
        <f>IF(INDEX(lmic_raw_ub[],MATCH($A338,lmic_raw_ub[[setting]:[setting]],0), MATCH(T$277, lmic_raw_ub[#Headers],0))=0, INDEX(regions_ub[], MATCH($D338, regions_ub[[setting]:[setting]],0), MATCH(T$139, regions_ub[#Headers],0)),INDEX(lmic_raw_ub[],MATCH($A338,lmic_raw_ub[[setting]:[setting]],0), MATCH(T$277, lmic_raw_ub[#Headers],0)))</f>
        <v>96.893370000000019</v>
      </c>
      <c r="U338" s="84">
        <f>IF(INDEX(lmic_raw_ub[],MATCH($A338,lmic_raw_ub[[setting]:[setting]],0), MATCH(U$277, lmic_raw_ub[#Headers],0))=0, INDEX(regions_ub[], MATCH($D338, regions_ub[[setting]:[setting]],0), MATCH(U$139, regions_ub[#Headers],0)),INDEX(lmic_raw_ub[],MATCH($A338,lmic_raw_ub[[setting]:[setting]],0), MATCH(U$277, lmic_raw_ub[#Headers],0)))</f>
        <v>96.893370000000019</v>
      </c>
      <c r="V338" s="84">
        <f>IF(INDEX(lmic_raw_ub[],MATCH($A338,lmic_raw_ub[[setting]:[setting]],0), MATCH(V$277, lmic_raw_ub[#Headers],0))=0, INDEX(regions_ub[], MATCH($D338, regions_ub[[setting]:[setting]],0), MATCH(V$139, regions_ub[#Headers],0)),INDEX(lmic_raw_ub[],MATCH($A338,lmic_raw_ub[[setting]:[setting]],0), MATCH(V$277, lmic_raw_ub[#Headers],0)))</f>
        <v>12.036670258680479</v>
      </c>
      <c r="W338" s="84">
        <f>IF(INDEX(lmic_raw_ub[],MATCH($A338,lmic_raw_ub[[setting]:[setting]],0), MATCH(W$277, lmic_raw_ub[#Headers],0))=0, INDEX(regions_ub[], MATCH($D338, regions_ub[[setting]:[setting]],0), MATCH(W$139, regions_ub[#Headers],0)),INDEX(lmic_raw_ub[],MATCH($A338,lmic_raw_ub[[setting]:[setting]],0), MATCH(W$277, lmic_raw_ub[#Headers],0)))</f>
        <v>16.305655258680481</v>
      </c>
      <c r="X338" s="84">
        <f>IF(INDEX(lmic_raw_ub[],MATCH($A338,lmic_raw_ub[[setting]:[setting]],0), MATCH(X$277, lmic_raw_ub[#Headers],0))=0, INDEX(regions_ub[], MATCH($D338, regions_ub[[setting]:[setting]],0), MATCH(X$139, regions_ub[#Headers],0)),INDEX(lmic_raw_ub[],MATCH($A338,lmic_raw_ub[[setting]:[setting]],0), MATCH(X$277, lmic_raw_ub[#Headers],0)))</f>
        <v>11.494673045396105</v>
      </c>
      <c r="Y338" s="84">
        <f>IF(INDEX(lmic_raw_ub[],MATCH($A338,lmic_raw_ub[[setting]:[setting]],0), MATCH(Y$277, lmic_raw_ub[#Headers],0))=0, INDEX(regions_ub[], MATCH($D338, regions_ub[[setting]:[setting]],0), MATCH(Y$139, regions_ub[#Headers],0)),INDEX(lmic_raw_ub[],MATCH($A338,lmic_raw_ub[[setting]:[setting]],0), MATCH(Y$277, lmic_raw_ub[#Headers],0)))</f>
        <v>15.763658045396106</v>
      </c>
      <c r="Z338" s="84">
        <f>IF(INDEX(lmic_raw_ub[],MATCH($A338,lmic_raw_ub[[setting]:[setting]],0), MATCH(Z$277, lmic_raw_ub[#Headers],0))=0, INDEX(regions_ub[], MATCH($D338, regions_ub[[setting]:[setting]],0), MATCH(Z$139, regions_ub[#Headers],0)),INDEX(lmic_raw_ub[],MATCH($A338,lmic_raw_ub[[setting]:[setting]],0), MATCH(Z$277, lmic_raw_ub[#Headers],0)))</f>
        <v>15.731055702126483</v>
      </c>
      <c r="AA338" s="84">
        <f>IF(INDEX(lmic_raw_ub[],MATCH($A338,lmic_raw_ub[[setting]:[setting]],0), MATCH(AA$277, lmic_raw_ub[#Headers],0))=0, INDEX(regions_ub[], MATCH($D338, regions_ub[[setting]:[setting]],0), MATCH(AA$139, regions_ub[#Headers],0)),INDEX(lmic_raw_ub[],MATCH($A338,lmic_raw_ub[[setting]:[setting]],0), MATCH(AA$277, lmic_raw_ub[#Headers],0)))</f>
        <v>12.315774745762971</v>
      </c>
      <c r="AB338" s="84">
        <f>IF(INDEX(lmic_raw_ub[],MATCH($A338,lmic_raw_ub[[setting]:[setting]],0), MATCH(AB$277, lmic_raw_ub[#Headers],0))=0, INDEX(regions_ub[], MATCH($D338, regions_ub[[setting]:[setting]],0), MATCH(AB$139, regions_ub[#Headers],0)),INDEX(lmic_raw_ub[],MATCH($A338,lmic_raw_ub[[setting]:[setting]],0), MATCH(AB$277, lmic_raw_ub[#Headers],0)))</f>
        <v>16.584759745762973</v>
      </c>
      <c r="AC338" s="84">
        <f>IF(INDEX(lmic_raw_ub[],MATCH($A338,lmic_raw_ub[[setting]:[setting]],0), MATCH(AC$277, lmic_raw_ub[#Headers],0))=0, INDEX(regions_ub[], MATCH($D338, regions_ub[[setting]:[setting]],0), MATCH(AC$139, regions_ub[#Headers],0)),INDEX(lmic_raw_ub[],MATCH($A338,lmic_raw_ub[[setting]:[setting]],0), MATCH(AC$277, lmic_raw_ub[#Headers],0)))</f>
        <v>8.0573325000000556E-3</v>
      </c>
      <c r="AD338" s="84">
        <f>IF(INDEX(lmic_raw_ub[],MATCH($A338,lmic_raw_ub[[setting]:[setting]],0), MATCH(AD$277, lmic_raw_ub[#Headers],0))=0, INDEX(regions_ub[], MATCH($D338, regions_ub[[setting]:[setting]],0), MATCH(AD$139, regions_ub[#Headers],0)),INDEX(lmic_raw_ub[],MATCH($A338,lmic_raw_ub[[setting]:[setting]],0), MATCH(AD$277, lmic_raw_ub[#Headers],0)))</f>
        <v>5.8671146845993291E-4</v>
      </c>
      <c r="AE338" s="84">
        <f>IF(INDEX(lmic_raw_ub[],MATCH($A338,lmic_raw_ub[[setting]:[setting]],0), MATCH(AE$277, lmic_raw_ub[#Headers],0))=0, INDEX(regions_ub[], MATCH($D338, regions_ub[[setting]:[setting]],0), MATCH(AE$139, regions_ub[#Headers],0)),INDEX(lmic_raw_ub[],MATCH($A338,lmic_raw_ub[[setting]:[setting]],0), MATCH(AE$277, lmic_raw_ub[#Headers],0)))</f>
        <v>2.8721673013564516E-4</v>
      </c>
      <c r="AF338" s="84">
        <f>IF(INDEX(lmic_raw_ub[],MATCH($A338,lmic_raw_ub[[setting]:[setting]],0), MATCH(AF$277, lmic_raw_ub[#Headers],0))=0, INDEX(regions_ub[], MATCH($D338, regions_ub[[setting]:[setting]],0), MATCH(AF$139, regions_ub[#Headers],0)),INDEX(lmic_raw_ub[],MATCH($A338,lmic_raw_ub[[setting]:[setting]],0), MATCH(AF$277, lmic_raw_ub[#Headers],0)))</f>
        <v>3.0753425643968919E-4</v>
      </c>
      <c r="AG338" s="84">
        <f>IF(INDEX(lmic_raw_ub[],MATCH($A338,lmic_raw_ub[[setting]:[setting]],0), MATCH(AG$277, lmic_raw_ub[#Headers],0))=0, INDEX(regions_ub[], MATCH($D338, regions_ub[[setting]:[setting]],0), MATCH(AG$139, regions_ub[#Headers],0)),INDEX(lmic_raw_ub[],MATCH($A338,lmic_raw_ub[[setting]:[setting]],0), MATCH(AG$277, lmic_raw_ub[#Headers],0)))</f>
        <v>6.2010333044987384E-4</v>
      </c>
      <c r="AH338" s="84">
        <f>IF(INDEX(lmic_raw_ub[],MATCH($A338,lmic_raw_ub[[setting]:[setting]],0), MATCH(AH$277, lmic_raw_ub[#Headers],0))=0, INDEX(regions_ub[], MATCH($D338, regions_ub[[setting]:[setting]],0), MATCH(AH$139, regions_ub[#Headers],0)),INDEX(lmic_raw_ub[],MATCH($A338,lmic_raw_ub[[setting]:[setting]],0), MATCH(AH$277, lmic_raw_ub[#Headers],0)))</f>
        <v>9.1142423943853408E-4</v>
      </c>
      <c r="AI338" s="84">
        <f>IF(INDEX(lmic_raw_ub[],MATCH($A338,lmic_raw_ub[[setting]:[setting]],0), MATCH(AI$277, lmic_raw_ub[#Headers],0))=0, INDEX(regions_ub[], MATCH($D338, regions_ub[[setting]:[setting]],0), MATCH(AI$139, regions_ub[#Headers],0)),INDEX(lmic_raw_ub[],MATCH($A338,lmic_raw_ub[[setting]:[setting]],0), MATCH(AI$277, lmic_raw_ub[#Headers],0)))</f>
        <v>1.1888633874373566E-3</v>
      </c>
      <c r="AJ338" s="84">
        <f>IF(INDEX(lmic_raw_ub[],MATCH($A338,lmic_raw_ub[[setting]:[setting]],0), MATCH(AJ$277, lmic_raw_ub[#Headers],0))=0, INDEX(regions_ub[], MATCH($D338, regions_ub[[setting]:[setting]],0), MATCH(AJ$139, regions_ub[#Headers],0)),INDEX(lmic_raw_ub[],MATCH($A338,lmic_raw_ub[[setting]:[setting]],0), MATCH(AJ$277, lmic_raw_ub[#Headers],0)))</f>
        <v>1.8230163709156636E-3</v>
      </c>
      <c r="AK338" s="84">
        <f>IF(INDEX(lmic_raw_ub[],MATCH($A338,lmic_raw_ub[[setting]:[setting]],0), MATCH(AK$277, lmic_raw_ub[#Headers],0))=0, INDEX(regions_ub[], MATCH($D338, regions_ub[[setting]:[setting]],0), MATCH(AK$139, regions_ub[#Headers],0)),INDEX(lmic_raw_ub[],MATCH($A338,lmic_raw_ub[[setting]:[setting]],0), MATCH(AK$277, lmic_raw_ub[#Headers],0)))</f>
        <v>2.9033968850301945E-3</v>
      </c>
      <c r="AL338" s="84">
        <f>IF(INDEX(lmic_raw_ub[],MATCH($A338,lmic_raw_ub[[setting]:[setting]],0), MATCH(AL$277, lmic_raw_ub[#Headers],0))=0, INDEX(regions_ub[], MATCH($D338, regions_ub[[setting]:[setting]],0), MATCH(AL$139, regions_ub[#Headers],0)),INDEX(lmic_raw_ub[],MATCH($A338,lmic_raw_ub[[setting]:[setting]],0), MATCH(AL$277, lmic_raw_ub[#Headers],0)))</f>
        <v>4.0022119493187611E-3</v>
      </c>
      <c r="AM338" s="84">
        <f>IF(INDEX(lmic_raw_ub[],MATCH($A338,lmic_raw_ub[[setting]:[setting]],0), MATCH(AM$277, lmic_raw_ub[#Headers],0))=0, INDEX(regions_ub[], MATCH($D338, regions_ub[[setting]:[setting]],0), MATCH(AM$139, regions_ub[#Headers],0)),INDEX(lmic_raw_ub[],MATCH($A338,lmic_raw_ub[[setting]:[setting]],0), MATCH(AM$277, lmic_raw_ub[#Headers],0)))</f>
        <v>5.3664000594738949E-3</v>
      </c>
      <c r="AN338" s="84">
        <f>IF(INDEX(lmic_raw_ub[],MATCH($A338,lmic_raw_ub[[setting]:[setting]],0), MATCH(AN$277, lmic_raw_ub[#Headers],0))=0, INDEX(regions_ub[], MATCH($D338, regions_ub[[setting]:[setting]],0), MATCH(AN$139, regions_ub[#Headers],0)),INDEX(lmic_raw_ub[],MATCH($A338,lmic_raw_ub[[setting]:[setting]],0), MATCH(AN$277, lmic_raw_ub[#Headers],0)))</f>
        <v>7.5076091855580448E-3</v>
      </c>
      <c r="AO338" s="84">
        <f>IF(INDEX(lmic_raw_ub[],MATCH($A338,lmic_raw_ub[[setting]:[setting]],0), MATCH(AO$277, lmic_raw_ub[#Headers],0))=0, INDEX(regions_ub[], MATCH($D338, regions_ub[[setting]:[setting]],0), MATCH(AO$139, regions_ub[#Headers],0)),INDEX(lmic_raw_ub[],MATCH($A338,lmic_raw_ub[[setting]:[setting]],0), MATCH(AO$277, lmic_raw_ub[#Headers],0)))</f>
        <v>1.1261839603257454E-2</v>
      </c>
      <c r="AP338" s="84">
        <f>IF(INDEX(lmic_raw_ub[],MATCH($A338,lmic_raw_ub[[setting]:[setting]],0), MATCH(AP$277, lmic_raw_ub[#Headers],0))=0, INDEX(regions_ub[], MATCH($D338, regions_ub[[setting]:[setting]],0), MATCH(AP$139, regions_ub[#Headers],0)),INDEX(lmic_raw_ub[],MATCH($A338,lmic_raw_ub[[setting]:[setting]],0), MATCH(AP$277, lmic_raw_ub[#Headers],0)))</f>
        <v>1.736562127354644E-2</v>
      </c>
      <c r="AQ338" s="84">
        <f>IF(INDEX(lmic_raw_ub[],MATCH($A338,lmic_raw_ub[[setting]:[setting]],0), MATCH(AQ$277, lmic_raw_ub[#Headers],0))=0, INDEX(regions_ub[], MATCH($D338, regions_ub[[setting]:[setting]],0), MATCH(AQ$139, regions_ub[#Headers],0)),INDEX(lmic_raw_ub[],MATCH($A338,lmic_raw_ub[[setting]:[setting]],0), MATCH(AQ$277, lmic_raw_ub[#Headers],0)))</f>
        <v>2.5964845351213763E-2</v>
      </c>
      <c r="AR338" s="84">
        <f>IF(INDEX(lmic_raw_ub[],MATCH($A338,lmic_raw_ub[[setting]:[setting]],0), MATCH(AR$277, lmic_raw_ub[#Headers],0))=0, INDEX(regions_ub[], MATCH($D338, regions_ub[[setting]:[setting]],0), MATCH(AR$139, regions_ub[#Headers],0)),INDEX(lmic_raw_ub[],MATCH($A338,lmic_raw_ub[[setting]:[setting]],0), MATCH(AR$277, lmic_raw_ub[#Headers],0)))</f>
        <v>3.6313140585900051E-2</v>
      </c>
      <c r="AS338" s="84">
        <f>IF(INDEX(lmic_raw_ub[],MATCH($A338,lmic_raw_ub[[setting]:[setting]],0), MATCH(AS$277, lmic_raw_ub[#Headers],0))=0, INDEX(regions_ub[], MATCH($D338, regions_ub[[setting]:[setting]],0), MATCH(AS$139, regions_ub[#Headers],0)),INDEX(lmic_raw_ub[],MATCH($A338,lmic_raw_ub[[setting]:[setting]],0), MATCH(AS$277, lmic_raw_ub[#Headers],0)))</f>
        <v>5.6988718040932827E-2</v>
      </c>
      <c r="AT338" s="84">
        <f>IF(INDEX(lmic_raw_ub[],MATCH($A338,lmic_raw_ub[[setting]:[setting]],0), MATCH(AT$277, lmic_raw_ub[#Headers],0))=0, INDEX(regions_ub[], MATCH($D338, regions_ub[[setting]:[setting]],0), MATCH(AT$139, regions_ub[#Headers],0)),INDEX(lmic_raw_ub[],MATCH($A338,lmic_raw_ub[[setting]:[setting]],0), MATCH(AT$277, lmic_raw_ub[#Headers],0)))</f>
        <v>8.36678689755017E-2</v>
      </c>
      <c r="AU338" s="84">
        <f>IF(INDEX(lmic_raw_ub[],MATCH($A338,lmic_raw_ub[[setting]:[setting]],0), MATCH(AU$277, lmic_raw_ub[#Headers],0))=0, INDEX(regions_ub[], MATCH($D338, regions_ub[[setting]:[setting]],0), MATCH(AU$139, regions_ub[#Headers],0)),INDEX(lmic_raw_ub[],MATCH($A338,lmic_raw_ub[[setting]:[setting]],0), MATCH(AU$277, lmic_raw_ub[#Headers],0)))</f>
        <v>0.11675032166556683</v>
      </c>
      <c r="AV338" s="84">
        <f>IF(INDEX(lmic_raw_ub[],MATCH($A338,lmic_raw_ub[[setting]:[setting]],0), MATCH(AV$277, lmic_raw_ub[#Headers],0))=0, INDEX(regions_ub[], MATCH($D338, regions_ub[[setting]:[setting]],0), MATCH(AV$139, regions_ub[#Headers],0)),INDEX(lmic_raw_ub[],MATCH($A338,lmic_raw_ub[[setting]:[setting]],0), MATCH(AV$277, lmic_raw_ub[#Headers],0)))</f>
        <v>0.1514479801130843</v>
      </c>
      <c r="AW338" s="84">
        <f>IF(INDEX(lmic_raw_ub[],MATCH($A338,lmic_raw_ub[[setting]:[setting]],0), MATCH(AW$277, lmic_raw_ub[#Headers],0))=0, INDEX(regions_ub[], MATCH($D338, regions_ub[[setting]:[setting]],0), MATCH(AW$139, regions_ub[#Headers],0)),INDEX(lmic_raw_ub[],MATCH($A338,lmic_raw_ub[[setting]:[setting]],0), MATCH(AW$277, lmic_raw_ub[#Headers],0)))</f>
        <v>0.17819457649381792</v>
      </c>
      <c r="AX338" s="84">
        <f>IF(INDEX(lmic_raw_ub[],MATCH($A338,lmic_raw_ub[[setting]:[setting]],0), MATCH(AX$277, lmic_raw_ub[#Headers],0))=0, INDEX(regions_ub[], MATCH($D338, regions_ub[[setting]:[setting]],0), MATCH(AX$139, regions_ub[#Headers],0)),INDEX(lmic_raw_ub[],MATCH($A338,lmic_raw_ub[[setting]:[setting]],0), MATCH(AX$277, lmic_raw_ub[#Headers],0)))</f>
        <v>76.886250000000004</v>
      </c>
      <c r="AY338" s="33" t="str">
        <f>IF(VLOOKUP(lmics_ub[[#This Row],[setting]],lmic_raw_ub[],11,FALSE)=0, "Yes", "No")</f>
        <v>No</v>
      </c>
    </row>
    <row r="339" spans="1:51" x14ac:dyDescent="0.25">
      <c r="A339" s="110" t="s">
        <v>106</v>
      </c>
      <c r="B339" s="104" t="s">
        <v>448</v>
      </c>
      <c r="C339" s="105">
        <v>404</v>
      </c>
      <c r="D339" s="84" t="s">
        <v>677</v>
      </c>
      <c r="E339" s="84" t="s">
        <v>597</v>
      </c>
      <c r="F339" s="84" t="s">
        <v>667</v>
      </c>
      <c r="G339" s="84" t="s">
        <v>678</v>
      </c>
      <c r="J339" s="84">
        <f>IF(INDEX(lmic_raw_ub[],MATCH($A339,lmic_raw_ub[[setting]:[setting]],0), MATCH(J$277, lmic_raw_ub[#Headers],0))=0, INDEX(regions_ub[], MATCH($D339, regions_ub[[setting]:[setting]],0), MATCH(J$139, regions_ub[#Headers],0)),INDEX(lmic_raw_ub[],MATCH($A339,lmic_raw_ub[[setting]:[setting]],0), MATCH(J$277, lmic_raw_ub[#Headers],0)))</f>
        <v>0.64260000000000006</v>
      </c>
      <c r="K339" s="84">
        <f>IF(INDEX(lmic_raw_ub[],MATCH($A339,lmic_raw_ub[[setting]:[setting]],0), MATCH(K$277, lmic_raw_ub[#Headers],0))=0, INDEX(regions_ub[], MATCH($D339, regions_ub[[setting]:[setting]],0), MATCH(K$139, regions_ub[#Headers],0)),INDEX(lmic_raw_ub[],MATCH($A339,lmic_raw_ub[[setting]:[setting]],0), MATCH(K$277, lmic_raw_ub[#Headers],0)))</f>
        <v>0.71433037619548323</v>
      </c>
      <c r="L339" s="84">
        <f>IF(INDEX(lmic_raw_ub[],MATCH($A339,lmic_raw_ub[[setting]:[setting]],0), MATCH(L$277, lmic_raw_ub[#Headers],0))=0, INDEX(regions_ub[], MATCH($D339, regions_ub[[setting]:[setting]],0), MATCH(L$139, regions_ub[#Headers],0)),INDEX(lmic_raw_ub[],MATCH($A339,lmic_raw_ub[[setting]:[setting]],0), MATCH(L$277, lmic_raw_ub[#Headers],0)))</f>
        <v>0.96600000000000008</v>
      </c>
      <c r="M339" s="84">
        <f>IF(INDEX(lmic_raw_ub[],MATCH($A339,lmic_raw_ub[[setting]:[setting]],0), MATCH(M$277, lmic_raw_ub[#Headers],0))=0, INDEX(regions_ub[], MATCH($D339, regions_ub[[setting]:[setting]],0), MATCH(M$139, regions_ub[#Headers],0)),INDEX(lmic_raw_ub[],MATCH($A339,lmic_raw_ub[[setting]:[setting]],0), MATCH(M$277, lmic_raw_ub[#Headers],0)))</f>
        <v>2.8500000000000001E-2</v>
      </c>
      <c r="N339" s="84">
        <f>IF(INDEX(lmic_raw_ub[],MATCH($A339,lmic_raw_ub[[setting]:[setting]],0), MATCH(N$277, lmic_raw_ub[#Headers],0))=0, INDEX(regions_ub[], MATCH($D339, regions_ub[[setting]:[setting]],0), MATCH(N$139, regions_ub[#Headers],0)),INDEX(lmic_raw_ub[],MATCH($A339,lmic_raw_ub[[setting]:[setting]],0), MATCH(N$277, lmic_raw_ub[#Headers],0)))</f>
        <v>0.39960000000000001</v>
      </c>
      <c r="O339" s="84">
        <f>IF(INDEX(lmic_raw_ub[],MATCH($A339,lmic_raw_ub[[setting]:[setting]],0), MATCH(O$277, lmic_raw_ub[#Headers],0))=0, INDEX(regions_ub[], MATCH($D339, regions_ub[[setting]:[setting]],0), MATCH(O$139, regions_ub[#Headers],0)),INDEX(lmic_raw_ub[],MATCH($A339,lmic_raw_ub[[setting]:[setting]],0), MATCH(O$277, lmic_raw_ub[#Headers],0)))</f>
        <v>0.74399999999999999</v>
      </c>
      <c r="P339" s="84">
        <f>IF(INDEX(lmic_raw_ub[],MATCH($A339,lmic_raw_ub[[setting]:[setting]],0), MATCH(P$277, lmic_raw_ub[#Headers],0))=0, INDEX(regions_ub[], MATCH($D339, regions_ub[[setting]:[setting]],0), MATCH(P$139, regions_ub[#Headers],0)),INDEX(lmic_raw_ub[],MATCH($A339,lmic_raw_ub[[setting]:[setting]],0), MATCH(P$277, lmic_raw_ub[#Headers],0)))</f>
        <v>0.13300000000000001</v>
      </c>
      <c r="Q339" s="84">
        <f>IF(INDEX(lmic_raw_ub[],MATCH($A339,lmic_raw_ub[[setting]:[setting]],0), MATCH(Q$277, lmic_raw_ub[#Headers],0))=0, INDEX(regions_ub[], MATCH($D339, regions_ub[[setting]:[setting]],0), MATCH(Q$139, regions_ub[#Headers],0)),INDEX(lmic_raw_ub[],MATCH($A339,lmic_raw_ub[[setting]:[setting]],0), MATCH(Q$277, lmic_raw_ub[#Headers],0)))</f>
        <v>3.3021400503391565</v>
      </c>
      <c r="R339" s="84">
        <f>IF(INDEX(lmic_raw_ub[],MATCH($A339,lmic_raw_ub[[setting]:[setting]],0), MATCH(R$277, lmic_raw_ub[#Headers],0))=0, INDEX(regions_ub[], MATCH($D339, regions_ub[[setting]:[setting]],0), MATCH(R$139, regions_ub[#Headers],0)),INDEX(lmic_raw_ub[],MATCH($A339,lmic_raw_ub[[setting]:[setting]],0), MATCH(R$277, lmic_raw_ub[#Headers],0)))</f>
        <v>31.416525000000004</v>
      </c>
      <c r="S339" s="84">
        <f>IF(INDEX(lmic_raw_ub[],MATCH($A339,lmic_raw_ub[[setting]:[setting]],0), MATCH(S$277, lmic_raw_ub[#Headers],0))=0, INDEX(regions_ub[], MATCH($D339, regions_ub[[setting]:[setting]],0), MATCH(S$139, regions_ub[#Headers],0)),INDEX(lmic_raw_ub[],MATCH($A339,lmic_raw_ub[[setting]:[setting]],0), MATCH(S$277, lmic_raw_ub[#Headers],0)))</f>
        <v>81.545625000000015</v>
      </c>
      <c r="T339" s="84">
        <f>IF(INDEX(lmic_raw_ub[],MATCH($A339,lmic_raw_ub[[setting]:[setting]],0), MATCH(T$277, lmic_raw_ub[#Headers],0))=0, INDEX(regions_ub[], MATCH($D339, regions_ub[[setting]:[setting]],0), MATCH(T$139, regions_ub[#Headers],0)),INDEX(lmic_raw_ub[],MATCH($A339,lmic_raw_ub[[setting]:[setting]],0), MATCH(T$277, lmic_raw_ub[#Headers],0)))</f>
        <v>81.545625000000015</v>
      </c>
      <c r="U339" s="84">
        <f>IF(INDEX(lmic_raw_ub[],MATCH($A339,lmic_raw_ub[[setting]:[setting]],0), MATCH(U$277, lmic_raw_ub[#Headers],0))=0, INDEX(regions_ub[], MATCH($D339, regions_ub[[setting]:[setting]],0), MATCH(U$139, regions_ub[#Headers],0)),INDEX(lmic_raw_ub[],MATCH($A339,lmic_raw_ub[[setting]:[setting]],0), MATCH(U$277, lmic_raw_ub[#Headers],0)))</f>
        <v>81.545625000000015</v>
      </c>
      <c r="V339" s="84">
        <f>IF(INDEX(lmic_raw_ub[],MATCH($A339,lmic_raw_ub[[setting]:[setting]],0), MATCH(V$277, lmic_raw_ub[#Headers],0))=0, INDEX(regions_ub[], MATCH($D339, regions_ub[[setting]:[setting]],0), MATCH(V$139, regions_ub[#Headers],0)),INDEX(lmic_raw_ub[],MATCH($A339,lmic_raw_ub[[setting]:[setting]],0), MATCH(V$277, lmic_raw_ub[#Headers],0)))</f>
        <v>5.3578653208016958</v>
      </c>
      <c r="W339" s="84">
        <f>IF(INDEX(lmic_raw_ub[],MATCH($A339,lmic_raw_ub[[setting]:[setting]],0), MATCH(W$277, lmic_raw_ub[#Headers],0))=0, INDEX(regions_ub[], MATCH($D339, regions_ub[[setting]:[setting]],0), MATCH(W$139, regions_ub[#Headers],0)),INDEX(lmic_raw_ub[],MATCH($A339,lmic_raw_ub[[setting]:[setting]],0), MATCH(W$277, lmic_raw_ub[#Headers],0)))</f>
        <v>10.428000320801697</v>
      </c>
      <c r="X339" s="84">
        <f>IF(INDEX(lmic_raw_ub[],MATCH($A339,lmic_raw_ub[[setting]:[setting]],0), MATCH(X$277, lmic_raw_ub[#Headers],0))=0, INDEX(regions_ub[], MATCH($D339, regions_ub[[setting]:[setting]],0), MATCH(X$139, regions_ub[#Headers],0)),INDEX(lmic_raw_ub[],MATCH($A339,lmic_raw_ub[[setting]:[setting]],0), MATCH(X$277, lmic_raw_ub[#Headers],0)))</f>
        <v>4.8548466333416789</v>
      </c>
      <c r="Y339" s="84">
        <f>IF(INDEX(lmic_raw_ub[],MATCH($A339,lmic_raw_ub[[setting]:[setting]],0), MATCH(Y$277, lmic_raw_ub[#Headers],0))=0, INDEX(regions_ub[], MATCH($D339, regions_ub[[setting]:[setting]],0), MATCH(Y$139, regions_ub[#Headers],0)),INDEX(lmic_raw_ub[],MATCH($A339,lmic_raw_ub[[setting]:[setting]],0), MATCH(Y$277, lmic_raw_ub[#Headers],0)))</f>
        <v>9.9249816333416803</v>
      </c>
      <c r="Z339" s="84">
        <f>IF(INDEX(lmic_raw_ub[],MATCH($A339,lmic_raw_ub[[setting]:[setting]],0), MATCH(Z$277, lmic_raw_ub[#Headers],0))=0, INDEX(regions_ub[], MATCH($D339, regions_ub[[setting]:[setting]],0), MATCH(Z$139, regions_ub[#Headers],0)),INDEX(lmic_raw_ub[],MATCH($A339,lmic_raw_ub[[setting]:[setting]],0), MATCH(Z$277, lmic_raw_ub[#Headers],0)))</f>
        <v>9.9142909030847335</v>
      </c>
      <c r="AA339" s="84">
        <f>IF(INDEX(lmic_raw_ub[],MATCH($A339,lmic_raw_ub[[setting]:[setting]],0), MATCH(AA$277, lmic_raw_ub[#Headers],0))=0, INDEX(regions_ub[], MATCH($D339, regions_ub[[setting]:[setting]],0), MATCH(AA$139, regions_ub[#Headers],0)),INDEX(lmic_raw_ub[],MATCH($A339,lmic_raw_ub[[setting]:[setting]],0), MATCH(AA$277, lmic_raw_ub[#Headers],0)))</f>
        <v>5.6281219216541176</v>
      </c>
      <c r="AB339" s="84">
        <f>IF(INDEX(lmic_raw_ub[],MATCH($A339,lmic_raw_ub[[setting]:[setting]],0), MATCH(AB$277, lmic_raw_ub[#Headers],0))=0, INDEX(regions_ub[], MATCH($D339, regions_ub[[setting]:[setting]],0), MATCH(AB$139, regions_ub[#Headers],0)),INDEX(lmic_raw_ub[],MATCH($A339,lmic_raw_ub[[setting]:[setting]],0), MATCH(AB$277, lmic_raw_ub[#Headers],0)))</f>
        <v>10.698256921654117</v>
      </c>
      <c r="AC339" s="84">
        <f>IF(INDEX(lmic_raw_ub[],MATCH($A339,lmic_raw_ub[[setting]:[setting]],0), MATCH(AC$277, lmic_raw_ub[#Headers],0))=0, INDEX(regions_ub[], MATCH($D339, regions_ub[[setting]:[setting]],0), MATCH(AC$139, regions_ub[#Headers],0)),INDEX(lmic_raw_ub[],MATCH($A339,lmic_raw_ub[[setting]:[setting]],0), MATCH(AC$277, lmic_raw_ub[#Headers],0)))</f>
        <v>3.8190264000000057E-2</v>
      </c>
      <c r="AD339" s="84">
        <f>IF(INDEX(lmic_raw_ub[],MATCH($A339,lmic_raw_ub[[setting]:[setting]],0), MATCH(AD$277, lmic_raw_ub[#Headers],0))=0, INDEX(regions_ub[], MATCH($D339, regions_ub[[setting]:[setting]],0), MATCH(AD$139, regions_ub[#Headers],0)),INDEX(lmic_raw_ub[],MATCH($A339,lmic_raw_ub[[setting]:[setting]],0), MATCH(AD$277, lmic_raw_ub[#Headers],0)))</f>
        <v>3.0217503881579308E-3</v>
      </c>
      <c r="AE339" s="84">
        <f>IF(INDEX(lmic_raw_ub[],MATCH($A339,lmic_raw_ub[[setting]:[setting]],0), MATCH(AE$277, lmic_raw_ub[#Headers],0))=0, INDEX(regions_ub[], MATCH($D339, regions_ub[[setting]:[setting]],0), MATCH(AE$139, regions_ub[#Headers],0)),INDEX(lmic_raw_ub[],MATCH($A339,lmic_raw_ub[[setting]:[setting]],0), MATCH(AE$277, lmic_raw_ub[#Headers],0)))</f>
        <v>9.3322057324097066E-4</v>
      </c>
      <c r="AF339" s="84">
        <f>IF(INDEX(lmic_raw_ub[],MATCH($A339,lmic_raw_ub[[setting]:[setting]],0), MATCH(AF$277, lmic_raw_ub[#Headers],0))=0, INDEX(regions_ub[], MATCH($D339, regions_ub[[setting]:[setting]],0), MATCH(AF$139, regions_ub[#Headers],0)),INDEX(lmic_raw_ub[],MATCH($A339,lmic_raw_ub[[setting]:[setting]],0), MATCH(AF$277, lmic_raw_ub[#Headers],0)))</f>
        <v>7.5801532126981198E-4</v>
      </c>
      <c r="AG339" s="84">
        <f>IF(INDEX(lmic_raw_ub[],MATCH($A339,lmic_raw_ub[[setting]:[setting]],0), MATCH(AG$277, lmic_raw_ub[#Headers],0))=0, INDEX(regions_ub[], MATCH($D339, regions_ub[[setting]:[setting]],0), MATCH(AG$139, regions_ub[#Headers],0)),INDEX(lmic_raw_ub[],MATCH($A339,lmic_raw_ub[[setting]:[setting]],0), MATCH(AG$277, lmic_raw_ub[#Headers],0)))</f>
        <v>1.3162454632712427E-3</v>
      </c>
      <c r="AH339" s="84">
        <f>IF(INDEX(lmic_raw_ub[],MATCH($A339,lmic_raw_ub[[setting]:[setting]],0), MATCH(AH$277, lmic_raw_ub[#Headers],0))=0, INDEX(regions_ub[], MATCH($D339, regions_ub[[setting]:[setting]],0), MATCH(AH$139, regions_ub[#Headers],0)),INDEX(lmic_raw_ub[],MATCH($A339,lmic_raw_ub[[setting]:[setting]],0), MATCH(AH$277, lmic_raw_ub[#Headers],0)))</f>
        <v>2.1158653163829669E-3</v>
      </c>
      <c r="AI339" s="84">
        <f>IF(INDEX(lmic_raw_ub[],MATCH($A339,lmic_raw_ub[[setting]:[setting]],0), MATCH(AI$277, lmic_raw_ub[#Headers],0))=0, INDEX(regions_ub[], MATCH($D339, regions_ub[[setting]:[setting]],0), MATCH(AI$139, regions_ub[#Headers],0)),INDEX(lmic_raw_ub[],MATCH($A339,lmic_raw_ub[[setting]:[setting]],0), MATCH(AI$277, lmic_raw_ub[#Headers],0)))</f>
        <v>2.9130547255813567E-3</v>
      </c>
      <c r="AJ339" s="84">
        <f>IF(INDEX(lmic_raw_ub[],MATCH($A339,lmic_raw_ub[[setting]:[setting]],0), MATCH(AJ$277, lmic_raw_ub[#Headers],0))=0, INDEX(regions_ub[], MATCH($D339, regions_ub[[setting]:[setting]],0), MATCH(AJ$139, regions_ub[#Headers],0)),INDEX(lmic_raw_ub[],MATCH($A339,lmic_raw_ub[[setting]:[setting]],0), MATCH(AJ$277, lmic_raw_ub[#Headers],0)))</f>
        <v>3.7979860115238749E-3</v>
      </c>
      <c r="AK339" s="84">
        <f>IF(INDEX(lmic_raw_ub[],MATCH($A339,lmic_raw_ub[[setting]:[setting]],0), MATCH(AK$277, lmic_raw_ub[#Headers],0))=0, INDEX(regions_ub[], MATCH($D339, regions_ub[[setting]:[setting]],0), MATCH(AK$139, regions_ub[#Headers],0)),INDEX(lmic_raw_ub[],MATCH($A339,lmic_raw_ub[[setting]:[setting]],0), MATCH(AK$277, lmic_raw_ub[#Headers],0)))</f>
        <v>5.0767426974585479E-3</v>
      </c>
      <c r="AL339" s="84">
        <f>IF(INDEX(lmic_raw_ub[],MATCH($A339,lmic_raw_ub[[setting]:[setting]],0), MATCH(AL$277, lmic_raw_ub[#Headers],0))=0, INDEX(regions_ub[], MATCH($D339, regions_ub[[setting]:[setting]],0), MATCH(AL$139, regions_ub[#Headers],0)),INDEX(lmic_raw_ub[],MATCH($A339,lmic_raw_ub[[setting]:[setting]],0), MATCH(AL$277, lmic_raw_ub[#Headers],0)))</f>
        <v>6.3812824658306391E-3</v>
      </c>
      <c r="AM339" s="84">
        <f>IF(INDEX(lmic_raw_ub[],MATCH($A339,lmic_raw_ub[[setting]:[setting]],0), MATCH(AM$277, lmic_raw_ub[#Headers],0))=0, INDEX(regions_ub[], MATCH($D339, regions_ub[[setting]:[setting]],0), MATCH(AM$139, regions_ub[#Headers],0)),INDEX(lmic_raw_ub[],MATCH($A339,lmic_raw_ub[[setting]:[setting]],0), MATCH(AM$277, lmic_raw_ub[#Headers],0)))</f>
        <v>8.0222139881127603E-3</v>
      </c>
      <c r="AN339" s="84">
        <f>IF(INDEX(lmic_raw_ub[],MATCH($A339,lmic_raw_ub[[setting]:[setting]],0), MATCH(AN$277, lmic_raw_ub[#Headers],0))=0, INDEX(regions_ub[], MATCH($D339, regions_ub[[setting]:[setting]],0), MATCH(AN$139, regions_ub[#Headers],0)),INDEX(lmic_raw_ub[],MATCH($A339,lmic_raw_ub[[setting]:[setting]],0), MATCH(AN$277, lmic_raw_ub[#Headers],0)))</f>
        <v>1.0800007516039054E-2</v>
      </c>
      <c r="AO339" s="84">
        <f>IF(INDEX(lmic_raw_ub[],MATCH($A339,lmic_raw_ub[[setting]:[setting]],0), MATCH(AO$277, lmic_raw_ub[#Headers],0))=0, INDEX(regions_ub[], MATCH($D339, regions_ub[[setting]:[setting]],0), MATCH(AO$139, regions_ub[#Headers],0)),INDEX(lmic_raw_ub[],MATCH($A339,lmic_raw_ub[[setting]:[setting]],0), MATCH(AO$277, lmic_raw_ub[#Headers],0)))</f>
        <v>1.3982957654224715E-2</v>
      </c>
      <c r="AP339" s="84">
        <f>IF(INDEX(lmic_raw_ub[],MATCH($A339,lmic_raw_ub[[setting]:[setting]],0), MATCH(AP$277, lmic_raw_ub[#Headers],0))=0, INDEX(regions_ub[], MATCH($D339, regions_ub[[setting]:[setting]],0), MATCH(AP$139, regions_ub[#Headers],0)),INDEX(lmic_raw_ub[],MATCH($A339,lmic_raw_ub[[setting]:[setting]],0), MATCH(AP$277, lmic_raw_ub[#Headers],0)))</f>
        <v>1.9968246147685456E-2</v>
      </c>
      <c r="AQ339" s="84">
        <f>IF(INDEX(lmic_raw_ub[],MATCH($A339,lmic_raw_ub[[setting]:[setting]],0), MATCH(AQ$277, lmic_raw_ub[#Headers],0))=0, INDEX(regions_ub[], MATCH($D339, regions_ub[[setting]:[setting]],0), MATCH(AQ$139, regions_ub[#Headers],0)),INDEX(lmic_raw_ub[],MATCH($A339,lmic_raw_ub[[setting]:[setting]],0), MATCH(AQ$277, lmic_raw_ub[#Headers],0)))</f>
        <v>2.9745665543907455E-2</v>
      </c>
      <c r="AR339" s="84">
        <f>IF(INDEX(lmic_raw_ub[],MATCH($A339,lmic_raw_ub[[setting]:[setting]],0), MATCH(AR$277, lmic_raw_ub[#Headers],0))=0, INDEX(regions_ub[], MATCH($D339, regions_ub[[setting]:[setting]],0), MATCH(AR$139, regions_ub[#Headers],0)),INDEX(lmic_raw_ub[],MATCH($A339,lmic_raw_ub[[setting]:[setting]],0), MATCH(AR$277, lmic_raw_ub[#Headers],0)))</f>
        <v>4.4975840607875205E-2</v>
      </c>
      <c r="AS339" s="84">
        <f>IF(INDEX(lmic_raw_ub[],MATCH($A339,lmic_raw_ub[[setting]:[setting]],0), MATCH(AS$277, lmic_raw_ub[#Headers],0))=0, INDEX(regions_ub[], MATCH($D339, regions_ub[[setting]:[setting]],0), MATCH(AS$139, regions_ub[#Headers],0)),INDEX(lmic_raw_ub[],MATCH($A339,lmic_raw_ub[[setting]:[setting]],0), MATCH(AS$277, lmic_raw_ub[#Headers],0)))</f>
        <v>6.789815349144708E-2</v>
      </c>
      <c r="AT339" s="84">
        <f>IF(INDEX(lmic_raw_ub[],MATCH($A339,lmic_raw_ub[[setting]:[setting]],0), MATCH(AT$277, lmic_raw_ub[#Headers],0))=0, INDEX(regions_ub[], MATCH($D339, regions_ub[[setting]:[setting]],0), MATCH(AT$139, regions_ub[#Headers],0)),INDEX(lmic_raw_ub[],MATCH($A339,lmic_raw_ub[[setting]:[setting]],0), MATCH(AT$277, lmic_raw_ub[#Headers],0)))</f>
        <v>0.102078021390319</v>
      </c>
      <c r="AU339" s="84">
        <f>IF(INDEX(lmic_raw_ub[],MATCH($A339,lmic_raw_ub[[setting]:[setting]],0), MATCH(AU$277, lmic_raw_ub[#Headers],0))=0, INDEX(regions_ub[], MATCH($D339, regions_ub[[setting]:[setting]],0), MATCH(AU$139, regions_ub[#Headers],0)),INDEX(lmic_raw_ub[],MATCH($A339,lmic_raw_ub[[setting]:[setting]],0), MATCH(AU$277, lmic_raw_ub[#Headers],0)))</f>
        <v>0.14372677219085253</v>
      </c>
      <c r="AV339" s="84">
        <f>IF(INDEX(lmic_raw_ub[],MATCH($A339,lmic_raw_ub[[setting]:[setting]],0), MATCH(AV$277, lmic_raw_ub[#Headers],0))=0, INDEX(regions_ub[], MATCH($D339, regions_ub[[setting]:[setting]],0), MATCH(AV$139, regions_ub[#Headers],0)),INDEX(lmic_raw_ub[],MATCH($A339,lmic_raw_ub[[setting]:[setting]],0), MATCH(AV$277, lmic_raw_ub[#Headers],0)))</f>
        <v>0.18088099855201858</v>
      </c>
      <c r="AW339" s="84">
        <f>IF(INDEX(lmic_raw_ub[],MATCH($A339,lmic_raw_ub[[setting]:[setting]],0), MATCH(AW$277, lmic_raw_ub[#Headers],0))=0, INDEX(regions_ub[], MATCH($D339, regions_ub[[setting]:[setting]],0), MATCH(AW$139, regions_ub[#Headers],0)),INDEX(lmic_raw_ub[],MATCH($A339,lmic_raw_ub[[setting]:[setting]],0), MATCH(AW$277, lmic_raw_ub[#Headers],0)))</f>
        <v>0.19609416825390699</v>
      </c>
      <c r="AX339" s="84">
        <f>IF(INDEX(lmic_raw_ub[],MATCH($A339,lmic_raw_ub[[setting]:[setting]],0), MATCH(AX$277, lmic_raw_ub[#Headers],0))=0, INDEX(regions_ub[], MATCH($D339, regions_ub[[setting]:[setting]],0), MATCH(AX$139, regions_ub[#Headers],0)),INDEX(lmic_raw_ub[],MATCH($A339,lmic_raw_ub[[setting]:[setting]],0), MATCH(AX$277, lmic_raw_ub[#Headers],0)))</f>
        <v>69.486900000000006</v>
      </c>
      <c r="AY339" s="33" t="str">
        <f>IF(VLOOKUP(lmics_ub[[#This Row],[setting]],lmic_raw_ub[],11,FALSE)=0, "Yes", "No")</f>
        <v>Yes</v>
      </c>
    </row>
    <row r="340" spans="1:51" x14ac:dyDescent="0.25">
      <c r="A340" s="109" t="s">
        <v>288</v>
      </c>
      <c r="B340" s="101" t="s">
        <v>449</v>
      </c>
      <c r="C340" s="102">
        <v>296</v>
      </c>
      <c r="D340" s="82" t="s">
        <v>681</v>
      </c>
      <c r="E340" s="82" t="s">
        <v>98</v>
      </c>
      <c r="F340" s="82" t="s">
        <v>666</v>
      </c>
      <c r="G340" s="82" t="s">
        <v>678</v>
      </c>
      <c r="J340" s="84">
        <f>IF(INDEX(lmic_raw_ub[],MATCH($A340,lmic_raw_ub[[setting]:[setting]],0), MATCH(J$277, lmic_raw_ub[#Headers],0))=0, INDEX(regions_ub[], MATCH($D340, regions_ub[[setting]:[setting]],0), MATCH(J$139, regions_ub[#Headers],0)),INDEX(lmic_raw_ub[],MATCH($A340,lmic_raw_ub[[setting]:[setting]],0), MATCH(J$277, lmic_raw_ub[#Headers],0)))</f>
        <v>0.90405000000000002</v>
      </c>
      <c r="K340" s="84">
        <f>IF(INDEX(lmic_raw_ub[],MATCH($A340,lmic_raw_ub[[setting]:[setting]],0), MATCH(K$277, lmic_raw_ub[#Headers],0))=0, INDEX(regions_ub[], MATCH($D340, regions_ub[[setting]:[setting]],0), MATCH(K$139, regions_ub[#Headers],0)),INDEX(lmic_raw_ub[],MATCH($A340,lmic_raw_ub[[setting]:[setting]],0), MATCH(K$277, lmic_raw_ub[#Headers],0)))</f>
        <v>0.99990000000000001</v>
      </c>
      <c r="L340" s="84">
        <f>IF(INDEX(lmic_raw_ub[],MATCH($A340,lmic_raw_ub[[setting]:[setting]],0), MATCH(L$277, lmic_raw_ub[#Headers],0))=0, INDEX(regions_ub[], MATCH($D340, regions_ub[[setting]:[setting]],0), MATCH(L$139, regions_ub[#Headers],0)),INDEX(lmic_raw_ub[],MATCH($A340,lmic_raw_ub[[setting]:[setting]],0), MATCH(L$277, lmic_raw_ub[#Headers],0)))</f>
        <v>0.98699999999999999</v>
      </c>
      <c r="M340" s="84">
        <f>IF(INDEX(lmic_raw_ub[],MATCH($A340,lmic_raw_ub[[setting]:[setting]],0), MATCH(M$277, lmic_raw_ub[#Headers],0))=0, INDEX(regions_ub[], MATCH($D340, regions_ub[[setting]:[setting]],0), MATCH(M$139, regions_ub[#Headers],0)),INDEX(lmic_raw_ub[],MATCH($A340,lmic_raw_ub[[setting]:[setting]],0), MATCH(M$277, lmic_raw_ub[#Headers],0)))</f>
        <v>0.18440000000000001</v>
      </c>
      <c r="N340" s="84">
        <f>IF(INDEX(lmic_raw_ub[],MATCH($A340,lmic_raw_ub[[setting]:[setting]],0), MATCH(N$277, lmic_raw_ub[#Headers],0))=0, INDEX(regions_ub[], MATCH($D340, regions_ub[[setting]:[setting]],0), MATCH(N$139, regions_ub[#Headers],0)),INDEX(lmic_raw_ub[],MATCH($A340,lmic_raw_ub[[setting]:[setting]],0), MATCH(N$277, lmic_raw_ub[#Headers],0)))</f>
        <v>0.47889999999999999</v>
      </c>
      <c r="O340" s="84">
        <f>IF(INDEX(lmic_raw_ub[],MATCH($A340,lmic_raw_ub[[setting]:[setting]],0), MATCH(O$277, lmic_raw_ub[#Headers],0))=0, INDEX(regions_ub[], MATCH($D340, regions_ub[[setting]:[setting]],0), MATCH(O$139, regions_ub[#Headers],0)),INDEX(lmic_raw_ub[],MATCH($A340,lmic_raw_ub[[setting]:[setting]],0), MATCH(O$277, lmic_raw_ub[#Headers],0)))</f>
        <v>0.9</v>
      </c>
      <c r="P340" s="84">
        <f>IF(INDEX(lmic_raw_ub[],MATCH($A340,lmic_raw_ub[[setting]:[setting]],0), MATCH(P$277, lmic_raw_ub[#Headers],0))=0, INDEX(regions_ub[], MATCH($D340, regions_ub[[setting]:[setting]],0), MATCH(P$139, regions_ub[#Headers],0)),INDEX(lmic_raw_ub[],MATCH($A340,lmic_raw_ub[[setting]:[setting]],0), MATCH(P$277, lmic_raw_ub[#Headers],0)))</f>
        <v>0.3</v>
      </c>
      <c r="Q340" s="84">
        <f>IF(INDEX(lmic_raw_ub[],MATCH($A340,lmic_raw_ub[[setting]:[setting]],0), MATCH(Q$277, lmic_raw_ub[#Headers],0))=0, INDEX(regions_ub[], MATCH($D340, regions_ub[[setting]:[setting]],0), MATCH(Q$139, regions_ub[#Headers],0)),INDEX(lmic_raw_ub[],MATCH($A340,lmic_raw_ub[[setting]:[setting]],0), MATCH(Q$277, lmic_raw_ub[#Headers],0)))</f>
        <v>6.355453203412571</v>
      </c>
      <c r="R340" s="84">
        <f>IF(INDEX(lmic_raw_ub[],MATCH($A340,lmic_raw_ub[[setting]:[setting]],0), MATCH(R$277, lmic_raw_ub[#Headers],0))=0, INDEX(regions_ub[], MATCH($D340, regions_ub[[setting]:[setting]],0), MATCH(R$139, regions_ub[#Headers],0)),INDEX(lmic_raw_ub[],MATCH($A340,lmic_raw_ub[[setting]:[setting]],0), MATCH(R$277, lmic_raw_ub[#Headers],0)))</f>
        <v>76.738725000000002</v>
      </c>
      <c r="S340" s="84">
        <f>IF(INDEX(lmic_raw_ub[],MATCH($A340,lmic_raw_ub[[setting]:[setting]],0), MATCH(S$277, lmic_raw_ub[#Headers],0))=0, INDEX(regions_ub[], MATCH($D340, regions_ub[[setting]:[setting]],0), MATCH(S$139, regions_ub[#Headers],0)),INDEX(lmic_raw_ub[],MATCH($A340,lmic_raw_ub[[setting]:[setting]],0), MATCH(S$277, lmic_raw_ub[#Headers],0)))</f>
        <v>126.867825</v>
      </c>
      <c r="T340" s="84">
        <f>IF(INDEX(lmic_raw_ub[],MATCH($A340,lmic_raw_ub[[setting]:[setting]],0), MATCH(T$277, lmic_raw_ub[#Headers],0))=0, INDEX(regions_ub[], MATCH($D340, regions_ub[[setting]:[setting]],0), MATCH(T$139, regions_ub[#Headers],0)),INDEX(lmic_raw_ub[],MATCH($A340,lmic_raw_ub[[setting]:[setting]],0), MATCH(T$277, lmic_raw_ub[#Headers],0)))</f>
        <v>126.867825</v>
      </c>
      <c r="U340" s="84">
        <f>IF(INDEX(lmic_raw_ub[],MATCH($A340,lmic_raw_ub[[setting]:[setting]],0), MATCH(U$277, lmic_raw_ub[#Headers],0))=0, INDEX(regions_ub[], MATCH($D340, regions_ub[[setting]:[setting]],0), MATCH(U$139, regions_ub[#Headers],0)),INDEX(lmic_raw_ub[],MATCH($A340,lmic_raw_ub[[setting]:[setting]],0), MATCH(U$277, lmic_raw_ub[#Headers],0)))</f>
        <v>126.867825</v>
      </c>
      <c r="V340" s="84">
        <f>IF(INDEX(lmic_raw_ub[],MATCH($A340,lmic_raw_ub[[setting]:[setting]],0), MATCH(V$277, lmic_raw_ub[#Headers],0))=0, INDEX(regions_ub[], MATCH($D340, regions_ub[[setting]:[setting]],0), MATCH(V$139, regions_ub[#Headers],0)),INDEX(lmic_raw_ub[],MATCH($A340,lmic_raw_ub[[setting]:[setting]],0), MATCH(V$277, lmic_raw_ub[#Headers],0)))</f>
        <v>24.274501065768305</v>
      </c>
      <c r="W340" s="84">
        <f>IF(INDEX(lmic_raw_ub[],MATCH($A340,lmic_raw_ub[[setting]:[setting]],0), MATCH(W$277, lmic_raw_ub[#Headers],0))=0, INDEX(regions_ub[], MATCH($D340, regions_ub[[setting]:[setting]],0), MATCH(W$139, regions_ub[#Headers],0)),INDEX(lmic_raw_ub[],MATCH($A340,lmic_raw_ub[[setting]:[setting]],0), MATCH(W$277, lmic_raw_ub[#Headers],0)))</f>
        <v>24.938311065768307</v>
      </c>
      <c r="X340" s="84">
        <f>IF(INDEX(lmic_raw_ub[],MATCH($A340,lmic_raw_ub[[setting]:[setting]],0), MATCH(X$277, lmic_raw_ub[#Headers],0))=0, INDEX(regions_ub[], MATCH($D340, regions_ub[[setting]:[setting]],0), MATCH(X$139, regions_ub[#Headers],0)),INDEX(lmic_raw_ub[],MATCH($A340,lmic_raw_ub[[setting]:[setting]],0), MATCH(X$277, lmic_raw_ub[#Headers],0)))</f>
        <v>23.773486988695183</v>
      </c>
      <c r="Y340" s="84">
        <f>IF(INDEX(lmic_raw_ub[],MATCH($A340,lmic_raw_ub[[setting]:[setting]],0), MATCH(Y$277, lmic_raw_ub[#Headers],0))=0, INDEX(regions_ub[], MATCH($D340, regions_ub[[setting]:[setting]],0), MATCH(Y$139, regions_ub[#Headers],0)),INDEX(lmic_raw_ub[],MATCH($A340,lmic_raw_ub[[setting]:[setting]],0), MATCH(Y$277, lmic_raw_ub[#Headers],0)))</f>
        <v>24.437296988695184</v>
      </c>
      <c r="Z340" s="84">
        <f>IF(INDEX(lmic_raw_ub[],MATCH($A340,lmic_raw_ub[[setting]:[setting]],0), MATCH(Z$277, lmic_raw_ub[#Headers],0))=0, INDEX(regions_ub[], MATCH($D340, regions_ub[[setting]:[setting]],0), MATCH(Z$139, regions_ub[#Headers],0)),INDEX(lmic_raw_ub[],MATCH($A340,lmic_raw_ub[[setting]:[setting]],0), MATCH(Z$277, lmic_raw_ub[#Headers],0)))</f>
        <v>24.427869843252296</v>
      </c>
      <c r="AA340" s="84">
        <f>IF(INDEX(lmic_raw_ub[],MATCH($A340,lmic_raw_ub[[setting]:[setting]],0), MATCH(AA$277, lmic_raw_ub[#Headers],0))=0, INDEX(regions_ub[], MATCH($D340, regions_ub[[setting]:[setting]],0), MATCH(AA$139, regions_ub[#Headers],0)),INDEX(lmic_raw_ub[],MATCH($A340,lmic_raw_ub[[setting]:[setting]],0), MATCH(AA$277, lmic_raw_ub[#Headers],0)))</f>
        <v>24.544302632361124</v>
      </c>
      <c r="AB340" s="84">
        <f>IF(INDEX(lmic_raw_ub[],MATCH($A340,lmic_raw_ub[[setting]:[setting]],0), MATCH(AB$277, lmic_raw_ub[#Headers],0))=0, INDEX(regions_ub[], MATCH($D340, regions_ub[[setting]:[setting]],0), MATCH(AB$139, regions_ub[#Headers],0)),INDEX(lmic_raw_ub[],MATCH($A340,lmic_raw_ub[[setting]:[setting]],0), MATCH(AB$277, lmic_raw_ub[#Headers],0)))</f>
        <v>25.208112632361125</v>
      </c>
      <c r="AC340" s="84">
        <f>IF(INDEX(lmic_raw_ub[],MATCH($A340,lmic_raw_ub[[setting]:[setting]],0), MATCH(AC$277, lmic_raw_ub[#Headers],0))=0, INDEX(regions_ub[], MATCH($D340, regions_ub[[setting]:[setting]],0), MATCH(AC$139, regions_ub[#Headers],0)),INDEX(lmic_raw_ub[],MATCH($A340,lmic_raw_ub[[setting]:[setting]],0), MATCH(AC$277, lmic_raw_ub[#Headers],0)))</f>
        <v>4.4951109000000045E-2</v>
      </c>
      <c r="AD340" s="84">
        <f>IF(INDEX(lmic_raw_ub[],MATCH($A340,lmic_raw_ub[[setting]:[setting]],0), MATCH(AD$277, lmic_raw_ub[#Headers],0))=0, INDEX(regions_ub[], MATCH($D340, regions_ub[[setting]:[setting]],0), MATCH(AD$139, regions_ub[#Headers],0)),INDEX(lmic_raw_ub[],MATCH($A340,lmic_raw_ub[[setting]:[setting]],0), MATCH(AD$277, lmic_raw_ub[#Headers],0)))</f>
        <v>3.1221473122843074E-3</v>
      </c>
      <c r="AE340" s="84">
        <f>IF(INDEX(lmic_raw_ub[],MATCH($A340,lmic_raw_ub[[setting]:[setting]],0), MATCH(AE$277, lmic_raw_ub[#Headers],0))=0, INDEX(regions_ub[], MATCH($D340, regions_ub[[setting]:[setting]],0), MATCH(AE$139, regions_ub[#Headers],0)),INDEX(lmic_raw_ub[],MATCH($A340,lmic_raw_ub[[setting]:[setting]],0), MATCH(AE$277, lmic_raw_ub[#Headers],0)))</f>
        <v>1.0607811415952913E-3</v>
      </c>
      <c r="AF340" s="84">
        <f>IF(INDEX(lmic_raw_ub[],MATCH($A340,lmic_raw_ub[[setting]:[setting]],0), MATCH(AF$277, lmic_raw_ub[#Headers],0))=0, INDEX(regions_ub[], MATCH($D340, regions_ub[[setting]:[setting]],0), MATCH(AF$139, regions_ub[#Headers],0)),INDEX(lmic_raw_ub[],MATCH($A340,lmic_raw_ub[[setting]:[setting]],0), MATCH(AF$277, lmic_raw_ub[#Headers],0)))</f>
        <v>8.0879581016968097E-4</v>
      </c>
      <c r="AG340" s="84">
        <f>IF(INDEX(lmic_raw_ub[],MATCH($A340,lmic_raw_ub[[setting]:[setting]],0), MATCH(AG$277, lmic_raw_ub[#Headers],0))=0, INDEX(regions_ub[], MATCH($D340, regions_ub[[setting]:[setting]],0), MATCH(AG$139, regions_ub[#Headers],0)),INDEX(lmic_raw_ub[],MATCH($A340,lmic_raw_ub[[setting]:[setting]],0), MATCH(AG$277, lmic_raw_ub[#Headers],0)))</f>
        <v>1.4291986630934547E-3</v>
      </c>
      <c r="AH340" s="84">
        <f>IF(INDEX(lmic_raw_ub[],MATCH($A340,lmic_raw_ub[[setting]:[setting]],0), MATCH(AH$277, lmic_raw_ub[#Headers],0))=0, INDEX(regions_ub[], MATCH($D340, regions_ub[[setting]:[setting]],0), MATCH(AH$139, regions_ub[#Headers],0)),INDEX(lmic_raw_ub[],MATCH($A340,lmic_raw_ub[[setting]:[setting]],0), MATCH(AH$277, lmic_raw_ub[#Headers],0)))</f>
        <v>1.8991647855462841E-3</v>
      </c>
      <c r="AI340" s="84">
        <f>IF(INDEX(lmic_raw_ub[],MATCH($A340,lmic_raw_ub[[setting]:[setting]],0), MATCH(AI$277, lmic_raw_ub[#Headers],0))=0, INDEX(regions_ub[], MATCH($D340, regions_ub[[setting]:[setting]],0), MATCH(AI$139, regions_ub[#Headers],0)),INDEX(lmic_raw_ub[],MATCH($A340,lmic_raw_ub[[setting]:[setting]],0), MATCH(AI$277, lmic_raw_ub[#Headers],0)))</f>
        <v>2.0286505147195824E-3</v>
      </c>
      <c r="AJ340" s="84">
        <f>IF(INDEX(lmic_raw_ub[],MATCH($A340,lmic_raw_ub[[setting]:[setting]],0), MATCH(AJ$277, lmic_raw_ub[#Headers],0))=0, INDEX(regions_ub[], MATCH($D340, regions_ub[[setting]:[setting]],0), MATCH(AJ$139, regions_ub[#Headers],0)),INDEX(lmic_raw_ub[],MATCH($A340,lmic_raw_ub[[setting]:[setting]],0), MATCH(AJ$277, lmic_raw_ub[#Headers],0)))</f>
        <v>2.3780505603235888E-3</v>
      </c>
      <c r="AK340" s="84">
        <f>IF(INDEX(lmic_raw_ub[],MATCH($A340,lmic_raw_ub[[setting]:[setting]],0), MATCH(AK$277, lmic_raw_ub[#Headers],0))=0, INDEX(regions_ub[], MATCH($D340, regions_ub[[setting]:[setting]],0), MATCH(AK$139, regions_ub[#Headers],0)),INDEX(lmic_raw_ub[],MATCH($A340,lmic_raw_ub[[setting]:[setting]],0), MATCH(AK$277, lmic_raw_ub[#Headers],0)))</f>
        <v>3.1147434221824384E-3</v>
      </c>
      <c r="AL340" s="84">
        <f>IF(INDEX(lmic_raw_ub[],MATCH($A340,lmic_raw_ub[[setting]:[setting]],0), MATCH(AL$277, lmic_raw_ub[#Headers],0))=0, INDEX(regions_ub[], MATCH($D340, regions_ub[[setting]:[setting]],0), MATCH(AL$139, regions_ub[#Headers],0)),INDEX(lmic_raw_ub[],MATCH($A340,lmic_raw_ub[[setting]:[setting]],0), MATCH(AL$277, lmic_raw_ub[#Headers],0)))</f>
        <v>4.294821648474517E-3</v>
      </c>
      <c r="AM340" s="84">
        <f>IF(INDEX(lmic_raw_ub[],MATCH($A340,lmic_raw_ub[[setting]:[setting]],0), MATCH(AM$277, lmic_raw_ub[#Headers],0))=0, INDEX(regions_ub[], MATCH($D340, regions_ub[[setting]:[setting]],0), MATCH(AM$139, regions_ub[#Headers],0)),INDEX(lmic_raw_ub[],MATCH($A340,lmic_raw_ub[[setting]:[setting]],0), MATCH(AM$277, lmic_raw_ub[#Headers],0)))</f>
        <v>6.2427475049407427E-3</v>
      </c>
      <c r="AN340" s="84">
        <f>IF(INDEX(lmic_raw_ub[],MATCH($A340,lmic_raw_ub[[setting]:[setting]],0), MATCH(AN$277, lmic_raw_ub[#Headers],0))=0, INDEX(regions_ub[], MATCH($D340, regions_ub[[setting]:[setting]],0), MATCH(AN$139, regions_ub[#Headers],0)),INDEX(lmic_raw_ub[],MATCH($A340,lmic_raw_ub[[setting]:[setting]],0), MATCH(AN$277, lmic_raw_ub[#Headers],0)))</f>
        <v>9.3327919243927689E-3</v>
      </c>
      <c r="AO340" s="84">
        <f>IF(INDEX(lmic_raw_ub[],MATCH($A340,lmic_raw_ub[[setting]:[setting]],0), MATCH(AO$277, lmic_raw_ub[#Headers],0))=0, INDEX(regions_ub[], MATCH($D340, regions_ub[[setting]:[setting]],0), MATCH(AO$139, regions_ub[#Headers],0)),INDEX(lmic_raw_ub[],MATCH($A340,lmic_raw_ub[[setting]:[setting]],0), MATCH(AO$277, lmic_raw_ub[#Headers],0)))</f>
        <v>1.4011968006478049E-2</v>
      </c>
      <c r="AP340" s="84">
        <f>IF(INDEX(lmic_raw_ub[],MATCH($A340,lmic_raw_ub[[setting]:[setting]],0), MATCH(AP$277, lmic_raw_ub[#Headers],0))=0, INDEX(regions_ub[], MATCH($D340, regions_ub[[setting]:[setting]],0), MATCH(AP$139, regions_ub[#Headers],0)),INDEX(lmic_raw_ub[],MATCH($A340,lmic_raw_ub[[setting]:[setting]],0), MATCH(AP$277, lmic_raw_ub[#Headers],0)))</f>
        <v>1.958283554472183E-2</v>
      </c>
      <c r="AQ340" s="84">
        <f>IF(INDEX(lmic_raw_ub[],MATCH($A340,lmic_raw_ub[[setting]:[setting]],0), MATCH(AQ$277, lmic_raw_ub[#Headers],0))=0, INDEX(regions_ub[], MATCH($D340, regions_ub[[setting]:[setting]],0), MATCH(AQ$139, regions_ub[#Headers],0)),INDEX(lmic_raw_ub[],MATCH($A340,lmic_raw_ub[[setting]:[setting]],0), MATCH(AQ$277, lmic_raw_ub[#Headers],0)))</f>
        <v>2.708189270696983E-2</v>
      </c>
      <c r="AR340" s="84">
        <f>IF(INDEX(lmic_raw_ub[],MATCH($A340,lmic_raw_ub[[setting]:[setting]],0), MATCH(AR$277, lmic_raw_ub[#Headers],0))=0, INDEX(regions_ub[], MATCH($D340, regions_ub[[setting]:[setting]],0), MATCH(AR$139, regions_ub[#Headers],0)),INDEX(lmic_raw_ub[],MATCH($A340,lmic_raw_ub[[setting]:[setting]],0), MATCH(AR$277, lmic_raw_ub[#Headers],0)))</f>
        <v>3.9124771501632405E-2</v>
      </c>
      <c r="AS340" s="84">
        <f>IF(INDEX(lmic_raw_ub[],MATCH($A340,lmic_raw_ub[[setting]:[setting]],0), MATCH(AS$277, lmic_raw_ub[#Headers],0))=0, INDEX(regions_ub[], MATCH($D340, regions_ub[[setting]:[setting]],0), MATCH(AS$139, regions_ub[#Headers],0)),INDEX(lmic_raw_ub[],MATCH($A340,lmic_raw_ub[[setting]:[setting]],0), MATCH(AS$277, lmic_raw_ub[#Headers],0)))</f>
        <v>5.9057800496884423E-2</v>
      </c>
      <c r="AT340" s="84">
        <f>IF(INDEX(lmic_raw_ub[],MATCH($A340,lmic_raw_ub[[setting]:[setting]],0), MATCH(AT$277, lmic_raw_ub[#Headers],0))=0, INDEX(regions_ub[], MATCH($D340, regions_ub[[setting]:[setting]],0), MATCH(AT$139, regions_ub[#Headers],0)),INDEX(lmic_raw_ub[],MATCH($A340,lmic_raw_ub[[setting]:[setting]],0), MATCH(AT$277, lmic_raw_ub[#Headers],0)))</f>
        <v>8.5765636920599422E-2</v>
      </c>
      <c r="AU340" s="84">
        <f>IF(INDEX(lmic_raw_ub[],MATCH($A340,lmic_raw_ub[[setting]:[setting]],0), MATCH(AU$277, lmic_raw_ub[#Headers],0))=0, INDEX(regions_ub[], MATCH($D340, regions_ub[[setting]:[setting]],0), MATCH(AU$139, regions_ub[#Headers],0)),INDEX(lmic_raw_ub[],MATCH($A340,lmic_raw_ub[[setting]:[setting]],0), MATCH(AU$277, lmic_raw_ub[#Headers],0)))</f>
        <v>0.11442611318689742</v>
      </c>
      <c r="AV340" s="84">
        <f>IF(INDEX(lmic_raw_ub[],MATCH($A340,lmic_raw_ub[[setting]:[setting]],0), MATCH(AV$277, lmic_raw_ub[#Headers],0))=0, INDEX(regions_ub[], MATCH($D340, regions_ub[[setting]:[setting]],0), MATCH(AV$139, regions_ub[#Headers],0)),INDEX(lmic_raw_ub[],MATCH($A340,lmic_raw_ub[[setting]:[setting]],0), MATCH(AV$277, lmic_raw_ub[#Headers],0)))</f>
        <v>0.13832044878009012</v>
      </c>
      <c r="AW340" s="84">
        <f>IF(INDEX(lmic_raw_ub[],MATCH($A340,lmic_raw_ub[[setting]:[setting]],0), MATCH(AW$277, lmic_raw_ub[#Headers],0))=0, INDEX(regions_ub[], MATCH($D340, regions_ub[[setting]:[setting]],0), MATCH(AW$139, regions_ub[#Headers],0)),INDEX(lmic_raw_ub[],MATCH($A340,lmic_raw_ub[[setting]:[setting]],0), MATCH(AW$277, lmic_raw_ub[#Headers],0)))</f>
        <v>0.16108847733039983</v>
      </c>
      <c r="AX340" s="84">
        <f>IF(INDEX(lmic_raw_ub[],MATCH($A340,lmic_raw_ub[[setting]:[setting]],0), MATCH(AX$277, lmic_raw_ub[#Headers],0))=0, INDEX(regions_ub[], MATCH($D340, regions_ub[[setting]:[setting]],0), MATCH(AX$139, regions_ub[#Headers],0)),INDEX(lmic_raw_ub[],MATCH($A340,lmic_raw_ub[[setting]:[setting]],0), MATCH(AX$277, lmic_raw_ub[#Headers],0)))</f>
        <v>71.389499999999998</v>
      </c>
      <c r="AY340" s="33" t="str">
        <f>IF(VLOOKUP(lmics_ub[[#This Row],[setting]],lmic_raw_ub[],11,FALSE)=0, "Yes", "No")</f>
        <v>No</v>
      </c>
    </row>
    <row r="341" spans="1:51" x14ac:dyDescent="0.25">
      <c r="A341" s="82" t="s">
        <v>610</v>
      </c>
      <c r="B341" s="104" t="s">
        <v>410</v>
      </c>
      <c r="C341" s="105">
        <v>408</v>
      </c>
      <c r="D341" s="84" t="s">
        <v>680</v>
      </c>
      <c r="E341" s="84" t="s">
        <v>603</v>
      </c>
      <c r="F341" s="84" t="s">
        <v>666</v>
      </c>
      <c r="G341" s="84" t="s">
        <v>674</v>
      </c>
      <c r="J341" s="84">
        <f>IF(INDEX(lmic_raw_ub[],MATCH($A341,lmic_raw_ub[[setting]:[setting]],0), MATCH(J$277, lmic_raw_ub[#Headers],0))=0, INDEX(regions_ub[], MATCH($D341, regions_ub[[setting]:[setting]],0), MATCH(J$139, regions_ub[#Headers],0)),INDEX(lmic_raw_ub[],MATCH($A341,lmic_raw_ub[[setting]:[setting]],0), MATCH(J$277, lmic_raw_ub[#Headers],0)))</f>
        <v>0.96810000000000007</v>
      </c>
      <c r="K341" s="84">
        <f>IF(INDEX(lmic_raw_ub[],MATCH($A341,lmic_raw_ub[[setting]:[setting]],0), MATCH(K$277, lmic_raw_ub[#Headers],0))=0, INDEX(regions_ub[], MATCH($D341, regions_ub[[setting]:[setting]],0), MATCH(K$139, regions_ub[#Headers],0)),INDEX(lmic_raw_ub[],MATCH($A341,lmic_raw_ub[[setting]:[setting]],0), MATCH(K$277, lmic_raw_ub[#Headers],0)))</f>
        <v>0.99990000000000001</v>
      </c>
      <c r="L341" s="84">
        <f>IF(INDEX(lmic_raw_ub[],MATCH($A341,lmic_raw_ub[[setting]:[setting]],0), MATCH(L$277, lmic_raw_ub[#Headers],0))=0, INDEX(regions_ub[], MATCH($D341, regions_ub[[setting]:[setting]],0), MATCH(L$139, regions_ub[#Headers],0)),INDEX(lmic_raw_ub[],MATCH($A341,lmic_raw_ub[[setting]:[setting]],0), MATCH(L$277, lmic_raw_ub[#Headers],0)))</f>
        <v>0.99990000000000001</v>
      </c>
      <c r="M341" s="84">
        <f>IF(INDEX(lmic_raw_ub[],MATCH($A341,lmic_raw_ub[[setting]:[setting]],0), MATCH(M$277, lmic_raw_ub[#Headers],0))=0, INDEX(regions_ub[], MATCH($D341, regions_ub[[setting]:[setting]],0), MATCH(M$139, regions_ub[#Headers],0)),INDEX(lmic_raw_ub[],MATCH($A341,lmic_raw_ub[[setting]:[setting]],0), MATCH(M$277, lmic_raw_ub[#Headers],0)))</f>
        <v>0.37240000000000001</v>
      </c>
      <c r="N341" s="84">
        <f>IF(INDEX(lmic_raw_ub[],MATCH($A341,lmic_raw_ub[[setting]:[setting]],0), MATCH(N$277, lmic_raw_ub[#Headers],0))=0, INDEX(regions_ub[], MATCH($D341, regions_ub[[setting]:[setting]],0), MATCH(N$139, regions_ub[#Headers],0)),INDEX(lmic_raw_ub[],MATCH($A341,lmic_raw_ub[[setting]:[setting]],0), MATCH(N$277, lmic_raw_ub[#Headers],0)))</f>
        <v>0.49159999999999998</v>
      </c>
      <c r="O341" s="84">
        <f>IF(INDEX(lmic_raw_ub[],MATCH($A341,lmic_raw_ub[[setting]:[setting]],0), MATCH(O$277, lmic_raw_ub[#Headers],0))=0, INDEX(regions_ub[], MATCH($D341, regions_ub[[setting]:[setting]],0), MATCH(O$139, regions_ub[#Headers],0)),INDEX(lmic_raw_ub[],MATCH($A341,lmic_raw_ub[[setting]:[setting]],0), MATCH(O$277, lmic_raw_ub[#Headers],0)))</f>
        <v>0.9</v>
      </c>
      <c r="P341" s="84">
        <f>IF(INDEX(lmic_raw_ub[],MATCH($A341,lmic_raw_ub[[setting]:[setting]],0), MATCH(P$277, lmic_raw_ub[#Headers],0))=0, INDEX(regions_ub[], MATCH($D341, regions_ub[[setting]:[setting]],0), MATCH(P$139, regions_ub[#Headers],0)),INDEX(lmic_raw_ub[],MATCH($A341,lmic_raw_ub[[setting]:[setting]],0), MATCH(P$277, lmic_raw_ub[#Headers],0)))</f>
        <v>0.3</v>
      </c>
      <c r="Q341" s="84">
        <f>IF(INDEX(lmic_raw_ub[],MATCH($A341,lmic_raw_ub[[setting]:[setting]],0), MATCH(Q$277, lmic_raw_ub[#Headers],0))=0, INDEX(regions_ub[], MATCH($D341, regions_ub[[setting]:[setting]],0), MATCH(Q$139, regions_ub[#Headers],0)),INDEX(lmic_raw_ub[],MATCH($A341,lmic_raw_ub[[setting]:[setting]],0), MATCH(Q$277, lmic_raw_ub[#Headers],0)))</f>
        <v>4.2697504886998372</v>
      </c>
      <c r="R341" s="84">
        <f>IF(INDEX(lmic_raw_ub[],MATCH($A341,lmic_raw_ub[[setting]:[setting]],0), MATCH(R$277, lmic_raw_ub[#Headers],0))=0, INDEX(regions_ub[], MATCH($D341, regions_ub[[setting]:[setting]],0), MATCH(R$139, regions_ub[#Headers],0)),INDEX(lmic_raw_ub[],MATCH($A341,lmic_raw_ub[[setting]:[setting]],0), MATCH(R$277, lmic_raw_ub[#Headers],0)))</f>
        <v>76.738725000000002</v>
      </c>
      <c r="S341" s="84">
        <f>IF(INDEX(lmic_raw_ub[],MATCH($A341,lmic_raw_ub[[setting]:[setting]],0), MATCH(S$277, lmic_raw_ub[#Headers],0))=0, INDEX(regions_ub[], MATCH($D341, regions_ub[[setting]:[setting]],0), MATCH(S$139, regions_ub[#Headers],0)),INDEX(lmic_raw_ub[],MATCH($A341,lmic_raw_ub[[setting]:[setting]],0), MATCH(S$277, lmic_raw_ub[#Headers],0)))</f>
        <v>126.867825</v>
      </c>
      <c r="T341" s="84">
        <f>IF(INDEX(lmic_raw_ub[],MATCH($A341,lmic_raw_ub[[setting]:[setting]],0), MATCH(T$277, lmic_raw_ub[#Headers],0))=0, INDEX(regions_ub[], MATCH($D341, regions_ub[[setting]:[setting]],0), MATCH(T$139, regions_ub[#Headers],0)),INDEX(lmic_raw_ub[],MATCH($A341,lmic_raw_ub[[setting]:[setting]],0), MATCH(T$277, lmic_raw_ub[#Headers],0)))</f>
        <v>126.867825</v>
      </c>
      <c r="U341" s="84">
        <f>IF(INDEX(lmic_raw_ub[],MATCH($A341,lmic_raw_ub[[setting]:[setting]],0), MATCH(U$277, lmic_raw_ub[#Headers],0))=0, INDEX(regions_ub[], MATCH($D341, regions_ub[[setting]:[setting]],0), MATCH(U$139, regions_ub[#Headers],0)),INDEX(lmic_raw_ub[],MATCH($A341,lmic_raw_ub[[setting]:[setting]],0), MATCH(U$277, lmic_raw_ub[#Headers],0)))</f>
        <v>126.867825</v>
      </c>
      <c r="V341" s="84">
        <f>IF(INDEX(lmic_raw_ub[],MATCH($A341,lmic_raw_ub[[setting]:[setting]],0), MATCH(V$277, lmic_raw_ub[#Headers],0))=0, INDEX(regions_ub[], MATCH($D341, regions_ub[[setting]:[setting]],0), MATCH(V$139, regions_ub[#Headers],0)),INDEX(lmic_raw_ub[],MATCH($A341,lmic_raw_ub[[setting]:[setting]],0), MATCH(V$277, lmic_raw_ub[#Headers],0)))</f>
        <v>7.065039181286549</v>
      </c>
      <c r="W341" s="84">
        <f>IF(INDEX(lmic_raw_ub[],MATCH($A341,lmic_raw_ub[[setting]:[setting]],0), MATCH(W$277, lmic_raw_ub[#Headers],0))=0, INDEX(regions_ub[], MATCH($D341, regions_ub[[setting]:[setting]],0), MATCH(W$139, regions_ub[#Headers],0)),INDEX(lmic_raw_ub[],MATCH($A341,lmic_raw_ub[[setting]:[setting]],0), MATCH(W$277, lmic_raw_ub[#Headers],0)))</f>
        <v>7.7288491812865487</v>
      </c>
      <c r="X341" s="84">
        <f>IF(INDEX(lmic_raw_ub[],MATCH($A341,lmic_raw_ub[[setting]:[setting]],0), MATCH(X$277, lmic_raw_ub[#Headers],0))=0, INDEX(regions_ub[], MATCH($D341, regions_ub[[setting]:[setting]],0), MATCH(X$139, regions_ub[#Headers],0)),INDEX(lmic_raw_ub[],MATCH($A341,lmic_raw_ub[[setting]:[setting]],0), MATCH(X$277, lmic_raw_ub[#Headers],0)))</f>
        <v>6.5816999999999997</v>
      </c>
      <c r="Y341" s="84">
        <f>IF(INDEX(lmic_raw_ub[],MATCH($A341,lmic_raw_ub[[setting]:[setting]],0), MATCH(Y$277, lmic_raw_ub[#Headers],0))=0, INDEX(regions_ub[], MATCH($D341, regions_ub[[setting]:[setting]],0), MATCH(Y$139, regions_ub[#Headers],0)),INDEX(lmic_raw_ub[],MATCH($A341,lmic_raw_ub[[setting]:[setting]],0), MATCH(Y$277, lmic_raw_ub[#Headers],0)))</f>
        <v>7.2455099999999995</v>
      </c>
      <c r="Z341" s="84">
        <f>IF(INDEX(lmic_raw_ub[],MATCH($A341,lmic_raw_ub[[setting]:[setting]],0), MATCH(Z$277, lmic_raw_ub[#Headers],0))=0, INDEX(regions_ub[], MATCH($D341, regions_ub[[setting]:[setting]],0), MATCH(Z$139, regions_ub[#Headers],0)),INDEX(lmic_raw_ub[],MATCH($A341,lmic_raw_ub[[setting]:[setting]],0), MATCH(Z$277, lmic_raw_ub[#Headers],0)))</f>
        <v>7.2455099999999995</v>
      </c>
      <c r="AA341" s="84">
        <f>IF(INDEX(lmic_raw_ub[],MATCH($A341,lmic_raw_ub[[setting]:[setting]],0), MATCH(AA$277, lmic_raw_ub[#Headers],0))=0, INDEX(regions_ub[], MATCH($D341, regions_ub[[setting]:[setting]],0), MATCH(AA$139, regions_ub[#Headers],0)),INDEX(lmic_raw_ub[],MATCH($A341,lmic_raw_ub[[setting]:[setting]],0), MATCH(AA$277, lmic_raw_ub[#Headers],0)))</f>
        <v>7.3308286549707598</v>
      </c>
      <c r="AB341" s="84">
        <f>IF(INDEX(lmic_raw_ub[],MATCH($A341,lmic_raw_ub[[setting]:[setting]],0), MATCH(AB$277, lmic_raw_ub[#Headers],0))=0, INDEX(regions_ub[], MATCH($D341, regions_ub[[setting]:[setting]],0), MATCH(AB$139, regions_ub[#Headers],0)),INDEX(lmic_raw_ub[],MATCH($A341,lmic_raw_ub[[setting]:[setting]],0), MATCH(AB$277, lmic_raw_ub[#Headers],0)))</f>
        <v>7.9946386549707595</v>
      </c>
      <c r="AC341" s="84">
        <f>IF(INDEX(lmic_raw_ub[],MATCH($A341,lmic_raw_ub[[setting]:[setting]],0), MATCH(AC$277, lmic_raw_ub[#Headers],0))=0, INDEX(regions_ub[], MATCH($D341, regions_ub[[setting]:[setting]],0), MATCH(AC$139, regions_ub[#Headers],0)),INDEX(lmic_raw_ub[],MATCH($A341,lmic_raw_ub[[setting]:[setting]],0), MATCH(AC$277, lmic_raw_ub[#Headers],0)))</f>
        <v>1.4593015500000016E-2</v>
      </c>
      <c r="AD341" s="84">
        <f>IF(INDEX(lmic_raw_ub[],MATCH($A341,lmic_raw_ub[[setting]:[setting]],0), MATCH(AD$277, lmic_raw_ub[#Headers],0))=0, INDEX(regions_ub[], MATCH($D341, regions_ub[[setting]:[setting]],0), MATCH(AD$139, regions_ub[#Headers],0)),INDEX(lmic_raw_ub[],MATCH($A341,lmic_raw_ub[[setting]:[setting]],0), MATCH(AD$277, lmic_raw_ub[#Headers],0)))</f>
        <v>1.2101996123341757E-3</v>
      </c>
      <c r="AE341" s="84">
        <f>IF(INDEX(lmic_raw_ub[],MATCH($A341,lmic_raw_ub[[setting]:[setting]],0), MATCH(AE$277, lmic_raw_ub[#Headers],0))=0, INDEX(regions_ub[], MATCH($D341, regions_ub[[setting]:[setting]],0), MATCH(AE$139, regions_ub[#Headers],0)),INDEX(lmic_raw_ub[],MATCH($A341,lmic_raw_ub[[setting]:[setting]],0), MATCH(AE$277, lmic_raw_ub[#Headers],0)))</f>
        <v>6.76976776294543E-4</v>
      </c>
      <c r="AF341" s="84">
        <f>IF(INDEX(lmic_raw_ub[],MATCH($A341,lmic_raw_ub[[setting]:[setting]],0), MATCH(AF$277, lmic_raw_ub[#Headers],0))=0, INDEX(regions_ub[], MATCH($D341, regions_ub[[setting]:[setting]],0), MATCH(AF$139, regions_ub[#Headers],0)),INDEX(lmic_raw_ub[],MATCH($A341,lmic_raw_ub[[setting]:[setting]],0), MATCH(AF$277, lmic_raw_ub[#Headers],0)))</f>
        <v>6.2885934488552894E-4</v>
      </c>
      <c r="AG341" s="84">
        <f>IF(INDEX(lmic_raw_ub[],MATCH($A341,lmic_raw_ub[[setting]:[setting]],0), MATCH(AG$277, lmic_raw_ub[#Headers],0))=0, INDEX(regions_ub[], MATCH($D341, regions_ub[[setting]:[setting]],0), MATCH(AG$139, regions_ub[#Headers],0)),INDEX(lmic_raw_ub[],MATCH($A341,lmic_raw_ub[[setting]:[setting]],0), MATCH(AG$277, lmic_raw_ub[#Headers],0)))</f>
        <v>9.0815714136070281E-4</v>
      </c>
      <c r="AH341" s="84">
        <f>IF(INDEX(lmic_raw_ub[],MATCH($A341,lmic_raw_ub[[setting]:[setting]],0), MATCH(AH$277, lmic_raw_ub[#Headers],0))=0, INDEX(regions_ub[], MATCH($D341, regions_ub[[setting]:[setting]],0), MATCH(AH$139, regions_ub[#Headers],0)),INDEX(lmic_raw_ub[],MATCH($A341,lmic_raw_ub[[setting]:[setting]],0), MATCH(AH$277, lmic_raw_ub[#Headers],0)))</f>
        <v>1.3023832528690972E-3</v>
      </c>
      <c r="AI341" s="84">
        <f>IF(INDEX(lmic_raw_ub[],MATCH($A341,lmic_raw_ub[[setting]:[setting]],0), MATCH(AI$277, lmic_raw_ub[#Headers],0))=0, INDEX(regions_ub[], MATCH($D341, regions_ub[[setting]:[setting]],0), MATCH(AI$139, regions_ub[#Headers],0)),INDEX(lmic_raw_ub[],MATCH($A341,lmic_raw_ub[[setting]:[setting]],0), MATCH(AI$277, lmic_raw_ub[#Headers],0)))</f>
        <v>1.6166537677029858E-3</v>
      </c>
      <c r="AJ341" s="84">
        <f>IF(INDEX(lmic_raw_ub[],MATCH($A341,lmic_raw_ub[[setting]:[setting]],0), MATCH(AJ$277, lmic_raw_ub[#Headers],0))=0, INDEX(regions_ub[], MATCH($D341, regions_ub[[setting]:[setting]],0), MATCH(AJ$139, regions_ub[#Headers],0)),INDEX(lmic_raw_ub[],MATCH($A341,lmic_raw_ub[[setting]:[setting]],0), MATCH(AJ$277, lmic_raw_ub[#Headers],0)))</f>
        <v>1.8361111788017307E-3</v>
      </c>
      <c r="AK341" s="84">
        <f>IF(INDEX(lmic_raw_ub[],MATCH($A341,lmic_raw_ub[[setting]:[setting]],0), MATCH(AK$277, lmic_raw_ub[#Headers],0))=0, INDEX(regions_ub[], MATCH($D341, regions_ub[[setting]:[setting]],0), MATCH(AK$139, regions_ub[#Headers],0)),INDEX(lmic_raw_ub[],MATCH($A341,lmic_raw_ub[[setting]:[setting]],0), MATCH(AK$277, lmic_raw_ub[#Headers],0)))</f>
        <v>2.1172400377942368E-3</v>
      </c>
      <c r="AL341" s="84">
        <f>IF(INDEX(lmic_raw_ub[],MATCH($A341,lmic_raw_ub[[setting]:[setting]],0), MATCH(AL$277, lmic_raw_ub[#Headers],0))=0, INDEX(regions_ub[], MATCH($D341, regions_ub[[setting]:[setting]],0), MATCH(AL$139, regions_ub[#Headers],0)),INDEX(lmic_raw_ub[],MATCH($A341,lmic_raw_ub[[setting]:[setting]],0), MATCH(AL$277, lmic_raw_ub[#Headers],0)))</f>
        <v>2.5719810651282891E-3</v>
      </c>
      <c r="AM341" s="84">
        <f>IF(INDEX(lmic_raw_ub[],MATCH($A341,lmic_raw_ub[[setting]:[setting]],0), MATCH(AM$277, lmic_raw_ub[#Headers],0))=0, INDEX(regions_ub[], MATCH($D341, regions_ub[[setting]:[setting]],0), MATCH(AM$139, regions_ub[#Headers],0)),INDEX(lmic_raw_ub[],MATCH($A341,lmic_raw_ub[[setting]:[setting]],0), MATCH(AM$277, lmic_raw_ub[#Headers],0)))</f>
        <v>3.5103247017580666E-3</v>
      </c>
      <c r="AN341" s="84">
        <f>IF(INDEX(lmic_raw_ub[],MATCH($A341,lmic_raw_ub[[setting]:[setting]],0), MATCH(AN$277, lmic_raw_ub[#Headers],0))=0, INDEX(regions_ub[], MATCH($D341, regions_ub[[setting]:[setting]],0), MATCH(AN$139, regions_ub[#Headers],0)),INDEX(lmic_raw_ub[],MATCH($A341,lmic_raw_ub[[setting]:[setting]],0), MATCH(AN$277, lmic_raw_ub[#Headers],0)))</f>
        <v>5.0374676525030866E-3</v>
      </c>
      <c r="AO341" s="84">
        <f>IF(INDEX(lmic_raw_ub[],MATCH($A341,lmic_raw_ub[[setting]:[setting]],0), MATCH(AO$277, lmic_raw_ub[#Headers],0))=0, INDEX(regions_ub[], MATCH($D341, regions_ub[[setting]:[setting]],0), MATCH(AO$139, regions_ub[#Headers],0)),INDEX(lmic_raw_ub[],MATCH($A341,lmic_raw_ub[[setting]:[setting]],0), MATCH(AO$277, lmic_raw_ub[#Headers],0)))</f>
        <v>1.0165478279454193E-2</v>
      </c>
      <c r="AP341" s="84">
        <f>IF(INDEX(lmic_raw_ub[],MATCH($A341,lmic_raw_ub[[setting]:[setting]],0), MATCH(AP$277, lmic_raw_ub[#Headers],0))=0, INDEX(regions_ub[], MATCH($D341, regions_ub[[setting]:[setting]],0), MATCH(AP$139, regions_ub[#Headers],0)),INDEX(lmic_raw_ub[],MATCH($A341,lmic_raw_ub[[setting]:[setting]],0), MATCH(AP$277, lmic_raw_ub[#Headers],0)))</f>
        <v>2.0790417589432605E-2</v>
      </c>
      <c r="AQ341" s="84">
        <f>IF(INDEX(lmic_raw_ub[],MATCH($A341,lmic_raw_ub[[setting]:[setting]],0), MATCH(AQ$277, lmic_raw_ub[#Headers],0))=0, INDEX(regions_ub[], MATCH($D341, regions_ub[[setting]:[setting]],0), MATCH(AQ$139, regions_ub[#Headers],0)),INDEX(lmic_raw_ub[],MATCH($A341,lmic_raw_ub[[setting]:[setting]],0), MATCH(AQ$277, lmic_raw_ub[#Headers],0)))</f>
        <v>3.0309721623997924E-2</v>
      </c>
      <c r="AR341" s="84">
        <f>IF(INDEX(lmic_raw_ub[],MATCH($A341,lmic_raw_ub[[setting]:[setting]],0), MATCH(AR$277, lmic_raw_ub[#Headers],0))=0, INDEX(regions_ub[], MATCH($D341, regions_ub[[setting]:[setting]],0), MATCH(AR$139, regions_ub[#Headers],0)),INDEX(lmic_raw_ub[],MATCH($A341,lmic_raw_ub[[setting]:[setting]],0), MATCH(AR$277, lmic_raw_ub[#Headers],0)))</f>
        <v>4.2492055300424152E-2</v>
      </c>
      <c r="AS341" s="84">
        <f>IF(INDEX(lmic_raw_ub[],MATCH($A341,lmic_raw_ub[[setting]:[setting]],0), MATCH(AS$277, lmic_raw_ub[#Headers],0))=0, INDEX(regions_ub[], MATCH($D341, regions_ub[[setting]:[setting]],0), MATCH(AS$139, regions_ub[#Headers],0)),INDEX(lmic_raw_ub[],MATCH($A341,lmic_raw_ub[[setting]:[setting]],0), MATCH(AS$277, lmic_raw_ub[#Headers],0)))</f>
        <v>6.61876684910776E-2</v>
      </c>
      <c r="AT341" s="84">
        <f>IF(INDEX(lmic_raw_ub[],MATCH($A341,lmic_raw_ub[[setting]:[setting]],0), MATCH(AT$277, lmic_raw_ub[#Headers],0))=0, INDEX(regions_ub[], MATCH($D341, regions_ub[[setting]:[setting]],0), MATCH(AT$139, regions_ub[#Headers],0)),INDEX(lmic_raw_ub[],MATCH($A341,lmic_raw_ub[[setting]:[setting]],0), MATCH(AT$277, lmic_raw_ub[#Headers],0)))</f>
        <v>9.2448918733457508E-2</v>
      </c>
      <c r="AU341" s="84">
        <f>IF(INDEX(lmic_raw_ub[],MATCH($A341,lmic_raw_ub[[setting]:[setting]],0), MATCH(AU$277, lmic_raw_ub[#Headers],0))=0, INDEX(regions_ub[], MATCH($D341, regions_ub[[setting]:[setting]],0), MATCH(AU$139, regions_ub[#Headers],0)),INDEX(lmic_raw_ub[],MATCH($A341,lmic_raw_ub[[setting]:[setting]],0), MATCH(AU$277, lmic_raw_ub[#Headers],0)))</f>
        <v>0.12486299875365534</v>
      </c>
      <c r="AV341" s="84">
        <f>IF(INDEX(lmic_raw_ub[],MATCH($A341,lmic_raw_ub[[setting]:[setting]],0), MATCH(AV$277, lmic_raw_ub[#Headers],0))=0, INDEX(regions_ub[], MATCH($D341, regions_ub[[setting]:[setting]],0), MATCH(AV$139, regions_ub[#Headers],0)),INDEX(lmic_raw_ub[],MATCH($A341,lmic_raw_ub[[setting]:[setting]],0), MATCH(AV$277, lmic_raw_ub[#Headers],0)))</f>
        <v>0.15593217190328482</v>
      </c>
      <c r="AW341" s="84">
        <f>IF(INDEX(lmic_raw_ub[],MATCH($A341,lmic_raw_ub[[setting]:[setting]],0), MATCH(AW$277, lmic_raw_ub[#Headers],0))=0, INDEX(regions_ub[], MATCH($D341, regions_ub[[setting]:[setting]],0), MATCH(AW$139, regions_ub[#Headers],0)),INDEX(lmic_raw_ub[],MATCH($A341,lmic_raw_ub[[setting]:[setting]],0), MATCH(AW$277, lmic_raw_ub[#Headers],0)))</f>
        <v>0.17882326697259843</v>
      </c>
      <c r="AX341" s="84">
        <f>IF(INDEX(lmic_raw_ub[],MATCH($A341,lmic_raw_ub[[setting]:[setting]],0), MATCH(AX$277, lmic_raw_ub[#Headers],0))=0, INDEX(regions_ub[], MATCH($D341, regions_ub[[setting]:[setting]],0), MATCH(AX$139, regions_ub[#Headers],0)),INDEX(lmic_raw_ub[],MATCH($A341,lmic_raw_ub[[setting]:[setting]],0), MATCH(AX$277, lmic_raw_ub[#Headers],0)))</f>
        <v>75.562200000000004</v>
      </c>
      <c r="AY341" s="33" t="str">
        <f>IF(VLOOKUP(lmics_ub[[#This Row],[setting]],lmic_raw_ub[],11,FALSE)=0, "Yes", "No")</f>
        <v>No</v>
      </c>
    </row>
    <row r="342" spans="1:51" x14ac:dyDescent="0.25">
      <c r="A342" s="82" t="s">
        <v>186</v>
      </c>
      <c r="B342" s="101" t="s">
        <v>453</v>
      </c>
      <c r="C342" s="102">
        <v>417</v>
      </c>
      <c r="D342" s="82" t="s">
        <v>675</v>
      </c>
      <c r="E342" s="82" t="s">
        <v>184</v>
      </c>
      <c r="F342" s="82" t="s">
        <v>663</v>
      </c>
      <c r="G342" s="82" t="s">
        <v>678</v>
      </c>
      <c r="J342" s="84">
        <f>IF(INDEX(lmic_raw_ub[],MATCH($A342,lmic_raw_ub[[setting]:[setting]],0), MATCH(J$277, lmic_raw_ub[#Headers],0))=0, INDEX(regions_ub[], MATCH($D342, regions_ub[[setting]:[setting]],0), MATCH(J$139, regions_ub[#Headers],0)),INDEX(lmic_raw_ub[],MATCH($A342,lmic_raw_ub[[setting]:[setting]],0), MATCH(J$277, lmic_raw_ub[#Headers],0)))</f>
        <v>0.99990000000000001</v>
      </c>
      <c r="K342" s="84">
        <f>IF(INDEX(lmic_raw_ub[],MATCH($A342,lmic_raw_ub[[setting]:[setting]],0), MATCH(K$277, lmic_raw_ub[#Headers],0))=0, INDEX(regions_ub[], MATCH($D342, regions_ub[[setting]:[setting]],0), MATCH(K$139, regions_ub[#Headers],0)),INDEX(lmic_raw_ub[],MATCH($A342,lmic_raw_ub[[setting]:[setting]],0), MATCH(K$277, lmic_raw_ub[#Headers],0)))</f>
        <v>0.99990000000000001</v>
      </c>
      <c r="L342" s="84">
        <f>IF(INDEX(lmic_raw_ub[],MATCH($A342,lmic_raw_ub[[setting]:[setting]],0), MATCH(L$277, lmic_raw_ub[#Headers],0))=0, INDEX(regions_ub[], MATCH($D342, regions_ub[[setting]:[setting]],0), MATCH(L$139, regions_ub[#Headers],0)),INDEX(lmic_raw_ub[],MATCH($A342,lmic_raw_ub[[setting]:[setting]],0), MATCH(L$277, lmic_raw_ub[#Headers],0)))</f>
        <v>0.99749999999999994</v>
      </c>
      <c r="M342" s="84">
        <f>IF(INDEX(lmic_raw_ub[],MATCH($A342,lmic_raw_ub[[setting]:[setting]],0), MATCH(M$277, lmic_raw_ub[#Headers],0))=0, INDEX(regions_ub[], MATCH($D342, regions_ub[[setting]:[setting]],0), MATCH(M$139, regions_ub[#Headers],0)),INDEX(lmic_raw_ub[],MATCH($A342,lmic_raw_ub[[setting]:[setting]],0), MATCH(M$277, lmic_raw_ub[#Headers],0)))</f>
        <v>0.1981</v>
      </c>
      <c r="N342" s="84">
        <f>IF(INDEX(lmic_raw_ub[],MATCH($A342,lmic_raw_ub[[setting]:[setting]],0), MATCH(N$277, lmic_raw_ub[#Headers],0))=0, INDEX(regions_ub[], MATCH($D342, regions_ub[[setting]:[setting]],0), MATCH(N$139, regions_ub[#Headers],0)),INDEX(lmic_raw_ub[],MATCH($A342,lmic_raw_ub[[setting]:[setting]],0), MATCH(N$277, lmic_raw_ub[#Headers],0)))</f>
        <v>0.43079999999999996</v>
      </c>
      <c r="O342" s="84">
        <f>IF(INDEX(lmic_raw_ub[],MATCH($A342,lmic_raw_ub[[setting]:[setting]],0), MATCH(O$277, lmic_raw_ub[#Headers],0))=0, INDEX(regions_ub[], MATCH($D342, regions_ub[[setting]:[setting]],0), MATCH(O$139, regions_ub[#Headers],0)),INDEX(lmic_raw_ub[],MATCH($A342,lmic_raw_ub[[setting]:[setting]],0), MATCH(O$277, lmic_raw_ub[#Headers],0)))</f>
        <v>0.9</v>
      </c>
      <c r="P342" s="84">
        <f>IF(INDEX(lmic_raw_ub[],MATCH($A342,lmic_raw_ub[[setting]:[setting]],0), MATCH(P$277, lmic_raw_ub[#Headers],0))=0, INDEX(regions_ub[], MATCH($D342, regions_ub[[setting]:[setting]],0), MATCH(P$139, regions_ub[#Headers],0)),INDEX(lmic_raw_ub[],MATCH($A342,lmic_raw_ub[[setting]:[setting]],0), MATCH(P$277, lmic_raw_ub[#Headers],0)))</f>
        <v>0.3</v>
      </c>
      <c r="Q342" s="84">
        <f>IF(INDEX(lmic_raw_ub[],MATCH($A342,lmic_raw_ub[[setting]:[setting]],0), MATCH(Q$277, lmic_raw_ub[#Headers],0))=0, INDEX(regions_ub[], MATCH($D342, regions_ub[[setting]:[setting]],0), MATCH(Q$139, regions_ub[#Headers],0)),INDEX(lmic_raw_ub[],MATCH($A342,lmic_raw_ub[[setting]:[setting]],0), MATCH(Q$277, lmic_raw_ub[#Headers],0)))</f>
        <v>3.4516900823264258</v>
      </c>
      <c r="R342" s="84">
        <f>IF(INDEX(lmic_raw_ub[],MATCH($A342,lmic_raw_ub[[setting]:[setting]],0), MATCH(R$277, lmic_raw_ub[#Headers],0))=0, INDEX(regions_ub[], MATCH($D342, regions_ub[[setting]:[setting]],0), MATCH(R$139, regions_ub[#Headers],0)),INDEX(lmic_raw_ub[],MATCH($A342,lmic_raw_ub[[setting]:[setting]],0), MATCH(R$277, lmic_raw_ub[#Headers],0)))</f>
        <v>46.76427000000001</v>
      </c>
      <c r="S342" s="84">
        <f>IF(INDEX(lmic_raw_ub[],MATCH($A342,lmic_raw_ub[[setting]:[setting]],0), MATCH(S$277, lmic_raw_ub[#Headers],0))=0, INDEX(regions_ub[], MATCH($D342, regions_ub[[setting]:[setting]],0), MATCH(S$139, regions_ub[#Headers],0)),INDEX(lmic_raw_ub[],MATCH($A342,lmic_raw_ub[[setting]:[setting]],0), MATCH(S$277, lmic_raw_ub[#Headers],0)))</f>
        <v>96.893370000000019</v>
      </c>
      <c r="T342" s="84">
        <f>IF(INDEX(lmic_raw_ub[],MATCH($A342,lmic_raw_ub[[setting]:[setting]],0), MATCH(T$277, lmic_raw_ub[#Headers],0))=0, INDEX(regions_ub[], MATCH($D342, regions_ub[[setting]:[setting]],0), MATCH(T$139, regions_ub[#Headers],0)),INDEX(lmic_raw_ub[],MATCH($A342,lmic_raw_ub[[setting]:[setting]],0), MATCH(T$277, lmic_raw_ub[#Headers],0)))</f>
        <v>96.893370000000019</v>
      </c>
      <c r="U342" s="84">
        <f>IF(INDEX(lmic_raw_ub[],MATCH($A342,lmic_raw_ub[[setting]:[setting]],0), MATCH(U$277, lmic_raw_ub[#Headers],0))=0, INDEX(regions_ub[], MATCH($D342, regions_ub[[setting]:[setting]],0), MATCH(U$139, regions_ub[#Headers],0)),INDEX(lmic_raw_ub[],MATCH($A342,lmic_raw_ub[[setting]:[setting]],0), MATCH(U$277, lmic_raw_ub[#Headers],0)))</f>
        <v>96.893370000000019</v>
      </c>
      <c r="V342" s="84">
        <f>IF(INDEX(lmic_raw_ub[],MATCH($A342,lmic_raw_ub[[setting]:[setting]],0), MATCH(V$277, lmic_raw_ub[#Headers],0))=0, INDEX(regions_ub[], MATCH($D342, regions_ub[[setting]:[setting]],0), MATCH(V$139, regions_ub[#Headers],0)),INDEX(lmic_raw_ub[],MATCH($A342,lmic_raw_ub[[setting]:[setting]],0), MATCH(V$277, lmic_raw_ub[#Headers],0)))</f>
        <v>7.8083370670438432</v>
      </c>
      <c r="W342" s="84">
        <f>IF(INDEX(lmic_raw_ub[],MATCH($A342,lmic_raw_ub[[setting]:[setting]],0), MATCH(W$277, lmic_raw_ub[#Headers],0))=0, INDEX(regions_ub[], MATCH($D342, regions_ub[[setting]:[setting]],0), MATCH(W$139, regions_ub[#Headers],0)),INDEX(lmic_raw_ub[],MATCH($A342,lmic_raw_ub[[setting]:[setting]],0), MATCH(W$277, lmic_raw_ub[#Headers],0)))</f>
        <v>12.077322067043845</v>
      </c>
      <c r="X342" s="84">
        <f>IF(INDEX(lmic_raw_ub[],MATCH($A342,lmic_raw_ub[[setting]:[setting]],0), MATCH(X$277, lmic_raw_ub[#Headers],0))=0, INDEX(regions_ub[], MATCH($D342, regions_ub[[setting]:[setting]],0), MATCH(X$139, regions_ub[#Headers],0)),INDEX(lmic_raw_ub[],MATCH($A342,lmic_raw_ub[[setting]:[setting]],0), MATCH(X$277, lmic_raw_ub[#Headers],0)))</f>
        <v>7.3103602676348736</v>
      </c>
      <c r="Y342" s="84">
        <f>IF(INDEX(lmic_raw_ub[],MATCH($A342,lmic_raw_ub[[setting]:[setting]],0), MATCH(Y$277, lmic_raw_ub[#Headers],0))=0, INDEX(regions_ub[], MATCH($D342, regions_ub[[setting]:[setting]],0), MATCH(Y$139, regions_ub[#Headers],0)),INDEX(lmic_raw_ub[],MATCH($A342,lmic_raw_ub[[setting]:[setting]],0), MATCH(Y$277, lmic_raw_ub[#Headers],0)))</f>
        <v>11.579345267634874</v>
      </c>
      <c r="Z342" s="84">
        <f>IF(INDEX(lmic_raw_ub[],MATCH($A342,lmic_raw_ub[[setting]:[setting]],0), MATCH(Z$277, lmic_raw_ub[#Headers],0))=0, INDEX(regions_ub[], MATCH($D342, regions_ub[[setting]:[setting]],0), MATCH(Z$139, regions_ub[#Headers],0)),INDEX(lmic_raw_ub[],MATCH($A342,lmic_raw_ub[[setting]:[setting]],0), MATCH(Z$277, lmic_raw_ub[#Headers],0)))</f>
        <v>11.571084207345596</v>
      </c>
      <c r="AA342" s="84">
        <f>IF(INDEX(lmic_raw_ub[],MATCH($A342,lmic_raw_ub[[setting]:[setting]],0), MATCH(AA$277, lmic_raw_ub[#Headers],0))=0, INDEX(regions_ub[], MATCH($D342, regions_ub[[setting]:[setting]],0), MATCH(AA$139, regions_ub[#Headers],0)),INDEX(lmic_raw_ub[],MATCH($A342,lmic_raw_ub[[setting]:[setting]],0), MATCH(AA$277, lmic_raw_ub[#Headers],0)))</f>
        <v>8.0774491902405074</v>
      </c>
      <c r="AB342" s="84">
        <f>IF(INDEX(lmic_raw_ub[],MATCH($A342,lmic_raw_ub[[setting]:[setting]],0), MATCH(AB$277, lmic_raw_ub[#Headers],0))=0, INDEX(regions_ub[], MATCH($D342, regions_ub[[setting]:[setting]],0), MATCH(AB$139, regions_ub[#Headers],0)),INDEX(lmic_raw_ub[],MATCH($A342,lmic_raw_ub[[setting]:[setting]],0), MATCH(AB$277, lmic_raw_ub[#Headers],0)))</f>
        <v>12.346434190240508</v>
      </c>
      <c r="AC342" s="84">
        <f>IF(INDEX(lmic_raw_ub[],MATCH($A342,lmic_raw_ub[[setting]:[setting]],0), MATCH(AC$277, lmic_raw_ub[#Headers],0))=0, INDEX(regions_ub[], MATCH($D342, regions_ub[[setting]:[setting]],0), MATCH(AC$139, regions_ub[#Headers],0)),INDEX(lmic_raw_ub[],MATCH($A342,lmic_raw_ub[[setting]:[setting]],0), MATCH(AC$277, lmic_raw_ub[#Headers],0)))</f>
        <v>1.628155199999996E-2</v>
      </c>
      <c r="AD342" s="84">
        <f>IF(INDEX(lmic_raw_ub[],MATCH($A342,lmic_raw_ub[[setting]:[setting]],0), MATCH(AD$277, lmic_raw_ub[#Headers],0))=0, INDEX(regions_ub[], MATCH($D342, regions_ub[[setting]:[setting]],0), MATCH(AD$139, regions_ub[#Headers],0)),INDEX(lmic_raw_ub[],MATCH($A342,lmic_raw_ub[[setting]:[setting]],0), MATCH(AD$277, lmic_raw_ub[#Headers],0)))</f>
        <v>7.5270119030517336E-4</v>
      </c>
      <c r="AE342" s="84">
        <f>IF(INDEX(lmic_raw_ub[],MATCH($A342,lmic_raw_ub[[setting]:[setting]],0), MATCH(AE$277, lmic_raw_ub[#Headers],0))=0, INDEX(regions_ub[], MATCH($D342, regions_ub[[setting]:[setting]],0), MATCH(AE$139, regions_ub[#Headers],0)),INDEX(lmic_raw_ub[],MATCH($A342,lmic_raw_ub[[setting]:[setting]],0), MATCH(AE$277, lmic_raw_ub[#Headers],0)))</f>
        <v>3.1539870917416285E-4</v>
      </c>
      <c r="AF342" s="84">
        <f>IF(INDEX(lmic_raw_ub[],MATCH($A342,lmic_raw_ub[[setting]:[setting]],0), MATCH(AF$277, lmic_raw_ub[#Headers],0))=0, INDEX(regions_ub[], MATCH($D342, regions_ub[[setting]:[setting]],0), MATCH(AF$139, regions_ub[#Headers],0)),INDEX(lmic_raw_ub[],MATCH($A342,lmic_raw_ub[[setting]:[setting]],0), MATCH(AF$277, lmic_raw_ub[#Headers],0)))</f>
        <v>3.7906402473904309E-4</v>
      </c>
      <c r="AG342" s="84">
        <f>IF(INDEX(lmic_raw_ub[],MATCH($A342,lmic_raw_ub[[setting]:[setting]],0), MATCH(AG$277, lmic_raw_ub[#Headers],0))=0, INDEX(regions_ub[], MATCH($D342, regions_ub[[setting]:[setting]],0), MATCH(AG$139, regions_ub[#Headers],0)),INDEX(lmic_raw_ub[],MATCH($A342,lmic_raw_ub[[setting]:[setting]],0), MATCH(AG$277, lmic_raw_ub[#Headers],0)))</f>
        <v>5.9505577881071193E-4</v>
      </c>
      <c r="AH342" s="84">
        <f>IF(INDEX(lmic_raw_ub[],MATCH($A342,lmic_raw_ub[[setting]:[setting]],0), MATCH(AH$277, lmic_raw_ub[#Headers],0))=0, INDEX(regions_ub[], MATCH($D342, regions_ub[[setting]:[setting]],0), MATCH(AH$139, regions_ub[#Headers],0)),INDEX(lmic_raw_ub[],MATCH($A342,lmic_raw_ub[[setting]:[setting]],0), MATCH(AH$277, lmic_raw_ub[#Headers],0)))</f>
        <v>8.122687840880678E-4</v>
      </c>
      <c r="AI342" s="84">
        <f>IF(INDEX(lmic_raw_ub[],MATCH($A342,lmic_raw_ub[[setting]:[setting]],0), MATCH(AI$277, lmic_raw_ub[#Headers],0))=0, INDEX(regions_ub[], MATCH($D342, regions_ub[[setting]:[setting]],0), MATCH(AI$139, regions_ub[#Headers],0)),INDEX(lmic_raw_ub[],MATCH($A342,lmic_raw_ub[[setting]:[setting]],0), MATCH(AI$277, lmic_raw_ub[#Headers],0)))</f>
        <v>1.0432618360573728E-3</v>
      </c>
      <c r="AJ342" s="84">
        <f>IF(INDEX(lmic_raw_ub[],MATCH($A342,lmic_raw_ub[[setting]:[setting]],0), MATCH(AJ$277, lmic_raw_ub[#Headers],0))=0, INDEX(regions_ub[], MATCH($D342, regions_ub[[setting]:[setting]],0), MATCH(AJ$139, regions_ub[#Headers],0)),INDEX(lmic_raw_ub[],MATCH($A342,lmic_raw_ub[[setting]:[setting]],0), MATCH(AJ$277, lmic_raw_ub[#Headers],0)))</f>
        <v>1.674449300654941E-3</v>
      </c>
      <c r="AK342" s="84">
        <f>IF(INDEX(lmic_raw_ub[],MATCH($A342,lmic_raw_ub[[setting]:[setting]],0), MATCH(AK$277, lmic_raw_ub[#Headers],0))=0, INDEX(regions_ub[], MATCH($D342, regions_ub[[setting]:[setting]],0), MATCH(AK$139, regions_ub[#Headers],0)),INDEX(lmic_raw_ub[],MATCH($A342,lmic_raw_ub[[setting]:[setting]],0), MATCH(AK$277, lmic_raw_ub[#Headers],0)))</f>
        <v>2.4927663683402428E-3</v>
      </c>
      <c r="AL342" s="84">
        <f>IF(INDEX(lmic_raw_ub[],MATCH($A342,lmic_raw_ub[[setting]:[setting]],0), MATCH(AL$277, lmic_raw_ub[#Headers],0))=0, INDEX(regions_ub[], MATCH($D342, regions_ub[[setting]:[setting]],0), MATCH(AL$139, regions_ub[#Headers],0)),INDEX(lmic_raw_ub[],MATCH($A342,lmic_raw_ub[[setting]:[setting]],0), MATCH(AL$277, lmic_raw_ub[#Headers],0)))</f>
        <v>3.7826620251478855E-3</v>
      </c>
      <c r="AM342" s="84">
        <f>IF(INDEX(lmic_raw_ub[],MATCH($A342,lmic_raw_ub[[setting]:[setting]],0), MATCH(AM$277, lmic_raw_ub[#Headers],0))=0, INDEX(regions_ub[], MATCH($D342, regions_ub[[setting]:[setting]],0), MATCH(AM$139, regions_ub[#Headers],0)),INDEX(lmic_raw_ub[],MATCH($A342,lmic_raw_ub[[setting]:[setting]],0), MATCH(AM$277, lmic_raw_ub[#Headers],0)))</f>
        <v>5.2646878693317425E-3</v>
      </c>
      <c r="AN342" s="84">
        <f>IF(INDEX(lmic_raw_ub[],MATCH($A342,lmic_raw_ub[[setting]:[setting]],0), MATCH(AN$277, lmic_raw_ub[#Headers],0))=0, INDEX(regions_ub[], MATCH($D342, regions_ub[[setting]:[setting]],0), MATCH(AN$139, regions_ub[#Headers],0)),INDEX(lmic_raw_ub[],MATCH($A342,lmic_raw_ub[[setting]:[setting]],0), MATCH(AN$277, lmic_raw_ub[#Headers],0)))</f>
        <v>7.5888189658171144E-3</v>
      </c>
      <c r="AO342" s="84">
        <f>IF(INDEX(lmic_raw_ub[],MATCH($A342,lmic_raw_ub[[setting]:[setting]],0), MATCH(AO$277, lmic_raw_ub[#Headers],0))=0, INDEX(regions_ub[], MATCH($D342, regions_ub[[setting]:[setting]],0), MATCH(AO$139, regions_ub[#Headers],0)),INDEX(lmic_raw_ub[],MATCH($A342,lmic_raw_ub[[setting]:[setting]],0), MATCH(AO$277, lmic_raw_ub[#Headers],0)))</f>
        <v>1.111764474285647E-2</v>
      </c>
      <c r="AP342" s="84">
        <f>IF(INDEX(lmic_raw_ub[],MATCH($A342,lmic_raw_ub[[setting]:[setting]],0), MATCH(AP$277, lmic_raw_ub[#Headers],0))=0, INDEX(regions_ub[], MATCH($D342, regions_ub[[setting]:[setting]],0), MATCH(AP$139, regions_ub[#Headers],0)),INDEX(lmic_raw_ub[],MATCH($A342,lmic_raw_ub[[setting]:[setting]],0), MATCH(AP$277, lmic_raw_ub[#Headers],0)))</f>
        <v>1.753368921691811E-2</v>
      </c>
      <c r="AQ342" s="84">
        <f>IF(INDEX(lmic_raw_ub[],MATCH($A342,lmic_raw_ub[[setting]:[setting]],0), MATCH(AQ$277, lmic_raw_ub[#Headers],0))=0, INDEX(regions_ub[], MATCH($D342, regions_ub[[setting]:[setting]],0), MATCH(AQ$139, regions_ub[#Headers],0)),INDEX(lmic_raw_ub[],MATCH($A342,lmic_raw_ub[[setting]:[setting]],0), MATCH(AQ$277, lmic_raw_ub[#Headers],0)))</f>
        <v>2.5457327373950098E-2</v>
      </c>
      <c r="AR342" s="84">
        <f>IF(INDEX(lmic_raw_ub[],MATCH($A342,lmic_raw_ub[[setting]:[setting]],0), MATCH(AR$277, lmic_raw_ub[#Headers],0))=0, INDEX(regions_ub[], MATCH($D342, regions_ub[[setting]:[setting]],0), MATCH(AR$139, regions_ub[#Headers],0)),INDEX(lmic_raw_ub[],MATCH($A342,lmic_raw_ub[[setting]:[setting]],0), MATCH(AR$277, lmic_raw_ub[#Headers],0)))</f>
        <v>5.1205562214903702E-2</v>
      </c>
      <c r="AS342" s="84">
        <f>IF(INDEX(lmic_raw_ub[],MATCH($A342,lmic_raw_ub[[setting]:[setting]],0), MATCH(AS$277, lmic_raw_ub[#Headers],0))=0, INDEX(regions_ub[], MATCH($D342, regions_ub[[setting]:[setting]],0), MATCH(AS$139, regions_ub[#Headers],0)),INDEX(lmic_raw_ub[],MATCH($A342,lmic_raw_ub[[setting]:[setting]],0), MATCH(AS$277, lmic_raw_ub[#Headers],0)))</f>
        <v>8.6698002377892214E-2</v>
      </c>
      <c r="AT342" s="84">
        <f>IF(INDEX(lmic_raw_ub[],MATCH($A342,lmic_raw_ub[[setting]:[setting]],0), MATCH(AT$277, lmic_raw_ub[#Headers],0))=0, INDEX(regions_ub[], MATCH($D342, regions_ub[[setting]:[setting]],0), MATCH(AT$139, regions_ub[#Headers],0)),INDEX(lmic_raw_ub[],MATCH($A342,lmic_raw_ub[[setting]:[setting]],0), MATCH(AT$277, lmic_raw_ub[#Headers],0)))</f>
        <v>0.11178643556031874</v>
      </c>
      <c r="AU342" s="84">
        <f>IF(INDEX(lmic_raw_ub[],MATCH($A342,lmic_raw_ub[[setting]:[setting]],0), MATCH(AU$277, lmic_raw_ub[#Headers],0))=0, INDEX(regions_ub[], MATCH($D342, regions_ub[[setting]:[setting]],0), MATCH(AU$139, regions_ub[#Headers],0)),INDEX(lmic_raw_ub[],MATCH($A342,lmic_raw_ub[[setting]:[setting]],0), MATCH(AU$277, lmic_raw_ub[#Headers],0)))</f>
        <v>0.13259937524973842</v>
      </c>
      <c r="AV342" s="84">
        <f>IF(INDEX(lmic_raw_ub[],MATCH($A342,lmic_raw_ub[[setting]:[setting]],0), MATCH(AV$277, lmic_raw_ub[#Headers],0))=0, INDEX(regions_ub[], MATCH($D342, regions_ub[[setting]:[setting]],0), MATCH(AV$139, regions_ub[#Headers],0)),INDEX(lmic_raw_ub[],MATCH($A342,lmic_raw_ub[[setting]:[setting]],0), MATCH(AV$277, lmic_raw_ub[#Headers],0)))</f>
        <v>0.1485332001961612</v>
      </c>
      <c r="AW342" s="84">
        <f>IF(INDEX(lmic_raw_ub[],MATCH($A342,lmic_raw_ub[[setting]:[setting]],0), MATCH(AW$277, lmic_raw_ub[#Headers],0))=0, INDEX(regions_ub[], MATCH($D342, regions_ub[[setting]:[setting]],0), MATCH(AW$139, regions_ub[#Headers],0)),INDEX(lmic_raw_ub[],MATCH($A342,lmic_raw_ub[[setting]:[setting]],0), MATCH(AW$277, lmic_raw_ub[#Headers],0)))</f>
        <v>0.16686400871486226</v>
      </c>
      <c r="AX342" s="84">
        <f>IF(INDEX(lmic_raw_ub[],MATCH($A342,lmic_raw_ub[[setting]:[setting]],0), MATCH(AX$277, lmic_raw_ub[#Headers],0))=0, INDEX(regions_ub[], MATCH($D342, regions_ub[[setting]:[setting]],0), MATCH(AX$139, regions_ub[#Headers],0)),INDEX(lmic_raw_ub[],MATCH($A342,lmic_raw_ub[[setting]:[setting]],0), MATCH(AX$277, lmic_raw_ub[#Headers],0)))</f>
        <v>74.741100000000003</v>
      </c>
      <c r="AY342" s="33" t="str">
        <f>IF(VLOOKUP(lmics_ub[[#This Row],[setting]],lmic_raw_ub[],11,FALSE)=0, "Yes", "No")</f>
        <v>No</v>
      </c>
    </row>
    <row r="343" spans="1:51" x14ac:dyDescent="0.25">
      <c r="A343" s="82" t="s">
        <v>628</v>
      </c>
      <c r="B343" s="104" t="s">
        <v>454</v>
      </c>
      <c r="C343" s="105">
        <v>418</v>
      </c>
      <c r="D343" s="84" t="s">
        <v>681</v>
      </c>
      <c r="E343" s="84" t="s">
        <v>598</v>
      </c>
      <c r="F343" s="84" t="s">
        <v>666</v>
      </c>
      <c r="G343" s="84" t="s">
        <v>678</v>
      </c>
      <c r="J343" s="84">
        <f>IF(INDEX(lmic_raw_ub[],MATCH($A343,lmic_raw_ub[[setting]:[setting]],0), MATCH(J$277, lmic_raw_ub[#Headers],0))=0, INDEX(regions_ub[], MATCH($D343, regions_ub[[setting]:[setting]],0), MATCH(J$139, regions_ub[#Headers],0)),INDEX(lmic_raw_ub[],MATCH($A343,lmic_raw_ub[[setting]:[setting]],0), MATCH(J$277, lmic_raw_ub[#Headers],0)))</f>
        <v>0.67725000000000002</v>
      </c>
      <c r="K343" s="84">
        <f>IF(INDEX(lmic_raw_ub[],MATCH($A343,lmic_raw_ub[[setting]:[setting]],0), MATCH(K$277, lmic_raw_ub[#Headers],0))=0, INDEX(regions_ub[], MATCH($D343, regions_ub[[setting]:[setting]],0), MATCH(K$139, regions_ub[#Headers],0)),INDEX(lmic_raw_ub[],MATCH($A343,lmic_raw_ub[[setting]:[setting]],0), MATCH(K$277, lmic_raw_ub[#Headers],0)))</f>
        <v>0.57750000000000012</v>
      </c>
      <c r="L343" s="84">
        <f>IF(INDEX(lmic_raw_ub[],MATCH($A343,lmic_raw_ub[[setting]:[setting]],0), MATCH(L$277, lmic_raw_ub[#Headers],0))=0, INDEX(regions_ub[], MATCH($D343, regions_ub[[setting]:[setting]],0), MATCH(L$139, regions_ub[#Headers],0)),INDEX(lmic_raw_ub[],MATCH($A343,lmic_raw_ub[[setting]:[setting]],0), MATCH(L$277, lmic_raw_ub[#Headers],0)))</f>
        <v>0.71400000000000008</v>
      </c>
      <c r="M343" s="84">
        <f>IF(INDEX(lmic_raw_ub[],MATCH($A343,lmic_raw_ub[[setting]:[setting]],0), MATCH(M$277, lmic_raw_ub[#Headers],0))=0, INDEX(regions_ub[], MATCH($D343, regions_ub[[setting]:[setting]],0), MATCH(M$139, regions_ub[#Headers],0)),INDEX(lmic_raw_ub[],MATCH($A343,lmic_raw_ub[[setting]:[setting]],0), MATCH(M$277, lmic_raw_ub[#Headers],0)))</f>
        <v>5.9900000000000002E-2</v>
      </c>
      <c r="N343" s="84">
        <f>IF(INDEX(lmic_raw_ub[],MATCH($A343,lmic_raw_ub[[setting]:[setting]],0), MATCH(N$277, lmic_raw_ub[#Headers],0))=0, INDEX(regions_ub[], MATCH($D343, regions_ub[[setting]:[setting]],0), MATCH(N$139, regions_ub[#Headers],0)),INDEX(lmic_raw_ub[],MATCH($A343,lmic_raw_ub[[setting]:[setting]],0), MATCH(N$277, lmic_raw_ub[#Headers],0)))</f>
        <v>0.47729999999999995</v>
      </c>
      <c r="O343" s="84">
        <f>IF(INDEX(lmic_raw_ub[],MATCH($A343,lmic_raw_ub[[setting]:[setting]],0), MATCH(O$277, lmic_raw_ub[#Headers],0))=0, INDEX(regions_ub[], MATCH($D343, regions_ub[[setting]:[setting]],0), MATCH(O$139, regions_ub[#Headers],0)),INDEX(lmic_raw_ub[],MATCH($A343,lmic_raw_ub[[setting]:[setting]],0), MATCH(O$277, lmic_raw_ub[#Headers],0)))</f>
        <v>0.9</v>
      </c>
      <c r="P343" s="84">
        <f>IF(INDEX(lmic_raw_ub[],MATCH($A343,lmic_raw_ub[[setting]:[setting]],0), MATCH(P$277, lmic_raw_ub[#Headers],0))=0, INDEX(regions_ub[], MATCH($D343, regions_ub[[setting]:[setting]],0), MATCH(P$139, regions_ub[#Headers],0)),INDEX(lmic_raw_ub[],MATCH($A343,lmic_raw_ub[[setting]:[setting]],0), MATCH(P$277, lmic_raw_ub[#Headers],0)))</f>
        <v>0.3</v>
      </c>
      <c r="Q343" s="84">
        <f>IF(INDEX(lmic_raw_ub[],MATCH($A343,lmic_raw_ub[[setting]:[setting]],0), MATCH(Q$277, lmic_raw_ub[#Headers],0))=0, INDEX(regions_ub[], MATCH($D343, regions_ub[[setting]:[setting]],0), MATCH(Q$139, regions_ub[#Headers],0)),INDEX(lmic_raw_ub[],MATCH($A343,lmic_raw_ub[[setting]:[setting]],0), MATCH(Q$277, lmic_raw_ub[#Headers],0)))</f>
        <v>7.7263280950343294</v>
      </c>
      <c r="R343" s="84">
        <f>IF(INDEX(lmic_raw_ub[],MATCH($A343,lmic_raw_ub[[setting]:[setting]],0), MATCH(R$277, lmic_raw_ub[#Headers],0))=0, INDEX(regions_ub[], MATCH($D343, regions_ub[[setting]:[setting]],0), MATCH(R$139, regions_ub[#Headers],0)),INDEX(lmic_raw_ub[],MATCH($A343,lmic_raw_ub[[setting]:[setting]],0), MATCH(R$277, lmic_raw_ub[#Headers],0)))</f>
        <v>76.738725000000002</v>
      </c>
      <c r="S343" s="84">
        <f>IF(INDEX(lmic_raw_ub[],MATCH($A343,lmic_raw_ub[[setting]:[setting]],0), MATCH(S$277, lmic_raw_ub[#Headers],0))=0, INDEX(regions_ub[], MATCH($D343, regions_ub[[setting]:[setting]],0), MATCH(S$139, regions_ub[#Headers],0)),INDEX(lmic_raw_ub[],MATCH($A343,lmic_raw_ub[[setting]:[setting]],0), MATCH(S$277, lmic_raw_ub[#Headers],0)))</f>
        <v>126.867825</v>
      </c>
      <c r="T343" s="84">
        <f>IF(INDEX(lmic_raw_ub[],MATCH($A343,lmic_raw_ub[[setting]:[setting]],0), MATCH(T$277, lmic_raw_ub[#Headers],0))=0, INDEX(regions_ub[], MATCH($D343, regions_ub[[setting]:[setting]],0), MATCH(T$139, regions_ub[#Headers],0)),INDEX(lmic_raw_ub[],MATCH($A343,lmic_raw_ub[[setting]:[setting]],0), MATCH(T$277, lmic_raw_ub[#Headers],0)))</f>
        <v>126.867825</v>
      </c>
      <c r="U343" s="84">
        <f>IF(INDEX(lmic_raw_ub[],MATCH($A343,lmic_raw_ub[[setting]:[setting]],0), MATCH(U$277, lmic_raw_ub[#Headers],0))=0, INDEX(regions_ub[], MATCH($D343, regions_ub[[setting]:[setting]],0), MATCH(U$139, regions_ub[#Headers],0)),INDEX(lmic_raw_ub[],MATCH($A343,lmic_raw_ub[[setting]:[setting]],0), MATCH(U$277, lmic_raw_ub[#Headers],0)))</f>
        <v>126.867825</v>
      </c>
      <c r="V343" s="84">
        <f>IF(INDEX(lmic_raw_ub[],MATCH($A343,lmic_raw_ub[[setting]:[setting]],0), MATCH(V$277, lmic_raw_ub[#Headers],0))=0, INDEX(regions_ub[], MATCH($D343, regions_ub[[setting]:[setting]],0), MATCH(V$139, regions_ub[#Headers],0)),INDEX(lmic_raw_ub[],MATCH($A343,lmic_raw_ub[[setting]:[setting]],0), MATCH(V$277, lmic_raw_ub[#Headers],0)))</f>
        <v>5.0888774268460519</v>
      </c>
      <c r="W343" s="84">
        <f>IF(INDEX(lmic_raw_ub[],MATCH($A343,lmic_raw_ub[[setting]:[setting]],0), MATCH(W$277, lmic_raw_ub[#Headers],0))=0, INDEX(regions_ub[], MATCH($D343, regions_ub[[setting]:[setting]],0), MATCH(W$139, regions_ub[#Headers],0)),INDEX(lmic_raw_ub[],MATCH($A343,lmic_raw_ub[[setting]:[setting]],0), MATCH(W$277, lmic_raw_ub[#Headers],0)))</f>
        <v>5.7526874268460517</v>
      </c>
      <c r="X343" s="84">
        <f>IF(INDEX(lmic_raw_ub[],MATCH($A343,lmic_raw_ub[[setting]:[setting]],0), MATCH(X$277, lmic_raw_ub[#Headers],0))=0, INDEX(regions_ub[], MATCH($D343, regions_ub[[setting]:[setting]],0), MATCH(X$139, regions_ub[#Headers],0)),INDEX(lmic_raw_ub[],MATCH($A343,lmic_raw_ub[[setting]:[setting]],0), MATCH(X$277, lmic_raw_ub[#Headers],0)))</f>
        <v>4.5771420085727286</v>
      </c>
      <c r="Y343" s="84">
        <f>IF(INDEX(lmic_raw_ub[],MATCH($A343,lmic_raw_ub[[setting]:[setting]],0), MATCH(Y$277, lmic_raw_ub[#Headers],0))=0, INDEX(regions_ub[], MATCH($D343, regions_ub[[setting]:[setting]],0), MATCH(Y$139, regions_ub[#Headers],0)),INDEX(lmic_raw_ub[],MATCH($A343,lmic_raw_ub[[setting]:[setting]],0), MATCH(Y$277, lmic_raw_ub[#Headers],0)))</f>
        <v>5.2409520085727284</v>
      </c>
      <c r="Z343" s="84">
        <f>IF(INDEX(lmic_raw_ub[],MATCH($A343,lmic_raw_ub[[setting]:[setting]],0), MATCH(Z$277, lmic_raw_ub[#Headers],0))=0, INDEX(regions_ub[], MATCH($D343, regions_ub[[setting]:[setting]],0), MATCH(Z$139, regions_ub[#Headers],0)),INDEX(lmic_raw_ub[],MATCH($A343,lmic_raw_ub[[setting]:[setting]],0), MATCH(Z$277, lmic_raw_ub[#Headers],0)))</f>
        <v>5.2248870242956391</v>
      </c>
      <c r="AA343" s="84">
        <f>IF(INDEX(lmic_raw_ub[],MATCH($A343,lmic_raw_ub[[setting]:[setting]],0), MATCH(AA$277, lmic_raw_ub[#Headers],0))=0, INDEX(regions_ub[], MATCH($D343, regions_ub[[setting]:[setting]],0), MATCH(AA$139, regions_ub[#Headers],0)),INDEX(lmic_raw_ub[],MATCH($A343,lmic_raw_ub[[setting]:[setting]],0), MATCH(AA$277, lmic_raw_ub[#Headers],0)))</f>
        <v>5.3611126721162172</v>
      </c>
      <c r="AB343" s="84">
        <f>IF(INDEX(lmic_raw_ub[],MATCH($A343,lmic_raw_ub[[setting]:[setting]],0), MATCH(AB$277, lmic_raw_ub[#Headers],0))=0, INDEX(regions_ub[], MATCH($D343, regions_ub[[setting]:[setting]],0), MATCH(AB$139, regions_ub[#Headers],0)),INDEX(lmic_raw_ub[],MATCH($A343,lmic_raw_ub[[setting]:[setting]],0), MATCH(AB$277, lmic_raw_ub[#Headers],0)))</f>
        <v>6.024922672116217</v>
      </c>
      <c r="AC343" s="84">
        <f>IF(INDEX(lmic_raw_ub[],MATCH($A343,lmic_raw_ub[[setting]:[setting]],0), MATCH(AC$277, lmic_raw_ub[#Headers],0))=0, INDEX(regions_ub[], MATCH($D343, regions_ub[[setting]:[setting]],0), MATCH(AC$139, regions_ub[#Headers],0)),INDEX(lmic_raw_ub[],MATCH($A343,lmic_raw_ub[[setting]:[setting]],0), MATCH(AC$277, lmic_raw_ub[#Headers],0)))</f>
        <v>4.071667949999995E-2</v>
      </c>
      <c r="AD343" s="84">
        <f>IF(INDEX(lmic_raw_ub[],MATCH($A343,lmic_raw_ub[[setting]:[setting]],0), MATCH(AD$277, lmic_raw_ub[#Headers],0))=0, INDEX(regions_ub[], MATCH($D343, regions_ub[[setting]:[setting]],0), MATCH(AD$139, regions_ub[#Headers],0)),INDEX(lmic_raw_ub[],MATCH($A343,lmic_raw_ub[[setting]:[setting]],0), MATCH(AD$277, lmic_raw_ub[#Headers],0)))</f>
        <v>2.6114405169643281E-3</v>
      </c>
      <c r="AE343" s="84">
        <f>IF(INDEX(lmic_raw_ub[],MATCH($A343,lmic_raw_ub[[setting]:[setting]],0), MATCH(AE$277, lmic_raw_ub[#Headers],0))=0, INDEX(regions_ub[], MATCH($D343, regions_ub[[setting]:[setting]],0), MATCH(AE$139, regions_ub[#Headers],0)),INDEX(lmic_raw_ub[],MATCH($A343,lmic_raw_ub[[setting]:[setting]],0), MATCH(AE$277, lmic_raw_ub[#Headers],0)))</f>
        <v>9.4481279042160854E-4</v>
      </c>
      <c r="AF343" s="84">
        <f>IF(INDEX(lmic_raw_ub[],MATCH($A343,lmic_raw_ub[[setting]:[setting]],0), MATCH(AF$277, lmic_raw_ub[#Headers],0))=0, INDEX(regions_ub[], MATCH($D343, regions_ub[[setting]:[setting]],0), MATCH(AF$139, regions_ub[#Headers],0)),INDEX(lmic_raw_ub[],MATCH($A343,lmic_raw_ub[[setting]:[setting]],0), MATCH(AF$277, lmic_raw_ub[#Headers],0)))</f>
        <v>7.5670469956648555E-4</v>
      </c>
      <c r="AG343" s="84">
        <f>IF(INDEX(lmic_raw_ub[],MATCH($A343,lmic_raw_ub[[setting]:[setting]],0), MATCH(AG$277, lmic_raw_ub[#Headers],0))=0, INDEX(regions_ub[], MATCH($D343, regions_ub[[setting]:[setting]],0), MATCH(AG$139, regions_ub[#Headers],0)),INDEX(lmic_raw_ub[],MATCH($A343,lmic_raw_ub[[setting]:[setting]],0), MATCH(AG$277, lmic_raw_ub[#Headers],0)))</f>
        <v>1.2800006584995065E-3</v>
      </c>
      <c r="AH343" s="84">
        <f>IF(INDEX(lmic_raw_ub[],MATCH($A343,lmic_raw_ub[[setting]:[setting]],0), MATCH(AH$277, lmic_raw_ub[#Headers],0))=0, INDEX(regions_ub[], MATCH($D343, regions_ub[[setting]:[setting]],0), MATCH(AH$139, regions_ub[#Headers],0)),INDEX(lmic_raw_ub[],MATCH($A343,lmic_raw_ub[[setting]:[setting]],0), MATCH(AH$277, lmic_raw_ub[#Headers],0)))</f>
        <v>1.7990252060574058E-3</v>
      </c>
      <c r="AI343" s="84">
        <f>IF(INDEX(lmic_raw_ub[],MATCH($A343,lmic_raw_ub[[setting]:[setting]],0), MATCH(AI$277, lmic_raw_ub[#Headers],0))=0, INDEX(regions_ub[], MATCH($D343, regions_ub[[setting]:[setting]],0), MATCH(AI$139, regions_ub[#Headers],0)),INDEX(lmic_raw_ub[],MATCH($A343,lmic_raw_ub[[setting]:[setting]],0), MATCH(AI$277, lmic_raw_ub[#Headers],0)))</f>
        <v>1.9514286340282963E-3</v>
      </c>
      <c r="AJ343" s="84">
        <f>IF(INDEX(lmic_raw_ub[],MATCH($A343,lmic_raw_ub[[setting]:[setting]],0), MATCH(AJ$277, lmic_raw_ub[#Headers],0))=0, INDEX(regions_ub[], MATCH($D343, regions_ub[[setting]:[setting]],0), MATCH(AJ$139, regions_ub[#Headers],0)),INDEX(lmic_raw_ub[],MATCH($A343,lmic_raw_ub[[setting]:[setting]],0), MATCH(AJ$277, lmic_raw_ub[#Headers],0)))</f>
        <v>2.2511120072782487E-3</v>
      </c>
      <c r="AK343" s="84">
        <f>IF(INDEX(lmic_raw_ub[],MATCH($A343,lmic_raw_ub[[setting]:[setting]],0), MATCH(AK$277, lmic_raw_ub[#Headers],0))=0, INDEX(regions_ub[], MATCH($D343, regions_ub[[setting]:[setting]],0), MATCH(AK$139, regions_ub[#Headers],0)),INDEX(lmic_raw_ub[],MATCH($A343,lmic_raw_ub[[setting]:[setting]],0), MATCH(AK$277, lmic_raw_ub[#Headers],0)))</f>
        <v>2.8694675598914341E-3</v>
      </c>
      <c r="AL343" s="84">
        <f>IF(INDEX(lmic_raw_ub[],MATCH($A343,lmic_raw_ub[[setting]:[setting]],0), MATCH(AL$277, lmic_raw_ub[#Headers],0))=0, INDEX(regions_ub[], MATCH($D343, regions_ub[[setting]:[setting]],0), MATCH(AL$139, regions_ub[#Headers],0)),INDEX(lmic_raw_ub[],MATCH($A343,lmic_raw_ub[[setting]:[setting]],0), MATCH(AL$277, lmic_raw_ub[#Headers],0)))</f>
        <v>3.956764799273157E-3</v>
      </c>
      <c r="AM343" s="84">
        <f>IF(INDEX(lmic_raw_ub[],MATCH($A343,lmic_raw_ub[[setting]:[setting]],0), MATCH(AM$277, lmic_raw_ub[#Headers],0))=0, INDEX(regions_ub[], MATCH($D343, regions_ub[[setting]:[setting]],0), MATCH(AM$139, regions_ub[#Headers],0)),INDEX(lmic_raw_ub[],MATCH($A343,lmic_raw_ub[[setting]:[setting]],0), MATCH(AM$277, lmic_raw_ub[#Headers],0)))</f>
        <v>5.8447124923907681E-3</v>
      </c>
      <c r="AN343" s="84">
        <f>IF(INDEX(lmic_raw_ub[],MATCH($A343,lmic_raw_ub[[setting]:[setting]],0), MATCH(AN$277, lmic_raw_ub[#Headers],0))=0, INDEX(regions_ub[], MATCH($D343, regions_ub[[setting]:[setting]],0), MATCH(AN$139, regions_ub[#Headers],0)),INDEX(lmic_raw_ub[],MATCH($A343,lmic_raw_ub[[setting]:[setting]],0), MATCH(AN$277, lmic_raw_ub[#Headers],0)))</f>
        <v>8.7902754420331655E-3</v>
      </c>
      <c r="AO343" s="84">
        <f>IF(INDEX(lmic_raw_ub[],MATCH($A343,lmic_raw_ub[[setting]:[setting]],0), MATCH(AO$277, lmic_raw_ub[#Headers],0))=0, INDEX(regions_ub[], MATCH($D343, regions_ub[[setting]:[setting]],0), MATCH(AO$139, regions_ub[#Headers],0)),INDEX(lmic_raw_ub[],MATCH($A343,lmic_raw_ub[[setting]:[setting]],0), MATCH(AO$277, lmic_raw_ub[#Headers],0)))</f>
        <v>1.3384758519675298E-2</v>
      </c>
      <c r="AP343" s="84">
        <f>IF(INDEX(lmic_raw_ub[],MATCH($A343,lmic_raw_ub[[setting]:[setting]],0), MATCH(AP$277, lmic_raw_ub[#Headers],0))=0, INDEX(regions_ub[], MATCH($D343, regions_ub[[setting]:[setting]],0), MATCH(AP$139, regions_ub[#Headers],0)),INDEX(lmic_raw_ub[],MATCH($A343,lmic_raw_ub[[setting]:[setting]],0), MATCH(AP$277, lmic_raw_ub[#Headers],0)))</f>
        <v>2.0513437587241438E-2</v>
      </c>
      <c r="AQ343" s="84">
        <f>IF(INDEX(lmic_raw_ub[],MATCH($A343,lmic_raw_ub[[setting]:[setting]],0), MATCH(AQ$277, lmic_raw_ub[#Headers],0))=0, INDEX(regions_ub[], MATCH($D343, regions_ub[[setting]:[setting]],0), MATCH(AQ$139, regions_ub[#Headers],0)),INDEX(lmic_raw_ub[],MATCH($A343,lmic_raw_ub[[setting]:[setting]],0), MATCH(AQ$277, lmic_raw_ub[#Headers],0)))</f>
        <v>3.1501236997853267E-2</v>
      </c>
      <c r="AR343" s="84">
        <f>IF(INDEX(lmic_raw_ub[],MATCH($A343,lmic_raw_ub[[setting]:[setting]],0), MATCH(AR$277, lmic_raw_ub[#Headers],0))=0, INDEX(regions_ub[], MATCH($D343, regions_ub[[setting]:[setting]],0), MATCH(AR$139, regions_ub[#Headers],0)),INDEX(lmic_raw_ub[],MATCH($A343,lmic_raw_ub[[setting]:[setting]],0), MATCH(AR$277, lmic_raw_ub[#Headers],0)))</f>
        <v>4.8728482236234875E-2</v>
      </c>
      <c r="AS343" s="84">
        <f>IF(INDEX(lmic_raw_ub[],MATCH($A343,lmic_raw_ub[[setting]:[setting]],0), MATCH(AS$277, lmic_raw_ub[#Headers],0))=0, INDEX(regions_ub[], MATCH($D343, regions_ub[[setting]:[setting]],0), MATCH(AS$139, regions_ub[#Headers],0)),INDEX(lmic_raw_ub[],MATCH($A343,lmic_raw_ub[[setting]:[setting]],0), MATCH(AS$277, lmic_raw_ub[#Headers],0)))</f>
        <v>7.3808312644546611E-2</v>
      </c>
      <c r="AT343" s="84">
        <f>IF(INDEX(lmic_raw_ub[],MATCH($A343,lmic_raw_ub[[setting]:[setting]],0), MATCH(AT$277, lmic_raw_ub[#Headers],0))=0, INDEX(regions_ub[], MATCH($D343, regions_ub[[setting]:[setting]],0), MATCH(AT$139, regions_ub[#Headers],0)),INDEX(lmic_raw_ub[],MATCH($A343,lmic_raw_ub[[setting]:[setting]],0), MATCH(AT$277, lmic_raw_ub[#Headers],0)))</f>
        <v>0.10694102726243172</v>
      </c>
      <c r="AU343" s="84">
        <f>IF(INDEX(lmic_raw_ub[],MATCH($A343,lmic_raw_ub[[setting]:[setting]],0), MATCH(AU$277, lmic_raw_ub[#Headers],0))=0, INDEX(regions_ub[], MATCH($D343, regions_ub[[setting]:[setting]],0), MATCH(AU$139, regions_ub[#Headers],0)),INDEX(lmic_raw_ub[],MATCH($A343,lmic_raw_ub[[setting]:[setting]],0), MATCH(AU$277, lmic_raw_ub[#Headers],0)))</f>
        <v>0.142001863062029</v>
      </c>
      <c r="AV343" s="84">
        <f>IF(INDEX(lmic_raw_ub[],MATCH($A343,lmic_raw_ub[[setting]:[setting]],0), MATCH(AV$277, lmic_raw_ub[#Headers],0))=0, INDEX(regions_ub[], MATCH($D343, regions_ub[[setting]:[setting]],0), MATCH(AV$139, regions_ub[#Headers],0)),INDEX(lmic_raw_ub[],MATCH($A343,lmic_raw_ub[[setting]:[setting]],0), MATCH(AV$277, lmic_raw_ub[#Headers],0)))</f>
        <v>0.17041945171940051</v>
      </c>
      <c r="AW343" s="84">
        <f>IF(INDEX(lmic_raw_ub[],MATCH($A343,lmic_raw_ub[[setting]:[setting]],0), MATCH(AW$277, lmic_raw_ub[#Headers],0))=0, INDEX(regions_ub[], MATCH($D343, regions_ub[[setting]:[setting]],0), MATCH(AW$139, regions_ub[#Headers],0)),INDEX(lmic_raw_ub[],MATCH($A343,lmic_raw_ub[[setting]:[setting]],0), MATCH(AW$277, lmic_raw_ub[#Headers],0)))</f>
        <v>0.18869006566019356</v>
      </c>
      <c r="AX343" s="84">
        <f>IF(INDEX(lmic_raw_ub[],MATCH($A343,lmic_raw_ub[[setting]:[setting]],0), MATCH(AX$277, lmic_raw_ub[#Headers],0))=0, INDEX(regions_ub[], MATCH($D343, regions_ub[[setting]:[setting]],0), MATCH(AX$139, regions_ub[#Headers],0)),INDEX(lmic_raw_ub[],MATCH($A343,lmic_raw_ub[[setting]:[setting]],0), MATCH(AX$277, lmic_raw_ub[#Headers],0)))</f>
        <v>70.813050000000004</v>
      </c>
      <c r="AY343" s="33" t="str">
        <f>IF(VLOOKUP(lmics_ub[[#This Row],[setting]],lmic_raw_ub[],11,FALSE)=0, "Yes", "No")</f>
        <v>No</v>
      </c>
    </row>
    <row r="344" spans="1:51" x14ac:dyDescent="0.25">
      <c r="A344" s="109" t="s">
        <v>174</v>
      </c>
      <c r="B344" s="101" t="s">
        <v>456</v>
      </c>
      <c r="C344" s="102">
        <v>422</v>
      </c>
      <c r="D344" s="82" t="s">
        <v>673</v>
      </c>
      <c r="E344" s="82" t="s">
        <v>579</v>
      </c>
      <c r="F344" s="82" t="s">
        <v>579</v>
      </c>
      <c r="G344" s="82" t="s">
        <v>676</v>
      </c>
      <c r="J344" s="84">
        <f>IF(INDEX(lmic_raw_ub[],MATCH($A344,lmic_raw_ub[[setting]:[setting]],0), MATCH(J$277, lmic_raw_ub[#Headers],0))=0, INDEX(regions_ub[], MATCH($D344, regions_ub[[setting]:[setting]],0), MATCH(J$139, regions_ub[#Headers],0)),INDEX(lmic_raw_ub[],MATCH($A344,lmic_raw_ub[[setting]:[setting]],0), MATCH(J$277, lmic_raw_ub[#Headers],0)))</f>
        <v>0.99990000000000001</v>
      </c>
      <c r="K344" s="84">
        <f>IF(INDEX(lmic_raw_ub[],MATCH($A344,lmic_raw_ub[[setting]:[setting]],0), MATCH(K$277, lmic_raw_ub[#Headers],0))=0, INDEX(regions_ub[], MATCH($D344, regions_ub[[setting]:[setting]],0), MATCH(K$139, regions_ub[#Headers],0)),INDEX(lmic_raw_ub[],MATCH($A344,lmic_raw_ub[[setting]:[setting]],0), MATCH(K$277, lmic_raw_ub[#Headers],0)))</f>
        <v>0.84000000000000008</v>
      </c>
      <c r="L344" s="84">
        <f>IF(INDEX(lmic_raw_ub[],MATCH($A344,lmic_raw_ub[[setting]:[setting]],0), MATCH(L$277, lmic_raw_ub[#Headers],0))=0, INDEX(regions_ub[], MATCH($D344, regions_ub[[setting]:[setting]],0), MATCH(L$139, regions_ub[#Headers],0)),INDEX(lmic_raw_ub[],MATCH($A344,lmic_raw_ub[[setting]:[setting]],0), MATCH(L$277, lmic_raw_ub[#Headers],0)))</f>
        <v>0.84000000000000008</v>
      </c>
      <c r="M344" s="84">
        <f>IF(INDEX(lmic_raw_ub[],MATCH($A344,lmic_raw_ub[[setting]:[setting]],0), MATCH(M$277, lmic_raw_ub[#Headers],0))=0, INDEX(regions_ub[], MATCH($D344, regions_ub[[setting]:[setting]],0), MATCH(M$139, regions_ub[#Headers],0)),INDEX(lmic_raw_ub[],MATCH($A344,lmic_raw_ub[[setting]:[setting]],0), MATCH(M$277, lmic_raw_ub[#Headers],0)))</f>
        <v>1.6399999999999998E-2</v>
      </c>
      <c r="N344" s="84">
        <f>IF(INDEX(lmic_raw_ub[],MATCH($A344,lmic_raw_ub[[setting]:[setting]],0), MATCH(N$277, lmic_raw_ub[#Headers],0))=0, INDEX(regions_ub[], MATCH($D344, regions_ub[[setting]:[setting]],0), MATCH(N$139, regions_ub[#Headers],0)),INDEX(lmic_raw_ub[],MATCH($A344,lmic_raw_ub[[setting]:[setting]],0), MATCH(N$277, lmic_raw_ub[#Headers],0)))</f>
        <v>0.37619999999999998</v>
      </c>
      <c r="O344" s="84">
        <f>IF(INDEX(lmic_raw_ub[],MATCH($A344,lmic_raw_ub[[setting]:[setting]],0), MATCH(O$277, lmic_raw_ub[#Headers],0))=0, INDEX(regions_ub[], MATCH($D344, regions_ub[[setting]:[setting]],0), MATCH(O$139, regions_ub[#Headers],0)),INDEX(lmic_raw_ub[],MATCH($A344,lmic_raw_ub[[setting]:[setting]],0), MATCH(O$277, lmic_raw_ub[#Headers],0)))</f>
        <v>0.9</v>
      </c>
      <c r="P344" s="84">
        <f>IF(INDEX(lmic_raw_ub[],MATCH($A344,lmic_raw_ub[[setting]:[setting]],0), MATCH(P$277, lmic_raw_ub[#Headers],0))=0, INDEX(regions_ub[], MATCH($D344, regions_ub[[setting]:[setting]],0), MATCH(P$139, regions_ub[#Headers],0)),INDEX(lmic_raw_ub[],MATCH($A344,lmic_raw_ub[[setting]:[setting]],0), MATCH(P$277, lmic_raw_ub[#Headers],0)))</f>
        <v>0.3</v>
      </c>
      <c r="Q344" s="84">
        <f>IF(INDEX(lmic_raw_ub[],MATCH($A344,lmic_raw_ub[[setting]:[setting]],0), MATCH(Q$277, lmic_raw_ub[#Headers],0))=0, INDEX(regions_ub[], MATCH($D344, regions_ub[[setting]:[setting]],0), MATCH(Q$139, regions_ub[#Headers],0)),INDEX(lmic_raw_ub[],MATCH($A344,lmic_raw_ub[[setting]:[setting]],0), MATCH(Q$277, lmic_raw_ub[#Headers],0)))</f>
        <v>14.393767422728295</v>
      </c>
      <c r="R344" s="84">
        <f>IF(INDEX(lmic_raw_ub[],MATCH($A344,lmic_raw_ub[[setting]:[setting]],0), MATCH(R$277, lmic_raw_ub[#Headers],0))=0, INDEX(regions_ub[], MATCH($D344, regions_ub[[setting]:[setting]],0), MATCH(R$139, regions_ub[#Headers],0)),INDEX(lmic_raw_ub[],MATCH($A344,lmic_raw_ub[[setting]:[setting]],0), MATCH(R$277, lmic_raw_ub[#Headers],0)))</f>
        <v>48.652695000000001</v>
      </c>
      <c r="S344" s="84">
        <f>IF(INDEX(lmic_raw_ub[],MATCH($A344,lmic_raw_ub[[setting]:[setting]],0), MATCH(S$277, lmic_raw_ub[#Headers],0))=0, INDEX(regions_ub[], MATCH($D344, regions_ub[[setting]:[setting]],0), MATCH(S$139, regions_ub[#Headers],0)),INDEX(lmic_raw_ub[],MATCH($A344,lmic_raw_ub[[setting]:[setting]],0), MATCH(S$277, lmic_raw_ub[#Headers],0)))</f>
        <v>98.781795000000017</v>
      </c>
      <c r="T344" s="84">
        <f>IF(INDEX(lmic_raw_ub[],MATCH($A344,lmic_raw_ub[[setting]:[setting]],0), MATCH(T$277, lmic_raw_ub[#Headers],0))=0, INDEX(regions_ub[], MATCH($D344, regions_ub[[setting]:[setting]],0), MATCH(T$139, regions_ub[#Headers],0)),INDEX(lmic_raw_ub[],MATCH($A344,lmic_raw_ub[[setting]:[setting]],0), MATCH(T$277, lmic_raw_ub[#Headers],0)))</f>
        <v>98.781795000000017</v>
      </c>
      <c r="U344" s="84">
        <f>IF(INDEX(lmic_raw_ub[],MATCH($A344,lmic_raw_ub[[setting]:[setting]],0), MATCH(U$277, lmic_raw_ub[#Headers],0))=0, INDEX(regions_ub[], MATCH($D344, regions_ub[[setting]:[setting]],0), MATCH(U$139, regions_ub[#Headers],0)),INDEX(lmic_raw_ub[],MATCH($A344,lmic_raw_ub[[setting]:[setting]],0), MATCH(U$277, lmic_raw_ub[#Headers],0)))</f>
        <v>98.781795000000017</v>
      </c>
      <c r="V344" s="84">
        <f>IF(INDEX(lmic_raw_ub[],MATCH($A344,lmic_raw_ub[[setting]:[setting]],0), MATCH(V$277, lmic_raw_ub[#Headers],0))=0, INDEX(regions_ub[], MATCH($D344, regions_ub[[setting]:[setting]],0), MATCH(V$139, regions_ub[#Headers],0)),INDEX(lmic_raw_ub[],MATCH($A344,lmic_raw_ub[[setting]:[setting]],0), MATCH(V$277, lmic_raw_ub[#Headers],0)))</f>
        <v>9.8586306929554297</v>
      </c>
      <c r="W344" s="84">
        <f>IF(INDEX(lmic_raw_ub[],MATCH($A344,lmic_raw_ub[[setting]:[setting]],0), MATCH(W$277, lmic_raw_ub[#Headers],0))=0, INDEX(regions_ub[], MATCH($D344, regions_ub[[setting]:[setting]],0), MATCH(W$139, regions_ub[#Headers],0)),INDEX(lmic_raw_ub[],MATCH($A344,lmic_raw_ub[[setting]:[setting]],0), MATCH(W$277, lmic_raw_ub[#Headers],0)))</f>
        <v>10.362210692955429</v>
      </c>
      <c r="X344" s="84">
        <f>IF(INDEX(lmic_raw_ub[],MATCH($A344,lmic_raw_ub[[setting]:[setting]],0), MATCH(X$277, lmic_raw_ub[#Headers],0))=0, INDEX(regions_ub[], MATCH($D344, regions_ub[[setting]:[setting]],0), MATCH(X$139, regions_ub[#Headers],0)),INDEX(lmic_raw_ub[],MATCH($A344,lmic_raw_ub[[setting]:[setting]],0), MATCH(X$277, lmic_raw_ub[#Headers],0)))</f>
        <v>9.3280118521591628</v>
      </c>
      <c r="Y344" s="84">
        <f>IF(INDEX(lmic_raw_ub[],MATCH($A344,lmic_raw_ub[[setting]:[setting]],0), MATCH(Y$277, lmic_raw_ub[#Headers],0))=0, INDEX(regions_ub[], MATCH($D344, regions_ub[[setting]:[setting]],0), MATCH(Y$139, regions_ub[#Headers],0)),INDEX(lmic_raw_ub[],MATCH($A344,lmic_raw_ub[[setting]:[setting]],0), MATCH(Y$277, lmic_raw_ub[#Headers],0)))</f>
        <v>9.8315918521591623</v>
      </c>
      <c r="Z344" s="84">
        <f>IF(INDEX(lmic_raw_ub[],MATCH($A344,lmic_raw_ub[[setting]:[setting]],0), MATCH(Z$277, lmic_raw_ub[#Headers],0))=0, INDEX(regions_ub[], MATCH($D344, regions_ub[[setting]:[setting]],0), MATCH(Z$139, regions_ub[#Headers],0)),INDEX(lmic_raw_ub[],MATCH($A344,lmic_raw_ub[[setting]:[setting]],0), MATCH(Z$277, lmic_raw_ub[#Headers],0)))</f>
        <v>9.8040084047475862</v>
      </c>
      <c r="AA344" s="84">
        <f>IF(INDEX(lmic_raw_ub[],MATCH($A344,lmic_raw_ub[[setting]:[setting]],0), MATCH(AA$277, lmic_raw_ub[#Headers],0))=0, INDEX(regions_ub[], MATCH($D344, regions_ub[[setting]:[setting]],0), MATCH(AA$139, regions_ub[#Headers],0)),INDEX(lmic_raw_ub[],MATCH($A344,lmic_raw_ub[[setting]:[setting]],0), MATCH(AA$277, lmic_raw_ub[#Headers],0)))</f>
        <v>10.135152359289087</v>
      </c>
      <c r="AB344" s="84">
        <f>IF(INDEX(lmic_raw_ub[],MATCH($A344,lmic_raw_ub[[setting]:[setting]],0), MATCH(AB$277, lmic_raw_ub[#Headers],0))=0, INDEX(regions_ub[], MATCH($D344, regions_ub[[setting]:[setting]],0), MATCH(AB$139, regions_ub[#Headers],0)),INDEX(lmic_raw_ub[],MATCH($A344,lmic_raw_ub[[setting]:[setting]],0), MATCH(AB$277, lmic_raw_ub[#Headers],0)))</f>
        <v>10.638732359289087</v>
      </c>
      <c r="AC344" s="84">
        <f>IF(INDEX(lmic_raw_ub[],MATCH($A344,lmic_raw_ub[[setting]:[setting]],0), MATCH(AC$277, lmic_raw_ub[#Headers],0))=0, INDEX(regions_ub[], MATCH($D344, regions_ub[[setting]:[setting]],0), MATCH(AC$139, regions_ub[#Headers],0)),INDEX(lmic_raw_ub[],MATCH($A344,lmic_raw_ub[[setting]:[setting]],0), MATCH(AC$277, lmic_raw_ub[#Headers],0)))</f>
        <v>9.8854559999999401E-3</v>
      </c>
      <c r="AD344" s="84">
        <f>IF(INDEX(lmic_raw_ub[],MATCH($A344,lmic_raw_ub[[setting]:[setting]],0), MATCH(AD$277, lmic_raw_ub[#Headers],0))=0, INDEX(regions_ub[], MATCH($D344, regions_ub[[setting]:[setting]],0), MATCH(AD$139, regions_ub[#Headers],0)),INDEX(lmic_raw_ub[],MATCH($A344,lmic_raw_ub[[setting]:[setting]],0), MATCH(AD$277, lmic_raw_ub[#Headers],0)))</f>
        <v>3.9537231968562119E-4</v>
      </c>
      <c r="AE344" s="84">
        <f>IF(INDEX(lmic_raw_ub[],MATCH($A344,lmic_raw_ub[[setting]:[setting]],0), MATCH(AE$277, lmic_raw_ub[#Headers],0))=0, INDEX(regions_ub[], MATCH($D344, regions_ub[[setting]:[setting]],0), MATCH(AE$139, regions_ub[#Headers],0)),INDEX(lmic_raw_ub[],MATCH($A344,lmic_raw_ub[[setting]:[setting]],0), MATCH(AE$277, lmic_raw_ub[#Headers],0)))</f>
        <v>1.9237498004231218E-4</v>
      </c>
      <c r="AF344" s="84">
        <f>IF(INDEX(lmic_raw_ub[],MATCH($A344,lmic_raw_ub[[setting]:[setting]],0), MATCH(AF$277, lmic_raw_ub[#Headers],0))=0, INDEX(regions_ub[], MATCH($D344, regions_ub[[setting]:[setting]],0), MATCH(AF$139, regions_ub[#Headers],0)),INDEX(lmic_raw_ub[],MATCH($A344,lmic_raw_ub[[setting]:[setting]],0), MATCH(AF$277, lmic_raw_ub[#Headers],0)))</f>
        <v>1.611380920538153E-4</v>
      </c>
      <c r="AG344" s="84">
        <f>IF(INDEX(lmic_raw_ub[],MATCH($A344,lmic_raw_ub[[setting]:[setting]],0), MATCH(AG$277, lmic_raw_ub[#Headers],0))=0, INDEX(regions_ub[], MATCH($D344, regions_ub[[setting]:[setting]],0), MATCH(AG$139, regions_ub[#Headers],0)),INDEX(lmic_raw_ub[],MATCH($A344,lmic_raw_ub[[setting]:[setting]],0), MATCH(AG$277, lmic_raw_ub[#Headers],0)))</f>
        <v>3.0210700528991149E-4</v>
      </c>
      <c r="AH344" s="84">
        <f>IF(INDEX(lmic_raw_ub[],MATCH($A344,lmic_raw_ub[[setting]:[setting]],0), MATCH(AH$277, lmic_raw_ub[#Headers],0))=0, INDEX(regions_ub[], MATCH($D344, regions_ub[[setting]:[setting]],0), MATCH(AH$139, regions_ub[#Headers],0)),INDEX(lmic_raw_ub[],MATCH($A344,lmic_raw_ub[[setting]:[setting]],0), MATCH(AH$277, lmic_raw_ub[#Headers],0)))</f>
        <v>4.2116993280849271E-4</v>
      </c>
      <c r="AI344" s="84">
        <f>IF(INDEX(lmic_raw_ub[],MATCH($A344,lmic_raw_ub[[setting]:[setting]],0), MATCH(AI$277, lmic_raw_ub[#Headers],0))=0, INDEX(regions_ub[], MATCH($D344, regions_ub[[setting]:[setting]],0), MATCH(AI$139, regions_ub[#Headers],0)),INDEX(lmic_raw_ub[],MATCH($A344,lmic_raw_ub[[setting]:[setting]],0), MATCH(AI$277, lmic_raw_ub[#Headers],0)))</f>
        <v>4.5084559386451492E-4</v>
      </c>
      <c r="AJ344" s="84">
        <f>IF(INDEX(lmic_raw_ub[],MATCH($A344,lmic_raw_ub[[setting]:[setting]],0), MATCH(AJ$277, lmic_raw_ub[#Headers],0))=0, INDEX(regions_ub[], MATCH($D344, regions_ub[[setting]:[setting]],0), MATCH(AJ$139, regions_ub[#Headers],0)),INDEX(lmic_raw_ub[],MATCH($A344,lmic_raw_ub[[setting]:[setting]],0), MATCH(AJ$277, lmic_raw_ub[#Headers],0)))</f>
        <v>5.3084589083587518E-4</v>
      </c>
      <c r="AK344" s="84">
        <f>IF(INDEX(lmic_raw_ub[],MATCH($A344,lmic_raw_ub[[setting]:[setting]],0), MATCH(AK$277, lmic_raw_ub[#Headers],0))=0, INDEX(regions_ub[], MATCH($D344, regions_ub[[setting]:[setting]],0), MATCH(AK$139, regions_ub[#Headers],0)),INDEX(lmic_raw_ub[],MATCH($A344,lmic_raw_ub[[setting]:[setting]],0), MATCH(AK$277, lmic_raw_ub[#Headers],0)))</f>
        <v>7.1459112323173448E-4</v>
      </c>
      <c r="AL344" s="84">
        <f>IF(INDEX(lmic_raw_ub[],MATCH($A344,lmic_raw_ub[[setting]:[setting]],0), MATCH(AL$277, lmic_raw_ub[#Headers],0))=0, INDEX(regions_ub[], MATCH($D344, regions_ub[[setting]:[setting]],0), MATCH(AL$139, regions_ub[#Headers],0)),INDEX(lmic_raw_ub[],MATCH($A344,lmic_raw_ub[[setting]:[setting]],0), MATCH(AL$277, lmic_raw_ub[#Headers],0)))</f>
        <v>1.0989625340284102E-3</v>
      </c>
      <c r="AM344" s="84">
        <f>IF(INDEX(lmic_raw_ub[],MATCH($A344,lmic_raw_ub[[setting]:[setting]],0), MATCH(AM$277, lmic_raw_ub[#Headers],0))=0, INDEX(regions_ub[], MATCH($D344, regions_ub[[setting]:[setting]],0), MATCH(AM$139, regions_ub[#Headers],0)),INDEX(lmic_raw_ub[],MATCH($A344,lmic_raw_ub[[setting]:[setting]],0), MATCH(AM$277, lmic_raw_ub[#Headers],0)))</f>
        <v>1.9167579029532864E-3</v>
      </c>
      <c r="AN344" s="84">
        <f>IF(INDEX(lmic_raw_ub[],MATCH($A344,lmic_raw_ub[[setting]:[setting]],0), MATCH(AN$277, lmic_raw_ub[#Headers],0))=0, INDEX(regions_ub[], MATCH($D344, regions_ub[[setting]:[setting]],0), MATCH(AN$139, regions_ub[#Headers],0)),INDEX(lmic_raw_ub[],MATCH($A344,lmic_raw_ub[[setting]:[setting]],0), MATCH(AN$277, lmic_raw_ub[#Headers],0)))</f>
        <v>3.2754766141580129E-3</v>
      </c>
      <c r="AO344" s="84">
        <f>IF(INDEX(lmic_raw_ub[],MATCH($A344,lmic_raw_ub[[setting]:[setting]],0), MATCH(AO$277, lmic_raw_ub[#Headers],0))=0, INDEX(regions_ub[], MATCH($D344, regions_ub[[setting]:[setting]],0), MATCH(AO$139, regions_ub[#Headers],0)),INDEX(lmic_raw_ub[],MATCH($A344,lmic_raw_ub[[setting]:[setting]],0), MATCH(AO$277, lmic_raw_ub[#Headers],0)))</f>
        <v>5.712357247959367E-3</v>
      </c>
      <c r="AP344" s="84">
        <f>IF(INDEX(lmic_raw_ub[],MATCH($A344,lmic_raw_ub[[setting]:[setting]],0), MATCH(AP$277, lmic_raw_ub[#Headers],0))=0, INDEX(regions_ub[], MATCH($D344, regions_ub[[setting]:[setting]],0), MATCH(AP$139, regions_ub[#Headers],0)),INDEX(lmic_raw_ub[],MATCH($A344,lmic_raw_ub[[setting]:[setting]],0), MATCH(AP$277, lmic_raw_ub[#Headers],0)))</f>
        <v>9.0740217642515351E-3</v>
      </c>
      <c r="AQ344" s="84">
        <f>IF(INDEX(lmic_raw_ub[],MATCH($A344,lmic_raw_ub[[setting]:[setting]],0), MATCH(AQ$277, lmic_raw_ub[#Headers],0))=0, INDEX(regions_ub[], MATCH($D344, regions_ub[[setting]:[setting]],0), MATCH(AQ$139, regions_ub[#Headers],0)),INDEX(lmic_raw_ub[],MATCH($A344,lmic_raw_ub[[setting]:[setting]],0), MATCH(AQ$277, lmic_raw_ub[#Headers],0)))</f>
        <v>1.5470855250114201E-2</v>
      </c>
      <c r="AR344" s="84">
        <f>IF(INDEX(lmic_raw_ub[],MATCH($A344,lmic_raw_ub[[setting]:[setting]],0), MATCH(AR$277, lmic_raw_ub[#Headers],0))=0, INDEX(regions_ub[], MATCH($D344, regions_ub[[setting]:[setting]],0), MATCH(AR$139, regions_ub[#Headers],0)),INDEX(lmic_raw_ub[],MATCH($A344,lmic_raw_ub[[setting]:[setting]],0), MATCH(AR$277, lmic_raw_ub[#Headers],0)))</f>
        <v>2.6779589659180345E-2</v>
      </c>
      <c r="AS344" s="84">
        <f>IF(INDEX(lmic_raw_ub[],MATCH($A344,lmic_raw_ub[[setting]:[setting]],0), MATCH(AS$277, lmic_raw_ub[#Headers],0))=0, INDEX(regions_ub[], MATCH($D344, regions_ub[[setting]:[setting]],0), MATCH(AS$139, regions_ub[#Headers],0)),INDEX(lmic_raw_ub[],MATCH($A344,lmic_raw_ub[[setting]:[setting]],0), MATCH(AS$277, lmic_raw_ub[#Headers],0)))</f>
        <v>4.4277967182773804E-2</v>
      </c>
      <c r="AT344" s="84">
        <f>IF(INDEX(lmic_raw_ub[],MATCH($A344,lmic_raw_ub[[setting]:[setting]],0), MATCH(AT$277, lmic_raw_ub[#Headers],0))=0, INDEX(regions_ub[], MATCH($D344, regions_ub[[setting]:[setting]],0), MATCH(AT$139, regions_ub[#Headers],0)),INDEX(lmic_raw_ub[],MATCH($A344,lmic_raw_ub[[setting]:[setting]],0), MATCH(AT$277, lmic_raw_ub[#Headers],0)))</f>
        <v>7.1534992416606005E-2</v>
      </c>
      <c r="AU344" s="84">
        <f>IF(INDEX(lmic_raw_ub[],MATCH($A344,lmic_raw_ub[[setting]:[setting]],0), MATCH(AU$277, lmic_raw_ub[#Headers],0))=0, INDEX(regions_ub[], MATCH($D344, regions_ub[[setting]:[setting]],0), MATCH(AU$139, regions_ub[#Headers],0)),INDEX(lmic_raw_ub[],MATCH($A344,lmic_raw_ub[[setting]:[setting]],0), MATCH(AU$277, lmic_raw_ub[#Headers],0)))</f>
        <v>0.10708152530942154</v>
      </c>
      <c r="AV344" s="84">
        <f>IF(INDEX(lmic_raw_ub[],MATCH($A344,lmic_raw_ub[[setting]:[setting]],0), MATCH(AV$277, lmic_raw_ub[#Headers],0))=0, INDEX(regions_ub[], MATCH($D344, regions_ub[[setting]:[setting]],0), MATCH(AV$139, regions_ub[#Headers],0)),INDEX(lmic_raw_ub[],MATCH($A344,lmic_raw_ub[[setting]:[setting]],0), MATCH(AV$277, lmic_raw_ub[#Headers],0)))</f>
        <v>0.14285618867874683</v>
      </c>
      <c r="AW344" s="84">
        <f>IF(INDEX(lmic_raw_ub[],MATCH($A344,lmic_raw_ub[[setting]:[setting]],0), MATCH(AW$277, lmic_raw_ub[#Headers],0))=0, INDEX(regions_ub[], MATCH($D344, regions_ub[[setting]:[setting]],0), MATCH(AW$139, regions_ub[#Headers],0)),INDEX(lmic_raw_ub[],MATCH($A344,lmic_raw_ub[[setting]:[setting]],0), MATCH(AW$277, lmic_raw_ub[#Headers],0)))</f>
        <v>0.17122684905651381</v>
      </c>
      <c r="AX344" s="84">
        <f>IF(INDEX(lmic_raw_ub[],MATCH($A344,lmic_raw_ub[[setting]:[setting]],0), MATCH(AX$277, lmic_raw_ub[#Headers],0))=0, INDEX(regions_ub[], MATCH($D344, regions_ub[[setting]:[setting]],0), MATCH(AX$139, regions_ub[#Headers],0)),INDEX(lmic_raw_ub[],MATCH($A344,lmic_raw_ub[[setting]:[setting]],0), MATCH(AX$277, lmic_raw_ub[#Headers],0)))</f>
        <v>82.764150000000001</v>
      </c>
      <c r="AY344" s="33" t="str">
        <f>IF(VLOOKUP(lmics_ub[[#This Row],[setting]],lmic_raw_ub[],11,FALSE)=0, "Yes", "No")</f>
        <v>No</v>
      </c>
    </row>
    <row r="345" spans="1:51" x14ac:dyDescent="0.25">
      <c r="A345" s="110" t="s">
        <v>134</v>
      </c>
      <c r="B345" s="104" t="s">
        <v>457</v>
      </c>
      <c r="C345" s="105">
        <v>426</v>
      </c>
      <c r="D345" s="84" t="s">
        <v>677</v>
      </c>
      <c r="E345" s="84" t="s">
        <v>594</v>
      </c>
      <c r="F345" s="84" t="s">
        <v>667</v>
      </c>
      <c r="G345" s="84" t="s">
        <v>678</v>
      </c>
      <c r="J345" s="84">
        <f>IF(INDEX(lmic_raw_ub[],MATCH($A345,lmic_raw_ub[[setting]:[setting]],0), MATCH(J$277, lmic_raw_ub[#Headers],0))=0, INDEX(regions_ub[], MATCH($D345, regions_ub[[setting]:[setting]],0), MATCH(J$139, regions_ub[#Headers],0)),INDEX(lmic_raw_ub[],MATCH($A345,lmic_raw_ub[[setting]:[setting]],0), MATCH(J$277, lmic_raw_ub[#Headers],0)))</f>
        <v>0.93870000000000009</v>
      </c>
      <c r="K345" s="84">
        <f>IF(INDEX(lmic_raw_ub[],MATCH($A345,lmic_raw_ub[[setting]:[setting]],0), MATCH(K$277, lmic_raw_ub[#Headers],0))=0, INDEX(regions_ub[], MATCH($D345, regions_ub[[setting]:[setting]],0), MATCH(K$139, regions_ub[#Headers],0)),INDEX(lmic_raw_ub[],MATCH($A345,lmic_raw_ub[[setting]:[setting]],0), MATCH(K$277, lmic_raw_ub[#Headers],0)))</f>
        <v>0.71433037619548323</v>
      </c>
      <c r="L345" s="84">
        <f>IF(INDEX(lmic_raw_ub[],MATCH($A345,lmic_raw_ub[[setting]:[setting]],0), MATCH(L$277, lmic_raw_ub[#Headers],0))=0, INDEX(regions_ub[], MATCH($D345, regions_ub[[setting]:[setting]],0), MATCH(L$139, regions_ub[#Headers],0)),INDEX(lmic_raw_ub[],MATCH($A345,lmic_raw_ub[[setting]:[setting]],0), MATCH(L$277, lmic_raw_ub[#Headers],0)))</f>
        <v>0.91349999999999998</v>
      </c>
      <c r="M345" s="84">
        <f>IF(INDEX(lmic_raw_ub[],MATCH($A345,lmic_raw_ub[[setting]:[setting]],0), MATCH(M$277, lmic_raw_ub[#Headers],0))=0, INDEX(regions_ub[], MATCH($D345, regions_ub[[setting]:[setting]],0), MATCH(M$139, regions_ub[#Headers],0)),INDEX(lmic_raw_ub[],MATCH($A345,lmic_raw_ub[[setting]:[setting]],0), MATCH(M$277, lmic_raw_ub[#Headers],0)))</f>
        <v>0.35310000000000002</v>
      </c>
      <c r="N345" s="84">
        <f>IF(INDEX(lmic_raw_ub[],MATCH($A345,lmic_raw_ub[[setting]:[setting]],0), MATCH(N$277, lmic_raw_ub[#Headers],0))=0, INDEX(regions_ub[], MATCH($D345, regions_ub[[setting]:[setting]],0), MATCH(N$139, regions_ub[#Headers],0)),INDEX(lmic_raw_ub[],MATCH($A345,lmic_raw_ub[[setting]:[setting]],0), MATCH(N$277, lmic_raw_ub[#Headers],0)))</f>
        <v>0.3679</v>
      </c>
      <c r="O345" s="84">
        <f>IF(INDEX(lmic_raw_ub[],MATCH($A345,lmic_raw_ub[[setting]:[setting]],0), MATCH(O$277, lmic_raw_ub[#Headers],0))=0, INDEX(regions_ub[], MATCH($D345, regions_ub[[setting]:[setting]],0), MATCH(O$139, regions_ub[#Headers],0)),INDEX(lmic_raw_ub[],MATCH($A345,lmic_raw_ub[[setting]:[setting]],0), MATCH(O$277, lmic_raw_ub[#Headers],0)))</f>
        <v>0.74399999999999999</v>
      </c>
      <c r="P345" s="84">
        <f>IF(INDEX(lmic_raw_ub[],MATCH($A345,lmic_raw_ub[[setting]:[setting]],0), MATCH(P$277, lmic_raw_ub[#Headers],0))=0, INDEX(regions_ub[], MATCH($D345, regions_ub[[setting]:[setting]],0), MATCH(P$139, regions_ub[#Headers],0)),INDEX(lmic_raw_ub[],MATCH($A345,lmic_raw_ub[[setting]:[setting]],0), MATCH(P$277, lmic_raw_ub[#Headers],0)))</f>
        <v>0.13300000000000001</v>
      </c>
      <c r="Q345" s="84">
        <f>IF(INDEX(lmic_raw_ub[],MATCH($A345,lmic_raw_ub[[setting]:[setting]],0), MATCH(Q$277, lmic_raw_ub[#Headers],0))=0, INDEX(regions_ub[], MATCH($D345, regions_ub[[setting]:[setting]],0), MATCH(Q$139, regions_ub[#Headers],0)),INDEX(lmic_raw_ub[],MATCH($A345,lmic_raw_ub[[setting]:[setting]],0), MATCH(Q$277, lmic_raw_ub[#Headers],0)))</f>
        <v>3.8255651622945992</v>
      </c>
      <c r="R345" s="84">
        <f>IF(INDEX(lmic_raw_ub[],MATCH($A345,lmic_raw_ub[[setting]:[setting]],0), MATCH(R$277, lmic_raw_ub[#Headers],0))=0, INDEX(regions_ub[], MATCH($D345, regions_ub[[setting]:[setting]],0), MATCH(R$139, regions_ub[#Headers],0)),INDEX(lmic_raw_ub[],MATCH($A345,lmic_raw_ub[[setting]:[setting]],0), MATCH(R$277, lmic_raw_ub[#Headers],0)))</f>
        <v>31.416525000000004</v>
      </c>
      <c r="S345" s="84">
        <f>IF(INDEX(lmic_raw_ub[],MATCH($A345,lmic_raw_ub[[setting]:[setting]],0), MATCH(S$277, lmic_raw_ub[#Headers],0))=0, INDEX(regions_ub[], MATCH($D345, regions_ub[[setting]:[setting]],0), MATCH(S$139, regions_ub[#Headers],0)),INDEX(lmic_raw_ub[],MATCH($A345,lmic_raw_ub[[setting]:[setting]],0), MATCH(S$277, lmic_raw_ub[#Headers],0)))</f>
        <v>81.545625000000015</v>
      </c>
      <c r="T345" s="84">
        <f>IF(INDEX(lmic_raw_ub[],MATCH($A345,lmic_raw_ub[[setting]:[setting]],0), MATCH(T$277, lmic_raw_ub[#Headers],0))=0, INDEX(regions_ub[], MATCH($D345, regions_ub[[setting]:[setting]],0), MATCH(T$139, regions_ub[#Headers],0)),INDEX(lmic_raw_ub[],MATCH($A345,lmic_raw_ub[[setting]:[setting]],0), MATCH(T$277, lmic_raw_ub[#Headers],0)))</f>
        <v>81.545625000000015</v>
      </c>
      <c r="U345" s="84">
        <f>IF(INDEX(lmic_raw_ub[],MATCH($A345,lmic_raw_ub[[setting]:[setting]],0), MATCH(U$277, lmic_raw_ub[#Headers],0))=0, INDEX(regions_ub[], MATCH($D345, regions_ub[[setting]:[setting]],0), MATCH(U$139, regions_ub[#Headers],0)),INDEX(lmic_raw_ub[],MATCH($A345,lmic_raw_ub[[setting]:[setting]],0), MATCH(U$277, lmic_raw_ub[#Headers],0)))</f>
        <v>81.545625000000015</v>
      </c>
      <c r="V345" s="84">
        <f>IF(INDEX(lmic_raw_ub[],MATCH($A345,lmic_raw_ub[[setting]:[setting]],0), MATCH(V$277, lmic_raw_ub[#Headers],0))=0, INDEX(regions_ub[], MATCH($D345, regions_ub[[setting]:[setting]],0), MATCH(V$139, regions_ub[#Headers],0)),INDEX(lmic_raw_ub[],MATCH($A345,lmic_raw_ub[[setting]:[setting]],0), MATCH(V$277, lmic_raw_ub[#Headers],0)))</f>
        <v>9.2132632739205054</v>
      </c>
      <c r="W345" s="84">
        <f>IF(INDEX(lmic_raw_ub[],MATCH($A345,lmic_raw_ub[[setting]:[setting]],0), MATCH(W$277, lmic_raw_ub[#Headers],0))=0, INDEX(regions_ub[], MATCH($D345, regions_ub[[setting]:[setting]],0), MATCH(W$139, regions_ub[#Headers],0)),INDEX(lmic_raw_ub[],MATCH($A345,lmic_raw_ub[[setting]:[setting]],0), MATCH(W$277, lmic_raw_ub[#Headers],0)))</f>
        <v>14.283398273920506</v>
      </c>
      <c r="X345" s="84">
        <f>IF(INDEX(lmic_raw_ub[],MATCH($A345,lmic_raw_ub[[setting]:[setting]],0), MATCH(X$277, lmic_raw_ub[#Headers],0))=0, INDEX(regions_ub[], MATCH($D345, regions_ub[[setting]:[setting]],0), MATCH(X$139, regions_ub[#Headers],0)),INDEX(lmic_raw_ub[],MATCH($A345,lmic_raw_ub[[setting]:[setting]],0), MATCH(X$277, lmic_raw_ub[#Headers],0)))</f>
        <v>8.7180587287239426</v>
      </c>
      <c r="Y345" s="84">
        <f>IF(INDEX(lmic_raw_ub[],MATCH($A345,lmic_raw_ub[[setting]:[setting]],0), MATCH(Y$277, lmic_raw_ub[#Headers],0))=0, INDEX(regions_ub[], MATCH($D345, regions_ub[[setting]:[setting]],0), MATCH(Y$139, regions_ub[#Headers],0)),INDEX(lmic_raw_ub[],MATCH($A345,lmic_raw_ub[[setting]:[setting]],0), MATCH(Y$277, lmic_raw_ub[#Headers],0)))</f>
        <v>13.788193728723943</v>
      </c>
      <c r="Z345" s="84">
        <f>IF(INDEX(lmic_raw_ub[],MATCH($A345,lmic_raw_ub[[setting]:[setting]],0), MATCH(Z$277, lmic_raw_ub[#Headers],0))=0, INDEX(regions_ub[], MATCH($D345, regions_ub[[setting]:[setting]],0), MATCH(Z$139, regions_ub[#Headers],0)),INDEX(lmic_raw_ub[],MATCH($A345,lmic_raw_ub[[setting]:[setting]],0), MATCH(Z$277, lmic_raw_ub[#Headers],0)))</f>
        <v>13.781917453954089</v>
      </c>
      <c r="AA345" s="84">
        <f>IF(INDEX(lmic_raw_ub[],MATCH($A345,lmic_raw_ub[[setting]:[setting]],0), MATCH(AA$277, lmic_raw_ub[#Headers],0))=0, INDEX(regions_ub[], MATCH($D345, regions_ub[[setting]:[setting]],0), MATCH(AA$139, regions_ub[#Headers],0)),INDEX(lmic_raw_ub[],MATCH($A345,lmic_raw_ub[[setting]:[setting]],0), MATCH(AA$277, lmic_raw_ub[#Headers],0)))</f>
        <v>9.4817461124186462</v>
      </c>
      <c r="AB345" s="84">
        <f>IF(INDEX(lmic_raw_ub[],MATCH($A345,lmic_raw_ub[[setting]:[setting]],0), MATCH(AB$277, lmic_raw_ub[#Headers],0))=0, INDEX(regions_ub[], MATCH($D345, regions_ub[[setting]:[setting]],0), MATCH(AB$139, regions_ub[#Headers],0)),INDEX(lmic_raw_ub[],MATCH($A345,lmic_raw_ub[[setting]:[setting]],0), MATCH(AB$277, lmic_raw_ub[#Headers],0)))</f>
        <v>14.551881112418647</v>
      </c>
      <c r="AC345" s="84">
        <f>IF(INDEX(lmic_raw_ub[],MATCH($A345,lmic_raw_ub[[setting]:[setting]],0), MATCH(AC$277, lmic_raw_ub[#Headers],0))=0, INDEX(regions_ub[], MATCH($D345, regions_ub[[setting]:[setting]],0), MATCH(AC$139, regions_ub[#Headers],0)),INDEX(lmic_raw_ub[],MATCH($A345,lmic_raw_ub[[setting]:[setting]],0), MATCH(AC$277, lmic_raw_ub[#Headers],0)))</f>
        <v>6.5371634999999956E-2</v>
      </c>
      <c r="AD345" s="84">
        <f>IF(INDEX(lmic_raw_ub[],MATCH($A345,lmic_raw_ub[[setting]:[setting]],0), MATCH(AD$277, lmic_raw_ub[#Headers],0))=0, INDEX(regions_ub[], MATCH($D345, regions_ub[[setting]:[setting]],0), MATCH(AD$139, regions_ub[#Headers],0)),INDEX(lmic_raw_ub[],MATCH($A345,lmic_raw_ub[[setting]:[setting]],0), MATCH(AD$277, lmic_raw_ub[#Headers],0)))</f>
        <v>6.9438927345953673E-3</v>
      </c>
      <c r="AE345" s="84">
        <f>IF(INDEX(lmic_raw_ub[],MATCH($A345,lmic_raw_ub[[setting]:[setting]],0), MATCH(AE$277, lmic_raw_ub[#Headers],0))=0, INDEX(regions_ub[], MATCH($D345, regions_ub[[setting]:[setting]],0), MATCH(AE$139, regions_ub[#Headers],0)),INDEX(lmic_raw_ub[],MATCH($A345,lmic_raw_ub[[setting]:[setting]],0), MATCH(AE$277, lmic_raw_ub[#Headers],0)))</f>
        <v>1.8130058066546408E-3</v>
      </c>
      <c r="AF345" s="84">
        <f>IF(INDEX(lmic_raw_ub[],MATCH($A345,lmic_raw_ub[[setting]:[setting]],0), MATCH(AF$277, lmic_raw_ub[#Headers],0))=0, INDEX(regions_ub[], MATCH($D345, regions_ub[[setting]:[setting]],0), MATCH(AF$139, regions_ub[#Headers],0)),INDEX(lmic_raw_ub[],MATCH($A345,lmic_raw_ub[[setting]:[setting]],0), MATCH(AF$277, lmic_raw_ub[#Headers],0)))</f>
        <v>1.4998843162438145E-3</v>
      </c>
      <c r="AG345" s="84">
        <f>IF(INDEX(lmic_raw_ub[],MATCH($A345,lmic_raw_ub[[setting]:[setting]],0), MATCH(AG$277, lmic_raw_ub[#Headers],0))=0, INDEX(regions_ub[], MATCH($D345, regions_ub[[setting]:[setting]],0), MATCH(AG$139, regions_ub[#Headers],0)),INDEX(lmic_raw_ub[],MATCH($A345,lmic_raw_ub[[setting]:[setting]],0), MATCH(AG$277, lmic_raw_ub[#Headers],0)))</f>
        <v>2.3037219567561633E-3</v>
      </c>
      <c r="AH345" s="84">
        <f>IF(INDEX(lmic_raw_ub[],MATCH($A345,lmic_raw_ub[[setting]:[setting]],0), MATCH(AH$277, lmic_raw_ub[#Headers],0))=0, INDEX(regions_ub[], MATCH($D345, regions_ub[[setting]:[setting]],0), MATCH(AH$139, regions_ub[#Headers],0)),INDEX(lmic_raw_ub[],MATCH($A345,lmic_raw_ub[[setting]:[setting]],0), MATCH(AH$277, lmic_raw_ub[#Headers],0)))</f>
        <v>4.226148943627884E-3</v>
      </c>
      <c r="AI345" s="84">
        <f>IF(INDEX(lmic_raw_ub[],MATCH($A345,lmic_raw_ub[[setting]:[setting]],0), MATCH(AI$277, lmic_raw_ub[#Headers],0))=0, INDEX(regions_ub[], MATCH($D345, regions_ub[[setting]:[setting]],0), MATCH(AI$139, regions_ub[#Headers],0)),INDEX(lmic_raw_ub[],MATCH($A345,lmic_raw_ub[[setting]:[setting]],0), MATCH(AI$277, lmic_raw_ub[#Headers],0)))</f>
        <v>7.8084261944162698E-3</v>
      </c>
      <c r="AJ345" s="84">
        <f>IF(INDEX(lmic_raw_ub[],MATCH($A345,lmic_raw_ub[[setting]:[setting]],0), MATCH(AJ$277, lmic_raw_ub[#Headers],0))=0, INDEX(regions_ub[], MATCH($D345, regions_ub[[setting]:[setting]],0), MATCH(AJ$139, regions_ub[#Headers],0)),INDEX(lmic_raw_ub[],MATCH($A345,lmic_raw_ub[[setting]:[setting]],0), MATCH(AJ$277, lmic_raw_ub[#Headers],0)))</f>
        <v>1.1782298966407518E-2</v>
      </c>
      <c r="AK345" s="84">
        <f>IF(INDEX(lmic_raw_ub[],MATCH($A345,lmic_raw_ub[[setting]:[setting]],0), MATCH(AK$277, lmic_raw_ub[#Headers],0))=0, INDEX(regions_ub[], MATCH($D345, regions_ub[[setting]:[setting]],0), MATCH(AK$139, regions_ub[#Headers],0)),INDEX(lmic_raw_ub[],MATCH($A345,lmic_raw_ub[[setting]:[setting]],0), MATCH(AK$277, lmic_raw_ub[#Headers],0)))</f>
        <v>1.7280235144121206E-2</v>
      </c>
      <c r="AL345" s="84">
        <f>IF(INDEX(lmic_raw_ub[],MATCH($A345,lmic_raw_ub[[setting]:[setting]],0), MATCH(AL$277, lmic_raw_ub[#Headers],0))=0, INDEX(regions_ub[], MATCH($D345, regions_ub[[setting]:[setting]],0), MATCH(AL$139, regions_ub[#Headers],0)),INDEX(lmic_raw_ub[],MATCH($A345,lmic_raw_ub[[setting]:[setting]],0), MATCH(AL$277, lmic_raw_ub[#Headers],0)))</f>
        <v>1.9498657061440449E-2</v>
      </c>
      <c r="AM345" s="84">
        <f>IF(INDEX(lmic_raw_ub[],MATCH($A345,lmic_raw_ub[[setting]:[setting]],0), MATCH(AM$277, lmic_raw_ub[#Headers],0))=0, INDEX(regions_ub[], MATCH($D345, regions_ub[[setting]:[setting]],0), MATCH(AM$139, regions_ub[#Headers],0)),INDEX(lmic_raw_ub[],MATCH($A345,lmic_raw_ub[[setting]:[setting]],0), MATCH(AM$277, lmic_raw_ub[#Headers],0)))</f>
        <v>2.1646491515274768E-2</v>
      </c>
      <c r="AN345" s="84">
        <f>IF(INDEX(lmic_raw_ub[],MATCH($A345,lmic_raw_ub[[setting]:[setting]],0), MATCH(AN$277, lmic_raw_ub[#Headers],0))=0, INDEX(regions_ub[], MATCH($D345, regions_ub[[setting]:[setting]],0), MATCH(AN$139, regions_ub[#Headers],0)),INDEX(lmic_raw_ub[],MATCH($A345,lmic_raw_ub[[setting]:[setting]],0), MATCH(AN$277, lmic_raw_ub[#Headers],0)))</f>
        <v>2.3306011544348752E-2</v>
      </c>
      <c r="AO345" s="84">
        <f>IF(INDEX(lmic_raw_ub[],MATCH($A345,lmic_raw_ub[[setting]:[setting]],0), MATCH(AO$277, lmic_raw_ub[#Headers],0))=0, INDEX(regions_ub[], MATCH($D345, regions_ub[[setting]:[setting]],0), MATCH(AO$139, regions_ub[#Headers],0)),INDEX(lmic_raw_ub[],MATCH($A345,lmic_raw_ub[[setting]:[setting]],0), MATCH(AO$277, lmic_raw_ub[#Headers],0)))</f>
        <v>2.6219331219291257E-2</v>
      </c>
      <c r="AP345" s="84">
        <f>IF(INDEX(lmic_raw_ub[],MATCH($A345,lmic_raw_ub[[setting]:[setting]],0), MATCH(AP$277, lmic_raw_ub[#Headers],0))=0, INDEX(regions_ub[], MATCH($D345, regions_ub[[setting]:[setting]],0), MATCH(AP$139, regions_ub[#Headers],0)),INDEX(lmic_raw_ub[],MATCH($A345,lmic_raw_ub[[setting]:[setting]],0), MATCH(AP$277, lmic_raw_ub[#Headers],0)))</f>
        <v>3.1734836468947612E-2</v>
      </c>
      <c r="AQ345" s="84">
        <f>IF(INDEX(lmic_raw_ub[],MATCH($A345,lmic_raw_ub[[setting]:[setting]],0), MATCH(AQ$277, lmic_raw_ub[#Headers],0))=0, INDEX(regions_ub[], MATCH($D345, regions_ub[[setting]:[setting]],0), MATCH(AQ$139, regions_ub[#Headers],0)),INDEX(lmic_raw_ub[],MATCH($A345,lmic_raw_ub[[setting]:[setting]],0), MATCH(AQ$277, lmic_raw_ub[#Headers],0)))</f>
        <v>4.162382723737873E-2</v>
      </c>
      <c r="AR345" s="84">
        <f>IF(INDEX(lmic_raw_ub[],MATCH($A345,lmic_raw_ub[[setting]:[setting]],0), MATCH(AR$277, lmic_raw_ub[#Headers],0))=0, INDEX(regions_ub[], MATCH($D345, regions_ub[[setting]:[setting]],0), MATCH(AR$139, regions_ub[#Headers],0)),INDEX(lmic_raw_ub[],MATCH($A345,lmic_raw_ub[[setting]:[setting]],0), MATCH(AR$277, lmic_raw_ub[#Headers],0)))</f>
        <v>5.7192219718902364E-2</v>
      </c>
      <c r="AS345" s="84">
        <f>IF(INDEX(lmic_raw_ub[],MATCH($A345,lmic_raw_ub[[setting]:[setting]],0), MATCH(AS$277, lmic_raw_ub[#Headers],0))=0, INDEX(regions_ub[], MATCH($D345, regions_ub[[setting]:[setting]],0), MATCH(AS$139, regions_ub[#Headers],0)),INDEX(lmic_raw_ub[],MATCH($A345,lmic_raw_ub[[setting]:[setting]],0), MATCH(AS$277, lmic_raw_ub[#Headers],0)))</f>
        <v>7.8321724003774518E-2</v>
      </c>
      <c r="AT345" s="84">
        <f>IF(INDEX(lmic_raw_ub[],MATCH($A345,lmic_raw_ub[[setting]:[setting]],0), MATCH(AT$277, lmic_raw_ub[#Headers],0))=0, INDEX(regions_ub[], MATCH($D345, regions_ub[[setting]:[setting]],0), MATCH(AT$139, regions_ub[#Headers],0)),INDEX(lmic_raw_ub[],MATCH($A345,lmic_raw_ub[[setting]:[setting]],0), MATCH(AT$277, lmic_raw_ub[#Headers],0)))</f>
        <v>0.1110280466320467</v>
      </c>
      <c r="AU345" s="84">
        <f>IF(INDEX(lmic_raw_ub[],MATCH($A345,lmic_raw_ub[[setting]:[setting]],0), MATCH(AU$277, lmic_raw_ub[#Headers],0))=0, INDEX(regions_ub[], MATCH($D345, regions_ub[[setting]:[setting]],0), MATCH(AU$139, regions_ub[#Headers],0)),INDEX(lmic_raw_ub[],MATCH($A345,lmic_raw_ub[[setting]:[setting]],0), MATCH(AU$277, lmic_raw_ub[#Headers],0)))</f>
        <v>0.15016929221910463</v>
      </c>
      <c r="AV345" s="84">
        <f>IF(INDEX(lmic_raw_ub[],MATCH($A345,lmic_raw_ub[[setting]:[setting]],0), MATCH(AV$277, lmic_raw_ub[#Headers],0))=0, INDEX(regions_ub[], MATCH($D345, regions_ub[[setting]:[setting]],0), MATCH(AV$139, regions_ub[#Headers],0)),INDEX(lmic_raw_ub[],MATCH($A345,lmic_raw_ub[[setting]:[setting]],0), MATCH(AV$277, lmic_raw_ub[#Headers],0)))</f>
        <v>0.17957523400921999</v>
      </c>
      <c r="AW345" s="84">
        <f>IF(INDEX(lmic_raw_ub[],MATCH($A345,lmic_raw_ub[[setting]:[setting]],0), MATCH(AW$277, lmic_raw_ub[#Headers],0))=0, INDEX(regions_ub[], MATCH($D345, regions_ub[[setting]:[setting]],0), MATCH(AW$139, regions_ub[#Headers],0)),INDEX(lmic_raw_ub[],MATCH($A345,lmic_raw_ub[[setting]:[setting]],0), MATCH(AW$277, lmic_raw_ub[#Headers],0)))</f>
        <v>0.19150976801715297</v>
      </c>
      <c r="AX345" s="84">
        <f>IF(INDEX(lmic_raw_ub[],MATCH($A345,lmic_raw_ub[[setting]:[setting]],0), MATCH(AX$277, lmic_raw_ub[#Headers],0))=0, INDEX(regions_ub[], MATCH($D345, regions_ub[[setting]:[setting]],0), MATCH(AX$139, regions_ub[#Headers],0)),INDEX(lmic_raw_ub[],MATCH($A345,lmic_raw_ub[[setting]:[setting]],0), MATCH(AX$277, lmic_raw_ub[#Headers],0)))</f>
        <v>56.186550000000004</v>
      </c>
      <c r="AY345" s="33" t="str">
        <f>IF(VLOOKUP(lmics_ub[[#This Row],[setting]],lmic_raw_ub[],11,FALSE)=0, "Yes", "No")</f>
        <v>Yes</v>
      </c>
    </row>
    <row r="346" spans="1:51" x14ac:dyDescent="0.25">
      <c r="A346" s="109" t="s">
        <v>146</v>
      </c>
      <c r="B346" s="101" t="s">
        <v>458</v>
      </c>
      <c r="C346" s="102">
        <v>430</v>
      </c>
      <c r="D346" s="82" t="s">
        <v>677</v>
      </c>
      <c r="E346" s="82" t="s">
        <v>591</v>
      </c>
      <c r="F346" s="82" t="s">
        <v>667</v>
      </c>
      <c r="G346" s="82" t="s">
        <v>674</v>
      </c>
      <c r="J346" s="84">
        <f>IF(INDEX(lmic_raw_ub[],MATCH($A346,lmic_raw_ub[[setting]:[setting]],0), MATCH(J$277, lmic_raw_ub[#Headers],0))=0, INDEX(regions_ub[], MATCH($D346, regions_ub[[setting]:[setting]],0), MATCH(J$139, regions_ub[#Headers],0)),INDEX(lmic_raw_ub[],MATCH($A346,lmic_raw_ub[[setting]:[setting]],0), MATCH(J$277, lmic_raw_ub[#Headers],0)))</f>
        <v>0.83789999999999998</v>
      </c>
      <c r="K346" s="84">
        <f>IF(INDEX(lmic_raw_ub[],MATCH($A346,lmic_raw_ub[[setting]:[setting]],0), MATCH(K$277, lmic_raw_ub[#Headers],0))=0, INDEX(regions_ub[], MATCH($D346, regions_ub[[setting]:[setting]],0), MATCH(K$139, regions_ub[#Headers],0)),INDEX(lmic_raw_ub[],MATCH($A346,lmic_raw_ub[[setting]:[setting]],0), MATCH(K$277, lmic_raw_ub[#Headers],0)))</f>
        <v>0.71433037619548323</v>
      </c>
      <c r="L346" s="84">
        <f>IF(INDEX(lmic_raw_ub[],MATCH($A346,lmic_raw_ub[[setting]:[setting]],0), MATCH(L$277, lmic_raw_ub[#Headers],0))=0, INDEX(regions_ub[], MATCH($D346, regions_ub[[setting]:[setting]],0), MATCH(L$139, regions_ub[#Headers],0)),INDEX(lmic_raw_ub[],MATCH($A346,lmic_raw_ub[[setting]:[setting]],0), MATCH(L$277, lmic_raw_ub[#Headers],0)))</f>
        <v>0.77700000000000002</v>
      </c>
      <c r="M346" s="84">
        <f>IF(INDEX(lmic_raw_ub[],MATCH($A346,lmic_raw_ub[[setting]:[setting]],0), MATCH(M$277, lmic_raw_ub[#Headers],0))=0, INDEX(regions_ub[], MATCH($D346, regions_ub[[setting]:[setting]],0), MATCH(M$139, regions_ub[#Headers],0)),INDEX(lmic_raw_ub[],MATCH($A346,lmic_raw_ub[[setting]:[setting]],0), MATCH(M$277, lmic_raw_ub[#Headers],0)))</f>
        <v>0.18390000000000001</v>
      </c>
      <c r="N346" s="84">
        <f>IF(INDEX(lmic_raw_ub[],MATCH($A346,lmic_raw_ub[[setting]:[setting]],0), MATCH(N$277, lmic_raw_ub[#Headers],0))=0, INDEX(regions_ub[], MATCH($D346, regions_ub[[setting]:[setting]],0), MATCH(N$139, regions_ub[#Headers],0)),INDEX(lmic_raw_ub[],MATCH($A346,lmic_raw_ub[[setting]:[setting]],0), MATCH(N$277, lmic_raw_ub[#Headers],0)))</f>
        <v>0.41070000000000001</v>
      </c>
      <c r="O346" s="84">
        <f>IF(INDEX(lmic_raw_ub[],MATCH($A346,lmic_raw_ub[[setting]:[setting]],0), MATCH(O$277, lmic_raw_ub[#Headers],0))=0, INDEX(regions_ub[], MATCH($D346, regions_ub[[setting]:[setting]],0), MATCH(O$139, regions_ub[#Headers],0)),INDEX(lmic_raw_ub[],MATCH($A346,lmic_raw_ub[[setting]:[setting]],0), MATCH(O$277, lmic_raw_ub[#Headers],0)))</f>
        <v>0.74399999999999999</v>
      </c>
      <c r="P346" s="84">
        <f>IF(INDEX(lmic_raw_ub[],MATCH($A346,lmic_raw_ub[[setting]:[setting]],0), MATCH(P$277, lmic_raw_ub[#Headers],0))=0, INDEX(regions_ub[], MATCH($D346, regions_ub[[setting]:[setting]],0), MATCH(P$139, regions_ub[#Headers],0)),INDEX(lmic_raw_ub[],MATCH($A346,lmic_raw_ub[[setting]:[setting]],0), MATCH(P$277, lmic_raw_ub[#Headers],0)))</f>
        <v>0.13300000000000001</v>
      </c>
      <c r="Q346" s="84">
        <f>IF(INDEX(lmic_raw_ub[],MATCH($A346,lmic_raw_ub[[setting]:[setting]],0), MATCH(Q$277, lmic_raw_ub[#Headers],0))=0, INDEX(regions_ub[], MATCH($D346, regions_ub[[setting]:[setting]],0), MATCH(Q$139, regions_ub[#Headers],0)),INDEX(lmic_raw_ub[],MATCH($A346,lmic_raw_ub[[setting]:[setting]],0), MATCH(Q$277, lmic_raw_ub[#Headers],0)))</f>
        <v>2.5793148957340217</v>
      </c>
      <c r="R346" s="84">
        <f>IF(INDEX(lmic_raw_ub[],MATCH($A346,lmic_raw_ub[[setting]:[setting]],0), MATCH(R$277, lmic_raw_ub[#Headers],0))=0, INDEX(regions_ub[], MATCH($D346, regions_ub[[setting]:[setting]],0), MATCH(R$139, regions_ub[#Headers],0)),INDEX(lmic_raw_ub[],MATCH($A346,lmic_raw_ub[[setting]:[setting]],0), MATCH(R$277, lmic_raw_ub[#Headers],0)))</f>
        <v>31.416525000000004</v>
      </c>
      <c r="S346" s="84">
        <f>IF(INDEX(lmic_raw_ub[],MATCH($A346,lmic_raw_ub[[setting]:[setting]],0), MATCH(S$277, lmic_raw_ub[#Headers],0))=0, INDEX(regions_ub[], MATCH($D346, regions_ub[[setting]:[setting]],0), MATCH(S$139, regions_ub[#Headers],0)),INDEX(lmic_raw_ub[],MATCH($A346,lmic_raw_ub[[setting]:[setting]],0), MATCH(S$277, lmic_raw_ub[#Headers],0)))</f>
        <v>81.545625000000015</v>
      </c>
      <c r="T346" s="84">
        <f>IF(INDEX(lmic_raw_ub[],MATCH($A346,lmic_raw_ub[[setting]:[setting]],0), MATCH(T$277, lmic_raw_ub[#Headers],0))=0, INDEX(regions_ub[], MATCH($D346, regions_ub[[setting]:[setting]],0), MATCH(T$139, regions_ub[#Headers],0)),INDEX(lmic_raw_ub[],MATCH($A346,lmic_raw_ub[[setting]:[setting]],0), MATCH(T$277, lmic_raw_ub[#Headers],0)))</f>
        <v>81.545625000000015</v>
      </c>
      <c r="U346" s="84">
        <f>IF(INDEX(lmic_raw_ub[],MATCH($A346,lmic_raw_ub[[setting]:[setting]],0), MATCH(U$277, lmic_raw_ub[#Headers],0))=0, INDEX(regions_ub[], MATCH($D346, regions_ub[[setting]:[setting]],0), MATCH(U$139, regions_ub[#Headers],0)),INDEX(lmic_raw_ub[],MATCH($A346,lmic_raw_ub[[setting]:[setting]],0), MATCH(U$277, lmic_raw_ub[#Headers],0)))</f>
        <v>81.545625000000015</v>
      </c>
      <c r="V346" s="84">
        <f>IF(INDEX(lmic_raw_ub[],MATCH($A346,lmic_raw_ub[[setting]:[setting]],0), MATCH(V$277, lmic_raw_ub[#Headers],0))=0, INDEX(regions_ub[], MATCH($D346, regions_ub[[setting]:[setting]],0), MATCH(V$139, regions_ub[#Headers],0)),INDEX(lmic_raw_ub[],MATCH($A346,lmic_raw_ub[[setting]:[setting]],0), MATCH(V$277, lmic_raw_ub[#Headers],0)))</f>
        <v>5.2645603455323071</v>
      </c>
      <c r="W346" s="84">
        <f>IF(INDEX(lmic_raw_ub[],MATCH($A346,lmic_raw_ub[[setting]:[setting]],0), MATCH(W$277, lmic_raw_ub[#Headers],0))=0, INDEX(regions_ub[], MATCH($D346, regions_ub[[setting]:[setting]],0), MATCH(W$139, regions_ub[#Headers],0)),INDEX(lmic_raw_ub[],MATCH($A346,lmic_raw_ub[[setting]:[setting]],0), MATCH(W$277, lmic_raw_ub[#Headers],0)))</f>
        <v>10.334695345532307</v>
      </c>
      <c r="X346" s="84">
        <f>IF(INDEX(lmic_raw_ub[],MATCH($A346,lmic_raw_ub[[setting]:[setting]],0), MATCH(X$277, lmic_raw_ub[#Headers],0))=0, INDEX(regions_ub[], MATCH($D346, regions_ub[[setting]:[setting]],0), MATCH(X$139, regions_ub[#Headers],0)),INDEX(lmic_raw_ub[],MATCH($A346,lmic_raw_ub[[setting]:[setting]],0), MATCH(X$277, lmic_raw_ub[#Headers],0)))</f>
        <v>4.7710634513750732</v>
      </c>
      <c r="Y346" s="84">
        <f>IF(INDEX(lmic_raw_ub[],MATCH($A346,lmic_raw_ub[[setting]:[setting]],0), MATCH(Y$277, lmic_raw_ub[#Headers],0))=0, INDEX(regions_ub[], MATCH($D346, regions_ub[[setting]:[setting]],0), MATCH(Y$139, regions_ub[#Headers],0)),INDEX(lmic_raw_ub[],MATCH($A346,lmic_raw_ub[[setting]:[setting]],0), MATCH(Y$277, lmic_raw_ub[#Headers],0)))</f>
        <v>9.8411984513750745</v>
      </c>
      <c r="Z346" s="84">
        <f>IF(INDEX(lmic_raw_ub[],MATCH($A346,lmic_raw_ub[[setting]:[setting]],0), MATCH(Z$277, lmic_raw_ub[#Headers],0))=0, INDEX(regions_ub[], MATCH($D346, regions_ub[[setting]:[setting]],0), MATCH(Z$139, regions_ub[#Headers],0)),INDEX(lmic_raw_ub[],MATCH($A346,lmic_raw_ub[[setting]:[setting]],0), MATCH(Z$277, lmic_raw_ub[#Headers],0)))</f>
        <v>9.8358368639765565</v>
      </c>
      <c r="AA346" s="84">
        <f>IF(INDEX(lmic_raw_ub[],MATCH($A346,lmic_raw_ub[[setting]:[setting]],0), MATCH(AA$277, lmic_raw_ub[#Headers],0))=0, INDEX(regions_ub[], MATCH($D346, regions_ub[[setting]:[setting]],0), MATCH(AA$139, regions_ub[#Headers],0)),INDEX(lmic_raw_ub[],MATCH($A346,lmic_raw_ub[[setting]:[setting]],0), MATCH(AA$277, lmic_raw_ub[#Headers],0)))</f>
        <v>5.5326555577209051</v>
      </c>
      <c r="AB346" s="84">
        <f>IF(INDEX(lmic_raw_ub[],MATCH($A346,lmic_raw_ub[[setting]:[setting]],0), MATCH(AB$277, lmic_raw_ub[#Headers],0))=0, INDEX(regions_ub[], MATCH($D346, regions_ub[[setting]:[setting]],0), MATCH(AB$139, regions_ub[#Headers],0)),INDEX(lmic_raw_ub[],MATCH($A346,lmic_raw_ub[[setting]:[setting]],0), MATCH(AB$277, lmic_raw_ub[#Headers],0)))</f>
        <v>10.602790557720905</v>
      </c>
      <c r="AC346" s="84">
        <f>IF(INDEX(lmic_raw_ub[],MATCH($A346,lmic_raw_ub[[setting]:[setting]],0), MATCH(AC$277, lmic_raw_ub[#Headers],0))=0, INDEX(regions_ub[], MATCH($D346, regions_ub[[setting]:[setting]],0), MATCH(AC$139, regions_ub[#Headers],0)),INDEX(lmic_raw_ub[],MATCH($A346,lmic_raw_ub[[setting]:[setting]],0), MATCH(AC$277, lmic_raw_ub[#Headers],0)))</f>
        <v>5.6777657999999932E-2</v>
      </c>
      <c r="AD346" s="84">
        <f>IF(INDEX(lmic_raw_ub[],MATCH($A346,lmic_raw_ub[[setting]:[setting]],0), MATCH(AD$277, lmic_raw_ub[#Headers],0))=0, INDEX(regions_ub[], MATCH($D346, regions_ub[[setting]:[setting]],0), MATCH(AD$139, regions_ub[#Headers],0)),INDEX(lmic_raw_ub[],MATCH($A346,lmic_raw_ub[[setting]:[setting]],0), MATCH(AD$277, lmic_raw_ub[#Headers],0)))</f>
        <v>5.5605426878829051E-3</v>
      </c>
      <c r="AE346" s="84">
        <f>IF(INDEX(lmic_raw_ub[],MATCH($A346,lmic_raw_ub[[setting]:[setting]],0), MATCH(AE$277, lmic_raw_ub[#Headers],0))=0, INDEX(regions_ub[], MATCH($D346, regions_ub[[setting]:[setting]],0), MATCH(AE$139, regions_ub[#Headers],0)),INDEX(lmic_raw_ub[],MATCH($A346,lmic_raw_ub[[setting]:[setting]],0), MATCH(AE$277, lmic_raw_ub[#Headers],0)))</f>
        <v>1.6006808033801341E-3</v>
      </c>
      <c r="AF346" s="84">
        <f>IF(INDEX(lmic_raw_ub[],MATCH($A346,lmic_raw_ub[[setting]:[setting]],0), MATCH(AF$277, lmic_raw_ub[#Headers],0))=0, INDEX(regions_ub[], MATCH($D346, regions_ub[[setting]:[setting]],0), MATCH(AF$139, regions_ub[#Headers],0)),INDEX(lmic_raw_ub[],MATCH($A346,lmic_raw_ub[[setting]:[setting]],0), MATCH(AF$277, lmic_raw_ub[#Headers],0)))</f>
        <v>1.1372596364502296E-3</v>
      </c>
      <c r="AG346" s="84">
        <f>IF(INDEX(lmic_raw_ub[],MATCH($A346,lmic_raw_ub[[setting]:[setting]],0), MATCH(AG$277, lmic_raw_ub[#Headers],0))=0, INDEX(regions_ub[], MATCH($D346, regions_ub[[setting]:[setting]],0), MATCH(AG$139, regions_ub[#Headers],0)),INDEX(lmic_raw_ub[],MATCH($A346,lmic_raw_ub[[setting]:[setting]],0), MATCH(AG$277, lmic_raw_ub[#Headers],0)))</f>
        <v>1.787523477599781E-3</v>
      </c>
      <c r="AH346" s="84">
        <f>IF(INDEX(lmic_raw_ub[],MATCH($A346,lmic_raw_ub[[setting]:[setting]],0), MATCH(AH$277, lmic_raw_ub[#Headers],0))=0, INDEX(regions_ub[], MATCH($D346, regions_ub[[setting]:[setting]],0), MATCH(AH$139, regions_ub[#Headers],0)),INDEX(lmic_raw_ub[],MATCH($A346,lmic_raw_ub[[setting]:[setting]],0), MATCH(AH$277, lmic_raw_ub[#Headers],0)))</f>
        <v>2.630380564605384E-3</v>
      </c>
      <c r="AI346" s="84">
        <f>IF(INDEX(lmic_raw_ub[],MATCH($A346,lmic_raw_ub[[setting]:[setting]],0), MATCH(AI$277, lmic_raw_ub[#Headers],0))=0, INDEX(regions_ub[], MATCH($D346, regions_ub[[setting]:[setting]],0), MATCH(AI$139, regions_ub[#Headers],0)),INDEX(lmic_raw_ub[],MATCH($A346,lmic_raw_ub[[setting]:[setting]],0), MATCH(AI$277, lmic_raw_ub[#Headers],0)))</f>
        <v>3.196867009331277E-3</v>
      </c>
      <c r="AJ346" s="84">
        <f>IF(INDEX(lmic_raw_ub[],MATCH($A346,lmic_raw_ub[[setting]:[setting]],0), MATCH(AJ$277, lmic_raw_ub[#Headers],0))=0, INDEX(regions_ub[], MATCH($D346, regions_ub[[setting]:[setting]],0), MATCH(AJ$139, regions_ub[#Headers],0)),INDEX(lmic_raw_ub[],MATCH($A346,lmic_raw_ub[[setting]:[setting]],0), MATCH(AJ$277, lmic_raw_ub[#Headers],0)))</f>
        <v>3.8493728488840596E-3</v>
      </c>
      <c r="AK346" s="84">
        <f>IF(INDEX(lmic_raw_ub[],MATCH($A346,lmic_raw_ub[[setting]:[setting]],0), MATCH(AK$277, lmic_raw_ub[#Headers],0))=0, INDEX(regions_ub[], MATCH($D346, regions_ub[[setting]:[setting]],0), MATCH(AK$139, regions_ub[#Headers],0)),INDEX(lmic_raw_ub[],MATCH($A346,lmic_raw_ub[[setting]:[setting]],0), MATCH(AK$277, lmic_raw_ub[#Headers],0)))</f>
        <v>4.7957914326772801E-3</v>
      </c>
      <c r="AL346" s="84">
        <f>IF(INDEX(lmic_raw_ub[],MATCH($A346,lmic_raw_ub[[setting]:[setting]],0), MATCH(AL$277, lmic_raw_ub[#Headers],0))=0, INDEX(regions_ub[], MATCH($D346, regions_ub[[setting]:[setting]],0), MATCH(AL$139, regions_ub[#Headers],0)),INDEX(lmic_raw_ub[],MATCH($A346,lmic_raw_ub[[setting]:[setting]],0), MATCH(AL$277, lmic_raw_ub[#Headers],0)))</f>
        <v>6.0127251154176112E-3</v>
      </c>
      <c r="AM346" s="84">
        <f>IF(INDEX(lmic_raw_ub[],MATCH($A346,lmic_raw_ub[[setting]:[setting]],0), MATCH(AM$277, lmic_raw_ub[#Headers],0))=0, INDEX(regions_ub[], MATCH($D346, regions_ub[[setting]:[setting]],0), MATCH(AM$139, regions_ub[#Headers],0)),INDEX(lmic_raw_ub[],MATCH($A346,lmic_raw_ub[[setting]:[setting]],0), MATCH(AM$277, lmic_raw_ub[#Headers],0)))</f>
        <v>7.4806768294510663E-3</v>
      </c>
      <c r="AN346" s="84">
        <f>IF(INDEX(lmic_raw_ub[],MATCH($A346,lmic_raw_ub[[setting]:[setting]],0), MATCH(AN$277, lmic_raw_ub[#Headers],0))=0, INDEX(regions_ub[], MATCH($D346, regions_ub[[setting]:[setting]],0), MATCH(AN$139, regions_ub[#Headers],0)),INDEX(lmic_raw_ub[],MATCH($A346,lmic_raw_ub[[setting]:[setting]],0), MATCH(AN$277, lmic_raw_ub[#Headers],0)))</f>
        <v>1.0341593442258287E-2</v>
      </c>
      <c r="AO346" s="84">
        <f>IF(INDEX(lmic_raw_ub[],MATCH($A346,lmic_raw_ub[[setting]:[setting]],0), MATCH(AO$277, lmic_raw_ub[#Headers],0))=0, INDEX(regions_ub[], MATCH($D346, regions_ub[[setting]:[setting]],0), MATCH(AO$139, regions_ub[#Headers],0)),INDEX(lmic_raw_ub[],MATCH($A346,lmic_raw_ub[[setting]:[setting]],0), MATCH(AO$277, lmic_raw_ub[#Headers],0)))</f>
        <v>1.371576265568066E-2</v>
      </c>
      <c r="AP346" s="84">
        <f>IF(INDEX(lmic_raw_ub[],MATCH($A346,lmic_raw_ub[[setting]:[setting]],0), MATCH(AP$277, lmic_raw_ub[#Headers],0))=0, INDEX(regions_ub[], MATCH($D346, regions_ub[[setting]:[setting]],0), MATCH(AP$139, regions_ub[#Headers],0)),INDEX(lmic_raw_ub[],MATCH($A346,lmic_raw_ub[[setting]:[setting]],0), MATCH(AP$277, lmic_raw_ub[#Headers],0)))</f>
        <v>2.0362061952819886E-2</v>
      </c>
      <c r="AQ346" s="84">
        <f>IF(INDEX(lmic_raw_ub[],MATCH($A346,lmic_raw_ub[[setting]:[setting]],0), MATCH(AQ$277, lmic_raw_ub[#Headers],0))=0, INDEX(regions_ub[], MATCH($D346, regions_ub[[setting]:[setting]],0), MATCH(AQ$139, regions_ub[#Headers],0)),INDEX(lmic_raw_ub[],MATCH($A346,lmic_raw_ub[[setting]:[setting]],0), MATCH(AQ$277, lmic_raw_ub[#Headers],0)))</f>
        <v>3.1260673647582851E-2</v>
      </c>
      <c r="AR346" s="84">
        <f>IF(INDEX(lmic_raw_ub[],MATCH($A346,lmic_raw_ub[[setting]:[setting]],0), MATCH(AR$277, lmic_raw_ub[#Headers],0))=0, INDEX(regions_ub[], MATCH($D346, regions_ub[[setting]:[setting]],0), MATCH(AR$139, regions_ub[#Headers],0)),INDEX(lmic_raw_ub[],MATCH($A346,lmic_raw_ub[[setting]:[setting]],0), MATCH(AR$277, lmic_raw_ub[#Headers],0)))</f>
        <v>4.8580482035958383E-2</v>
      </c>
      <c r="AS346" s="84">
        <f>IF(INDEX(lmic_raw_ub[],MATCH($A346,lmic_raw_ub[[setting]:[setting]],0), MATCH(AS$277, lmic_raw_ub[#Headers],0))=0, INDEX(regions_ub[], MATCH($D346, regions_ub[[setting]:[setting]],0), MATCH(AS$139, regions_ub[#Headers],0)),INDEX(lmic_raw_ub[],MATCH($A346,lmic_raw_ub[[setting]:[setting]],0), MATCH(AS$277, lmic_raw_ub[#Headers],0)))</f>
        <v>7.4348108738983468E-2</v>
      </c>
      <c r="AT346" s="84">
        <f>IF(INDEX(lmic_raw_ub[],MATCH($A346,lmic_raw_ub[[setting]:[setting]],0), MATCH(AT$277, lmic_raw_ub[#Headers],0))=0, INDEX(regions_ub[], MATCH($D346, regions_ub[[setting]:[setting]],0), MATCH(AT$139, regions_ub[#Headers],0)),INDEX(lmic_raw_ub[],MATCH($A346,lmic_raw_ub[[setting]:[setting]],0), MATCH(AT$277, lmic_raw_ub[#Headers],0)))</f>
        <v>0.11104142354365279</v>
      </c>
      <c r="AU346" s="84">
        <f>IF(INDEX(lmic_raw_ub[],MATCH($A346,lmic_raw_ub[[setting]:[setting]],0), MATCH(AU$277, lmic_raw_ub[#Headers],0))=0, INDEX(regions_ub[], MATCH($D346, regions_ub[[setting]:[setting]],0), MATCH(AU$139, regions_ub[#Headers],0)),INDEX(lmic_raw_ub[],MATCH($A346,lmic_raw_ub[[setting]:[setting]],0), MATCH(AU$277, lmic_raw_ub[#Headers],0)))</f>
        <v>0.15289855993902712</v>
      </c>
      <c r="AV346" s="84">
        <f>IF(INDEX(lmic_raw_ub[],MATCH($A346,lmic_raw_ub[[setting]:[setting]],0), MATCH(AV$277, lmic_raw_ub[#Headers],0))=0, INDEX(regions_ub[], MATCH($D346, regions_ub[[setting]:[setting]],0), MATCH(AV$139, regions_ub[#Headers],0)),INDEX(lmic_raw_ub[],MATCH($A346,lmic_raw_ub[[setting]:[setting]],0), MATCH(AV$277, lmic_raw_ub[#Headers],0)))</f>
        <v>0.1872988568813603</v>
      </c>
      <c r="AW346" s="84">
        <f>IF(INDEX(lmic_raw_ub[],MATCH($A346,lmic_raw_ub[[setting]:[setting]],0), MATCH(AW$277, lmic_raw_ub[#Headers],0))=0, INDEX(regions_ub[], MATCH($D346, regions_ub[[setting]:[setting]],0), MATCH(AW$139, regions_ub[#Headers],0)),INDEX(lmic_raw_ub[],MATCH($A346,lmic_raw_ub[[setting]:[setting]],0), MATCH(AW$277, lmic_raw_ub[#Headers],0)))</f>
        <v>0.19849894004217569</v>
      </c>
      <c r="AX346" s="84">
        <f>IF(INDEX(lmic_raw_ub[],MATCH($A346,lmic_raw_ub[[setting]:[setting]],0), MATCH(AX$277, lmic_raw_ub[#Headers],0))=0, INDEX(regions_ub[], MATCH($D346, regions_ub[[setting]:[setting]],0), MATCH(AX$139, regions_ub[#Headers],0)),INDEX(lmic_raw_ub[],MATCH($A346,lmic_raw_ub[[setting]:[setting]],0), MATCH(AX$277, lmic_raw_ub[#Headers],0)))</f>
        <v>66.775800000000004</v>
      </c>
      <c r="AY346" s="33" t="str">
        <f>IF(VLOOKUP(lmics_ub[[#This Row],[setting]],lmic_raw_ub[],11,FALSE)=0, "Yes", "No")</f>
        <v>Yes</v>
      </c>
    </row>
    <row r="347" spans="1:51" x14ac:dyDescent="0.25">
      <c r="A347" s="110" t="s">
        <v>159</v>
      </c>
      <c r="B347" s="104" t="s">
        <v>459</v>
      </c>
      <c r="C347" s="105">
        <v>434</v>
      </c>
      <c r="D347" s="84" t="s">
        <v>673</v>
      </c>
      <c r="E347" s="84" t="s">
        <v>579</v>
      </c>
      <c r="F347" s="84" t="s">
        <v>579</v>
      </c>
      <c r="G347" s="84" t="s">
        <v>676</v>
      </c>
      <c r="J347" s="84">
        <f>IF(INDEX(lmic_raw_ub[],MATCH($A347,lmic_raw_ub[[setting]:[setting]],0), MATCH(J$277, lmic_raw_ub[#Headers],0))=0, INDEX(regions_ub[], MATCH($D347, regions_ub[[setting]:[setting]],0), MATCH(J$139, regions_ub[#Headers],0)),INDEX(lmic_raw_ub[],MATCH($A347,lmic_raw_ub[[setting]:[setting]],0), MATCH(J$277, lmic_raw_ub[#Headers],0)))</f>
        <v>0.99990000000000001</v>
      </c>
      <c r="K347" s="84">
        <f>IF(INDEX(lmic_raw_ub[],MATCH($A347,lmic_raw_ub[[setting]:[setting]],0), MATCH(K$277, lmic_raw_ub[#Headers],0))=0, INDEX(regions_ub[], MATCH($D347, regions_ub[[setting]:[setting]],0), MATCH(K$139, regions_ub[#Headers],0)),INDEX(lmic_raw_ub[],MATCH($A347,lmic_raw_ub[[setting]:[setting]],0), MATCH(K$277, lmic_raw_ub[#Headers],0)))</f>
        <v>0.74462879341111321</v>
      </c>
      <c r="L347" s="84">
        <f>IF(INDEX(lmic_raw_ub[],MATCH($A347,lmic_raw_ub[[setting]:[setting]],0), MATCH(L$277, lmic_raw_ub[#Headers],0))=0, INDEX(regions_ub[], MATCH($D347, regions_ub[[setting]:[setting]],0), MATCH(L$139, regions_ub[#Headers],0)),INDEX(lmic_raw_ub[],MATCH($A347,lmic_raw_ub[[setting]:[setting]],0), MATCH(L$277, lmic_raw_ub[#Headers],0)))</f>
        <v>0.76649999999999996</v>
      </c>
      <c r="M347" s="84">
        <f>IF(INDEX(lmic_raw_ub[],MATCH($A347,lmic_raw_ub[[setting]:[setting]],0), MATCH(M$277, lmic_raw_ub[#Headers],0))=0, INDEX(regions_ub[], MATCH($D347, regions_ub[[setting]:[setting]],0), MATCH(M$139, regions_ub[#Headers],0)),INDEX(lmic_raw_ub[],MATCH($A347,lmic_raw_ub[[setting]:[setting]],0), MATCH(M$277, lmic_raw_ub[#Headers],0)))</f>
        <v>2.2499999999999999E-2</v>
      </c>
      <c r="N347" s="84">
        <f>IF(INDEX(lmic_raw_ub[],MATCH($A347,lmic_raw_ub[[setting]:[setting]],0), MATCH(N$277, lmic_raw_ub[#Headers],0))=0, INDEX(regions_ub[], MATCH($D347, regions_ub[[setting]:[setting]],0), MATCH(N$139, regions_ub[#Headers],0)),INDEX(lmic_raw_ub[],MATCH($A347,lmic_raw_ub[[setting]:[setting]],0), MATCH(N$277, lmic_raw_ub[#Headers],0)))</f>
        <v>0.37619999999999998</v>
      </c>
      <c r="O347" s="84">
        <f>IF(INDEX(lmic_raw_ub[],MATCH($A347,lmic_raw_ub[[setting]:[setting]],0), MATCH(O$277, lmic_raw_ub[#Headers],0))=0, INDEX(regions_ub[], MATCH($D347, regions_ub[[setting]:[setting]],0), MATCH(O$139, regions_ub[#Headers],0)),INDEX(lmic_raw_ub[],MATCH($A347,lmic_raw_ub[[setting]:[setting]],0), MATCH(O$277, lmic_raw_ub[#Headers],0)))</f>
        <v>0.9</v>
      </c>
      <c r="P347" s="84">
        <f>IF(INDEX(lmic_raw_ub[],MATCH($A347,lmic_raw_ub[[setting]:[setting]],0), MATCH(P$277, lmic_raw_ub[#Headers],0))=0, INDEX(regions_ub[], MATCH($D347, regions_ub[[setting]:[setting]],0), MATCH(P$139, regions_ub[#Headers],0)),INDEX(lmic_raw_ub[],MATCH($A347,lmic_raw_ub[[setting]:[setting]],0), MATCH(P$277, lmic_raw_ub[#Headers],0)))</f>
        <v>0.3</v>
      </c>
      <c r="Q347" s="84">
        <f>IF(INDEX(lmic_raw_ub[],MATCH($A347,lmic_raw_ub[[setting]:[setting]],0), MATCH(Q$277, lmic_raw_ub[#Headers],0))=0, INDEX(regions_ub[], MATCH($D347, regions_ub[[setting]:[setting]],0), MATCH(Q$139, regions_ub[#Headers],0)),INDEX(lmic_raw_ub[],MATCH($A347,lmic_raw_ub[[setting]:[setting]],0), MATCH(Q$277, lmic_raw_ub[#Headers],0)))</f>
        <v>13.621092257460738</v>
      </c>
      <c r="R347" s="84">
        <f>IF(INDEX(lmic_raw_ub[],MATCH($A347,lmic_raw_ub[[setting]:[setting]],0), MATCH(R$277, lmic_raw_ub[#Headers],0))=0, INDEX(regions_ub[], MATCH($D347, regions_ub[[setting]:[setting]],0), MATCH(R$139, regions_ub[#Headers],0)),INDEX(lmic_raw_ub[],MATCH($A347,lmic_raw_ub[[setting]:[setting]],0), MATCH(R$277, lmic_raw_ub[#Headers],0)))</f>
        <v>48.652695000000001</v>
      </c>
      <c r="S347" s="84">
        <f>IF(INDEX(lmic_raw_ub[],MATCH($A347,lmic_raw_ub[[setting]:[setting]],0), MATCH(S$277, lmic_raw_ub[#Headers],0))=0, INDEX(regions_ub[], MATCH($D347, regions_ub[[setting]:[setting]],0), MATCH(S$139, regions_ub[#Headers],0)),INDEX(lmic_raw_ub[],MATCH($A347,lmic_raw_ub[[setting]:[setting]],0), MATCH(S$277, lmic_raw_ub[#Headers],0)))</f>
        <v>98.781795000000017</v>
      </c>
      <c r="T347" s="84">
        <f>IF(INDEX(lmic_raw_ub[],MATCH($A347,lmic_raw_ub[[setting]:[setting]],0), MATCH(T$277, lmic_raw_ub[#Headers],0))=0, INDEX(regions_ub[], MATCH($D347, regions_ub[[setting]:[setting]],0), MATCH(T$139, regions_ub[#Headers],0)),INDEX(lmic_raw_ub[],MATCH($A347,lmic_raw_ub[[setting]:[setting]],0), MATCH(T$277, lmic_raw_ub[#Headers],0)))</f>
        <v>98.781795000000017</v>
      </c>
      <c r="U347" s="84">
        <f>IF(INDEX(lmic_raw_ub[],MATCH($A347,lmic_raw_ub[[setting]:[setting]],0), MATCH(U$277, lmic_raw_ub[#Headers],0))=0, INDEX(regions_ub[], MATCH($D347, regions_ub[[setting]:[setting]],0), MATCH(U$139, regions_ub[#Headers],0)),INDEX(lmic_raw_ub[],MATCH($A347,lmic_raw_ub[[setting]:[setting]],0), MATCH(U$277, lmic_raw_ub[#Headers],0)))</f>
        <v>98.781795000000017</v>
      </c>
      <c r="V347" s="84">
        <f>IF(INDEX(lmic_raw_ub[],MATCH($A347,lmic_raw_ub[[setting]:[setting]],0), MATCH(V$277, lmic_raw_ub[#Headers],0))=0, INDEX(regions_ub[], MATCH($D347, regions_ub[[setting]:[setting]],0), MATCH(V$139, regions_ub[#Headers],0)),INDEX(lmic_raw_ub[],MATCH($A347,lmic_raw_ub[[setting]:[setting]],0), MATCH(V$277, lmic_raw_ub[#Headers],0)))</f>
        <v>12.438582286688074</v>
      </c>
      <c r="W347" s="84">
        <f>IF(INDEX(lmic_raw_ub[],MATCH($A347,lmic_raw_ub[[setting]:[setting]],0), MATCH(W$277, lmic_raw_ub[#Headers],0))=0, INDEX(regions_ub[], MATCH($D347, regions_ub[[setting]:[setting]],0), MATCH(W$139, regions_ub[#Headers],0)),INDEX(lmic_raw_ub[],MATCH($A347,lmic_raw_ub[[setting]:[setting]],0), MATCH(W$277, lmic_raw_ub[#Headers],0)))</f>
        <v>12.942162286688074</v>
      </c>
      <c r="X347" s="84">
        <f>IF(INDEX(lmic_raw_ub[],MATCH($A347,lmic_raw_ub[[setting]:[setting]],0), MATCH(X$277, lmic_raw_ub[#Headers],0))=0, INDEX(regions_ub[], MATCH($D347, regions_ub[[setting]:[setting]],0), MATCH(X$139, regions_ub[#Headers],0)),INDEX(lmic_raw_ub[],MATCH($A347,lmic_raw_ub[[setting]:[setting]],0), MATCH(X$277, lmic_raw_ub[#Headers],0)))</f>
        <v>11.91036507184657</v>
      </c>
      <c r="Y347" s="84">
        <f>IF(INDEX(lmic_raw_ub[],MATCH($A347,lmic_raw_ub[[setting]:[setting]],0), MATCH(Y$277, lmic_raw_ub[#Headers],0))=0, INDEX(regions_ub[], MATCH($D347, regions_ub[[setting]:[setting]],0), MATCH(Y$139, regions_ub[#Headers],0)),INDEX(lmic_raw_ub[],MATCH($A347,lmic_raw_ub[[setting]:[setting]],0), MATCH(Y$277, lmic_raw_ub[#Headers],0)))</f>
        <v>12.41394507184657</v>
      </c>
      <c r="Z347" s="84">
        <f>IF(INDEX(lmic_raw_ub[],MATCH($A347,lmic_raw_ub[[setting]:[setting]],0), MATCH(Z$277, lmic_raw_ub[#Headers],0))=0, INDEX(regions_ub[], MATCH($D347, regions_ub[[setting]:[setting]],0), MATCH(Z$139, regions_ub[#Headers],0)),INDEX(lmic_raw_ub[],MATCH($A347,lmic_raw_ub[[setting]:[setting]],0), MATCH(Z$277, lmic_raw_ub[#Headers],0)))</f>
        <v>12.389718685328669</v>
      </c>
      <c r="AA347" s="84">
        <f>IF(INDEX(lmic_raw_ub[],MATCH($A347,lmic_raw_ub[[setting]:[setting]],0), MATCH(AA$277, lmic_raw_ub[#Headers],0))=0, INDEX(regions_ub[], MATCH($D347, regions_ub[[setting]:[setting]],0), MATCH(AA$139, regions_ub[#Headers],0)),INDEX(lmic_raw_ub[],MATCH($A347,lmic_raw_ub[[setting]:[setting]],0), MATCH(AA$277, lmic_raw_ub[#Headers],0)))</f>
        <v>12.714558798663901</v>
      </c>
      <c r="AB347" s="84">
        <f>IF(INDEX(lmic_raw_ub[],MATCH($A347,lmic_raw_ub[[setting]:[setting]],0), MATCH(AB$277, lmic_raw_ub[#Headers],0))=0, INDEX(regions_ub[], MATCH($D347, regions_ub[[setting]:[setting]],0), MATCH(AB$139, regions_ub[#Headers],0)),INDEX(lmic_raw_ub[],MATCH($A347,lmic_raw_ub[[setting]:[setting]],0), MATCH(AB$277, lmic_raw_ub[#Headers],0)))</f>
        <v>13.218138798663901</v>
      </c>
      <c r="AC347" s="84">
        <f>IF(INDEX(lmic_raw_ub[],MATCH($A347,lmic_raw_ub[[setting]:[setting]],0), MATCH(AC$277, lmic_raw_ub[#Headers],0))=0, INDEX(regions_ub[], MATCH($D347, regions_ub[[setting]:[setting]],0), MATCH(AC$139, regions_ub[#Headers],0)),INDEX(lmic_raw_ub[],MATCH($A347,lmic_raw_ub[[setting]:[setting]],0), MATCH(AC$277, lmic_raw_ub[#Headers],0)))</f>
        <v>1.1057991000000074E-2</v>
      </c>
      <c r="AD347" s="84">
        <f>IF(INDEX(lmic_raw_ub[],MATCH($A347,lmic_raw_ub[[setting]:[setting]],0), MATCH(AD$277, lmic_raw_ub[#Headers],0))=0, INDEX(regions_ub[], MATCH($D347, regions_ub[[setting]:[setting]],0), MATCH(AD$139, regions_ub[#Headers],0)),INDEX(lmic_raw_ub[],MATCH($A347,lmic_raw_ub[[setting]:[setting]],0), MATCH(AD$277, lmic_raw_ub[#Headers],0)))</f>
        <v>5.7611228039193628E-4</v>
      </c>
      <c r="AE347" s="84">
        <f>IF(INDEX(lmic_raw_ub[],MATCH($A347,lmic_raw_ub[[setting]:[setting]],0), MATCH(AE$277, lmic_raw_ub[#Headers],0))=0, INDEX(regions_ub[], MATCH($D347, regions_ub[[setting]:[setting]],0), MATCH(AE$139, regions_ub[#Headers],0)),INDEX(lmic_raw_ub[],MATCH($A347,lmic_raw_ub[[setting]:[setting]],0), MATCH(AE$277, lmic_raw_ub[#Headers],0)))</f>
        <v>4.0556945692268414E-4</v>
      </c>
      <c r="AF347" s="84">
        <f>IF(INDEX(lmic_raw_ub[],MATCH($A347,lmic_raw_ub[[setting]:[setting]],0), MATCH(AF$277, lmic_raw_ub[#Headers],0))=0, INDEX(regions_ub[], MATCH($D347, regions_ub[[setting]:[setting]],0), MATCH(AF$139, regions_ub[#Headers],0)),INDEX(lmic_raw_ub[],MATCH($A347,lmic_raw_ub[[setting]:[setting]],0), MATCH(AF$277, lmic_raw_ub[#Headers],0)))</f>
        <v>4.1296928628974686E-4</v>
      </c>
      <c r="AG347" s="84">
        <f>IF(INDEX(lmic_raw_ub[],MATCH($A347,lmic_raw_ub[[setting]:[setting]],0), MATCH(AG$277, lmic_raw_ub[#Headers],0))=0, INDEX(regions_ub[], MATCH($D347, regions_ub[[setting]:[setting]],0), MATCH(AG$139, regions_ub[#Headers],0)),INDEX(lmic_raw_ub[],MATCH($A347,lmic_raw_ub[[setting]:[setting]],0), MATCH(AG$277, lmic_raw_ub[#Headers],0)))</f>
        <v>1.0399356983648474E-3</v>
      </c>
      <c r="AH347" s="84">
        <f>IF(INDEX(lmic_raw_ub[],MATCH($A347,lmic_raw_ub[[setting]:[setting]],0), MATCH(AH$277, lmic_raw_ub[#Headers],0))=0, INDEX(regions_ub[], MATCH($D347, regions_ub[[setting]:[setting]],0), MATCH(AH$139, regions_ub[#Headers],0)),INDEX(lmic_raw_ub[],MATCH($A347,lmic_raw_ub[[setting]:[setting]],0), MATCH(AH$277, lmic_raw_ub[#Headers],0)))</f>
        <v>1.4072421766954005E-3</v>
      </c>
      <c r="AI347" s="84">
        <f>IF(INDEX(lmic_raw_ub[],MATCH($A347,lmic_raw_ub[[setting]:[setting]],0), MATCH(AI$277, lmic_raw_ub[#Headers],0))=0, INDEX(regions_ub[], MATCH($D347, regions_ub[[setting]:[setting]],0), MATCH(AI$139, regions_ub[#Headers],0)),INDEX(lmic_raw_ub[],MATCH($A347,lmic_raw_ub[[setting]:[setting]],0), MATCH(AI$277, lmic_raw_ub[#Headers],0)))</f>
        <v>1.4954083264634803E-3</v>
      </c>
      <c r="AJ347" s="84">
        <f>IF(INDEX(lmic_raw_ub[],MATCH($A347,lmic_raw_ub[[setting]:[setting]],0), MATCH(AJ$277, lmic_raw_ub[#Headers],0))=0, INDEX(regions_ub[], MATCH($D347, regions_ub[[setting]:[setting]],0), MATCH(AJ$139, regions_ub[#Headers],0)),INDEX(lmic_raw_ub[],MATCH($A347,lmic_raw_ub[[setting]:[setting]],0), MATCH(AJ$277, lmic_raw_ub[#Headers],0)))</f>
        <v>1.6480413642938781E-3</v>
      </c>
      <c r="AK347" s="84">
        <f>IF(INDEX(lmic_raw_ub[],MATCH($A347,lmic_raw_ub[[setting]:[setting]],0), MATCH(AK$277, lmic_raw_ub[#Headers],0))=0, INDEX(regions_ub[], MATCH($D347, regions_ub[[setting]:[setting]],0), MATCH(AK$139, regions_ub[#Headers],0)),INDEX(lmic_raw_ub[],MATCH($A347,lmic_raw_ub[[setting]:[setting]],0), MATCH(AK$277, lmic_raw_ub[#Headers],0)))</f>
        <v>2.0688662207027759E-3</v>
      </c>
      <c r="AL347" s="84">
        <f>IF(INDEX(lmic_raw_ub[],MATCH($A347,lmic_raw_ub[[setting]:[setting]],0), MATCH(AL$277, lmic_raw_ub[#Headers],0))=0, INDEX(regions_ub[], MATCH($D347, regions_ub[[setting]:[setting]],0), MATCH(AL$139, regions_ub[#Headers],0)),INDEX(lmic_raw_ub[],MATCH($A347,lmic_raw_ub[[setting]:[setting]],0), MATCH(AL$277, lmic_raw_ub[#Headers],0)))</f>
        <v>2.914867067944072E-3</v>
      </c>
      <c r="AM347" s="84">
        <f>IF(INDEX(lmic_raw_ub[],MATCH($A347,lmic_raw_ub[[setting]:[setting]],0), MATCH(AM$277, lmic_raw_ub[#Headers],0))=0, INDEX(regions_ub[], MATCH($D347, regions_ub[[setting]:[setting]],0), MATCH(AM$139, regions_ub[#Headers],0)),INDEX(lmic_raw_ub[],MATCH($A347,lmic_raw_ub[[setting]:[setting]],0), MATCH(AM$277, lmic_raw_ub[#Headers],0)))</f>
        <v>4.1552332339414586E-3</v>
      </c>
      <c r="AN347" s="84">
        <f>IF(INDEX(lmic_raw_ub[],MATCH($A347,lmic_raw_ub[[setting]:[setting]],0), MATCH(AN$277, lmic_raw_ub[#Headers],0))=0, INDEX(regions_ub[], MATCH($D347, regions_ub[[setting]:[setting]],0), MATCH(AN$139, regions_ub[#Headers],0)),INDEX(lmic_raw_ub[],MATCH($A347,lmic_raw_ub[[setting]:[setting]],0), MATCH(AN$277, lmic_raw_ub[#Headers],0)))</f>
        <v>6.5295036205133619E-3</v>
      </c>
      <c r="AO347" s="84">
        <f>IF(INDEX(lmic_raw_ub[],MATCH($A347,lmic_raw_ub[[setting]:[setting]],0), MATCH(AO$277, lmic_raw_ub[#Headers],0))=0, INDEX(regions_ub[], MATCH($D347, regions_ub[[setting]:[setting]],0), MATCH(AO$139, regions_ub[#Headers],0)),INDEX(lmic_raw_ub[],MATCH($A347,lmic_raw_ub[[setting]:[setting]],0), MATCH(AO$277, lmic_raw_ub[#Headers],0)))</f>
        <v>1.0423991800362553E-2</v>
      </c>
      <c r="AP347" s="84">
        <f>IF(INDEX(lmic_raw_ub[],MATCH($A347,lmic_raw_ub[[setting]:[setting]],0), MATCH(AP$277, lmic_raw_ub[#Headers],0))=0, INDEX(regions_ub[], MATCH($D347, regions_ub[[setting]:[setting]],0), MATCH(AP$139, regions_ub[#Headers],0)),INDEX(lmic_raw_ub[],MATCH($A347,lmic_raw_ub[[setting]:[setting]],0), MATCH(AP$277, lmic_raw_ub[#Headers],0)))</f>
        <v>1.6432730315002649E-2</v>
      </c>
      <c r="AQ347" s="84">
        <f>IF(INDEX(lmic_raw_ub[],MATCH($A347,lmic_raw_ub[[setting]:[setting]],0), MATCH(AQ$277, lmic_raw_ub[#Headers],0))=0, INDEX(regions_ub[], MATCH($D347, regions_ub[[setting]:[setting]],0), MATCH(AQ$139, regions_ub[#Headers],0)),INDEX(lmic_raw_ub[],MATCH($A347,lmic_raw_ub[[setting]:[setting]],0), MATCH(AQ$277, lmic_raw_ub[#Headers],0)))</f>
        <v>2.6464399998889204E-2</v>
      </c>
      <c r="AR347" s="84">
        <f>IF(INDEX(lmic_raw_ub[],MATCH($A347,lmic_raw_ub[[setting]:[setting]],0), MATCH(AR$277, lmic_raw_ub[#Headers],0))=0, INDEX(regions_ub[], MATCH($D347, regions_ub[[setting]:[setting]],0), MATCH(AR$139, regions_ub[#Headers],0)),INDEX(lmic_raw_ub[],MATCH($A347,lmic_raw_ub[[setting]:[setting]],0), MATCH(AR$277, lmic_raw_ub[#Headers],0)))</f>
        <v>4.0790869516712749E-2</v>
      </c>
      <c r="AS347" s="84">
        <f>IF(INDEX(lmic_raw_ub[],MATCH($A347,lmic_raw_ub[[setting]:[setting]],0), MATCH(AS$277, lmic_raw_ub[#Headers],0))=0, INDEX(regions_ub[], MATCH($D347, regions_ub[[setting]:[setting]],0), MATCH(AS$139, regions_ub[#Headers],0)),INDEX(lmic_raw_ub[],MATCH($A347,lmic_raw_ub[[setting]:[setting]],0), MATCH(AS$277, lmic_raw_ub[#Headers],0)))</f>
        <v>6.3988747880077121E-2</v>
      </c>
      <c r="AT347" s="84">
        <f>IF(INDEX(lmic_raw_ub[],MATCH($A347,lmic_raw_ub[[setting]:[setting]],0), MATCH(AT$277, lmic_raw_ub[#Headers],0))=0, INDEX(regions_ub[], MATCH($D347, regions_ub[[setting]:[setting]],0), MATCH(AT$139, regions_ub[#Headers],0)),INDEX(lmic_raw_ub[],MATCH($A347,lmic_raw_ub[[setting]:[setting]],0), MATCH(AT$277, lmic_raw_ub[#Headers],0)))</f>
        <v>9.6810251473444714E-2</v>
      </c>
      <c r="AU347" s="84">
        <f>IF(INDEX(lmic_raw_ub[],MATCH($A347,lmic_raw_ub[[setting]:[setting]],0), MATCH(AU$277, lmic_raw_ub[#Headers],0))=0, INDEX(regions_ub[], MATCH($D347, regions_ub[[setting]:[setting]],0), MATCH(AU$139, regions_ub[#Headers],0)),INDEX(lmic_raw_ub[],MATCH($A347,lmic_raw_ub[[setting]:[setting]],0), MATCH(AU$277, lmic_raw_ub[#Headers],0)))</f>
        <v>0.13331595559857973</v>
      </c>
      <c r="AV347" s="84">
        <f>IF(INDEX(lmic_raw_ub[],MATCH($A347,lmic_raw_ub[[setting]:[setting]],0), MATCH(AV$277, lmic_raw_ub[#Headers],0))=0, INDEX(regions_ub[], MATCH($D347, regions_ub[[setting]:[setting]],0), MATCH(AV$139, regions_ub[#Headers],0)),INDEX(lmic_raw_ub[],MATCH($A347,lmic_raw_ub[[setting]:[setting]],0), MATCH(AV$277, lmic_raw_ub[#Headers],0)))</f>
        <v>0.16558602022800026</v>
      </c>
      <c r="AW347" s="84">
        <f>IF(INDEX(lmic_raw_ub[],MATCH($A347,lmic_raw_ub[[setting]:[setting]],0), MATCH(AW$277, lmic_raw_ub[#Headers],0))=0, INDEX(regions_ub[], MATCH($D347, regions_ub[[setting]:[setting]],0), MATCH(AW$139, regions_ub[#Headers],0)),INDEX(lmic_raw_ub[],MATCH($A347,lmic_raw_ub[[setting]:[setting]],0), MATCH(AW$277, lmic_raw_ub[#Headers],0)))</f>
        <v>0.18520871936399233</v>
      </c>
      <c r="AX347" s="84">
        <f>IF(INDEX(lmic_raw_ub[],MATCH($A347,lmic_raw_ub[[setting]:[setting]],0), MATCH(AX$277, lmic_raw_ub[#Headers],0))=0, INDEX(regions_ub[], MATCH($D347, regions_ub[[setting]:[setting]],0), MATCH(AX$139, regions_ub[#Headers],0)),INDEX(lmic_raw_ub[],MATCH($A347,lmic_raw_ub[[setting]:[setting]],0), MATCH(AX$277, lmic_raw_ub[#Headers],0)))</f>
        <v>76.33605</v>
      </c>
      <c r="AY347" s="33" t="str">
        <f>IF(VLOOKUP(lmics_ub[[#This Row],[setting]],lmic_raw_ub[],11,FALSE)=0, "Yes", "No")</f>
        <v>Yes</v>
      </c>
    </row>
    <row r="348" spans="1:51" x14ac:dyDescent="0.25">
      <c r="A348" s="109" t="s">
        <v>107</v>
      </c>
      <c r="B348" s="101" t="s">
        <v>461</v>
      </c>
      <c r="C348" s="102">
        <v>450</v>
      </c>
      <c r="D348" s="82" t="s">
        <v>677</v>
      </c>
      <c r="E348" s="82" t="s">
        <v>597</v>
      </c>
      <c r="F348" s="82" t="s">
        <v>667</v>
      </c>
      <c r="G348" s="82" t="s">
        <v>674</v>
      </c>
      <c r="J348" s="84">
        <f>IF(INDEX(lmic_raw_ub[],MATCH($A348,lmic_raw_ub[[setting]:[setting]],0), MATCH(J$277, lmic_raw_ub[#Headers],0))=0, INDEX(regions_ub[], MATCH($D348, regions_ub[[setting]:[setting]],0), MATCH(J$139, regions_ub[#Headers],0)),INDEX(lmic_raw_ub[],MATCH($A348,lmic_raw_ub[[setting]:[setting]],0), MATCH(J$277, lmic_raw_ub[#Headers],0)))</f>
        <v>0.40635000000000004</v>
      </c>
      <c r="K348" s="84">
        <f>IF(INDEX(lmic_raw_ub[],MATCH($A348,lmic_raw_ub[[setting]:[setting]],0), MATCH(K$277, lmic_raw_ub[#Headers],0))=0, INDEX(regions_ub[], MATCH($D348, regions_ub[[setting]:[setting]],0), MATCH(K$139, regions_ub[#Headers],0)),INDEX(lmic_raw_ub[],MATCH($A348,lmic_raw_ub[[setting]:[setting]],0), MATCH(K$277, lmic_raw_ub[#Headers],0)))</f>
        <v>0.71433037619548323</v>
      </c>
      <c r="L348" s="84">
        <f>IF(INDEX(lmic_raw_ub[],MATCH($A348,lmic_raw_ub[[setting]:[setting]],0), MATCH(L$277, lmic_raw_ub[#Headers],0))=0, INDEX(regions_ub[], MATCH($D348, regions_ub[[setting]:[setting]],0), MATCH(L$139, regions_ub[#Headers],0)),INDEX(lmic_raw_ub[],MATCH($A348,lmic_raw_ub[[setting]:[setting]],0), MATCH(L$277, lmic_raw_ub[#Headers],0)))</f>
        <v>0.82950000000000013</v>
      </c>
      <c r="M348" s="84">
        <f>IF(INDEX(lmic_raw_ub[],MATCH($A348,lmic_raw_ub[[setting]:[setting]],0), MATCH(M$277, lmic_raw_ub[#Headers],0))=0, INDEX(regions_ub[], MATCH($D348, regions_ub[[setting]:[setting]],0), MATCH(M$139, regions_ub[#Headers],0)),INDEX(lmic_raw_ub[],MATCH($A348,lmic_raw_ub[[setting]:[setting]],0), MATCH(M$277, lmic_raw_ub[#Headers],0)))</f>
        <v>0.1011</v>
      </c>
      <c r="N348" s="84">
        <f>IF(INDEX(lmic_raw_ub[],MATCH($A348,lmic_raw_ub[[setting]:[setting]],0), MATCH(N$277, lmic_raw_ub[#Headers],0))=0, INDEX(regions_ub[], MATCH($D348, regions_ub[[setting]:[setting]],0), MATCH(N$139, regions_ub[#Headers],0)),INDEX(lmic_raw_ub[],MATCH($A348,lmic_raw_ub[[setting]:[setting]],0), MATCH(N$277, lmic_raw_ub[#Headers],0)))</f>
        <v>0.39960000000000001</v>
      </c>
      <c r="O348" s="84">
        <f>IF(INDEX(lmic_raw_ub[],MATCH($A348,lmic_raw_ub[[setting]:[setting]],0), MATCH(O$277, lmic_raw_ub[#Headers],0))=0, INDEX(regions_ub[], MATCH($D348, regions_ub[[setting]:[setting]],0), MATCH(O$139, regions_ub[#Headers],0)),INDEX(lmic_raw_ub[],MATCH($A348,lmic_raw_ub[[setting]:[setting]],0), MATCH(O$277, lmic_raw_ub[#Headers],0)))</f>
        <v>0.74399999999999999</v>
      </c>
      <c r="P348" s="84">
        <f>IF(INDEX(lmic_raw_ub[],MATCH($A348,lmic_raw_ub[[setting]:[setting]],0), MATCH(P$277, lmic_raw_ub[#Headers],0))=0, INDEX(regions_ub[], MATCH($D348, regions_ub[[setting]:[setting]],0), MATCH(P$139, regions_ub[#Headers],0)),INDEX(lmic_raw_ub[],MATCH($A348,lmic_raw_ub[[setting]:[setting]],0), MATCH(P$277, lmic_raw_ub[#Headers],0)))</f>
        <v>0.13300000000000001</v>
      </c>
      <c r="Q348" s="84">
        <f>IF(INDEX(lmic_raw_ub[],MATCH($A348,lmic_raw_ub[[setting]:[setting]],0), MATCH(Q$277, lmic_raw_ub[#Headers],0))=0, INDEX(regions_ub[], MATCH($D348, regions_ub[[setting]:[setting]],0), MATCH(Q$139, regions_ub[#Headers],0)),INDEX(lmic_raw_ub[],MATCH($A348,lmic_raw_ub[[setting]:[setting]],0), MATCH(Q$277, lmic_raw_ub[#Headers],0)))</f>
        <v>2.5668523930684159</v>
      </c>
      <c r="R348" s="84">
        <f>IF(INDEX(lmic_raw_ub[],MATCH($A348,lmic_raw_ub[[setting]:[setting]],0), MATCH(R$277, lmic_raw_ub[#Headers],0))=0, INDEX(regions_ub[], MATCH($D348, regions_ub[[setting]:[setting]],0), MATCH(R$139, regions_ub[#Headers],0)),INDEX(lmic_raw_ub[],MATCH($A348,lmic_raw_ub[[setting]:[setting]],0), MATCH(R$277, lmic_raw_ub[#Headers],0)))</f>
        <v>31.416525000000004</v>
      </c>
      <c r="S348" s="84">
        <f>IF(INDEX(lmic_raw_ub[],MATCH($A348,lmic_raw_ub[[setting]:[setting]],0), MATCH(S$277, lmic_raw_ub[#Headers],0))=0, INDEX(regions_ub[], MATCH($D348, regions_ub[[setting]:[setting]],0), MATCH(S$139, regions_ub[#Headers],0)),INDEX(lmic_raw_ub[],MATCH($A348,lmic_raw_ub[[setting]:[setting]],0), MATCH(S$277, lmic_raw_ub[#Headers],0)))</f>
        <v>81.545625000000015</v>
      </c>
      <c r="T348" s="84">
        <f>IF(INDEX(lmic_raw_ub[],MATCH($A348,lmic_raw_ub[[setting]:[setting]],0), MATCH(T$277, lmic_raw_ub[#Headers],0))=0, INDEX(regions_ub[], MATCH($D348, regions_ub[[setting]:[setting]],0), MATCH(T$139, regions_ub[#Headers],0)),INDEX(lmic_raw_ub[],MATCH($A348,lmic_raw_ub[[setting]:[setting]],0), MATCH(T$277, lmic_raw_ub[#Headers],0)))</f>
        <v>81.545625000000015</v>
      </c>
      <c r="U348" s="84">
        <f>IF(INDEX(lmic_raw_ub[],MATCH($A348,lmic_raw_ub[[setting]:[setting]],0), MATCH(U$277, lmic_raw_ub[#Headers],0))=0, INDEX(regions_ub[], MATCH($D348, regions_ub[[setting]:[setting]],0), MATCH(U$139, regions_ub[#Headers],0)),INDEX(lmic_raw_ub[],MATCH($A348,lmic_raw_ub[[setting]:[setting]],0), MATCH(U$277, lmic_raw_ub[#Headers],0)))</f>
        <v>81.545625000000015</v>
      </c>
      <c r="V348" s="84">
        <f>IF(INDEX(lmic_raw_ub[],MATCH($A348,lmic_raw_ub[[setting]:[setting]],0), MATCH(V$277, lmic_raw_ub[#Headers],0))=0, INDEX(regions_ub[], MATCH($D348, regions_ub[[setting]:[setting]],0), MATCH(V$139, regions_ub[#Headers],0)),INDEX(lmic_raw_ub[],MATCH($A348,lmic_raw_ub[[setting]:[setting]],0), MATCH(V$277, lmic_raw_ub[#Headers],0)))</f>
        <v>3.0690744782456623</v>
      </c>
      <c r="W348" s="84">
        <f>IF(INDEX(lmic_raw_ub[],MATCH($A348,lmic_raw_ub[[setting]:[setting]],0), MATCH(W$277, lmic_raw_ub[#Headers],0))=0, INDEX(regions_ub[], MATCH($D348, regions_ub[[setting]:[setting]],0), MATCH(W$139, regions_ub[#Headers],0)),INDEX(lmic_raw_ub[],MATCH($A348,lmic_raw_ub[[setting]:[setting]],0), MATCH(W$277, lmic_raw_ub[#Headers],0)))</f>
        <v>8.1392094782456628</v>
      </c>
      <c r="X348" s="84">
        <f>IF(INDEX(lmic_raw_ub[],MATCH($A348,lmic_raw_ub[[setting]:[setting]],0), MATCH(X$277, lmic_raw_ub[#Headers],0))=0, INDEX(regions_ub[], MATCH($D348, regions_ub[[setting]:[setting]],0), MATCH(X$139, regions_ub[#Headers],0)),INDEX(lmic_raw_ub[],MATCH($A348,lmic_raw_ub[[setting]:[setting]],0), MATCH(X$277, lmic_raw_ub[#Headers],0)))</f>
        <v>2.5762896952942769</v>
      </c>
      <c r="Y348" s="84">
        <f>IF(INDEX(lmic_raw_ub[],MATCH($A348,lmic_raw_ub[[setting]:[setting]],0), MATCH(Y$277, lmic_raw_ub[#Headers],0))=0, INDEX(regions_ub[], MATCH($D348, regions_ub[[setting]:[setting]],0), MATCH(Y$139, regions_ub[#Headers],0)),INDEX(lmic_raw_ub[],MATCH($A348,lmic_raw_ub[[setting]:[setting]],0), MATCH(Y$277, lmic_raw_ub[#Headers],0)))</f>
        <v>7.6464246952942769</v>
      </c>
      <c r="Z348" s="84">
        <f>IF(INDEX(lmic_raw_ub[],MATCH($A348,lmic_raw_ub[[setting]:[setting]],0), MATCH(Z$277, lmic_raw_ub[#Headers],0))=0, INDEX(regions_ub[], MATCH($D348, regions_ub[[setting]:[setting]],0), MATCH(Z$139, regions_ub[#Headers],0)),INDEX(lmic_raw_ub[],MATCH($A348,lmic_raw_ub[[setting]:[setting]],0), MATCH(Z$277, lmic_raw_ub[#Headers],0)))</f>
        <v>7.6408116312916832</v>
      </c>
      <c r="AA348" s="84">
        <f>IF(INDEX(lmic_raw_ub[],MATCH($A348,lmic_raw_ub[[setting]:[setting]],0), MATCH(AA$277, lmic_raw_ub[#Headers],0))=0, INDEX(regions_ub[], MATCH($D348, regions_ub[[setting]:[setting]],0), MATCH(AA$139, regions_ub[#Headers],0)),INDEX(lmic_raw_ub[],MATCH($A348,lmic_raw_ub[[setting]:[setting]],0), MATCH(AA$277, lmic_raw_ub[#Headers],0)))</f>
        <v>3.3370080455593141</v>
      </c>
      <c r="AB348" s="84">
        <f>IF(INDEX(lmic_raw_ub[],MATCH($A348,lmic_raw_ub[[setting]:[setting]],0), MATCH(AB$277, lmic_raw_ub[#Headers],0))=0, INDEX(regions_ub[], MATCH($D348, regions_ub[[setting]:[setting]],0), MATCH(AB$139, regions_ub[#Headers],0)),INDEX(lmic_raw_ub[],MATCH($A348,lmic_raw_ub[[setting]:[setting]],0), MATCH(AB$277, lmic_raw_ub[#Headers],0)))</f>
        <v>8.4071430455593141</v>
      </c>
      <c r="AC348" s="84">
        <f>IF(INDEX(lmic_raw_ub[],MATCH($A348,lmic_raw_ub[[setting]:[setting]],0), MATCH(AC$277, lmic_raw_ub[#Headers],0))=0, INDEX(regions_ub[], MATCH($D348, regions_ub[[setting]:[setting]],0), MATCH(AC$139, regions_ub[#Headers],0)),INDEX(lmic_raw_ub[],MATCH($A348,lmic_raw_ub[[setting]:[setting]],0), MATCH(AC$277, lmic_raw_ub[#Headers],0)))</f>
        <v>3.049434149999998E-2</v>
      </c>
      <c r="AD348" s="84">
        <f>IF(INDEX(lmic_raw_ub[],MATCH($A348,lmic_raw_ub[[setting]:[setting]],0), MATCH(AD$277, lmic_raw_ub[#Headers],0))=0, INDEX(regions_ub[], MATCH($D348, regions_ub[[setting]:[setting]],0), MATCH(AD$139, regions_ub[#Headers],0)),INDEX(lmic_raw_ub[],MATCH($A348,lmic_raw_ub[[setting]:[setting]],0), MATCH(AD$277, lmic_raw_ub[#Headers],0)))</f>
        <v>3.8261647311396583E-3</v>
      </c>
      <c r="AE348" s="84">
        <f>IF(INDEX(lmic_raw_ub[],MATCH($A348,lmic_raw_ub[[setting]:[setting]],0), MATCH(AE$277, lmic_raw_ub[#Headers],0))=0, INDEX(regions_ub[], MATCH($D348, regions_ub[[setting]:[setting]],0), MATCH(AE$139, regions_ub[#Headers],0)),INDEX(lmic_raw_ub[],MATCH($A348,lmic_raw_ub[[setting]:[setting]],0), MATCH(AE$277, lmic_raw_ub[#Headers],0)))</f>
        <v>1.7676249717784825E-3</v>
      </c>
      <c r="AF348" s="84">
        <f>IF(INDEX(lmic_raw_ub[],MATCH($A348,lmic_raw_ub[[setting]:[setting]],0), MATCH(AF$277, lmic_raw_ub[#Headers],0))=0, INDEX(regions_ub[], MATCH($D348, regions_ub[[setting]:[setting]],0), MATCH(AF$139, regions_ub[#Headers],0)),INDEX(lmic_raw_ub[],MATCH($A348,lmic_raw_ub[[setting]:[setting]],0), MATCH(AF$277, lmic_raw_ub[#Headers],0)))</f>
        <v>1.389727388479392E-3</v>
      </c>
      <c r="AG348" s="84">
        <f>IF(INDEX(lmic_raw_ub[],MATCH($A348,lmic_raw_ub[[setting]:[setting]],0), MATCH(AG$277, lmic_raw_ub[#Headers],0))=0, INDEX(regions_ub[], MATCH($D348, regions_ub[[setting]:[setting]],0), MATCH(AG$139, regions_ub[#Headers],0)),INDEX(lmic_raw_ub[],MATCH($A348,lmic_raw_ub[[setting]:[setting]],0), MATCH(AG$277, lmic_raw_ub[#Headers],0)))</f>
        <v>1.9325835498258436E-3</v>
      </c>
      <c r="AH348" s="84">
        <f>IF(INDEX(lmic_raw_ub[],MATCH($A348,lmic_raw_ub[[setting]:[setting]],0), MATCH(AH$277, lmic_raw_ub[#Headers],0))=0, INDEX(regions_ub[], MATCH($D348, regions_ub[[setting]:[setting]],0), MATCH(AH$139, regions_ub[#Headers],0)),INDEX(lmic_raw_ub[],MATCH($A348,lmic_raw_ub[[setting]:[setting]],0), MATCH(AH$277, lmic_raw_ub[#Headers],0)))</f>
        <v>2.2361929337791422E-3</v>
      </c>
      <c r="AI348" s="84">
        <f>IF(INDEX(lmic_raw_ub[],MATCH($A348,lmic_raw_ub[[setting]:[setting]],0), MATCH(AI$277, lmic_raw_ub[#Headers],0))=0, INDEX(regions_ub[], MATCH($D348, regions_ub[[setting]:[setting]],0), MATCH(AI$139, regions_ub[#Headers],0)),INDEX(lmic_raw_ub[],MATCH($A348,lmic_raw_ub[[setting]:[setting]],0), MATCH(AI$277, lmic_raw_ub[#Headers],0)))</f>
        <v>2.4777430404005433E-3</v>
      </c>
      <c r="AJ348" s="84">
        <f>IF(INDEX(lmic_raw_ub[],MATCH($A348,lmic_raw_ub[[setting]:[setting]],0), MATCH(AJ$277, lmic_raw_ub[#Headers],0))=0, INDEX(regions_ub[], MATCH($D348, regions_ub[[setting]:[setting]],0), MATCH(AJ$139, regions_ub[#Headers],0)),INDEX(lmic_raw_ub[],MATCH($A348,lmic_raw_ub[[setting]:[setting]],0), MATCH(AJ$277, lmic_raw_ub[#Headers],0)))</f>
        <v>3.1985958572355493E-3</v>
      </c>
      <c r="AK348" s="84">
        <f>IF(INDEX(lmic_raw_ub[],MATCH($A348,lmic_raw_ub[[setting]:[setting]],0), MATCH(AK$277, lmic_raw_ub[#Headers],0))=0, INDEX(regions_ub[], MATCH($D348, regions_ub[[setting]:[setting]],0), MATCH(AK$139, regions_ub[#Headers],0)),INDEX(lmic_raw_ub[],MATCH($A348,lmic_raw_ub[[setting]:[setting]],0), MATCH(AK$277, lmic_raw_ub[#Headers],0)))</f>
        <v>4.111629720260291E-3</v>
      </c>
      <c r="AL348" s="84">
        <f>IF(INDEX(lmic_raw_ub[],MATCH($A348,lmic_raw_ub[[setting]:[setting]],0), MATCH(AL$277, lmic_raw_ub[#Headers],0))=0, INDEX(regions_ub[], MATCH($D348, regions_ub[[setting]:[setting]],0), MATCH(AL$139, regions_ub[#Headers],0)),INDEX(lmic_raw_ub[],MATCH($A348,lmic_raw_ub[[setting]:[setting]],0), MATCH(AL$277, lmic_raw_ub[#Headers],0)))</f>
        <v>5.3088980370500334E-3</v>
      </c>
      <c r="AM348" s="84">
        <f>IF(INDEX(lmic_raw_ub[],MATCH($A348,lmic_raw_ub[[setting]:[setting]],0), MATCH(AM$277, lmic_raw_ub[#Headers],0))=0, INDEX(regions_ub[], MATCH($D348, regions_ub[[setting]:[setting]],0), MATCH(AM$139, regions_ub[#Headers],0)),INDEX(lmic_raw_ub[],MATCH($A348,lmic_raw_ub[[setting]:[setting]],0), MATCH(AM$277, lmic_raw_ub[#Headers],0)))</f>
        <v>6.9939926365390863E-3</v>
      </c>
      <c r="AN348" s="84">
        <f>IF(INDEX(lmic_raw_ub[],MATCH($A348,lmic_raw_ub[[setting]:[setting]],0), MATCH(AN$277, lmic_raw_ub[#Headers],0))=0, INDEX(regions_ub[], MATCH($D348, regions_ub[[setting]:[setting]],0), MATCH(AN$139, regions_ub[#Headers],0)),INDEX(lmic_raw_ub[],MATCH($A348,lmic_raw_ub[[setting]:[setting]],0), MATCH(AN$277, lmic_raw_ub[#Headers],0)))</f>
        <v>9.3546050362235643E-3</v>
      </c>
      <c r="AO348" s="84">
        <f>IF(INDEX(lmic_raw_ub[],MATCH($A348,lmic_raw_ub[[setting]:[setting]],0), MATCH(AO$277, lmic_raw_ub[#Headers],0))=0, INDEX(regions_ub[], MATCH($D348, regions_ub[[setting]:[setting]],0), MATCH(AO$139, regions_ub[#Headers],0)),INDEX(lmic_raw_ub[],MATCH($A348,lmic_raw_ub[[setting]:[setting]],0), MATCH(AO$277, lmic_raw_ub[#Headers],0)))</f>
        <v>1.3166942653531079E-2</v>
      </c>
      <c r="AP348" s="84">
        <f>IF(INDEX(lmic_raw_ub[],MATCH($A348,lmic_raw_ub[[setting]:[setting]],0), MATCH(AP$277, lmic_raw_ub[#Headers],0))=0, INDEX(regions_ub[], MATCH($D348, regions_ub[[setting]:[setting]],0), MATCH(AP$139, regions_ub[#Headers],0)),INDEX(lmic_raw_ub[],MATCH($A348,lmic_raw_ub[[setting]:[setting]],0), MATCH(AP$277, lmic_raw_ub[#Headers],0)))</f>
        <v>2.0121992600801251E-2</v>
      </c>
      <c r="AQ348" s="84">
        <f>IF(INDEX(lmic_raw_ub[],MATCH($A348,lmic_raw_ub[[setting]:[setting]],0), MATCH(AQ$277, lmic_raw_ub[#Headers],0))=0, INDEX(regions_ub[], MATCH($D348, regions_ub[[setting]:[setting]],0), MATCH(AQ$139, regions_ub[#Headers],0)),INDEX(lmic_raw_ub[],MATCH($A348,lmic_raw_ub[[setting]:[setting]],0), MATCH(AQ$277, lmic_raw_ub[#Headers],0)))</f>
        <v>3.2412171688959095E-2</v>
      </c>
      <c r="AR348" s="84">
        <f>IF(INDEX(lmic_raw_ub[],MATCH($A348,lmic_raw_ub[[setting]:[setting]],0), MATCH(AR$277, lmic_raw_ub[#Headers],0))=0, INDEX(regions_ub[], MATCH($D348, regions_ub[[setting]:[setting]],0), MATCH(AR$139, regions_ub[#Headers],0)),INDEX(lmic_raw_ub[],MATCH($A348,lmic_raw_ub[[setting]:[setting]],0), MATCH(AR$277, lmic_raw_ub[#Headers],0)))</f>
        <v>4.9511488481258158E-2</v>
      </c>
      <c r="AS348" s="84">
        <f>IF(INDEX(lmic_raw_ub[],MATCH($A348,lmic_raw_ub[[setting]:[setting]],0), MATCH(AS$277, lmic_raw_ub[#Headers],0))=0, INDEX(regions_ub[], MATCH($D348, regions_ub[[setting]:[setting]],0), MATCH(AS$139, regions_ub[#Headers],0)),INDEX(lmic_raw_ub[],MATCH($A348,lmic_raw_ub[[setting]:[setting]],0), MATCH(AS$277, lmic_raw_ub[#Headers],0)))</f>
        <v>7.2026864807722635E-2</v>
      </c>
      <c r="AT348" s="84">
        <f>IF(INDEX(lmic_raw_ub[],MATCH($A348,lmic_raw_ub[[setting]:[setting]],0), MATCH(AT$277, lmic_raw_ub[#Headers],0))=0, INDEX(regions_ub[], MATCH($D348, regions_ub[[setting]:[setting]],0), MATCH(AT$139, regions_ub[#Headers],0)),INDEX(lmic_raw_ub[],MATCH($A348,lmic_raw_ub[[setting]:[setting]],0), MATCH(AT$277, lmic_raw_ub[#Headers],0)))</f>
        <v>9.9714300462043562E-2</v>
      </c>
      <c r="AU348" s="84">
        <f>IF(INDEX(lmic_raw_ub[],MATCH($A348,lmic_raw_ub[[setting]:[setting]],0), MATCH(AU$277, lmic_raw_ub[#Headers],0))=0, INDEX(regions_ub[], MATCH($D348, regions_ub[[setting]:[setting]],0), MATCH(AU$139, regions_ub[#Headers],0)),INDEX(lmic_raw_ub[],MATCH($A348,lmic_raw_ub[[setting]:[setting]],0), MATCH(AU$277, lmic_raw_ub[#Headers],0)))</f>
        <v>0.12971919476502042</v>
      </c>
      <c r="AV348" s="84">
        <f>IF(INDEX(lmic_raw_ub[],MATCH($A348,lmic_raw_ub[[setting]:[setting]],0), MATCH(AV$277, lmic_raw_ub[#Headers],0))=0, INDEX(regions_ub[], MATCH($D348, regions_ub[[setting]:[setting]],0), MATCH(AV$139, regions_ub[#Headers],0)),INDEX(lmic_raw_ub[],MATCH($A348,lmic_raw_ub[[setting]:[setting]],0), MATCH(AV$277, lmic_raw_ub[#Headers],0)))</f>
        <v>0.1573983054368441</v>
      </c>
      <c r="AW348" s="84">
        <f>IF(INDEX(lmic_raw_ub[],MATCH($A348,lmic_raw_ub[[setting]:[setting]],0), MATCH(AW$277, lmic_raw_ub[#Headers],0))=0, INDEX(regions_ub[], MATCH($D348, regions_ub[[setting]:[setting]],0), MATCH(AW$139, regions_ub[#Headers],0)),INDEX(lmic_raw_ub[],MATCH($A348,lmic_raw_ub[[setting]:[setting]],0), MATCH(AW$277, lmic_raw_ub[#Headers],0)))</f>
        <v>0.17827446458116308</v>
      </c>
      <c r="AX348" s="84">
        <f>IF(INDEX(lmic_raw_ub[],MATCH($A348,lmic_raw_ub[[setting]:[setting]],0), MATCH(AX$277, lmic_raw_ub[#Headers],0))=0, INDEX(regions_ub[], MATCH($D348, regions_ub[[setting]:[setting]],0), MATCH(AX$139, regions_ub[#Headers],0)),INDEX(lmic_raw_ub[],MATCH($A348,lmic_raw_ub[[setting]:[setting]],0), MATCH(AX$277, lmic_raw_ub[#Headers],0)))</f>
        <v>69.811350000000004</v>
      </c>
      <c r="AY348" s="33" t="str">
        <f>IF(VLOOKUP(lmics_ub[[#This Row],[setting]],lmic_raw_ub[],11,FALSE)=0, "Yes", "No")</f>
        <v>Yes</v>
      </c>
    </row>
    <row r="349" spans="1:51" x14ac:dyDescent="0.25">
      <c r="A349" s="110" t="s">
        <v>108</v>
      </c>
      <c r="B349" s="104" t="s">
        <v>462</v>
      </c>
      <c r="C349" s="105">
        <v>454</v>
      </c>
      <c r="D349" s="84" t="s">
        <v>677</v>
      </c>
      <c r="E349" s="84" t="s">
        <v>597</v>
      </c>
      <c r="F349" s="84" t="s">
        <v>667</v>
      </c>
      <c r="G349" s="84" t="s">
        <v>674</v>
      </c>
      <c r="J349" s="84">
        <f>IF(INDEX(lmic_raw_ub[],MATCH($A349,lmic_raw_ub[[setting]:[setting]],0), MATCH(J$277, lmic_raw_ub[#Headers],0))=0, INDEX(regions_ub[], MATCH($D349, regions_ub[[setting]:[setting]],0), MATCH(J$139, regions_ub[#Headers],0)),INDEX(lmic_raw_ub[],MATCH($A349,lmic_raw_ub[[setting]:[setting]],0), MATCH(J$277, lmic_raw_ub[#Headers],0)))</f>
        <v>0.95970000000000011</v>
      </c>
      <c r="K349" s="84">
        <f>IF(INDEX(lmic_raw_ub[],MATCH($A349,lmic_raw_ub[[setting]:[setting]],0), MATCH(K$277, lmic_raw_ub[#Headers],0))=0, INDEX(regions_ub[], MATCH($D349, regions_ub[[setting]:[setting]],0), MATCH(K$139, regions_ub[#Headers],0)),INDEX(lmic_raw_ub[],MATCH($A349,lmic_raw_ub[[setting]:[setting]],0), MATCH(K$277, lmic_raw_ub[#Headers],0)))</f>
        <v>0.71433037619548323</v>
      </c>
      <c r="L349" s="84">
        <f>IF(INDEX(lmic_raw_ub[],MATCH($A349,lmic_raw_ub[[setting]:[setting]],0), MATCH(L$277, lmic_raw_ub[#Headers],0))=0, INDEX(regions_ub[], MATCH($D349, regions_ub[[setting]:[setting]],0), MATCH(L$139, regions_ub[#Headers],0)),INDEX(lmic_raw_ub[],MATCH($A349,lmic_raw_ub[[setting]:[setting]],0), MATCH(L$277, lmic_raw_ub[#Headers],0)))</f>
        <v>0.99749999999999994</v>
      </c>
      <c r="M349" s="84">
        <f>IF(INDEX(lmic_raw_ub[],MATCH($A349,lmic_raw_ub[[setting]:[setting]],0), MATCH(M$277, lmic_raw_ub[#Headers],0))=0, INDEX(regions_ub[], MATCH($D349, regions_ub[[setting]:[setting]],0), MATCH(M$139, regions_ub[#Headers],0)),INDEX(lmic_raw_ub[],MATCH($A349,lmic_raw_ub[[setting]:[setting]],0), MATCH(M$277, lmic_raw_ub[#Headers],0)))</f>
        <v>8.8800000000000004E-2</v>
      </c>
      <c r="N349" s="84">
        <f>IF(INDEX(lmic_raw_ub[],MATCH($A349,lmic_raw_ub[[setting]:[setting]],0), MATCH(N$277, lmic_raw_ub[#Headers],0))=0, INDEX(regions_ub[], MATCH($D349, regions_ub[[setting]:[setting]],0), MATCH(N$139, regions_ub[#Headers],0)),INDEX(lmic_raw_ub[],MATCH($A349,lmic_raw_ub[[setting]:[setting]],0), MATCH(N$277, lmic_raw_ub[#Headers],0)))</f>
        <v>0.39960000000000001</v>
      </c>
      <c r="O349" s="84">
        <f>IF(INDEX(lmic_raw_ub[],MATCH($A349,lmic_raw_ub[[setting]:[setting]],0), MATCH(O$277, lmic_raw_ub[#Headers],0))=0, INDEX(regions_ub[], MATCH($D349, regions_ub[[setting]:[setting]],0), MATCH(O$139, regions_ub[#Headers],0)),INDEX(lmic_raw_ub[],MATCH($A349,lmic_raw_ub[[setting]:[setting]],0), MATCH(O$277, lmic_raw_ub[#Headers],0)))</f>
        <v>0.74399999999999999</v>
      </c>
      <c r="P349" s="84">
        <f>IF(INDEX(lmic_raw_ub[],MATCH($A349,lmic_raw_ub[[setting]:[setting]],0), MATCH(P$277, lmic_raw_ub[#Headers],0))=0, INDEX(regions_ub[], MATCH($D349, regions_ub[[setting]:[setting]],0), MATCH(P$139, regions_ub[#Headers],0)),INDEX(lmic_raw_ub[],MATCH($A349,lmic_raw_ub[[setting]:[setting]],0), MATCH(P$277, lmic_raw_ub[#Headers],0)))</f>
        <v>0.13300000000000001</v>
      </c>
      <c r="Q349" s="84">
        <f>IF(INDEX(lmic_raw_ub[],MATCH($A349,lmic_raw_ub[[setting]:[setting]],0), MATCH(Q$277, lmic_raw_ub[#Headers],0))=0, INDEX(regions_ub[], MATCH($D349, regions_ub[[setting]:[setting]],0), MATCH(Q$139, regions_ub[#Headers],0)),INDEX(lmic_raw_ub[],MATCH($A349,lmic_raw_ub[[setting]:[setting]],0), MATCH(Q$277, lmic_raw_ub[#Headers],0)))</f>
        <v>2.9282649703709831</v>
      </c>
      <c r="R349" s="84">
        <f>IF(INDEX(lmic_raw_ub[],MATCH($A349,lmic_raw_ub[[setting]:[setting]],0), MATCH(R$277, lmic_raw_ub[#Headers],0))=0, INDEX(regions_ub[], MATCH($D349, regions_ub[[setting]:[setting]],0), MATCH(R$139, regions_ub[#Headers],0)),INDEX(lmic_raw_ub[],MATCH($A349,lmic_raw_ub[[setting]:[setting]],0), MATCH(R$277, lmic_raw_ub[#Headers],0)))</f>
        <v>31.416525000000004</v>
      </c>
      <c r="S349" s="84">
        <f>IF(INDEX(lmic_raw_ub[],MATCH($A349,lmic_raw_ub[[setting]:[setting]],0), MATCH(S$277, lmic_raw_ub[#Headers],0))=0, INDEX(regions_ub[], MATCH($D349, regions_ub[[setting]:[setting]],0), MATCH(S$139, regions_ub[#Headers],0)),INDEX(lmic_raw_ub[],MATCH($A349,lmic_raw_ub[[setting]:[setting]],0), MATCH(S$277, lmic_raw_ub[#Headers],0)))</f>
        <v>81.545625000000015</v>
      </c>
      <c r="T349" s="84">
        <f>IF(INDEX(lmic_raw_ub[],MATCH($A349,lmic_raw_ub[[setting]:[setting]],0), MATCH(T$277, lmic_raw_ub[#Headers],0))=0, INDEX(regions_ub[], MATCH($D349, regions_ub[[setting]:[setting]],0), MATCH(T$139, regions_ub[#Headers],0)),INDEX(lmic_raw_ub[],MATCH($A349,lmic_raw_ub[[setting]:[setting]],0), MATCH(T$277, lmic_raw_ub[#Headers],0)))</f>
        <v>81.545625000000015</v>
      </c>
      <c r="U349" s="84">
        <f>IF(INDEX(lmic_raw_ub[],MATCH($A349,lmic_raw_ub[[setting]:[setting]],0), MATCH(U$277, lmic_raw_ub[#Headers],0))=0, INDEX(regions_ub[], MATCH($D349, regions_ub[[setting]:[setting]],0), MATCH(U$139, regions_ub[#Headers],0)),INDEX(lmic_raw_ub[],MATCH($A349,lmic_raw_ub[[setting]:[setting]],0), MATCH(U$277, lmic_raw_ub[#Headers],0)))</f>
        <v>81.545625000000015</v>
      </c>
      <c r="V349" s="84">
        <f>IF(INDEX(lmic_raw_ub[],MATCH($A349,lmic_raw_ub[[setting]:[setting]],0), MATCH(V$277, lmic_raw_ub[#Headers],0))=0, INDEX(regions_ub[], MATCH($D349, regions_ub[[setting]:[setting]],0), MATCH(V$139, regions_ub[#Headers],0)),INDEX(lmic_raw_ub[],MATCH($A349,lmic_raw_ub[[setting]:[setting]],0), MATCH(V$277, lmic_raw_ub[#Headers],0)))</f>
        <v>5.6277387157596745</v>
      </c>
      <c r="W349" s="84">
        <f>IF(INDEX(lmic_raw_ub[],MATCH($A349,lmic_raw_ub[[setting]:[setting]],0), MATCH(W$277, lmic_raw_ub[#Headers],0))=0, INDEX(regions_ub[], MATCH($D349, regions_ub[[setting]:[setting]],0), MATCH(W$139, regions_ub[#Headers],0)),INDEX(lmic_raw_ub[],MATCH($A349,lmic_raw_ub[[setting]:[setting]],0), MATCH(W$277, lmic_raw_ub[#Headers],0)))</f>
        <v>10.697873715759675</v>
      </c>
      <c r="X349" s="84">
        <f>IF(INDEX(lmic_raw_ub[],MATCH($A349,lmic_raw_ub[[setting]:[setting]],0), MATCH(X$277, lmic_raw_ub[#Headers],0))=0, INDEX(regions_ub[], MATCH($D349, regions_ub[[setting]:[setting]],0), MATCH(X$139, regions_ub[#Headers],0)),INDEX(lmic_raw_ub[],MATCH($A349,lmic_raw_ub[[setting]:[setting]],0), MATCH(X$277, lmic_raw_ub[#Headers],0)))</f>
        <v>5.137664206321281</v>
      </c>
      <c r="Y349" s="84">
        <f>IF(INDEX(lmic_raw_ub[],MATCH($A349,lmic_raw_ub[[setting]:[setting]],0), MATCH(Y$277, lmic_raw_ub[#Headers],0))=0, INDEX(regions_ub[], MATCH($D349, regions_ub[[setting]:[setting]],0), MATCH(Y$139, regions_ub[#Headers],0)),INDEX(lmic_raw_ub[],MATCH($A349,lmic_raw_ub[[setting]:[setting]],0), MATCH(Y$277, lmic_raw_ub[#Headers],0)))</f>
        <v>10.207799206321281</v>
      </c>
      <c r="Z349" s="84">
        <f>IF(INDEX(lmic_raw_ub[],MATCH($A349,lmic_raw_ub[[setting]:[setting]],0), MATCH(Z$277, lmic_raw_ub[#Headers],0))=0, INDEX(regions_ub[], MATCH($D349, regions_ub[[setting]:[setting]],0), MATCH(Z$139, regions_ub[#Headers],0)),INDEX(lmic_raw_ub[],MATCH($A349,lmic_raw_ub[[setting]:[setting]],0), MATCH(Z$277, lmic_raw_ub[#Headers],0)))</f>
        <v>10.204234826109776</v>
      </c>
      <c r="AA349" s="84">
        <f>IF(INDEX(lmic_raw_ub[],MATCH($A349,lmic_raw_ub[[setting]:[setting]],0), MATCH(AA$277, lmic_raw_ub[#Headers],0))=0, INDEX(regions_ub[], MATCH($D349, regions_ub[[setting]:[setting]],0), MATCH(AA$139, regions_ub[#Headers],0)),INDEX(lmic_raw_ub[],MATCH($A349,lmic_raw_ub[[setting]:[setting]],0), MATCH(AA$277, lmic_raw_ub[#Headers],0)))</f>
        <v>5.8950570676133216</v>
      </c>
      <c r="AB349" s="84">
        <f>IF(INDEX(lmic_raw_ub[],MATCH($A349,lmic_raw_ub[[setting]:[setting]],0), MATCH(AB$277, lmic_raw_ub[#Headers],0))=0, INDEX(regions_ub[], MATCH($D349, regions_ub[[setting]:[setting]],0), MATCH(AB$139, regions_ub[#Headers],0)),INDEX(lmic_raw_ub[],MATCH($A349,lmic_raw_ub[[setting]:[setting]],0), MATCH(AB$277, lmic_raw_ub[#Headers],0)))</f>
        <v>10.965192067613323</v>
      </c>
      <c r="AC349" s="84">
        <f>IF(INDEX(lmic_raw_ub[],MATCH($A349,lmic_raw_ub[[setting]:[setting]],0), MATCH(AC$277, lmic_raw_ub[#Headers],0))=0, INDEX(regions_ub[], MATCH($D349, regions_ub[[setting]:[setting]],0), MATCH(AC$139, regions_ub[#Headers],0)),INDEX(lmic_raw_ub[],MATCH($A349,lmic_raw_ub[[setting]:[setting]],0), MATCH(AC$277, lmic_raw_ub[#Headers],0)))</f>
        <v>4.3402243500000069E-2</v>
      </c>
      <c r="AD349" s="84">
        <f>IF(INDEX(lmic_raw_ub[],MATCH($A349,lmic_raw_ub[[setting]:[setting]],0), MATCH(AD$277, lmic_raw_ub[#Headers],0))=0, INDEX(regions_ub[], MATCH($D349, regions_ub[[setting]:[setting]],0), MATCH(AD$139, regions_ub[#Headers],0)),INDEX(lmic_raw_ub[],MATCH($A349,lmic_raw_ub[[setting]:[setting]],0), MATCH(AD$277, lmic_raw_ub[#Headers],0)))</f>
        <v>3.8655109624218358E-3</v>
      </c>
      <c r="AE349" s="84">
        <f>IF(INDEX(lmic_raw_ub[],MATCH($A349,lmic_raw_ub[[setting]:[setting]],0), MATCH(AE$277, lmic_raw_ub[#Headers],0))=0, INDEX(regions_ub[], MATCH($D349, regions_ub[[setting]:[setting]],0), MATCH(AE$139, regions_ub[#Headers],0)),INDEX(lmic_raw_ub[],MATCH($A349,lmic_raw_ub[[setting]:[setting]],0), MATCH(AE$277, lmic_raw_ub[#Headers],0)))</f>
        <v>1.3093136547176389E-3</v>
      </c>
      <c r="AF349" s="84">
        <f>IF(INDEX(lmic_raw_ub[],MATCH($A349,lmic_raw_ub[[setting]:[setting]],0), MATCH(AF$277, lmic_raw_ub[#Headers],0))=0, INDEX(regions_ub[], MATCH($D349, regions_ub[[setting]:[setting]],0), MATCH(AF$139, regions_ub[#Headers],0)),INDEX(lmic_raw_ub[],MATCH($A349,lmic_raw_ub[[setting]:[setting]],0), MATCH(AF$277, lmic_raw_ub[#Headers],0)))</f>
        <v>1.0212689945835432E-3</v>
      </c>
      <c r="AG349" s="84">
        <f>IF(INDEX(lmic_raw_ub[],MATCH($A349,lmic_raw_ub[[setting]:[setting]],0), MATCH(AG$277, lmic_raw_ub[#Headers],0))=0, INDEX(regions_ub[], MATCH($D349, regions_ub[[setting]:[setting]],0), MATCH(AG$139, regions_ub[#Headers],0)),INDEX(lmic_raw_ub[],MATCH($A349,lmic_raw_ub[[setting]:[setting]],0), MATCH(AG$277, lmic_raw_ub[#Headers],0)))</f>
        <v>1.6793574553365677E-3</v>
      </c>
      <c r="AH349" s="84">
        <f>IF(INDEX(lmic_raw_ub[],MATCH($A349,lmic_raw_ub[[setting]:[setting]],0), MATCH(AH$277, lmic_raw_ub[#Headers],0))=0, INDEX(regions_ub[], MATCH($D349, regions_ub[[setting]:[setting]],0), MATCH(AH$139, regions_ub[#Headers],0)),INDEX(lmic_raw_ub[],MATCH($A349,lmic_raw_ub[[setting]:[setting]],0), MATCH(AH$277, lmic_raw_ub[#Headers],0)))</f>
        <v>2.6538985699500897E-3</v>
      </c>
      <c r="AI349" s="84">
        <f>IF(INDEX(lmic_raw_ub[],MATCH($A349,lmic_raw_ub[[setting]:[setting]],0), MATCH(AI$277, lmic_raw_ub[#Headers],0))=0, INDEX(regions_ub[], MATCH($D349, regions_ub[[setting]:[setting]],0), MATCH(AI$139, regions_ub[#Headers],0)),INDEX(lmic_raw_ub[],MATCH($A349,lmic_raw_ub[[setting]:[setting]],0), MATCH(AI$277, lmic_raw_ub[#Headers],0)))</f>
        <v>3.6450112415568879E-3</v>
      </c>
      <c r="AJ349" s="84">
        <f>IF(INDEX(lmic_raw_ub[],MATCH($A349,lmic_raw_ub[[setting]:[setting]],0), MATCH(AJ$277, lmic_raw_ub[#Headers],0))=0, INDEX(regions_ub[], MATCH($D349, regions_ub[[setting]:[setting]],0), MATCH(AJ$139, regions_ub[#Headers],0)),INDEX(lmic_raw_ub[],MATCH($A349,lmic_raw_ub[[setting]:[setting]],0), MATCH(AJ$277, lmic_raw_ub[#Headers],0)))</f>
        <v>4.7524783796029108E-3</v>
      </c>
      <c r="AK349" s="84">
        <f>IF(INDEX(lmic_raw_ub[],MATCH($A349,lmic_raw_ub[[setting]:[setting]],0), MATCH(AK$277, lmic_raw_ub[#Headers],0))=0, INDEX(regions_ub[], MATCH($D349, regions_ub[[setting]:[setting]],0), MATCH(AK$139, regions_ub[#Headers],0)),INDEX(lmic_raw_ub[],MATCH($A349,lmic_raw_ub[[setting]:[setting]],0), MATCH(AK$277, lmic_raw_ub[#Headers],0)))</f>
        <v>6.3401261950926787E-3</v>
      </c>
      <c r="AL349" s="84">
        <f>IF(INDEX(lmic_raw_ub[],MATCH($A349,lmic_raw_ub[[setting]:[setting]],0), MATCH(AL$277, lmic_raw_ub[#Headers],0))=0, INDEX(regions_ub[], MATCH($D349, regions_ub[[setting]:[setting]],0), MATCH(AL$139, regions_ub[#Headers],0)),INDEX(lmic_raw_ub[],MATCH($A349,lmic_raw_ub[[setting]:[setting]],0), MATCH(AL$277, lmic_raw_ub[#Headers],0)))</f>
        <v>7.8729405285933706E-3</v>
      </c>
      <c r="AM349" s="84">
        <f>IF(INDEX(lmic_raw_ub[],MATCH($A349,lmic_raw_ub[[setting]:[setting]],0), MATCH(AM$277, lmic_raw_ub[#Headers],0))=0, INDEX(regions_ub[], MATCH($D349, regions_ub[[setting]:[setting]],0), MATCH(AM$139, regions_ub[#Headers],0)),INDEX(lmic_raw_ub[],MATCH($A349,lmic_raw_ub[[setting]:[setting]],0), MATCH(AM$277, lmic_raw_ub[#Headers],0)))</f>
        <v>9.6962730321831971E-3</v>
      </c>
      <c r="AN349" s="84">
        <f>IF(INDEX(lmic_raw_ub[],MATCH($A349,lmic_raw_ub[[setting]:[setting]],0), MATCH(AN$277, lmic_raw_ub[#Headers],0))=0, INDEX(regions_ub[], MATCH($D349, regions_ub[[setting]:[setting]],0), MATCH(AN$139, regions_ub[#Headers],0)),INDEX(lmic_raw_ub[],MATCH($A349,lmic_raw_ub[[setting]:[setting]],0), MATCH(AN$277, lmic_raw_ub[#Headers],0)))</f>
        <v>1.2705744341568693E-2</v>
      </c>
      <c r="AO349" s="84">
        <f>IF(INDEX(lmic_raw_ub[],MATCH($A349,lmic_raw_ub[[setting]:[setting]],0), MATCH(AO$277, lmic_raw_ub[#Headers],0))=0, INDEX(regions_ub[], MATCH($D349, regions_ub[[setting]:[setting]],0), MATCH(AO$139, regions_ub[#Headers],0)),INDEX(lmic_raw_ub[],MATCH($A349,lmic_raw_ub[[setting]:[setting]],0), MATCH(AO$277, lmic_raw_ub[#Headers],0)))</f>
        <v>1.6233762940212792E-2</v>
      </c>
      <c r="AP349" s="84">
        <f>IF(INDEX(lmic_raw_ub[],MATCH($A349,lmic_raw_ub[[setting]:[setting]],0), MATCH(AP$277, lmic_raw_ub[#Headers],0))=0, INDEX(regions_ub[], MATCH($D349, regions_ub[[setting]:[setting]],0), MATCH(AP$139, regions_ub[#Headers],0)),INDEX(lmic_raw_ub[],MATCH($A349,lmic_raw_ub[[setting]:[setting]],0), MATCH(AP$277, lmic_raw_ub[#Headers],0)))</f>
        <v>2.2889751512680773E-2</v>
      </c>
      <c r="AQ349" s="84">
        <f>IF(INDEX(lmic_raw_ub[],MATCH($A349,lmic_raw_ub[[setting]:[setting]],0), MATCH(AQ$277, lmic_raw_ub[#Headers],0))=0, INDEX(regions_ub[], MATCH($D349, regions_ub[[setting]:[setting]],0), MATCH(AQ$139, regions_ub[#Headers],0)),INDEX(lmic_raw_ub[],MATCH($A349,lmic_raw_ub[[setting]:[setting]],0), MATCH(AQ$277, lmic_raw_ub[#Headers],0)))</f>
        <v>3.360905759304314E-2</v>
      </c>
      <c r="AR349" s="84">
        <f>IF(INDEX(lmic_raw_ub[],MATCH($A349,lmic_raw_ub[[setting]:[setting]],0), MATCH(AR$277, lmic_raw_ub[#Headers],0))=0, INDEX(regions_ub[], MATCH($D349, regions_ub[[setting]:[setting]],0), MATCH(AR$139, regions_ub[#Headers],0)),INDEX(lmic_raw_ub[],MATCH($A349,lmic_raw_ub[[setting]:[setting]],0), MATCH(AR$277, lmic_raw_ub[#Headers],0)))</f>
        <v>5.0168379027146298E-2</v>
      </c>
      <c r="AS349" s="84">
        <f>IF(INDEX(lmic_raw_ub[],MATCH($A349,lmic_raw_ub[[setting]:[setting]],0), MATCH(AS$277, lmic_raw_ub[#Headers],0))=0, INDEX(regions_ub[], MATCH($D349, regions_ub[[setting]:[setting]],0), MATCH(AS$139, regions_ub[#Headers],0)),INDEX(lmic_raw_ub[],MATCH($A349,lmic_raw_ub[[setting]:[setting]],0), MATCH(AS$277, lmic_raw_ub[#Headers],0)))</f>
        <v>7.4587495320058317E-2</v>
      </c>
      <c r="AT349" s="84">
        <f>IF(INDEX(lmic_raw_ub[],MATCH($A349,lmic_raw_ub[[setting]:[setting]],0), MATCH(AT$277, lmic_raw_ub[#Headers],0))=0, INDEX(regions_ub[], MATCH($D349, regions_ub[[setting]:[setting]],0), MATCH(AT$139, regions_ub[#Headers],0)),INDEX(lmic_raw_ub[],MATCH($A349,lmic_raw_ub[[setting]:[setting]],0), MATCH(AT$277, lmic_raw_ub[#Headers],0)))</f>
        <v>0.11036182619908703</v>
      </c>
      <c r="AU349" s="84">
        <f>IF(INDEX(lmic_raw_ub[],MATCH($A349,lmic_raw_ub[[setting]:[setting]],0), MATCH(AU$277, lmic_raw_ub[#Headers],0))=0, INDEX(regions_ub[], MATCH($D349, regions_ub[[setting]:[setting]],0), MATCH(AU$139, regions_ub[#Headers],0)),INDEX(lmic_raw_ub[],MATCH($A349,lmic_raw_ub[[setting]:[setting]],0), MATCH(AU$277, lmic_raw_ub[#Headers],0)))</f>
        <v>0.15195296143927808</v>
      </c>
      <c r="AV349" s="84">
        <f>IF(INDEX(lmic_raw_ub[],MATCH($A349,lmic_raw_ub[[setting]:[setting]],0), MATCH(AV$277, lmic_raw_ub[#Headers],0))=0, INDEX(regions_ub[], MATCH($D349, regions_ub[[setting]:[setting]],0), MATCH(AV$139, regions_ub[#Headers],0)),INDEX(lmic_raw_ub[],MATCH($A349,lmic_raw_ub[[setting]:[setting]],0), MATCH(AV$277, lmic_raw_ub[#Headers],0)))</f>
        <v>0.18606155347322251</v>
      </c>
      <c r="AW349" s="84">
        <f>IF(INDEX(lmic_raw_ub[],MATCH($A349,lmic_raw_ub[[setting]:[setting]],0), MATCH(AW$277, lmic_raw_ub[#Headers],0))=0, INDEX(regions_ub[], MATCH($D349, regions_ub[[setting]:[setting]],0), MATCH(AW$139, regions_ub[#Headers],0)),INDEX(lmic_raw_ub[],MATCH($A349,lmic_raw_ub[[setting]:[setting]],0), MATCH(AW$277, lmic_raw_ub[#Headers],0)))</f>
        <v>0.19798151720308915</v>
      </c>
      <c r="AX349" s="84">
        <f>IF(INDEX(lmic_raw_ub[],MATCH($A349,lmic_raw_ub[[setting]:[setting]],0), MATCH(AX$277, lmic_raw_ub[#Headers],0))=0, INDEX(regions_ub[], MATCH($D349, regions_ub[[setting]:[setting]],0), MATCH(AX$139, regions_ub[#Headers],0)),INDEX(lmic_raw_ub[],MATCH($A349,lmic_raw_ub[[setting]:[setting]],0), MATCH(AX$277, lmic_raw_ub[#Headers],0)))</f>
        <v>66.6036</v>
      </c>
      <c r="AY349" s="33" t="str">
        <f>IF(VLOOKUP(lmics_ub[[#This Row],[setting]],lmic_raw_ub[],11,FALSE)=0, "Yes", "No")</f>
        <v>Yes</v>
      </c>
    </row>
    <row r="350" spans="1:51" x14ac:dyDescent="0.25">
      <c r="A350" s="109" t="s">
        <v>215</v>
      </c>
      <c r="B350" s="101" t="s">
        <v>463</v>
      </c>
      <c r="C350" s="102">
        <v>458</v>
      </c>
      <c r="D350" s="82" t="s">
        <v>681</v>
      </c>
      <c r="E350" s="82" t="s">
        <v>598</v>
      </c>
      <c r="F350" s="82" t="s">
        <v>666</v>
      </c>
      <c r="G350" s="82" t="s">
        <v>676</v>
      </c>
      <c r="J350" s="84">
        <f>IF(INDEX(lmic_raw_ub[],MATCH($A350,lmic_raw_ub[[setting]:[setting]],0), MATCH(J$277, lmic_raw_ub[#Headers],0))=0, INDEX(regions_ub[], MATCH($D350, regions_ub[[setting]:[setting]],0), MATCH(J$139, regions_ub[#Headers],0)),INDEX(lmic_raw_ub[],MATCH($A350,lmic_raw_ub[[setting]:[setting]],0), MATCH(J$277, lmic_raw_ub[#Headers],0)))</f>
        <v>0.99990000000000001</v>
      </c>
      <c r="K350" s="84">
        <f>IF(INDEX(lmic_raw_ub[],MATCH($A350,lmic_raw_ub[[setting]:[setting]],0), MATCH(K$277, lmic_raw_ub[#Headers],0))=0, INDEX(regions_ub[], MATCH($D350, regions_ub[[setting]:[setting]],0), MATCH(K$139, regions_ub[#Headers],0)),INDEX(lmic_raw_ub[],MATCH($A350,lmic_raw_ub[[setting]:[setting]],0), MATCH(K$277, lmic_raw_ub[#Headers],0)))</f>
        <v>0.99990000000000001</v>
      </c>
      <c r="L350" s="84">
        <f>IF(INDEX(lmic_raw_ub[],MATCH($A350,lmic_raw_ub[[setting]:[setting]],0), MATCH(L$277, lmic_raw_ub[#Headers],0))=0, INDEX(regions_ub[], MATCH($D350, regions_ub[[setting]:[setting]],0), MATCH(L$139, regions_ub[#Headers],0)),INDEX(lmic_raw_ub[],MATCH($A350,lmic_raw_ub[[setting]:[setting]],0), MATCH(L$277, lmic_raw_ub[#Headers],0)))</f>
        <v>0.99990000000000001</v>
      </c>
      <c r="M350" s="84">
        <f>IF(INDEX(lmic_raw_ub[],MATCH($A350,lmic_raw_ub[[setting]:[setting]],0), MATCH(M$277, lmic_raw_ub[#Headers],0))=0, INDEX(regions_ub[], MATCH($D350, regions_ub[[setting]:[setting]],0), MATCH(M$139, regions_ub[#Headers],0)),INDEX(lmic_raw_ub[],MATCH($A350,lmic_raw_ub[[setting]:[setting]],0), MATCH(M$277, lmic_raw_ub[#Headers],0)))</f>
        <v>1.52E-2</v>
      </c>
      <c r="N350" s="84">
        <f>IF(INDEX(lmic_raw_ub[],MATCH($A350,lmic_raw_ub[[setting]:[setting]],0), MATCH(N$277, lmic_raw_ub[#Headers],0))=0, INDEX(regions_ub[], MATCH($D350, regions_ub[[setting]:[setting]],0), MATCH(N$139, regions_ub[#Headers],0)),INDEX(lmic_raw_ub[],MATCH($A350,lmic_raw_ub[[setting]:[setting]],0), MATCH(N$277, lmic_raw_ub[#Headers],0)))</f>
        <v>0.47729999999999995</v>
      </c>
      <c r="O350" s="84">
        <f>IF(INDEX(lmic_raw_ub[],MATCH($A350,lmic_raw_ub[[setting]:[setting]],0), MATCH(O$277, lmic_raw_ub[#Headers],0))=0, INDEX(regions_ub[], MATCH($D350, regions_ub[[setting]:[setting]],0), MATCH(O$139, regions_ub[#Headers],0)),INDEX(lmic_raw_ub[],MATCH($A350,lmic_raw_ub[[setting]:[setting]],0), MATCH(O$277, lmic_raw_ub[#Headers],0)))</f>
        <v>0.9</v>
      </c>
      <c r="P350" s="84">
        <f>IF(INDEX(lmic_raw_ub[],MATCH($A350,lmic_raw_ub[[setting]:[setting]],0), MATCH(P$277, lmic_raw_ub[#Headers],0))=0, INDEX(regions_ub[], MATCH($D350, regions_ub[[setting]:[setting]],0), MATCH(P$139, regions_ub[#Headers],0)),INDEX(lmic_raw_ub[],MATCH($A350,lmic_raw_ub[[setting]:[setting]],0), MATCH(P$277, lmic_raw_ub[#Headers],0)))</f>
        <v>0.3</v>
      </c>
      <c r="Q350" s="84">
        <f>IF(INDEX(lmic_raw_ub[],MATCH($A350,lmic_raw_ub[[setting]:[setting]],0), MATCH(Q$277, lmic_raw_ub[#Headers],0))=0, INDEX(regions_ub[], MATCH($D350, regions_ub[[setting]:[setting]],0), MATCH(Q$139, regions_ub[#Headers],0)),INDEX(lmic_raw_ub[],MATCH($A350,lmic_raw_ub[[setting]:[setting]],0), MATCH(Q$277, lmic_raw_ub[#Headers],0)))</f>
        <v>12.885804600189998</v>
      </c>
      <c r="R350" s="84">
        <f>IF(INDEX(lmic_raw_ub[],MATCH($A350,lmic_raw_ub[[setting]:[setting]],0), MATCH(R$277, lmic_raw_ub[#Headers],0))=0, INDEX(regions_ub[], MATCH($D350, regions_ub[[setting]:[setting]],0), MATCH(R$139, regions_ub[#Headers],0)),INDEX(lmic_raw_ub[],MATCH($A350,lmic_raw_ub[[setting]:[setting]],0), MATCH(R$277, lmic_raw_ub[#Headers],0)))</f>
        <v>76.738725000000002</v>
      </c>
      <c r="S350" s="84">
        <f>IF(INDEX(lmic_raw_ub[],MATCH($A350,lmic_raw_ub[[setting]:[setting]],0), MATCH(S$277, lmic_raw_ub[#Headers],0))=0, INDEX(regions_ub[], MATCH($D350, regions_ub[[setting]:[setting]],0), MATCH(S$139, regions_ub[#Headers],0)),INDEX(lmic_raw_ub[],MATCH($A350,lmic_raw_ub[[setting]:[setting]],0), MATCH(S$277, lmic_raw_ub[#Headers],0)))</f>
        <v>126.867825</v>
      </c>
      <c r="T350" s="84">
        <f>IF(INDEX(lmic_raw_ub[],MATCH($A350,lmic_raw_ub[[setting]:[setting]],0), MATCH(T$277, lmic_raw_ub[#Headers],0))=0, INDEX(regions_ub[], MATCH($D350, regions_ub[[setting]:[setting]],0), MATCH(T$139, regions_ub[#Headers],0)),INDEX(lmic_raw_ub[],MATCH($A350,lmic_raw_ub[[setting]:[setting]],0), MATCH(T$277, lmic_raw_ub[#Headers],0)))</f>
        <v>126.867825</v>
      </c>
      <c r="U350" s="84">
        <f>IF(INDEX(lmic_raw_ub[],MATCH($A350,lmic_raw_ub[[setting]:[setting]],0), MATCH(U$277, lmic_raw_ub[#Headers],0))=0, INDEX(regions_ub[], MATCH($D350, regions_ub[[setting]:[setting]],0), MATCH(U$139, regions_ub[#Headers],0)),INDEX(lmic_raw_ub[],MATCH($A350,lmic_raw_ub[[setting]:[setting]],0), MATCH(U$277, lmic_raw_ub[#Headers],0)))</f>
        <v>126.867825</v>
      </c>
      <c r="V350" s="84">
        <f>IF(INDEX(lmic_raw_ub[],MATCH($A350,lmic_raw_ub[[setting]:[setting]],0), MATCH(V$277, lmic_raw_ub[#Headers],0))=0, INDEX(regions_ub[], MATCH($D350, regions_ub[[setting]:[setting]],0), MATCH(V$139, regions_ub[#Headers],0)),INDEX(lmic_raw_ub[],MATCH($A350,lmic_raw_ub[[setting]:[setting]],0), MATCH(V$277, lmic_raw_ub[#Headers],0)))</f>
        <v>12.211022153790509</v>
      </c>
      <c r="W350" s="84">
        <f>IF(INDEX(lmic_raw_ub[],MATCH($A350,lmic_raw_ub[[setting]:[setting]],0), MATCH(W$277, lmic_raw_ub[#Headers],0))=0, INDEX(regions_ub[], MATCH($D350, regions_ub[[setting]:[setting]],0), MATCH(W$139, regions_ub[#Headers],0)),INDEX(lmic_raw_ub[],MATCH($A350,lmic_raw_ub[[setting]:[setting]],0), MATCH(W$277, lmic_raw_ub[#Headers],0)))</f>
        <v>12.874832153790509</v>
      </c>
      <c r="X350" s="84">
        <f>IF(INDEX(lmic_raw_ub[],MATCH($A350,lmic_raw_ub[[setting]:[setting]],0), MATCH(X$277, lmic_raw_ub[#Headers],0))=0, INDEX(regions_ub[], MATCH($D350, regions_ub[[setting]:[setting]],0), MATCH(X$139, regions_ub[#Headers],0)),INDEX(lmic_raw_ub[],MATCH($A350,lmic_raw_ub[[setting]:[setting]],0), MATCH(X$277, lmic_raw_ub[#Headers],0)))</f>
        <v>11.66011072865232</v>
      </c>
      <c r="Y350" s="84">
        <f>IF(INDEX(lmic_raw_ub[],MATCH($A350,lmic_raw_ub[[setting]:[setting]],0), MATCH(Y$277, lmic_raw_ub[#Headers],0))=0, INDEX(regions_ub[], MATCH($D350, regions_ub[[setting]:[setting]],0), MATCH(Y$139, regions_ub[#Headers],0)),INDEX(lmic_raw_ub[],MATCH($A350,lmic_raw_ub[[setting]:[setting]],0), MATCH(Y$277, lmic_raw_ub[#Headers],0)))</f>
        <v>12.32392072865232</v>
      </c>
      <c r="Z350" s="84">
        <f>IF(INDEX(lmic_raw_ub[],MATCH($A350,lmic_raw_ub[[setting]:[setting]],0), MATCH(Z$277, lmic_raw_ub[#Headers],0))=0, INDEX(regions_ub[], MATCH($D350, regions_ub[[setting]:[setting]],0), MATCH(Z$139, regions_ub[#Headers],0)),INDEX(lmic_raw_ub[],MATCH($A350,lmic_raw_ub[[setting]:[setting]],0), MATCH(Z$277, lmic_raw_ub[#Headers],0)))</f>
        <v>12.286807744041598</v>
      </c>
      <c r="AA350" s="84">
        <f>IF(INDEX(lmic_raw_ub[],MATCH($A350,lmic_raw_ub[[setting]:[setting]],0), MATCH(AA$277, lmic_raw_ub[#Headers],0))=0, INDEX(regions_ub[], MATCH($D350, regions_ub[[setting]:[setting]],0), MATCH(AA$139, regions_ub[#Headers],0)),INDEX(lmic_raw_ub[],MATCH($A350,lmic_raw_ub[[setting]:[setting]],0), MATCH(AA$277, lmic_raw_ub[#Headers],0)))</f>
        <v>12.4921501122754</v>
      </c>
      <c r="AB350" s="84">
        <f>IF(INDEX(lmic_raw_ub[],MATCH($A350,lmic_raw_ub[[setting]:[setting]],0), MATCH(AB$277, lmic_raw_ub[#Headers],0))=0, INDEX(regions_ub[], MATCH($D350, regions_ub[[setting]:[setting]],0), MATCH(AB$139, regions_ub[#Headers],0)),INDEX(lmic_raw_ub[],MATCH($A350,lmic_raw_ub[[setting]:[setting]],0), MATCH(AB$277, lmic_raw_ub[#Headers],0)))</f>
        <v>13.1559601122754</v>
      </c>
      <c r="AC350" s="84">
        <f>IF(INDEX(lmic_raw_ub[],MATCH($A350,lmic_raw_ub[[setting]:[setting]],0), MATCH(AC$277, lmic_raw_ub[#Headers],0))=0, INDEX(regions_ub[], MATCH($D350, regions_ub[[setting]:[setting]],0), MATCH(AC$139, regions_ub[#Headers],0)),INDEX(lmic_raw_ub[],MATCH($A350,lmic_raw_ub[[setting]:[setting]],0), MATCH(AC$277, lmic_raw_ub[#Headers],0)))</f>
        <v>6.1928685000000629E-3</v>
      </c>
      <c r="AD350" s="84">
        <f>IF(INDEX(lmic_raw_ub[],MATCH($A350,lmic_raw_ub[[setting]:[setting]],0), MATCH(AD$277, lmic_raw_ub[#Headers],0))=0, INDEX(regions_ub[], MATCH($D350, regions_ub[[setting]:[setting]],0), MATCH(AD$139, regions_ub[#Headers],0)),INDEX(lmic_raw_ub[],MATCH($A350,lmic_raw_ub[[setting]:[setting]],0), MATCH(AD$277, lmic_raw_ub[#Headers],0)))</f>
        <v>2.8255198311988376E-4</v>
      </c>
      <c r="AE350" s="84">
        <f>IF(INDEX(lmic_raw_ub[],MATCH($A350,lmic_raw_ub[[setting]:[setting]],0), MATCH(AE$277, lmic_raw_ub[#Headers],0))=0, INDEX(regions_ub[], MATCH($D350, regions_ub[[setting]:[setting]],0), MATCH(AE$139, regions_ub[#Headers],0)),INDEX(lmic_raw_ub[],MATCH($A350,lmic_raw_ub[[setting]:[setting]],0), MATCH(AE$277, lmic_raw_ub[#Headers],0)))</f>
        <v>1.8270891756465131E-4</v>
      </c>
      <c r="AF350" s="84">
        <f>IF(INDEX(lmic_raw_ub[],MATCH($A350,lmic_raw_ub[[setting]:[setting]],0), MATCH(AF$277, lmic_raw_ub[#Headers],0))=0, INDEX(regions_ub[], MATCH($D350, regions_ub[[setting]:[setting]],0), MATCH(AF$139, regions_ub[#Headers],0)),INDEX(lmic_raw_ub[],MATCH($A350,lmic_raw_ub[[setting]:[setting]],0), MATCH(AF$277, lmic_raw_ub[#Headers],0)))</f>
        <v>2.5361460706640635E-4</v>
      </c>
      <c r="AG350" s="84">
        <f>IF(INDEX(lmic_raw_ub[],MATCH($A350,lmic_raw_ub[[setting]:[setting]],0), MATCH(AG$277, lmic_raw_ub[#Headers],0))=0, INDEX(regions_ub[], MATCH($D350, regions_ub[[setting]:[setting]],0), MATCH(AG$139, regions_ub[#Headers],0)),INDEX(lmic_raw_ub[],MATCH($A350,lmic_raw_ub[[setting]:[setting]],0), MATCH(AG$277, lmic_raw_ub[#Headers],0)))</f>
        <v>5.9285380024404492E-4</v>
      </c>
      <c r="AH350" s="84">
        <f>IF(INDEX(lmic_raw_ub[],MATCH($A350,lmic_raw_ub[[setting]:[setting]],0), MATCH(AH$277, lmic_raw_ub[#Headers],0))=0, INDEX(regions_ub[], MATCH($D350, regions_ub[[setting]:[setting]],0), MATCH(AH$139, regions_ub[#Headers],0)),INDEX(lmic_raw_ub[],MATCH($A350,lmic_raw_ub[[setting]:[setting]],0), MATCH(AH$277, lmic_raw_ub[#Headers],0)))</f>
        <v>6.2162983826625237E-4</v>
      </c>
      <c r="AI350" s="84">
        <f>IF(INDEX(lmic_raw_ub[],MATCH($A350,lmic_raw_ub[[setting]:[setting]],0), MATCH(AI$277, lmic_raw_ub[#Headers],0))=0, INDEX(regions_ub[], MATCH($D350, regions_ub[[setting]:[setting]],0), MATCH(AI$139, regions_ub[#Headers],0)),INDEX(lmic_raw_ub[],MATCH($A350,lmic_raw_ub[[setting]:[setting]],0), MATCH(AI$277, lmic_raw_ub[#Headers],0)))</f>
        <v>6.5354797364877704E-4</v>
      </c>
      <c r="AJ350" s="84">
        <f>IF(INDEX(lmic_raw_ub[],MATCH($A350,lmic_raw_ub[[setting]:[setting]],0), MATCH(AJ$277, lmic_raw_ub[#Headers],0))=0, INDEX(regions_ub[], MATCH($D350, regions_ub[[setting]:[setting]],0), MATCH(AJ$139, regions_ub[#Headers],0)),INDEX(lmic_raw_ub[],MATCH($A350,lmic_raw_ub[[setting]:[setting]],0), MATCH(AJ$277, lmic_raw_ub[#Headers],0)))</f>
        <v>1.1300602584569E-3</v>
      </c>
      <c r="AK350" s="84">
        <f>IF(INDEX(lmic_raw_ub[],MATCH($A350,lmic_raw_ub[[setting]:[setting]],0), MATCH(AK$277, lmic_raw_ub[#Headers],0))=0, INDEX(regions_ub[], MATCH($D350, regions_ub[[setting]:[setting]],0), MATCH(AK$139, regions_ub[#Headers],0)),INDEX(lmic_raw_ub[],MATCH($A350,lmic_raw_ub[[setting]:[setting]],0), MATCH(AK$277, lmic_raw_ub[#Headers],0)))</f>
        <v>1.6824584280492076E-3</v>
      </c>
      <c r="AL350" s="84">
        <f>IF(INDEX(lmic_raw_ub[],MATCH($A350,lmic_raw_ub[[setting]:[setting]],0), MATCH(AL$277, lmic_raw_ub[#Headers],0))=0, INDEX(regions_ub[], MATCH($D350, regions_ub[[setting]:[setting]],0), MATCH(AL$139, regions_ub[#Headers],0)),INDEX(lmic_raw_ub[],MATCH($A350,lmic_raw_ub[[setting]:[setting]],0), MATCH(AL$277, lmic_raw_ub[#Headers],0)))</f>
        <v>2.499329511011214E-3</v>
      </c>
      <c r="AM350" s="84">
        <f>IF(INDEX(lmic_raw_ub[],MATCH($A350,lmic_raw_ub[[setting]:[setting]],0), MATCH(AM$277, lmic_raw_ub[#Headers],0))=0, INDEX(regions_ub[], MATCH($D350, regions_ub[[setting]:[setting]],0), MATCH(AM$139, regions_ub[#Headers],0)),INDEX(lmic_raw_ub[],MATCH($A350,lmic_raw_ub[[setting]:[setting]],0), MATCH(AM$277, lmic_raw_ub[#Headers],0)))</f>
        <v>4.3646496126482888E-3</v>
      </c>
      <c r="AN350" s="84">
        <f>IF(INDEX(lmic_raw_ub[],MATCH($A350,lmic_raw_ub[[setting]:[setting]],0), MATCH(AN$277, lmic_raw_ub[#Headers],0))=0, INDEX(regions_ub[], MATCH($D350, regions_ub[[setting]:[setting]],0), MATCH(AN$139, regions_ub[#Headers],0)),INDEX(lmic_raw_ub[],MATCH($A350,lmic_raw_ub[[setting]:[setting]],0), MATCH(AN$277, lmic_raw_ub[#Headers],0)))</f>
        <v>6.6162968329346542E-3</v>
      </c>
      <c r="AO350" s="84">
        <f>IF(INDEX(lmic_raw_ub[],MATCH($A350,lmic_raw_ub[[setting]:[setting]],0), MATCH(AO$277, lmic_raw_ub[#Headers],0))=0, INDEX(regions_ub[], MATCH($D350, regions_ub[[setting]:[setting]],0), MATCH(AO$139, regions_ub[#Headers],0)),INDEX(lmic_raw_ub[],MATCH($A350,lmic_raw_ub[[setting]:[setting]],0), MATCH(AO$277, lmic_raw_ub[#Headers],0)))</f>
        <v>9.629126629913453E-3</v>
      </c>
      <c r="AP350" s="84">
        <f>IF(INDEX(lmic_raw_ub[],MATCH($A350,lmic_raw_ub[[setting]:[setting]],0), MATCH(AP$277, lmic_raw_ub[#Headers],0))=0, INDEX(regions_ub[], MATCH($D350, regions_ub[[setting]:[setting]],0), MATCH(AP$139, regions_ub[#Headers],0)),INDEX(lmic_raw_ub[],MATCH($A350,lmic_raw_ub[[setting]:[setting]],0), MATCH(AP$277, lmic_raw_ub[#Headers],0)))</f>
        <v>1.3258131990259074E-2</v>
      </c>
      <c r="AQ350" s="84">
        <f>IF(INDEX(lmic_raw_ub[],MATCH($A350,lmic_raw_ub[[setting]:[setting]],0), MATCH(AQ$277, lmic_raw_ub[#Headers],0))=0, INDEX(regions_ub[], MATCH($D350, regions_ub[[setting]:[setting]],0), MATCH(AQ$139, regions_ub[#Headers],0)),INDEX(lmic_raw_ub[],MATCH($A350,lmic_raw_ub[[setting]:[setting]],0), MATCH(AQ$277, lmic_raw_ub[#Headers],0)))</f>
        <v>2.1290236232091132E-2</v>
      </c>
      <c r="AR350" s="84">
        <f>IF(INDEX(lmic_raw_ub[],MATCH($A350,lmic_raw_ub[[setting]:[setting]],0), MATCH(AR$277, lmic_raw_ub[#Headers],0))=0, INDEX(regions_ub[], MATCH($D350, regions_ub[[setting]:[setting]],0), MATCH(AR$139, regions_ub[#Headers],0)),INDEX(lmic_raw_ub[],MATCH($A350,lmic_raw_ub[[setting]:[setting]],0), MATCH(AR$277, lmic_raw_ub[#Headers],0)))</f>
        <v>3.5775817548198766E-2</v>
      </c>
      <c r="AS350" s="84">
        <f>IF(INDEX(lmic_raw_ub[],MATCH($A350,lmic_raw_ub[[setting]:[setting]],0), MATCH(AS$277, lmic_raw_ub[#Headers],0))=0, INDEX(regions_ub[], MATCH($D350, regions_ub[[setting]:[setting]],0), MATCH(AS$139, regions_ub[#Headers],0)),INDEX(lmic_raw_ub[],MATCH($A350,lmic_raw_ub[[setting]:[setting]],0), MATCH(AS$277, lmic_raw_ub[#Headers],0)))</f>
        <v>5.0794611341621498E-2</v>
      </c>
      <c r="AT350" s="84">
        <f>IF(INDEX(lmic_raw_ub[],MATCH($A350,lmic_raw_ub[[setting]:[setting]],0), MATCH(AT$277, lmic_raw_ub[#Headers],0))=0, INDEX(regions_ub[], MATCH($D350, regions_ub[[setting]:[setting]],0), MATCH(AT$139, regions_ub[#Headers],0)),INDEX(lmic_raw_ub[],MATCH($A350,lmic_raw_ub[[setting]:[setting]],0), MATCH(AT$277, lmic_raw_ub[#Headers],0)))</f>
        <v>7.3858749817296052E-2</v>
      </c>
      <c r="AU350" s="84">
        <f>IF(INDEX(lmic_raw_ub[],MATCH($A350,lmic_raw_ub[[setting]:[setting]],0), MATCH(AU$277, lmic_raw_ub[#Headers],0))=0, INDEX(regions_ub[], MATCH($D350, regions_ub[[setting]:[setting]],0), MATCH(AU$139, regions_ub[#Headers],0)),INDEX(lmic_raw_ub[],MATCH($A350,lmic_raw_ub[[setting]:[setting]],0), MATCH(AU$277, lmic_raw_ub[#Headers],0)))</f>
        <v>0.10085891481969204</v>
      </c>
      <c r="AV350" s="84">
        <f>IF(INDEX(lmic_raw_ub[],MATCH($A350,lmic_raw_ub[[setting]:[setting]],0), MATCH(AV$277, lmic_raw_ub[#Headers],0))=0, INDEX(regions_ub[], MATCH($D350, regions_ub[[setting]:[setting]],0), MATCH(AV$139, regions_ub[#Headers],0)),INDEX(lmic_raw_ub[],MATCH($A350,lmic_raw_ub[[setting]:[setting]],0), MATCH(AV$277, lmic_raw_ub[#Headers],0)))</f>
        <v>0.12749442100126798</v>
      </c>
      <c r="AW350" s="84">
        <f>IF(INDEX(lmic_raw_ub[],MATCH($A350,lmic_raw_ub[[setting]:[setting]],0), MATCH(AW$277, lmic_raw_ub[#Headers],0))=0, INDEX(regions_ub[], MATCH($D350, regions_ub[[setting]:[setting]],0), MATCH(AW$139, regions_ub[#Headers],0)),INDEX(lmic_raw_ub[],MATCH($A350,lmic_raw_ub[[setting]:[setting]],0), MATCH(AW$277, lmic_raw_ub[#Headers],0)))</f>
        <v>0.14824547873903759</v>
      </c>
      <c r="AX350" s="84">
        <f>IF(INDEX(lmic_raw_ub[],MATCH($A350,lmic_raw_ub[[setting]:[setting]],0), MATCH(AX$277, lmic_raw_ub[#Headers],0))=0, INDEX(regions_ub[], MATCH($D350, regions_ub[[setting]:[setting]],0), MATCH(AX$139, regions_ub[#Headers],0)),INDEX(lmic_raw_ub[],MATCH($A350,lmic_raw_ub[[setting]:[setting]],0), MATCH(AX$277, lmic_raw_ub[#Headers],0)))</f>
        <v>79.723350000000011</v>
      </c>
      <c r="AY350" s="33" t="str">
        <f>IF(VLOOKUP(lmics_ub[[#This Row],[setting]],lmic_raw_ub[],11,FALSE)=0, "Yes", "No")</f>
        <v>No</v>
      </c>
    </row>
    <row r="351" spans="1:51" x14ac:dyDescent="0.25">
      <c r="A351" s="110" t="s">
        <v>196</v>
      </c>
      <c r="B351" s="104" t="s">
        <v>464</v>
      </c>
      <c r="C351" s="105">
        <v>462</v>
      </c>
      <c r="D351" s="84" t="s">
        <v>680</v>
      </c>
      <c r="E351" s="84" t="s">
        <v>598</v>
      </c>
      <c r="F351" s="84" t="s">
        <v>666</v>
      </c>
      <c r="G351" s="84" t="s">
        <v>676</v>
      </c>
      <c r="J351" s="84">
        <f>IF(INDEX(lmic_raw_ub[],MATCH($A351,lmic_raw_ub[[setting]:[setting]],0), MATCH(J$277, lmic_raw_ub[#Headers],0))=0, INDEX(regions_ub[], MATCH($D351, regions_ub[[setting]:[setting]],0), MATCH(J$139, regions_ub[#Headers],0)),INDEX(lmic_raw_ub[],MATCH($A351,lmic_raw_ub[[setting]:[setting]],0), MATCH(J$277, lmic_raw_ub[#Headers],0)))</f>
        <v>0.99224999999999997</v>
      </c>
      <c r="K351" s="84">
        <f>IF(INDEX(lmic_raw_ub[],MATCH($A351,lmic_raw_ub[[setting]:[setting]],0), MATCH(K$277, lmic_raw_ub[#Headers],0))=0, INDEX(regions_ub[], MATCH($D351, regions_ub[[setting]:[setting]],0), MATCH(K$139, regions_ub[#Headers],0)),INDEX(lmic_raw_ub[],MATCH($A351,lmic_raw_ub[[setting]:[setting]],0), MATCH(K$277, lmic_raw_ub[#Headers],0)))</f>
        <v>0.99990000000000001</v>
      </c>
      <c r="L351" s="84">
        <f>IF(INDEX(lmic_raw_ub[],MATCH($A351,lmic_raw_ub[[setting]:[setting]],0), MATCH(L$277, lmic_raw_ub[#Headers],0))=0, INDEX(regions_ub[], MATCH($D351, regions_ub[[setting]:[setting]],0), MATCH(L$139, regions_ub[#Headers],0)),INDEX(lmic_raw_ub[],MATCH($A351,lmic_raw_ub[[setting]:[setting]],0), MATCH(L$277, lmic_raw_ub[#Headers],0)))</f>
        <v>0.99990000000000001</v>
      </c>
      <c r="M351" s="84">
        <f>IF(INDEX(lmic_raw_ub[],MATCH($A351,lmic_raw_ub[[setting]:[setting]],0), MATCH(M$277, lmic_raw_ub[#Headers],0))=0, INDEX(regions_ub[], MATCH($D351, regions_ub[[setting]:[setting]],0), MATCH(M$139, regions_ub[#Headers],0)),INDEX(lmic_raw_ub[],MATCH($A351,lmic_raw_ub[[setting]:[setting]],0), MATCH(M$277, lmic_raw_ub[#Headers],0)))</f>
        <v>0.14800000000000002</v>
      </c>
      <c r="N351" s="84">
        <f>IF(INDEX(lmic_raw_ub[],MATCH($A351,lmic_raw_ub[[setting]:[setting]],0), MATCH(N$277, lmic_raw_ub[#Headers],0))=0, INDEX(regions_ub[], MATCH($D351, regions_ub[[setting]:[setting]],0), MATCH(N$139, regions_ub[#Headers],0)),INDEX(lmic_raw_ub[],MATCH($A351,lmic_raw_ub[[setting]:[setting]],0), MATCH(N$277, lmic_raw_ub[#Headers],0)))</f>
        <v>0.47729999999999995</v>
      </c>
      <c r="O351" s="84">
        <f>IF(INDEX(lmic_raw_ub[],MATCH($A351,lmic_raw_ub[[setting]:[setting]],0), MATCH(O$277, lmic_raw_ub[#Headers],0))=0, INDEX(regions_ub[], MATCH($D351, regions_ub[[setting]:[setting]],0), MATCH(O$139, regions_ub[#Headers],0)),INDEX(lmic_raw_ub[],MATCH($A351,lmic_raw_ub[[setting]:[setting]],0), MATCH(O$277, lmic_raw_ub[#Headers],0)))</f>
        <v>0.9</v>
      </c>
      <c r="P351" s="84">
        <f>IF(INDEX(lmic_raw_ub[],MATCH($A351,lmic_raw_ub[[setting]:[setting]],0), MATCH(P$277, lmic_raw_ub[#Headers],0))=0, INDEX(regions_ub[], MATCH($D351, regions_ub[[setting]:[setting]],0), MATCH(P$139, regions_ub[#Headers],0)),INDEX(lmic_raw_ub[],MATCH($A351,lmic_raw_ub[[setting]:[setting]],0), MATCH(P$277, lmic_raw_ub[#Headers],0)))</f>
        <v>0.3</v>
      </c>
      <c r="Q351" s="84">
        <f>IF(INDEX(lmic_raw_ub[],MATCH($A351,lmic_raw_ub[[setting]:[setting]],0), MATCH(Q$277, lmic_raw_ub[#Headers],0))=0, INDEX(regions_ub[], MATCH($D351, regions_ub[[setting]:[setting]],0), MATCH(Q$139, regions_ub[#Headers],0)),INDEX(lmic_raw_ub[],MATCH($A351,lmic_raw_ub[[setting]:[setting]],0), MATCH(Q$277, lmic_raw_ub[#Headers],0)))</f>
        <v>4.2697504886998372</v>
      </c>
      <c r="R351" s="84">
        <f>IF(INDEX(lmic_raw_ub[],MATCH($A351,lmic_raw_ub[[setting]:[setting]],0), MATCH(R$277, lmic_raw_ub[#Headers],0))=0, INDEX(regions_ub[], MATCH($D351, regions_ub[[setting]:[setting]],0), MATCH(R$139, regions_ub[#Headers],0)),INDEX(lmic_raw_ub[],MATCH($A351,lmic_raw_ub[[setting]:[setting]],0), MATCH(R$277, lmic_raw_ub[#Headers],0)))</f>
        <v>76.738725000000002</v>
      </c>
      <c r="S351" s="84">
        <f>IF(INDEX(lmic_raw_ub[],MATCH($A351,lmic_raw_ub[[setting]:[setting]],0), MATCH(S$277, lmic_raw_ub[#Headers],0))=0, INDEX(regions_ub[], MATCH($D351, regions_ub[[setting]:[setting]],0), MATCH(S$139, regions_ub[#Headers],0)),INDEX(lmic_raw_ub[],MATCH($A351,lmic_raw_ub[[setting]:[setting]],0), MATCH(S$277, lmic_raw_ub[#Headers],0)))</f>
        <v>126.867825</v>
      </c>
      <c r="T351" s="84">
        <f>IF(INDEX(lmic_raw_ub[],MATCH($A351,lmic_raw_ub[[setting]:[setting]],0), MATCH(T$277, lmic_raw_ub[#Headers],0))=0, INDEX(regions_ub[], MATCH($D351, regions_ub[[setting]:[setting]],0), MATCH(T$139, regions_ub[#Headers],0)),INDEX(lmic_raw_ub[],MATCH($A351,lmic_raw_ub[[setting]:[setting]],0), MATCH(T$277, lmic_raw_ub[#Headers],0)))</f>
        <v>126.867825</v>
      </c>
      <c r="U351" s="84">
        <f>IF(INDEX(lmic_raw_ub[],MATCH($A351,lmic_raw_ub[[setting]:[setting]],0), MATCH(U$277, lmic_raw_ub[#Headers],0))=0, INDEX(regions_ub[], MATCH($D351, regions_ub[[setting]:[setting]],0), MATCH(U$139, regions_ub[#Headers],0)),INDEX(lmic_raw_ub[],MATCH($A351,lmic_raw_ub[[setting]:[setting]],0), MATCH(U$277, lmic_raw_ub[#Headers],0)))</f>
        <v>126.867825</v>
      </c>
      <c r="V351" s="84">
        <f>IF(INDEX(lmic_raw_ub[],MATCH($A351,lmic_raw_ub[[setting]:[setting]],0), MATCH(V$277, lmic_raw_ub[#Headers],0))=0, INDEX(regions_ub[], MATCH($D351, regions_ub[[setting]:[setting]],0), MATCH(V$139, regions_ub[#Headers],0)),INDEX(lmic_raw_ub[],MATCH($A351,lmic_raw_ub[[setting]:[setting]],0), MATCH(V$277, lmic_raw_ub[#Headers],0)))</f>
        <v>26.417857909965313</v>
      </c>
      <c r="W351" s="84">
        <f>IF(INDEX(lmic_raw_ub[],MATCH($A351,lmic_raw_ub[[setting]:[setting]],0), MATCH(W$277, lmic_raw_ub[#Headers],0))=0, INDEX(regions_ub[], MATCH($D351, regions_ub[[setting]:[setting]],0), MATCH(W$139, regions_ub[#Headers],0)),INDEX(lmic_raw_ub[],MATCH($A351,lmic_raw_ub[[setting]:[setting]],0), MATCH(W$277, lmic_raw_ub[#Headers],0)))</f>
        <v>27.081667909965315</v>
      </c>
      <c r="X351" s="84">
        <f>IF(INDEX(lmic_raw_ub[],MATCH($A351,lmic_raw_ub[[setting]:[setting]],0), MATCH(X$277, lmic_raw_ub[#Headers],0))=0, INDEX(regions_ub[], MATCH($D351, regions_ub[[setting]:[setting]],0), MATCH(X$139, regions_ub[#Headers],0)),INDEX(lmic_raw_ub[],MATCH($A351,lmic_raw_ub[[setting]:[setting]],0), MATCH(X$277, lmic_raw_ub[#Headers],0)))</f>
        <v>25.870163486875352</v>
      </c>
      <c r="Y351" s="84">
        <f>IF(INDEX(lmic_raw_ub[],MATCH($A351,lmic_raw_ub[[setting]:[setting]],0), MATCH(Y$277, lmic_raw_ub[#Headers],0))=0, INDEX(regions_ub[], MATCH($D351, regions_ub[[setting]:[setting]],0), MATCH(Y$139, regions_ub[#Headers],0)),INDEX(lmic_raw_ub[],MATCH($A351,lmic_raw_ub[[setting]:[setting]],0), MATCH(Y$277, lmic_raw_ub[#Headers],0)))</f>
        <v>26.533973486875354</v>
      </c>
      <c r="Z351" s="84">
        <f>IF(INDEX(lmic_raw_ub[],MATCH($A351,lmic_raw_ub[[setting]:[setting]],0), MATCH(Z$277, lmic_raw_ub[#Headers],0))=0, INDEX(regions_ub[], MATCH($D351, regions_ub[[setting]:[setting]],0), MATCH(Z$139, regions_ub[#Headers],0)),INDEX(lmic_raw_ub[],MATCH($A351,lmic_raw_ub[[setting]:[setting]],0), MATCH(Z$277, lmic_raw_ub[#Headers],0)))</f>
        <v>26.497647245132441</v>
      </c>
      <c r="AA351" s="84">
        <f>IF(INDEX(lmic_raw_ub[],MATCH($A351,lmic_raw_ub[[setting]:[setting]],0), MATCH(AA$277, lmic_raw_ub[#Headers],0))=0, INDEX(regions_ub[], MATCH($D351, regions_ub[[setting]:[setting]],0), MATCH(AA$139, regions_ub[#Headers],0)),INDEX(lmic_raw_ub[],MATCH($A351,lmic_raw_ub[[setting]:[setting]],0), MATCH(AA$277, lmic_raw_ub[#Headers],0)))</f>
        <v>26.698255628721466</v>
      </c>
      <c r="AB351" s="84">
        <f>IF(INDEX(lmic_raw_ub[],MATCH($A351,lmic_raw_ub[[setting]:[setting]],0), MATCH(AB$277, lmic_raw_ub[#Headers],0))=0, INDEX(regions_ub[], MATCH($D351, regions_ub[[setting]:[setting]],0), MATCH(AB$139, regions_ub[#Headers],0)),INDEX(lmic_raw_ub[],MATCH($A351,lmic_raw_ub[[setting]:[setting]],0), MATCH(AB$277, lmic_raw_ub[#Headers],0)))</f>
        <v>27.362065628721467</v>
      </c>
      <c r="AC351" s="84">
        <f>IF(INDEX(lmic_raw_ub[],MATCH($A351,lmic_raw_ub[[setting]:[setting]],0), MATCH(AC$277, lmic_raw_ub[#Headers],0))=0, INDEX(regions_ub[], MATCH($D351, regions_ub[[setting]:[setting]],0), MATCH(AC$139, regions_ub[#Headers],0)),INDEX(lmic_raw_ub[],MATCH($A351,lmic_raw_ub[[setting]:[setting]],0), MATCH(AC$277, lmic_raw_ub[#Headers],0)))</f>
        <v>7.1031659999999828E-3</v>
      </c>
      <c r="AD351" s="84">
        <f>IF(INDEX(lmic_raw_ub[],MATCH($A351,lmic_raw_ub[[setting]:[setting]],0), MATCH(AD$277, lmic_raw_ub[#Headers],0))=0, INDEX(regions_ub[], MATCH($D351, regions_ub[[setting]:[setting]],0), MATCH(AD$139, regions_ub[#Headers],0)),INDEX(lmic_raw_ub[],MATCH($A351,lmic_raw_ub[[setting]:[setting]],0), MATCH(AD$277, lmic_raw_ub[#Headers],0)))</f>
        <v>3.0579165609011163E-4</v>
      </c>
      <c r="AE351" s="84">
        <f>IF(INDEX(lmic_raw_ub[],MATCH($A351,lmic_raw_ub[[setting]:[setting]],0), MATCH(AE$277, lmic_raw_ub[#Headers],0))=0, INDEX(regions_ub[], MATCH($D351, regions_ub[[setting]:[setting]],0), MATCH(AE$139, regions_ub[#Headers],0)),INDEX(lmic_raw_ub[],MATCH($A351,lmic_raw_ub[[setting]:[setting]],0), MATCH(AE$277, lmic_raw_ub[#Headers],0)))</f>
        <v>2.6523538410347462E-4</v>
      </c>
      <c r="AF351" s="84">
        <f>IF(INDEX(lmic_raw_ub[],MATCH($A351,lmic_raw_ub[[setting]:[setting]],0), MATCH(AF$277, lmic_raw_ub[#Headers],0))=0, INDEX(regions_ub[], MATCH($D351, regions_ub[[setting]:[setting]],0), MATCH(AF$139, regions_ub[#Headers],0)),INDEX(lmic_raw_ub[],MATCH($A351,lmic_raw_ub[[setting]:[setting]],0), MATCH(AF$277, lmic_raw_ub[#Headers],0)))</f>
        <v>3.5613260957012885E-4</v>
      </c>
      <c r="AG351" s="84">
        <f>IF(INDEX(lmic_raw_ub[],MATCH($A351,lmic_raw_ub[[setting]:[setting]],0), MATCH(AG$277, lmic_raw_ub[#Headers],0))=0, INDEX(regions_ub[], MATCH($D351, regions_ub[[setting]:[setting]],0), MATCH(AG$139, regions_ub[#Headers],0)),INDEX(lmic_raw_ub[],MATCH($A351,lmic_raw_ub[[setting]:[setting]],0), MATCH(AG$277, lmic_raw_ub[#Headers],0)))</f>
        <v>3.6367145915385061E-4</v>
      </c>
      <c r="AH351" s="84">
        <f>IF(INDEX(lmic_raw_ub[],MATCH($A351,lmic_raw_ub[[setting]:[setting]],0), MATCH(AH$277, lmic_raw_ub[#Headers],0))=0, INDEX(regions_ub[], MATCH($D351, regions_ub[[setting]:[setting]],0), MATCH(AH$139, regions_ub[#Headers],0)),INDEX(lmic_raw_ub[],MATCH($A351,lmic_raw_ub[[setting]:[setting]],0), MATCH(AH$277, lmic_raw_ub[#Headers],0)))</f>
        <v>5.3215445555759432E-4</v>
      </c>
      <c r="AI351" s="84">
        <f>IF(INDEX(lmic_raw_ub[],MATCH($A351,lmic_raw_ub[[setting]:[setting]],0), MATCH(AI$277, lmic_raw_ub[#Headers],0))=0, INDEX(regions_ub[], MATCH($D351, regions_ub[[setting]:[setting]],0), MATCH(AI$139, regions_ub[#Headers],0)),INDEX(lmic_raw_ub[],MATCH($A351,lmic_raw_ub[[setting]:[setting]],0), MATCH(AI$277, lmic_raw_ub[#Headers],0)))</f>
        <v>4.9412804684747819E-4</v>
      </c>
      <c r="AJ351" s="84">
        <f>IF(INDEX(lmic_raw_ub[],MATCH($A351,lmic_raw_ub[[setting]:[setting]],0), MATCH(AJ$277, lmic_raw_ub[#Headers],0))=0, INDEX(regions_ub[], MATCH($D351, regions_ub[[setting]:[setting]],0), MATCH(AJ$139, regions_ub[#Headers],0)),INDEX(lmic_raw_ub[],MATCH($A351,lmic_raw_ub[[setting]:[setting]],0), MATCH(AJ$277, lmic_raw_ub[#Headers],0)))</f>
        <v>5.5244756376318833E-4</v>
      </c>
      <c r="AK351" s="84">
        <f>IF(INDEX(lmic_raw_ub[],MATCH($A351,lmic_raw_ub[[setting]:[setting]],0), MATCH(AK$277, lmic_raw_ub[#Headers],0))=0, INDEX(regions_ub[], MATCH($D351, regions_ub[[setting]:[setting]],0), MATCH(AK$139, regions_ub[#Headers],0)),INDEX(lmic_raw_ub[],MATCH($A351,lmic_raw_ub[[setting]:[setting]],0), MATCH(AK$277, lmic_raw_ub[#Headers],0)))</f>
        <v>6.1528517228751989E-4</v>
      </c>
      <c r="AL351" s="84">
        <f>IF(INDEX(lmic_raw_ub[],MATCH($A351,lmic_raw_ub[[setting]:[setting]],0), MATCH(AL$277, lmic_raw_ub[#Headers],0))=0, INDEX(regions_ub[], MATCH($D351, regions_ub[[setting]:[setting]],0), MATCH(AL$139, regions_ub[#Headers],0)),INDEX(lmic_raw_ub[],MATCH($A351,lmic_raw_ub[[setting]:[setting]],0), MATCH(AL$277, lmic_raw_ub[#Headers],0)))</f>
        <v>9.8067920849700496E-4</v>
      </c>
      <c r="AM351" s="84">
        <f>IF(INDEX(lmic_raw_ub[],MATCH($A351,lmic_raw_ub[[setting]:[setting]],0), MATCH(AM$277, lmic_raw_ub[#Headers],0))=0, INDEX(regions_ub[], MATCH($D351, regions_ub[[setting]:[setting]],0), MATCH(AM$139, regions_ub[#Headers],0)),INDEX(lmic_raw_ub[],MATCH($A351,lmic_raw_ub[[setting]:[setting]],0), MATCH(AM$277, lmic_raw_ub[#Headers],0)))</f>
        <v>1.7274070823502196E-3</v>
      </c>
      <c r="AN351" s="84">
        <f>IF(INDEX(lmic_raw_ub[],MATCH($A351,lmic_raw_ub[[setting]:[setting]],0), MATCH(AN$277, lmic_raw_ub[#Headers],0))=0, INDEX(regions_ub[], MATCH($D351, regions_ub[[setting]:[setting]],0), MATCH(AN$139, regions_ub[#Headers],0)),INDEX(lmic_raw_ub[],MATCH($A351,lmic_raw_ub[[setting]:[setting]],0), MATCH(AN$277, lmic_raw_ub[#Headers],0)))</f>
        <v>2.5115866074375028E-3</v>
      </c>
      <c r="AO351" s="84">
        <f>IF(INDEX(lmic_raw_ub[],MATCH($A351,lmic_raw_ub[[setting]:[setting]],0), MATCH(AO$277, lmic_raw_ub[#Headers],0))=0, INDEX(regions_ub[], MATCH($D351, regions_ub[[setting]:[setting]],0), MATCH(AO$139, regions_ub[#Headers],0)),INDEX(lmic_raw_ub[],MATCH($A351,lmic_raw_ub[[setting]:[setting]],0), MATCH(AO$277, lmic_raw_ub[#Headers],0)))</f>
        <v>4.8366081753631971E-3</v>
      </c>
      <c r="AP351" s="84">
        <f>IF(INDEX(lmic_raw_ub[],MATCH($A351,lmic_raw_ub[[setting]:[setting]],0), MATCH(AP$277, lmic_raw_ub[#Headers],0))=0, INDEX(regions_ub[], MATCH($D351, regions_ub[[setting]:[setting]],0), MATCH(AP$139, regions_ub[#Headers],0)),INDEX(lmic_raw_ub[],MATCH($A351,lmic_raw_ub[[setting]:[setting]],0), MATCH(AP$277, lmic_raw_ub[#Headers],0)))</f>
        <v>9.0302366100627092E-3</v>
      </c>
      <c r="AQ351" s="84">
        <f>IF(INDEX(lmic_raw_ub[],MATCH($A351,lmic_raw_ub[[setting]:[setting]],0), MATCH(AQ$277, lmic_raw_ub[#Headers],0))=0, INDEX(regions_ub[], MATCH($D351, regions_ub[[setting]:[setting]],0), MATCH(AQ$139, regions_ub[#Headers],0)),INDEX(lmic_raw_ub[],MATCH($A351,lmic_raw_ub[[setting]:[setting]],0), MATCH(AQ$277, lmic_raw_ub[#Headers],0)))</f>
        <v>1.6913411956470753E-2</v>
      </c>
      <c r="AR351" s="84">
        <f>IF(INDEX(lmic_raw_ub[],MATCH($A351,lmic_raw_ub[[setting]:[setting]],0), MATCH(AR$277, lmic_raw_ub[#Headers],0))=0, INDEX(regions_ub[], MATCH($D351, regions_ub[[setting]:[setting]],0), MATCH(AR$139, regions_ub[#Headers],0)),INDEX(lmic_raw_ub[],MATCH($A351,lmic_raw_ub[[setting]:[setting]],0), MATCH(AR$277, lmic_raw_ub[#Headers],0)))</f>
        <v>3.1196746291609664E-2</v>
      </c>
      <c r="AS351" s="84">
        <f>IF(INDEX(lmic_raw_ub[],MATCH($A351,lmic_raw_ub[[setting]:[setting]],0), MATCH(AS$277, lmic_raw_ub[#Headers],0))=0, INDEX(regions_ub[], MATCH($D351, regions_ub[[setting]:[setting]],0), MATCH(AS$139, regions_ub[#Headers],0)),INDEX(lmic_raw_ub[],MATCH($A351,lmic_raw_ub[[setting]:[setting]],0), MATCH(AS$277, lmic_raw_ub[#Headers],0)))</f>
        <v>5.5849975324271148E-2</v>
      </c>
      <c r="AT351" s="84">
        <f>IF(INDEX(lmic_raw_ub[],MATCH($A351,lmic_raw_ub[[setting]:[setting]],0), MATCH(AT$277, lmic_raw_ub[#Headers],0))=0, INDEX(regions_ub[], MATCH($D351, regions_ub[[setting]:[setting]],0), MATCH(AT$139, regions_ub[#Headers],0)),INDEX(lmic_raw_ub[],MATCH($A351,lmic_raw_ub[[setting]:[setting]],0), MATCH(AT$277, lmic_raw_ub[#Headers],0)))</f>
        <v>7.6099897020507942E-2</v>
      </c>
      <c r="AU351" s="84">
        <f>IF(INDEX(lmic_raw_ub[],MATCH($A351,lmic_raw_ub[[setting]:[setting]],0), MATCH(AU$277, lmic_raw_ub[#Headers],0))=0, INDEX(regions_ub[], MATCH($D351, regions_ub[[setting]:[setting]],0), MATCH(AU$139, regions_ub[#Headers],0)),INDEX(lmic_raw_ub[],MATCH($A351,lmic_raw_ub[[setting]:[setting]],0), MATCH(AU$277, lmic_raw_ub[#Headers],0)))</f>
        <v>0.10315446837984948</v>
      </c>
      <c r="AV351" s="84">
        <f>IF(INDEX(lmic_raw_ub[],MATCH($A351,lmic_raw_ub[[setting]:[setting]],0), MATCH(AV$277, lmic_raw_ub[#Headers],0))=0, INDEX(regions_ub[], MATCH($D351, regions_ub[[setting]:[setting]],0), MATCH(AV$139, regions_ub[#Headers],0)),INDEX(lmic_raw_ub[],MATCH($A351,lmic_raw_ub[[setting]:[setting]],0), MATCH(AV$277, lmic_raw_ub[#Headers],0)))</f>
        <v>0.1305781451492023</v>
      </c>
      <c r="AW351" s="84">
        <f>IF(INDEX(lmic_raw_ub[],MATCH($A351,lmic_raw_ub[[setting]:[setting]],0), MATCH(AW$277, lmic_raw_ub[#Headers],0))=0, INDEX(regions_ub[], MATCH($D351, regions_ub[[setting]:[setting]],0), MATCH(AW$139, regions_ub[#Headers],0)),INDEX(lmic_raw_ub[],MATCH($A351,lmic_raw_ub[[setting]:[setting]],0), MATCH(AW$277, lmic_raw_ub[#Headers],0)))</f>
        <v>0.15480956676455052</v>
      </c>
      <c r="AX351" s="84">
        <f>IF(INDEX(lmic_raw_ub[],MATCH($A351,lmic_raw_ub[[setting]:[setting]],0), MATCH(AX$277, lmic_raw_ub[#Headers],0))=0, INDEX(regions_ub[], MATCH($D351, regions_ub[[setting]:[setting]],0), MATCH(AX$139, regions_ub[#Headers],0)),INDEX(lmic_raw_ub[],MATCH($A351,lmic_raw_ub[[setting]:[setting]],0), MATCH(AX$277, lmic_raw_ub[#Headers],0)))</f>
        <v>82.389299999999992</v>
      </c>
      <c r="AY351" s="33" t="str">
        <f>IF(VLOOKUP(lmics_ub[[#This Row],[setting]],lmic_raw_ub[],11,FALSE)=0, "Yes", "No")</f>
        <v>No</v>
      </c>
    </row>
    <row r="352" spans="1:51" x14ac:dyDescent="0.25">
      <c r="A352" s="109" t="s">
        <v>147</v>
      </c>
      <c r="B352" s="101" t="s">
        <v>465</v>
      </c>
      <c r="C352" s="102">
        <v>466</v>
      </c>
      <c r="D352" s="82" t="s">
        <v>677</v>
      </c>
      <c r="E352" s="82" t="s">
        <v>591</v>
      </c>
      <c r="F352" s="82" t="s">
        <v>667</v>
      </c>
      <c r="G352" s="82" t="s">
        <v>674</v>
      </c>
      <c r="J352" s="84">
        <f>IF(INDEX(lmic_raw_ub[],MATCH($A352,lmic_raw_ub[[setting]:[setting]],0), MATCH(J$277, lmic_raw_ub[#Headers],0))=0, INDEX(regions_ub[], MATCH($D352, regions_ub[[setting]:[setting]],0), MATCH(J$139, regions_ub[#Headers],0)),INDEX(lmic_raw_ub[],MATCH($A352,lmic_raw_ub[[setting]:[setting]],0), MATCH(J$277, lmic_raw_ub[#Headers],0)))</f>
        <v>0.70139999999999991</v>
      </c>
      <c r="K352" s="84">
        <f>IF(INDEX(lmic_raw_ub[],MATCH($A352,lmic_raw_ub[[setting]:[setting]],0), MATCH(K$277, lmic_raw_ub[#Headers],0))=0, INDEX(regions_ub[], MATCH($D352, regions_ub[[setting]:[setting]],0), MATCH(K$139, regions_ub[#Headers],0)),INDEX(lmic_raw_ub[],MATCH($A352,lmic_raw_ub[[setting]:[setting]],0), MATCH(K$277, lmic_raw_ub[#Headers],0)))</f>
        <v>0.71433037619548323</v>
      </c>
      <c r="L352" s="84">
        <f>IF(INDEX(lmic_raw_ub[],MATCH($A352,lmic_raw_ub[[setting]:[setting]],0), MATCH(L$277, lmic_raw_ub[#Headers],0))=0, INDEX(regions_ub[], MATCH($D352, regions_ub[[setting]:[setting]],0), MATCH(L$139, regions_ub[#Headers],0)),INDEX(lmic_raw_ub[],MATCH($A352,lmic_raw_ub[[setting]:[setting]],0), MATCH(L$277, lmic_raw_ub[#Headers],0)))</f>
        <v>0.80850000000000011</v>
      </c>
      <c r="M352" s="84">
        <f>IF(INDEX(lmic_raw_ub[],MATCH($A352,lmic_raw_ub[[setting]:[setting]],0), MATCH(M$277, lmic_raw_ub[#Headers],0))=0, INDEX(regions_ub[], MATCH($D352, regions_ub[[setting]:[setting]],0), MATCH(M$139, regions_ub[#Headers],0)),INDEX(lmic_raw_ub[],MATCH($A352,lmic_raw_ub[[setting]:[setting]],0), MATCH(M$277, lmic_raw_ub[#Headers],0)))</f>
        <v>0.1106</v>
      </c>
      <c r="N352" s="84">
        <f>IF(INDEX(lmic_raw_ub[],MATCH($A352,lmic_raw_ub[[setting]:[setting]],0), MATCH(N$277, lmic_raw_ub[#Headers],0))=0, INDEX(regions_ub[], MATCH($D352, regions_ub[[setting]:[setting]],0), MATCH(N$139, regions_ub[#Headers],0)),INDEX(lmic_raw_ub[],MATCH($A352,lmic_raw_ub[[setting]:[setting]],0), MATCH(N$277, lmic_raw_ub[#Headers],0)))</f>
        <v>0.41070000000000001</v>
      </c>
      <c r="O352" s="84">
        <f>IF(INDEX(lmic_raw_ub[],MATCH($A352,lmic_raw_ub[[setting]:[setting]],0), MATCH(O$277, lmic_raw_ub[#Headers],0))=0, INDEX(regions_ub[], MATCH($D352, regions_ub[[setting]:[setting]],0), MATCH(O$139, regions_ub[#Headers],0)),INDEX(lmic_raw_ub[],MATCH($A352,lmic_raw_ub[[setting]:[setting]],0), MATCH(O$277, lmic_raw_ub[#Headers],0)))</f>
        <v>0.74399999999999999</v>
      </c>
      <c r="P352" s="84">
        <f>IF(INDEX(lmic_raw_ub[],MATCH($A352,lmic_raw_ub[[setting]:[setting]],0), MATCH(P$277, lmic_raw_ub[#Headers],0))=0, INDEX(regions_ub[], MATCH($D352, regions_ub[[setting]:[setting]],0), MATCH(P$139, regions_ub[#Headers],0)),INDEX(lmic_raw_ub[],MATCH($A352,lmic_raw_ub[[setting]:[setting]],0), MATCH(P$277, lmic_raw_ub[#Headers],0)))</f>
        <v>0.13300000000000001</v>
      </c>
      <c r="Q352" s="84">
        <f>IF(INDEX(lmic_raw_ub[],MATCH($A352,lmic_raw_ub[[setting]:[setting]],0), MATCH(Q$277, lmic_raw_ub[#Headers],0))=0, INDEX(regions_ub[], MATCH($D352, regions_ub[[setting]:[setting]],0), MATCH(Q$139, regions_ub[#Headers],0)),INDEX(lmic_raw_ub[],MATCH($A352,lmic_raw_ub[[setting]:[setting]],0), MATCH(Q$277, lmic_raw_ub[#Headers],0)))</f>
        <v>3.0528899970270409</v>
      </c>
      <c r="R352" s="84">
        <f>IF(INDEX(lmic_raw_ub[],MATCH($A352,lmic_raw_ub[[setting]:[setting]],0), MATCH(R$277, lmic_raw_ub[#Headers],0))=0, INDEX(regions_ub[], MATCH($D352, regions_ub[[setting]:[setting]],0), MATCH(R$139, regions_ub[#Headers],0)),INDEX(lmic_raw_ub[],MATCH($A352,lmic_raw_ub[[setting]:[setting]],0), MATCH(R$277, lmic_raw_ub[#Headers],0)))</f>
        <v>31.416525000000004</v>
      </c>
      <c r="S352" s="84">
        <f>IF(INDEX(lmic_raw_ub[],MATCH($A352,lmic_raw_ub[[setting]:[setting]],0), MATCH(S$277, lmic_raw_ub[#Headers],0))=0, INDEX(regions_ub[], MATCH($D352, regions_ub[[setting]:[setting]],0), MATCH(S$139, regions_ub[#Headers],0)),INDEX(lmic_raw_ub[],MATCH($A352,lmic_raw_ub[[setting]:[setting]],0), MATCH(S$277, lmic_raw_ub[#Headers],0)))</f>
        <v>81.545625000000015</v>
      </c>
      <c r="T352" s="84">
        <f>IF(INDEX(lmic_raw_ub[],MATCH($A352,lmic_raw_ub[[setting]:[setting]],0), MATCH(T$277, lmic_raw_ub[#Headers],0))=0, INDEX(regions_ub[], MATCH($D352, regions_ub[[setting]:[setting]],0), MATCH(T$139, regions_ub[#Headers],0)),INDEX(lmic_raw_ub[],MATCH($A352,lmic_raw_ub[[setting]:[setting]],0), MATCH(T$277, lmic_raw_ub[#Headers],0)))</f>
        <v>81.545625000000015</v>
      </c>
      <c r="U352" s="84">
        <f>IF(INDEX(lmic_raw_ub[],MATCH($A352,lmic_raw_ub[[setting]:[setting]],0), MATCH(U$277, lmic_raw_ub[#Headers],0))=0, INDEX(regions_ub[], MATCH($D352, regions_ub[[setting]:[setting]],0), MATCH(U$139, regions_ub[#Headers],0)),INDEX(lmic_raw_ub[],MATCH($A352,lmic_raw_ub[[setting]:[setting]],0), MATCH(U$277, lmic_raw_ub[#Headers],0)))</f>
        <v>81.545625000000015</v>
      </c>
      <c r="V352" s="84">
        <f>IF(INDEX(lmic_raw_ub[],MATCH($A352,lmic_raw_ub[[setting]:[setting]],0), MATCH(V$277, lmic_raw_ub[#Headers],0))=0, INDEX(regions_ub[], MATCH($D352, regions_ub[[setting]:[setting]],0), MATCH(V$139, regions_ub[#Headers],0)),INDEX(lmic_raw_ub[],MATCH($A352,lmic_raw_ub[[setting]:[setting]],0), MATCH(V$277, lmic_raw_ub[#Headers],0)))</f>
        <v>3.3594755567470984</v>
      </c>
      <c r="W352" s="84">
        <f>IF(INDEX(lmic_raw_ub[],MATCH($A352,lmic_raw_ub[[setting]:[setting]],0), MATCH(W$277, lmic_raw_ub[#Headers],0))=0, INDEX(regions_ub[], MATCH($D352, regions_ub[[setting]:[setting]],0), MATCH(W$139, regions_ub[#Headers],0)),INDEX(lmic_raw_ub[],MATCH($A352,lmic_raw_ub[[setting]:[setting]],0), MATCH(W$277, lmic_raw_ub[#Headers],0)))</f>
        <v>8.4296105567470985</v>
      </c>
      <c r="X352" s="84">
        <f>IF(INDEX(lmic_raw_ub[],MATCH($A352,lmic_raw_ub[[setting]:[setting]],0), MATCH(X$277, lmic_raw_ub[#Headers],0))=0, INDEX(regions_ub[], MATCH($D352, regions_ub[[setting]:[setting]],0), MATCH(X$139, regions_ub[#Headers],0)),INDEX(lmic_raw_ub[],MATCH($A352,lmic_raw_ub[[setting]:[setting]],0), MATCH(X$277, lmic_raw_ub[#Headers],0)))</f>
        <v>2.8611671490140766</v>
      </c>
      <c r="Y352" s="84">
        <f>IF(INDEX(lmic_raw_ub[],MATCH($A352,lmic_raw_ub[[setting]:[setting]],0), MATCH(Y$277, lmic_raw_ub[#Headers],0))=0, INDEX(regions_ub[], MATCH($D352, regions_ub[[setting]:[setting]],0), MATCH(Y$139, regions_ub[#Headers],0)),INDEX(lmic_raw_ub[],MATCH($A352,lmic_raw_ub[[setting]:[setting]],0), MATCH(Y$277, lmic_raw_ub[#Headers],0)))</f>
        <v>7.9313021490140772</v>
      </c>
      <c r="Z352" s="84">
        <f>IF(INDEX(lmic_raw_ub[],MATCH($A352,lmic_raw_ub[[setting]:[setting]],0), MATCH(Z$277, lmic_raw_ub[#Headers],0))=0, INDEX(regions_ub[], MATCH($D352, regions_ub[[setting]:[setting]],0), MATCH(Z$139, regions_ub[#Headers],0)),INDEX(lmic_raw_ub[],MATCH($A352,lmic_raw_ub[[setting]:[setting]],0), MATCH(Z$277, lmic_raw_ub[#Headers],0)))</f>
        <v>7.9229730544402859</v>
      </c>
      <c r="AA352" s="84">
        <f>IF(INDEX(lmic_raw_ub[],MATCH($A352,lmic_raw_ub[[setting]:[setting]],0), MATCH(AA$277, lmic_raw_ub[#Headers],0))=0, INDEX(regions_ub[], MATCH($D352, regions_ub[[setting]:[setting]],0), MATCH(AA$139, regions_ub[#Headers],0)),INDEX(lmic_raw_ub[],MATCH($A352,lmic_raw_ub[[setting]:[setting]],0), MATCH(AA$277, lmic_raw_ub[#Headers],0)))</f>
        <v>3.6286629529989129</v>
      </c>
      <c r="AB352" s="84">
        <f>IF(INDEX(lmic_raw_ub[],MATCH($A352,lmic_raw_ub[[setting]:[setting]],0), MATCH(AB$277, lmic_raw_ub[#Headers],0))=0, INDEX(regions_ub[], MATCH($D352, regions_ub[[setting]:[setting]],0), MATCH(AB$139, regions_ub[#Headers],0)),INDEX(lmic_raw_ub[],MATCH($A352,lmic_raw_ub[[setting]:[setting]],0), MATCH(AB$277, lmic_raw_ub[#Headers],0)))</f>
        <v>8.6987979529989126</v>
      </c>
      <c r="AC352" s="84">
        <f>IF(INDEX(lmic_raw_ub[],MATCH($A352,lmic_raw_ub[[setting]:[setting]],0), MATCH(AC$277, lmic_raw_ub[#Headers],0))=0, INDEX(regions_ub[], MATCH($D352, regions_ub[[setting]:[setting]],0), MATCH(AC$139, regions_ub[#Headers],0)),INDEX(lmic_raw_ub[],MATCH($A352,lmic_raw_ub[[setting]:[setting]],0), MATCH(AC$277, lmic_raw_ub[#Headers],0)))</f>
        <v>6.9111220499999931E-2</v>
      </c>
      <c r="AD352" s="84">
        <f>IF(INDEX(lmic_raw_ub[],MATCH($A352,lmic_raw_ub[[setting]:[setting]],0), MATCH(AD$277, lmic_raw_ub[#Headers],0))=0, INDEX(regions_ub[], MATCH($D352, regions_ub[[setting]:[setting]],0), MATCH(AD$139, regions_ub[#Headers],0)),INDEX(lmic_raw_ub[],MATCH($A352,lmic_raw_ub[[setting]:[setting]],0), MATCH(AD$277, lmic_raw_ub[#Headers],0)))</f>
        <v>1.1137467981404312E-2</v>
      </c>
      <c r="AE352" s="84">
        <f>IF(INDEX(lmic_raw_ub[],MATCH($A352,lmic_raw_ub[[setting]:[setting]],0), MATCH(AE$277, lmic_raw_ub[#Headers],0))=0, INDEX(regions_ub[], MATCH($D352, regions_ub[[setting]:[setting]],0), MATCH(AE$139, regions_ub[#Headers],0)),INDEX(lmic_raw_ub[],MATCH($A352,lmic_raw_ub[[setting]:[setting]],0), MATCH(AE$277, lmic_raw_ub[#Headers],0)))</f>
        <v>3.6438173375912112E-3</v>
      </c>
      <c r="AF352" s="84">
        <f>IF(INDEX(lmic_raw_ub[],MATCH($A352,lmic_raw_ub[[setting]:[setting]],0), MATCH(AF$277, lmic_raw_ub[#Headers],0))=0, INDEX(regions_ub[], MATCH($D352, regions_ub[[setting]:[setting]],0), MATCH(AF$139, regions_ub[#Headers],0)),INDEX(lmic_raw_ub[],MATCH($A352,lmic_raw_ub[[setting]:[setting]],0), MATCH(AF$277, lmic_raw_ub[#Headers],0)))</f>
        <v>2.0636551541411258E-3</v>
      </c>
      <c r="AG352" s="84">
        <f>IF(INDEX(lmic_raw_ub[],MATCH($A352,lmic_raw_ub[[setting]:[setting]],0), MATCH(AG$277, lmic_raw_ub[#Headers],0))=0, INDEX(regions_ub[], MATCH($D352, regions_ub[[setting]:[setting]],0), MATCH(AG$139, regions_ub[#Headers],0)),INDEX(lmic_raw_ub[],MATCH($A352,lmic_raw_ub[[setting]:[setting]],0), MATCH(AG$277, lmic_raw_ub[#Headers],0)))</f>
        <v>3.1175721811405534E-3</v>
      </c>
      <c r="AH352" s="84">
        <f>IF(INDEX(lmic_raw_ub[],MATCH($A352,lmic_raw_ub[[setting]:[setting]],0), MATCH(AH$277, lmic_raw_ub[#Headers],0))=0, INDEX(regions_ub[], MATCH($D352, regions_ub[[setting]:[setting]],0), MATCH(AH$139, regions_ub[#Headers],0)),INDEX(lmic_raw_ub[],MATCH($A352,lmic_raw_ub[[setting]:[setting]],0), MATCH(AH$277, lmic_raw_ub[#Headers],0)))</f>
        <v>4.0153323260593765E-3</v>
      </c>
      <c r="AI352" s="84">
        <f>IF(INDEX(lmic_raw_ub[],MATCH($A352,lmic_raw_ub[[setting]:[setting]],0), MATCH(AI$277, lmic_raw_ub[#Headers],0))=0, INDEX(regions_ub[], MATCH($D352, regions_ub[[setting]:[setting]],0), MATCH(AI$139, regions_ub[#Headers],0)),INDEX(lmic_raw_ub[],MATCH($A352,lmic_raw_ub[[setting]:[setting]],0), MATCH(AI$277, lmic_raw_ub[#Headers],0)))</f>
        <v>4.5085921866781812E-3</v>
      </c>
      <c r="AJ352" s="84">
        <f>IF(INDEX(lmic_raw_ub[],MATCH($A352,lmic_raw_ub[[setting]:[setting]],0), MATCH(AJ$277, lmic_raw_ub[#Headers],0))=0, INDEX(regions_ub[], MATCH($D352, regions_ub[[setting]:[setting]],0), MATCH(AJ$139, regions_ub[#Headers],0)),INDEX(lmic_raw_ub[],MATCH($A352,lmic_raw_ub[[setting]:[setting]],0), MATCH(AJ$277, lmic_raw_ub[#Headers],0)))</f>
        <v>4.7859496490159211E-3</v>
      </c>
      <c r="AK352" s="84">
        <f>IF(INDEX(lmic_raw_ub[],MATCH($A352,lmic_raw_ub[[setting]:[setting]],0), MATCH(AK$277, lmic_raw_ub[#Headers],0))=0, INDEX(regions_ub[], MATCH($D352, regions_ub[[setting]:[setting]],0), MATCH(AK$139, regions_ub[#Headers],0)),INDEX(lmic_raw_ub[],MATCH($A352,lmic_raw_ub[[setting]:[setting]],0), MATCH(AK$277, lmic_raw_ub[#Headers],0)))</f>
        <v>5.3709721681987283E-3</v>
      </c>
      <c r="AL352" s="84">
        <f>IF(INDEX(lmic_raw_ub[],MATCH($A352,lmic_raw_ub[[setting]:[setting]],0), MATCH(AL$277, lmic_raw_ub[#Headers],0))=0, INDEX(regions_ub[], MATCH($D352, regions_ub[[setting]:[setting]],0), MATCH(AL$139, regions_ub[#Headers],0)),INDEX(lmic_raw_ub[],MATCH($A352,lmic_raw_ub[[setting]:[setting]],0), MATCH(AL$277, lmic_raw_ub[#Headers],0)))</f>
        <v>6.3833551858887413E-3</v>
      </c>
      <c r="AM352" s="84">
        <f>IF(INDEX(lmic_raw_ub[],MATCH($A352,lmic_raw_ub[[setting]:[setting]],0), MATCH(AM$277, lmic_raw_ub[#Headers],0))=0, INDEX(regions_ub[], MATCH($D352, regions_ub[[setting]:[setting]],0), MATCH(AM$139, regions_ub[#Headers],0)),INDEX(lmic_raw_ub[],MATCH($A352,lmic_raw_ub[[setting]:[setting]],0), MATCH(AM$277, lmic_raw_ub[#Headers],0)))</f>
        <v>7.4617022158614378E-3</v>
      </c>
      <c r="AN352" s="84">
        <f>IF(INDEX(lmic_raw_ub[],MATCH($A352,lmic_raw_ub[[setting]:[setting]],0), MATCH(AN$277, lmic_raw_ub[#Headers],0))=0, INDEX(regions_ub[], MATCH($D352, regions_ub[[setting]:[setting]],0), MATCH(AN$139, regions_ub[#Headers],0)),INDEX(lmic_raw_ub[],MATCH($A352,lmic_raw_ub[[setting]:[setting]],0), MATCH(AN$277, lmic_raw_ub[#Headers],0)))</f>
        <v>1.0512826863046042E-2</v>
      </c>
      <c r="AO352" s="84">
        <f>IF(INDEX(lmic_raw_ub[],MATCH($A352,lmic_raw_ub[[setting]:[setting]],0), MATCH(AO$277, lmic_raw_ub[#Headers],0))=0, INDEX(regions_ub[], MATCH($D352, regions_ub[[setting]:[setting]],0), MATCH(AO$139, regions_ub[#Headers],0)),INDEX(lmic_raw_ub[],MATCH($A352,lmic_raw_ub[[setting]:[setting]],0), MATCH(AO$277, lmic_raw_ub[#Headers],0)))</f>
        <v>1.501853908299893E-2</v>
      </c>
      <c r="AP352" s="84">
        <f>IF(INDEX(lmic_raw_ub[],MATCH($A352,lmic_raw_ub[[setting]:[setting]],0), MATCH(AP$277, lmic_raw_ub[#Headers],0))=0, INDEX(regions_ub[], MATCH($D352, regions_ub[[setting]:[setting]],0), MATCH(AP$139, regions_ub[#Headers],0)),INDEX(lmic_raw_ub[],MATCH($A352,lmic_raw_ub[[setting]:[setting]],0), MATCH(AP$277, lmic_raw_ub[#Headers],0)))</f>
        <v>2.3504419140887661E-2</v>
      </c>
      <c r="AQ352" s="84">
        <f>IF(INDEX(lmic_raw_ub[],MATCH($A352,lmic_raw_ub[[setting]:[setting]],0), MATCH(AQ$277, lmic_raw_ub[#Headers],0))=0, INDEX(regions_ub[], MATCH($D352, regions_ub[[setting]:[setting]],0), MATCH(AQ$139, regions_ub[#Headers],0)),INDEX(lmic_raw_ub[],MATCH($A352,lmic_raw_ub[[setting]:[setting]],0), MATCH(AQ$277, lmic_raw_ub[#Headers],0)))</f>
        <v>3.634497862229253E-2</v>
      </c>
      <c r="AR352" s="84">
        <f>IF(INDEX(lmic_raw_ub[],MATCH($A352,lmic_raw_ub[[setting]:[setting]],0), MATCH(AR$277, lmic_raw_ub[#Headers],0))=0, INDEX(regions_ub[], MATCH($D352, regions_ub[[setting]:[setting]],0), MATCH(AR$139, regions_ub[#Headers],0)),INDEX(lmic_raw_ub[],MATCH($A352,lmic_raw_ub[[setting]:[setting]],0), MATCH(AR$277, lmic_raw_ub[#Headers],0)))</f>
        <v>5.8280625506620345E-2</v>
      </c>
      <c r="AS352" s="84">
        <f>IF(INDEX(lmic_raw_ub[],MATCH($A352,lmic_raw_ub[[setting]:[setting]],0), MATCH(AS$277, lmic_raw_ub[#Headers],0))=0, INDEX(regions_ub[], MATCH($D352, regions_ub[[setting]:[setting]],0), MATCH(AS$139, regions_ub[#Headers],0)),INDEX(lmic_raw_ub[],MATCH($A352,lmic_raw_ub[[setting]:[setting]],0), MATCH(AS$277, lmic_raw_ub[#Headers],0)))</f>
        <v>8.9568819595472415E-2</v>
      </c>
      <c r="AT352" s="84">
        <f>IF(INDEX(lmic_raw_ub[],MATCH($A352,lmic_raw_ub[[setting]:[setting]],0), MATCH(AT$277, lmic_raw_ub[#Headers],0))=0, INDEX(regions_ub[], MATCH($D352, regions_ub[[setting]:[setting]],0), MATCH(AT$139, regions_ub[#Headers],0)),INDEX(lmic_raw_ub[],MATCH($A352,lmic_raw_ub[[setting]:[setting]],0), MATCH(AT$277, lmic_raw_ub[#Headers],0)))</f>
        <v>0.12775544942045788</v>
      </c>
      <c r="AU352" s="84">
        <f>IF(INDEX(lmic_raw_ub[],MATCH($A352,lmic_raw_ub[[setting]:[setting]],0), MATCH(AU$277, lmic_raw_ub[#Headers],0))=0, INDEX(regions_ub[], MATCH($D352, regions_ub[[setting]:[setting]],0), MATCH(AU$139, regions_ub[#Headers],0)),INDEX(lmic_raw_ub[],MATCH($A352,lmic_raw_ub[[setting]:[setting]],0), MATCH(AU$277, lmic_raw_ub[#Headers],0)))</f>
        <v>0.16252616917382287</v>
      </c>
      <c r="AV352" s="84">
        <f>IF(INDEX(lmic_raw_ub[],MATCH($A352,lmic_raw_ub[[setting]:[setting]],0), MATCH(AV$277, lmic_raw_ub[#Headers],0))=0, INDEX(regions_ub[], MATCH($D352, regions_ub[[setting]:[setting]],0), MATCH(AV$139, regions_ub[#Headers],0)),INDEX(lmic_raw_ub[],MATCH($A352,lmic_raw_ub[[setting]:[setting]],0), MATCH(AV$277, lmic_raw_ub[#Headers],0)))</f>
        <v>0.18637074223770489</v>
      </c>
      <c r="AW352" s="84">
        <f>IF(INDEX(lmic_raw_ub[],MATCH($A352,lmic_raw_ub[[setting]:[setting]],0), MATCH(AW$277, lmic_raw_ub[#Headers],0))=0, INDEX(regions_ub[], MATCH($D352, regions_ub[[setting]:[setting]],0), MATCH(AW$139, regions_ub[#Headers],0)),INDEX(lmic_raw_ub[],MATCH($A352,lmic_raw_ub[[setting]:[setting]],0), MATCH(AW$277, lmic_raw_ub[#Headers],0)))</f>
        <v>0.19738984660885539</v>
      </c>
      <c r="AX352" s="84">
        <f>IF(INDEX(lmic_raw_ub[],MATCH($A352,lmic_raw_ub[[setting]:[setting]],0), MATCH(AX$277, lmic_raw_ub[#Headers],0))=0, INDEX(regions_ub[], MATCH($D352, regions_ub[[setting]:[setting]],0), MATCH(AX$139, regions_ub[#Headers],0)),INDEX(lmic_raw_ub[],MATCH($A352,lmic_raw_ub[[setting]:[setting]],0), MATCH(AX$277, lmic_raw_ub[#Headers],0)))</f>
        <v>61.645500000000006</v>
      </c>
      <c r="AY352" s="33" t="str">
        <f>IF(VLOOKUP(lmics_ub[[#This Row],[setting]],lmic_raw_ub[],11,FALSE)=0, "Yes", "No")</f>
        <v>Yes</v>
      </c>
    </row>
    <row r="353" spans="1:51" x14ac:dyDescent="0.25">
      <c r="A353" s="110" t="s">
        <v>682</v>
      </c>
      <c r="B353" s="104" t="s">
        <v>467</v>
      </c>
      <c r="C353" s="105">
        <v>584</v>
      </c>
      <c r="D353" s="84" t="s">
        <v>681</v>
      </c>
      <c r="E353" s="84" t="s">
        <v>98</v>
      </c>
      <c r="F353" s="84" t="s">
        <v>666</v>
      </c>
      <c r="G353" s="84" t="s">
        <v>676</v>
      </c>
      <c r="J353" s="84">
        <f>IF(INDEX(lmic_raw_ub[],MATCH($A353,lmic_raw_ub[[setting]:[setting]],0), MATCH(J$277, lmic_raw_ub[#Headers],0))=0, INDEX(regions_ub[], MATCH($D353, regions_ub[[setting]:[setting]],0), MATCH(J$139, regions_ub[#Headers],0)),INDEX(lmic_raw_ub[],MATCH($A353,lmic_raw_ub[[setting]:[setting]],0), MATCH(J$277, lmic_raw_ub[#Headers],0)))</f>
        <v>0.89355000000000007</v>
      </c>
      <c r="K353" s="84">
        <f>IF(INDEX(lmic_raw_ub[],MATCH($A353,lmic_raw_ub[[setting]:[setting]],0), MATCH(K$277, lmic_raw_ub[#Headers],0))=0, INDEX(regions_ub[], MATCH($D353, regions_ub[[setting]:[setting]],0), MATCH(K$139, regions_ub[#Headers],0)),INDEX(lmic_raw_ub[],MATCH($A353,lmic_raw_ub[[setting]:[setting]],0), MATCH(K$277, lmic_raw_ub[#Headers],0)))</f>
        <v>0.99990000000000001</v>
      </c>
      <c r="L353" s="84">
        <f>IF(INDEX(lmic_raw_ub[],MATCH($A353,lmic_raw_ub[[setting]:[setting]],0), MATCH(L$277, lmic_raw_ub[#Headers],0))=0, INDEX(regions_ub[], MATCH($D353, regions_ub[[setting]:[setting]],0), MATCH(L$139, regions_ub[#Headers],0)),INDEX(lmic_raw_ub[],MATCH($A353,lmic_raw_ub[[setting]:[setting]],0), MATCH(L$277, lmic_raw_ub[#Headers],0)))</f>
        <v>0.86099999999999999</v>
      </c>
      <c r="M353" s="84">
        <f>IF(INDEX(lmic_raw_ub[],MATCH($A353,lmic_raw_ub[[setting]:[setting]],0), MATCH(M$277, lmic_raw_ub[#Headers],0))=0, INDEX(regions_ub[], MATCH($D353, regions_ub[[setting]:[setting]],0), MATCH(M$139, regions_ub[#Headers],0)),INDEX(lmic_raw_ub[],MATCH($A353,lmic_raw_ub[[setting]:[setting]],0), MATCH(M$277, lmic_raw_ub[#Headers],0)))</f>
        <v>0.11609999999999999</v>
      </c>
      <c r="N353" s="84">
        <f>IF(INDEX(lmic_raw_ub[],MATCH($A353,lmic_raw_ub[[setting]:[setting]],0), MATCH(N$277, lmic_raw_ub[#Headers],0))=0, INDEX(regions_ub[], MATCH($D353, regions_ub[[setting]:[setting]],0), MATCH(N$139, regions_ub[#Headers],0)),INDEX(lmic_raw_ub[],MATCH($A353,lmic_raw_ub[[setting]:[setting]],0), MATCH(N$277, lmic_raw_ub[#Headers],0)))</f>
        <v>0.4892242904691097</v>
      </c>
      <c r="O353" s="84">
        <f>IF(INDEX(lmic_raw_ub[],MATCH($A353,lmic_raw_ub[[setting]:[setting]],0), MATCH(O$277, lmic_raw_ub[#Headers],0))=0, INDEX(regions_ub[], MATCH($D353, regions_ub[[setting]:[setting]],0), MATCH(O$139, regions_ub[#Headers],0)),INDEX(lmic_raw_ub[],MATCH($A353,lmic_raw_ub[[setting]:[setting]],0), MATCH(O$277, lmic_raw_ub[#Headers],0)))</f>
        <v>0.9</v>
      </c>
      <c r="P353" s="84">
        <f>IF(INDEX(lmic_raw_ub[],MATCH($A353,lmic_raw_ub[[setting]:[setting]],0), MATCH(P$277, lmic_raw_ub[#Headers],0))=0, INDEX(regions_ub[], MATCH($D353, regions_ub[[setting]:[setting]],0), MATCH(P$139, regions_ub[#Headers],0)),INDEX(lmic_raw_ub[],MATCH($A353,lmic_raw_ub[[setting]:[setting]],0), MATCH(P$277, lmic_raw_ub[#Headers],0)))</f>
        <v>0.3</v>
      </c>
      <c r="Q353" s="84">
        <f>IF(INDEX(lmic_raw_ub[],MATCH($A353,lmic_raw_ub[[setting]:[setting]],0), MATCH(Q$277, lmic_raw_ub[#Headers],0))=0, INDEX(regions_ub[], MATCH($D353, regions_ub[[setting]:[setting]],0), MATCH(Q$139, regions_ub[#Headers],0)),INDEX(lmic_raw_ub[],MATCH($A353,lmic_raw_ub[[setting]:[setting]],0), MATCH(Q$277, lmic_raw_ub[#Headers],0)))</f>
        <v>6.6545532673871097</v>
      </c>
      <c r="R353" s="84">
        <f>IF(INDEX(lmic_raw_ub[],MATCH($A353,lmic_raw_ub[[setting]:[setting]],0), MATCH(R$277, lmic_raw_ub[#Headers],0))=0, INDEX(regions_ub[], MATCH($D353, regions_ub[[setting]:[setting]],0), MATCH(R$139, regions_ub[#Headers],0)),INDEX(lmic_raw_ub[],MATCH($A353,lmic_raw_ub[[setting]:[setting]],0), MATCH(R$277, lmic_raw_ub[#Headers],0)))</f>
        <v>76.738725000000002</v>
      </c>
      <c r="S353" s="84">
        <f>IF(INDEX(lmic_raw_ub[],MATCH($A353,lmic_raw_ub[[setting]:[setting]],0), MATCH(S$277, lmic_raw_ub[#Headers],0))=0, INDEX(regions_ub[], MATCH($D353, regions_ub[[setting]:[setting]],0), MATCH(S$139, regions_ub[#Headers],0)),INDEX(lmic_raw_ub[],MATCH($A353,lmic_raw_ub[[setting]:[setting]],0), MATCH(S$277, lmic_raw_ub[#Headers],0)))</f>
        <v>126.867825</v>
      </c>
      <c r="T353" s="84">
        <f>IF(INDEX(lmic_raw_ub[],MATCH($A353,lmic_raw_ub[[setting]:[setting]],0), MATCH(T$277, lmic_raw_ub[#Headers],0))=0, INDEX(regions_ub[], MATCH($D353, regions_ub[[setting]:[setting]],0), MATCH(T$139, regions_ub[#Headers],0)),INDEX(lmic_raw_ub[],MATCH($A353,lmic_raw_ub[[setting]:[setting]],0), MATCH(T$277, lmic_raw_ub[#Headers],0)))</f>
        <v>126.867825</v>
      </c>
      <c r="U353" s="84">
        <f>IF(INDEX(lmic_raw_ub[],MATCH($A353,lmic_raw_ub[[setting]:[setting]],0), MATCH(U$277, lmic_raw_ub[#Headers],0))=0, INDEX(regions_ub[], MATCH($D353, regions_ub[[setting]:[setting]],0), MATCH(U$139, regions_ub[#Headers],0)),INDEX(lmic_raw_ub[],MATCH($A353,lmic_raw_ub[[setting]:[setting]],0), MATCH(U$277, lmic_raw_ub[#Headers],0)))</f>
        <v>126.867825</v>
      </c>
      <c r="V353" s="84">
        <f>IF(INDEX(lmic_raw_ub[],MATCH($A353,lmic_raw_ub[[setting]:[setting]],0), MATCH(V$277, lmic_raw_ub[#Headers],0))=0, INDEX(regions_ub[], MATCH($D353, regions_ub[[setting]:[setting]],0), MATCH(V$139, regions_ub[#Headers],0)),INDEX(lmic_raw_ub[],MATCH($A353,lmic_raw_ub[[setting]:[setting]],0), MATCH(V$277, lmic_raw_ub[#Headers],0)))</f>
        <v>22.346617821561424</v>
      </c>
      <c r="W353" s="84">
        <f>IF(INDEX(lmic_raw_ub[],MATCH($A353,lmic_raw_ub[[setting]:[setting]],0), MATCH(W$277, lmic_raw_ub[#Headers],0))=0, INDEX(regions_ub[], MATCH($D353, regions_ub[[setting]:[setting]],0), MATCH(W$139, regions_ub[#Headers],0)),INDEX(lmic_raw_ub[],MATCH($A353,lmic_raw_ub[[setting]:[setting]],0), MATCH(W$277, lmic_raw_ub[#Headers],0)))</f>
        <v>23.010427821561425</v>
      </c>
      <c r="X353" s="84">
        <f>IF(INDEX(lmic_raw_ub[],MATCH($A353,lmic_raw_ub[[setting]:[setting]],0), MATCH(X$277, lmic_raw_ub[#Headers],0))=0, INDEX(regions_ub[], MATCH($D353, regions_ub[[setting]:[setting]],0), MATCH(X$139, regions_ub[#Headers],0)),INDEX(lmic_raw_ub[],MATCH($A353,lmic_raw_ub[[setting]:[setting]],0), MATCH(X$277, lmic_raw_ub[#Headers],0)))</f>
        <v>21.841779416129409</v>
      </c>
      <c r="Y353" s="84">
        <f>IF(INDEX(lmic_raw_ub[],MATCH($A353,lmic_raw_ub[[setting]:[setting]],0), MATCH(Y$277, lmic_raw_ub[#Headers],0))=0, INDEX(regions_ub[], MATCH($D353, regions_ub[[setting]:[setting]],0), MATCH(Y$139, regions_ub[#Headers],0)),INDEX(lmic_raw_ub[],MATCH($A353,lmic_raw_ub[[setting]:[setting]],0), MATCH(Y$277, lmic_raw_ub[#Headers],0)))</f>
        <v>22.505589416129411</v>
      </c>
      <c r="Z353" s="84">
        <f>IF(INDEX(lmic_raw_ub[],MATCH($A353,lmic_raw_ub[[setting]:[setting]],0), MATCH(Z$277, lmic_raw_ub[#Headers],0))=0, INDEX(regions_ub[], MATCH($D353, regions_ub[[setting]:[setting]],0), MATCH(Z$139, regions_ub[#Headers],0)),INDEX(lmic_raw_ub[],MATCH($A353,lmic_raw_ub[[setting]:[setting]],0), MATCH(Z$277, lmic_raw_ub[#Headers],0)))</f>
        <v>22.49440942182666</v>
      </c>
      <c r="AA353" s="84">
        <f>IF(INDEX(lmic_raw_ub[],MATCH($A353,lmic_raw_ub[[setting]:[setting]],0), MATCH(AA$277, lmic_raw_ub[#Headers],0))=0, INDEX(regions_ub[], MATCH($D353, regions_ub[[setting]:[setting]],0), MATCH(AA$139, regions_ub[#Headers],0)),INDEX(lmic_raw_ub[],MATCH($A353,lmic_raw_ub[[setting]:[setting]],0), MATCH(AA$277, lmic_raw_ub[#Headers],0)))</f>
        <v>22.617287487229575</v>
      </c>
      <c r="AB353" s="84">
        <f>IF(INDEX(lmic_raw_ub[],MATCH($A353,lmic_raw_ub[[setting]:[setting]],0), MATCH(AB$277, lmic_raw_ub[#Headers],0))=0, INDEX(regions_ub[], MATCH($D353, regions_ub[[setting]:[setting]],0), MATCH(AB$139, regions_ub[#Headers],0)),INDEX(lmic_raw_ub[],MATCH($A353,lmic_raw_ub[[setting]:[setting]],0), MATCH(AB$277, lmic_raw_ub[#Headers],0)))</f>
        <v>23.281097487229577</v>
      </c>
      <c r="AC353" s="84">
        <f>IF(INDEX(lmic_raw_ub[],MATCH($A353,lmic_raw_ub[[setting]:[setting]],0), MATCH(AC$277, lmic_raw_ub[#Headers],0))=0, INDEX(regions_ub[], MATCH($D353, regions_ub[[setting]:[setting]],0), MATCH(AC$139, regions_ub[#Headers],0)),INDEX(lmic_raw_ub[],MATCH($A353,lmic_raw_ub[[setting]:[setting]],0), MATCH(AC$277, lmic_raw_ub[#Headers],0)))</f>
        <v>1.2718695170316376E-2</v>
      </c>
      <c r="AD353" s="84">
        <f>IF(INDEX(lmic_raw_ub[],MATCH($A353,lmic_raw_ub[[setting]:[setting]],0), MATCH(AD$277, lmic_raw_ub[#Headers],0))=0, INDEX(regions_ub[], MATCH($D353, regions_ub[[setting]:[setting]],0), MATCH(AD$139, regions_ub[#Headers],0)),INDEX(lmic_raw_ub[],MATCH($A353,lmic_raw_ub[[setting]:[setting]],0), MATCH(AD$277, lmic_raw_ub[#Headers],0)))</f>
        <v>7.0990426719929028E-4</v>
      </c>
      <c r="AE353" s="84">
        <f>IF(INDEX(lmic_raw_ub[],MATCH($A353,lmic_raw_ub[[setting]:[setting]],0), MATCH(AE$277, lmic_raw_ub[#Headers],0))=0, INDEX(regions_ub[], MATCH($D353, regions_ub[[setting]:[setting]],0), MATCH(AE$139, regions_ub[#Headers],0)),INDEX(lmic_raw_ub[],MATCH($A353,lmic_raw_ub[[setting]:[setting]],0), MATCH(AE$277, lmic_raw_ub[#Headers],0)))</f>
        <v>4.1035558161302201E-4</v>
      </c>
      <c r="AF353" s="84">
        <f>IF(INDEX(lmic_raw_ub[],MATCH($A353,lmic_raw_ub[[setting]:[setting]],0), MATCH(AF$277, lmic_raw_ub[#Headers],0))=0, INDEX(regions_ub[], MATCH($D353, regions_ub[[setting]:[setting]],0), MATCH(AF$139, regions_ub[#Headers],0)),INDEX(lmic_raw_ub[],MATCH($A353,lmic_raw_ub[[setting]:[setting]],0), MATCH(AF$277, lmic_raw_ub[#Headers],0)))</f>
        <v>3.2321280704531737E-4</v>
      </c>
      <c r="AG353" s="84">
        <f>IF(INDEX(lmic_raw_ub[],MATCH($A353,lmic_raw_ub[[setting]:[setting]],0), MATCH(AG$277, lmic_raw_ub[#Headers],0))=0, INDEX(regions_ub[], MATCH($D353, regions_ub[[setting]:[setting]],0), MATCH(AG$139, regions_ub[#Headers],0)),INDEX(lmic_raw_ub[],MATCH($A353,lmic_raw_ub[[setting]:[setting]],0), MATCH(AG$277, lmic_raw_ub[#Headers],0)))</f>
        <v>5.1391567877096943E-4</v>
      </c>
      <c r="AH353" s="84">
        <f>IF(INDEX(lmic_raw_ub[],MATCH($A353,lmic_raw_ub[[setting]:[setting]],0), MATCH(AH$277, lmic_raw_ub[#Headers],0))=0, INDEX(regions_ub[], MATCH($D353, regions_ub[[setting]:[setting]],0), MATCH(AH$139, regions_ub[#Headers],0)),INDEX(lmic_raw_ub[],MATCH($A353,lmic_raw_ub[[setting]:[setting]],0), MATCH(AH$277, lmic_raw_ub[#Headers],0)))</f>
        <v>7.1501295849761711E-4</v>
      </c>
      <c r="AI353" s="84">
        <f>IF(INDEX(lmic_raw_ub[],MATCH($A353,lmic_raw_ub[[setting]:[setting]],0), MATCH(AI$277, lmic_raw_ub[#Headers],0))=0, INDEX(regions_ub[], MATCH($D353, regions_ub[[setting]:[setting]],0), MATCH(AI$139, regions_ub[#Headers],0)),INDEX(lmic_raw_ub[],MATCH($A353,lmic_raw_ub[[setting]:[setting]],0), MATCH(AI$277, lmic_raw_ub[#Headers],0)))</f>
        <v>8.927507998400117E-4</v>
      </c>
      <c r="AJ353" s="84">
        <f>IF(INDEX(lmic_raw_ub[],MATCH($A353,lmic_raw_ub[[setting]:[setting]],0), MATCH(AJ$277, lmic_raw_ub[#Headers],0))=0, INDEX(regions_ub[], MATCH($D353, regions_ub[[setting]:[setting]],0), MATCH(AJ$139, regions_ub[#Headers],0)),INDEX(lmic_raw_ub[],MATCH($A353,lmic_raw_ub[[setting]:[setting]],0), MATCH(AJ$277, lmic_raw_ub[#Headers],0)))</f>
        <v>1.1113320849251299E-3</v>
      </c>
      <c r="AK353" s="84">
        <f>IF(INDEX(lmic_raw_ub[],MATCH($A353,lmic_raw_ub[[setting]:[setting]],0), MATCH(AK$277, lmic_raw_ub[#Headers],0))=0, INDEX(regions_ub[], MATCH($D353, regions_ub[[setting]:[setting]],0), MATCH(AK$139, regions_ub[#Headers],0)),INDEX(lmic_raw_ub[],MATCH($A353,lmic_raw_ub[[setting]:[setting]],0), MATCH(AK$277, lmic_raw_ub[#Headers],0)))</f>
        <v>1.4275057565613705E-3</v>
      </c>
      <c r="AL353" s="84">
        <f>IF(INDEX(lmic_raw_ub[],MATCH($A353,lmic_raw_ub[[setting]:[setting]],0), MATCH(AL$277, lmic_raw_ub[#Headers],0))=0, INDEX(regions_ub[], MATCH($D353, regions_ub[[setting]:[setting]],0), MATCH(AL$139, regions_ub[#Headers],0)),INDEX(lmic_raw_ub[],MATCH($A353,lmic_raw_ub[[setting]:[setting]],0), MATCH(AL$277, lmic_raw_ub[#Headers],0)))</f>
        <v>2.009368370687911E-3</v>
      </c>
      <c r="AM353" s="84">
        <f>IF(INDEX(lmic_raw_ub[],MATCH($A353,lmic_raw_ub[[setting]:[setting]],0), MATCH(AM$277, lmic_raw_ub[#Headers],0))=0, INDEX(regions_ub[], MATCH($D353, regions_ub[[setting]:[setting]],0), MATCH(AM$139, regions_ub[#Headers],0)),INDEX(lmic_raw_ub[],MATCH($A353,lmic_raw_ub[[setting]:[setting]],0), MATCH(AM$277, lmic_raw_ub[#Headers],0)))</f>
        <v>2.94513734968114E-3</v>
      </c>
      <c r="AN353" s="84">
        <f>IF(INDEX(lmic_raw_ub[],MATCH($A353,lmic_raw_ub[[setting]:[setting]],0), MATCH(AN$277, lmic_raw_ub[#Headers],0))=0, INDEX(regions_ub[], MATCH($D353, regions_ub[[setting]:[setting]],0), MATCH(AN$139, regions_ub[#Headers],0)),INDEX(lmic_raw_ub[],MATCH($A353,lmic_raw_ub[[setting]:[setting]],0), MATCH(AN$277, lmic_raw_ub[#Headers],0)))</f>
        <v>4.6905477840367173E-3</v>
      </c>
      <c r="AO353" s="84">
        <f>IF(INDEX(lmic_raw_ub[],MATCH($A353,lmic_raw_ub[[setting]:[setting]],0), MATCH(AO$277, lmic_raw_ub[#Headers],0))=0, INDEX(regions_ub[], MATCH($D353, regions_ub[[setting]:[setting]],0), MATCH(AO$139, regions_ub[#Headers],0)),INDEX(lmic_raw_ub[],MATCH($A353,lmic_raw_ub[[setting]:[setting]],0), MATCH(AO$277, lmic_raw_ub[#Headers],0)))</f>
        <v>7.5068342983396156E-3</v>
      </c>
      <c r="AP353" s="84">
        <f>IF(INDEX(lmic_raw_ub[],MATCH($A353,lmic_raw_ub[[setting]:[setting]],0), MATCH(AP$277, lmic_raw_ub[#Headers],0))=0, INDEX(regions_ub[], MATCH($D353, regions_ub[[setting]:[setting]],0), MATCH(AP$139, regions_ub[#Headers],0)),INDEX(lmic_raw_ub[],MATCH($A353,lmic_raw_ub[[setting]:[setting]],0), MATCH(AP$277, lmic_raw_ub[#Headers],0)))</f>
        <v>1.2728981177810095E-2</v>
      </c>
      <c r="AQ353" s="84">
        <f>IF(INDEX(lmic_raw_ub[],MATCH($A353,lmic_raw_ub[[setting]:[setting]],0), MATCH(AQ$277, lmic_raw_ub[#Headers],0))=0, INDEX(regions_ub[], MATCH($D353, regions_ub[[setting]:[setting]],0), MATCH(AQ$139, regions_ub[#Headers],0)),INDEX(lmic_raw_ub[],MATCH($A353,lmic_raw_ub[[setting]:[setting]],0), MATCH(AQ$277, lmic_raw_ub[#Headers],0)))</f>
        <v>2.1402745908128597E-2</v>
      </c>
      <c r="AR353" s="84">
        <f>IF(INDEX(lmic_raw_ub[],MATCH($A353,lmic_raw_ub[[setting]:[setting]],0), MATCH(AR$277, lmic_raw_ub[#Headers],0))=0, INDEX(regions_ub[], MATCH($D353, regions_ub[[setting]:[setting]],0), MATCH(AR$139, regions_ub[#Headers],0)),INDEX(lmic_raw_ub[],MATCH($A353,lmic_raw_ub[[setting]:[setting]],0), MATCH(AR$277, lmic_raw_ub[#Headers],0)))</f>
        <v>3.6140267460888088E-2</v>
      </c>
      <c r="AS353" s="84">
        <f>IF(INDEX(lmic_raw_ub[],MATCH($A353,lmic_raw_ub[[setting]:[setting]],0), MATCH(AS$277, lmic_raw_ub[#Headers],0))=0, INDEX(regions_ub[], MATCH($D353, regions_ub[[setting]:[setting]],0), MATCH(AS$139, regions_ub[#Headers],0)),INDEX(lmic_raw_ub[],MATCH($A353,lmic_raw_ub[[setting]:[setting]],0), MATCH(AS$277, lmic_raw_ub[#Headers],0)))</f>
        <v>5.6558251600302104E-2</v>
      </c>
      <c r="AT353" s="84">
        <f>IF(INDEX(lmic_raw_ub[],MATCH($A353,lmic_raw_ub[[setting]:[setting]],0), MATCH(AT$277, lmic_raw_ub[#Headers],0))=0, INDEX(regions_ub[], MATCH($D353, regions_ub[[setting]:[setting]],0), MATCH(AT$139, regions_ub[#Headers],0)),INDEX(lmic_raw_ub[],MATCH($A353,lmic_raw_ub[[setting]:[setting]],0), MATCH(AT$277, lmic_raw_ub[#Headers],0)))</f>
        <v>8.0662699285328376E-2</v>
      </c>
      <c r="AU353" s="84">
        <f>IF(INDEX(lmic_raw_ub[],MATCH($A353,lmic_raw_ub[[setting]:[setting]],0), MATCH(AU$277, lmic_raw_ub[#Headers],0))=0, INDEX(regions_ub[], MATCH($D353, regions_ub[[setting]:[setting]],0), MATCH(AU$139, regions_ub[#Headers],0)),INDEX(lmic_raw_ub[],MATCH($A353,lmic_raw_ub[[setting]:[setting]],0), MATCH(AU$277, lmic_raw_ub[#Headers],0)))</f>
        <v>0.11119985765587861</v>
      </c>
      <c r="AV353" s="84">
        <f>IF(INDEX(lmic_raw_ub[],MATCH($A353,lmic_raw_ub[[setting]:[setting]],0), MATCH(AV$277, lmic_raw_ub[#Headers],0))=0, INDEX(regions_ub[], MATCH($D353, regions_ub[[setting]:[setting]],0), MATCH(AV$139, regions_ub[#Headers],0)),INDEX(lmic_raw_ub[],MATCH($A353,lmic_raw_ub[[setting]:[setting]],0), MATCH(AV$277, lmic_raw_ub[#Headers],0)))</f>
        <v>0.13871565315853587</v>
      </c>
      <c r="AW353" s="84">
        <f>IF(INDEX(lmic_raw_ub[],MATCH($A353,lmic_raw_ub[[setting]:[setting]],0), MATCH(AW$277, lmic_raw_ub[#Headers],0))=0, INDEX(regions_ub[], MATCH($D353, regions_ub[[setting]:[setting]],0), MATCH(AW$139, regions_ub[#Headers],0)),INDEX(lmic_raw_ub[],MATCH($A353,lmic_raw_ub[[setting]:[setting]],0), MATCH(AW$277, lmic_raw_ub[#Headers],0)))</f>
        <v>0.161835775952024</v>
      </c>
      <c r="AX353" s="84">
        <f>IF(INDEX(lmic_raw_ub[],MATCH($A353,lmic_raw_ub[[setting]:[setting]],0), MATCH(AX$277, lmic_raw_ub[#Headers],0))=0, INDEX(regions_ub[], MATCH($D353, regions_ub[[setting]:[setting]],0), MATCH(AX$139, regions_ub[#Headers],0)),INDEX(lmic_raw_ub[],MATCH($A353,lmic_raw_ub[[setting]:[setting]],0), MATCH(AX$277, lmic_raw_ub[#Headers],0)))</f>
        <v>79.367389611614101</v>
      </c>
      <c r="AY353" s="33" t="str">
        <f>IF(VLOOKUP(lmics_ub[[#This Row],[setting]],lmic_raw_ub[],11,FALSE)=0, "Yes", "No")</f>
        <v>No</v>
      </c>
    </row>
    <row r="354" spans="1:51" x14ac:dyDescent="0.25">
      <c r="A354" s="109" t="s">
        <v>148</v>
      </c>
      <c r="B354" s="101" t="s">
        <v>468</v>
      </c>
      <c r="C354" s="102">
        <v>478</v>
      </c>
      <c r="D354" s="82" t="s">
        <v>677</v>
      </c>
      <c r="E354" s="82" t="s">
        <v>591</v>
      </c>
      <c r="F354" s="82" t="s">
        <v>667</v>
      </c>
      <c r="G354" s="82" t="s">
        <v>678</v>
      </c>
      <c r="J354" s="84">
        <f>IF(INDEX(lmic_raw_ub[],MATCH($A354,lmic_raw_ub[[setting]:[setting]],0), MATCH(J$277, lmic_raw_ub[#Headers],0))=0, INDEX(regions_ub[], MATCH($D354, regions_ub[[setting]:[setting]],0), MATCH(J$139, regions_ub[#Headers],0)),INDEX(lmic_raw_ub[],MATCH($A354,lmic_raw_ub[[setting]:[setting]],0), MATCH(J$277, lmic_raw_ub[#Headers],0)))</f>
        <v>0.72765000000000002</v>
      </c>
      <c r="K354" s="84">
        <f>IF(INDEX(lmic_raw_ub[],MATCH($A354,lmic_raw_ub[[setting]:[setting]],0), MATCH(K$277, lmic_raw_ub[#Headers],0))=0, INDEX(regions_ub[], MATCH($D354, regions_ub[[setting]:[setting]],0), MATCH(K$139, regions_ub[#Headers],0)),INDEX(lmic_raw_ub[],MATCH($A354,lmic_raw_ub[[setting]:[setting]],0), MATCH(K$277, lmic_raw_ub[#Headers],0)))</f>
        <v>0.71433037619548323</v>
      </c>
      <c r="L354" s="84">
        <f>IF(INDEX(lmic_raw_ub[],MATCH($A354,lmic_raw_ub[[setting]:[setting]],0), MATCH(L$277, lmic_raw_ub[#Headers],0))=0, INDEX(regions_ub[], MATCH($D354, regions_ub[[setting]:[setting]],0), MATCH(L$139, regions_ub[#Headers],0)),INDEX(lmic_raw_ub[],MATCH($A354,lmic_raw_ub[[setting]:[setting]],0), MATCH(L$277, lmic_raw_ub[#Headers],0)))</f>
        <v>0.85050000000000014</v>
      </c>
      <c r="M354" s="84">
        <f>IF(INDEX(lmic_raw_ub[],MATCH($A354,lmic_raw_ub[[setting]:[setting]],0), MATCH(M$277, lmic_raw_ub[#Headers],0))=0, INDEX(regions_ub[], MATCH($D354, regions_ub[[setting]:[setting]],0), MATCH(M$139, regions_ub[#Headers],0)),INDEX(lmic_raw_ub[],MATCH($A354,lmic_raw_ub[[setting]:[setting]],0), MATCH(M$277, lmic_raw_ub[#Headers],0)))</f>
        <v>0.128</v>
      </c>
      <c r="N354" s="84">
        <f>IF(INDEX(lmic_raw_ub[],MATCH($A354,lmic_raw_ub[[setting]:[setting]],0), MATCH(N$277, lmic_raw_ub[#Headers],0))=0, INDEX(regions_ub[], MATCH($D354, regions_ub[[setting]:[setting]],0), MATCH(N$139, regions_ub[#Headers],0)),INDEX(lmic_raw_ub[],MATCH($A354,lmic_raw_ub[[setting]:[setting]],0), MATCH(N$277, lmic_raw_ub[#Headers],0)))</f>
        <v>0.41070000000000001</v>
      </c>
      <c r="O354" s="84">
        <f>IF(INDEX(lmic_raw_ub[],MATCH($A354,lmic_raw_ub[[setting]:[setting]],0), MATCH(O$277, lmic_raw_ub[#Headers],0))=0, INDEX(regions_ub[], MATCH($D354, regions_ub[[setting]:[setting]],0), MATCH(O$139, regions_ub[#Headers],0)),INDEX(lmic_raw_ub[],MATCH($A354,lmic_raw_ub[[setting]:[setting]],0), MATCH(O$277, lmic_raw_ub[#Headers],0)))</f>
        <v>0.74399999999999999</v>
      </c>
      <c r="P354" s="84">
        <f>IF(INDEX(lmic_raw_ub[],MATCH($A354,lmic_raw_ub[[setting]:[setting]],0), MATCH(P$277, lmic_raw_ub[#Headers],0))=0, INDEX(regions_ub[], MATCH($D354, regions_ub[[setting]:[setting]],0), MATCH(P$139, regions_ub[#Headers],0)),INDEX(lmic_raw_ub[],MATCH($A354,lmic_raw_ub[[setting]:[setting]],0), MATCH(P$277, lmic_raw_ub[#Headers],0)))</f>
        <v>0.13300000000000001</v>
      </c>
      <c r="Q354" s="84">
        <f>IF(INDEX(lmic_raw_ub[],MATCH($A354,lmic_raw_ub[[setting]:[setting]],0), MATCH(Q$277, lmic_raw_ub[#Headers],0))=0, INDEX(regions_ub[], MATCH($D354, regions_ub[[setting]:[setting]],0), MATCH(Q$139, regions_ub[#Headers],0)),INDEX(lmic_raw_ub[],MATCH($A354,lmic_raw_ub[[setting]:[setting]],0), MATCH(Q$277, lmic_raw_ub[#Headers],0)))</f>
        <v>3.6635526276417236</v>
      </c>
      <c r="R354" s="84">
        <f>IF(INDEX(lmic_raw_ub[],MATCH($A354,lmic_raw_ub[[setting]:[setting]],0), MATCH(R$277, lmic_raw_ub[#Headers],0))=0, INDEX(regions_ub[], MATCH($D354, regions_ub[[setting]:[setting]],0), MATCH(R$139, regions_ub[#Headers],0)),INDEX(lmic_raw_ub[],MATCH($A354,lmic_raw_ub[[setting]:[setting]],0), MATCH(R$277, lmic_raw_ub[#Headers],0)))</f>
        <v>31.416525000000004</v>
      </c>
      <c r="S354" s="84">
        <f>IF(INDEX(lmic_raw_ub[],MATCH($A354,lmic_raw_ub[[setting]:[setting]],0), MATCH(S$277, lmic_raw_ub[#Headers],0))=0, INDEX(regions_ub[], MATCH($D354, regions_ub[[setting]:[setting]],0), MATCH(S$139, regions_ub[#Headers],0)),INDEX(lmic_raw_ub[],MATCH($A354,lmic_raw_ub[[setting]:[setting]],0), MATCH(S$277, lmic_raw_ub[#Headers],0)))</f>
        <v>81.545625000000015</v>
      </c>
      <c r="T354" s="84">
        <f>IF(INDEX(lmic_raw_ub[],MATCH($A354,lmic_raw_ub[[setting]:[setting]],0), MATCH(T$277, lmic_raw_ub[#Headers],0))=0, INDEX(regions_ub[], MATCH($D354, regions_ub[[setting]:[setting]],0), MATCH(T$139, regions_ub[#Headers],0)),INDEX(lmic_raw_ub[],MATCH($A354,lmic_raw_ub[[setting]:[setting]],0), MATCH(T$277, lmic_raw_ub[#Headers],0)))</f>
        <v>81.545625000000015</v>
      </c>
      <c r="U354" s="84">
        <f>IF(INDEX(lmic_raw_ub[],MATCH($A354,lmic_raw_ub[[setting]:[setting]],0), MATCH(U$277, lmic_raw_ub[#Headers],0))=0, INDEX(regions_ub[], MATCH($D354, regions_ub[[setting]:[setting]],0), MATCH(U$139, regions_ub[#Headers],0)),INDEX(lmic_raw_ub[],MATCH($A354,lmic_raw_ub[[setting]:[setting]],0), MATCH(U$277, lmic_raw_ub[#Headers],0)))</f>
        <v>81.545625000000015</v>
      </c>
      <c r="V354" s="84">
        <f>IF(INDEX(lmic_raw_ub[],MATCH($A354,lmic_raw_ub[[setting]:[setting]],0), MATCH(V$277, lmic_raw_ub[#Headers],0))=0, INDEX(regions_ub[], MATCH($D354, regions_ub[[setting]:[setting]],0), MATCH(V$139, regions_ub[#Headers],0)),INDEX(lmic_raw_ub[],MATCH($A354,lmic_raw_ub[[setting]:[setting]],0), MATCH(V$277, lmic_raw_ub[#Headers],0)))</f>
        <v>6.0553766779037383</v>
      </c>
      <c r="W354" s="84">
        <f>IF(INDEX(lmic_raw_ub[],MATCH($A354,lmic_raw_ub[[setting]:[setting]],0), MATCH(W$277, lmic_raw_ub[#Headers],0))=0, INDEX(regions_ub[], MATCH($D354, regions_ub[[setting]:[setting]],0), MATCH(W$139, regions_ub[#Headers],0)),INDEX(lmic_raw_ub[],MATCH($A354,lmic_raw_ub[[setting]:[setting]],0), MATCH(W$277, lmic_raw_ub[#Headers],0)))</f>
        <v>11.125511677903738</v>
      </c>
      <c r="X354" s="84">
        <f>IF(INDEX(lmic_raw_ub[],MATCH($A354,lmic_raw_ub[[setting]:[setting]],0), MATCH(X$277, lmic_raw_ub[#Headers],0))=0, INDEX(regions_ub[], MATCH($D354, regions_ub[[setting]:[setting]],0), MATCH(X$139, regions_ub[#Headers],0)),INDEX(lmic_raw_ub[],MATCH($A354,lmic_raw_ub[[setting]:[setting]],0), MATCH(X$277, lmic_raw_ub[#Headers],0)))</f>
        <v>5.5536550945549257</v>
      </c>
      <c r="Y354" s="84">
        <f>IF(INDEX(lmic_raw_ub[],MATCH($A354,lmic_raw_ub[[setting]:[setting]],0), MATCH(Y$277, lmic_raw_ub[#Headers],0))=0, INDEX(regions_ub[], MATCH($D354, regions_ub[[setting]:[setting]],0), MATCH(Y$139, regions_ub[#Headers],0)),INDEX(lmic_raw_ub[],MATCH($A354,lmic_raw_ub[[setting]:[setting]],0), MATCH(Y$277, lmic_raw_ub[#Headers],0)))</f>
        <v>10.623790094554927</v>
      </c>
      <c r="Z354" s="84">
        <f>IF(INDEX(lmic_raw_ub[],MATCH($A354,lmic_raw_ub[[setting]:[setting]],0), MATCH(Z$277, lmic_raw_ub[#Headers],0))=0, INDEX(regions_ub[], MATCH($D354, regions_ub[[setting]:[setting]],0), MATCH(Z$139, regions_ub[#Headers],0)),INDEX(lmic_raw_ub[],MATCH($A354,lmic_raw_ub[[setting]:[setting]],0), MATCH(Z$277, lmic_raw_ub[#Headers],0)))</f>
        <v>10.613675332392624</v>
      </c>
      <c r="AA354" s="84">
        <f>IF(INDEX(lmic_raw_ub[],MATCH($A354,lmic_raw_ub[[setting]:[setting]],0), MATCH(AA$277, lmic_raw_ub[#Headers],0))=0, INDEX(regions_ub[], MATCH($D354, regions_ub[[setting]:[setting]],0), MATCH(AA$139, regions_ub[#Headers],0)),INDEX(lmic_raw_ub[],MATCH($A354,lmic_raw_ub[[setting]:[setting]],0), MATCH(AA$277, lmic_raw_ub[#Headers],0)))</f>
        <v>6.3253388440806102</v>
      </c>
      <c r="AB354" s="84">
        <f>IF(INDEX(lmic_raw_ub[],MATCH($A354,lmic_raw_ub[[setting]:[setting]],0), MATCH(AB$277, lmic_raw_ub[#Headers],0))=0, INDEX(regions_ub[], MATCH($D354, regions_ub[[setting]:[setting]],0), MATCH(AB$139, regions_ub[#Headers],0)),INDEX(lmic_raw_ub[],MATCH($A354,lmic_raw_ub[[setting]:[setting]],0), MATCH(AB$277, lmic_raw_ub[#Headers],0)))</f>
        <v>11.395473844080611</v>
      </c>
      <c r="AC354" s="84">
        <f>IF(INDEX(lmic_raw_ub[],MATCH($A354,lmic_raw_ub[[setting]:[setting]],0), MATCH(AC$277, lmic_raw_ub[#Headers],0))=0, INDEX(regions_ub[], MATCH($D354, regions_ub[[setting]:[setting]],0), MATCH(AC$139, regions_ub[#Headers],0)),INDEX(lmic_raw_ub[],MATCH($A354,lmic_raw_ub[[setting]:[setting]],0), MATCH(AC$277, lmic_raw_ub[#Headers],0)))</f>
        <v>5.6134700999999967E-2</v>
      </c>
      <c r="AD354" s="84">
        <f>IF(INDEX(lmic_raw_ub[],MATCH($A354,lmic_raw_ub[[setting]:[setting]],0), MATCH(AD$277, lmic_raw_ub[#Headers],0))=0, INDEX(regions_ub[], MATCH($D354, regions_ub[[setting]:[setting]],0), MATCH(AD$139, regions_ub[#Headers],0)),INDEX(lmic_raw_ub[],MATCH($A354,lmic_raw_ub[[setting]:[setting]],0), MATCH(AD$277, lmic_raw_ub[#Headers],0)))</f>
        <v>7.0406994484471033E-3</v>
      </c>
      <c r="AE354" s="84">
        <f>IF(INDEX(lmic_raw_ub[],MATCH($A354,lmic_raw_ub[[setting]:[setting]],0), MATCH(AE$277, lmic_raw_ub[#Headers],0))=0, INDEX(regions_ub[], MATCH($D354, regions_ub[[setting]:[setting]],0), MATCH(AE$139, regions_ub[#Headers],0)),INDEX(lmic_raw_ub[],MATCH($A354,lmic_raw_ub[[setting]:[setting]],0), MATCH(AE$277, lmic_raw_ub[#Headers],0)))</f>
        <v>1.1395208340525278E-3</v>
      </c>
      <c r="AF354" s="84">
        <f>IF(INDEX(lmic_raw_ub[],MATCH($A354,lmic_raw_ub[[setting]:[setting]],0), MATCH(AF$277, lmic_raw_ub[#Headers],0))=0, INDEX(regions_ub[], MATCH($D354, regions_ub[[setting]:[setting]],0), MATCH(AF$139, regions_ub[#Headers],0)),INDEX(lmic_raw_ub[],MATCH($A354,lmic_raw_ub[[setting]:[setting]],0), MATCH(AF$277, lmic_raw_ub[#Headers],0)))</f>
        <v>8.9912748883192394E-4</v>
      </c>
      <c r="AG354" s="84">
        <f>IF(INDEX(lmic_raw_ub[],MATCH($A354,lmic_raw_ub[[setting]:[setting]],0), MATCH(AG$277, lmic_raw_ub[#Headers],0))=0, INDEX(regions_ub[], MATCH($D354, regions_ub[[setting]:[setting]],0), MATCH(AG$139, regions_ub[#Headers],0)),INDEX(lmic_raw_ub[],MATCH($A354,lmic_raw_ub[[setting]:[setting]],0), MATCH(AG$277, lmic_raw_ub[#Headers],0)))</f>
        <v>1.4808202728696749E-3</v>
      </c>
      <c r="AH354" s="84">
        <f>IF(INDEX(lmic_raw_ub[],MATCH($A354,lmic_raw_ub[[setting]:[setting]],0), MATCH(AH$277, lmic_raw_ub[#Headers],0))=0, INDEX(regions_ub[], MATCH($D354, regions_ub[[setting]:[setting]],0), MATCH(AH$139, regions_ub[#Headers],0)),INDEX(lmic_raw_ub[],MATCH($A354,lmic_raw_ub[[setting]:[setting]],0), MATCH(AH$277, lmic_raw_ub[#Headers],0)))</f>
        <v>2.0731390145915596E-3</v>
      </c>
      <c r="AI354" s="84">
        <f>IF(INDEX(lmic_raw_ub[],MATCH($A354,lmic_raw_ub[[setting]:[setting]],0), MATCH(AI$277, lmic_raw_ub[#Headers],0))=0, INDEX(regions_ub[], MATCH($D354, regions_ub[[setting]:[setting]],0), MATCH(AI$139, regions_ub[#Headers],0)),INDEX(lmic_raw_ub[],MATCH($A354,lmic_raw_ub[[setting]:[setting]],0), MATCH(AI$277, lmic_raw_ub[#Headers],0)))</f>
        <v>2.2495458546253652E-3</v>
      </c>
      <c r="AJ354" s="84">
        <f>IF(INDEX(lmic_raw_ub[],MATCH($A354,lmic_raw_ub[[setting]:[setting]],0), MATCH(AJ$277, lmic_raw_ub[#Headers],0))=0, INDEX(regions_ub[], MATCH($D354, regions_ub[[setting]:[setting]],0), MATCH(AJ$139, regions_ub[#Headers],0)),INDEX(lmic_raw_ub[],MATCH($A354,lmic_raw_ub[[setting]:[setting]],0), MATCH(AJ$277, lmic_raw_ub[#Headers],0)))</f>
        <v>2.5812162459665894E-3</v>
      </c>
      <c r="AK354" s="84">
        <f>IF(INDEX(lmic_raw_ub[],MATCH($A354,lmic_raw_ub[[setting]:[setting]],0), MATCH(AK$277, lmic_raw_ub[#Headers],0))=0, INDEX(regions_ub[], MATCH($D354, regions_ub[[setting]:[setting]],0), MATCH(AK$139, regions_ub[#Headers],0)),INDEX(lmic_raw_ub[],MATCH($A354,lmic_raw_ub[[setting]:[setting]],0), MATCH(AK$277, lmic_raw_ub[#Headers],0)))</f>
        <v>3.2450188457233435E-3</v>
      </c>
      <c r="AL354" s="84">
        <f>IF(INDEX(lmic_raw_ub[],MATCH($A354,lmic_raw_ub[[setting]:[setting]],0), MATCH(AL$277, lmic_raw_ub[#Headers],0))=0, INDEX(regions_ub[], MATCH($D354, regions_ub[[setting]:[setting]],0), MATCH(AL$139, regions_ub[#Headers],0)),INDEX(lmic_raw_ub[],MATCH($A354,lmic_raw_ub[[setting]:[setting]],0), MATCH(AL$277, lmic_raw_ub[#Headers],0)))</f>
        <v>4.3777409656075459E-3</v>
      </c>
      <c r="AM354" s="84">
        <f>IF(INDEX(lmic_raw_ub[],MATCH($A354,lmic_raw_ub[[setting]:[setting]],0), MATCH(AM$277, lmic_raw_ub[#Headers],0))=0, INDEX(regions_ub[], MATCH($D354, regions_ub[[setting]:[setting]],0), MATCH(AM$139, regions_ub[#Headers],0)),INDEX(lmic_raw_ub[],MATCH($A354,lmic_raw_ub[[setting]:[setting]],0), MATCH(AM$277, lmic_raw_ub[#Headers],0)))</f>
        <v>6.3065091453133153E-3</v>
      </c>
      <c r="AN354" s="84">
        <f>IF(INDEX(lmic_raw_ub[],MATCH($A354,lmic_raw_ub[[setting]:[setting]],0), MATCH(AN$277, lmic_raw_ub[#Headers],0))=0, INDEX(regions_ub[], MATCH($D354, regions_ub[[setting]:[setting]],0), MATCH(AN$139, regions_ub[#Headers],0)),INDEX(lmic_raw_ub[],MATCH($A354,lmic_raw_ub[[setting]:[setting]],0), MATCH(AN$277, lmic_raw_ub[#Headers],0)))</f>
        <v>9.3318181424899525E-3</v>
      </c>
      <c r="AO354" s="84">
        <f>IF(INDEX(lmic_raw_ub[],MATCH($A354,lmic_raw_ub[[setting]:[setting]],0), MATCH(AO$277, lmic_raw_ub[#Headers],0))=0, INDEX(regions_ub[], MATCH($D354, regions_ub[[setting]:[setting]],0), MATCH(AO$139, regions_ub[#Headers],0)),INDEX(lmic_raw_ub[],MATCH($A354,lmic_raw_ub[[setting]:[setting]],0), MATCH(AO$277, lmic_raw_ub[#Headers],0)))</f>
        <v>1.3976991524957785E-2</v>
      </c>
      <c r="AP354" s="84">
        <f>IF(INDEX(lmic_raw_ub[],MATCH($A354,lmic_raw_ub[[setting]:[setting]],0), MATCH(AP$277, lmic_raw_ub[#Headers],0))=0, INDEX(regions_ub[], MATCH($D354, regions_ub[[setting]:[setting]],0), MATCH(AP$139, regions_ub[#Headers],0)),INDEX(lmic_raw_ub[],MATCH($A354,lmic_raw_ub[[setting]:[setting]],0), MATCH(AP$277, lmic_raw_ub[#Headers],0)))</f>
        <v>2.1273933302699544E-2</v>
      </c>
      <c r="AQ354" s="84">
        <f>IF(INDEX(lmic_raw_ub[],MATCH($A354,lmic_raw_ub[[setting]:[setting]],0), MATCH(AQ$277, lmic_raw_ub[#Headers],0))=0, INDEX(regions_ub[], MATCH($D354, regions_ub[[setting]:[setting]],0), MATCH(AQ$139, regions_ub[#Headers],0)),INDEX(lmic_raw_ub[],MATCH($A354,lmic_raw_ub[[setting]:[setting]],0), MATCH(AQ$277, lmic_raw_ub[#Headers],0)))</f>
        <v>3.2490195187394738E-2</v>
      </c>
      <c r="AR354" s="84">
        <f>IF(INDEX(lmic_raw_ub[],MATCH($A354,lmic_raw_ub[[setting]:[setting]],0), MATCH(AR$277, lmic_raw_ub[#Headers],0))=0, INDEX(regions_ub[], MATCH($D354, regions_ub[[setting]:[setting]],0), MATCH(AR$139, regions_ub[#Headers],0)),INDEX(lmic_raw_ub[],MATCH($A354,lmic_raw_ub[[setting]:[setting]],0), MATCH(AR$277, lmic_raw_ub[#Headers],0)))</f>
        <v>4.9963049929511713E-2</v>
      </c>
      <c r="AS354" s="84">
        <f>IF(INDEX(lmic_raw_ub[],MATCH($A354,lmic_raw_ub[[setting]:[setting]],0), MATCH(AS$277, lmic_raw_ub[#Headers],0))=0, INDEX(regions_ub[], MATCH($D354, regions_ub[[setting]:[setting]],0), MATCH(AS$139, regions_ub[#Headers],0)),INDEX(lmic_raw_ub[],MATCH($A354,lmic_raw_ub[[setting]:[setting]],0), MATCH(AS$277, lmic_raw_ub[#Headers],0)))</f>
        <v>7.5101391605558634E-2</v>
      </c>
      <c r="AT354" s="84">
        <f>IF(INDEX(lmic_raw_ub[],MATCH($A354,lmic_raw_ub[[setting]:[setting]],0), MATCH(AT$277, lmic_raw_ub[#Headers],0))=0, INDEX(regions_ub[], MATCH($D354, regions_ub[[setting]:[setting]],0), MATCH(AT$139, regions_ub[#Headers],0)),INDEX(lmic_raw_ub[],MATCH($A354,lmic_raw_ub[[setting]:[setting]],0), MATCH(AT$277, lmic_raw_ub[#Headers],0)))</f>
        <v>0.10810369843483779</v>
      </c>
      <c r="AU354" s="84">
        <f>IF(INDEX(lmic_raw_ub[],MATCH($A354,lmic_raw_ub[[setting]:[setting]],0), MATCH(AU$277, lmic_raw_ub[#Headers],0))=0, INDEX(regions_ub[], MATCH($D354, regions_ub[[setting]:[setting]],0), MATCH(AU$139, regions_ub[#Headers],0)),INDEX(lmic_raw_ub[],MATCH($A354,lmic_raw_ub[[setting]:[setting]],0), MATCH(AU$277, lmic_raw_ub[#Headers],0)))</f>
        <v>0.14279206298670988</v>
      </c>
      <c r="AV354" s="84">
        <f>IF(INDEX(lmic_raw_ub[],MATCH($A354,lmic_raw_ub[[setting]:[setting]],0), MATCH(AV$277, lmic_raw_ub[#Headers],0))=0, INDEX(regions_ub[], MATCH($D354, regions_ub[[setting]:[setting]],0), MATCH(AV$139, regions_ub[#Headers],0)),INDEX(lmic_raw_ub[],MATCH($A354,lmic_raw_ub[[setting]:[setting]],0), MATCH(AV$277, lmic_raw_ub[#Headers],0)))</f>
        <v>0.170773742965936</v>
      </c>
      <c r="AW354" s="84">
        <f>IF(INDEX(lmic_raw_ub[],MATCH($A354,lmic_raw_ub[[setting]:[setting]],0), MATCH(AW$277, lmic_raw_ub[#Headers],0))=0, INDEX(regions_ub[], MATCH($D354, regions_ub[[setting]:[setting]],0), MATCH(AW$139, regions_ub[#Headers],0)),INDEX(lmic_raw_ub[],MATCH($A354,lmic_raw_ub[[setting]:[setting]],0), MATCH(AW$277, lmic_raw_ub[#Headers],0)))</f>
        <v>0.18874182078128893</v>
      </c>
      <c r="AX354" s="84">
        <f>IF(INDEX(lmic_raw_ub[],MATCH($A354,lmic_raw_ub[[setting]:[setting]],0), MATCH(AX$277, lmic_raw_ub[#Headers],0))=0, INDEX(regions_ub[], MATCH($D354, regions_ub[[setting]:[setting]],0), MATCH(AX$139, regions_ub[#Headers],0)),INDEX(lmic_raw_ub[],MATCH($A354,lmic_raw_ub[[setting]:[setting]],0), MATCH(AX$277, lmic_raw_ub[#Headers],0)))</f>
        <v>67.837350000000001</v>
      </c>
      <c r="AY354" s="33" t="str">
        <f>IF(VLOOKUP(lmics_ub[[#This Row],[setting]],lmic_raw_ub[],11,FALSE)=0, "Yes", "No")</f>
        <v>Yes</v>
      </c>
    </row>
    <row r="355" spans="1:51" x14ac:dyDescent="0.25">
      <c r="A355" s="110" t="s">
        <v>109</v>
      </c>
      <c r="B355" s="104" t="s">
        <v>469</v>
      </c>
      <c r="C355" s="105">
        <v>480</v>
      </c>
      <c r="D355" s="84" t="s">
        <v>677</v>
      </c>
      <c r="E355" s="84" t="s">
        <v>598</v>
      </c>
      <c r="F355" s="84" t="s">
        <v>666</v>
      </c>
      <c r="G355" s="84" t="s">
        <v>676</v>
      </c>
      <c r="J355" s="84">
        <f>IF(INDEX(lmic_raw_ub[],MATCH($A355,lmic_raw_ub[[setting]:[setting]],0), MATCH(J$277, lmic_raw_ub[#Headers],0))=0, INDEX(regions_ub[], MATCH($D355, regions_ub[[setting]:[setting]],0), MATCH(J$139, regions_ub[#Headers],0)),INDEX(lmic_raw_ub[],MATCH($A355,lmic_raw_ub[[setting]:[setting]],0), MATCH(J$277, lmic_raw_ub[#Headers],0)))</f>
        <v>0.99990000000000001</v>
      </c>
      <c r="K355" s="84">
        <f>IF(INDEX(lmic_raw_ub[],MATCH($A355,lmic_raw_ub[[setting]:[setting]],0), MATCH(K$277, lmic_raw_ub[#Headers],0))=0, INDEX(regions_ub[], MATCH($D355, regions_ub[[setting]:[setting]],0), MATCH(K$139, regions_ub[#Headers],0)),INDEX(lmic_raw_ub[],MATCH($A355,lmic_raw_ub[[setting]:[setting]],0), MATCH(K$277, lmic_raw_ub[#Headers],0)))</f>
        <v>0.71433037619548323</v>
      </c>
      <c r="L355" s="84">
        <f>IF(INDEX(lmic_raw_ub[],MATCH($A355,lmic_raw_ub[[setting]:[setting]],0), MATCH(L$277, lmic_raw_ub[#Headers],0))=0, INDEX(regions_ub[], MATCH($D355, regions_ub[[setting]:[setting]],0), MATCH(L$139, regions_ub[#Headers],0)),INDEX(lmic_raw_ub[],MATCH($A355,lmic_raw_ub[[setting]:[setting]],0), MATCH(L$277, lmic_raw_ub[#Headers],0)))</f>
        <v>0.99990000000000001</v>
      </c>
      <c r="M355" s="84">
        <f>IF(INDEX(lmic_raw_ub[],MATCH($A355,lmic_raw_ub[[setting]:[setting]],0), MATCH(M$277, lmic_raw_ub[#Headers],0))=0, INDEX(regions_ub[], MATCH($D355, regions_ub[[setting]:[setting]],0), MATCH(M$139, regions_ub[#Headers],0)),INDEX(lmic_raw_ub[],MATCH($A355,lmic_raw_ub[[setting]:[setting]],0), MATCH(M$277, lmic_raw_ub[#Headers],0)))</f>
        <v>0.1822</v>
      </c>
      <c r="N355" s="84">
        <f>IF(INDEX(lmic_raw_ub[],MATCH($A355,lmic_raw_ub[[setting]:[setting]],0), MATCH(N$277, lmic_raw_ub[#Headers],0))=0, INDEX(regions_ub[], MATCH($D355, regions_ub[[setting]:[setting]],0), MATCH(N$139, regions_ub[#Headers],0)),INDEX(lmic_raw_ub[],MATCH($A355,lmic_raw_ub[[setting]:[setting]],0), MATCH(N$277, lmic_raw_ub[#Headers],0)))</f>
        <v>0.47729999999999995</v>
      </c>
      <c r="O355" s="84">
        <f>IF(INDEX(lmic_raw_ub[],MATCH($A355,lmic_raw_ub[[setting]:[setting]],0), MATCH(O$277, lmic_raw_ub[#Headers],0))=0, INDEX(regions_ub[], MATCH($D355, regions_ub[[setting]:[setting]],0), MATCH(O$139, regions_ub[#Headers],0)),INDEX(lmic_raw_ub[],MATCH($A355,lmic_raw_ub[[setting]:[setting]],0), MATCH(O$277, lmic_raw_ub[#Headers],0)))</f>
        <v>0.9</v>
      </c>
      <c r="P355" s="84">
        <f>IF(INDEX(lmic_raw_ub[],MATCH($A355,lmic_raw_ub[[setting]:[setting]],0), MATCH(P$277, lmic_raw_ub[#Headers],0))=0, INDEX(regions_ub[], MATCH($D355, regions_ub[[setting]:[setting]],0), MATCH(P$139, regions_ub[#Headers],0)),INDEX(lmic_raw_ub[],MATCH($A355,lmic_raw_ub[[setting]:[setting]],0), MATCH(P$277, lmic_raw_ub[#Headers],0)))</f>
        <v>0.3</v>
      </c>
      <c r="Q355" s="84">
        <f>IF(INDEX(lmic_raw_ub[],MATCH($A355,lmic_raw_ub[[setting]:[setting]],0), MATCH(Q$277, lmic_raw_ub[#Headers],0))=0, INDEX(regions_ub[], MATCH($D355, regions_ub[[setting]:[setting]],0), MATCH(Q$139, regions_ub[#Headers],0)),INDEX(lmic_raw_ub[],MATCH($A355,lmic_raw_ub[[setting]:[setting]],0), MATCH(Q$277, lmic_raw_ub[#Headers],0)))</f>
        <v>4.8907647106941052</v>
      </c>
      <c r="R355" s="84">
        <f>IF(INDEX(lmic_raw_ub[],MATCH($A355,lmic_raw_ub[[setting]:[setting]],0), MATCH(R$277, lmic_raw_ub[#Headers],0))=0, INDEX(regions_ub[], MATCH($D355, regions_ub[[setting]:[setting]],0), MATCH(R$139, regions_ub[#Headers],0)),INDEX(lmic_raw_ub[],MATCH($A355,lmic_raw_ub[[setting]:[setting]],0), MATCH(R$277, lmic_raw_ub[#Headers],0)))</f>
        <v>76.738725000000002</v>
      </c>
      <c r="S355" s="84">
        <f>IF(INDEX(lmic_raw_ub[],MATCH($A355,lmic_raw_ub[[setting]:[setting]],0), MATCH(S$277, lmic_raw_ub[#Headers],0))=0, INDEX(regions_ub[], MATCH($D355, regions_ub[[setting]:[setting]],0), MATCH(S$139, regions_ub[#Headers],0)),INDEX(lmic_raw_ub[],MATCH($A355,lmic_raw_ub[[setting]:[setting]],0), MATCH(S$277, lmic_raw_ub[#Headers],0)))</f>
        <v>126.867825</v>
      </c>
      <c r="T355" s="84">
        <f>IF(INDEX(lmic_raw_ub[],MATCH($A355,lmic_raw_ub[[setting]:[setting]],0), MATCH(T$277, lmic_raw_ub[#Headers],0))=0, INDEX(regions_ub[], MATCH($D355, regions_ub[[setting]:[setting]],0), MATCH(T$139, regions_ub[#Headers],0)),INDEX(lmic_raw_ub[],MATCH($A355,lmic_raw_ub[[setting]:[setting]],0), MATCH(T$277, lmic_raw_ub[#Headers],0)))</f>
        <v>126.867825</v>
      </c>
      <c r="U355" s="84">
        <f>IF(INDEX(lmic_raw_ub[],MATCH($A355,lmic_raw_ub[[setting]:[setting]],0), MATCH(U$277, lmic_raw_ub[#Headers],0))=0, INDEX(regions_ub[], MATCH($D355, regions_ub[[setting]:[setting]],0), MATCH(U$139, regions_ub[#Headers],0)),INDEX(lmic_raw_ub[],MATCH($A355,lmic_raw_ub[[setting]:[setting]],0), MATCH(U$277, lmic_raw_ub[#Headers],0)))</f>
        <v>126.867825</v>
      </c>
      <c r="V355" s="84">
        <f>IF(INDEX(lmic_raw_ub[],MATCH($A355,lmic_raw_ub[[setting]:[setting]],0), MATCH(V$277, lmic_raw_ub[#Headers],0))=0, INDEX(regions_ub[], MATCH($D355, regions_ub[[setting]:[setting]],0), MATCH(V$139, regions_ub[#Headers],0)),INDEX(lmic_raw_ub[],MATCH($A355,lmic_raw_ub[[setting]:[setting]],0), MATCH(V$277, lmic_raw_ub[#Headers],0)))</f>
        <v>21.006547259559127</v>
      </c>
      <c r="W355" s="84">
        <f>IF(INDEX(lmic_raw_ub[],MATCH($A355,lmic_raw_ub[[setting]:[setting]],0), MATCH(W$277, lmic_raw_ub[#Headers],0))=0, INDEX(regions_ub[], MATCH($D355, regions_ub[[setting]:[setting]],0), MATCH(W$139, regions_ub[#Headers],0)),INDEX(lmic_raw_ub[],MATCH($A355,lmic_raw_ub[[setting]:[setting]],0), MATCH(W$277, lmic_raw_ub[#Headers],0)))</f>
        <v>21.670357259559129</v>
      </c>
      <c r="X355" s="84">
        <f>IF(INDEX(lmic_raw_ub[],MATCH($A355,lmic_raw_ub[[setting]:[setting]],0), MATCH(X$277, lmic_raw_ub[#Headers],0))=0, INDEX(regions_ub[], MATCH($D355, regions_ub[[setting]:[setting]],0), MATCH(X$139, regions_ub[#Headers],0)),INDEX(lmic_raw_ub[],MATCH($A355,lmic_raw_ub[[setting]:[setting]],0), MATCH(X$277, lmic_raw_ub[#Headers],0)))</f>
        <v>20.455938886100594</v>
      </c>
      <c r="Y355" s="84">
        <f>IF(INDEX(lmic_raw_ub[],MATCH($A355,lmic_raw_ub[[setting]:[setting]],0), MATCH(Y$277, lmic_raw_ub[#Headers],0))=0, INDEX(regions_ub[], MATCH($D355, regions_ub[[setting]:[setting]],0), MATCH(Y$139, regions_ub[#Headers],0)),INDEX(lmic_raw_ub[],MATCH($A355,lmic_raw_ub[[setting]:[setting]],0), MATCH(Y$277, lmic_raw_ub[#Headers],0)))</f>
        <v>21.119748886100595</v>
      </c>
      <c r="Z355" s="84">
        <f>IF(INDEX(lmic_raw_ub[],MATCH($A355,lmic_raw_ub[[setting]:[setting]],0), MATCH(Z$277, lmic_raw_ub[#Headers],0))=0, INDEX(regions_ub[], MATCH($D355, regions_ub[[setting]:[setting]],0), MATCH(Z$139, regions_ub[#Headers],0)),INDEX(lmic_raw_ub[],MATCH($A355,lmic_raw_ub[[setting]:[setting]],0), MATCH(Z$277, lmic_raw_ub[#Headers],0)))</f>
        <v>21.081743988792098</v>
      </c>
      <c r="AA355" s="84">
        <f>IF(INDEX(lmic_raw_ub[],MATCH($A355,lmic_raw_ub[[setting]:[setting]],0), MATCH(AA$277, lmic_raw_ub[#Headers],0))=0, INDEX(regions_ub[], MATCH($D355, regions_ub[[setting]:[setting]],0), MATCH(AA$139, regions_ub[#Headers],0)),INDEX(lmic_raw_ub[],MATCH($A355,lmic_raw_ub[[setting]:[setting]],0), MATCH(AA$277, lmic_raw_ub[#Headers],0)))</f>
        <v>21.287606427171951</v>
      </c>
      <c r="AB355" s="84">
        <f>IF(INDEX(lmic_raw_ub[],MATCH($A355,lmic_raw_ub[[setting]:[setting]],0), MATCH(AB$277, lmic_raw_ub[#Headers],0))=0, INDEX(regions_ub[], MATCH($D355, regions_ub[[setting]:[setting]],0), MATCH(AB$139, regions_ub[#Headers],0)),INDEX(lmic_raw_ub[],MATCH($A355,lmic_raw_ub[[setting]:[setting]],0), MATCH(AB$277, lmic_raw_ub[#Headers],0)))</f>
        <v>21.951416427171953</v>
      </c>
      <c r="AC355" s="84">
        <f>IF(INDEX(lmic_raw_ub[],MATCH($A355,lmic_raw_ub[[setting]:[setting]],0), MATCH(AC$277, lmic_raw_ub[#Headers],0))=0, INDEX(regions_ub[], MATCH($D355, regions_ub[[setting]:[setting]],0), MATCH(AC$139, regions_ub[#Headers],0)),INDEX(lmic_raw_ub[],MATCH($A355,lmic_raw_ub[[setting]:[setting]],0), MATCH(AC$277, lmic_raw_ub[#Headers],0)))</f>
        <v>1.1780737500000062E-2</v>
      </c>
      <c r="AD355" s="84">
        <f>IF(INDEX(lmic_raw_ub[],MATCH($A355,lmic_raw_ub[[setting]:[setting]],0), MATCH(AD$277, lmic_raw_ub[#Headers],0))=0, INDEX(regions_ub[], MATCH($D355, regions_ub[[setting]:[setting]],0), MATCH(AD$139, regions_ub[#Headers],0)),INDEX(lmic_raw_ub[],MATCH($A355,lmic_raw_ub[[setting]:[setting]],0), MATCH(AD$277, lmic_raw_ub[#Headers],0)))</f>
        <v>5.2028762204746652E-4</v>
      </c>
      <c r="AE355" s="84">
        <f>IF(INDEX(lmic_raw_ub[],MATCH($A355,lmic_raw_ub[[setting]:[setting]],0), MATCH(AE$277, lmic_raw_ub[#Headers],0))=0, INDEX(regions_ub[], MATCH($D355, regions_ub[[setting]:[setting]],0), MATCH(AE$139, regions_ub[#Headers],0)),INDEX(lmic_raw_ub[],MATCH($A355,lmic_raw_ub[[setting]:[setting]],0), MATCH(AE$277, lmic_raw_ub[#Headers],0)))</f>
        <v>1.5103173177076474E-4</v>
      </c>
      <c r="AF355" s="84">
        <f>IF(INDEX(lmic_raw_ub[],MATCH($A355,lmic_raw_ub[[setting]:[setting]],0), MATCH(AF$277, lmic_raw_ub[#Headers],0))=0, INDEX(regions_ub[], MATCH($D355, regions_ub[[setting]:[setting]],0), MATCH(AF$139, regions_ub[#Headers],0)),INDEX(lmic_raw_ub[],MATCH($A355,lmic_raw_ub[[setting]:[setting]],0), MATCH(AF$277, lmic_raw_ub[#Headers],0)))</f>
        <v>2.0343861589903168E-4</v>
      </c>
      <c r="AG355" s="84">
        <f>IF(INDEX(lmic_raw_ub[],MATCH($A355,lmic_raw_ub[[setting]:[setting]],0), MATCH(AG$277, lmic_raw_ub[#Headers],0))=0, INDEX(regions_ub[], MATCH($D355, regions_ub[[setting]:[setting]],0), MATCH(AG$139, regions_ub[#Headers],0)),INDEX(lmic_raw_ub[],MATCH($A355,lmic_raw_ub[[setting]:[setting]],0), MATCH(AG$277, lmic_raw_ub[#Headers],0)))</f>
        <v>5.7859195455679054E-4</v>
      </c>
      <c r="AH355" s="84">
        <f>IF(INDEX(lmic_raw_ub[],MATCH($A355,lmic_raw_ub[[setting]:[setting]],0), MATCH(AH$277, lmic_raw_ub[#Headers],0))=0, INDEX(regions_ub[], MATCH($D355, regions_ub[[setting]:[setting]],0), MATCH(AH$139, regions_ub[#Headers],0)),INDEX(lmic_raw_ub[],MATCH($A355,lmic_raw_ub[[setting]:[setting]],0), MATCH(AH$277, lmic_raw_ub[#Headers],0)))</f>
        <v>9.2786873578741785E-4</v>
      </c>
      <c r="AI355" s="84">
        <f>IF(INDEX(lmic_raw_ub[],MATCH($A355,lmic_raw_ub[[setting]:[setting]],0), MATCH(AI$277, lmic_raw_ub[#Headers],0))=0, INDEX(regions_ub[], MATCH($D355, regions_ub[[setting]:[setting]],0), MATCH(AI$139, regions_ub[#Headers],0)),INDEX(lmic_raw_ub[],MATCH($A355,lmic_raw_ub[[setting]:[setting]],0), MATCH(AI$277, lmic_raw_ub[#Headers],0)))</f>
        <v>1.2773346716555664E-3</v>
      </c>
      <c r="AJ355" s="84">
        <f>IF(INDEX(lmic_raw_ub[],MATCH($A355,lmic_raw_ub[[setting]:[setting]],0), MATCH(AJ$277, lmic_raw_ub[#Headers],0))=0, INDEX(regions_ub[], MATCH($D355, regions_ub[[setting]:[setting]],0), MATCH(AJ$139, regions_ub[#Headers],0)),INDEX(lmic_raw_ub[],MATCH($A355,lmic_raw_ub[[setting]:[setting]],0), MATCH(AJ$277, lmic_raw_ub[#Headers],0)))</f>
        <v>1.5857377044762261E-3</v>
      </c>
      <c r="AK355" s="84">
        <f>IF(INDEX(lmic_raw_ub[],MATCH($A355,lmic_raw_ub[[setting]:[setting]],0), MATCH(AK$277, lmic_raw_ub[#Headers],0))=0, INDEX(regions_ub[], MATCH($D355, regions_ub[[setting]:[setting]],0), MATCH(AK$139, regions_ub[#Headers],0)),INDEX(lmic_raw_ub[],MATCH($A355,lmic_raw_ub[[setting]:[setting]],0), MATCH(AK$277, lmic_raw_ub[#Headers],0)))</f>
        <v>2.3367892811238236E-3</v>
      </c>
      <c r="AL355" s="84">
        <f>IF(INDEX(lmic_raw_ub[],MATCH($A355,lmic_raw_ub[[setting]:[setting]],0), MATCH(AL$277, lmic_raw_ub[#Headers],0))=0, INDEX(regions_ub[], MATCH($D355, regions_ub[[setting]:[setting]],0), MATCH(AL$139, regions_ub[#Headers],0)),INDEX(lmic_raw_ub[],MATCH($A355,lmic_raw_ub[[setting]:[setting]],0), MATCH(AL$277, lmic_raw_ub[#Headers],0)))</f>
        <v>3.3412476730974206E-3</v>
      </c>
      <c r="AM355" s="84">
        <f>IF(INDEX(lmic_raw_ub[],MATCH($A355,lmic_raw_ub[[setting]:[setting]],0), MATCH(AM$277, lmic_raw_ub[#Headers],0))=0, INDEX(regions_ub[], MATCH($D355, regions_ub[[setting]:[setting]],0), MATCH(AM$139, regions_ub[#Headers],0)),INDEX(lmic_raw_ub[],MATCH($A355,lmic_raw_ub[[setting]:[setting]],0), MATCH(AM$277, lmic_raw_ub[#Headers],0)))</f>
        <v>4.8597601186383026E-3</v>
      </c>
      <c r="AN355" s="84">
        <f>IF(INDEX(lmic_raw_ub[],MATCH($A355,lmic_raw_ub[[setting]:[setting]],0), MATCH(AN$277, lmic_raw_ub[#Headers],0))=0, INDEX(regions_ub[], MATCH($D355, regions_ub[[setting]:[setting]],0), MATCH(AN$139, regions_ub[#Headers],0)),INDEX(lmic_raw_ub[],MATCH($A355,lmic_raw_ub[[setting]:[setting]],0), MATCH(AN$277, lmic_raw_ub[#Headers],0)))</f>
        <v>7.1767327960626558E-3</v>
      </c>
      <c r="AO355" s="84">
        <f>IF(INDEX(lmic_raw_ub[],MATCH($A355,lmic_raw_ub[[setting]:[setting]],0), MATCH(AO$277, lmic_raw_ub[#Headers],0))=0, INDEX(regions_ub[], MATCH($D355, regions_ub[[setting]:[setting]],0), MATCH(AO$139, regions_ub[#Headers],0)),INDEX(lmic_raw_ub[],MATCH($A355,lmic_raw_ub[[setting]:[setting]],0), MATCH(AO$277, lmic_raw_ub[#Headers],0)))</f>
        <v>9.9853469500731963E-3</v>
      </c>
      <c r="AP355" s="84">
        <f>IF(INDEX(lmic_raw_ub[],MATCH($A355,lmic_raw_ub[[setting]:[setting]],0), MATCH(AP$277, lmic_raw_ub[#Headers],0))=0, INDEX(regions_ub[], MATCH($D355, regions_ub[[setting]:[setting]],0), MATCH(AP$139, regions_ub[#Headers],0)),INDEX(lmic_raw_ub[],MATCH($A355,lmic_raw_ub[[setting]:[setting]],0), MATCH(AP$277, lmic_raw_ub[#Headers],0)))</f>
        <v>1.5488406691365758E-2</v>
      </c>
      <c r="AQ355" s="84">
        <f>IF(INDEX(lmic_raw_ub[],MATCH($A355,lmic_raw_ub[[setting]:[setting]],0), MATCH(AQ$277, lmic_raw_ub[#Headers],0))=0, INDEX(regions_ub[], MATCH($D355, regions_ub[[setting]:[setting]],0), MATCH(AQ$139, regions_ub[#Headers],0)),INDEX(lmic_raw_ub[],MATCH($A355,lmic_raw_ub[[setting]:[setting]],0), MATCH(AQ$277, lmic_raw_ub[#Headers],0)))</f>
        <v>2.2180575023002646E-2</v>
      </c>
      <c r="AR355" s="84">
        <f>IF(INDEX(lmic_raw_ub[],MATCH($A355,lmic_raw_ub[[setting]:[setting]],0), MATCH(AR$277, lmic_raw_ub[#Headers],0))=0, INDEX(regions_ub[], MATCH($D355, regions_ub[[setting]:[setting]],0), MATCH(AR$139, regions_ub[#Headers],0)),INDEX(lmic_raw_ub[],MATCH($A355,lmic_raw_ub[[setting]:[setting]],0), MATCH(AR$277, lmic_raw_ub[#Headers],0)))</f>
        <v>3.3515983496483513E-2</v>
      </c>
      <c r="AS355" s="84">
        <f>IF(INDEX(lmic_raw_ub[],MATCH($A355,lmic_raw_ub[[setting]:[setting]],0), MATCH(AS$277, lmic_raw_ub[#Headers],0))=0, INDEX(regions_ub[], MATCH($D355, regions_ub[[setting]:[setting]],0), MATCH(AS$139, regions_ub[#Headers],0)),INDEX(lmic_raw_ub[],MATCH($A355,lmic_raw_ub[[setting]:[setting]],0), MATCH(AS$277, lmic_raw_ub[#Headers],0)))</f>
        <v>4.7459282906829249E-2</v>
      </c>
      <c r="AT355" s="84">
        <f>IF(INDEX(lmic_raw_ub[],MATCH($A355,lmic_raw_ub[[setting]:[setting]],0), MATCH(AT$277, lmic_raw_ub[#Headers],0))=0, INDEX(regions_ub[], MATCH($D355, regions_ub[[setting]:[setting]],0), MATCH(AT$139, regions_ub[#Headers],0)),INDEX(lmic_raw_ub[],MATCH($A355,lmic_raw_ub[[setting]:[setting]],0), MATCH(AT$277, lmic_raw_ub[#Headers],0)))</f>
        <v>7.0945093853940572E-2</v>
      </c>
      <c r="AU355" s="84">
        <f>IF(INDEX(lmic_raw_ub[],MATCH($A355,lmic_raw_ub[[setting]:[setting]],0), MATCH(AU$277, lmic_raw_ub[#Headers],0))=0, INDEX(regions_ub[], MATCH($D355, regions_ub[[setting]:[setting]],0), MATCH(AU$139, regions_ub[#Headers],0)),INDEX(lmic_raw_ub[],MATCH($A355,lmic_raw_ub[[setting]:[setting]],0), MATCH(AU$277, lmic_raw_ub[#Headers],0)))</f>
        <v>9.9453969462453884E-2</v>
      </c>
      <c r="AV355" s="84">
        <f>IF(INDEX(lmic_raw_ub[],MATCH($A355,lmic_raw_ub[[setting]:[setting]],0), MATCH(AV$277, lmic_raw_ub[#Headers],0))=0, INDEX(regions_ub[], MATCH($D355, regions_ub[[setting]:[setting]],0), MATCH(AV$139, regions_ub[#Headers],0)),INDEX(lmic_raw_ub[],MATCH($A355,lmic_raw_ub[[setting]:[setting]],0), MATCH(AV$277, lmic_raw_ub[#Headers],0)))</f>
        <v>0.12846768461234698</v>
      </c>
      <c r="AW355" s="84">
        <f>IF(INDEX(lmic_raw_ub[],MATCH($A355,lmic_raw_ub[[setting]:[setting]],0), MATCH(AW$277, lmic_raw_ub[#Headers],0))=0, INDEX(regions_ub[], MATCH($D355, regions_ub[[setting]:[setting]],0), MATCH(AW$139, regions_ub[#Headers],0)),INDEX(lmic_raw_ub[],MATCH($A355,lmic_raw_ub[[setting]:[setting]],0), MATCH(AW$277, lmic_raw_ub[#Headers],0)))</f>
        <v>0.15512630193303556</v>
      </c>
      <c r="AX355" s="84">
        <f>IF(INDEX(lmic_raw_ub[],MATCH($A355,lmic_raw_ub[[setting]:[setting]],0), MATCH(AX$277, lmic_raw_ub[#Headers],0))=0, INDEX(regions_ub[], MATCH($D355, regions_ub[[setting]:[setting]],0), MATCH(AX$139, regions_ub[#Headers],0)),INDEX(lmic_raw_ub[],MATCH($A355,lmic_raw_ub[[setting]:[setting]],0), MATCH(AX$277, lmic_raw_ub[#Headers],0)))</f>
        <v>78.50115000000001</v>
      </c>
      <c r="AY355" s="33" t="str">
        <f>IF(VLOOKUP(lmics_ub[[#This Row],[setting]],lmic_raw_ub[],11,FALSE)=0, "Yes", "No")</f>
        <v>Yes</v>
      </c>
    </row>
    <row r="356" spans="1:51" x14ac:dyDescent="0.25">
      <c r="A356" s="109" t="s">
        <v>258</v>
      </c>
      <c r="B356" s="101" t="s">
        <v>470</v>
      </c>
      <c r="C356" s="102">
        <v>484</v>
      </c>
      <c r="D356" s="82" t="s">
        <v>679</v>
      </c>
      <c r="E356" s="82" t="s">
        <v>604</v>
      </c>
      <c r="F356" s="82" t="s">
        <v>665</v>
      </c>
      <c r="G356" s="82" t="s">
        <v>676</v>
      </c>
      <c r="J356" s="84">
        <f>IF(INDEX(lmic_raw_ub[],MATCH($A356,lmic_raw_ub[[setting]:[setting]],0), MATCH(J$277, lmic_raw_ub[#Headers],0))=0, INDEX(regions_ub[], MATCH($D356, regions_ub[[setting]:[setting]],0), MATCH(J$139, regions_ub[#Headers],0)),INDEX(lmic_raw_ub[],MATCH($A356,lmic_raw_ub[[setting]:[setting]],0), MATCH(J$277, lmic_raw_ub[#Headers],0)))</f>
        <v>0.99990000000000001</v>
      </c>
      <c r="K356" s="84">
        <f>IF(INDEX(lmic_raw_ub[],MATCH($A356,lmic_raw_ub[[setting]:[setting]],0), MATCH(K$277, lmic_raw_ub[#Headers],0))=0, INDEX(regions_ub[], MATCH($D356, regions_ub[[setting]:[setting]],0), MATCH(K$139, regions_ub[#Headers],0)),INDEX(lmic_raw_ub[],MATCH($A356,lmic_raw_ub[[setting]:[setting]],0), MATCH(K$277, lmic_raw_ub[#Headers],0)))</f>
        <v>0.78230516513860726</v>
      </c>
      <c r="L356" s="84">
        <f>IF(INDEX(lmic_raw_ub[],MATCH($A356,lmic_raw_ub[[setting]:[setting]],0), MATCH(L$277, lmic_raw_ub[#Headers],0))=0, INDEX(regions_ub[], MATCH($D356, regions_ub[[setting]:[setting]],0), MATCH(L$139, regions_ub[#Headers],0)),INDEX(lmic_raw_ub[],MATCH($A356,lmic_raw_ub[[setting]:[setting]],0), MATCH(L$277, lmic_raw_ub[#Headers],0)))</f>
        <v>0.58800000000000008</v>
      </c>
      <c r="M356" s="84">
        <f>IF(INDEX(lmic_raw_ub[],MATCH($A356,lmic_raw_ub[[setting]:[setting]],0), MATCH(M$277, lmic_raw_ub[#Headers],0))=0, INDEX(regions_ub[], MATCH($D356, regions_ub[[setting]:[setting]],0), MATCH(M$139, regions_ub[#Headers],0)),INDEX(lmic_raw_ub[],MATCH($A356,lmic_raw_ub[[setting]:[setting]],0), MATCH(M$277, lmic_raw_ub[#Headers],0)))</f>
        <v>3.5999999999999999E-3</v>
      </c>
      <c r="N356" s="84">
        <f>IF(INDEX(lmic_raw_ub[],MATCH($A356,lmic_raw_ub[[setting]:[setting]],0), MATCH(N$277, lmic_raw_ub[#Headers],0))=0, INDEX(regions_ub[], MATCH($D356, regions_ub[[setting]:[setting]],0), MATCH(N$139, regions_ub[#Headers],0)),INDEX(lmic_raw_ub[],MATCH($A356,lmic_raw_ub[[setting]:[setting]],0), MATCH(N$277, lmic_raw_ub[#Headers],0)))</f>
        <v>0.42950000000000005</v>
      </c>
      <c r="O356" s="84">
        <f>IF(INDEX(lmic_raw_ub[],MATCH($A356,lmic_raw_ub[[setting]:[setting]],0), MATCH(O$277, lmic_raw_ub[#Headers],0))=0, INDEX(regions_ub[], MATCH($D356, regions_ub[[setting]:[setting]],0), MATCH(O$139, regions_ub[#Headers],0)),INDEX(lmic_raw_ub[],MATCH($A356,lmic_raw_ub[[setting]:[setting]],0), MATCH(O$277, lmic_raw_ub[#Headers],0)))</f>
        <v>0.9</v>
      </c>
      <c r="P356" s="84">
        <f>IF(INDEX(lmic_raw_ub[],MATCH($A356,lmic_raw_ub[[setting]:[setting]],0), MATCH(P$277, lmic_raw_ub[#Headers],0))=0, INDEX(regions_ub[], MATCH($D356, regions_ub[[setting]:[setting]],0), MATCH(P$139, regions_ub[#Headers],0)),INDEX(lmic_raw_ub[],MATCH($A356,lmic_raw_ub[[setting]:[setting]],0), MATCH(P$277, lmic_raw_ub[#Headers],0)))</f>
        <v>0.3</v>
      </c>
      <c r="Q356" s="84">
        <f>IF(INDEX(lmic_raw_ub[],MATCH($A356,lmic_raw_ub[[setting]:[setting]],0), MATCH(Q$277, lmic_raw_ub[#Headers],0))=0, INDEX(regions_ub[], MATCH($D356, regions_ub[[setting]:[setting]],0), MATCH(Q$139, regions_ub[#Headers],0)),INDEX(lmic_raw_ub[],MATCH($A356,lmic_raw_ub[[setting]:[setting]],0), MATCH(Q$277, lmic_raw_ub[#Headers],0)))</f>
        <v>17.484468083798529</v>
      </c>
      <c r="R356" s="84">
        <f>IF(INDEX(lmic_raw_ub[],MATCH($A356,lmic_raw_ub[[setting]:[setting]],0), MATCH(R$277, lmic_raw_ub[#Headers],0))=0, INDEX(regions_ub[], MATCH($D356, regions_ub[[setting]:[setting]],0), MATCH(R$139, regions_ub[#Headers],0)),INDEX(lmic_raw_ub[],MATCH($A356,lmic_raw_ub[[setting]:[setting]],0), MATCH(R$277, lmic_raw_ub[#Headers],0)))</f>
        <v>91.228094999999996</v>
      </c>
      <c r="S356" s="84">
        <f>IF(INDEX(lmic_raw_ub[],MATCH($A356,lmic_raw_ub[[setting]:[setting]],0), MATCH(S$277, lmic_raw_ub[#Headers],0))=0, INDEX(regions_ub[], MATCH($D356, regions_ub[[setting]:[setting]],0), MATCH(S$139, regions_ub[#Headers],0)),INDEX(lmic_raw_ub[],MATCH($A356,lmic_raw_ub[[setting]:[setting]],0), MATCH(S$277, lmic_raw_ub[#Headers],0)))</f>
        <v>141.35719500000002</v>
      </c>
      <c r="T356" s="84">
        <f>IF(INDEX(lmic_raw_ub[],MATCH($A356,lmic_raw_ub[[setting]:[setting]],0), MATCH(T$277, lmic_raw_ub[#Headers],0))=0, INDEX(regions_ub[], MATCH($D356, regions_ub[[setting]:[setting]],0), MATCH(T$139, regions_ub[#Headers],0)),INDEX(lmic_raw_ub[],MATCH($A356,lmic_raw_ub[[setting]:[setting]],0), MATCH(T$277, lmic_raw_ub[#Headers],0)))</f>
        <v>141.35719500000002</v>
      </c>
      <c r="U356" s="84">
        <f>IF(INDEX(lmic_raw_ub[],MATCH($A356,lmic_raw_ub[[setting]:[setting]],0), MATCH(U$277, lmic_raw_ub[#Headers],0))=0, INDEX(regions_ub[], MATCH($D356, regions_ub[[setting]:[setting]],0), MATCH(U$139, regions_ub[#Headers],0)),INDEX(lmic_raw_ub[],MATCH($A356,lmic_raw_ub[[setting]:[setting]],0), MATCH(U$277, lmic_raw_ub[#Headers],0)))</f>
        <v>141.35719500000002</v>
      </c>
      <c r="V356" s="84">
        <f>IF(INDEX(lmic_raw_ub[],MATCH($A356,lmic_raw_ub[[setting]:[setting]],0), MATCH(V$277, lmic_raw_ub[#Headers],0))=0, INDEX(regions_ub[], MATCH($D356, regions_ub[[setting]:[setting]],0), MATCH(V$139, regions_ub[#Headers],0)),INDEX(lmic_raw_ub[],MATCH($A356,lmic_raw_ub[[setting]:[setting]],0), MATCH(V$277, lmic_raw_ub[#Headers],0)))</f>
        <v>7.3457060006555803</v>
      </c>
      <c r="W356" s="84">
        <f>IF(INDEX(lmic_raw_ub[],MATCH($A356,lmic_raw_ub[[setting]:[setting]],0), MATCH(W$277, lmic_raw_ub[#Headers],0))=0, INDEX(regions_ub[], MATCH($D356, regions_ub[[setting]:[setting]],0), MATCH(W$139, regions_ub[#Headers],0)),INDEX(lmic_raw_ub[],MATCH($A356,lmic_raw_ub[[setting]:[setting]],0), MATCH(W$277, lmic_raw_ub[#Headers],0)))</f>
        <v>7.3685960006555806</v>
      </c>
      <c r="X356" s="84">
        <f>IF(INDEX(lmic_raw_ub[],MATCH($A356,lmic_raw_ub[[setting]:[setting]],0), MATCH(X$277, lmic_raw_ub[#Headers],0))=0, INDEX(regions_ub[], MATCH($D356, regions_ub[[setting]:[setting]],0), MATCH(X$139, regions_ub[#Headers],0)),INDEX(lmic_raw_ub[],MATCH($A356,lmic_raw_ub[[setting]:[setting]],0), MATCH(X$277, lmic_raw_ub[#Headers],0)))</f>
        <v>6.8010883302308702</v>
      </c>
      <c r="Y356" s="84">
        <f>IF(INDEX(lmic_raw_ub[],MATCH($A356,lmic_raw_ub[[setting]:[setting]],0), MATCH(Y$277, lmic_raw_ub[#Headers],0))=0, INDEX(regions_ub[], MATCH($D356, regions_ub[[setting]:[setting]],0), MATCH(Y$139, regions_ub[#Headers],0)),INDEX(lmic_raw_ub[],MATCH($A356,lmic_raw_ub[[setting]:[setting]],0), MATCH(Y$277, lmic_raw_ub[#Headers],0)))</f>
        <v>6.8239783302308705</v>
      </c>
      <c r="Z356" s="84">
        <f>IF(INDEX(lmic_raw_ub[],MATCH($A356,lmic_raw_ub[[setting]:[setting]],0), MATCH(Z$277, lmic_raw_ub[#Headers],0))=0, INDEX(regions_ub[], MATCH($D356, regions_ub[[setting]:[setting]],0), MATCH(Z$139, regions_ub[#Headers],0)),INDEX(lmic_raw_ub[],MATCH($A356,lmic_raw_ub[[setting]:[setting]],0), MATCH(Z$277, lmic_raw_ub[#Headers],0)))</f>
        <v>6.7886969258562644</v>
      </c>
      <c r="AA356" s="84">
        <f>IF(INDEX(lmic_raw_ub[],MATCH($A356,lmic_raw_ub[[setting]:[setting]],0), MATCH(AA$277, lmic_raw_ub[#Headers],0))=0, INDEX(regions_ub[], MATCH($D356, regions_ub[[setting]:[setting]],0), MATCH(AA$139, regions_ub[#Headers],0)),INDEX(lmic_raw_ub[],MATCH($A356,lmic_raw_ub[[setting]:[setting]],0), MATCH(AA$277, lmic_raw_ub[#Headers],0)))</f>
        <v>7.6254053154325012</v>
      </c>
      <c r="AB356" s="84">
        <f>IF(INDEX(lmic_raw_ub[],MATCH($A356,lmic_raw_ub[[setting]:[setting]],0), MATCH(AB$277, lmic_raw_ub[#Headers],0))=0, INDEX(regions_ub[], MATCH($D356, regions_ub[[setting]:[setting]],0), MATCH(AB$139, regions_ub[#Headers],0)),INDEX(lmic_raw_ub[],MATCH($A356,lmic_raw_ub[[setting]:[setting]],0), MATCH(AB$277, lmic_raw_ub[#Headers],0)))</f>
        <v>7.6482953154325015</v>
      </c>
      <c r="AC356" s="84">
        <f>IF(INDEX(lmic_raw_ub[],MATCH($A356,lmic_raw_ub[[setting]:[setting]],0), MATCH(AC$277, lmic_raw_ub[#Headers],0))=0, INDEX(regions_ub[], MATCH($D356, regions_ub[[setting]:[setting]],0), MATCH(AC$139, regions_ub[#Headers],0)),INDEX(lmic_raw_ub[],MATCH($A356,lmic_raw_ub[[setting]:[setting]],0), MATCH(AC$277, lmic_raw_ub[#Headers],0)))</f>
        <v>1.4188597499999981E-2</v>
      </c>
      <c r="AD356" s="84">
        <f>IF(INDEX(lmic_raw_ub[],MATCH($A356,lmic_raw_ub[[setting]:[setting]],0), MATCH(AD$277, lmic_raw_ub[#Headers],0))=0, INDEX(regions_ub[], MATCH($D356, regions_ub[[setting]:[setting]],0), MATCH(AD$139, regions_ub[#Headers],0)),INDEX(lmic_raw_ub[],MATCH($A356,lmic_raw_ub[[setting]:[setting]],0), MATCH(AD$277, lmic_raw_ub[#Headers],0)))</f>
        <v>5.4650742754302985E-4</v>
      </c>
      <c r="AE356" s="84">
        <f>IF(INDEX(lmic_raw_ub[],MATCH($A356,lmic_raw_ub[[setting]:[setting]],0), MATCH(AE$277, lmic_raw_ub[#Headers],0))=0, INDEX(regions_ub[], MATCH($D356, regions_ub[[setting]:[setting]],0), MATCH(AE$139, regions_ub[#Headers],0)),INDEX(lmic_raw_ub[],MATCH($A356,lmic_raw_ub[[setting]:[setting]],0), MATCH(AE$277, lmic_raw_ub[#Headers],0)))</f>
        <v>2.6787748178964282E-4</v>
      </c>
      <c r="AF356" s="84">
        <f>IF(INDEX(lmic_raw_ub[],MATCH($A356,lmic_raw_ub[[setting]:[setting]],0), MATCH(AF$277, lmic_raw_ub[#Headers],0))=0, INDEX(regions_ub[], MATCH($D356, regions_ub[[setting]:[setting]],0), MATCH(AF$139, regions_ub[#Headers],0)),INDEX(lmic_raw_ub[],MATCH($A356,lmic_raw_ub[[setting]:[setting]],0), MATCH(AF$277, lmic_raw_ub[#Headers],0)))</f>
        <v>3.8050341876212635E-4</v>
      </c>
      <c r="AG356" s="84">
        <f>IF(INDEX(lmic_raw_ub[],MATCH($A356,lmic_raw_ub[[setting]:[setting]],0), MATCH(AG$277, lmic_raw_ub[#Headers],0))=0, INDEX(regions_ub[], MATCH($D356, regions_ub[[setting]:[setting]],0), MATCH(AG$139, regions_ub[#Headers],0)),INDEX(lmic_raw_ub[],MATCH($A356,lmic_raw_ub[[setting]:[setting]],0), MATCH(AG$277, lmic_raw_ub[#Headers],0)))</f>
        <v>8.0487840964025116E-4</v>
      </c>
      <c r="AH356" s="84">
        <f>IF(INDEX(lmic_raw_ub[],MATCH($A356,lmic_raw_ub[[setting]:[setting]],0), MATCH(AH$277, lmic_raw_ub[#Headers],0))=0, INDEX(regions_ub[], MATCH($D356, regions_ub[[setting]:[setting]],0), MATCH(AH$139, regions_ub[#Headers],0)),INDEX(lmic_raw_ub[],MATCH($A356,lmic_raw_ub[[setting]:[setting]],0), MATCH(AH$277, lmic_raw_ub[#Headers],0)))</f>
        <v>1.31065992027429E-3</v>
      </c>
      <c r="AI356" s="84">
        <f>IF(INDEX(lmic_raw_ub[],MATCH($A356,lmic_raw_ub[[setting]:[setting]],0), MATCH(AI$277, lmic_raw_ub[#Headers],0))=0, INDEX(regions_ub[], MATCH($D356, regions_ub[[setting]:[setting]],0), MATCH(AI$139, regions_ub[#Headers],0)),INDEX(lmic_raw_ub[],MATCH($A356,lmic_raw_ub[[setting]:[setting]],0), MATCH(AI$277, lmic_raw_ub[#Headers],0)))</f>
        <v>1.6458815766785624E-3</v>
      </c>
      <c r="AJ356" s="84">
        <f>IF(INDEX(lmic_raw_ub[],MATCH($A356,lmic_raw_ub[[setting]:[setting]],0), MATCH(AJ$277, lmic_raw_ub[#Headers],0))=0, INDEX(regions_ub[], MATCH($D356, regions_ub[[setting]:[setting]],0), MATCH(AJ$139, regions_ub[#Headers],0)),INDEX(lmic_raw_ub[],MATCH($A356,lmic_raw_ub[[setting]:[setting]],0), MATCH(AJ$277, lmic_raw_ub[#Headers],0)))</f>
        <v>1.8961792144801214E-3</v>
      </c>
      <c r="AK356" s="84">
        <f>IF(INDEX(lmic_raw_ub[],MATCH($A356,lmic_raw_ub[[setting]:[setting]],0), MATCH(AK$277, lmic_raw_ub[#Headers],0))=0, INDEX(regions_ub[], MATCH($D356, regions_ub[[setting]:[setting]],0), MATCH(AK$139, regions_ub[#Headers],0)),INDEX(lmic_raw_ub[],MATCH($A356,lmic_raw_ub[[setting]:[setting]],0), MATCH(AK$277, lmic_raw_ub[#Headers],0)))</f>
        <v>2.2961312444337791E-3</v>
      </c>
      <c r="AL356" s="84">
        <f>IF(INDEX(lmic_raw_ub[],MATCH($A356,lmic_raw_ub[[setting]:[setting]],0), MATCH(AL$277, lmic_raw_ub[#Headers],0))=0, INDEX(regions_ub[], MATCH($D356, regions_ub[[setting]:[setting]],0), MATCH(AL$139, regions_ub[#Headers],0)),INDEX(lmic_raw_ub[],MATCH($A356,lmic_raw_ub[[setting]:[setting]],0), MATCH(AL$277, lmic_raw_ub[#Headers],0)))</f>
        <v>3.0459593139553608E-3</v>
      </c>
      <c r="AM356" s="84">
        <f>IF(INDEX(lmic_raw_ub[],MATCH($A356,lmic_raw_ub[[setting]:[setting]],0), MATCH(AM$277, lmic_raw_ub[#Headers],0))=0, INDEX(regions_ub[], MATCH($D356, regions_ub[[setting]:[setting]],0), MATCH(AM$139, regions_ub[#Headers],0)),INDEX(lmic_raw_ub[],MATCH($A356,lmic_raw_ub[[setting]:[setting]],0), MATCH(AM$277, lmic_raw_ub[#Headers],0)))</f>
        <v>4.3287216644763166E-3</v>
      </c>
      <c r="AN356" s="84">
        <f>IF(INDEX(lmic_raw_ub[],MATCH($A356,lmic_raw_ub[[setting]:[setting]],0), MATCH(AN$277, lmic_raw_ub[#Headers],0))=0, INDEX(regions_ub[], MATCH($D356, regions_ub[[setting]:[setting]],0), MATCH(AN$139, regions_ub[#Headers],0)),INDEX(lmic_raw_ub[],MATCH($A356,lmic_raw_ub[[setting]:[setting]],0), MATCH(AN$277, lmic_raw_ub[#Headers],0)))</f>
        <v>6.3824103364858963E-3</v>
      </c>
      <c r="AO356" s="84">
        <f>IF(INDEX(lmic_raw_ub[],MATCH($A356,lmic_raw_ub[[setting]:[setting]],0), MATCH(AO$277, lmic_raw_ub[#Headers],0))=0, INDEX(regions_ub[], MATCH($D356, regions_ub[[setting]:[setting]],0), MATCH(AO$139, regions_ub[#Headers],0)),INDEX(lmic_raw_ub[],MATCH($A356,lmic_raw_ub[[setting]:[setting]],0), MATCH(AO$277, lmic_raw_ub[#Headers],0)))</f>
        <v>9.5432157666218813E-3</v>
      </c>
      <c r="AP356" s="84">
        <f>IF(INDEX(lmic_raw_ub[],MATCH($A356,lmic_raw_ub[[setting]:[setting]],0), MATCH(AP$277, lmic_raw_ub[#Headers],0))=0, INDEX(regions_ub[], MATCH($D356, regions_ub[[setting]:[setting]],0), MATCH(AP$139, regions_ub[#Headers],0)),INDEX(lmic_raw_ub[],MATCH($A356,lmic_raw_ub[[setting]:[setting]],0), MATCH(AP$277, lmic_raw_ub[#Headers],0)))</f>
        <v>1.4282655653215435E-2</v>
      </c>
      <c r="AQ356" s="84">
        <f>IF(INDEX(lmic_raw_ub[],MATCH($A356,lmic_raw_ub[[setting]:[setting]],0), MATCH(AQ$277, lmic_raw_ub[#Headers],0))=0, INDEX(regions_ub[], MATCH($D356, regions_ub[[setting]:[setting]],0), MATCH(AQ$139, regions_ub[#Headers],0)),INDEX(lmic_raw_ub[],MATCH($A356,lmic_raw_ub[[setting]:[setting]],0), MATCH(AQ$277, lmic_raw_ub[#Headers],0)))</f>
        <v>2.1304254693115209E-2</v>
      </c>
      <c r="AR356" s="84">
        <f>IF(INDEX(lmic_raw_ub[],MATCH($A356,lmic_raw_ub[[setting]:[setting]],0), MATCH(AR$277, lmic_raw_ub[#Headers],0))=0, INDEX(regions_ub[], MATCH($D356, regions_ub[[setting]:[setting]],0), MATCH(AR$139, regions_ub[#Headers],0)),INDEX(lmic_raw_ub[],MATCH($A356,lmic_raw_ub[[setting]:[setting]],0), MATCH(AR$277, lmic_raw_ub[#Headers],0)))</f>
        <v>3.1490191880449964E-2</v>
      </c>
      <c r="AS356" s="84">
        <f>IF(INDEX(lmic_raw_ub[],MATCH($A356,lmic_raw_ub[[setting]:[setting]],0), MATCH(AS$277, lmic_raw_ub[#Headers],0))=0, INDEX(regions_ub[], MATCH($D356, regions_ub[[setting]:[setting]],0), MATCH(AS$139, regions_ub[#Headers],0)),INDEX(lmic_raw_ub[],MATCH($A356,lmic_raw_ub[[setting]:[setting]],0), MATCH(AS$277, lmic_raw_ub[#Headers],0)))</f>
        <v>4.5813897597584974E-2</v>
      </c>
      <c r="AT356" s="84">
        <f>IF(INDEX(lmic_raw_ub[],MATCH($A356,lmic_raw_ub[[setting]:[setting]],0), MATCH(AT$277, lmic_raw_ub[#Headers],0))=0, INDEX(regions_ub[], MATCH($D356, regions_ub[[setting]:[setting]],0), MATCH(AT$139, regions_ub[#Headers],0)),INDEX(lmic_raw_ub[],MATCH($A356,lmic_raw_ub[[setting]:[setting]],0), MATCH(AT$277, lmic_raw_ub[#Headers],0)))</f>
        <v>6.5190284033272858E-2</v>
      </c>
      <c r="AU356" s="84">
        <f>IF(INDEX(lmic_raw_ub[],MATCH($A356,lmic_raw_ub[[setting]:[setting]],0), MATCH(AU$277, lmic_raw_ub[#Headers],0))=0, INDEX(regions_ub[], MATCH($D356, regions_ub[[setting]:[setting]],0), MATCH(AU$139, regions_ub[#Headers],0)),INDEX(lmic_raw_ub[],MATCH($A356,lmic_raw_ub[[setting]:[setting]],0), MATCH(AU$277, lmic_raw_ub[#Headers],0)))</f>
        <v>9.0571515782686213E-2</v>
      </c>
      <c r="AV356" s="84">
        <f>IF(INDEX(lmic_raw_ub[],MATCH($A356,lmic_raw_ub[[setting]:[setting]],0), MATCH(AV$277, lmic_raw_ub[#Headers],0))=0, INDEX(regions_ub[], MATCH($D356, regions_ub[[setting]:[setting]],0), MATCH(AV$139, regions_ub[#Headers],0)),INDEX(lmic_raw_ub[],MATCH($A356,lmic_raw_ub[[setting]:[setting]],0), MATCH(AV$277, lmic_raw_ub[#Headers],0)))</f>
        <v>0.12255005096636321</v>
      </c>
      <c r="AW356" s="84">
        <f>IF(INDEX(lmic_raw_ub[],MATCH($A356,lmic_raw_ub[[setting]:[setting]],0), MATCH(AW$277, lmic_raw_ub[#Headers],0))=0, INDEX(regions_ub[], MATCH($D356, regions_ub[[setting]:[setting]],0), MATCH(AW$139, regions_ub[#Headers],0)),INDEX(lmic_raw_ub[],MATCH($A356,lmic_raw_ub[[setting]:[setting]],0), MATCH(AW$277, lmic_raw_ub[#Headers],0)))</f>
        <v>0.15764918840596712</v>
      </c>
      <c r="AX356" s="84">
        <f>IF(INDEX(lmic_raw_ub[],MATCH($A356,lmic_raw_ub[[setting]:[setting]],0), MATCH(AX$277, lmic_raw_ub[#Headers],0))=0, INDEX(regions_ub[], MATCH($D356, regions_ub[[setting]:[setting]],0), MATCH(AX$139, regions_ub[#Headers],0)),INDEX(lmic_raw_ub[],MATCH($A356,lmic_raw_ub[[setting]:[setting]],0), MATCH(AX$277, lmic_raw_ub[#Headers],0)))</f>
        <v>78.725850000000008</v>
      </c>
      <c r="AY356" s="33" t="str">
        <f>IF(VLOOKUP(lmics_ub[[#This Row],[setting]],lmic_raw_ub[],11,FALSE)=0, "Yes", "No")</f>
        <v>Yes</v>
      </c>
    </row>
    <row r="357" spans="1:51" x14ac:dyDescent="0.25">
      <c r="A357" s="82" t="s">
        <v>472</v>
      </c>
      <c r="B357" s="104" t="s">
        <v>471</v>
      </c>
      <c r="C357" s="105">
        <v>583</v>
      </c>
      <c r="D357" s="84" t="s">
        <v>681</v>
      </c>
      <c r="E357" s="84" t="s">
        <v>98</v>
      </c>
      <c r="F357" s="84" t="s">
        <v>666</v>
      </c>
      <c r="G357" s="84" t="s">
        <v>678</v>
      </c>
      <c r="J357" s="84">
        <f>IF(INDEX(lmic_raw_ub[],MATCH($A357,lmic_raw_ub[[setting]:[setting]],0), MATCH(J$277, lmic_raw_ub[#Headers],0))=0, INDEX(regions_ub[], MATCH($D357, regions_ub[[setting]:[setting]],0), MATCH(J$139, regions_ub[#Headers],0)),INDEX(lmic_raw_ub[],MATCH($A357,lmic_raw_ub[[setting]:[setting]],0), MATCH(J$277, lmic_raw_ub[#Headers],0)))</f>
        <v>0.91349999999999998</v>
      </c>
      <c r="K357" s="84">
        <f>IF(INDEX(lmic_raw_ub[],MATCH($A357,lmic_raw_ub[[setting]:[setting]],0), MATCH(K$277, lmic_raw_ub[#Headers],0))=0, INDEX(regions_ub[], MATCH($D357, regions_ub[[setting]:[setting]],0), MATCH(K$139, regions_ub[#Headers],0)),INDEX(lmic_raw_ub[],MATCH($A357,lmic_raw_ub[[setting]:[setting]],0), MATCH(K$277, lmic_raw_ub[#Headers],0)))</f>
        <v>0.73499999999999999</v>
      </c>
      <c r="L357" s="84">
        <f>IF(INDEX(lmic_raw_ub[],MATCH($A357,lmic_raw_ub[[setting]:[setting]],0), MATCH(L$277, lmic_raw_ub[#Headers],0))=0, INDEX(regions_ub[], MATCH($D357, regions_ub[[setting]:[setting]],0), MATCH(L$139, regions_ub[#Headers],0)),INDEX(lmic_raw_ub[],MATCH($A357,lmic_raw_ub[[setting]:[setting]],0), MATCH(L$277, lmic_raw_ub[#Headers],0)))</f>
        <v>0.88200000000000001</v>
      </c>
      <c r="M357" s="84">
        <f>IF(INDEX(lmic_raw_ub[],MATCH($A357,lmic_raw_ub[[setting]:[setting]],0), MATCH(M$277, lmic_raw_ub[#Headers],0))=0, INDEX(regions_ub[], MATCH($D357, regions_ub[[setting]:[setting]],0), MATCH(M$139, regions_ub[#Headers],0)),INDEX(lmic_raw_ub[],MATCH($A357,lmic_raw_ub[[setting]:[setting]],0), MATCH(M$277, lmic_raw_ub[#Headers],0)))</f>
        <v>5.0999999999999997E-2</v>
      </c>
      <c r="N357" s="84">
        <f>IF(INDEX(lmic_raw_ub[],MATCH($A357,lmic_raw_ub[[setting]:[setting]],0), MATCH(N$277, lmic_raw_ub[#Headers],0))=0, INDEX(regions_ub[], MATCH($D357, regions_ub[[setting]:[setting]],0), MATCH(N$139, regions_ub[#Headers],0)),INDEX(lmic_raw_ub[],MATCH($A357,lmic_raw_ub[[setting]:[setting]],0), MATCH(N$277, lmic_raw_ub[#Headers],0)))</f>
        <v>0.47889999999999999</v>
      </c>
      <c r="O357" s="84">
        <f>IF(INDEX(lmic_raw_ub[],MATCH($A357,lmic_raw_ub[[setting]:[setting]],0), MATCH(O$277, lmic_raw_ub[#Headers],0))=0, INDEX(regions_ub[], MATCH($D357, regions_ub[[setting]:[setting]],0), MATCH(O$139, regions_ub[#Headers],0)),INDEX(lmic_raw_ub[],MATCH($A357,lmic_raw_ub[[setting]:[setting]],0), MATCH(O$277, lmic_raw_ub[#Headers],0)))</f>
        <v>0.9</v>
      </c>
      <c r="P357" s="84">
        <f>IF(INDEX(lmic_raw_ub[],MATCH($A357,lmic_raw_ub[[setting]:[setting]],0), MATCH(P$277, lmic_raw_ub[#Headers],0))=0, INDEX(regions_ub[], MATCH($D357, regions_ub[[setting]:[setting]],0), MATCH(P$139, regions_ub[#Headers],0)),INDEX(lmic_raw_ub[],MATCH($A357,lmic_raw_ub[[setting]:[setting]],0), MATCH(P$277, lmic_raw_ub[#Headers],0)))</f>
        <v>0.3</v>
      </c>
      <c r="Q357" s="84">
        <f>IF(INDEX(lmic_raw_ub[],MATCH($A357,lmic_raw_ub[[setting]:[setting]],0), MATCH(Q$277, lmic_raw_ub[#Headers],0))=0, INDEX(regions_ub[], MATCH($D357, regions_ub[[setting]:[setting]],0), MATCH(Q$139, regions_ub[#Headers],0)),INDEX(lmic_raw_ub[],MATCH($A357,lmic_raw_ub[[setting]:[setting]],0), MATCH(Q$277, lmic_raw_ub[#Headers],0)))</f>
        <v>8.0254285606037463</v>
      </c>
      <c r="R357" s="84">
        <f>IF(INDEX(lmic_raw_ub[],MATCH($A357,lmic_raw_ub[[setting]:[setting]],0), MATCH(R$277, lmic_raw_ub[#Headers],0))=0, INDEX(regions_ub[], MATCH($D357, regions_ub[[setting]:[setting]],0), MATCH(R$139, regions_ub[#Headers],0)),INDEX(lmic_raw_ub[],MATCH($A357,lmic_raw_ub[[setting]:[setting]],0), MATCH(R$277, lmic_raw_ub[#Headers],0)))</f>
        <v>76.738725000000002</v>
      </c>
      <c r="S357" s="84">
        <f>IF(INDEX(lmic_raw_ub[],MATCH($A357,lmic_raw_ub[[setting]:[setting]],0), MATCH(S$277, lmic_raw_ub[#Headers],0))=0, INDEX(regions_ub[], MATCH($D357, regions_ub[[setting]:[setting]],0), MATCH(S$139, regions_ub[#Headers],0)),INDEX(lmic_raw_ub[],MATCH($A357,lmic_raw_ub[[setting]:[setting]],0), MATCH(S$277, lmic_raw_ub[#Headers],0)))</f>
        <v>126.867825</v>
      </c>
      <c r="T357" s="84">
        <f>IF(INDEX(lmic_raw_ub[],MATCH($A357,lmic_raw_ub[[setting]:[setting]],0), MATCH(T$277, lmic_raw_ub[#Headers],0))=0, INDEX(regions_ub[], MATCH($D357, regions_ub[[setting]:[setting]],0), MATCH(T$139, regions_ub[#Headers],0)),INDEX(lmic_raw_ub[],MATCH($A357,lmic_raw_ub[[setting]:[setting]],0), MATCH(T$277, lmic_raw_ub[#Headers],0)))</f>
        <v>126.867825</v>
      </c>
      <c r="U357" s="84">
        <f>IF(INDEX(lmic_raw_ub[],MATCH($A357,lmic_raw_ub[[setting]:[setting]],0), MATCH(U$277, lmic_raw_ub[#Headers],0))=0, INDEX(regions_ub[], MATCH($D357, regions_ub[[setting]:[setting]],0), MATCH(U$139, regions_ub[#Headers],0)),INDEX(lmic_raw_ub[],MATCH($A357,lmic_raw_ub[[setting]:[setting]],0), MATCH(U$277, lmic_raw_ub[#Headers],0)))</f>
        <v>126.867825</v>
      </c>
      <c r="V357" s="84">
        <f>IF(INDEX(lmic_raw_ub[],MATCH($A357,lmic_raw_ub[[setting]:[setting]],0), MATCH(V$277, lmic_raw_ub[#Headers],0))=0, INDEX(regions_ub[], MATCH($D357, regions_ub[[setting]:[setting]],0), MATCH(V$139, regions_ub[#Headers],0)),INDEX(lmic_raw_ub[],MATCH($A357,lmic_raw_ub[[setting]:[setting]],0), MATCH(V$277, lmic_raw_ub[#Headers],0)))</f>
        <v>15.112453302947571</v>
      </c>
      <c r="W357" s="84">
        <f>IF(INDEX(lmic_raw_ub[],MATCH($A357,lmic_raw_ub[[setting]:[setting]],0), MATCH(W$277, lmic_raw_ub[#Headers],0))=0, INDEX(regions_ub[], MATCH($D357, regions_ub[[setting]:[setting]],0), MATCH(W$139, regions_ub[#Headers],0)),INDEX(lmic_raw_ub[],MATCH($A357,lmic_raw_ub[[setting]:[setting]],0), MATCH(W$277, lmic_raw_ub[#Headers],0)))</f>
        <v>15.776263302947571</v>
      </c>
      <c r="X357" s="84">
        <f>IF(INDEX(lmic_raw_ub[],MATCH($A357,lmic_raw_ub[[setting]:[setting]],0), MATCH(X$277, lmic_raw_ub[#Headers],0))=0, INDEX(regions_ub[], MATCH($D357, regions_ub[[setting]:[setting]],0), MATCH(X$139, regions_ub[#Headers],0)),INDEX(lmic_raw_ub[],MATCH($A357,lmic_raw_ub[[setting]:[setting]],0), MATCH(X$277, lmic_raw_ub[#Headers],0)))</f>
        <v>14.590715218546018</v>
      </c>
      <c r="Y357" s="84">
        <f>IF(INDEX(lmic_raw_ub[],MATCH($A357,lmic_raw_ub[[setting]:[setting]],0), MATCH(Y$277, lmic_raw_ub[#Headers],0))=0, INDEX(regions_ub[], MATCH($D357, regions_ub[[setting]:[setting]],0), MATCH(Y$139, regions_ub[#Headers],0)),INDEX(lmic_raw_ub[],MATCH($A357,lmic_raw_ub[[setting]:[setting]],0), MATCH(Y$277, lmic_raw_ub[#Headers],0)))</f>
        <v>15.254525218546018</v>
      </c>
      <c r="Z357" s="84">
        <f>IF(INDEX(lmic_raw_ub[],MATCH($A357,lmic_raw_ub[[setting]:[setting]],0), MATCH(Z$277, lmic_raw_ub[#Headers],0))=0, INDEX(regions_ub[], MATCH($D357, regions_ub[[setting]:[setting]],0), MATCH(Z$139, regions_ub[#Headers],0)),INDEX(lmic_raw_ub[],MATCH($A357,lmic_raw_ub[[setting]:[setting]],0), MATCH(Z$277, lmic_raw_ub[#Headers],0)))</f>
        <v>15.233841785300925</v>
      </c>
      <c r="AA357" s="84">
        <f>IF(INDEX(lmic_raw_ub[],MATCH($A357,lmic_raw_ub[[setting]:[setting]],0), MATCH(AA$277, lmic_raw_ub[#Headers],0))=0, INDEX(regions_ub[], MATCH($D357, regions_ub[[setting]:[setting]],0), MATCH(AA$139, regions_ub[#Headers],0)),INDEX(lmic_raw_ub[],MATCH($A357,lmic_raw_ub[[setting]:[setting]],0), MATCH(AA$277, lmic_raw_ub[#Headers],0)))</f>
        <v>15.386959092062796</v>
      </c>
      <c r="AB357" s="84">
        <f>IF(INDEX(lmic_raw_ub[],MATCH($A357,lmic_raw_ub[[setting]:[setting]],0), MATCH(AB$277, lmic_raw_ub[#Headers],0))=0, INDEX(regions_ub[], MATCH($D357, regions_ub[[setting]:[setting]],0), MATCH(AB$139, regions_ub[#Headers],0)),INDEX(lmic_raw_ub[],MATCH($A357,lmic_raw_ub[[setting]:[setting]],0), MATCH(AB$277, lmic_raw_ub[#Headers],0)))</f>
        <v>16.050769092062797</v>
      </c>
      <c r="AC357" s="84">
        <f>IF(INDEX(lmic_raw_ub[],MATCH($A357,lmic_raw_ub[[setting]:[setting]],0), MATCH(AC$277, lmic_raw_ub[#Headers],0))=0, INDEX(regions_ub[], MATCH($D357, regions_ub[[setting]:[setting]],0), MATCH(AC$139, regions_ub[#Headers],0)),INDEX(lmic_raw_ub[],MATCH($A357,lmic_raw_ub[[setting]:[setting]],0), MATCH(AC$277, lmic_raw_ub[#Headers],0)))</f>
        <v>2.4612913499999996E-2</v>
      </c>
      <c r="AD357" s="84">
        <f>IF(INDEX(lmic_raw_ub[],MATCH($A357,lmic_raw_ub[[setting]:[setting]],0), MATCH(AD$277, lmic_raw_ub[#Headers],0))=0, INDEX(regions_ub[], MATCH($D357, regions_ub[[setting]:[setting]],0), MATCH(AD$139, regions_ub[#Headers],0)),INDEX(lmic_raw_ub[],MATCH($A357,lmic_raw_ub[[setting]:[setting]],0), MATCH(AD$277, lmic_raw_ub[#Headers],0)))</f>
        <v>2.273131172302907E-3</v>
      </c>
      <c r="AE357" s="84">
        <f>IF(INDEX(lmic_raw_ub[],MATCH($A357,lmic_raw_ub[[setting]:[setting]],0), MATCH(AE$277, lmic_raw_ub[#Headers],0))=0, INDEX(regions_ub[], MATCH($D357, regions_ub[[setting]:[setting]],0), MATCH(AE$139, regions_ub[#Headers],0)),INDEX(lmic_raw_ub[],MATCH($A357,lmic_raw_ub[[setting]:[setting]],0), MATCH(AE$277, lmic_raw_ub[#Headers],0)))</f>
        <v>6.7219561249589862E-4</v>
      </c>
      <c r="AF357" s="84">
        <f>IF(INDEX(lmic_raw_ub[],MATCH($A357,lmic_raw_ub[[setting]:[setting]],0), MATCH(AF$277, lmic_raw_ub[#Headers],0))=0, INDEX(regions_ub[], MATCH($D357, regions_ub[[setting]:[setting]],0), MATCH(AF$139, regions_ub[#Headers],0)),INDEX(lmic_raw_ub[],MATCH($A357,lmic_raw_ub[[setting]:[setting]],0), MATCH(AF$277, lmic_raw_ub[#Headers],0)))</f>
        <v>5.7480585515656412E-4</v>
      </c>
      <c r="AG357" s="84">
        <f>IF(INDEX(lmic_raw_ub[],MATCH($A357,lmic_raw_ub[[setting]:[setting]],0), MATCH(AG$277, lmic_raw_ub[#Headers],0))=0, INDEX(regions_ub[], MATCH($D357, regions_ub[[setting]:[setting]],0), MATCH(AG$139, regions_ub[#Headers],0)),INDEX(lmic_raw_ub[],MATCH($A357,lmic_raw_ub[[setting]:[setting]],0), MATCH(AG$277, lmic_raw_ub[#Headers],0)))</f>
        <v>1.128458099712043E-3</v>
      </c>
      <c r="AH357" s="84">
        <f>IF(INDEX(lmic_raw_ub[],MATCH($A357,lmic_raw_ub[[setting]:[setting]],0), MATCH(AH$277, lmic_raw_ub[#Headers],0))=0, INDEX(regions_ub[], MATCH($D357, regions_ub[[setting]:[setting]],0), MATCH(AH$139, regions_ub[#Headers],0)),INDEX(lmic_raw_ub[],MATCH($A357,lmic_raw_ub[[setting]:[setting]],0), MATCH(AH$277, lmic_raw_ub[#Headers],0)))</f>
        <v>1.4602662373549467E-3</v>
      </c>
      <c r="AI357" s="84">
        <f>IF(INDEX(lmic_raw_ub[],MATCH($A357,lmic_raw_ub[[setting]:[setting]],0), MATCH(AI$277, lmic_raw_ub[#Headers],0))=0, INDEX(regions_ub[], MATCH($D357, regions_ub[[setting]:[setting]],0), MATCH(AI$139, regions_ub[#Headers],0)),INDEX(lmic_raw_ub[],MATCH($A357,lmic_raw_ub[[setting]:[setting]],0), MATCH(AI$277, lmic_raw_ub[#Headers],0)))</f>
        <v>1.5505205526197097E-3</v>
      </c>
      <c r="AJ357" s="84">
        <f>IF(INDEX(lmic_raw_ub[],MATCH($A357,lmic_raw_ub[[setting]:[setting]],0), MATCH(AJ$277, lmic_raw_ub[#Headers],0))=0, INDEX(regions_ub[], MATCH($D357, regions_ub[[setting]:[setting]],0), MATCH(AJ$139, regions_ub[#Headers],0)),INDEX(lmic_raw_ub[],MATCH($A357,lmic_raw_ub[[setting]:[setting]],0), MATCH(AJ$277, lmic_raw_ub[#Headers],0)))</f>
        <v>1.8252714350126765E-3</v>
      </c>
      <c r="AK357" s="84">
        <f>IF(INDEX(lmic_raw_ub[],MATCH($A357,lmic_raw_ub[[setting]:[setting]],0), MATCH(AK$277, lmic_raw_ub[#Headers],0))=0, INDEX(regions_ub[], MATCH($D357, regions_ub[[setting]:[setting]],0), MATCH(AK$139, regions_ub[#Headers],0)),INDEX(lmic_raw_ub[],MATCH($A357,lmic_raw_ub[[setting]:[setting]],0), MATCH(AK$277, lmic_raw_ub[#Headers],0)))</f>
        <v>2.4165348653988183E-3</v>
      </c>
      <c r="AL357" s="84">
        <f>IF(INDEX(lmic_raw_ub[],MATCH($A357,lmic_raw_ub[[setting]:[setting]],0), MATCH(AL$277, lmic_raw_ub[#Headers],0))=0, INDEX(regions_ub[], MATCH($D357, regions_ub[[setting]:[setting]],0), MATCH(AL$139, regions_ub[#Headers],0)),INDEX(lmic_raw_ub[],MATCH($A357,lmic_raw_ub[[setting]:[setting]],0), MATCH(AL$277, lmic_raw_ub[#Headers],0)))</f>
        <v>3.3940867988295604E-3</v>
      </c>
      <c r="AM357" s="84">
        <f>IF(INDEX(lmic_raw_ub[],MATCH($A357,lmic_raw_ub[[setting]:[setting]],0), MATCH(AM$277, lmic_raw_ub[#Headers],0))=0, INDEX(regions_ub[], MATCH($D357, regions_ub[[setting]:[setting]],0), MATCH(AM$139, regions_ub[#Headers],0)),INDEX(lmic_raw_ub[],MATCH($A357,lmic_raw_ub[[setting]:[setting]],0), MATCH(AM$277, lmic_raw_ub[#Headers],0)))</f>
        <v>5.1008216597419045E-3</v>
      </c>
      <c r="AN357" s="84">
        <f>IF(INDEX(lmic_raw_ub[],MATCH($A357,lmic_raw_ub[[setting]:[setting]],0), MATCH(AN$277, lmic_raw_ub[#Headers],0))=0, INDEX(regions_ub[], MATCH($D357, regions_ub[[setting]:[setting]],0), MATCH(AN$139, regions_ub[#Headers],0)),INDEX(lmic_raw_ub[],MATCH($A357,lmic_raw_ub[[setting]:[setting]],0), MATCH(AN$277, lmic_raw_ub[#Headers],0)))</f>
        <v>7.8207794809244946E-3</v>
      </c>
      <c r="AO357" s="84">
        <f>IF(INDEX(lmic_raw_ub[],MATCH($A357,lmic_raw_ub[[setting]:[setting]],0), MATCH(AO$277, lmic_raw_ub[#Headers],0))=0, INDEX(regions_ub[], MATCH($D357, regions_ub[[setting]:[setting]],0), MATCH(AO$139, regions_ub[#Headers],0)),INDEX(lmic_raw_ub[],MATCH($A357,lmic_raw_ub[[setting]:[setting]],0), MATCH(AO$277, lmic_raw_ub[#Headers],0)))</f>
        <v>1.212419536188163E-2</v>
      </c>
      <c r="AP357" s="84">
        <f>IF(INDEX(lmic_raw_ub[],MATCH($A357,lmic_raw_ub[[setting]:[setting]],0), MATCH(AP$277, lmic_raw_ub[#Headers],0))=0, INDEX(regions_ub[], MATCH($D357, regions_ub[[setting]:[setting]],0), MATCH(AP$139, regions_ub[#Headers],0)),INDEX(lmic_raw_ub[],MATCH($A357,lmic_raw_ub[[setting]:[setting]],0), MATCH(AP$277, lmic_raw_ub[#Headers],0)))</f>
        <v>2.2994799358862492E-2</v>
      </c>
      <c r="AQ357" s="84">
        <f>IF(INDEX(lmic_raw_ub[],MATCH($A357,lmic_raw_ub[[setting]:[setting]],0), MATCH(AQ$277, lmic_raw_ub[#Headers],0))=0, INDEX(regions_ub[], MATCH($D357, regions_ub[[setting]:[setting]],0), MATCH(AQ$139, regions_ub[#Headers],0)),INDEX(lmic_raw_ub[],MATCH($A357,lmic_raw_ub[[setting]:[setting]],0), MATCH(AQ$277, lmic_raw_ub[#Headers],0)))</f>
        <v>4.2512091957161338E-2</v>
      </c>
      <c r="AR357" s="84">
        <f>IF(INDEX(lmic_raw_ub[],MATCH($A357,lmic_raw_ub[[setting]:[setting]],0), MATCH(AR$277, lmic_raw_ub[#Headers],0))=0, INDEX(regions_ub[], MATCH($D357, regions_ub[[setting]:[setting]],0), MATCH(AR$139, regions_ub[#Headers],0)),INDEX(lmic_raw_ub[],MATCH($A357,lmic_raw_ub[[setting]:[setting]],0), MATCH(AR$277, lmic_raw_ub[#Headers],0)))</f>
        <v>6.7237172076621513E-2</v>
      </c>
      <c r="AS357" s="84">
        <f>IF(INDEX(lmic_raw_ub[],MATCH($A357,lmic_raw_ub[[setting]:[setting]],0), MATCH(AS$277, lmic_raw_ub[#Headers],0))=0, INDEX(regions_ub[], MATCH($D357, regions_ub[[setting]:[setting]],0), MATCH(AS$139, regions_ub[#Headers],0)),INDEX(lmic_raw_ub[],MATCH($A357,lmic_raw_ub[[setting]:[setting]],0), MATCH(AS$277, lmic_raw_ub[#Headers],0)))</f>
        <v>9.5939579224028848E-2</v>
      </c>
      <c r="AT357" s="84">
        <f>IF(INDEX(lmic_raw_ub[],MATCH($A357,lmic_raw_ub[[setting]:[setting]],0), MATCH(AT$277, lmic_raw_ub[#Headers],0))=0, INDEX(regions_ub[], MATCH($D357, regions_ub[[setting]:[setting]],0), MATCH(AT$139, regions_ub[#Headers],0)),INDEX(lmic_raw_ub[],MATCH($A357,lmic_raw_ub[[setting]:[setting]],0), MATCH(AT$277, lmic_raw_ub[#Headers],0)))</f>
        <v>0.13071236701554539</v>
      </c>
      <c r="AU357" s="84">
        <f>IF(INDEX(lmic_raw_ub[],MATCH($A357,lmic_raw_ub[[setting]:[setting]],0), MATCH(AU$277, lmic_raw_ub[#Headers],0))=0, INDEX(regions_ub[], MATCH($D357, regions_ub[[setting]:[setting]],0), MATCH(AU$139, regions_ub[#Headers],0)),INDEX(lmic_raw_ub[],MATCH($A357,lmic_raw_ub[[setting]:[setting]],0), MATCH(AU$277, lmic_raw_ub[#Headers],0)))</f>
        <v>0.16542203623111126</v>
      </c>
      <c r="AV357" s="84">
        <f>IF(INDEX(lmic_raw_ub[],MATCH($A357,lmic_raw_ub[[setting]:[setting]],0), MATCH(AV$277, lmic_raw_ub[#Headers],0))=0, INDEX(regions_ub[], MATCH($D357, regions_ub[[setting]:[setting]],0), MATCH(AV$139, regions_ub[#Headers],0)),INDEX(lmic_raw_ub[],MATCH($A357,lmic_raw_ub[[setting]:[setting]],0), MATCH(AV$277, lmic_raw_ub[#Headers],0)))</f>
        <v>0.18825934096298777</v>
      </c>
      <c r="AW357" s="84">
        <f>IF(INDEX(lmic_raw_ub[],MATCH($A357,lmic_raw_ub[[setting]:[setting]],0), MATCH(AW$277, lmic_raw_ub[#Headers],0))=0, INDEX(regions_ub[], MATCH($D357, regions_ub[[setting]:[setting]],0), MATCH(AW$139, regions_ub[#Headers],0)),INDEX(lmic_raw_ub[],MATCH($A357,lmic_raw_ub[[setting]:[setting]],0), MATCH(AW$277, lmic_raw_ub[#Headers],0)))</f>
        <v>0.19875113971850286</v>
      </c>
      <c r="AX357" s="84">
        <f>IF(INDEX(lmic_raw_ub[],MATCH($A357,lmic_raw_ub[[setting]:[setting]],0), MATCH(AX$277, lmic_raw_ub[#Headers],0))=0, INDEX(regions_ub[], MATCH($D357, regions_ub[[setting]:[setting]],0), MATCH(AX$139, regions_ub[#Headers],0)),INDEX(lmic_raw_ub[],MATCH($A357,lmic_raw_ub[[setting]:[setting]],0), MATCH(AX$277, lmic_raw_ub[#Headers],0)))</f>
        <v>71.080799999999996</v>
      </c>
      <c r="AY357" s="33" t="str">
        <f>IF(VLOOKUP(lmics_ub[[#This Row],[setting]],lmic_raw_ub[],11,FALSE)=0, "Yes", "No")</f>
        <v>No</v>
      </c>
    </row>
    <row r="358" spans="1:51" x14ac:dyDescent="0.25">
      <c r="A358" s="82" t="s">
        <v>639</v>
      </c>
      <c r="B358" s="101" t="s">
        <v>499</v>
      </c>
      <c r="C358" s="102">
        <v>498</v>
      </c>
      <c r="D358" s="82" t="s">
        <v>675</v>
      </c>
      <c r="E358" s="82" t="s">
        <v>306</v>
      </c>
      <c r="F358" s="82" t="s">
        <v>663</v>
      </c>
      <c r="G358" s="82" t="s">
        <v>678</v>
      </c>
      <c r="J358" s="84">
        <f>IF(INDEX(lmic_raw_ub[],MATCH($A358,lmic_raw_ub[[setting]:[setting]],0), MATCH(J$277, lmic_raw_ub[#Headers],0))=0, INDEX(regions_ub[], MATCH($D358, regions_ub[[setting]:[setting]],0), MATCH(J$139, regions_ub[#Headers],0)),INDEX(lmic_raw_ub[],MATCH($A358,lmic_raw_ub[[setting]:[setting]],0), MATCH(J$277, lmic_raw_ub[#Headers],0)))</f>
        <v>0.99990000000000001</v>
      </c>
      <c r="K358" s="84">
        <f>IF(INDEX(lmic_raw_ub[],MATCH($A358,lmic_raw_ub[[setting]:[setting]],0), MATCH(K$277, lmic_raw_ub[#Headers],0))=0, INDEX(regions_ub[], MATCH($D358, regions_ub[[setting]:[setting]],0), MATCH(K$139, regions_ub[#Headers],0)),INDEX(lmic_raw_ub[],MATCH($A358,lmic_raw_ub[[setting]:[setting]],0), MATCH(K$277, lmic_raw_ub[#Headers],0)))</f>
        <v>0.97650000000000015</v>
      </c>
      <c r="L358" s="84">
        <f>IF(INDEX(lmic_raw_ub[],MATCH($A358,lmic_raw_ub[[setting]:[setting]],0), MATCH(L$277, lmic_raw_ub[#Headers],0))=0, INDEX(regions_ub[], MATCH($D358, regions_ub[[setting]:[setting]],0), MATCH(L$139, regions_ub[#Headers],0)),INDEX(lmic_raw_ub[],MATCH($A358,lmic_raw_ub[[setting]:[setting]],0), MATCH(L$277, lmic_raw_ub[#Headers],0)))</f>
        <v>0.98699999999999999</v>
      </c>
      <c r="M358" s="84">
        <f>IF(INDEX(lmic_raw_ub[],MATCH($A358,lmic_raw_ub[[setting]:[setting]],0), MATCH(M$277, lmic_raw_ub[#Headers],0))=0, INDEX(regions_ub[], MATCH($D358, regions_ub[[setting]:[setting]],0), MATCH(M$139, regions_ub[#Headers],0)),INDEX(lmic_raw_ub[],MATCH($A358,lmic_raw_ub[[setting]:[setting]],0), MATCH(M$277, lmic_raw_ub[#Headers],0)))</f>
        <v>6.4399999999999999E-2</v>
      </c>
      <c r="N358" s="84">
        <f>IF(INDEX(lmic_raw_ub[],MATCH($A358,lmic_raw_ub[[setting]:[setting]],0), MATCH(N$277, lmic_raw_ub[#Headers],0))=0, INDEX(regions_ub[], MATCH($D358, regions_ub[[setting]:[setting]],0), MATCH(N$139, regions_ub[#Headers],0)),INDEX(lmic_raw_ub[],MATCH($A358,lmic_raw_ub[[setting]:[setting]],0), MATCH(N$277, lmic_raw_ub[#Headers],0)))</f>
        <v>0.42969999999999997</v>
      </c>
      <c r="O358" s="84">
        <f>IF(INDEX(lmic_raw_ub[],MATCH($A358,lmic_raw_ub[[setting]:[setting]],0), MATCH(O$277, lmic_raw_ub[#Headers],0))=0, INDEX(regions_ub[], MATCH($D358, regions_ub[[setting]:[setting]],0), MATCH(O$139, regions_ub[#Headers],0)),INDEX(lmic_raw_ub[],MATCH($A358,lmic_raw_ub[[setting]:[setting]],0), MATCH(O$277, lmic_raw_ub[#Headers],0)))</f>
        <v>0.9</v>
      </c>
      <c r="P358" s="84">
        <f>IF(INDEX(lmic_raw_ub[],MATCH($A358,lmic_raw_ub[[setting]:[setting]],0), MATCH(P$277, lmic_raw_ub[#Headers],0))=0, INDEX(regions_ub[], MATCH($D358, regions_ub[[setting]:[setting]],0), MATCH(P$139, regions_ub[#Headers],0)),INDEX(lmic_raw_ub[],MATCH($A358,lmic_raw_ub[[setting]:[setting]],0), MATCH(P$277, lmic_raw_ub[#Headers],0)))</f>
        <v>0.3</v>
      </c>
      <c r="Q358" s="84">
        <f>IF(INDEX(lmic_raw_ub[],MATCH($A358,lmic_raw_ub[[setting]:[setting]],0), MATCH(Q$277, lmic_raw_ub[#Headers],0))=0, INDEX(regions_ub[], MATCH($D358, regions_ub[[setting]:[setting]],0), MATCH(Q$139, regions_ub[#Headers],0)),INDEX(lmic_raw_ub[],MATCH($A358,lmic_raw_ub[[setting]:[setting]],0), MATCH(Q$277, lmic_raw_ub[#Headers],0)))</f>
        <v>10.845789653944943</v>
      </c>
      <c r="R358" s="84">
        <f>IF(INDEX(lmic_raw_ub[],MATCH($A358,lmic_raw_ub[[setting]:[setting]],0), MATCH(R$277, lmic_raw_ub[#Headers],0))=0, INDEX(regions_ub[], MATCH($D358, regions_ub[[setting]:[setting]],0), MATCH(R$139, regions_ub[#Headers],0)),INDEX(lmic_raw_ub[],MATCH($A358,lmic_raw_ub[[setting]:[setting]],0), MATCH(R$277, lmic_raw_ub[#Headers],0)))</f>
        <v>46.76427000000001</v>
      </c>
      <c r="S358" s="84">
        <f>IF(INDEX(lmic_raw_ub[],MATCH($A358,lmic_raw_ub[[setting]:[setting]],0), MATCH(S$277, lmic_raw_ub[#Headers],0))=0, INDEX(regions_ub[], MATCH($D358, regions_ub[[setting]:[setting]],0), MATCH(S$139, regions_ub[#Headers],0)),INDEX(lmic_raw_ub[],MATCH($A358,lmic_raw_ub[[setting]:[setting]],0), MATCH(S$277, lmic_raw_ub[#Headers],0)))</f>
        <v>96.893370000000019</v>
      </c>
      <c r="T358" s="84">
        <f>IF(INDEX(lmic_raw_ub[],MATCH($A358,lmic_raw_ub[[setting]:[setting]],0), MATCH(T$277, lmic_raw_ub[#Headers],0))=0, INDEX(regions_ub[], MATCH($D358, regions_ub[[setting]:[setting]],0), MATCH(T$139, regions_ub[#Headers],0)),INDEX(lmic_raw_ub[],MATCH($A358,lmic_raw_ub[[setting]:[setting]],0), MATCH(T$277, lmic_raw_ub[#Headers],0)))</f>
        <v>96.893370000000019</v>
      </c>
      <c r="U358" s="84">
        <f>IF(INDEX(lmic_raw_ub[],MATCH($A358,lmic_raw_ub[[setting]:[setting]],0), MATCH(U$277, lmic_raw_ub[#Headers],0))=0, INDEX(regions_ub[], MATCH($D358, regions_ub[[setting]:[setting]],0), MATCH(U$139, regions_ub[#Headers],0)),INDEX(lmic_raw_ub[],MATCH($A358,lmic_raw_ub[[setting]:[setting]],0), MATCH(U$277, lmic_raw_ub[#Headers],0)))</f>
        <v>96.893370000000019</v>
      </c>
      <c r="V358" s="84">
        <f>IF(INDEX(lmic_raw_ub[],MATCH($A358,lmic_raw_ub[[setting]:[setting]],0), MATCH(V$277, lmic_raw_ub[#Headers],0))=0, INDEX(regions_ub[], MATCH($D358, regions_ub[[setting]:[setting]],0), MATCH(V$139, regions_ub[#Headers],0)),INDEX(lmic_raw_ub[],MATCH($A358,lmic_raw_ub[[setting]:[setting]],0), MATCH(V$277, lmic_raw_ub[#Headers],0)))</f>
        <v>9.8785522444965679</v>
      </c>
      <c r="W358" s="84">
        <f>IF(INDEX(lmic_raw_ub[],MATCH($A358,lmic_raw_ub[[setting]:[setting]],0), MATCH(W$277, lmic_raw_ub[#Headers],0))=0, INDEX(regions_ub[], MATCH($D358, regions_ub[[setting]:[setting]],0), MATCH(W$139, regions_ub[#Headers],0)),INDEX(lmic_raw_ub[],MATCH($A358,lmic_raw_ub[[setting]:[setting]],0), MATCH(W$277, lmic_raw_ub[#Headers],0)))</f>
        <v>14.147537244496569</v>
      </c>
      <c r="X358" s="84">
        <f>IF(INDEX(lmic_raw_ub[],MATCH($A358,lmic_raw_ub[[setting]:[setting]],0), MATCH(X$277, lmic_raw_ub[#Headers],0))=0, INDEX(regions_ub[], MATCH($D358, regions_ub[[setting]:[setting]],0), MATCH(X$139, regions_ub[#Headers],0)),INDEX(lmic_raw_ub[],MATCH($A358,lmic_raw_ub[[setting]:[setting]],0), MATCH(X$277, lmic_raw_ub[#Headers],0)))</f>
        <v>9.3436129824848582</v>
      </c>
      <c r="Y358" s="84">
        <f>IF(INDEX(lmic_raw_ub[],MATCH($A358,lmic_raw_ub[[setting]:[setting]],0), MATCH(Y$277, lmic_raw_ub[#Headers],0))=0, INDEX(regions_ub[], MATCH($D358, regions_ub[[setting]:[setting]],0), MATCH(Y$139, regions_ub[#Headers],0)),INDEX(lmic_raw_ub[],MATCH($A358,lmic_raw_ub[[setting]:[setting]],0), MATCH(Y$277, lmic_raw_ub[#Headers],0)))</f>
        <v>13.612597982484859</v>
      </c>
      <c r="Z358" s="84">
        <f>IF(INDEX(lmic_raw_ub[],MATCH($A358,lmic_raw_ub[[setting]:[setting]],0), MATCH(Z$277, lmic_raw_ub[#Headers],0))=0, INDEX(regions_ub[], MATCH($D358, regions_ub[[setting]:[setting]],0), MATCH(Z$139, regions_ub[#Headers],0)),INDEX(lmic_raw_ub[],MATCH($A358,lmic_raw_ub[[setting]:[setting]],0), MATCH(Z$277, lmic_raw_ub[#Headers],0)))</f>
        <v>13.582644385076954</v>
      </c>
      <c r="AA358" s="84">
        <f>IF(INDEX(lmic_raw_ub[],MATCH($A358,lmic_raw_ub[[setting]:[setting]],0), MATCH(AA$277, lmic_raw_ub[#Headers],0))=0, INDEX(regions_ub[], MATCH($D358, regions_ub[[setting]:[setting]],0), MATCH(AA$139, regions_ub[#Headers],0)),INDEX(lmic_raw_ub[],MATCH($A358,lmic_raw_ub[[setting]:[setting]],0), MATCH(AA$277, lmic_raw_ub[#Headers],0)))</f>
        <v>10.156054619940479</v>
      </c>
      <c r="AB358" s="84">
        <f>IF(INDEX(lmic_raw_ub[],MATCH($A358,lmic_raw_ub[[setting]:[setting]],0), MATCH(AB$277, lmic_raw_ub[#Headers],0))=0, INDEX(regions_ub[], MATCH($D358, regions_ub[[setting]:[setting]],0), MATCH(AB$139, regions_ub[#Headers],0)),INDEX(lmic_raw_ub[],MATCH($A358,lmic_raw_ub[[setting]:[setting]],0), MATCH(AB$277, lmic_raw_ub[#Headers],0)))</f>
        <v>14.425039619940479</v>
      </c>
      <c r="AC358" s="84">
        <f>IF(INDEX(lmic_raw_ub[],MATCH($A358,lmic_raw_ub[[setting]:[setting]],0), MATCH(AC$277, lmic_raw_ub[#Headers],0))=0, INDEX(regions_ub[], MATCH($D358, regions_ub[[setting]:[setting]],0), MATCH(AC$139, regions_ub[#Headers],0)),INDEX(lmic_raw_ub[],MATCH($A358,lmic_raw_ub[[setting]:[setting]],0), MATCH(AC$277, lmic_raw_ub[#Headers],0)))</f>
        <v>1.2973873500000038E-2</v>
      </c>
      <c r="AD358" s="84">
        <f>IF(INDEX(lmic_raw_ub[],MATCH($A358,lmic_raw_ub[[setting]:[setting]],0), MATCH(AD$277, lmic_raw_ub[#Headers],0))=0, INDEX(regions_ub[], MATCH($D358, regions_ub[[setting]:[setting]],0), MATCH(AD$139, regions_ub[#Headers],0)),INDEX(lmic_raw_ub[],MATCH($A358,lmic_raw_ub[[setting]:[setting]],0), MATCH(AD$277, lmic_raw_ub[#Headers],0)))</f>
        <v>5.4235892484044723E-4</v>
      </c>
      <c r="AE358" s="84">
        <f>IF(INDEX(lmic_raw_ub[],MATCH($A358,lmic_raw_ub[[setting]:[setting]],0), MATCH(AE$277, lmic_raw_ub[#Headers],0))=0, INDEX(regions_ub[], MATCH($D358, regions_ub[[setting]:[setting]],0), MATCH(AE$139, regions_ub[#Headers],0)),INDEX(lmic_raw_ub[],MATCH($A358,lmic_raw_ub[[setting]:[setting]],0), MATCH(AE$277, lmic_raw_ub[#Headers],0)))</f>
        <v>2.3702050600823009E-4</v>
      </c>
      <c r="AF358" s="84">
        <f>IF(INDEX(lmic_raw_ub[],MATCH($A358,lmic_raw_ub[[setting]:[setting]],0), MATCH(AF$277, lmic_raw_ub[#Headers],0))=0, INDEX(regions_ub[], MATCH($D358, regions_ub[[setting]:[setting]],0), MATCH(AF$139, regions_ub[#Headers],0)),INDEX(lmic_raw_ub[],MATCH($A358,lmic_raw_ub[[setting]:[setting]],0), MATCH(AF$277, lmic_raw_ub[#Headers],0)))</f>
        <v>1.8532217834292628E-4</v>
      </c>
      <c r="AG358" s="84">
        <f>IF(INDEX(lmic_raw_ub[],MATCH($A358,lmic_raw_ub[[setting]:[setting]],0), MATCH(AG$277, lmic_raw_ub[#Headers],0))=0, INDEX(regions_ub[], MATCH($D358, regions_ub[[setting]:[setting]],0), MATCH(AG$139, regions_ub[#Headers],0)),INDEX(lmic_raw_ub[],MATCH($A358,lmic_raw_ub[[setting]:[setting]],0), MATCH(AG$277, lmic_raw_ub[#Headers],0)))</f>
        <v>4.3283451609274905E-4</v>
      </c>
      <c r="AH358" s="84">
        <f>IF(INDEX(lmic_raw_ub[],MATCH($A358,lmic_raw_ub[[setting]:[setting]],0), MATCH(AH$277, lmic_raw_ub[#Headers],0))=0, INDEX(regions_ub[], MATCH($D358, regions_ub[[setting]:[setting]],0), MATCH(AH$139, regions_ub[#Headers],0)),INDEX(lmic_raw_ub[],MATCH($A358,lmic_raw_ub[[setting]:[setting]],0), MATCH(AH$277, lmic_raw_ub[#Headers],0)))</f>
        <v>5.8630448054047542E-4</v>
      </c>
      <c r="AI358" s="84">
        <f>IF(INDEX(lmic_raw_ub[],MATCH($A358,lmic_raw_ub[[setting]:[setting]],0), MATCH(AI$277, lmic_raw_ub[#Headers],0))=0, INDEX(regions_ub[], MATCH($D358, regions_ub[[setting]:[setting]],0), MATCH(AI$139, regions_ub[#Headers],0)),INDEX(lmic_raw_ub[],MATCH($A358,lmic_raw_ub[[setting]:[setting]],0), MATCH(AI$277, lmic_raw_ub[#Headers],0)))</f>
        <v>8.8177094319286337E-4</v>
      </c>
      <c r="AJ358" s="84">
        <f>IF(INDEX(lmic_raw_ub[],MATCH($A358,lmic_raw_ub[[setting]:[setting]],0), MATCH(AJ$277, lmic_raw_ub[#Headers],0))=0, INDEX(regions_ub[], MATCH($D358, regions_ub[[setting]:[setting]],0), MATCH(AJ$139, regions_ub[#Headers],0)),INDEX(lmic_raw_ub[],MATCH($A358,lmic_raw_ub[[setting]:[setting]],0), MATCH(AJ$277, lmic_raw_ub[#Headers],0)))</f>
        <v>1.3556979863299369E-3</v>
      </c>
      <c r="AK358" s="84">
        <f>IF(INDEX(lmic_raw_ub[],MATCH($A358,lmic_raw_ub[[setting]:[setting]],0), MATCH(AK$277, lmic_raw_ub[#Headers],0))=0, INDEX(regions_ub[], MATCH($D358, regions_ub[[setting]:[setting]],0), MATCH(AK$139, regions_ub[#Headers],0)),INDEX(lmic_raw_ub[],MATCH($A358,lmic_raw_ub[[setting]:[setting]],0), MATCH(AK$277, lmic_raw_ub[#Headers],0)))</f>
        <v>2.4244366080392824E-3</v>
      </c>
      <c r="AL358" s="84">
        <f>IF(INDEX(lmic_raw_ub[],MATCH($A358,lmic_raw_ub[[setting]:[setting]],0), MATCH(AL$277, lmic_raw_ub[#Headers],0))=0, INDEX(regions_ub[], MATCH($D358, regions_ub[[setting]:[setting]],0), MATCH(AL$139, regions_ub[#Headers],0)),INDEX(lmic_raw_ub[],MATCH($A358,lmic_raw_ub[[setting]:[setting]],0), MATCH(AL$277, lmic_raw_ub[#Headers],0)))</f>
        <v>3.4095671494057669E-3</v>
      </c>
      <c r="AM358" s="84">
        <f>IF(INDEX(lmic_raw_ub[],MATCH($A358,lmic_raw_ub[[setting]:[setting]],0), MATCH(AM$277, lmic_raw_ub[#Headers],0))=0, INDEX(regions_ub[], MATCH($D358, regions_ub[[setting]:[setting]],0), MATCH(AM$139, regions_ub[#Headers],0)),INDEX(lmic_raw_ub[],MATCH($A358,lmic_raw_ub[[setting]:[setting]],0), MATCH(AM$277, lmic_raw_ub[#Headers],0)))</f>
        <v>6.0468205675088043E-3</v>
      </c>
      <c r="AN358" s="84">
        <f>IF(INDEX(lmic_raw_ub[],MATCH($A358,lmic_raw_ub[[setting]:[setting]],0), MATCH(AN$277, lmic_raw_ub[#Headers],0))=0, INDEX(regions_ub[], MATCH($D358, regions_ub[[setting]:[setting]],0), MATCH(AN$139, regions_ub[#Headers],0)),INDEX(lmic_raw_ub[],MATCH($A358,lmic_raw_ub[[setting]:[setting]],0), MATCH(AN$277, lmic_raw_ub[#Headers],0)))</f>
        <v>8.9795777323924408E-3</v>
      </c>
      <c r="AO358" s="84">
        <f>IF(INDEX(lmic_raw_ub[],MATCH($A358,lmic_raw_ub[[setting]:[setting]],0), MATCH(AO$277, lmic_raw_ub[#Headers],0))=0, INDEX(regions_ub[], MATCH($D358, regions_ub[[setting]:[setting]],0), MATCH(AO$139, regions_ub[#Headers],0)),INDEX(lmic_raw_ub[],MATCH($A358,lmic_raw_ub[[setting]:[setting]],0), MATCH(AO$277, lmic_raw_ub[#Headers],0)))</f>
        <v>1.3463024991203899E-2</v>
      </c>
      <c r="AP358" s="84">
        <f>IF(INDEX(lmic_raw_ub[],MATCH($A358,lmic_raw_ub[[setting]:[setting]],0), MATCH(AP$277, lmic_raw_ub[#Headers],0))=0, INDEX(regions_ub[], MATCH($D358, regions_ub[[setting]:[setting]],0), MATCH(AP$139, regions_ub[#Headers],0)),INDEX(lmic_raw_ub[],MATCH($A358,lmic_raw_ub[[setting]:[setting]],0), MATCH(AP$277, lmic_raw_ub[#Headers],0)))</f>
        <v>2.2146356081337307E-2</v>
      </c>
      <c r="AQ358" s="84">
        <f>IF(INDEX(lmic_raw_ub[],MATCH($A358,lmic_raw_ub[[setting]:[setting]],0), MATCH(AQ$277, lmic_raw_ub[#Headers],0))=0, INDEX(regions_ub[], MATCH($D358, regions_ub[[setting]:[setting]],0), MATCH(AQ$139, regions_ub[#Headers],0)),INDEX(lmic_raw_ub[],MATCH($A358,lmic_raw_ub[[setting]:[setting]],0), MATCH(AQ$277, lmic_raw_ub[#Headers],0)))</f>
        <v>2.8740958466349074E-2</v>
      </c>
      <c r="AR358" s="84">
        <f>IF(INDEX(lmic_raw_ub[],MATCH($A358,lmic_raw_ub[[setting]:[setting]],0), MATCH(AR$277, lmic_raw_ub[#Headers],0))=0, INDEX(regions_ub[], MATCH($D358, regions_ub[[setting]:[setting]],0), MATCH(AR$139, regions_ub[#Headers],0)),INDEX(lmic_raw_ub[],MATCH($A358,lmic_raw_ub[[setting]:[setting]],0), MATCH(AR$277, lmic_raw_ub[#Headers],0)))</f>
        <v>4.4553775002572502E-2</v>
      </c>
      <c r="AS358" s="84">
        <f>IF(INDEX(lmic_raw_ub[],MATCH($A358,lmic_raw_ub[[setting]:[setting]],0), MATCH(AS$277, lmic_raw_ub[#Headers],0))=0, INDEX(regions_ub[], MATCH($D358, regions_ub[[setting]:[setting]],0), MATCH(AS$139, regions_ub[#Headers],0)),INDEX(lmic_raw_ub[],MATCH($A358,lmic_raw_ub[[setting]:[setting]],0), MATCH(AS$277, lmic_raw_ub[#Headers],0)))</f>
        <v>6.6937421870355701E-2</v>
      </c>
      <c r="AT358" s="84">
        <f>IF(INDEX(lmic_raw_ub[],MATCH($A358,lmic_raw_ub[[setting]:[setting]],0), MATCH(AT$277, lmic_raw_ub[#Headers],0))=0, INDEX(regions_ub[], MATCH($D358, regions_ub[[setting]:[setting]],0), MATCH(AT$139, regions_ub[#Headers],0)),INDEX(lmic_raw_ub[],MATCH($A358,lmic_raw_ub[[setting]:[setting]],0), MATCH(AT$277, lmic_raw_ub[#Headers],0)))</f>
        <v>9.6732134571568554E-2</v>
      </c>
      <c r="AU358" s="84">
        <f>IF(INDEX(lmic_raw_ub[],MATCH($A358,lmic_raw_ub[[setting]:[setting]],0), MATCH(AU$277, lmic_raw_ub[#Headers],0))=0, INDEX(regions_ub[], MATCH($D358, regions_ub[[setting]:[setting]],0), MATCH(AU$139, regions_ub[#Headers],0)),INDEX(lmic_raw_ub[],MATCH($A358,lmic_raw_ub[[setting]:[setting]],0), MATCH(AU$277, lmic_raw_ub[#Headers],0)))</f>
        <v>0.13008436902881076</v>
      </c>
      <c r="AV358" s="84">
        <f>IF(INDEX(lmic_raw_ub[],MATCH($A358,lmic_raw_ub[[setting]:[setting]],0), MATCH(AV$277, lmic_raw_ub[#Headers],0))=0, INDEX(regions_ub[], MATCH($D358, regions_ub[[setting]:[setting]],0), MATCH(AV$139, regions_ub[#Headers],0)),INDEX(lmic_raw_ub[],MATCH($A358,lmic_raw_ub[[setting]:[setting]],0), MATCH(AV$277, lmic_raw_ub[#Headers],0)))</f>
        <v>0.15763721221557697</v>
      </c>
      <c r="AW358" s="84">
        <f>IF(INDEX(lmic_raw_ub[],MATCH($A358,lmic_raw_ub[[setting]:[setting]],0), MATCH(AW$277, lmic_raw_ub[#Headers],0))=0, INDEX(regions_ub[], MATCH($D358, regions_ub[[setting]:[setting]],0), MATCH(AW$139, regions_ub[#Headers],0)),INDEX(lmic_raw_ub[],MATCH($A358,lmic_raw_ub[[setting]:[setting]],0), MATCH(AW$277, lmic_raw_ub[#Headers],0)))</f>
        <v>0.18181257622945934</v>
      </c>
      <c r="AX358" s="84">
        <f>IF(INDEX(lmic_raw_ub[],MATCH($A358,lmic_raw_ub[[setting]:[setting]],0), MATCH(AX$277, lmic_raw_ub[#Headers],0))=0, INDEX(regions_ub[], MATCH($D358, regions_ub[[setting]:[setting]],0), MATCH(AX$139, regions_ub[#Headers],0)),INDEX(lmic_raw_ub[],MATCH($A358,lmic_raw_ub[[setting]:[setting]],0), MATCH(AX$277, lmic_raw_ub[#Headers],0)))</f>
        <v>75.268200000000007</v>
      </c>
      <c r="AY358" s="33" t="str">
        <f>IF(VLOOKUP(lmics_ub[[#This Row],[setting]],lmic_raw_ub[],11,FALSE)=0, "Yes", "No")</f>
        <v>No</v>
      </c>
    </row>
    <row r="359" spans="1:51" x14ac:dyDescent="0.25">
      <c r="A359" s="110" t="s">
        <v>208</v>
      </c>
      <c r="B359" s="104" t="s">
        <v>473</v>
      </c>
      <c r="C359" s="105">
        <v>496</v>
      </c>
      <c r="D359" s="84" t="s">
        <v>681</v>
      </c>
      <c r="E359" s="84" t="s">
        <v>184</v>
      </c>
      <c r="F359" s="84" t="s">
        <v>663</v>
      </c>
      <c r="G359" s="84" t="s">
        <v>678</v>
      </c>
      <c r="J359" s="84">
        <f>IF(INDEX(lmic_raw_ub[],MATCH($A359,lmic_raw_ub[[setting]:[setting]],0), MATCH(J$277, lmic_raw_ub[#Headers],0))=0, INDEX(regions_ub[], MATCH($D359, regions_ub[[setting]:[setting]],0), MATCH(J$139, regions_ub[#Headers],0)),INDEX(lmic_raw_ub[],MATCH($A359,lmic_raw_ub[[setting]:[setting]],0), MATCH(J$277, lmic_raw_ub[#Headers],0)))</f>
        <v>0.99990000000000001</v>
      </c>
      <c r="K359" s="84">
        <f>IF(INDEX(lmic_raw_ub[],MATCH($A359,lmic_raw_ub[[setting]:[setting]],0), MATCH(K$277, lmic_raw_ub[#Headers],0))=0, INDEX(regions_ub[], MATCH($D359, regions_ub[[setting]:[setting]],0), MATCH(K$139, regions_ub[#Headers],0)),INDEX(lmic_raw_ub[],MATCH($A359,lmic_raw_ub[[setting]:[setting]],0), MATCH(K$277, lmic_raw_ub[#Headers],0)))</f>
        <v>0.99990000000000001</v>
      </c>
      <c r="L359" s="84">
        <f>IF(INDEX(lmic_raw_ub[],MATCH($A359,lmic_raw_ub[[setting]:[setting]],0), MATCH(L$277, lmic_raw_ub[#Headers],0))=0, INDEX(regions_ub[], MATCH($D359, regions_ub[[setting]:[setting]],0), MATCH(L$139, regions_ub[#Headers],0)),INDEX(lmic_raw_ub[],MATCH($A359,lmic_raw_ub[[setting]:[setting]],0), MATCH(L$277, lmic_raw_ub[#Headers],0)))</f>
        <v>0.99990000000000001</v>
      </c>
      <c r="M359" s="84">
        <f>IF(INDEX(lmic_raw_ub[],MATCH($A359,lmic_raw_ub[[setting]:[setting]],0), MATCH(M$277, lmic_raw_ub[#Headers],0))=0, INDEX(regions_ub[], MATCH($D359, regions_ub[[setting]:[setting]],0), MATCH(M$139, regions_ub[#Headers],0)),INDEX(lmic_raw_ub[],MATCH($A359,lmic_raw_ub[[setting]:[setting]],0), MATCH(M$277, lmic_raw_ub[#Headers],0)))</f>
        <v>0.1331</v>
      </c>
      <c r="N359" s="84">
        <f>IF(INDEX(lmic_raw_ub[],MATCH($A359,lmic_raw_ub[[setting]:[setting]],0), MATCH(N$277, lmic_raw_ub[#Headers],0))=0, INDEX(regions_ub[], MATCH($D359, regions_ub[[setting]:[setting]],0), MATCH(N$139, regions_ub[#Headers],0)),INDEX(lmic_raw_ub[],MATCH($A359,lmic_raw_ub[[setting]:[setting]],0), MATCH(N$277, lmic_raw_ub[#Headers],0)))</f>
        <v>0.43079999999999996</v>
      </c>
      <c r="O359" s="84">
        <f>IF(INDEX(lmic_raw_ub[],MATCH($A359,lmic_raw_ub[[setting]:[setting]],0), MATCH(O$277, lmic_raw_ub[#Headers],0))=0, INDEX(regions_ub[], MATCH($D359, regions_ub[[setting]:[setting]],0), MATCH(O$139, regions_ub[#Headers],0)),INDEX(lmic_raw_ub[],MATCH($A359,lmic_raw_ub[[setting]:[setting]],0), MATCH(O$277, lmic_raw_ub[#Headers],0)))</f>
        <v>0.9</v>
      </c>
      <c r="P359" s="84">
        <f>IF(INDEX(lmic_raw_ub[],MATCH($A359,lmic_raw_ub[[setting]:[setting]],0), MATCH(P$277, lmic_raw_ub[#Headers],0))=0, INDEX(regions_ub[], MATCH($D359, regions_ub[[setting]:[setting]],0), MATCH(P$139, regions_ub[#Headers],0)),INDEX(lmic_raw_ub[],MATCH($A359,lmic_raw_ub[[setting]:[setting]],0), MATCH(P$277, lmic_raw_ub[#Headers],0)))</f>
        <v>0.3</v>
      </c>
      <c r="Q359" s="84">
        <f>IF(INDEX(lmic_raw_ub[],MATCH($A359,lmic_raw_ub[[setting]:[setting]],0), MATCH(Q$277, lmic_raw_ub[#Headers],0))=0, INDEX(regions_ub[], MATCH($D359, regions_ub[[setting]:[setting]],0), MATCH(Q$139, regions_ub[#Headers],0)),INDEX(lmic_raw_ub[],MATCH($A359,lmic_raw_ub[[setting]:[setting]],0), MATCH(Q$277, lmic_raw_ub[#Headers],0)))</f>
        <v>4.7727153648806384</v>
      </c>
      <c r="R359" s="84">
        <f>IF(INDEX(lmic_raw_ub[],MATCH($A359,lmic_raw_ub[[setting]:[setting]],0), MATCH(R$277, lmic_raw_ub[#Headers],0))=0, INDEX(regions_ub[], MATCH($D359, regions_ub[[setting]:[setting]],0), MATCH(R$139, regions_ub[#Headers],0)),INDEX(lmic_raw_ub[],MATCH($A359,lmic_raw_ub[[setting]:[setting]],0), MATCH(R$277, lmic_raw_ub[#Headers],0)))</f>
        <v>46.76427000000001</v>
      </c>
      <c r="S359" s="84">
        <f>IF(INDEX(lmic_raw_ub[],MATCH($A359,lmic_raw_ub[[setting]:[setting]],0), MATCH(S$277, lmic_raw_ub[#Headers],0))=0, INDEX(regions_ub[], MATCH($D359, regions_ub[[setting]:[setting]],0), MATCH(S$139, regions_ub[#Headers],0)),INDEX(lmic_raw_ub[],MATCH($A359,lmic_raw_ub[[setting]:[setting]],0), MATCH(S$277, lmic_raw_ub[#Headers],0)))</f>
        <v>96.893370000000019</v>
      </c>
      <c r="T359" s="84">
        <f>IF(INDEX(lmic_raw_ub[],MATCH($A359,lmic_raw_ub[[setting]:[setting]],0), MATCH(T$277, lmic_raw_ub[#Headers],0))=0, INDEX(regions_ub[], MATCH($D359, regions_ub[[setting]:[setting]],0), MATCH(T$139, regions_ub[#Headers],0)),INDEX(lmic_raw_ub[],MATCH($A359,lmic_raw_ub[[setting]:[setting]],0), MATCH(T$277, lmic_raw_ub[#Headers],0)))</f>
        <v>96.893370000000019</v>
      </c>
      <c r="U359" s="84">
        <f>IF(INDEX(lmic_raw_ub[],MATCH($A359,lmic_raw_ub[[setting]:[setting]],0), MATCH(U$277, lmic_raw_ub[#Headers],0))=0, INDEX(regions_ub[], MATCH($D359, regions_ub[[setting]:[setting]],0), MATCH(U$139, regions_ub[#Headers],0)),INDEX(lmic_raw_ub[],MATCH($A359,lmic_raw_ub[[setting]:[setting]],0), MATCH(U$277, lmic_raw_ub[#Headers],0)))</f>
        <v>96.893370000000019</v>
      </c>
      <c r="V359" s="84">
        <f>IF(INDEX(lmic_raw_ub[],MATCH($A359,lmic_raw_ub[[setting]:[setting]],0), MATCH(V$277, lmic_raw_ub[#Headers],0))=0, INDEX(regions_ub[], MATCH($D359, regions_ub[[setting]:[setting]],0), MATCH(V$139, regions_ub[#Headers],0)),INDEX(lmic_raw_ub[],MATCH($A359,lmic_raw_ub[[setting]:[setting]],0), MATCH(V$277, lmic_raw_ub[#Headers],0)))</f>
        <v>12.820809346383284</v>
      </c>
      <c r="W359" s="84">
        <f>IF(INDEX(lmic_raw_ub[],MATCH($A359,lmic_raw_ub[[setting]:[setting]],0), MATCH(W$277, lmic_raw_ub[#Headers],0))=0, INDEX(regions_ub[], MATCH($D359, regions_ub[[setting]:[setting]],0), MATCH(W$139, regions_ub[#Headers],0)),INDEX(lmic_raw_ub[],MATCH($A359,lmic_raw_ub[[setting]:[setting]],0), MATCH(W$277, lmic_raw_ub[#Headers],0)))</f>
        <v>17.089794346383286</v>
      </c>
      <c r="X359" s="84">
        <f>IF(INDEX(lmic_raw_ub[],MATCH($A359,lmic_raw_ub[[setting]:[setting]],0), MATCH(X$277, lmic_raw_ub[#Headers],0))=0, INDEX(regions_ub[], MATCH($D359, regions_ub[[setting]:[setting]],0), MATCH(X$139, regions_ub[#Headers],0)),INDEX(lmic_raw_ub[],MATCH($A359,lmic_raw_ub[[setting]:[setting]],0), MATCH(X$277, lmic_raw_ub[#Headers],0)))</f>
        <v>12.287460972505087</v>
      </c>
      <c r="Y359" s="84">
        <f>IF(INDEX(lmic_raw_ub[],MATCH($A359,lmic_raw_ub[[setting]:[setting]],0), MATCH(Y$277, lmic_raw_ub[#Headers],0))=0, INDEX(regions_ub[], MATCH($D359, regions_ub[[setting]:[setting]],0), MATCH(Y$139, regions_ub[#Headers],0)),INDEX(lmic_raw_ub[],MATCH($A359,lmic_raw_ub[[setting]:[setting]],0), MATCH(Y$277, lmic_raw_ub[#Headers],0)))</f>
        <v>16.556445972505088</v>
      </c>
      <c r="Z359" s="84">
        <f>IF(INDEX(lmic_raw_ub[],MATCH($A359,lmic_raw_ub[[setting]:[setting]],0), MATCH(Z$277, lmic_raw_ub[#Headers],0))=0, INDEX(regions_ub[], MATCH($D359, regions_ub[[setting]:[setting]],0), MATCH(Z$139, regions_ub[#Headers],0)),INDEX(lmic_raw_ub[],MATCH($A359,lmic_raw_ub[[setting]:[setting]],0), MATCH(Z$277, lmic_raw_ub[#Headers],0)))</f>
        <v>16.527231987253707</v>
      </c>
      <c r="AA359" s="84">
        <f>IF(INDEX(lmic_raw_ub[],MATCH($A359,lmic_raw_ub[[setting]:[setting]],0), MATCH(AA$277, lmic_raw_ub[#Headers],0))=0, INDEX(regions_ub[], MATCH($D359, regions_ub[[setting]:[setting]],0), MATCH(AA$139, regions_ub[#Headers],0)),INDEX(lmic_raw_ub[],MATCH($A359,lmic_raw_ub[[setting]:[setting]],0), MATCH(AA$277, lmic_raw_ub[#Headers],0)))</f>
        <v>13.097950599980935</v>
      </c>
      <c r="AB359" s="84">
        <f>IF(INDEX(lmic_raw_ub[],MATCH($A359,lmic_raw_ub[[setting]:[setting]],0), MATCH(AB$277, lmic_raw_ub[#Headers],0))=0, INDEX(regions_ub[], MATCH($D359, regions_ub[[setting]:[setting]],0), MATCH(AB$139, regions_ub[#Headers],0)),INDEX(lmic_raw_ub[],MATCH($A359,lmic_raw_ub[[setting]:[setting]],0), MATCH(AB$277, lmic_raw_ub[#Headers],0)))</f>
        <v>17.366935599980934</v>
      </c>
      <c r="AC359" s="84">
        <f>IF(INDEX(lmic_raw_ub[],MATCH($A359,lmic_raw_ub[[setting]:[setting]],0), MATCH(AC$277, lmic_raw_ub[#Headers],0))=0, INDEX(regions_ub[], MATCH($D359, regions_ub[[setting]:[setting]],0), MATCH(AC$139, regions_ub[#Headers],0)),INDEX(lmic_raw_ub[],MATCH($A359,lmic_raw_ub[[setting]:[setting]],0), MATCH(AC$277, lmic_raw_ub[#Headers],0)))</f>
        <v>1.8996242999999975E-2</v>
      </c>
      <c r="AD359" s="84">
        <f>IF(INDEX(lmic_raw_ub[],MATCH($A359,lmic_raw_ub[[setting]:[setting]],0), MATCH(AD$277, lmic_raw_ub[#Headers],0))=0, INDEX(regions_ub[], MATCH($D359, regions_ub[[setting]:[setting]],0), MATCH(AD$139, regions_ub[#Headers],0)),INDEX(lmic_raw_ub[],MATCH($A359,lmic_raw_ub[[setting]:[setting]],0), MATCH(AD$277, lmic_raw_ub[#Headers],0)))</f>
        <v>1.143590958805781E-3</v>
      </c>
      <c r="AE359" s="84">
        <f>IF(INDEX(lmic_raw_ub[],MATCH($A359,lmic_raw_ub[[setting]:[setting]],0), MATCH(AE$277, lmic_raw_ub[#Headers],0))=0, INDEX(regions_ub[], MATCH($D359, regions_ub[[setting]:[setting]],0), MATCH(AE$139, regions_ub[#Headers],0)),INDEX(lmic_raw_ub[],MATCH($A359,lmic_raw_ub[[setting]:[setting]],0), MATCH(AE$277, lmic_raw_ub[#Headers],0)))</f>
        <v>3.7876575510697861E-4</v>
      </c>
      <c r="AF359" s="84">
        <f>IF(INDEX(lmic_raw_ub[],MATCH($A359,lmic_raw_ub[[setting]:[setting]],0), MATCH(AF$277, lmic_raw_ub[#Headers],0))=0, INDEX(regions_ub[], MATCH($D359, regions_ub[[setting]:[setting]],0), MATCH(AF$139, regions_ub[#Headers],0)),INDEX(lmic_raw_ub[],MATCH($A359,lmic_raw_ub[[setting]:[setting]],0), MATCH(AF$277, lmic_raw_ub[#Headers],0)))</f>
        <v>3.5269302798255053E-4</v>
      </c>
      <c r="AG359" s="84">
        <f>IF(INDEX(lmic_raw_ub[],MATCH($A359,lmic_raw_ub[[setting]:[setting]],0), MATCH(AG$277, lmic_raw_ub[#Headers],0))=0, INDEX(regions_ub[], MATCH($D359, regions_ub[[setting]:[setting]],0), MATCH(AG$139, regions_ub[#Headers],0)),INDEX(lmic_raw_ub[],MATCH($A359,lmic_raw_ub[[setting]:[setting]],0), MATCH(AG$277, lmic_raw_ub[#Headers],0)))</f>
        <v>5.470381708042308E-4</v>
      </c>
      <c r="AH359" s="84">
        <f>IF(INDEX(lmic_raw_ub[],MATCH($A359,lmic_raw_ub[[setting]:[setting]],0), MATCH(AH$277, lmic_raw_ub[#Headers],0))=0, INDEX(regions_ub[], MATCH($D359, regions_ub[[setting]:[setting]],0), MATCH(AH$139, regions_ub[#Headers],0)),INDEX(lmic_raw_ub[],MATCH($A359,lmic_raw_ub[[setting]:[setting]],0), MATCH(AH$277, lmic_raw_ub[#Headers],0)))</f>
        <v>9.4632102782102377E-4</v>
      </c>
      <c r="AI359" s="84">
        <f>IF(INDEX(lmic_raw_ub[],MATCH($A359,lmic_raw_ub[[setting]:[setting]],0), MATCH(AI$277, lmic_raw_ub[#Headers],0))=0, INDEX(regions_ub[], MATCH($D359, regions_ub[[setting]:[setting]],0), MATCH(AI$139, regions_ub[#Headers],0)),INDEX(lmic_raw_ub[],MATCH($A359,lmic_raw_ub[[setting]:[setting]],0), MATCH(AI$277, lmic_raw_ub[#Headers],0)))</f>
        <v>1.3529518190633708E-3</v>
      </c>
      <c r="AJ359" s="84">
        <f>IF(INDEX(lmic_raw_ub[],MATCH($A359,lmic_raw_ub[[setting]:[setting]],0), MATCH(AJ$277, lmic_raw_ub[#Headers],0))=0, INDEX(regions_ub[], MATCH($D359, regions_ub[[setting]:[setting]],0), MATCH(AJ$139, regions_ub[#Headers],0)),INDEX(lmic_raw_ub[],MATCH($A359,lmic_raw_ub[[setting]:[setting]],0), MATCH(AJ$277, lmic_raw_ub[#Headers],0)))</f>
        <v>2.0445331386633914E-3</v>
      </c>
      <c r="AK359" s="84">
        <f>IF(INDEX(lmic_raw_ub[],MATCH($A359,lmic_raw_ub[[setting]:[setting]],0), MATCH(AK$277, lmic_raw_ub[#Headers],0))=0, INDEX(regions_ub[], MATCH($D359, regions_ub[[setting]:[setting]],0), MATCH(AK$139, regions_ub[#Headers],0)),INDEX(lmic_raw_ub[],MATCH($A359,lmic_raw_ub[[setting]:[setting]],0), MATCH(AK$277, lmic_raw_ub[#Headers],0)))</f>
        <v>2.9767055608678644E-3</v>
      </c>
      <c r="AL359" s="84">
        <f>IF(INDEX(lmic_raw_ub[],MATCH($A359,lmic_raw_ub[[setting]:[setting]],0), MATCH(AL$277, lmic_raw_ub[#Headers],0))=0, INDEX(regions_ub[], MATCH($D359, regions_ub[[setting]:[setting]],0), MATCH(AL$139, regions_ub[#Headers],0)),INDEX(lmic_raw_ub[],MATCH($A359,lmic_raw_ub[[setting]:[setting]],0), MATCH(AL$277, lmic_raw_ub[#Headers],0)))</f>
        <v>4.5627897643012319E-3</v>
      </c>
      <c r="AM359" s="84">
        <f>IF(INDEX(lmic_raw_ub[],MATCH($A359,lmic_raw_ub[[setting]:[setting]],0), MATCH(AM$277, lmic_raw_ub[#Headers],0))=0, INDEX(regions_ub[], MATCH($D359, regions_ub[[setting]:[setting]],0), MATCH(AM$139, regions_ub[#Headers],0)),INDEX(lmic_raw_ub[],MATCH($A359,lmic_raw_ub[[setting]:[setting]],0), MATCH(AM$277, lmic_raw_ub[#Headers],0)))</f>
        <v>7.8488079389539191E-3</v>
      </c>
      <c r="AN359" s="84">
        <f>IF(INDEX(lmic_raw_ub[],MATCH($A359,lmic_raw_ub[[setting]:[setting]],0), MATCH(AN$277, lmic_raw_ub[#Headers],0))=0, INDEX(regions_ub[], MATCH($D359, regions_ub[[setting]:[setting]],0), MATCH(AN$139, regions_ub[#Headers],0)),INDEX(lmic_raw_ub[],MATCH($A359,lmic_raw_ub[[setting]:[setting]],0), MATCH(AN$277, lmic_raw_ub[#Headers],0)))</f>
        <v>1.1735700333189578E-2</v>
      </c>
      <c r="AO359" s="84">
        <f>IF(INDEX(lmic_raw_ub[],MATCH($A359,lmic_raw_ub[[setting]:[setting]],0), MATCH(AO$277, lmic_raw_ub[#Headers],0))=0, INDEX(regions_ub[], MATCH($D359, regions_ub[[setting]:[setting]],0), MATCH(AO$139, regions_ub[#Headers],0)),INDEX(lmic_raw_ub[],MATCH($A359,lmic_raw_ub[[setting]:[setting]],0), MATCH(AO$277, lmic_raw_ub[#Headers],0)))</f>
        <v>1.5913080702632813E-2</v>
      </c>
      <c r="AP359" s="84">
        <f>IF(INDEX(lmic_raw_ub[],MATCH($A359,lmic_raw_ub[[setting]:[setting]],0), MATCH(AP$277, lmic_raw_ub[#Headers],0))=0, INDEX(regions_ub[], MATCH($D359, regions_ub[[setting]:[setting]],0), MATCH(AP$139, regions_ub[#Headers],0)),INDEX(lmic_raw_ub[],MATCH($A359,lmic_raw_ub[[setting]:[setting]],0), MATCH(AP$277, lmic_raw_ub[#Headers],0)))</f>
        <v>2.234461568889308E-2</v>
      </c>
      <c r="AQ359" s="84">
        <f>IF(INDEX(lmic_raw_ub[],MATCH($A359,lmic_raw_ub[[setting]:[setting]],0), MATCH(AQ$277, lmic_raw_ub[#Headers],0))=0, INDEX(regions_ub[], MATCH($D359, regions_ub[[setting]:[setting]],0), MATCH(AQ$139, regions_ub[#Headers],0)),INDEX(lmic_raw_ub[],MATCH($A359,lmic_raw_ub[[setting]:[setting]],0), MATCH(AQ$277, lmic_raw_ub[#Headers],0)))</f>
        <v>3.0466683556778937E-2</v>
      </c>
      <c r="AR359" s="84">
        <f>IF(INDEX(lmic_raw_ub[],MATCH($A359,lmic_raw_ub[[setting]:[setting]],0), MATCH(AR$277, lmic_raw_ub[#Headers],0))=0, INDEX(regions_ub[], MATCH($D359, regions_ub[[setting]:[setting]],0), MATCH(AR$139, regions_ub[#Headers],0)),INDEX(lmic_raw_ub[],MATCH($A359,lmic_raw_ub[[setting]:[setting]],0), MATCH(AR$277, lmic_raw_ub[#Headers],0)))</f>
        <v>4.8460628980749793E-2</v>
      </c>
      <c r="AS359" s="84">
        <f>IF(INDEX(lmic_raw_ub[],MATCH($A359,lmic_raw_ub[[setting]:[setting]],0), MATCH(AS$277, lmic_raw_ub[#Headers],0))=0, INDEX(regions_ub[], MATCH($D359, regions_ub[[setting]:[setting]],0), MATCH(AS$139, regions_ub[#Headers],0)),INDEX(lmic_raw_ub[],MATCH($A359,lmic_raw_ub[[setting]:[setting]],0), MATCH(AS$277, lmic_raw_ub[#Headers],0)))</f>
        <v>6.9177314402638496E-2</v>
      </c>
      <c r="AT359" s="84">
        <f>IF(INDEX(lmic_raw_ub[],MATCH($A359,lmic_raw_ub[[setting]:[setting]],0), MATCH(AT$277, lmic_raw_ub[#Headers],0))=0, INDEX(regions_ub[], MATCH($D359, regions_ub[[setting]:[setting]],0), MATCH(AT$139, regions_ub[#Headers],0)),INDEX(lmic_raw_ub[],MATCH($A359,lmic_raw_ub[[setting]:[setting]],0), MATCH(AT$277, lmic_raw_ub[#Headers],0)))</f>
        <v>9.4523200459753334E-2</v>
      </c>
      <c r="AU359" s="84">
        <f>IF(INDEX(lmic_raw_ub[],MATCH($A359,lmic_raw_ub[[setting]:[setting]],0), MATCH(AU$277, lmic_raw_ub[#Headers],0))=0, INDEX(regions_ub[], MATCH($D359, regions_ub[[setting]:[setting]],0), MATCH(AU$139, regions_ub[#Headers],0)),INDEX(lmic_raw_ub[],MATCH($A359,lmic_raw_ub[[setting]:[setting]],0), MATCH(AU$277, lmic_raw_ub[#Headers],0)))</f>
        <v>0.12322381239751728</v>
      </c>
      <c r="AV359" s="84">
        <f>IF(INDEX(lmic_raw_ub[],MATCH($A359,lmic_raw_ub[[setting]:[setting]],0), MATCH(AV$277, lmic_raw_ub[#Headers],0))=0, INDEX(regions_ub[], MATCH($D359, regions_ub[[setting]:[setting]],0), MATCH(AV$139, regions_ub[#Headers],0)),INDEX(lmic_raw_ub[],MATCH($A359,lmic_raw_ub[[setting]:[setting]],0), MATCH(AV$277, lmic_raw_ub[#Headers],0)))</f>
        <v>0.15079151358012652</v>
      </c>
      <c r="AW359" s="84">
        <f>IF(INDEX(lmic_raw_ub[],MATCH($A359,lmic_raw_ub[[setting]:[setting]],0), MATCH(AW$277, lmic_raw_ub[#Headers],0))=0, INDEX(regions_ub[], MATCH($D359, regions_ub[[setting]:[setting]],0), MATCH(AW$139, regions_ub[#Headers],0)),INDEX(lmic_raw_ub[],MATCH($A359,lmic_raw_ub[[setting]:[setting]],0), MATCH(AW$277, lmic_raw_ub[#Headers],0)))</f>
        <v>0.17336975804332314</v>
      </c>
      <c r="AX359" s="84">
        <f>IF(INDEX(lmic_raw_ub[],MATCH($A359,lmic_raw_ub[[setting]:[setting]],0), MATCH(AX$277, lmic_raw_ub[#Headers],0))=0, INDEX(regions_ub[], MATCH($D359, regions_ub[[setting]:[setting]],0), MATCH(AX$139, regions_ub[#Headers],0)),INDEX(lmic_raw_ub[],MATCH($A359,lmic_raw_ub[[setting]:[setting]],0), MATCH(AX$277, lmic_raw_ub[#Headers],0)))</f>
        <v>73.026450000000011</v>
      </c>
      <c r="AY359" s="33" t="str">
        <f>IF(VLOOKUP(lmics_ub[[#This Row],[setting]],lmic_raw_ub[],11,FALSE)=0, "Yes", "No")</f>
        <v>No</v>
      </c>
    </row>
    <row r="360" spans="1:51" x14ac:dyDescent="0.25">
      <c r="A360" s="109" t="s">
        <v>341</v>
      </c>
      <c r="B360" s="101" t="s">
        <v>474</v>
      </c>
      <c r="C360" s="102">
        <v>499</v>
      </c>
      <c r="D360" s="82" t="s">
        <v>675</v>
      </c>
      <c r="E360" s="82" t="s">
        <v>580</v>
      </c>
      <c r="F360" s="82" t="s">
        <v>663</v>
      </c>
      <c r="G360" s="82" t="s">
        <v>676</v>
      </c>
      <c r="J360" s="84">
        <f>IF(INDEX(lmic_raw_ub[],MATCH($A360,lmic_raw_ub[[setting]:[setting]],0), MATCH(J$277, lmic_raw_ub[#Headers],0))=0, INDEX(regions_ub[], MATCH($D360, regions_ub[[setting]:[setting]],0), MATCH(J$139, regions_ub[#Headers],0)),INDEX(lmic_raw_ub[],MATCH($A360,lmic_raw_ub[[setting]:[setting]],0), MATCH(J$277, lmic_raw_ub[#Headers],0)))</f>
        <v>0.99990000000000001</v>
      </c>
      <c r="K360" s="84">
        <f>IF(INDEX(lmic_raw_ub[],MATCH($A360,lmic_raw_ub[[setting]:[setting]],0), MATCH(K$277, lmic_raw_ub[#Headers],0))=0, INDEX(regions_ub[], MATCH($D360, regions_ub[[setting]:[setting]],0), MATCH(K$139, regions_ub[#Headers],0)),INDEX(lmic_raw_ub[],MATCH($A360,lmic_raw_ub[[setting]:[setting]],0), MATCH(K$277, lmic_raw_ub[#Headers],0)))</f>
        <v>0.96095440088755346</v>
      </c>
      <c r="L360" s="84">
        <f>IF(INDEX(lmic_raw_ub[],MATCH($A360,lmic_raw_ub[[setting]:[setting]],0), MATCH(L$277, lmic_raw_ub[#Headers],0))=0, INDEX(regions_ub[], MATCH($D360, regions_ub[[setting]:[setting]],0), MATCH(L$139, regions_ub[#Headers],0)),INDEX(lmic_raw_ub[],MATCH($A360,lmic_raw_ub[[setting]:[setting]],0), MATCH(L$277, lmic_raw_ub[#Headers],0)))</f>
        <v>0.75600000000000001</v>
      </c>
      <c r="M360" s="84">
        <f>IF(INDEX(lmic_raw_ub[],MATCH($A360,lmic_raw_ub[[setting]:[setting]],0), MATCH(M$277, lmic_raw_ub[#Headers],0))=0, INDEX(regions_ub[], MATCH($D360, regions_ub[[setting]:[setting]],0), MATCH(M$139, regions_ub[#Headers],0)),INDEX(lmic_raw_ub[],MATCH($A360,lmic_raw_ub[[setting]:[setting]],0), MATCH(M$277, lmic_raw_ub[#Headers],0)))</f>
        <v>0.1153</v>
      </c>
      <c r="N360" s="84">
        <f>IF(INDEX(lmic_raw_ub[],MATCH($A360,lmic_raw_ub[[setting]:[setting]],0), MATCH(N$277, lmic_raw_ub[#Headers],0))=0, INDEX(regions_ub[], MATCH($D360, regions_ub[[setting]:[setting]],0), MATCH(N$139, regions_ub[#Headers],0)),INDEX(lmic_raw_ub[],MATCH($A360,lmic_raw_ub[[setting]:[setting]],0), MATCH(N$277, lmic_raw_ub[#Headers],0)))</f>
        <v>0.42849999999999999</v>
      </c>
      <c r="O360" s="84">
        <f>IF(INDEX(lmic_raw_ub[],MATCH($A360,lmic_raw_ub[[setting]:[setting]],0), MATCH(O$277, lmic_raw_ub[#Headers],0))=0, INDEX(regions_ub[], MATCH($D360, regions_ub[[setting]:[setting]],0), MATCH(O$139, regions_ub[#Headers],0)),INDEX(lmic_raw_ub[],MATCH($A360,lmic_raw_ub[[setting]:[setting]],0), MATCH(O$277, lmic_raw_ub[#Headers],0)))</f>
        <v>0.9</v>
      </c>
      <c r="P360" s="84">
        <f>IF(INDEX(lmic_raw_ub[],MATCH($A360,lmic_raw_ub[[setting]:[setting]],0), MATCH(P$277, lmic_raw_ub[#Headers],0))=0, INDEX(regions_ub[], MATCH($D360, regions_ub[[setting]:[setting]],0), MATCH(P$139, regions_ub[#Headers],0)),INDEX(lmic_raw_ub[],MATCH($A360,lmic_raw_ub[[setting]:[setting]],0), MATCH(P$277, lmic_raw_ub[#Headers],0)))</f>
        <v>0.3</v>
      </c>
      <c r="Q360" s="84">
        <f>IF(INDEX(lmic_raw_ub[],MATCH($A360,lmic_raw_ub[[setting]:[setting]],0), MATCH(Q$277, lmic_raw_ub[#Headers],0))=0, INDEX(regions_ub[], MATCH($D360, regions_ub[[setting]:[setting]],0), MATCH(Q$139, regions_ub[#Headers],0)),INDEX(lmic_raw_ub[],MATCH($A360,lmic_raw_ub[[setting]:[setting]],0), MATCH(Q$277, lmic_raw_ub[#Headers],0)))</f>
        <v>10.845789653944943</v>
      </c>
      <c r="R360" s="84">
        <f>IF(INDEX(lmic_raw_ub[],MATCH($A360,lmic_raw_ub[[setting]:[setting]],0), MATCH(R$277, lmic_raw_ub[#Headers],0))=0, INDEX(regions_ub[], MATCH($D360, regions_ub[[setting]:[setting]],0), MATCH(R$139, regions_ub[#Headers],0)),INDEX(lmic_raw_ub[],MATCH($A360,lmic_raw_ub[[setting]:[setting]],0), MATCH(R$277, lmic_raw_ub[#Headers],0)))</f>
        <v>46.76427000000001</v>
      </c>
      <c r="S360" s="84">
        <f>IF(INDEX(lmic_raw_ub[],MATCH($A360,lmic_raw_ub[[setting]:[setting]],0), MATCH(S$277, lmic_raw_ub[#Headers],0))=0, INDEX(regions_ub[], MATCH($D360, regions_ub[[setting]:[setting]],0), MATCH(S$139, regions_ub[#Headers],0)),INDEX(lmic_raw_ub[],MATCH($A360,lmic_raw_ub[[setting]:[setting]],0), MATCH(S$277, lmic_raw_ub[#Headers],0)))</f>
        <v>96.893370000000019</v>
      </c>
      <c r="T360" s="84">
        <f>IF(INDEX(lmic_raw_ub[],MATCH($A360,lmic_raw_ub[[setting]:[setting]],0), MATCH(T$277, lmic_raw_ub[#Headers],0))=0, INDEX(regions_ub[], MATCH($D360, regions_ub[[setting]:[setting]],0), MATCH(T$139, regions_ub[#Headers],0)),INDEX(lmic_raw_ub[],MATCH($A360,lmic_raw_ub[[setting]:[setting]],0), MATCH(T$277, lmic_raw_ub[#Headers],0)))</f>
        <v>96.893370000000019</v>
      </c>
      <c r="U360" s="84">
        <f>IF(INDEX(lmic_raw_ub[],MATCH($A360,lmic_raw_ub[[setting]:[setting]],0), MATCH(U$277, lmic_raw_ub[#Headers],0))=0, INDEX(regions_ub[], MATCH($D360, regions_ub[[setting]:[setting]],0), MATCH(U$139, regions_ub[#Headers],0)),INDEX(lmic_raw_ub[],MATCH($A360,lmic_raw_ub[[setting]:[setting]],0), MATCH(U$277, lmic_raw_ub[#Headers],0)))</f>
        <v>96.893370000000019</v>
      </c>
      <c r="V360" s="84">
        <f>IF(INDEX(lmic_raw_ub[],MATCH($A360,lmic_raw_ub[[setting]:[setting]],0), MATCH(V$277, lmic_raw_ub[#Headers],0))=0, INDEX(regions_ub[], MATCH($D360, regions_ub[[setting]:[setting]],0), MATCH(V$139, regions_ub[#Headers],0)),INDEX(lmic_raw_ub[],MATCH($A360,lmic_raw_ub[[setting]:[setting]],0), MATCH(V$277, lmic_raw_ub[#Headers],0)))</f>
        <v>18.688546102405077</v>
      </c>
      <c r="W360" s="84">
        <f>IF(INDEX(lmic_raw_ub[],MATCH($A360,lmic_raw_ub[[setting]:[setting]],0), MATCH(W$277, lmic_raw_ub[#Headers],0))=0, INDEX(regions_ub[], MATCH($D360, regions_ub[[setting]:[setting]],0), MATCH(W$139, regions_ub[#Headers],0)),INDEX(lmic_raw_ub[],MATCH($A360,lmic_raw_ub[[setting]:[setting]],0), MATCH(W$277, lmic_raw_ub[#Headers],0)))</f>
        <v>22.957531102405078</v>
      </c>
      <c r="X360" s="84">
        <f>IF(INDEX(lmic_raw_ub[],MATCH($A360,lmic_raw_ub[[setting]:[setting]],0), MATCH(X$277, lmic_raw_ub[#Headers],0))=0, INDEX(regions_ub[], MATCH($D360, regions_ub[[setting]:[setting]],0), MATCH(X$139, regions_ub[#Headers],0)),INDEX(lmic_raw_ub[],MATCH($A360,lmic_raw_ub[[setting]:[setting]],0), MATCH(X$277, lmic_raw_ub[#Headers],0)))</f>
        <v>18.152037973068062</v>
      </c>
      <c r="Y360" s="84">
        <f>IF(INDEX(lmic_raw_ub[],MATCH($A360,lmic_raw_ub[[setting]:[setting]],0), MATCH(Y$277, lmic_raw_ub[#Headers],0))=0, INDEX(regions_ub[], MATCH($D360, regions_ub[[setting]:[setting]],0), MATCH(Y$139, regions_ub[#Headers],0)),INDEX(lmic_raw_ub[],MATCH($A360,lmic_raw_ub[[setting]:[setting]],0), MATCH(Y$277, lmic_raw_ub[#Headers],0)))</f>
        <v>22.421022973068062</v>
      </c>
      <c r="Z360" s="84">
        <f>IF(INDEX(lmic_raw_ub[],MATCH($A360,lmic_raw_ub[[setting]:[setting]],0), MATCH(Z$277, lmic_raw_ub[#Headers],0))=0, INDEX(regions_ub[], MATCH($D360, regions_ub[[setting]:[setting]],0), MATCH(Z$139, regions_ub[#Headers],0)),INDEX(lmic_raw_ub[],MATCH($A360,lmic_raw_ub[[setting]:[setting]],0), MATCH(Z$277, lmic_raw_ub[#Headers],0)))</f>
        <v>22.391530726019163</v>
      </c>
      <c r="AA360" s="84">
        <f>IF(INDEX(lmic_raw_ub[],MATCH($A360,lmic_raw_ub[[setting]:[setting]],0), MATCH(AA$277, lmic_raw_ub[#Headers],0))=0, INDEX(regions_ub[], MATCH($D360, regions_ub[[setting]:[setting]],0), MATCH(AA$139, regions_ub[#Headers],0)),INDEX(lmic_raw_ub[],MATCH($A360,lmic_raw_ub[[setting]:[setting]],0), MATCH(AA$277, lmic_raw_ub[#Headers],0)))</f>
        <v>18.966404601106881</v>
      </c>
      <c r="AB360" s="84">
        <f>IF(INDEX(lmic_raw_ub[],MATCH($A360,lmic_raw_ub[[setting]:[setting]],0), MATCH(AB$277, lmic_raw_ub[#Headers],0))=0, INDEX(regions_ub[], MATCH($D360, regions_ub[[setting]:[setting]],0), MATCH(AB$139, regions_ub[#Headers],0)),INDEX(lmic_raw_ub[],MATCH($A360,lmic_raw_ub[[setting]:[setting]],0), MATCH(AB$277, lmic_raw_ub[#Headers],0)))</f>
        <v>23.235389601106881</v>
      </c>
      <c r="AC360" s="84">
        <f>IF(INDEX(lmic_raw_ub[],MATCH($A360,lmic_raw_ub[[setting]:[setting]],0), MATCH(AC$277, lmic_raw_ub[#Headers],0))=0, INDEX(regions_ub[], MATCH($D360, regions_ub[[setting]:[setting]],0), MATCH(AC$139, regions_ub[#Headers],0)),INDEX(lmic_raw_ub[],MATCH($A360,lmic_raw_ub[[setting]:[setting]],0), MATCH(AC$277, lmic_raw_ub[#Headers],0)))</f>
        <v>2.8969395000000512E-3</v>
      </c>
      <c r="AD360" s="84">
        <f>IF(INDEX(lmic_raw_ub[],MATCH($A360,lmic_raw_ub[[setting]:[setting]],0), MATCH(AD$277, lmic_raw_ub[#Headers],0))=0, INDEX(regions_ub[], MATCH($D360, regions_ub[[setting]:[setting]],0), MATCH(AD$139, regions_ub[#Headers],0)),INDEX(lmic_raw_ub[],MATCH($A360,lmic_raw_ub[[setting]:[setting]],0), MATCH(AD$277, lmic_raw_ub[#Headers],0)))</f>
        <v>1.152720343901655E-4</v>
      </c>
      <c r="AE360" s="84">
        <f>IF(INDEX(lmic_raw_ub[],MATCH($A360,lmic_raw_ub[[setting]:[setting]],0), MATCH(AE$277, lmic_raw_ub[#Headers],0))=0, INDEX(regions_ub[], MATCH($D360, regions_ub[[setting]:[setting]],0), MATCH(AE$139, regions_ub[#Headers],0)),INDEX(lmic_raw_ub[],MATCH($A360,lmic_raw_ub[[setting]:[setting]],0), MATCH(AE$277, lmic_raw_ub[#Headers],0)))</f>
        <v>1.3611193761446416E-4</v>
      </c>
      <c r="AF360" s="84">
        <f>IF(INDEX(lmic_raw_ub[],MATCH($A360,lmic_raw_ub[[setting]:[setting]],0), MATCH(AF$277, lmic_raw_ub[#Headers],0))=0, INDEX(regions_ub[], MATCH($D360, regions_ub[[setting]:[setting]],0), MATCH(AF$139, regions_ub[#Headers],0)),INDEX(lmic_raw_ub[],MATCH($A360,lmic_raw_ub[[setting]:[setting]],0), MATCH(AF$277, lmic_raw_ub[#Headers],0)))</f>
        <v>1.4795288144386952E-4</v>
      </c>
      <c r="AG360" s="84">
        <f>IF(INDEX(lmic_raw_ub[],MATCH($A360,lmic_raw_ub[[setting]:[setting]],0), MATCH(AG$277, lmic_raw_ub[#Headers],0))=0, INDEX(regions_ub[], MATCH($D360, regions_ub[[setting]:[setting]],0), MATCH(AG$139, regions_ub[#Headers],0)),INDEX(lmic_raw_ub[],MATCH($A360,lmic_raw_ub[[setting]:[setting]],0), MATCH(AG$277, lmic_raw_ub[#Headers],0)))</f>
        <v>2.7283719594486337E-4</v>
      </c>
      <c r="AH360" s="84">
        <f>IF(INDEX(lmic_raw_ub[],MATCH($A360,lmic_raw_ub[[setting]:[setting]],0), MATCH(AH$277, lmic_raw_ub[#Headers],0))=0, INDEX(regions_ub[], MATCH($D360, regions_ub[[setting]:[setting]],0), MATCH(AH$139, regions_ub[#Headers],0)),INDEX(lmic_raw_ub[],MATCH($A360,lmic_raw_ub[[setting]:[setting]],0), MATCH(AH$277, lmic_raw_ub[#Headers],0)))</f>
        <v>4.0437429373924597E-4</v>
      </c>
      <c r="AI360" s="84">
        <f>IF(INDEX(lmic_raw_ub[],MATCH($A360,lmic_raw_ub[[setting]:[setting]],0), MATCH(AI$277, lmic_raw_ub[#Headers],0))=0, INDEX(regions_ub[], MATCH($D360, regions_ub[[setting]:[setting]],0), MATCH(AI$139, regions_ub[#Headers],0)),INDEX(lmic_raw_ub[],MATCH($A360,lmic_raw_ub[[setting]:[setting]],0), MATCH(AI$277, lmic_raw_ub[#Headers],0)))</f>
        <v>6.1523752274270397E-4</v>
      </c>
      <c r="AJ360" s="84">
        <f>IF(INDEX(lmic_raw_ub[],MATCH($A360,lmic_raw_ub[[setting]:[setting]],0), MATCH(AJ$277, lmic_raw_ub[#Headers],0))=0, INDEX(regions_ub[], MATCH($D360, regions_ub[[setting]:[setting]],0), MATCH(AJ$139, regions_ub[#Headers],0)),INDEX(lmic_raw_ub[],MATCH($A360,lmic_raw_ub[[setting]:[setting]],0), MATCH(AJ$277, lmic_raw_ub[#Headers],0)))</f>
        <v>6.126217290685521E-4</v>
      </c>
      <c r="AK360" s="84">
        <f>IF(INDEX(lmic_raw_ub[],MATCH($A360,lmic_raw_ub[[setting]:[setting]],0), MATCH(AK$277, lmic_raw_ub[#Headers],0))=0, INDEX(regions_ub[], MATCH($D360, regions_ub[[setting]:[setting]],0), MATCH(AK$139, regions_ub[#Headers],0)),INDEX(lmic_raw_ub[],MATCH($A360,lmic_raw_ub[[setting]:[setting]],0), MATCH(AK$277, lmic_raw_ub[#Headers],0)))</f>
        <v>1.0195189261516468E-3</v>
      </c>
      <c r="AL360" s="84">
        <f>IF(INDEX(lmic_raw_ub[],MATCH($A360,lmic_raw_ub[[setting]:[setting]],0), MATCH(AL$277, lmic_raw_ub[#Headers],0))=0, INDEX(regions_ub[], MATCH($D360, regions_ub[[setting]:[setting]],0), MATCH(AL$139, regions_ub[#Headers],0)),INDEX(lmic_raw_ub[],MATCH($A360,lmic_raw_ub[[setting]:[setting]],0), MATCH(AL$277, lmic_raw_ub[#Headers],0)))</f>
        <v>1.5823418956001213E-3</v>
      </c>
      <c r="AM360" s="84">
        <f>IF(INDEX(lmic_raw_ub[],MATCH($A360,lmic_raw_ub[[setting]:[setting]],0), MATCH(AM$277, lmic_raw_ub[#Headers],0))=0, INDEX(regions_ub[], MATCH($D360, regions_ub[[setting]:[setting]],0), MATCH(AM$139, regions_ub[#Headers],0)),INDEX(lmic_raw_ub[],MATCH($A360,lmic_raw_ub[[setting]:[setting]],0), MATCH(AM$277, lmic_raw_ub[#Headers],0)))</f>
        <v>2.6890849705933631E-3</v>
      </c>
      <c r="AN360" s="84">
        <f>IF(INDEX(lmic_raw_ub[],MATCH($A360,lmic_raw_ub[[setting]:[setting]],0), MATCH(AN$277, lmic_raw_ub[#Headers],0))=0, INDEX(regions_ub[], MATCH($D360, regions_ub[[setting]:[setting]],0), MATCH(AN$139, regions_ub[#Headers],0)),INDEX(lmic_raw_ub[],MATCH($A360,lmic_raw_ub[[setting]:[setting]],0), MATCH(AN$277, lmic_raw_ub[#Headers],0)))</f>
        <v>5.0212209947922354E-3</v>
      </c>
      <c r="AO360" s="84">
        <f>IF(INDEX(lmic_raw_ub[],MATCH($A360,lmic_raw_ub[[setting]:[setting]],0), MATCH(AO$277, lmic_raw_ub[#Headers],0))=0, INDEX(regions_ub[], MATCH($D360, regions_ub[[setting]:[setting]],0), MATCH(AO$139, regions_ub[#Headers],0)),INDEX(lmic_raw_ub[],MATCH($A360,lmic_raw_ub[[setting]:[setting]],0), MATCH(AO$277, lmic_raw_ub[#Headers],0)))</f>
        <v>8.9573477844137606E-3</v>
      </c>
      <c r="AP360" s="84">
        <f>IF(INDEX(lmic_raw_ub[],MATCH($A360,lmic_raw_ub[[setting]:[setting]],0), MATCH(AP$277, lmic_raw_ub[#Headers],0))=0, INDEX(regions_ub[], MATCH($D360, regions_ub[[setting]:[setting]],0), MATCH(AP$139, regions_ub[#Headers],0)),INDEX(lmic_raw_ub[],MATCH($A360,lmic_raw_ub[[setting]:[setting]],0), MATCH(AP$277, lmic_raw_ub[#Headers],0)))</f>
        <v>1.3434836081374382E-2</v>
      </c>
      <c r="AQ360" s="84">
        <f>IF(INDEX(lmic_raw_ub[],MATCH($A360,lmic_raw_ub[[setting]:[setting]],0), MATCH(AQ$277, lmic_raw_ub[#Headers],0))=0, INDEX(regions_ub[], MATCH($D360, regions_ub[[setting]:[setting]],0), MATCH(AQ$139, regions_ub[#Headers],0)),INDEX(lmic_raw_ub[],MATCH($A360,lmic_raw_ub[[setting]:[setting]],0), MATCH(AQ$277, lmic_raw_ub[#Headers],0)))</f>
        <v>2.2245462757218587E-2</v>
      </c>
      <c r="AR360" s="84">
        <f>IF(INDEX(lmic_raw_ub[],MATCH($A360,lmic_raw_ub[[setting]:[setting]],0), MATCH(AR$277, lmic_raw_ub[#Headers],0))=0, INDEX(regions_ub[], MATCH($D360, regions_ub[[setting]:[setting]],0), MATCH(AR$139, regions_ub[#Headers],0)),INDEX(lmic_raw_ub[],MATCH($A360,lmic_raw_ub[[setting]:[setting]],0), MATCH(AR$277, lmic_raw_ub[#Headers],0)))</f>
        <v>3.2524136012094994E-2</v>
      </c>
      <c r="AS360" s="84">
        <f>IF(INDEX(lmic_raw_ub[],MATCH($A360,lmic_raw_ub[[setting]:[setting]],0), MATCH(AS$277, lmic_raw_ub[#Headers],0))=0, INDEX(regions_ub[], MATCH($D360, regions_ub[[setting]:[setting]],0), MATCH(AS$139, regions_ub[#Headers],0)),INDEX(lmic_raw_ub[],MATCH($A360,lmic_raw_ub[[setting]:[setting]],0), MATCH(AS$277, lmic_raw_ub[#Headers],0)))</f>
        <v>5.4023972887745977E-2</v>
      </c>
      <c r="AT360" s="84">
        <f>IF(INDEX(lmic_raw_ub[],MATCH($A360,lmic_raw_ub[[setting]:[setting]],0), MATCH(AT$277, lmic_raw_ub[#Headers],0))=0, INDEX(regions_ub[], MATCH($D360, regions_ub[[setting]:[setting]],0), MATCH(AT$139, regions_ub[#Headers],0)),INDEX(lmic_raw_ub[],MATCH($A360,lmic_raw_ub[[setting]:[setting]],0), MATCH(AT$277, lmic_raw_ub[#Headers],0)))</f>
        <v>8.5175940372233194E-2</v>
      </c>
      <c r="AU360" s="84">
        <f>IF(INDEX(lmic_raw_ub[],MATCH($A360,lmic_raw_ub[[setting]:[setting]],0), MATCH(AU$277, lmic_raw_ub[#Headers],0))=0, INDEX(regions_ub[], MATCH($D360, regions_ub[[setting]:[setting]],0), MATCH(AU$139, regions_ub[#Headers],0)),INDEX(lmic_raw_ub[],MATCH($A360,lmic_raw_ub[[setting]:[setting]],0), MATCH(AU$277, lmic_raw_ub[#Headers],0)))</f>
        <v>0.12348664567779409</v>
      </c>
      <c r="AV360" s="84">
        <f>IF(INDEX(lmic_raw_ub[],MATCH($A360,lmic_raw_ub[[setting]:[setting]],0), MATCH(AV$277, lmic_raw_ub[#Headers],0))=0, INDEX(regions_ub[], MATCH($D360, regions_ub[[setting]:[setting]],0), MATCH(AV$139, regions_ub[#Headers],0)),INDEX(lmic_raw_ub[],MATCH($A360,lmic_raw_ub[[setting]:[setting]],0), MATCH(AV$277, lmic_raw_ub[#Headers],0)))</f>
        <v>0.1635715559194573</v>
      </c>
      <c r="AW360" s="84">
        <f>IF(INDEX(lmic_raw_ub[],MATCH($A360,lmic_raw_ub[[setting]:[setting]],0), MATCH(AW$277, lmic_raw_ub[#Headers],0))=0, INDEX(regions_ub[], MATCH($D360, regions_ub[[setting]:[setting]],0), MATCH(AW$139, regions_ub[#Headers],0)),INDEX(lmic_raw_ub[],MATCH($A360,lmic_raw_ub[[setting]:[setting]],0), MATCH(AW$277, lmic_raw_ub[#Headers],0)))</f>
        <v>0.18807840888893518</v>
      </c>
      <c r="AX360" s="84">
        <f>IF(INDEX(lmic_raw_ub[],MATCH($A360,lmic_raw_ub[[setting]:[setting]],0), MATCH(AX$277, lmic_raw_ub[#Headers],0))=0, INDEX(regions_ub[], MATCH($D360, regions_ub[[setting]:[setting]],0), MATCH(AX$139, regions_ub[#Headers],0)),INDEX(lmic_raw_ub[],MATCH($A360,lmic_raw_ub[[setting]:[setting]],0), MATCH(AX$277, lmic_raw_ub[#Headers],0)))</f>
        <v>80.4846</v>
      </c>
      <c r="AY360" s="33" t="str">
        <f>IF(VLOOKUP(lmics_ub[[#This Row],[setting]],lmic_raw_ub[],11,FALSE)=0, "Yes", "No")</f>
        <v>Yes</v>
      </c>
    </row>
    <row r="361" spans="1:51" x14ac:dyDescent="0.25">
      <c r="A361" s="110" t="s">
        <v>160</v>
      </c>
      <c r="B361" s="104" t="s">
        <v>475</v>
      </c>
      <c r="C361" s="105">
        <v>504</v>
      </c>
      <c r="D361" s="84" t="s">
        <v>673</v>
      </c>
      <c r="E361" s="84" t="s">
        <v>579</v>
      </c>
      <c r="F361" s="84" t="s">
        <v>579</v>
      </c>
      <c r="G361" s="84" t="s">
        <v>678</v>
      </c>
      <c r="J361" s="84">
        <f>IF(INDEX(lmic_raw_ub[],MATCH($A361,lmic_raw_ub[[setting]:[setting]],0), MATCH(J$277, lmic_raw_ub[#Headers],0))=0, INDEX(regions_ub[], MATCH($D361, regions_ub[[setting]:[setting]],0), MATCH(J$139, regions_ub[#Headers],0)),INDEX(lmic_raw_ub[],MATCH($A361,lmic_raw_ub[[setting]:[setting]],0), MATCH(J$277, lmic_raw_ub[#Headers],0)))</f>
        <v>0.90405000000000002</v>
      </c>
      <c r="K361" s="84">
        <f>IF(INDEX(lmic_raw_ub[],MATCH($A361,lmic_raw_ub[[setting]:[setting]],0), MATCH(K$277, lmic_raw_ub[#Headers],0))=0, INDEX(regions_ub[], MATCH($D361, regions_ub[[setting]:[setting]],0), MATCH(K$139, regions_ub[#Headers],0)),INDEX(lmic_raw_ub[],MATCH($A361,lmic_raw_ub[[setting]:[setting]],0), MATCH(K$277, lmic_raw_ub[#Headers],0)))</f>
        <v>0.43049999999999999</v>
      </c>
      <c r="L361" s="84">
        <f>IF(INDEX(lmic_raw_ub[],MATCH($A361,lmic_raw_ub[[setting]:[setting]],0), MATCH(L$277, lmic_raw_ub[#Headers],0))=0, INDEX(regions_ub[], MATCH($D361, regions_ub[[setting]:[setting]],0), MATCH(L$139, regions_ub[#Headers],0)),INDEX(lmic_raw_ub[],MATCH($A361,lmic_raw_ub[[setting]:[setting]],0), MATCH(L$277, lmic_raw_ub[#Headers],0)))</f>
        <v>0.99990000000000001</v>
      </c>
      <c r="M361" s="84">
        <f>IF(INDEX(lmic_raw_ub[],MATCH($A361,lmic_raw_ub[[setting]:[setting]],0), MATCH(M$277, lmic_raw_ub[#Headers],0))=0, INDEX(regions_ub[], MATCH($D361, regions_ub[[setting]:[setting]],0), MATCH(M$139, regions_ub[#Headers],0)),INDEX(lmic_raw_ub[],MATCH($A361,lmic_raw_ub[[setting]:[setting]],0), MATCH(M$277, lmic_raw_ub[#Headers],0)))</f>
        <v>1.8700000000000001E-2</v>
      </c>
      <c r="N361" s="84">
        <f>IF(INDEX(lmic_raw_ub[],MATCH($A361,lmic_raw_ub[[setting]:[setting]],0), MATCH(N$277, lmic_raw_ub[#Headers],0))=0, INDEX(regions_ub[], MATCH($D361, regions_ub[[setting]:[setting]],0), MATCH(N$139, regions_ub[#Headers],0)),INDEX(lmic_raw_ub[],MATCH($A361,lmic_raw_ub[[setting]:[setting]],0), MATCH(N$277, lmic_raw_ub[#Headers],0)))</f>
        <v>0.37619999999999998</v>
      </c>
      <c r="O361" s="84">
        <f>IF(INDEX(lmic_raw_ub[],MATCH($A361,lmic_raw_ub[[setting]:[setting]],0), MATCH(O$277, lmic_raw_ub[#Headers],0))=0, INDEX(regions_ub[], MATCH($D361, regions_ub[[setting]:[setting]],0), MATCH(O$139, regions_ub[#Headers],0)),INDEX(lmic_raw_ub[],MATCH($A361,lmic_raw_ub[[setting]:[setting]],0), MATCH(O$277, lmic_raw_ub[#Headers],0)))</f>
        <v>0.9</v>
      </c>
      <c r="P361" s="84">
        <f>IF(INDEX(lmic_raw_ub[],MATCH($A361,lmic_raw_ub[[setting]:[setting]],0), MATCH(P$277, lmic_raw_ub[#Headers],0))=0, INDEX(regions_ub[], MATCH($D361, regions_ub[[setting]:[setting]],0), MATCH(P$139, regions_ub[#Headers],0)),INDEX(lmic_raw_ub[],MATCH($A361,lmic_raw_ub[[setting]:[setting]],0), MATCH(P$277, lmic_raw_ub[#Headers],0)))</f>
        <v>0.3</v>
      </c>
      <c r="Q361" s="84">
        <f>IF(INDEX(lmic_raw_ub[],MATCH($A361,lmic_raw_ub[[setting]:[setting]],0), MATCH(Q$277, lmic_raw_ub[#Headers],0))=0, INDEX(regions_ub[], MATCH($D361, regions_ub[[setting]:[setting]],0), MATCH(Q$139, regions_ub[#Headers],0)),INDEX(lmic_raw_ub[],MATCH($A361,lmic_raw_ub[[setting]:[setting]],0), MATCH(Q$277, lmic_raw_ub[#Headers],0)))</f>
        <v>7.4023034273234574</v>
      </c>
      <c r="R361" s="84">
        <f>IF(INDEX(lmic_raw_ub[],MATCH($A361,lmic_raw_ub[[setting]:[setting]],0), MATCH(R$277, lmic_raw_ub[#Headers],0))=0, INDEX(regions_ub[], MATCH($D361, regions_ub[[setting]:[setting]],0), MATCH(R$139, regions_ub[#Headers],0)),INDEX(lmic_raw_ub[],MATCH($A361,lmic_raw_ub[[setting]:[setting]],0), MATCH(R$277, lmic_raw_ub[#Headers],0)))</f>
        <v>48.652695000000001</v>
      </c>
      <c r="S361" s="84">
        <f>IF(INDEX(lmic_raw_ub[],MATCH($A361,lmic_raw_ub[[setting]:[setting]],0), MATCH(S$277, lmic_raw_ub[#Headers],0))=0, INDEX(regions_ub[], MATCH($D361, regions_ub[[setting]:[setting]],0), MATCH(S$139, regions_ub[#Headers],0)),INDEX(lmic_raw_ub[],MATCH($A361,lmic_raw_ub[[setting]:[setting]],0), MATCH(S$277, lmic_raw_ub[#Headers],0)))</f>
        <v>98.781795000000017</v>
      </c>
      <c r="T361" s="84">
        <f>IF(INDEX(lmic_raw_ub[],MATCH($A361,lmic_raw_ub[[setting]:[setting]],0), MATCH(T$277, lmic_raw_ub[#Headers],0))=0, INDEX(regions_ub[], MATCH($D361, regions_ub[[setting]:[setting]],0), MATCH(T$139, regions_ub[#Headers],0)),INDEX(lmic_raw_ub[],MATCH($A361,lmic_raw_ub[[setting]:[setting]],0), MATCH(T$277, lmic_raw_ub[#Headers],0)))</f>
        <v>98.781795000000017</v>
      </c>
      <c r="U361" s="84">
        <f>IF(INDEX(lmic_raw_ub[],MATCH($A361,lmic_raw_ub[[setting]:[setting]],0), MATCH(U$277, lmic_raw_ub[#Headers],0))=0, INDEX(regions_ub[], MATCH($D361, regions_ub[[setting]:[setting]],0), MATCH(U$139, regions_ub[#Headers],0)),INDEX(lmic_raw_ub[],MATCH($A361,lmic_raw_ub[[setting]:[setting]],0), MATCH(U$277, lmic_raw_ub[#Headers],0)))</f>
        <v>98.781795000000017</v>
      </c>
      <c r="V361" s="84">
        <f>IF(INDEX(lmic_raw_ub[],MATCH($A361,lmic_raw_ub[[setting]:[setting]],0), MATCH(V$277, lmic_raw_ub[#Headers],0))=0, INDEX(regions_ub[], MATCH($D361, regions_ub[[setting]:[setting]],0), MATCH(V$139, regions_ub[#Headers],0)),INDEX(lmic_raw_ub[],MATCH($A361,lmic_raw_ub[[setting]:[setting]],0), MATCH(V$277, lmic_raw_ub[#Headers],0)))</f>
        <v>7.8051944913246656</v>
      </c>
      <c r="W361" s="84">
        <f>IF(INDEX(lmic_raw_ub[],MATCH($A361,lmic_raw_ub[[setting]:[setting]],0), MATCH(W$277, lmic_raw_ub[#Headers],0))=0, INDEX(regions_ub[], MATCH($D361, regions_ub[[setting]:[setting]],0), MATCH(W$139, regions_ub[#Headers],0)),INDEX(lmic_raw_ub[],MATCH($A361,lmic_raw_ub[[setting]:[setting]],0), MATCH(W$277, lmic_raw_ub[#Headers],0)))</f>
        <v>8.3087744913246659</v>
      </c>
      <c r="X361" s="84">
        <f>IF(INDEX(lmic_raw_ub[],MATCH($A361,lmic_raw_ub[[setting]:[setting]],0), MATCH(X$277, lmic_raw_ub[#Headers],0))=0, INDEX(regions_ub[], MATCH($D361, regions_ub[[setting]:[setting]],0), MATCH(X$139, regions_ub[#Headers],0)),INDEX(lmic_raw_ub[],MATCH($A361,lmic_raw_ub[[setting]:[setting]],0), MATCH(X$277, lmic_raw_ub[#Headers],0)))</f>
        <v>7.2855034766050224</v>
      </c>
      <c r="Y361" s="84">
        <f>IF(INDEX(lmic_raw_ub[],MATCH($A361,lmic_raw_ub[[setting]:[setting]],0), MATCH(Y$277, lmic_raw_ub[#Headers],0))=0, INDEX(regions_ub[], MATCH($D361, regions_ub[[setting]:[setting]],0), MATCH(Y$139, regions_ub[#Headers],0)),INDEX(lmic_raw_ub[],MATCH($A361,lmic_raw_ub[[setting]:[setting]],0), MATCH(Y$277, lmic_raw_ub[#Headers],0)))</f>
        <v>7.7890834766050228</v>
      </c>
      <c r="Z361" s="84">
        <f>IF(INDEX(lmic_raw_ub[],MATCH($A361,lmic_raw_ub[[setting]:[setting]],0), MATCH(Z$277, lmic_raw_ub[#Headers],0))=0, INDEX(regions_ub[], MATCH($D361, regions_ub[[setting]:[setting]],0), MATCH(Z$139, regions_ub[#Headers],0)),INDEX(lmic_raw_ub[],MATCH($A361,lmic_raw_ub[[setting]:[setting]],0), MATCH(Z$277, lmic_raw_ub[#Headers],0)))</f>
        <v>7.768214037060245</v>
      </c>
      <c r="AA361" s="84">
        <f>IF(INDEX(lmic_raw_ub[],MATCH($A361,lmic_raw_ub[[setting]:[setting]],0), MATCH(AA$277, lmic_raw_ub[#Headers],0))=0, INDEX(regions_ub[], MATCH($D361, regions_ub[[setting]:[setting]],0), MATCH(AA$139, regions_ub[#Headers],0)),INDEX(lmic_raw_ub[],MATCH($A361,lmic_raw_ub[[setting]:[setting]],0), MATCH(AA$277, lmic_raw_ub[#Headers],0)))</f>
        <v>8.0792356081808041</v>
      </c>
      <c r="AB361" s="84">
        <f>IF(INDEX(lmic_raw_ub[],MATCH($A361,lmic_raw_ub[[setting]:[setting]],0), MATCH(AB$277, lmic_raw_ub[#Headers],0))=0, INDEX(regions_ub[], MATCH($D361, regions_ub[[setting]:[setting]],0), MATCH(AB$139, regions_ub[#Headers],0)),INDEX(lmic_raw_ub[],MATCH($A361,lmic_raw_ub[[setting]:[setting]],0), MATCH(AB$277, lmic_raw_ub[#Headers],0)))</f>
        <v>8.5828156081808036</v>
      </c>
      <c r="AC361" s="84">
        <f>IF(INDEX(lmic_raw_ub[],MATCH($A361,lmic_raw_ub[[setting]:[setting]],0), MATCH(AC$277, lmic_raw_ub[#Headers],0))=0, INDEX(regions_ub[], MATCH($D361, regions_ub[[setting]:[setting]],0), MATCH(AC$139, regions_ub[#Headers],0)),INDEX(lmic_raw_ub[],MATCH($A361,lmic_raw_ub[[setting]:[setting]],0), MATCH(AC$277, lmic_raw_ub[#Headers],0)))</f>
        <v>2.0862166500000071E-2</v>
      </c>
      <c r="AD361" s="84">
        <f>IF(INDEX(lmic_raw_ub[],MATCH($A361,lmic_raw_ub[[setting]:[setting]],0), MATCH(AD$277, lmic_raw_ub[#Headers],0))=0, INDEX(regions_ub[], MATCH($D361, regions_ub[[setting]:[setting]],0), MATCH(AD$139, regions_ub[#Headers],0)),INDEX(lmic_raw_ub[],MATCH($A361,lmic_raw_ub[[setting]:[setting]],0), MATCH(AD$277, lmic_raw_ub[#Headers],0)))</f>
        <v>9.4666248124088831E-4</v>
      </c>
      <c r="AE361" s="84">
        <f>IF(INDEX(lmic_raw_ub[],MATCH($A361,lmic_raw_ub[[setting]:[setting]],0), MATCH(AE$277, lmic_raw_ub[#Headers],0))=0, INDEX(regions_ub[], MATCH($D361, regions_ub[[setting]:[setting]],0), MATCH(AE$139, regions_ub[#Headers],0)),INDEX(lmic_raw_ub[],MATCH($A361,lmic_raw_ub[[setting]:[setting]],0), MATCH(AE$277, lmic_raw_ub[#Headers],0)))</f>
        <v>4.4193693119488171E-4</v>
      </c>
      <c r="AF361" s="84">
        <f>IF(INDEX(lmic_raw_ub[],MATCH($A361,lmic_raw_ub[[setting]:[setting]],0), MATCH(AF$277, lmic_raw_ub[#Headers],0))=0, INDEX(regions_ub[], MATCH($D361, regions_ub[[setting]:[setting]],0), MATCH(AF$139, regions_ub[#Headers],0)),INDEX(lmic_raw_ub[],MATCH($A361,lmic_raw_ub[[setting]:[setting]],0), MATCH(AF$277, lmic_raw_ub[#Headers],0)))</f>
        <v>2.6853862275198694E-4</v>
      </c>
      <c r="AG361" s="84">
        <f>IF(INDEX(lmic_raw_ub[],MATCH($A361,lmic_raw_ub[[setting]:[setting]],0), MATCH(AG$277, lmic_raw_ub[#Headers],0))=0, INDEX(regions_ub[], MATCH($D361, regions_ub[[setting]:[setting]],0), MATCH(AG$139, regions_ub[#Headers],0)),INDEX(lmic_raw_ub[],MATCH($A361,lmic_raw_ub[[setting]:[setting]],0), MATCH(AG$277, lmic_raw_ub[#Headers],0)))</f>
        <v>4.3570091449543936E-4</v>
      </c>
      <c r="AH361" s="84">
        <f>IF(INDEX(lmic_raw_ub[],MATCH($A361,lmic_raw_ub[[setting]:[setting]],0), MATCH(AH$277, lmic_raw_ub[#Headers],0))=0, INDEX(regions_ub[], MATCH($D361, regions_ub[[setting]:[setting]],0), MATCH(AH$139, regions_ub[#Headers],0)),INDEX(lmic_raw_ub[],MATCH($A361,lmic_raw_ub[[setting]:[setting]],0), MATCH(AH$277, lmic_raw_ub[#Headers],0)))</f>
        <v>6.3478528684053929E-4</v>
      </c>
      <c r="AI361" s="84">
        <f>IF(INDEX(lmic_raw_ub[],MATCH($A361,lmic_raw_ub[[setting]:[setting]],0), MATCH(AI$277, lmic_raw_ub[#Headers],0))=0, INDEX(regions_ub[], MATCH($D361, regions_ub[[setting]:[setting]],0), MATCH(AI$139, regions_ub[#Headers],0)),INDEX(lmic_raw_ub[],MATCH($A361,lmic_raw_ub[[setting]:[setting]],0), MATCH(AI$277, lmic_raw_ub[#Headers],0)))</f>
        <v>7.0242032585544564E-4</v>
      </c>
      <c r="AJ361" s="84">
        <f>IF(INDEX(lmic_raw_ub[],MATCH($A361,lmic_raw_ub[[setting]:[setting]],0), MATCH(AJ$277, lmic_raw_ub[#Headers],0))=0, INDEX(regions_ub[], MATCH($D361, regions_ub[[setting]:[setting]],0), MATCH(AJ$139, regions_ub[#Headers],0)),INDEX(lmic_raw_ub[],MATCH($A361,lmic_raw_ub[[setting]:[setting]],0), MATCH(AJ$277, lmic_raw_ub[#Headers],0)))</f>
        <v>7.8003470932418335E-4</v>
      </c>
      <c r="AK361" s="84">
        <f>IF(INDEX(lmic_raw_ub[],MATCH($A361,lmic_raw_ub[[setting]:[setting]],0), MATCH(AK$277, lmic_raw_ub[#Headers],0))=0, INDEX(regions_ub[], MATCH($D361, regions_ub[[setting]:[setting]],0), MATCH(AK$139, regions_ub[#Headers],0)),INDEX(lmic_raw_ub[],MATCH($A361,lmic_raw_ub[[setting]:[setting]],0), MATCH(AK$277, lmic_raw_ub[#Headers],0)))</f>
        <v>1.0515156439193192E-3</v>
      </c>
      <c r="AL361" s="84">
        <f>IF(INDEX(lmic_raw_ub[],MATCH($A361,lmic_raw_ub[[setting]:[setting]],0), MATCH(AL$277, lmic_raw_ub[#Headers],0))=0, INDEX(regions_ub[], MATCH($D361, regions_ub[[setting]:[setting]],0), MATCH(AL$139, regions_ub[#Headers],0)),INDEX(lmic_raw_ub[],MATCH($A361,lmic_raw_ub[[setting]:[setting]],0), MATCH(AL$277, lmic_raw_ub[#Headers],0)))</f>
        <v>1.397339521428203E-3</v>
      </c>
      <c r="AM361" s="84">
        <f>IF(INDEX(lmic_raw_ub[],MATCH($A361,lmic_raw_ub[[setting]:[setting]],0), MATCH(AM$277, lmic_raw_ub[#Headers],0))=0, INDEX(regions_ub[], MATCH($D361, regions_ub[[setting]:[setting]],0), MATCH(AM$139, regions_ub[#Headers],0)),INDEX(lmic_raw_ub[],MATCH($A361,lmic_raw_ub[[setting]:[setting]],0), MATCH(AM$277, lmic_raw_ub[#Headers],0)))</f>
        <v>1.9954510388945019E-3</v>
      </c>
      <c r="AN361" s="84">
        <f>IF(INDEX(lmic_raw_ub[],MATCH($A361,lmic_raw_ub[[setting]:[setting]],0), MATCH(AN$277, lmic_raw_ub[#Headers],0))=0, INDEX(regions_ub[], MATCH($D361, regions_ub[[setting]:[setting]],0), MATCH(AN$139, regions_ub[#Headers],0)),INDEX(lmic_raw_ub[],MATCH($A361,lmic_raw_ub[[setting]:[setting]],0), MATCH(AN$277, lmic_raw_ub[#Headers],0)))</f>
        <v>3.0480811839353437E-3</v>
      </c>
      <c r="AO361" s="84">
        <f>IF(INDEX(lmic_raw_ub[],MATCH($A361,lmic_raw_ub[[setting]:[setting]],0), MATCH(AO$277, lmic_raw_ub[#Headers],0))=0, INDEX(regions_ub[], MATCH($D361, regions_ub[[setting]:[setting]],0), MATCH(AO$139, regions_ub[#Headers],0)),INDEX(lmic_raw_ub[],MATCH($A361,lmic_raw_ub[[setting]:[setting]],0), MATCH(AO$277, lmic_raw_ub[#Headers],0)))</f>
        <v>4.734788512861696E-3</v>
      </c>
      <c r="AP361" s="84">
        <f>IF(INDEX(lmic_raw_ub[],MATCH($A361,lmic_raw_ub[[setting]:[setting]],0), MATCH(AP$277, lmic_raw_ub[#Headers],0))=0, INDEX(regions_ub[], MATCH($D361, regions_ub[[setting]:[setting]],0), MATCH(AP$139, regions_ub[#Headers],0)),INDEX(lmic_raw_ub[],MATCH($A361,lmic_raw_ub[[setting]:[setting]],0), MATCH(AP$277, lmic_raw_ub[#Headers],0)))</f>
        <v>8.2143963870071075E-3</v>
      </c>
      <c r="AQ361" s="84">
        <f>IF(INDEX(lmic_raw_ub[],MATCH($A361,lmic_raw_ub[[setting]:[setting]],0), MATCH(AQ$277, lmic_raw_ub[#Headers],0))=0, INDEX(regions_ub[], MATCH($D361, regions_ub[[setting]:[setting]],0), MATCH(AQ$139, regions_ub[#Headers],0)),INDEX(lmic_raw_ub[],MATCH($A361,lmic_raw_ub[[setting]:[setting]],0), MATCH(AQ$277, lmic_raw_ub[#Headers],0)))</f>
        <v>1.4604283184008766E-2</v>
      </c>
      <c r="AR361" s="84">
        <f>IF(INDEX(lmic_raw_ub[],MATCH($A361,lmic_raw_ub[[setting]:[setting]],0), MATCH(AR$277, lmic_raw_ub[#Headers],0))=0, INDEX(regions_ub[], MATCH($D361, regions_ub[[setting]:[setting]],0), MATCH(AR$139, regions_ub[#Headers],0)),INDEX(lmic_raw_ub[],MATCH($A361,lmic_raw_ub[[setting]:[setting]],0), MATCH(AR$277, lmic_raw_ub[#Headers],0)))</f>
        <v>2.9116560091278738E-2</v>
      </c>
      <c r="AS361" s="84">
        <f>IF(INDEX(lmic_raw_ub[],MATCH($A361,lmic_raw_ub[[setting]:[setting]],0), MATCH(AS$277, lmic_raw_ub[#Headers],0))=0, INDEX(regions_ub[], MATCH($D361, regions_ub[[setting]:[setting]],0), MATCH(AS$139, regions_ub[#Headers],0)),INDEX(lmic_raw_ub[],MATCH($A361,lmic_raw_ub[[setting]:[setting]],0), MATCH(AS$277, lmic_raw_ub[#Headers],0)))</f>
        <v>4.9373031409501944E-2</v>
      </c>
      <c r="AT361" s="84">
        <f>IF(INDEX(lmic_raw_ub[],MATCH($A361,lmic_raw_ub[[setting]:[setting]],0), MATCH(AT$277, lmic_raw_ub[#Headers],0))=0, INDEX(regions_ub[], MATCH($D361, regions_ub[[setting]:[setting]],0), MATCH(AT$139, regions_ub[#Headers],0)),INDEX(lmic_raw_ub[],MATCH($A361,lmic_raw_ub[[setting]:[setting]],0), MATCH(AT$277, lmic_raw_ub[#Headers],0)))</f>
        <v>9.6599041178495201E-2</v>
      </c>
      <c r="AU361" s="84">
        <f>IF(INDEX(lmic_raw_ub[],MATCH($A361,lmic_raw_ub[[setting]:[setting]],0), MATCH(AU$277, lmic_raw_ub[#Headers],0))=0, INDEX(regions_ub[], MATCH($D361, regions_ub[[setting]:[setting]],0), MATCH(AU$139, regions_ub[#Headers],0)),INDEX(lmic_raw_ub[],MATCH($A361,lmic_raw_ub[[setting]:[setting]],0), MATCH(AU$277, lmic_raw_ub[#Headers],0)))</f>
        <v>0.14632697087111499</v>
      </c>
      <c r="AV361" s="84">
        <f>IF(INDEX(lmic_raw_ub[],MATCH($A361,lmic_raw_ub[[setting]:[setting]],0), MATCH(AV$277, lmic_raw_ub[#Headers],0))=0, INDEX(regions_ub[], MATCH($D361, regions_ub[[setting]:[setting]],0), MATCH(AV$139, regions_ub[#Headers],0)),INDEX(lmic_raw_ub[],MATCH($A361,lmic_raw_ub[[setting]:[setting]],0), MATCH(AV$277, lmic_raw_ub[#Headers],0)))</f>
        <v>0.18187956957538573</v>
      </c>
      <c r="AW361" s="84">
        <f>IF(INDEX(lmic_raw_ub[],MATCH($A361,lmic_raw_ub[[setting]:[setting]],0), MATCH(AW$277, lmic_raw_ub[#Headers],0))=0, INDEX(regions_ub[], MATCH($D361, regions_ub[[setting]:[setting]],0), MATCH(AW$139, regions_ub[#Headers],0)),INDEX(lmic_raw_ub[],MATCH($A361,lmic_raw_ub[[setting]:[setting]],0), MATCH(AW$277, lmic_raw_ub[#Headers],0)))</f>
        <v>0.19360462141849033</v>
      </c>
      <c r="AX361" s="84">
        <f>IF(INDEX(lmic_raw_ub[],MATCH($A361,lmic_raw_ub[[setting]:[setting]],0), MATCH(AX$277, lmic_raw_ub[#Headers],0))=0, INDEX(regions_ub[], MATCH($D361, regions_ub[[setting]:[setting]],0), MATCH(AX$139, regions_ub[#Headers],0)),INDEX(lmic_raw_ub[],MATCH($A361,lmic_raw_ub[[setting]:[setting]],0), MATCH(AX$277, lmic_raw_ub[#Headers],0)))</f>
        <v>80.146500000000003</v>
      </c>
      <c r="AY361" s="33" t="str">
        <f>IF(VLOOKUP(lmics_ub[[#This Row],[setting]],lmic_raw_ub[],11,FALSE)=0, "Yes", "No")</f>
        <v>No</v>
      </c>
    </row>
    <row r="362" spans="1:51" x14ac:dyDescent="0.25">
      <c r="A362" s="109" t="s">
        <v>111</v>
      </c>
      <c r="B362" s="101" t="s">
        <v>476</v>
      </c>
      <c r="C362" s="102">
        <v>508</v>
      </c>
      <c r="D362" s="82" t="s">
        <v>677</v>
      </c>
      <c r="E362" s="82" t="s">
        <v>597</v>
      </c>
      <c r="F362" s="82" t="s">
        <v>667</v>
      </c>
      <c r="G362" s="82" t="s">
        <v>674</v>
      </c>
      <c r="J362" s="84">
        <f>IF(INDEX(lmic_raw_ub[],MATCH($A362,lmic_raw_ub[[setting]:[setting]],0), MATCH(J$277, lmic_raw_ub[#Headers],0))=0, INDEX(regions_ub[], MATCH($D362, regions_ub[[setting]:[setting]],0), MATCH(J$139, regions_ub[#Headers],0)),INDEX(lmic_raw_ub[],MATCH($A362,lmic_raw_ub[[setting]:[setting]],0), MATCH(J$277, lmic_raw_ub[#Headers],0)))</f>
        <v>0.57539999999999991</v>
      </c>
      <c r="K362" s="84">
        <f>IF(INDEX(lmic_raw_ub[],MATCH($A362,lmic_raw_ub[[setting]:[setting]],0), MATCH(K$277, lmic_raw_ub[#Headers],0))=0, INDEX(regions_ub[], MATCH($D362, regions_ub[[setting]:[setting]],0), MATCH(K$139, regions_ub[#Headers],0)),INDEX(lmic_raw_ub[],MATCH($A362,lmic_raw_ub[[setting]:[setting]],0), MATCH(K$277, lmic_raw_ub[#Headers],0)))</f>
        <v>0.71433037619548323</v>
      </c>
      <c r="L362" s="84">
        <f>IF(INDEX(lmic_raw_ub[],MATCH($A362,lmic_raw_ub[[setting]:[setting]],0), MATCH(L$277, lmic_raw_ub[#Headers],0))=0, INDEX(regions_ub[], MATCH($D362, regions_ub[[setting]:[setting]],0), MATCH(L$139, regions_ub[#Headers],0)),INDEX(lmic_raw_ub[],MATCH($A362,lmic_raw_ub[[setting]:[setting]],0), MATCH(L$277, lmic_raw_ub[#Headers],0)))</f>
        <v>0.92400000000000004</v>
      </c>
      <c r="M362" s="84">
        <f>IF(INDEX(lmic_raw_ub[],MATCH($A362,lmic_raw_ub[[setting]:[setting]],0), MATCH(M$277, lmic_raw_ub[#Headers],0))=0, INDEX(regions_ub[], MATCH($D362, regions_ub[[setting]:[setting]],0), MATCH(M$139, regions_ub[#Headers],0)),INDEX(lmic_raw_ub[],MATCH($A362,lmic_raw_ub[[setting]:[setting]],0), MATCH(M$277, lmic_raw_ub[#Headers],0)))</f>
        <v>9.7799999999999998E-2</v>
      </c>
      <c r="N362" s="84">
        <f>IF(INDEX(lmic_raw_ub[],MATCH($A362,lmic_raw_ub[[setting]:[setting]],0), MATCH(N$277, lmic_raw_ub[#Headers],0))=0, INDEX(regions_ub[], MATCH($D362, regions_ub[[setting]:[setting]],0), MATCH(N$139, regions_ub[#Headers],0)),INDEX(lmic_raw_ub[],MATCH($A362,lmic_raw_ub[[setting]:[setting]],0), MATCH(N$277, lmic_raw_ub[#Headers],0)))</f>
        <v>0.39960000000000001</v>
      </c>
      <c r="O362" s="84">
        <f>IF(INDEX(lmic_raw_ub[],MATCH($A362,lmic_raw_ub[[setting]:[setting]],0), MATCH(O$277, lmic_raw_ub[#Headers],0))=0, INDEX(regions_ub[], MATCH($D362, regions_ub[[setting]:[setting]],0), MATCH(O$139, regions_ub[#Headers],0)),INDEX(lmic_raw_ub[],MATCH($A362,lmic_raw_ub[[setting]:[setting]],0), MATCH(O$277, lmic_raw_ub[#Headers],0)))</f>
        <v>0.74399999999999999</v>
      </c>
      <c r="P362" s="84">
        <f>IF(INDEX(lmic_raw_ub[],MATCH($A362,lmic_raw_ub[[setting]:[setting]],0), MATCH(P$277, lmic_raw_ub[#Headers],0))=0, INDEX(regions_ub[], MATCH($D362, regions_ub[[setting]:[setting]],0), MATCH(P$139, regions_ub[#Headers],0)),INDEX(lmic_raw_ub[],MATCH($A362,lmic_raw_ub[[setting]:[setting]],0), MATCH(P$277, lmic_raw_ub[#Headers],0)))</f>
        <v>0.13300000000000001</v>
      </c>
      <c r="Q362" s="84">
        <f>IF(INDEX(lmic_raw_ub[],MATCH($A362,lmic_raw_ub[[setting]:[setting]],0), MATCH(Q$277, lmic_raw_ub[#Headers],0))=0, INDEX(regions_ub[], MATCH($D362, regions_ub[[setting]:[setting]],0), MATCH(Q$139, regions_ub[#Headers],0)),INDEX(lmic_raw_ub[],MATCH($A362,lmic_raw_ub[[setting]:[setting]],0), MATCH(Q$277, lmic_raw_ub[#Headers],0)))</f>
        <v>2.8534899543773489</v>
      </c>
      <c r="R362" s="84">
        <f>IF(INDEX(lmic_raw_ub[],MATCH($A362,lmic_raw_ub[[setting]:[setting]],0), MATCH(R$277, lmic_raw_ub[#Headers],0))=0, INDEX(regions_ub[], MATCH($D362, regions_ub[[setting]:[setting]],0), MATCH(R$139, regions_ub[#Headers],0)),INDEX(lmic_raw_ub[],MATCH($A362,lmic_raw_ub[[setting]:[setting]],0), MATCH(R$277, lmic_raw_ub[#Headers],0)))</f>
        <v>31.416525000000004</v>
      </c>
      <c r="S362" s="84">
        <f>IF(INDEX(lmic_raw_ub[],MATCH($A362,lmic_raw_ub[[setting]:[setting]],0), MATCH(S$277, lmic_raw_ub[#Headers],0))=0, INDEX(regions_ub[], MATCH($D362, regions_ub[[setting]:[setting]],0), MATCH(S$139, regions_ub[#Headers],0)),INDEX(lmic_raw_ub[],MATCH($A362,lmic_raw_ub[[setting]:[setting]],0), MATCH(S$277, lmic_raw_ub[#Headers],0)))</f>
        <v>81.545625000000015</v>
      </c>
      <c r="T362" s="84">
        <f>IF(INDEX(lmic_raw_ub[],MATCH($A362,lmic_raw_ub[[setting]:[setting]],0), MATCH(T$277, lmic_raw_ub[#Headers],0))=0, INDEX(regions_ub[], MATCH($D362, regions_ub[[setting]:[setting]],0), MATCH(T$139, regions_ub[#Headers],0)),INDEX(lmic_raw_ub[],MATCH($A362,lmic_raw_ub[[setting]:[setting]],0), MATCH(T$277, lmic_raw_ub[#Headers],0)))</f>
        <v>81.545625000000015</v>
      </c>
      <c r="U362" s="84">
        <f>IF(INDEX(lmic_raw_ub[],MATCH($A362,lmic_raw_ub[[setting]:[setting]],0), MATCH(U$277, lmic_raw_ub[#Headers],0))=0, INDEX(regions_ub[], MATCH($D362, regions_ub[[setting]:[setting]],0), MATCH(U$139, regions_ub[#Headers],0)),INDEX(lmic_raw_ub[],MATCH($A362,lmic_raw_ub[[setting]:[setting]],0), MATCH(U$277, lmic_raw_ub[#Headers],0)))</f>
        <v>81.545625000000015</v>
      </c>
      <c r="V362" s="84">
        <f>IF(INDEX(lmic_raw_ub[],MATCH($A362,lmic_raw_ub[[setting]:[setting]],0), MATCH(V$277, lmic_raw_ub[#Headers],0))=0, INDEX(regions_ub[], MATCH($D362, regions_ub[[setting]:[setting]],0), MATCH(V$139, regions_ub[#Headers],0)),INDEX(lmic_raw_ub[],MATCH($A362,lmic_raw_ub[[setting]:[setting]],0), MATCH(V$277, lmic_raw_ub[#Headers],0)))</f>
        <v>3.3652245190482803</v>
      </c>
      <c r="W362" s="84">
        <f>IF(INDEX(lmic_raw_ub[],MATCH($A362,lmic_raw_ub[[setting]:[setting]],0), MATCH(W$277, lmic_raw_ub[#Headers],0))=0, INDEX(regions_ub[], MATCH($D362, regions_ub[[setting]:[setting]],0), MATCH(W$139, regions_ub[#Headers],0)),INDEX(lmic_raw_ub[],MATCH($A362,lmic_raw_ub[[setting]:[setting]],0), MATCH(W$277, lmic_raw_ub[#Headers],0)))</f>
        <v>8.43535951904828</v>
      </c>
      <c r="X362" s="84">
        <f>IF(INDEX(lmic_raw_ub[],MATCH($A362,lmic_raw_ub[[setting]:[setting]],0), MATCH(X$277, lmic_raw_ub[#Headers],0))=0, INDEX(regions_ub[], MATCH($D362, regions_ub[[setting]:[setting]],0), MATCH(X$139, regions_ub[#Headers],0)),INDEX(lmic_raw_ub[],MATCH($A362,lmic_raw_ub[[setting]:[setting]],0), MATCH(X$277, lmic_raw_ub[#Headers],0)))</f>
        <v>2.8735847590973722</v>
      </c>
      <c r="Y362" s="84">
        <f>IF(INDEX(lmic_raw_ub[],MATCH($A362,lmic_raw_ub[[setting]:[setting]],0), MATCH(Y$277, lmic_raw_ub[#Headers],0))=0, INDEX(regions_ub[], MATCH($D362, regions_ub[[setting]:[setting]],0), MATCH(Y$139, regions_ub[#Headers],0)),INDEX(lmic_raw_ub[],MATCH($A362,lmic_raw_ub[[setting]:[setting]],0), MATCH(Y$277, lmic_raw_ub[#Headers],0)))</f>
        <v>7.9437197590973732</v>
      </c>
      <c r="Z362" s="84">
        <f>IF(INDEX(lmic_raw_ub[],MATCH($A362,lmic_raw_ub[[setting]:[setting]],0), MATCH(Z$277, lmic_raw_ub[#Headers],0))=0, INDEX(regions_ub[], MATCH($D362, regions_ub[[setting]:[setting]],0), MATCH(Z$139, regions_ub[#Headers],0)),INDEX(lmic_raw_ub[],MATCH($A362,lmic_raw_ub[[setting]:[setting]],0), MATCH(Z$277, lmic_raw_ub[#Headers],0)))</f>
        <v>7.9392856538854888</v>
      </c>
      <c r="AA362" s="84">
        <f>IF(INDEX(lmic_raw_ub[],MATCH($A362,lmic_raw_ub[[setting]:[setting]],0), MATCH(AA$277, lmic_raw_ub[#Headers],0))=0, INDEX(regions_ub[], MATCH($D362, regions_ub[[setting]:[setting]],0), MATCH(AA$139, regions_ub[#Headers],0)),INDEX(lmic_raw_ub[],MATCH($A362,lmic_raw_ub[[setting]:[setting]],0), MATCH(AA$277, lmic_raw_ub[#Headers],0)))</f>
        <v>3.6328981731655046</v>
      </c>
      <c r="AB362" s="84">
        <f>IF(INDEX(lmic_raw_ub[],MATCH($A362,lmic_raw_ub[[setting]:[setting]],0), MATCH(AB$277, lmic_raw_ub[#Headers],0))=0, INDEX(regions_ub[], MATCH($D362, regions_ub[[setting]:[setting]],0), MATCH(AB$139, regions_ub[#Headers],0)),INDEX(lmic_raw_ub[],MATCH($A362,lmic_raw_ub[[setting]:[setting]],0), MATCH(AB$277, lmic_raw_ub[#Headers],0)))</f>
        <v>8.7030331731655046</v>
      </c>
      <c r="AC362" s="84">
        <f>IF(INDEX(lmic_raw_ub[],MATCH($A362,lmic_raw_ub[[setting]:[setting]],0), MATCH(AC$277, lmic_raw_ub[#Headers],0))=0, INDEX(regions_ub[], MATCH($D362, regions_ub[[setting]:[setting]],0), MATCH(AC$139, regions_ub[#Headers],0)),INDEX(lmic_raw_ub[],MATCH($A362,lmic_raw_ub[[setting]:[setting]],0), MATCH(AC$277, lmic_raw_ub[#Headers],0)))</f>
        <v>5.661160050000006E-2</v>
      </c>
      <c r="AD362" s="84">
        <f>IF(INDEX(lmic_raw_ub[],MATCH($A362,lmic_raw_ub[[setting]:[setting]],0), MATCH(AD$277, lmic_raw_ub[#Headers],0))=0, INDEX(regions_ub[], MATCH($D362, regions_ub[[setting]:[setting]],0), MATCH(AD$139, regions_ub[#Headers],0)),INDEX(lmic_raw_ub[],MATCH($A362,lmic_raw_ub[[setting]:[setting]],0), MATCH(AD$277, lmic_raw_ub[#Headers],0)))</f>
        <v>5.3675585150619641E-3</v>
      </c>
      <c r="AE362" s="84">
        <f>IF(INDEX(lmic_raw_ub[],MATCH($A362,lmic_raw_ub[[setting]:[setting]],0), MATCH(AE$277, lmic_raw_ub[#Headers],0))=0, INDEX(regions_ub[], MATCH($D362, regions_ub[[setting]:[setting]],0), MATCH(AE$139, regions_ub[#Headers],0)),INDEX(lmic_raw_ub[],MATCH($A362,lmic_raw_ub[[setting]:[setting]],0), MATCH(AE$277, lmic_raw_ub[#Headers],0)))</f>
        <v>1.4713501639151045E-3</v>
      </c>
      <c r="AF362" s="84">
        <f>IF(INDEX(lmic_raw_ub[],MATCH($A362,lmic_raw_ub[[setting]:[setting]],0), MATCH(AF$277, lmic_raw_ub[#Headers],0))=0, INDEX(regions_ub[], MATCH($D362, regions_ub[[setting]:[setting]],0), MATCH(AF$139, regions_ub[#Headers],0)),INDEX(lmic_raw_ub[],MATCH($A362,lmic_raw_ub[[setting]:[setting]],0), MATCH(AF$277, lmic_raw_ub[#Headers],0)))</f>
        <v>1.1496484286674256E-3</v>
      </c>
      <c r="AG362" s="84">
        <f>IF(INDEX(lmic_raw_ub[],MATCH($A362,lmic_raw_ub[[setting]:[setting]],0), MATCH(AG$277, lmic_raw_ub[#Headers],0))=0, INDEX(regions_ub[], MATCH($D362, regions_ub[[setting]:[setting]],0), MATCH(AG$139, regions_ub[#Headers],0)),INDEX(lmic_raw_ub[],MATCH($A362,lmic_raw_ub[[setting]:[setting]],0), MATCH(AG$277, lmic_raw_ub[#Headers],0)))</f>
        <v>1.8126296959582412E-3</v>
      </c>
      <c r="AH362" s="84">
        <f>IF(INDEX(lmic_raw_ub[],MATCH($A362,lmic_raw_ub[[setting]:[setting]],0), MATCH(AH$277, lmic_raw_ub[#Headers],0))=0, INDEX(regions_ub[], MATCH($D362, regions_ub[[setting]:[setting]],0), MATCH(AH$139, regions_ub[#Headers],0)),INDEX(lmic_raw_ub[],MATCH($A362,lmic_raw_ub[[setting]:[setting]],0), MATCH(AH$277, lmic_raw_ub[#Headers],0)))</f>
        <v>3.0087294492355835E-3</v>
      </c>
      <c r="AI362" s="84">
        <f>IF(INDEX(lmic_raw_ub[],MATCH($A362,lmic_raw_ub[[setting]:[setting]],0), MATCH(AI$277, lmic_raw_ub[#Headers],0))=0, INDEX(regions_ub[], MATCH($D362, regions_ub[[setting]:[setting]],0), MATCH(AI$139, regions_ub[#Headers],0)),INDEX(lmic_raw_ub[],MATCH($A362,lmic_raw_ub[[setting]:[setting]],0), MATCH(AI$277, lmic_raw_ub[#Headers],0)))</f>
        <v>4.6097514813786379E-3</v>
      </c>
      <c r="AJ362" s="84">
        <f>IF(INDEX(lmic_raw_ub[],MATCH($A362,lmic_raw_ub[[setting]:[setting]],0), MATCH(AJ$277, lmic_raw_ub[#Headers],0))=0, INDEX(regions_ub[], MATCH($D362, regions_ub[[setting]:[setting]],0), MATCH(AJ$139, regions_ub[#Headers],0)),INDEX(lmic_raw_ub[],MATCH($A362,lmic_raw_ub[[setting]:[setting]],0), MATCH(AJ$277, lmic_raw_ub[#Headers],0)))</f>
        <v>6.3711068245035363E-3</v>
      </c>
      <c r="AK362" s="84">
        <f>IF(INDEX(lmic_raw_ub[],MATCH($A362,lmic_raw_ub[[setting]:[setting]],0), MATCH(AK$277, lmic_raw_ub[#Headers],0))=0, INDEX(regions_ub[], MATCH($D362, regions_ub[[setting]:[setting]],0), MATCH(AK$139, regions_ub[#Headers],0)),INDEX(lmic_raw_ub[],MATCH($A362,lmic_raw_ub[[setting]:[setting]],0), MATCH(AK$277, lmic_raw_ub[#Headers],0)))</f>
        <v>8.8365248479442757E-3</v>
      </c>
      <c r="AL362" s="84">
        <f>IF(INDEX(lmic_raw_ub[],MATCH($A362,lmic_raw_ub[[setting]:[setting]],0), MATCH(AL$277, lmic_raw_ub[#Headers],0))=0, INDEX(regions_ub[], MATCH($D362, regions_ub[[setting]:[setting]],0), MATCH(AL$139, regions_ub[#Headers],0)),INDEX(lmic_raw_ub[],MATCH($A362,lmic_raw_ub[[setting]:[setting]],0), MATCH(AL$277, lmic_raw_ub[#Headers],0)))</f>
        <v>1.0586443377638834E-2</v>
      </c>
      <c r="AM362" s="84">
        <f>IF(INDEX(lmic_raw_ub[],MATCH($A362,lmic_raw_ub[[setting]:[setting]],0), MATCH(AM$277, lmic_raw_ub[#Headers],0))=0, INDEX(regions_ub[], MATCH($D362, regions_ub[[setting]:[setting]],0), MATCH(AM$139, regions_ub[#Headers],0)),INDEX(lmic_raw_ub[],MATCH($A362,lmic_raw_ub[[setting]:[setting]],0), MATCH(AM$277, lmic_raw_ub[#Headers],0)))</f>
        <v>1.2456415880917818E-2</v>
      </c>
      <c r="AN362" s="84">
        <f>IF(INDEX(lmic_raw_ub[],MATCH($A362,lmic_raw_ub[[setting]:[setting]],0), MATCH(AN$277, lmic_raw_ub[#Headers],0))=0, INDEX(regions_ub[], MATCH($D362, regions_ub[[setting]:[setting]],0), MATCH(AN$139, regions_ub[#Headers],0)),INDEX(lmic_raw_ub[],MATCH($A362,lmic_raw_ub[[setting]:[setting]],0), MATCH(AN$277, lmic_raw_ub[#Headers],0)))</f>
        <v>1.5244520634669041E-2</v>
      </c>
      <c r="AO362" s="84">
        <f>IF(INDEX(lmic_raw_ub[],MATCH($A362,lmic_raw_ub[[setting]:[setting]],0), MATCH(AO$277, lmic_raw_ub[#Headers],0))=0, INDEX(regions_ub[], MATCH($D362, regions_ub[[setting]:[setting]],0), MATCH(AO$139, regions_ub[#Headers],0)),INDEX(lmic_raw_ub[],MATCH($A362,lmic_raw_ub[[setting]:[setting]],0), MATCH(AO$277, lmic_raw_ub[#Headers],0)))</f>
        <v>1.8855201286572858E-2</v>
      </c>
      <c r="AP362" s="84">
        <f>IF(INDEX(lmic_raw_ub[],MATCH($A362,lmic_raw_ub[[setting]:[setting]],0), MATCH(AP$277, lmic_raw_ub[#Headers],0))=0, INDEX(regions_ub[], MATCH($D362, regions_ub[[setting]:[setting]],0), MATCH(AP$139, regions_ub[#Headers],0)),INDEX(lmic_raw_ub[],MATCH($A362,lmic_raw_ub[[setting]:[setting]],0), MATCH(AP$277, lmic_raw_ub[#Headers],0)))</f>
        <v>2.5419131670020523E-2</v>
      </c>
      <c r="AQ362" s="84">
        <f>IF(INDEX(lmic_raw_ub[],MATCH($A362,lmic_raw_ub[[setting]:[setting]],0), MATCH(AQ$277, lmic_raw_ub[#Headers],0))=0, INDEX(regions_ub[], MATCH($D362, regions_ub[[setting]:[setting]],0), MATCH(AQ$139, regions_ub[#Headers],0)),INDEX(lmic_raw_ub[],MATCH($A362,lmic_raw_ub[[setting]:[setting]],0), MATCH(AQ$277, lmic_raw_ub[#Headers],0)))</f>
        <v>3.6061119556713754E-2</v>
      </c>
      <c r="AR362" s="84">
        <f>IF(INDEX(lmic_raw_ub[],MATCH($A362,lmic_raw_ub[[setting]:[setting]],0), MATCH(AR$277, lmic_raw_ub[#Headers],0))=0, INDEX(regions_ub[], MATCH($D362, regions_ub[[setting]:[setting]],0), MATCH(AR$139, regions_ub[#Headers],0)),INDEX(lmic_raw_ub[],MATCH($A362,lmic_raw_ub[[setting]:[setting]],0), MATCH(AR$277, lmic_raw_ub[#Headers],0)))</f>
        <v>5.2788134031505937E-2</v>
      </c>
      <c r="AS362" s="84">
        <f>IF(INDEX(lmic_raw_ub[],MATCH($A362,lmic_raw_ub[[setting]:[setting]],0), MATCH(AS$277, lmic_raw_ub[#Headers],0))=0, INDEX(regions_ub[], MATCH($D362, regions_ub[[setting]:[setting]],0), MATCH(AS$139, regions_ub[#Headers],0)),INDEX(lmic_raw_ub[],MATCH($A362,lmic_raw_ub[[setting]:[setting]],0), MATCH(AS$277, lmic_raw_ub[#Headers],0)))</f>
        <v>7.7234598478461841E-2</v>
      </c>
      <c r="AT362" s="84">
        <f>IF(INDEX(lmic_raw_ub[],MATCH($A362,lmic_raw_ub[[setting]:[setting]],0), MATCH(AT$277, lmic_raw_ub[#Headers],0))=0, INDEX(regions_ub[], MATCH($D362, regions_ub[[setting]:[setting]],0), MATCH(AT$139, regions_ub[#Headers],0)),INDEX(lmic_raw_ub[],MATCH($A362,lmic_raw_ub[[setting]:[setting]],0), MATCH(AT$277, lmic_raw_ub[#Headers],0)))</f>
        <v>0.11373802878473264</v>
      </c>
      <c r="AU362" s="84">
        <f>IF(INDEX(lmic_raw_ub[],MATCH($A362,lmic_raw_ub[[setting]:[setting]],0), MATCH(AU$277, lmic_raw_ub[#Headers],0))=0, INDEX(regions_ub[], MATCH($D362, regions_ub[[setting]:[setting]],0), MATCH(AU$139, regions_ub[#Headers],0)),INDEX(lmic_raw_ub[],MATCH($A362,lmic_raw_ub[[setting]:[setting]],0), MATCH(AU$277, lmic_raw_ub[#Headers],0)))</f>
        <v>0.15542838559604361</v>
      </c>
      <c r="AV362" s="84">
        <f>IF(INDEX(lmic_raw_ub[],MATCH($A362,lmic_raw_ub[[setting]:[setting]],0), MATCH(AV$277, lmic_raw_ub[#Headers],0))=0, INDEX(regions_ub[], MATCH($D362, regions_ub[[setting]:[setting]],0), MATCH(AV$139, regions_ub[#Headers],0)),INDEX(lmic_raw_ub[],MATCH($A362,lmic_raw_ub[[setting]:[setting]],0), MATCH(AV$277, lmic_raw_ub[#Headers],0)))</f>
        <v>0.18706420927533504</v>
      </c>
      <c r="AW362" s="84">
        <f>IF(INDEX(lmic_raw_ub[],MATCH($A362,lmic_raw_ub[[setting]:[setting]],0), MATCH(AW$277, lmic_raw_ub[#Headers],0))=0, INDEX(regions_ub[], MATCH($D362, regions_ub[[setting]:[setting]],0), MATCH(AW$139, regions_ub[#Headers],0)),INDEX(lmic_raw_ub[],MATCH($A362,lmic_raw_ub[[setting]:[setting]],0), MATCH(AW$277, lmic_raw_ub[#Headers],0)))</f>
        <v>0.19751478927492139</v>
      </c>
      <c r="AX362" s="84">
        <f>IF(INDEX(lmic_raw_ub[],MATCH($A362,lmic_raw_ub[[setting]:[setting]],0), MATCH(AX$277, lmic_raw_ub[#Headers],0))=0, INDEX(regions_ub[], MATCH($D362, regions_ub[[setting]:[setting]],0), MATCH(AX$139, regions_ub[#Headers],0)),INDEX(lmic_raw_ub[],MATCH($A362,lmic_raw_ub[[setting]:[setting]],0), MATCH(AX$277, lmic_raw_ub[#Headers],0)))</f>
        <v>63.056700000000006</v>
      </c>
      <c r="AY362" s="33" t="str">
        <f>IF(VLOOKUP(lmics_ub[[#This Row],[setting]],lmic_raw_ub[],11,FALSE)=0, "Yes", "No")</f>
        <v>Yes</v>
      </c>
    </row>
    <row r="363" spans="1:51" x14ac:dyDescent="0.25">
      <c r="A363" s="110" t="s">
        <v>216</v>
      </c>
      <c r="B363" s="104" t="s">
        <v>477</v>
      </c>
      <c r="C363" s="105">
        <v>104</v>
      </c>
      <c r="D363" s="84" t="s">
        <v>680</v>
      </c>
      <c r="E363" s="84" t="s">
        <v>598</v>
      </c>
      <c r="F363" s="84" t="s">
        <v>666</v>
      </c>
      <c r="G363" s="84" t="s">
        <v>678</v>
      </c>
      <c r="J363" s="84">
        <f>IF(INDEX(lmic_raw_ub[],MATCH($A363,lmic_raw_ub[[setting]:[setting]],0), MATCH(J$277, lmic_raw_ub[#Headers],0))=0, INDEX(regions_ub[], MATCH($D363, regions_ub[[setting]:[setting]],0), MATCH(J$139, regions_ub[#Headers],0)),INDEX(lmic_raw_ub[],MATCH($A363,lmic_raw_ub[[setting]:[setting]],0), MATCH(J$277, lmic_raw_ub[#Headers],0)))</f>
        <v>0.38955000000000001</v>
      </c>
      <c r="K363" s="84">
        <f>IF(INDEX(lmic_raw_ub[],MATCH($A363,lmic_raw_ub[[setting]:[setting]],0), MATCH(K$277, lmic_raw_ub[#Headers],0))=0, INDEX(regions_ub[], MATCH($D363, regions_ub[[setting]:[setting]],0), MATCH(K$139, regions_ub[#Headers],0)),INDEX(lmic_raw_ub[],MATCH($A363,lmic_raw_ub[[setting]:[setting]],0), MATCH(K$277, lmic_raw_ub[#Headers],0)))</f>
        <v>0.17850000000000002</v>
      </c>
      <c r="L363" s="84">
        <f>IF(INDEX(lmic_raw_ub[],MATCH($A363,lmic_raw_ub[[setting]:[setting]],0), MATCH(L$277, lmic_raw_ub[#Headers],0))=0, INDEX(regions_ub[], MATCH($D363, regions_ub[[setting]:[setting]],0), MATCH(L$139, regions_ub[#Headers],0)),INDEX(lmic_raw_ub[],MATCH($A363,lmic_raw_ub[[setting]:[setting]],0), MATCH(L$277, lmic_raw_ub[#Headers],0)))</f>
        <v>0.94500000000000006</v>
      </c>
      <c r="M363" s="84">
        <f>IF(INDEX(lmic_raw_ub[],MATCH($A363,lmic_raw_ub[[setting]:[setting]],0), MATCH(M$277, lmic_raw_ub[#Headers],0))=0, INDEX(regions_ub[], MATCH($D363, regions_ub[[setting]:[setting]],0), MATCH(M$139, regions_ub[#Headers],0)),INDEX(lmic_raw_ub[],MATCH($A363,lmic_raw_ub[[setting]:[setting]],0), MATCH(M$277, lmic_raw_ub[#Headers],0)))</f>
        <v>0.4128</v>
      </c>
      <c r="N363" s="84">
        <f>IF(INDEX(lmic_raw_ub[],MATCH($A363,lmic_raw_ub[[setting]:[setting]],0), MATCH(N$277, lmic_raw_ub[#Headers],0))=0, INDEX(regions_ub[], MATCH($D363, regions_ub[[setting]:[setting]],0), MATCH(N$139, regions_ub[#Headers],0)),INDEX(lmic_raw_ub[],MATCH($A363,lmic_raw_ub[[setting]:[setting]],0), MATCH(N$277, lmic_raw_ub[#Headers],0)))</f>
        <v>0.47729999999999995</v>
      </c>
      <c r="O363" s="84">
        <f>IF(INDEX(lmic_raw_ub[],MATCH($A363,lmic_raw_ub[[setting]:[setting]],0), MATCH(O$277, lmic_raw_ub[#Headers],0))=0, INDEX(regions_ub[], MATCH($D363, regions_ub[[setting]:[setting]],0), MATCH(O$139, regions_ub[#Headers],0)),INDEX(lmic_raw_ub[],MATCH($A363,lmic_raw_ub[[setting]:[setting]],0), MATCH(O$277, lmic_raw_ub[#Headers],0)))</f>
        <v>0.9</v>
      </c>
      <c r="P363" s="84">
        <f>IF(INDEX(lmic_raw_ub[],MATCH($A363,lmic_raw_ub[[setting]:[setting]],0), MATCH(P$277, lmic_raw_ub[#Headers],0))=0, INDEX(regions_ub[], MATCH($D363, regions_ub[[setting]:[setting]],0), MATCH(P$139, regions_ub[#Headers],0)),INDEX(lmic_raw_ub[],MATCH($A363,lmic_raw_ub[[setting]:[setting]],0), MATCH(P$277, lmic_raw_ub[#Headers],0)))</f>
        <v>0.3</v>
      </c>
      <c r="Q363" s="84">
        <f>IF(INDEX(lmic_raw_ub[],MATCH($A363,lmic_raw_ub[[setting]:[setting]],0), MATCH(Q$277, lmic_raw_ub[#Headers],0))=0, INDEX(regions_ub[], MATCH($D363, regions_ub[[setting]:[setting]],0), MATCH(Q$139, regions_ub[#Headers],0)),INDEX(lmic_raw_ub[],MATCH($A363,lmic_raw_ub[[setting]:[setting]],0), MATCH(Q$277, lmic_raw_ub[#Headers],0)))</f>
        <v>3.2273650343455218</v>
      </c>
      <c r="R363" s="84">
        <f>IF(INDEX(lmic_raw_ub[],MATCH($A363,lmic_raw_ub[[setting]:[setting]],0), MATCH(R$277, lmic_raw_ub[#Headers],0))=0, INDEX(regions_ub[], MATCH($D363, regions_ub[[setting]:[setting]],0), MATCH(R$139, regions_ub[#Headers],0)),INDEX(lmic_raw_ub[],MATCH($A363,lmic_raw_ub[[setting]:[setting]],0), MATCH(R$277, lmic_raw_ub[#Headers],0)))</f>
        <v>76.738725000000002</v>
      </c>
      <c r="S363" s="84">
        <f>IF(INDEX(lmic_raw_ub[],MATCH($A363,lmic_raw_ub[[setting]:[setting]],0), MATCH(S$277, lmic_raw_ub[#Headers],0))=0, INDEX(regions_ub[], MATCH($D363, regions_ub[[setting]:[setting]],0), MATCH(S$139, regions_ub[#Headers],0)),INDEX(lmic_raw_ub[],MATCH($A363,lmic_raw_ub[[setting]:[setting]],0), MATCH(S$277, lmic_raw_ub[#Headers],0)))</f>
        <v>126.867825</v>
      </c>
      <c r="T363" s="84">
        <f>IF(INDEX(lmic_raw_ub[],MATCH($A363,lmic_raw_ub[[setting]:[setting]],0), MATCH(T$277, lmic_raw_ub[#Headers],0))=0, INDEX(regions_ub[], MATCH($D363, regions_ub[[setting]:[setting]],0), MATCH(T$139, regions_ub[#Headers],0)),INDEX(lmic_raw_ub[],MATCH($A363,lmic_raw_ub[[setting]:[setting]],0), MATCH(T$277, lmic_raw_ub[#Headers],0)))</f>
        <v>126.867825</v>
      </c>
      <c r="U363" s="84">
        <f>IF(INDEX(lmic_raw_ub[],MATCH($A363,lmic_raw_ub[[setting]:[setting]],0), MATCH(U$277, lmic_raw_ub[#Headers],0))=0, INDEX(regions_ub[], MATCH($D363, regions_ub[[setting]:[setting]],0), MATCH(U$139, regions_ub[#Headers],0)),INDEX(lmic_raw_ub[],MATCH($A363,lmic_raw_ub[[setting]:[setting]],0), MATCH(U$277, lmic_raw_ub[#Headers],0)))</f>
        <v>126.867825</v>
      </c>
      <c r="V363" s="84">
        <f>IF(INDEX(lmic_raw_ub[],MATCH($A363,lmic_raw_ub[[setting]:[setting]],0), MATCH(V$277, lmic_raw_ub[#Headers],0))=0, INDEX(regions_ub[], MATCH($D363, regions_ub[[setting]:[setting]],0), MATCH(V$139, regions_ub[#Headers],0)),INDEX(lmic_raw_ub[],MATCH($A363,lmic_raw_ub[[setting]:[setting]],0), MATCH(V$277, lmic_raw_ub[#Headers],0)))</f>
        <v>4.8350289363833516</v>
      </c>
      <c r="W363" s="84">
        <f>IF(INDEX(lmic_raw_ub[],MATCH($A363,lmic_raw_ub[[setting]:[setting]],0), MATCH(W$277, lmic_raw_ub[#Headers],0))=0, INDEX(regions_ub[], MATCH($D363, regions_ub[[setting]:[setting]],0), MATCH(W$139, regions_ub[#Headers],0)),INDEX(lmic_raw_ub[],MATCH($A363,lmic_raw_ub[[setting]:[setting]],0), MATCH(W$277, lmic_raw_ub[#Headers],0)))</f>
        <v>5.4988389363833514</v>
      </c>
      <c r="X363" s="84">
        <f>IF(INDEX(lmic_raw_ub[],MATCH($A363,lmic_raw_ub[[setting]:[setting]],0), MATCH(X$277, lmic_raw_ub[#Headers],0))=0, INDEX(regions_ub[], MATCH($D363, regions_ub[[setting]:[setting]],0), MATCH(X$139, regions_ub[#Headers],0)),INDEX(lmic_raw_ub[],MATCH($A363,lmic_raw_ub[[setting]:[setting]],0), MATCH(X$277, lmic_raw_ub[#Headers],0)))</f>
        <v>4.3355290661690367</v>
      </c>
      <c r="Y363" s="84">
        <f>IF(INDEX(lmic_raw_ub[],MATCH($A363,lmic_raw_ub[[setting]:[setting]],0), MATCH(Y$277, lmic_raw_ub[#Headers],0))=0, INDEX(regions_ub[], MATCH($D363, regions_ub[[setting]:[setting]],0), MATCH(Y$139, regions_ub[#Headers],0)),INDEX(lmic_raw_ub[],MATCH($A363,lmic_raw_ub[[setting]:[setting]],0), MATCH(Y$277, lmic_raw_ub[#Headers],0)))</f>
        <v>4.9993390661690364</v>
      </c>
      <c r="Z363" s="84">
        <f>IF(INDEX(lmic_raw_ub[],MATCH($A363,lmic_raw_ub[[setting]:[setting]],0), MATCH(Z$277, lmic_raw_ub[#Headers],0))=0, INDEX(regions_ub[], MATCH($D363, regions_ub[[setting]:[setting]],0), MATCH(Z$139, regions_ub[#Headers],0)),INDEX(lmic_raw_ub[],MATCH($A363,lmic_raw_ub[[setting]:[setting]],0), MATCH(Z$277, lmic_raw_ub[#Headers],0)))</f>
        <v>4.9899382455067443</v>
      </c>
      <c r="AA363" s="84">
        <f>IF(INDEX(lmic_raw_ub[],MATCH($A363,lmic_raw_ub[[setting]:[setting]],0), MATCH(AA$277, lmic_raw_ub[#Headers],0))=0, INDEX(regions_ub[], MATCH($D363, regions_ub[[setting]:[setting]],0), MATCH(AA$139, regions_ub[#Headers],0)),INDEX(lmic_raw_ub[],MATCH($A363,lmic_raw_ub[[setting]:[setting]],0), MATCH(AA$277, lmic_raw_ub[#Headers],0)))</f>
        <v>5.1044867873088329</v>
      </c>
      <c r="AB363" s="84">
        <f>IF(INDEX(lmic_raw_ub[],MATCH($A363,lmic_raw_ub[[setting]:[setting]],0), MATCH(AB$277, lmic_raw_ub[#Headers],0))=0, INDEX(regions_ub[], MATCH($D363, regions_ub[[setting]:[setting]],0), MATCH(AB$139, regions_ub[#Headers],0)),INDEX(lmic_raw_ub[],MATCH($A363,lmic_raw_ub[[setting]:[setting]],0), MATCH(AB$277, lmic_raw_ub[#Headers],0)))</f>
        <v>5.7682967873088327</v>
      </c>
      <c r="AC363" s="84">
        <f>IF(INDEX(lmic_raw_ub[],MATCH($A363,lmic_raw_ub[[setting]:[setting]],0), MATCH(AC$277, lmic_raw_ub[#Headers],0))=0, INDEX(regions_ub[], MATCH($D363, regions_ub[[setting]:[setting]],0), MATCH(AC$139, regions_ub[#Headers],0)),INDEX(lmic_raw_ub[],MATCH($A363,lmic_raw_ub[[setting]:[setting]],0), MATCH(AC$277, lmic_raw_ub[#Headers],0)))</f>
        <v>4.0341514499999988E-2</v>
      </c>
      <c r="AD363" s="84">
        <f>IF(INDEX(lmic_raw_ub[],MATCH($A363,lmic_raw_ub[[setting]:[setting]],0), MATCH(AD$277, lmic_raw_ub[#Headers],0))=0, INDEX(regions_ub[], MATCH($D363, regions_ub[[setting]:[setting]],0), MATCH(AD$139, regions_ub[#Headers],0)),INDEX(lmic_raw_ub[],MATCH($A363,lmic_raw_ub[[setting]:[setting]],0), MATCH(AD$277, lmic_raw_ub[#Headers],0)))</f>
        <v>2.6377144049169513E-3</v>
      </c>
      <c r="AE363" s="84">
        <f>IF(INDEX(lmic_raw_ub[],MATCH($A363,lmic_raw_ub[[setting]:[setting]],0), MATCH(AE$277, lmic_raw_ub[#Headers],0))=0, INDEX(regions_ub[], MATCH($D363, regions_ub[[setting]:[setting]],0), MATCH(AE$139, regions_ub[#Headers],0)),INDEX(lmic_raw_ub[],MATCH($A363,lmic_raw_ub[[setting]:[setting]],0), MATCH(AE$277, lmic_raw_ub[#Headers],0)))</f>
        <v>1.1265892323359299E-3</v>
      </c>
      <c r="AF363" s="84">
        <f>IF(INDEX(lmic_raw_ub[],MATCH($A363,lmic_raw_ub[[setting]:[setting]],0), MATCH(AF$277, lmic_raw_ub[#Headers],0))=0, INDEX(regions_ub[], MATCH($D363, regions_ub[[setting]:[setting]],0), MATCH(AF$139, regions_ub[#Headers],0)),INDEX(lmic_raw_ub[],MATCH($A363,lmic_raw_ub[[setting]:[setting]],0), MATCH(AF$277, lmic_raw_ub[#Headers],0)))</f>
        <v>9.1468103676684302E-4</v>
      </c>
      <c r="AG363" s="84">
        <f>IF(INDEX(lmic_raw_ub[],MATCH($A363,lmic_raw_ub[[setting]:[setting]],0), MATCH(AG$277, lmic_raw_ub[#Headers],0))=0, INDEX(regions_ub[], MATCH($D363, regions_ub[[setting]:[setting]],0), MATCH(AG$139, regions_ub[#Headers],0)),INDEX(lmic_raw_ub[],MATCH($A363,lmic_raw_ub[[setting]:[setting]],0), MATCH(AG$277, lmic_raw_ub[#Headers],0)))</f>
        <v>1.4825072850576521E-3</v>
      </c>
      <c r="AH363" s="84">
        <f>IF(INDEX(lmic_raw_ub[],MATCH($A363,lmic_raw_ub[[setting]:[setting]],0), MATCH(AH$277, lmic_raw_ub[#Headers],0))=0, INDEX(regions_ub[], MATCH($D363, regions_ub[[setting]:[setting]],0), MATCH(AH$139, regions_ub[#Headers],0)),INDEX(lmic_raw_ub[],MATCH($A363,lmic_raw_ub[[setting]:[setting]],0), MATCH(AH$277, lmic_raw_ub[#Headers],0)))</f>
        <v>2.0950093473352006E-3</v>
      </c>
      <c r="AI363" s="84">
        <f>IF(INDEX(lmic_raw_ub[],MATCH($A363,lmic_raw_ub[[setting]:[setting]],0), MATCH(AI$277, lmic_raw_ub[#Headers],0))=0, INDEX(regions_ub[], MATCH($D363, regions_ub[[setting]:[setting]],0), MATCH(AI$139, regions_ub[#Headers],0)),INDEX(lmic_raw_ub[],MATCH($A363,lmic_raw_ub[[setting]:[setting]],0), MATCH(AI$277, lmic_raw_ub[#Headers],0)))</f>
        <v>2.269822227396657E-3</v>
      </c>
      <c r="AJ363" s="84">
        <f>IF(INDEX(lmic_raw_ub[],MATCH($A363,lmic_raw_ub[[setting]:[setting]],0), MATCH(AJ$277, lmic_raw_ub[#Headers],0))=0, INDEX(regions_ub[], MATCH($D363, regions_ub[[setting]:[setting]],0), MATCH(AJ$139, regions_ub[#Headers],0)),INDEX(lmic_raw_ub[],MATCH($A363,lmic_raw_ub[[setting]:[setting]],0), MATCH(AJ$277, lmic_raw_ub[#Headers],0)))</f>
        <v>2.6126948652408903E-3</v>
      </c>
      <c r="AK363" s="84">
        <f>IF(INDEX(lmic_raw_ub[],MATCH($A363,lmic_raw_ub[[setting]:[setting]],0), MATCH(AK$277, lmic_raw_ub[#Headers],0))=0, INDEX(regions_ub[], MATCH($D363, regions_ub[[setting]:[setting]],0), MATCH(AK$139, regions_ub[#Headers],0)),INDEX(lmic_raw_ub[],MATCH($A363,lmic_raw_ub[[setting]:[setting]],0), MATCH(AK$277, lmic_raw_ub[#Headers],0)))</f>
        <v>3.302816623148061E-3</v>
      </c>
      <c r="AL363" s="84">
        <f>IF(INDEX(lmic_raw_ub[],MATCH($A363,lmic_raw_ub[[setting]:[setting]],0), MATCH(AL$277, lmic_raw_ub[#Headers],0))=0, INDEX(regions_ub[], MATCH($D363, regions_ub[[setting]:[setting]],0), MATCH(AL$139, regions_ub[#Headers],0)),INDEX(lmic_raw_ub[],MATCH($A363,lmic_raw_ub[[setting]:[setting]],0), MATCH(AL$277, lmic_raw_ub[#Headers],0)))</f>
        <v>4.4582476763413252E-3</v>
      </c>
      <c r="AM363" s="84">
        <f>IF(INDEX(lmic_raw_ub[],MATCH($A363,lmic_raw_ub[[setting]:[setting]],0), MATCH(AM$277, lmic_raw_ub[#Headers],0))=0, INDEX(regions_ub[], MATCH($D363, regions_ub[[setting]:[setting]],0), MATCH(AM$139, regions_ub[#Headers],0)),INDEX(lmic_raw_ub[],MATCH($A363,lmic_raw_ub[[setting]:[setting]],0), MATCH(AM$277, lmic_raw_ub[#Headers],0)))</f>
        <v>6.3728540691578876E-3</v>
      </c>
      <c r="AN363" s="84">
        <f>IF(INDEX(lmic_raw_ub[],MATCH($A363,lmic_raw_ub[[setting]:[setting]],0), MATCH(AN$277, lmic_raw_ub[#Headers],0))=0, INDEX(regions_ub[], MATCH($D363, regions_ub[[setting]:[setting]],0), MATCH(AN$139, regions_ub[#Headers],0)),INDEX(lmic_raw_ub[],MATCH($A363,lmic_raw_ub[[setting]:[setting]],0), MATCH(AN$277, lmic_raw_ub[#Headers],0)))</f>
        <v>9.3416298435973766E-3</v>
      </c>
      <c r="AO363" s="84">
        <f>IF(INDEX(lmic_raw_ub[],MATCH($A363,lmic_raw_ub[[setting]:[setting]],0), MATCH(AO$277, lmic_raw_ub[#Headers],0))=0, INDEX(regions_ub[], MATCH($D363, regions_ub[[setting]:[setting]],0), MATCH(AO$139, regions_ub[#Headers],0)),INDEX(lmic_raw_ub[],MATCH($A363,lmic_raw_ub[[setting]:[setting]],0), MATCH(AO$277, lmic_raw_ub[#Headers],0)))</f>
        <v>1.3838927074850804E-2</v>
      </c>
      <c r="AP363" s="84">
        <f>IF(INDEX(lmic_raw_ub[],MATCH($A363,lmic_raw_ub[[setting]:[setting]],0), MATCH(AP$277, lmic_raw_ub[#Headers],0))=0, INDEX(regions_ub[], MATCH($D363, regions_ub[[setting]:[setting]],0), MATCH(AP$139, regions_ub[#Headers],0)),INDEX(lmic_raw_ub[],MATCH($A363,lmic_raw_ub[[setting]:[setting]],0), MATCH(AP$277, lmic_raw_ub[#Headers],0)))</f>
        <v>2.0905797472031876E-2</v>
      </c>
      <c r="AQ363" s="84">
        <f>IF(INDEX(lmic_raw_ub[],MATCH($A363,lmic_raw_ub[[setting]:[setting]],0), MATCH(AQ$277, lmic_raw_ub[#Headers],0))=0, INDEX(regions_ub[], MATCH($D363, regions_ub[[setting]:[setting]],0), MATCH(AQ$139, regions_ub[#Headers],0)),INDEX(lmic_raw_ub[],MATCH($A363,lmic_raw_ub[[setting]:[setting]],0), MATCH(AQ$277, lmic_raw_ub[#Headers],0)))</f>
        <v>3.2041535834872854E-2</v>
      </c>
      <c r="AR363" s="84">
        <f>IF(INDEX(lmic_raw_ub[],MATCH($A363,lmic_raw_ub[[setting]:[setting]],0), MATCH(AR$277, lmic_raw_ub[#Headers],0))=0, INDEX(regions_ub[], MATCH($D363, regions_ub[[setting]:[setting]],0), MATCH(AR$139, regions_ub[#Headers],0)),INDEX(lmic_raw_ub[],MATCH($A363,lmic_raw_ub[[setting]:[setting]],0), MATCH(AR$277, lmic_raw_ub[#Headers],0)))</f>
        <v>4.9539295353899504E-2</v>
      </c>
      <c r="AS363" s="84">
        <f>IF(INDEX(lmic_raw_ub[],MATCH($A363,lmic_raw_ub[[setting]:[setting]],0), MATCH(AS$277, lmic_raw_ub[#Headers],0))=0, INDEX(regions_ub[], MATCH($D363, regions_ub[[setting]:[setting]],0), MATCH(AS$139, regions_ub[#Headers],0)),INDEX(lmic_raw_ub[],MATCH($A363,lmic_raw_ub[[setting]:[setting]],0), MATCH(AS$277, lmic_raw_ub[#Headers],0)))</f>
        <v>7.447112292514621E-2</v>
      </c>
      <c r="AT363" s="84">
        <f>IF(INDEX(lmic_raw_ub[],MATCH($A363,lmic_raw_ub[[setting]:[setting]],0), MATCH(AT$277, lmic_raw_ub[#Headers],0))=0, INDEX(regions_ub[], MATCH($D363, regions_ub[[setting]:[setting]],0), MATCH(AT$139, regions_ub[#Headers],0)),INDEX(lmic_raw_ub[],MATCH($A363,lmic_raw_ub[[setting]:[setting]],0), MATCH(AT$277, lmic_raw_ub[#Headers],0)))</f>
        <v>0.10725043428833224</v>
      </c>
      <c r="AU363" s="84">
        <f>IF(INDEX(lmic_raw_ub[],MATCH($A363,lmic_raw_ub[[setting]:[setting]],0), MATCH(AU$277, lmic_raw_ub[#Headers],0))=0, INDEX(regions_ub[], MATCH($D363, regions_ub[[setting]:[setting]],0), MATCH(AU$139, regions_ub[#Headers],0)),INDEX(lmic_raw_ub[],MATCH($A363,lmic_raw_ub[[setting]:[setting]],0), MATCH(AU$277, lmic_raw_ub[#Headers],0)))</f>
        <v>0.14196940961282431</v>
      </c>
      <c r="AV363" s="84">
        <f>IF(INDEX(lmic_raw_ub[],MATCH($A363,lmic_raw_ub[[setting]:[setting]],0), MATCH(AV$277, lmic_raw_ub[#Headers],0))=0, INDEX(regions_ub[], MATCH($D363, regions_ub[[setting]:[setting]],0), MATCH(AV$139, regions_ub[#Headers],0)),INDEX(lmic_raw_ub[],MATCH($A363,lmic_raw_ub[[setting]:[setting]],0), MATCH(AV$277, lmic_raw_ub[#Headers],0)))</f>
        <v>0.1701976283241653</v>
      </c>
      <c r="AW363" s="84">
        <f>IF(INDEX(lmic_raw_ub[],MATCH($A363,lmic_raw_ub[[setting]:[setting]],0), MATCH(AW$277, lmic_raw_ub[#Headers],0))=0, INDEX(regions_ub[], MATCH($D363, regions_ub[[setting]:[setting]],0), MATCH(AW$139, regions_ub[#Headers],0)),INDEX(lmic_raw_ub[],MATCH($A363,lmic_raw_ub[[setting]:[setting]],0), MATCH(AW$277, lmic_raw_ub[#Headers],0)))</f>
        <v>0.18847363153112434</v>
      </c>
      <c r="AX363" s="84">
        <f>IF(INDEX(lmic_raw_ub[],MATCH($A363,lmic_raw_ub[[setting]:[setting]],0), MATCH(AX$277, lmic_raw_ub[#Headers],0))=0, INDEX(regions_ub[], MATCH($D363, regions_ub[[setting]:[setting]],0), MATCH(AX$139, regions_ub[#Headers],0)),INDEX(lmic_raw_ub[],MATCH($A363,lmic_raw_ub[[setting]:[setting]],0), MATCH(AX$277, lmic_raw_ub[#Headers],0)))</f>
        <v>70.096950000000007</v>
      </c>
      <c r="AY363" s="33" t="str">
        <f>IF(VLOOKUP(lmics_ub[[#This Row],[setting]],lmic_raw_ub[],11,FALSE)=0, "Yes", "No")</f>
        <v>No</v>
      </c>
    </row>
    <row r="364" spans="1:51" x14ac:dyDescent="0.25">
      <c r="A364" s="109" t="s">
        <v>135</v>
      </c>
      <c r="B364" s="101" t="s">
        <v>478</v>
      </c>
      <c r="C364" s="102">
        <v>516</v>
      </c>
      <c r="D364" s="82" t="s">
        <v>677</v>
      </c>
      <c r="E364" s="82" t="s">
        <v>594</v>
      </c>
      <c r="F364" s="82" t="s">
        <v>667</v>
      </c>
      <c r="G364" s="82" t="s">
        <v>676</v>
      </c>
      <c r="J364" s="84">
        <f>IF(INDEX(lmic_raw_ub[],MATCH($A364,lmic_raw_ub[[setting]:[setting]],0), MATCH(J$277, lmic_raw_ub[#Headers],0))=0, INDEX(regions_ub[], MATCH($D364, regions_ub[[setting]:[setting]],0), MATCH(J$139, regions_ub[#Headers],0)),INDEX(lmic_raw_ub[],MATCH($A364,lmic_raw_ub[[setting]:[setting]],0), MATCH(J$277, lmic_raw_ub[#Headers],0)))</f>
        <v>0.91770000000000018</v>
      </c>
      <c r="K364" s="84">
        <f>IF(INDEX(lmic_raw_ub[],MATCH($A364,lmic_raw_ub[[setting]:[setting]],0), MATCH(K$277, lmic_raw_ub[#Headers],0))=0, INDEX(regions_ub[], MATCH($D364, regions_ub[[setting]:[setting]],0), MATCH(K$139, regions_ub[#Headers],0)),INDEX(lmic_raw_ub[],MATCH($A364,lmic_raw_ub[[setting]:[setting]],0), MATCH(K$277, lmic_raw_ub[#Headers],0)))</f>
        <v>0.85050000000000014</v>
      </c>
      <c r="L364" s="84">
        <f>IF(INDEX(lmic_raw_ub[],MATCH($A364,lmic_raw_ub[[setting]:[setting]],0), MATCH(L$277, lmic_raw_ub[#Headers],0))=0, INDEX(regions_ub[], MATCH($D364, regions_ub[[setting]:[setting]],0), MATCH(L$139, regions_ub[#Headers],0)),INDEX(lmic_raw_ub[],MATCH($A364,lmic_raw_ub[[setting]:[setting]],0), MATCH(L$277, lmic_raw_ub[#Headers],0)))</f>
        <v>0.91349999999999998</v>
      </c>
      <c r="M364" s="84">
        <f>IF(INDEX(lmic_raw_ub[],MATCH($A364,lmic_raw_ub[[setting]:[setting]],0), MATCH(M$277, lmic_raw_ub[#Headers],0))=0, INDEX(regions_ub[], MATCH($D364, regions_ub[[setting]:[setting]],0), MATCH(M$139, regions_ub[#Headers],0)),INDEX(lmic_raw_ub[],MATCH($A364,lmic_raw_ub[[setting]:[setting]],0), MATCH(M$277, lmic_raw_ub[#Headers],0)))</f>
        <v>2.7699999999999999E-2</v>
      </c>
      <c r="N364" s="84">
        <f>IF(INDEX(lmic_raw_ub[],MATCH($A364,lmic_raw_ub[[setting]:[setting]],0), MATCH(N$277, lmic_raw_ub[#Headers],0))=0, INDEX(regions_ub[], MATCH($D364, regions_ub[[setting]:[setting]],0), MATCH(N$139, regions_ub[#Headers],0)),INDEX(lmic_raw_ub[],MATCH($A364,lmic_raw_ub[[setting]:[setting]],0), MATCH(N$277, lmic_raw_ub[#Headers],0)))</f>
        <v>0.3679</v>
      </c>
      <c r="O364" s="84">
        <f>IF(INDEX(lmic_raw_ub[],MATCH($A364,lmic_raw_ub[[setting]:[setting]],0), MATCH(O$277, lmic_raw_ub[#Headers],0))=0, INDEX(regions_ub[], MATCH($D364, regions_ub[[setting]:[setting]],0), MATCH(O$139, regions_ub[#Headers],0)),INDEX(lmic_raw_ub[],MATCH($A364,lmic_raw_ub[[setting]:[setting]],0), MATCH(O$277, lmic_raw_ub[#Headers],0)))</f>
        <v>0.74399999999999999</v>
      </c>
      <c r="P364" s="84">
        <f>IF(INDEX(lmic_raw_ub[],MATCH($A364,lmic_raw_ub[[setting]:[setting]],0), MATCH(P$277, lmic_raw_ub[#Headers],0))=0, INDEX(regions_ub[], MATCH($D364, regions_ub[[setting]:[setting]],0), MATCH(P$139, regions_ub[#Headers],0)),INDEX(lmic_raw_ub[],MATCH($A364,lmic_raw_ub[[setting]:[setting]],0), MATCH(P$277, lmic_raw_ub[#Headers],0)))</f>
        <v>0.13300000000000001</v>
      </c>
      <c r="Q364" s="84">
        <f>IF(INDEX(lmic_raw_ub[],MATCH($A364,lmic_raw_ub[[setting]:[setting]],0), MATCH(Q$277, lmic_raw_ub[#Headers],0))=0, INDEX(regions_ub[], MATCH($D364, regions_ub[[setting]:[setting]],0), MATCH(Q$139, regions_ub[#Headers],0)),INDEX(lmic_raw_ub[],MATCH($A364,lmic_raw_ub[[setting]:[setting]],0), MATCH(Q$277, lmic_raw_ub[#Headers],0)))</f>
        <v>9.5832413938044674</v>
      </c>
      <c r="R364" s="84">
        <f>IF(INDEX(lmic_raw_ub[],MATCH($A364,lmic_raw_ub[[setting]:[setting]],0), MATCH(R$277, lmic_raw_ub[#Headers],0))=0, INDEX(regions_ub[], MATCH($D364, regions_ub[[setting]:[setting]],0), MATCH(R$139, regions_ub[#Headers],0)),INDEX(lmic_raw_ub[],MATCH($A364,lmic_raw_ub[[setting]:[setting]],0), MATCH(R$277, lmic_raw_ub[#Headers],0)))</f>
        <v>31.416525000000004</v>
      </c>
      <c r="S364" s="84">
        <f>IF(INDEX(lmic_raw_ub[],MATCH($A364,lmic_raw_ub[[setting]:[setting]],0), MATCH(S$277, lmic_raw_ub[#Headers],0))=0, INDEX(regions_ub[], MATCH($D364, regions_ub[[setting]:[setting]],0), MATCH(S$139, regions_ub[#Headers],0)),INDEX(lmic_raw_ub[],MATCH($A364,lmic_raw_ub[[setting]:[setting]],0), MATCH(S$277, lmic_raw_ub[#Headers],0)))</f>
        <v>81.545625000000015</v>
      </c>
      <c r="T364" s="84">
        <f>IF(INDEX(lmic_raw_ub[],MATCH($A364,lmic_raw_ub[[setting]:[setting]],0), MATCH(T$277, lmic_raw_ub[#Headers],0))=0, INDEX(regions_ub[], MATCH($D364, regions_ub[[setting]:[setting]],0), MATCH(T$139, regions_ub[#Headers],0)),INDEX(lmic_raw_ub[],MATCH($A364,lmic_raw_ub[[setting]:[setting]],0), MATCH(T$277, lmic_raw_ub[#Headers],0)))</f>
        <v>81.545625000000015</v>
      </c>
      <c r="U364" s="84">
        <f>IF(INDEX(lmic_raw_ub[],MATCH($A364,lmic_raw_ub[[setting]:[setting]],0), MATCH(U$277, lmic_raw_ub[#Headers],0))=0, INDEX(regions_ub[], MATCH($D364, regions_ub[[setting]:[setting]],0), MATCH(U$139, regions_ub[#Headers],0)),INDEX(lmic_raw_ub[],MATCH($A364,lmic_raw_ub[[setting]:[setting]],0), MATCH(U$277, lmic_raw_ub[#Headers],0)))</f>
        <v>81.545625000000015</v>
      </c>
      <c r="V364" s="84">
        <f>IF(INDEX(lmic_raw_ub[],MATCH($A364,lmic_raw_ub[[setting]:[setting]],0), MATCH(V$277, lmic_raw_ub[#Headers],0))=0, INDEX(regions_ub[], MATCH($D364, regions_ub[[setting]:[setting]],0), MATCH(V$139, regions_ub[#Headers],0)),INDEX(lmic_raw_ub[],MATCH($A364,lmic_raw_ub[[setting]:[setting]],0), MATCH(V$277, lmic_raw_ub[#Headers],0)))</f>
        <v>1.3296821977950719</v>
      </c>
      <c r="W364" s="84">
        <f>IF(INDEX(lmic_raw_ub[],MATCH($A364,lmic_raw_ub[[setting]:[setting]],0), MATCH(W$277, lmic_raw_ub[#Headers],0))=0, INDEX(regions_ub[], MATCH($D364, regions_ub[[setting]:[setting]],0), MATCH(W$139, regions_ub[#Headers],0)),INDEX(lmic_raw_ub[],MATCH($A364,lmic_raw_ub[[setting]:[setting]],0), MATCH(W$277, lmic_raw_ub[#Headers],0)))</f>
        <v>6.3998171977950724</v>
      </c>
      <c r="X364" s="84">
        <f>IF(INDEX(lmic_raw_ub[],MATCH($A364,lmic_raw_ub[[setting]:[setting]],0), MATCH(X$277, lmic_raw_ub[#Headers],0))=0, INDEX(regions_ub[], MATCH($D364, regions_ub[[setting]:[setting]],0), MATCH(X$139, regions_ub[#Headers],0)),INDEX(lmic_raw_ub[],MATCH($A364,lmic_raw_ub[[setting]:[setting]],0), MATCH(X$277, lmic_raw_ub[#Headers],0)))</f>
        <v>0.8178099264509765</v>
      </c>
      <c r="Y364" s="84">
        <f>IF(INDEX(lmic_raw_ub[],MATCH($A364,lmic_raw_ub[[setting]:[setting]],0), MATCH(Y$277, lmic_raw_ub[#Headers],0))=0, INDEX(regions_ub[], MATCH($D364, regions_ub[[setting]:[setting]],0), MATCH(Y$139, regions_ub[#Headers],0)),INDEX(lmic_raw_ub[],MATCH($A364,lmic_raw_ub[[setting]:[setting]],0), MATCH(Y$277, lmic_raw_ub[#Headers],0)))</f>
        <v>5.8879449264509773</v>
      </c>
      <c r="Z364" s="84">
        <f>IF(INDEX(lmic_raw_ub[],MATCH($A364,lmic_raw_ub[[setting]:[setting]],0), MATCH(Z$277, lmic_raw_ub[#Headers],0))=0, INDEX(regions_ub[], MATCH($D364, regions_ub[[setting]:[setting]],0), MATCH(Z$139, regions_ub[#Headers],0)),INDEX(lmic_raw_ub[],MATCH($A364,lmic_raw_ub[[setting]:[setting]],0), MATCH(Z$277, lmic_raw_ub[#Headers],0)))</f>
        <v>5.8728260360769857</v>
      </c>
      <c r="AA364" s="84">
        <f>IF(INDEX(lmic_raw_ub[],MATCH($A364,lmic_raw_ub[[setting]:[setting]],0), MATCH(AA$277, lmic_raw_ub[#Headers],0))=0, INDEX(regions_ub[], MATCH($D364, regions_ub[[setting]:[setting]],0), MATCH(AA$139, regions_ub[#Headers],0)),INDEX(lmic_raw_ub[],MATCH($A364,lmic_raw_ub[[setting]:[setting]],0), MATCH(AA$277, lmic_raw_ub[#Headers],0)))</f>
        <v>1.6019485078727131</v>
      </c>
      <c r="AB364" s="84">
        <f>IF(INDEX(lmic_raw_ub[],MATCH($A364,lmic_raw_ub[[setting]:[setting]],0), MATCH(AB$277, lmic_raw_ub[#Headers],0))=0, INDEX(regions_ub[], MATCH($D364, regions_ub[[setting]:[setting]],0), MATCH(AB$139, regions_ub[#Headers],0)),INDEX(lmic_raw_ub[],MATCH($A364,lmic_raw_ub[[setting]:[setting]],0), MATCH(AB$277, lmic_raw_ub[#Headers],0)))</f>
        <v>6.6720835078727134</v>
      </c>
      <c r="AC364" s="84">
        <f>IF(INDEX(lmic_raw_ub[],MATCH($A364,lmic_raw_ub[[setting]:[setting]],0), MATCH(AC$277, lmic_raw_ub[#Headers],0))=0, INDEX(regions_ub[], MATCH($D364, regions_ub[[setting]:[setting]],0), MATCH(AC$139, regions_ub[#Headers],0)),INDEX(lmic_raw_ub[],MATCH($A364,lmic_raw_ub[[setting]:[setting]],0), MATCH(AC$277, lmic_raw_ub[#Headers],0)))</f>
        <v>3.5063594999999996E-2</v>
      </c>
      <c r="AD364" s="84">
        <f>IF(INDEX(lmic_raw_ub[],MATCH($A364,lmic_raw_ub[[setting]:[setting]],0), MATCH(AD$277, lmic_raw_ub[#Headers],0))=0, INDEX(regions_ub[], MATCH($D364, regions_ub[[setting]:[setting]],0), MATCH(AD$139, regions_ub[#Headers],0)),INDEX(lmic_raw_ub[],MATCH($A364,lmic_raw_ub[[setting]:[setting]],0), MATCH(AD$277, lmic_raw_ub[#Headers],0)))</f>
        <v>3.0334173868756032E-3</v>
      </c>
      <c r="AE364" s="84">
        <f>IF(INDEX(lmic_raw_ub[],MATCH($A364,lmic_raw_ub[[setting]:[setting]],0), MATCH(AE$277, lmic_raw_ub[#Headers],0))=0, INDEX(regions_ub[], MATCH($D364, regions_ub[[setting]:[setting]],0), MATCH(AE$139, regions_ub[#Headers],0)),INDEX(lmic_raw_ub[],MATCH($A364,lmic_raw_ub[[setting]:[setting]],0), MATCH(AE$277, lmic_raw_ub[#Headers],0)))</f>
        <v>1.2859870736308182E-3</v>
      </c>
      <c r="AF364" s="84">
        <f>IF(INDEX(lmic_raw_ub[],MATCH($A364,lmic_raw_ub[[setting]:[setting]],0), MATCH(AF$277, lmic_raw_ub[#Headers],0))=0, INDEX(regions_ub[], MATCH($D364, regions_ub[[setting]:[setting]],0), MATCH(AF$139, regions_ub[#Headers],0)),INDEX(lmic_raw_ub[],MATCH($A364,lmic_raw_ub[[setting]:[setting]],0), MATCH(AF$277, lmic_raw_ub[#Headers],0)))</f>
        <v>1.0378729863828001E-3</v>
      </c>
      <c r="AG364" s="84">
        <f>IF(INDEX(lmic_raw_ub[],MATCH($A364,lmic_raw_ub[[setting]:[setting]],0), MATCH(AG$277, lmic_raw_ub[#Headers],0))=0, INDEX(regions_ub[], MATCH($D364, regions_ub[[setting]:[setting]],0), MATCH(AG$139, regions_ub[#Headers],0)),INDEX(lmic_raw_ub[],MATCH($A364,lmic_raw_ub[[setting]:[setting]],0), MATCH(AG$277, lmic_raw_ub[#Headers],0)))</f>
        <v>1.7484861606114504E-3</v>
      </c>
      <c r="AH364" s="84">
        <f>IF(INDEX(lmic_raw_ub[],MATCH($A364,lmic_raw_ub[[setting]:[setting]],0), MATCH(AH$277, lmic_raw_ub[#Headers],0))=0, INDEX(regions_ub[], MATCH($D364, regions_ub[[setting]:[setting]],0), MATCH(AH$139, regions_ub[#Headers],0)),INDEX(lmic_raw_ub[],MATCH($A364,lmic_raw_ub[[setting]:[setting]],0), MATCH(AH$277, lmic_raw_ub[#Headers],0)))</f>
        <v>2.8581204497139944E-3</v>
      </c>
      <c r="AI364" s="84">
        <f>IF(INDEX(lmic_raw_ub[],MATCH($A364,lmic_raw_ub[[setting]:[setting]],0), MATCH(AI$277, lmic_raw_ub[#Headers],0))=0, INDEX(regions_ub[], MATCH($D364, regions_ub[[setting]:[setting]],0), MATCH(AI$139, regions_ub[#Headers],0)),INDEX(lmic_raw_ub[],MATCH($A364,lmic_raw_ub[[setting]:[setting]],0), MATCH(AI$277, lmic_raw_ub[#Headers],0)))</f>
        <v>4.1181473126917154E-3</v>
      </c>
      <c r="AJ364" s="84">
        <f>IF(INDEX(lmic_raw_ub[],MATCH($A364,lmic_raw_ub[[setting]:[setting]],0), MATCH(AJ$277, lmic_raw_ub[#Headers],0))=0, INDEX(regions_ub[], MATCH($D364, regions_ub[[setting]:[setting]],0), MATCH(AJ$139, regions_ub[#Headers],0)),INDEX(lmic_raw_ub[],MATCH($A364,lmic_raw_ub[[setting]:[setting]],0), MATCH(AJ$277, lmic_raw_ub[#Headers],0)))</f>
        <v>5.4818669484547411E-3</v>
      </c>
      <c r="AK364" s="84">
        <f>IF(INDEX(lmic_raw_ub[],MATCH($A364,lmic_raw_ub[[setting]:[setting]],0), MATCH(AK$277, lmic_raw_ub[#Headers],0))=0, INDEX(regions_ub[], MATCH($D364, regions_ub[[setting]:[setting]],0), MATCH(AK$139, regions_ub[#Headers],0)),INDEX(lmic_raw_ub[],MATCH($A364,lmic_raw_ub[[setting]:[setting]],0), MATCH(AK$277, lmic_raw_ub[#Headers],0)))</f>
        <v>7.3995178474823044E-3</v>
      </c>
      <c r="AL364" s="84">
        <f>IF(INDEX(lmic_raw_ub[],MATCH($A364,lmic_raw_ub[[setting]:[setting]],0), MATCH(AL$277, lmic_raw_ub[#Headers],0))=0, INDEX(regions_ub[], MATCH($D364, regions_ub[[setting]:[setting]],0), MATCH(AL$139, regions_ub[#Headers],0)),INDEX(lmic_raw_ub[],MATCH($A364,lmic_raw_ub[[setting]:[setting]],0), MATCH(AL$277, lmic_raw_ub[#Headers],0)))</f>
        <v>9.05644370152448E-3</v>
      </c>
      <c r="AM364" s="84">
        <f>IF(INDEX(lmic_raw_ub[],MATCH($A364,lmic_raw_ub[[setting]:[setting]],0), MATCH(AM$277, lmic_raw_ub[#Headers],0))=0, INDEX(regions_ub[], MATCH($D364, regions_ub[[setting]:[setting]],0), MATCH(AM$139, regions_ub[#Headers],0)),INDEX(lmic_raw_ub[],MATCH($A364,lmic_raw_ub[[setting]:[setting]],0), MATCH(AM$277, lmic_raw_ub[#Headers],0)))</f>
        <v>1.104367651531169E-2</v>
      </c>
      <c r="AN364" s="84">
        <f>IF(INDEX(lmic_raw_ub[],MATCH($A364,lmic_raw_ub[[setting]:[setting]],0), MATCH(AN$277, lmic_raw_ub[#Headers],0))=0, INDEX(regions_ub[], MATCH($D364, regions_ub[[setting]:[setting]],0), MATCH(AN$139, regions_ub[#Headers],0)),INDEX(lmic_raw_ub[],MATCH($A364,lmic_raw_ub[[setting]:[setting]],0), MATCH(AN$277, lmic_raw_ub[#Headers],0)))</f>
        <v>1.4132079118231156E-2</v>
      </c>
      <c r="AO364" s="84">
        <f>IF(INDEX(lmic_raw_ub[],MATCH($A364,lmic_raw_ub[[setting]:[setting]],0), MATCH(AO$277, lmic_raw_ub[#Headers],0))=0, INDEX(regions_ub[], MATCH($D364, regions_ub[[setting]:[setting]],0), MATCH(AO$139, regions_ub[#Headers],0)),INDEX(lmic_raw_ub[],MATCH($A364,lmic_raw_ub[[setting]:[setting]],0), MATCH(AO$277, lmic_raw_ub[#Headers],0)))</f>
        <v>1.7675767792643932E-2</v>
      </c>
      <c r="AP364" s="84">
        <f>IF(INDEX(lmic_raw_ub[],MATCH($A364,lmic_raw_ub[[setting]:[setting]],0), MATCH(AP$277, lmic_raw_ub[#Headers],0))=0, INDEX(regions_ub[], MATCH($D364, regions_ub[[setting]:[setting]],0), MATCH(AP$139, regions_ub[#Headers],0)),INDEX(lmic_raw_ub[],MATCH($A364,lmic_raw_ub[[setting]:[setting]],0), MATCH(AP$277, lmic_raw_ub[#Headers],0)))</f>
        <v>2.4221330538052616E-2</v>
      </c>
      <c r="AQ364" s="84">
        <f>IF(INDEX(lmic_raw_ub[],MATCH($A364,lmic_raw_ub[[setting]:[setting]],0), MATCH(AQ$277, lmic_raw_ub[#Headers],0))=0, INDEX(regions_ub[], MATCH($D364, regions_ub[[setting]:[setting]],0), MATCH(AQ$139, regions_ub[#Headers],0)),INDEX(lmic_raw_ub[],MATCH($A364,lmic_raw_ub[[setting]:[setting]],0), MATCH(AQ$277, lmic_raw_ub[#Headers],0)))</f>
        <v>3.5119396206886519E-2</v>
      </c>
      <c r="AR364" s="84">
        <f>IF(INDEX(lmic_raw_ub[],MATCH($A364,lmic_raw_ub[[setting]:[setting]],0), MATCH(AR$277, lmic_raw_ub[#Headers],0))=0, INDEX(regions_ub[], MATCH($D364, regions_ub[[setting]:[setting]],0), MATCH(AR$139, regions_ub[#Headers],0)),INDEX(lmic_raw_ub[],MATCH($A364,lmic_raw_ub[[setting]:[setting]],0), MATCH(AR$277, lmic_raw_ub[#Headers],0)))</f>
        <v>5.2231716644249304E-2</v>
      </c>
      <c r="AS364" s="84">
        <f>IF(INDEX(lmic_raw_ub[],MATCH($A364,lmic_raw_ub[[setting]:[setting]],0), MATCH(AS$277, lmic_raw_ub[#Headers],0))=0, INDEX(regions_ub[], MATCH($D364, regions_ub[[setting]:[setting]],0), MATCH(AS$139, regions_ub[#Headers],0)),INDEX(lmic_raw_ub[],MATCH($A364,lmic_raw_ub[[setting]:[setting]],0), MATCH(AS$277, lmic_raw_ub[#Headers],0)))</f>
        <v>7.6872980347654635E-2</v>
      </c>
      <c r="AT364" s="84">
        <f>IF(INDEX(lmic_raw_ub[],MATCH($A364,lmic_raw_ub[[setting]:[setting]],0), MATCH(AT$277, lmic_raw_ub[#Headers],0))=0, INDEX(regions_ub[], MATCH($D364, regions_ub[[setting]:[setting]],0), MATCH(AT$139, regions_ub[#Headers],0)),INDEX(lmic_raw_ub[],MATCH($A364,lmic_raw_ub[[setting]:[setting]],0), MATCH(AT$277, lmic_raw_ub[#Headers],0)))</f>
        <v>0.11270807945629688</v>
      </c>
      <c r="AU364" s="84">
        <f>IF(INDEX(lmic_raw_ub[],MATCH($A364,lmic_raw_ub[[setting]:[setting]],0), MATCH(AU$277, lmic_raw_ub[#Headers],0))=0, INDEX(regions_ub[], MATCH($D364, regions_ub[[setting]:[setting]],0), MATCH(AU$139, regions_ub[#Headers],0)),INDEX(lmic_raw_ub[],MATCH($A364,lmic_raw_ub[[setting]:[setting]],0), MATCH(AU$277, lmic_raw_ub[#Headers],0)))</f>
        <v>0.15417833623609989</v>
      </c>
      <c r="AV364" s="84">
        <f>IF(INDEX(lmic_raw_ub[],MATCH($A364,lmic_raw_ub[[setting]:[setting]],0), MATCH(AV$277, lmic_raw_ub[#Headers],0))=0, INDEX(regions_ub[], MATCH($D364, regions_ub[[setting]:[setting]],0), MATCH(AV$139, regions_ub[#Headers],0)),INDEX(lmic_raw_ub[],MATCH($A364,lmic_raw_ub[[setting]:[setting]],0), MATCH(AV$277, lmic_raw_ub[#Headers],0)))</f>
        <v>0.18691676159931661</v>
      </c>
      <c r="AW364" s="84">
        <f>IF(INDEX(lmic_raw_ub[],MATCH($A364,lmic_raw_ub[[setting]:[setting]],0), MATCH(AW$277, lmic_raw_ub[#Headers],0))=0, INDEX(regions_ub[], MATCH($D364, regions_ub[[setting]:[setting]],0), MATCH(AW$139, regions_ub[#Headers],0)),INDEX(lmic_raw_ub[],MATCH($A364,lmic_raw_ub[[setting]:[setting]],0), MATCH(AW$277, lmic_raw_ub[#Headers],0)))</f>
        <v>0.19796159125186441</v>
      </c>
      <c r="AX364" s="84">
        <f>IF(INDEX(lmic_raw_ub[],MATCH($A364,lmic_raw_ub[[setting]:[setting]],0), MATCH(AX$277, lmic_raw_ub[#Headers],0))=0, INDEX(regions_ub[], MATCH($D364, regions_ub[[setting]:[setting]],0), MATCH(AX$139, regions_ub[#Headers],0)),INDEX(lmic_raw_ub[],MATCH($A364,lmic_raw_ub[[setting]:[setting]],0), MATCH(AX$277, lmic_raw_ub[#Headers],0)))</f>
        <v>66.175200000000004</v>
      </c>
      <c r="AY364" s="33" t="str">
        <f>IF(VLOOKUP(lmics_ub[[#This Row],[setting]],lmic_raw_ub[],11,FALSE)=0, "Yes", "No")</f>
        <v>No</v>
      </c>
    </row>
    <row r="365" spans="1:51" x14ac:dyDescent="0.25">
      <c r="A365" s="110" t="s">
        <v>291</v>
      </c>
      <c r="B365" s="104" t="s">
        <v>479</v>
      </c>
      <c r="C365" s="105">
        <v>520</v>
      </c>
      <c r="D365" s="84" t="s">
        <v>681</v>
      </c>
      <c r="E365" s="84" t="s">
        <v>98</v>
      </c>
      <c r="F365" s="84" t="s">
        <v>666</v>
      </c>
      <c r="G365" s="84" t="s">
        <v>676</v>
      </c>
      <c r="J365" s="84">
        <f>IF(INDEX(lmic_raw_ub[],MATCH($A365,lmic_raw_ub[[setting]:[setting]],0), MATCH(J$277, lmic_raw_ub[#Headers],0))=0, INDEX(regions_ub[], MATCH($D365, regions_ub[[setting]:[setting]],0), MATCH(J$139, regions_ub[#Headers],0)),INDEX(lmic_raw_ub[],MATCH($A365,lmic_raw_ub[[setting]:[setting]],0), MATCH(J$277, lmic_raw_ub[#Headers],0)))</f>
        <v>0.99990000000000001</v>
      </c>
      <c r="K365" s="84">
        <f>IF(INDEX(lmic_raw_ub[],MATCH($A365,lmic_raw_ub[[setting]:[setting]],0), MATCH(K$277, lmic_raw_ub[#Headers],0))=0, INDEX(regions_ub[], MATCH($D365, regions_ub[[setting]:[setting]],0), MATCH(K$139, regions_ub[#Headers],0)),INDEX(lmic_raw_ub[],MATCH($A365,lmic_raw_ub[[setting]:[setting]],0), MATCH(K$277, lmic_raw_ub[#Headers],0)))</f>
        <v>0.99990000000000001</v>
      </c>
      <c r="L365" s="84">
        <f>IF(INDEX(lmic_raw_ub[],MATCH($A365,lmic_raw_ub[[setting]:[setting]],0), MATCH(L$277, lmic_raw_ub[#Headers],0))=0, INDEX(regions_ub[], MATCH($D365, regions_ub[[setting]:[setting]],0), MATCH(L$139, regions_ub[#Headers],0)),INDEX(lmic_raw_ub[],MATCH($A365,lmic_raw_ub[[setting]:[setting]],0), MATCH(L$277, lmic_raw_ub[#Headers],0)))</f>
        <v>0.99990000000000001</v>
      </c>
      <c r="M365" s="84">
        <f>IF(INDEX(lmic_raw_ub[],MATCH($A365,lmic_raw_ub[[setting]:[setting]],0), MATCH(M$277, lmic_raw_ub[#Headers],0))=0, INDEX(regions_ub[], MATCH($D365, regions_ub[[setting]:[setting]],0), MATCH(M$139, regions_ub[#Headers],0)),INDEX(lmic_raw_ub[],MATCH($A365,lmic_raw_ub[[setting]:[setting]],0), MATCH(M$277, lmic_raw_ub[#Headers],0)))</f>
        <v>0.1464</v>
      </c>
      <c r="N365" s="84">
        <f>IF(INDEX(lmic_raw_ub[],MATCH($A365,lmic_raw_ub[[setting]:[setting]],0), MATCH(N$277, lmic_raw_ub[#Headers],0))=0, INDEX(regions_ub[], MATCH($D365, regions_ub[[setting]:[setting]],0), MATCH(N$139, regions_ub[#Headers],0)),INDEX(lmic_raw_ub[],MATCH($A365,lmic_raw_ub[[setting]:[setting]],0), MATCH(N$277, lmic_raw_ub[#Headers],0)))</f>
        <v>0.4892242904691097</v>
      </c>
      <c r="O365" s="84">
        <f>IF(INDEX(lmic_raw_ub[],MATCH($A365,lmic_raw_ub[[setting]:[setting]],0), MATCH(O$277, lmic_raw_ub[#Headers],0))=0, INDEX(regions_ub[], MATCH($D365, regions_ub[[setting]:[setting]],0), MATCH(O$139, regions_ub[#Headers],0)),INDEX(lmic_raw_ub[],MATCH($A365,lmic_raw_ub[[setting]:[setting]],0), MATCH(O$277, lmic_raw_ub[#Headers],0)))</f>
        <v>0.9</v>
      </c>
      <c r="P365" s="84">
        <f>IF(INDEX(lmic_raw_ub[],MATCH($A365,lmic_raw_ub[[setting]:[setting]],0), MATCH(P$277, lmic_raw_ub[#Headers],0))=0, INDEX(regions_ub[], MATCH($D365, regions_ub[[setting]:[setting]],0), MATCH(P$139, regions_ub[#Headers],0)),INDEX(lmic_raw_ub[],MATCH($A365,lmic_raw_ub[[setting]:[setting]],0), MATCH(P$277, lmic_raw_ub[#Headers],0)))</f>
        <v>0.3</v>
      </c>
      <c r="Q365" s="84">
        <f>IF(INDEX(lmic_raw_ub[],MATCH($A365,lmic_raw_ub[[setting]:[setting]],0), MATCH(Q$277, lmic_raw_ub[#Headers],0))=0, INDEX(regions_ub[], MATCH($D365, regions_ub[[setting]:[setting]],0), MATCH(Q$139, regions_ub[#Headers],0)),INDEX(lmic_raw_ub[],MATCH($A365,lmic_raw_ub[[setting]:[setting]],0), MATCH(Q$277, lmic_raw_ub[#Headers],0)))</f>
        <v>6.3803782087437835</v>
      </c>
      <c r="R365" s="84">
        <f>IF(INDEX(lmic_raw_ub[],MATCH($A365,lmic_raw_ub[[setting]:[setting]],0), MATCH(R$277, lmic_raw_ub[#Headers],0))=0, INDEX(regions_ub[], MATCH($D365, regions_ub[[setting]:[setting]],0), MATCH(R$139, regions_ub[#Headers],0)),INDEX(lmic_raw_ub[],MATCH($A365,lmic_raw_ub[[setting]:[setting]],0), MATCH(R$277, lmic_raw_ub[#Headers],0)))</f>
        <v>76.738725000000002</v>
      </c>
      <c r="S365" s="84">
        <f>IF(INDEX(lmic_raw_ub[],MATCH($A365,lmic_raw_ub[[setting]:[setting]],0), MATCH(S$277, lmic_raw_ub[#Headers],0))=0, INDEX(regions_ub[], MATCH($D365, regions_ub[[setting]:[setting]],0), MATCH(S$139, regions_ub[#Headers],0)),INDEX(lmic_raw_ub[],MATCH($A365,lmic_raw_ub[[setting]:[setting]],0), MATCH(S$277, lmic_raw_ub[#Headers],0)))</f>
        <v>126.867825</v>
      </c>
      <c r="T365" s="84">
        <f>IF(INDEX(lmic_raw_ub[],MATCH($A365,lmic_raw_ub[[setting]:[setting]],0), MATCH(T$277, lmic_raw_ub[#Headers],0))=0, INDEX(regions_ub[], MATCH($D365, regions_ub[[setting]:[setting]],0), MATCH(T$139, regions_ub[#Headers],0)),INDEX(lmic_raw_ub[],MATCH($A365,lmic_raw_ub[[setting]:[setting]],0), MATCH(T$277, lmic_raw_ub[#Headers],0)))</f>
        <v>126.867825</v>
      </c>
      <c r="U365" s="84">
        <f>IF(INDEX(lmic_raw_ub[],MATCH($A365,lmic_raw_ub[[setting]:[setting]],0), MATCH(U$277, lmic_raw_ub[#Headers],0))=0, INDEX(regions_ub[], MATCH($D365, regions_ub[[setting]:[setting]],0), MATCH(U$139, regions_ub[#Headers],0)),INDEX(lmic_raw_ub[],MATCH($A365,lmic_raw_ub[[setting]:[setting]],0), MATCH(U$277, lmic_raw_ub[#Headers],0)))</f>
        <v>126.867825</v>
      </c>
      <c r="V365" s="84">
        <f>IF(INDEX(lmic_raw_ub[],MATCH($A365,lmic_raw_ub[[setting]:[setting]],0), MATCH(V$277, lmic_raw_ub[#Headers],0))=0, INDEX(regions_ub[], MATCH($D365, regions_ub[[setting]:[setting]],0), MATCH(V$139, regions_ub[#Headers],0)),INDEX(lmic_raw_ub[],MATCH($A365,lmic_raw_ub[[setting]:[setting]],0), MATCH(V$277, lmic_raw_ub[#Headers],0)))</f>
        <v>0.60308025393517106</v>
      </c>
      <c r="W365" s="84">
        <f>IF(INDEX(lmic_raw_ub[],MATCH($A365,lmic_raw_ub[[setting]:[setting]],0), MATCH(W$277, lmic_raw_ub[#Headers],0))=0, INDEX(regions_ub[], MATCH($D365, regions_ub[[setting]:[setting]],0), MATCH(W$139, regions_ub[#Headers],0)),INDEX(lmic_raw_ub[],MATCH($A365,lmic_raw_ub[[setting]:[setting]],0), MATCH(W$277, lmic_raw_ub[#Headers],0)))</f>
        <v>1.2668902539351712</v>
      </c>
      <c r="X365" s="84">
        <f>IF(INDEX(lmic_raw_ub[],MATCH($A365,lmic_raw_ub[[setting]:[setting]],0), MATCH(X$277, lmic_raw_ub[#Headers],0))=0, INDEX(regions_ub[], MATCH($D365, regions_ub[[setting]:[setting]],0), MATCH(X$139, regions_ub[#Headers],0)),INDEX(lmic_raw_ub[],MATCH($A365,lmic_raw_ub[[setting]:[setting]],0), MATCH(X$277, lmic_raw_ub[#Headers],0)))</f>
        <v>6.5973042781609523E-2</v>
      </c>
      <c r="Y365" s="84">
        <f>IF(INDEX(lmic_raw_ub[],MATCH($A365,lmic_raw_ub[[setting]:[setting]],0), MATCH(Y$277, lmic_raw_ub[#Headers],0))=0, INDEX(regions_ub[], MATCH($D365, regions_ub[[setting]:[setting]],0), MATCH(Y$139, regions_ub[#Headers],0)),INDEX(lmic_raw_ub[],MATCH($A365,lmic_raw_ub[[setting]:[setting]],0), MATCH(Y$277, lmic_raw_ub[#Headers],0)))</f>
        <v>0.72978304278160955</v>
      </c>
      <c r="Z365" s="84">
        <f>IF(INDEX(lmic_raw_ub[],MATCH($A365,lmic_raw_ub[[setting]:[setting]],0), MATCH(Z$277, lmic_raw_ub[#Headers],0))=0, INDEX(regions_ub[], MATCH($D365, regions_ub[[setting]:[setting]],0), MATCH(Z$139, regions_ub[#Headers],0)),INDEX(lmic_raw_ub[],MATCH($A365,lmic_raw_ub[[setting]:[setting]],0), MATCH(Z$277, lmic_raw_ub[#Headers],0)))</f>
        <v>0.70151393999028999</v>
      </c>
      <c r="AA365" s="84">
        <f>IF(INDEX(lmic_raw_ub[],MATCH($A365,lmic_raw_ub[[setting]:[setting]],0), MATCH(AA$277, lmic_raw_ub[#Headers],0))=0, INDEX(regions_ub[], MATCH($D365, regions_ub[[setting]:[setting]],0), MATCH(AA$139, regions_ub[#Headers],0)),INDEX(lmic_raw_ub[],MATCH($A365,lmic_raw_ub[[setting]:[setting]],0), MATCH(AA$277, lmic_raw_ub[#Headers],0)))</f>
        <v>0.88107474053397927</v>
      </c>
      <c r="AB365" s="84">
        <f>IF(INDEX(lmic_raw_ub[],MATCH($A365,lmic_raw_ub[[setting]:[setting]],0), MATCH(AB$277, lmic_raw_ub[#Headers],0))=0, INDEX(regions_ub[], MATCH($D365, regions_ub[[setting]:[setting]],0), MATCH(AB$139, regions_ub[#Headers],0)),INDEX(lmic_raw_ub[],MATCH($A365,lmic_raw_ub[[setting]:[setting]],0), MATCH(AB$277, lmic_raw_ub[#Headers],0)))</f>
        <v>1.5448847405339792</v>
      </c>
      <c r="AC365" s="84">
        <f>IF(INDEX(lmic_raw_ub[],MATCH($A365,lmic_raw_ub[[setting]:[setting]],0), MATCH(AC$277, lmic_raw_ub[#Headers],0))=0, INDEX(regions_ub[], MATCH($D365, regions_ub[[setting]:[setting]],0), MATCH(AC$139, regions_ub[#Headers],0)),INDEX(lmic_raw_ub[],MATCH($A365,lmic_raw_ub[[setting]:[setting]],0), MATCH(AC$277, lmic_raw_ub[#Headers],0)))</f>
        <v>1.2718695170316376E-2</v>
      </c>
      <c r="AD365" s="84">
        <f>IF(INDEX(lmic_raw_ub[],MATCH($A365,lmic_raw_ub[[setting]:[setting]],0), MATCH(AD$277, lmic_raw_ub[#Headers],0))=0, INDEX(regions_ub[], MATCH($D365, regions_ub[[setting]:[setting]],0), MATCH(AD$139, regions_ub[#Headers],0)),INDEX(lmic_raw_ub[],MATCH($A365,lmic_raw_ub[[setting]:[setting]],0), MATCH(AD$277, lmic_raw_ub[#Headers],0)))</f>
        <v>7.0990426719929028E-4</v>
      </c>
      <c r="AE365" s="84">
        <f>IF(INDEX(lmic_raw_ub[],MATCH($A365,lmic_raw_ub[[setting]:[setting]],0), MATCH(AE$277, lmic_raw_ub[#Headers],0))=0, INDEX(regions_ub[], MATCH($D365, regions_ub[[setting]:[setting]],0), MATCH(AE$139, regions_ub[#Headers],0)),INDEX(lmic_raw_ub[],MATCH($A365,lmic_raw_ub[[setting]:[setting]],0), MATCH(AE$277, lmic_raw_ub[#Headers],0)))</f>
        <v>4.1035558161302201E-4</v>
      </c>
      <c r="AF365" s="84">
        <f>IF(INDEX(lmic_raw_ub[],MATCH($A365,lmic_raw_ub[[setting]:[setting]],0), MATCH(AF$277, lmic_raw_ub[#Headers],0))=0, INDEX(regions_ub[], MATCH($D365, regions_ub[[setting]:[setting]],0), MATCH(AF$139, regions_ub[#Headers],0)),INDEX(lmic_raw_ub[],MATCH($A365,lmic_raw_ub[[setting]:[setting]],0), MATCH(AF$277, lmic_raw_ub[#Headers],0)))</f>
        <v>3.2321280704531737E-4</v>
      </c>
      <c r="AG365" s="84">
        <f>IF(INDEX(lmic_raw_ub[],MATCH($A365,lmic_raw_ub[[setting]:[setting]],0), MATCH(AG$277, lmic_raw_ub[#Headers],0))=0, INDEX(regions_ub[], MATCH($D365, regions_ub[[setting]:[setting]],0), MATCH(AG$139, regions_ub[#Headers],0)),INDEX(lmic_raw_ub[],MATCH($A365,lmic_raw_ub[[setting]:[setting]],0), MATCH(AG$277, lmic_raw_ub[#Headers],0)))</f>
        <v>5.1391567877096943E-4</v>
      </c>
      <c r="AH365" s="84">
        <f>IF(INDEX(lmic_raw_ub[],MATCH($A365,lmic_raw_ub[[setting]:[setting]],0), MATCH(AH$277, lmic_raw_ub[#Headers],0))=0, INDEX(regions_ub[], MATCH($D365, regions_ub[[setting]:[setting]],0), MATCH(AH$139, regions_ub[#Headers],0)),INDEX(lmic_raw_ub[],MATCH($A365,lmic_raw_ub[[setting]:[setting]],0), MATCH(AH$277, lmic_raw_ub[#Headers],0)))</f>
        <v>7.1501295849761711E-4</v>
      </c>
      <c r="AI365" s="84">
        <f>IF(INDEX(lmic_raw_ub[],MATCH($A365,lmic_raw_ub[[setting]:[setting]],0), MATCH(AI$277, lmic_raw_ub[#Headers],0))=0, INDEX(regions_ub[], MATCH($D365, regions_ub[[setting]:[setting]],0), MATCH(AI$139, regions_ub[#Headers],0)),INDEX(lmic_raw_ub[],MATCH($A365,lmic_raw_ub[[setting]:[setting]],0), MATCH(AI$277, lmic_raw_ub[#Headers],0)))</f>
        <v>8.927507998400117E-4</v>
      </c>
      <c r="AJ365" s="84">
        <f>IF(INDEX(lmic_raw_ub[],MATCH($A365,lmic_raw_ub[[setting]:[setting]],0), MATCH(AJ$277, lmic_raw_ub[#Headers],0))=0, INDEX(regions_ub[], MATCH($D365, regions_ub[[setting]:[setting]],0), MATCH(AJ$139, regions_ub[#Headers],0)),INDEX(lmic_raw_ub[],MATCH($A365,lmic_raw_ub[[setting]:[setting]],0), MATCH(AJ$277, lmic_raw_ub[#Headers],0)))</f>
        <v>1.1113320849251299E-3</v>
      </c>
      <c r="AK365" s="84">
        <f>IF(INDEX(lmic_raw_ub[],MATCH($A365,lmic_raw_ub[[setting]:[setting]],0), MATCH(AK$277, lmic_raw_ub[#Headers],0))=0, INDEX(regions_ub[], MATCH($D365, regions_ub[[setting]:[setting]],0), MATCH(AK$139, regions_ub[#Headers],0)),INDEX(lmic_raw_ub[],MATCH($A365,lmic_raw_ub[[setting]:[setting]],0), MATCH(AK$277, lmic_raw_ub[#Headers],0)))</f>
        <v>1.4275057565613705E-3</v>
      </c>
      <c r="AL365" s="84">
        <f>IF(INDEX(lmic_raw_ub[],MATCH($A365,lmic_raw_ub[[setting]:[setting]],0), MATCH(AL$277, lmic_raw_ub[#Headers],0))=0, INDEX(regions_ub[], MATCH($D365, regions_ub[[setting]:[setting]],0), MATCH(AL$139, regions_ub[#Headers],0)),INDEX(lmic_raw_ub[],MATCH($A365,lmic_raw_ub[[setting]:[setting]],0), MATCH(AL$277, lmic_raw_ub[#Headers],0)))</f>
        <v>2.009368370687911E-3</v>
      </c>
      <c r="AM365" s="84">
        <f>IF(INDEX(lmic_raw_ub[],MATCH($A365,lmic_raw_ub[[setting]:[setting]],0), MATCH(AM$277, lmic_raw_ub[#Headers],0))=0, INDEX(regions_ub[], MATCH($D365, regions_ub[[setting]:[setting]],0), MATCH(AM$139, regions_ub[#Headers],0)),INDEX(lmic_raw_ub[],MATCH($A365,lmic_raw_ub[[setting]:[setting]],0), MATCH(AM$277, lmic_raw_ub[#Headers],0)))</f>
        <v>2.94513734968114E-3</v>
      </c>
      <c r="AN365" s="84">
        <f>IF(INDEX(lmic_raw_ub[],MATCH($A365,lmic_raw_ub[[setting]:[setting]],0), MATCH(AN$277, lmic_raw_ub[#Headers],0))=0, INDEX(regions_ub[], MATCH($D365, regions_ub[[setting]:[setting]],0), MATCH(AN$139, regions_ub[#Headers],0)),INDEX(lmic_raw_ub[],MATCH($A365,lmic_raw_ub[[setting]:[setting]],0), MATCH(AN$277, lmic_raw_ub[#Headers],0)))</f>
        <v>4.6905477840367173E-3</v>
      </c>
      <c r="AO365" s="84">
        <f>IF(INDEX(lmic_raw_ub[],MATCH($A365,lmic_raw_ub[[setting]:[setting]],0), MATCH(AO$277, lmic_raw_ub[#Headers],0))=0, INDEX(regions_ub[], MATCH($D365, regions_ub[[setting]:[setting]],0), MATCH(AO$139, regions_ub[#Headers],0)),INDEX(lmic_raw_ub[],MATCH($A365,lmic_raw_ub[[setting]:[setting]],0), MATCH(AO$277, lmic_raw_ub[#Headers],0)))</f>
        <v>7.5068342983396156E-3</v>
      </c>
      <c r="AP365" s="84">
        <f>IF(INDEX(lmic_raw_ub[],MATCH($A365,lmic_raw_ub[[setting]:[setting]],0), MATCH(AP$277, lmic_raw_ub[#Headers],0))=0, INDEX(regions_ub[], MATCH($D365, regions_ub[[setting]:[setting]],0), MATCH(AP$139, regions_ub[#Headers],0)),INDEX(lmic_raw_ub[],MATCH($A365,lmic_raw_ub[[setting]:[setting]],0), MATCH(AP$277, lmic_raw_ub[#Headers],0)))</f>
        <v>1.2728981177810095E-2</v>
      </c>
      <c r="AQ365" s="84">
        <f>IF(INDEX(lmic_raw_ub[],MATCH($A365,lmic_raw_ub[[setting]:[setting]],0), MATCH(AQ$277, lmic_raw_ub[#Headers],0))=0, INDEX(regions_ub[], MATCH($D365, regions_ub[[setting]:[setting]],0), MATCH(AQ$139, regions_ub[#Headers],0)),INDEX(lmic_raw_ub[],MATCH($A365,lmic_raw_ub[[setting]:[setting]],0), MATCH(AQ$277, lmic_raw_ub[#Headers],0)))</f>
        <v>2.1402745908128597E-2</v>
      </c>
      <c r="AR365" s="84">
        <f>IF(INDEX(lmic_raw_ub[],MATCH($A365,lmic_raw_ub[[setting]:[setting]],0), MATCH(AR$277, lmic_raw_ub[#Headers],0))=0, INDEX(regions_ub[], MATCH($D365, regions_ub[[setting]:[setting]],0), MATCH(AR$139, regions_ub[#Headers],0)),INDEX(lmic_raw_ub[],MATCH($A365,lmic_raw_ub[[setting]:[setting]],0), MATCH(AR$277, lmic_raw_ub[#Headers],0)))</f>
        <v>3.6140267460888088E-2</v>
      </c>
      <c r="AS365" s="84">
        <f>IF(INDEX(lmic_raw_ub[],MATCH($A365,lmic_raw_ub[[setting]:[setting]],0), MATCH(AS$277, lmic_raw_ub[#Headers],0))=0, INDEX(regions_ub[], MATCH($D365, regions_ub[[setting]:[setting]],0), MATCH(AS$139, regions_ub[#Headers],0)),INDEX(lmic_raw_ub[],MATCH($A365,lmic_raw_ub[[setting]:[setting]],0), MATCH(AS$277, lmic_raw_ub[#Headers],0)))</f>
        <v>5.6558251600302104E-2</v>
      </c>
      <c r="AT365" s="84">
        <f>IF(INDEX(lmic_raw_ub[],MATCH($A365,lmic_raw_ub[[setting]:[setting]],0), MATCH(AT$277, lmic_raw_ub[#Headers],0))=0, INDEX(regions_ub[], MATCH($D365, regions_ub[[setting]:[setting]],0), MATCH(AT$139, regions_ub[#Headers],0)),INDEX(lmic_raw_ub[],MATCH($A365,lmic_raw_ub[[setting]:[setting]],0), MATCH(AT$277, lmic_raw_ub[#Headers],0)))</f>
        <v>8.0662699285328376E-2</v>
      </c>
      <c r="AU365" s="84">
        <f>IF(INDEX(lmic_raw_ub[],MATCH($A365,lmic_raw_ub[[setting]:[setting]],0), MATCH(AU$277, lmic_raw_ub[#Headers],0))=0, INDEX(regions_ub[], MATCH($D365, regions_ub[[setting]:[setting]],0), MATCH(AU$139, regions_ub[#Headers],0)),INDEX(lmic_raw_ub[],MATCH($A365,lmic_raw_ub[[setting]:[setting]],0), MATCH(AU$277, lmic_raw_ub[#Headers],0)))</f>
        <v>0.11119985765587861</v>
      </c>
      <c r="AV365" s="84">
        <f>IF(INDEX(lmic_raw_ub[],MATCH($A365,lmic_raw_ub[[setting]:[setting]],0), MATCH(AV$277, lmic_raw_ub[#Headers],0))=0, INDEX(regions_ub[], MATCH($D365, regions_ub[[setting]:[setting]],0), MATCH(AV$139, regions_ub[#Headers],0)),INDEX(lmic_raw_ub[],MATCH($A365,lmic_raw_ub[[setting]:[setting]],0), MATCH(AV$277, lmic_raw_ub[#Headers],0)))</f>
        <v>0.13871565315853587</v>
      </c>
      <c r="AW365" s="84">
        <f>IF(INDEX(lmic_raw_ub[],MATCH($A365,lmic_raw_ub[[setting]:[setting]],0), MATCH(AW$277, lmic_raw_ub[#Headers],0))=0, INDEX(regions_ub[], MATCH($D365, regions_ub[[setting]:[setting]],0), MATCH(AW$139, regions_ub[#Headers],0)),INDEX(lmic_raw_ub[],MATCH($A365,lmic_raw_ub[[setting]:[setting]],0), MATCH(AW$277, lmic_raw_ub[#Headers],0)))</f>
        <v>0.161835775952024</v>
      </c>
      <c r="AX365" s="84">
        <f>IF(INDEX(lmic_raw_ub[],MATCH($A365,lmic_raw_ub[[setting]:[setting]],0), MATCH(AX$277, lmic_raw_ub[#Headers],0))=0, INDEX(regions_ub[], MATCH($D365, regions_ub[[setting]:[setting]],0), MATCH(AX$139, regions_ub[#Headers],0)),INDEX(lmic_raw_ub[],MATCH($A365,lmic_raw_ub[[setting]:[setting]],0), MATCH(AX$277, lmic_raw_ub[#Headers],0)))</f>
        <v>79.367389611614101</v>
      </c>
      <c r="AY365" s="33" t="str">
        <f>IF(VLOOKUP(lmics_ub[[#This Row],[setting]],lmic_raw_ub[],11,FALSE)=0, "Yes", "No")</f>
        <v>No</v>
      </c>
    </row>
    <row r="366" spans="1:51" x14ac:dyDescent="0.25">
      <c r="A366" s="109" t="s">
        <v>197</v>
      </c>
      <c r="B366" s="101" t="s">
        <v>480</v>
      </c>
      <c r="C366" s="102">
        <v>524</v>
      </c>
      <c r="D366" s="82" t="s">
        <v>680</v>
      </c>
      <c r="E366" s="82" t="s">
        <v>589</v>
      </c>
      <c r="F366" s="82" t="s">
        <v>589</v>
      </c>
      <c r="G366" s="82" t="s">
        <v>674</v>
      </c>
      <c r="J366" s="84">
        <f>IF(INDEX(lmic_raw_ub[],MATCH($A366,lmic_raw_ub[[setting]:[setting]],0), MATCH(J$277, lmic_raw_ub[#Headers],0))=0, INDEX(regions_ub[], MATCH($D366, regions_ub[[setting]:[setting]],0), MATCH(J$139, regions_ub[#Headers],0)),INDEX(lmic_raw_ub[],MATCH($A366,lmic_raw_ub[[setting]:[setting]],0), MATCH(J$277, lmic_raw_ub[#Headers],0)))</f>
        <v>0.60270000000000001</v>
      </c>
      <c r="K366" s="84">
        <f>IF(INDEX(lmic_raw_ub[],MATCH($A366,lmic_raw_ub[[setting]:[setting]],0), MATCH(K$277, lmic_raw_ub[#Headers],0))=0, INDEX(regions_ub[], MATCH($D366, regions_ub[[setting]:[setting]],0), MATCH(K$139, regions_ub[#Headers],0)),INDEX(lmic_raw_ub[],MATCH($A366,lmic_raw_ub[[setting]:[setting]],0), MATCH(K$277, lmic_raw_ub[#Headers],0)))</f>
        <v>0.63593287376541119</v>
      </c>
      <c r="L366" s="84">
        <f>IF(INDEX(lmic_raw_ub[],MATCH($A366,lmic_raw_ub[[setting]:[setting]],0), MATCH(L$277, lmic_raw_ub[#Headers],0))=0, INDEX(regions_ub[], MATCH($D366, regions_ub[[setting]:[setting]],0), MATCH(L$139, regions_ub[#Headers],0)),INDEX(lmic_raw_ub[],MATCH($A366,lmic_raw_ub[[setting]:[setting]],0), MATCH(L$277, lmic_raw_ub[#Headers],0)))</f>
        <v>0.97650000000000015</v>
      </c>
      <c r="M366" s="84">
        <f>IF(INDEX(lmic_raw_ub[],MATCH($A366,lmic_raw_ub[[setting]:[setting]],0), MATCH(M$277, lmic_raw_ub[#Headers],0))=0, INDEX(regions_ub[], MATCH($D366, regions_ub[[setting]:[setting]],0), MATCH(M$139, regions_ub[#Headers],0)),INDEX(lmic_raw_ub[],MATCH($A366,lmic_raw_ub[[setting]:[setting]],0), MATCH(M$277, lmic_raw_ub[#Headers],0)))</f>
        <v>1.1299999999999999E-2</v>
      </c>
      <c r="N366" s="84">
        <f>IF(INDEX(lmic_raw_ub[],MATCH($A366,lmic_raw_ub[[setting]:[setting]],0), MATCH(N$277, lmic_raw_ub[#Headers],0))=0, INDEX(regions_ub[], MATCH($D366, regions_ub[[setting]:[setting]],0), MATCH(N$139, regions_ub[#Headers],0)),INDEX(lmic_raw_ub[],MATCH($A366,lmic_raw_ub[[setting]:[setting]],0), MATCH(N$277, lmic_raw_ub[#Headers],0)))</f>
        <v>0.35830000000000001</v>
      </c>
      <c r="O366" s="84">
        <f>IF(INDEX(lmic_raw_ub[],MATCH($A366,lmic_raw_ub[[setting]:[setting]],0), MATCH(O$277, lmic_raw_ub[#Headers],0))=0, INDEX(regions_ub[], MATCH($D366, regions_ub[[setting]:[setting]],0), MATCH(O$139, regions_ub[#Headers],0)),INDEX(lmic_raw_ub[],MATCH($A366,lmic_raw_ub[[setting]:[setting]],0), MATCH(O$277, lmic_raw_ub[#Headers],0)))</f>
        <v>0.9</v>
      </c>
      <c r="P366" s="84">
        <f>IF(INDEX(lmic_raw_ub[],MATCH($A366,lmic_raw_ub[[setting]:[setting]],0), MATCH(P$277, lmic_raw_ub[#Headers],0))=0, INDEX(regions_ub[], MATCH($D366, regions_ub[[setting]:[setting]],0), MATCH(P$139, regions_ub[#Headers],0)),INDEX(lmic_raw_ub[],MATCH($A366,lmic_raw_ub[[setting]:[setting]],0), MATCH(P$277, lmic_raw_ub[#Headers],0)))</f>
        <v>0.3</v>
      </c>
      <c r="Q366" s="84">
        <f>IF(INDEX(lmic_raw_ub[],MATCH($A366,lmic_raw_ub[[setting]:[setting]],0), MATCH(Q$277, lmic_raw_ub[#Headers],0))=0, INDEX(regions_ub[], MATCH($D366, regions_ub[[setting]:[setting]],0), MATCH(Q$139, regions_ub[#Headers],0)),INDEX(lmic_raw_ub[],MATCH($A366,lmic_raw_ub[[setting]:[setting]],0), MATCH(Q$277, lmic_raw_ub[#Headers],0)))</f>
        <v>2.8410274517117426</v>
      </c>
      <c r="R366" s="84">
        <f>IF(INDEX(lmic_raw_ub[],MATCH($A366,lmic_raw_ub[[setting]:[setting]],0), MATCH(R$277, lmic_raw_ub[#Headers],0))=0, INDEX(regions_ub[], MATCH($D366, regions_ub[[setting]:[setting]],0), MATCH(R$139, regions_ub[#Headers],0)),INDEX(lmic_raw_ub[],MATCH($A366,lmic_raw_ub[[setting]:[setting]],0), MATCH(R$277, lmic_raw_ub[#Headers],0)))</f>
        <v>48.194895000000002</v>
      </c>
      <c r="S366" s="84">
        <f>IF(INDEX(lmic_raw_ub[],MATCH($A366,lmic_raw_ub[[setting]:[setting]],0), MATCH(S$277, lmic_raw_ub[#Headers],0))=0, INDEX(regions_ub[], MATCH($D366, regions_ub[[setting]:[setting]],0), MATCH(S$139, regions_ub[#Headers],0)),INDEX(lmic_raw_ub[],MATCH($A366,lmic_raw_ub[[setting]:[setting]],0), MATCH(S$277, lmic_raw_ub[#Headers],0)))</f>
        <v>98.323995000000011</v>
      </c>
      <c r="T366" s="84">
        <f>IF(INDEX(lmic_raw_ub[],MATCH($A366,lmic_raw_ub[[setting]:[setting]],0), MATCH(T$277, lmic_raw_ub[#Headers],0))=0, INDEX(regions_ub[], MATCH($D366, regions_ub[[setting]:[setting]],0), MATCH(T$139, regions_ub[#Headers],0)),INDEX(lmic_raw_ub[],MATCH($A366,lmic_raw_ub[[setting]:[setting]],0), MATCH(T$277, lmic_raw_ub[#Headers],0)))</f>
        <v>98.323995000000011</v>
      </c>
      <c r="U366" s="84">
        <f>IF(INDEX(lmic_raw_ub[],MATCH($A366,lmic_raw_ub[[setting]:[setting]],0), MATCH(U$277, lmic_raw_ub[#Headers],0))=0, INDEX(regions_ub[], MATCH($D366, regions_ub[[setting]:[setting]],0), MATCH(U$139, regions_ub[#Headers],0)),INDEX(lmic_raw_ub[],MATCH($A366,lmic_raw_ub[[setting]:[setting]],0), MATCH(U$277, lmic_raw_ub[#Headers],0)))</f>
        <v>98.323995000000011</v>
      </c>
      <c r="V366" s="84">
        <f>IF(INDEX(lmic_raw_ub[],MATCH($A366,lmic_raw_ub[[setting]:[setting]],0), MATCH(V$277, lmic_raw_ub[#Headers],0))=0, INDEX(regions_ub[], MATCH($D366, regions_ub[[setting]:[setting]],0), MATCH(V$139, regions_ub[#Headers],0)),INDEX(lmic_raw_ub[],MATCH($A366,lmic_raw_ub[[setting]:[setting]],0), MATCH(V$277, lmic_raw_ub[#Headers],0)))</f>
        <v>4.9523695144787085</v>
      </c>
      <c r="W366" s="84">
        <f>IF(INDEX(lmic_raw_ub[],MATCH($A366,lmic_raw_ub[[setting]:[setting]],0), MATCH(W$277, lmic_raw_ub[#Headers],0))=0, INDEX(regions_ub[], MATCH($D366, regions_ub[[setting]:[setting]],0), MATCH(W$139, regions_ub[#Headers],0)),INDEX(lmic_raw_ub[],MATCH($A366,lmic_raw_ub[[setting]:[setting]],0), MATCH(W$277, lmic_raw_ub[#Headers],0)))</f>
        <v>7.5248695144787092</v>
      </c>
      <c r="X366" s="84">
        <f>IF(INDEX(lmic_raw_ub[],MATCH($A366,lmic_raw_ub[[setting]:[setting]],0), MATCH(X$277, lmic_raw_ub[#Headers],0))=0, INDEX(regions_ub[], MATCH($D366, regions_ub[[setting]:[setting]],0), MATCH(X$139, regions_ub[#Headers],0)),INDEX(lmic_raw_ub[],MATCH($A366,lmic_raw_ub[[setting]:[setting]],0), MATCH(X$277, lmic_raw_ub[#Headers],0)))</f>
        <v>4.4510552799956802</v>
      </c>
      <c r="Y366" s="84">
        <f>IF(INDEX(lmic_raw_ub[],MATCH($A366,lmic_raw_ub[[setting]:[setting]],0), MATCH(Y$277, lmic_raw_ub[#Headers],0))=0, INDEX(regions_ub[], MATCH($D366, regions_ub[[setting]:[setting]],0), MATCH(Y$139, regions_ub[#Headers],0)),INDEX(lmic_raw_ub[],MATCH($A366,lmic_raw_ub[[setting]:[setting]],0), MATCH(Y$277, lmic_raw_ub[#Headers],0)))</f>
        <v>7.02355527999568</v>
      </c>
      <c r="Z366" s="84">
        <f>IF(INDEX(lmic_raw_ub[],MATCH($A366,lmic_raw_ub[[setting]:[setting]],0), MATCH(Z$277, lmic_raw_ub[#Headers],0))=0, INDEX(regions_ub[], MATCH($D366, regions_ub[[setting]:[setting]],0), MATCH(Z$139, regions_ub[#Headers],0)),INDEX(lmic_raw_ub[],MATCH($A366,lmic_raw_ub[[setting]:[setting]],0), MATCH(Z$277, lmic_raw_ub[#Headers],0)))</f>
        <v>7.0137311352285501</v>
      </c>
      <c r="AA366" s="84">
        <f>IF(INDEX(lmic_raw_ub[],MATCH($A366,lmic_raw_ub[[setting]:[setting]],0), MATCH(AA$277, lmic_raw_ub[#Headers],0))=0, INDEX(regions_ub[], MATCH($D366, regions_ub[[setting]:[setting]],0), MATCH(AA$139, regions_ub[#Headers],0)),INDEX(lmic_raw_ub[],MATCH($A366,lmic_raw_ub[[setting]:[setting]],0), MATCH(AA$277, lmic_raw_ub[#Headers],0)))</f>
        <v>5.2222392149621202</v>
      </c>
      <c r="AB366" s="84">
        <f>IF(INDEX(lmic_raw_ub[],MATCH($A366,lmic_raw_ub[[setting]:[setting]],0), MATCH(AB$277, lmic_raw_ub[#Headers],0))=0, INDEX(regions_ub[], MATCH($D366, regions_ub[[setting]:[setting]],0), MATCH(AB$139, regions_ub[#Headers],0)),INDEX(lmic_raw_ub[],MATCH($A366,lmic_raw_ub[[setting]:[setting]],0), MATCH(AB$277, lmic_raw_ub[#Headers],0)))</f>
        <v>7.7947392149621209</v>
      </c>
      <c r="AC366" s="84">
        <f>IF(INDEX(lmic_raw_ub[],MATCH($A366,lmic_raw_ub[[setting]:[setting]],0), MATCH(AC$277, lmic_raw_ub[#Headers],0))=0, INDEX(regions_ub[], MATCH($D366, regions_ub[[setting]:[setting]],0), MATCH(AC$139, regions_ub[#Headers],0)),INDEX(lmic_raw_ub[],MATCH($A366,lmic_raw_ub[[setting]:[setting]],0), MATCH(AC$277, lmic_raw_ub[#Headers],0)))</f>
        <v>2.9339709000000016E-2</v>
      </c>
      <c r="AD366" s="84">
        <f>IF(INDEX(lmic_raw_ub[],MATCH($A366,lmic_raw_ub[[setting]:[setting]],0), MATCH(AD$277, lmic_raw_ub[#Headers],0))=0, INDEX(regions_ub[], MATCH($D366, regions_ub[[setting]:[setting]],0), MATCH(AD$139, regions_ub[#Headers],0)),INDEX(lmic_raw_ub[],MATCH($A366,lmic_raw_ub[[setting]:[setting]],0), MATCH(AD$277, lmic_raw_ub[#Headers],0)))</f>
        <v>1.5374030065014206E-3</v>
      </c>
      <c r="AE366" s="84">
        <f>IF(INDEX(lmic_raw_ub[],MATCH($A366,lmic_raw_ub[[setting]:[setting]],0), MATCH(AE$277, lmic_raw_ub[#Headers],0))=0, INDEX(regions_ub[], MATCH($D366, regions_ub[[setting]:[setting]],0), MATCH(AE$139, regions_ub[#Headers],0)),INDEX(lmic_raw_ub[],MATCH($A366,lmic_raw_ub[[setting]:[setting]],0), MATCH(AE$277, lmic_raw_ub[#Headers],0)))</f>
        <v>6.2720911772092577E-4</v>
      </c>
      <c r="AF366" s="84">
        <f>IF(INDEX(lmic_raw_ub[],MATCH($A366,lmic_raw_ub[[setting]:[setting]],0), MATCH(AF$277, lmic_raw_ub[#Headers],0))=0, INDEX(regions_ub[], MATCH($D366, regions_ub[[setting]:[setting]],0), MATCH(AF$139, regions_ub[#Headers],0)),INDEX(lmic_raw_ub[],MATCH($A366,lmic_raw_ub[[setting]:[setting]],0), MATCH(AF$277, lmic_raw_ub[#Headers],0)))</f>
        <v>5.139635511156621E-4</v>
      </c>
      <c r="AG366" s="84">
        <f>IF(INDEX(lmic_raw_ub[],MATCH($A366,lmic_raw_ub[[setting]:[setting]],0), MATCH(AG$277, lmic_raw_ub[#Headers],0))=0, INDEX(regions_ub[], MATCH($D366, regions_ub[[setting]:[setting]],0), MATCH(AG$139, regions_ub[#Headers],0)),INDEX(lmic_raw_ub[],MATCH($A366,lmic_raw_ub[[setting]:[setting]],0), MATCH(AG$277, lmic_raw_ub[#Headers],0)))</f>
        <v>9.0244372089275137E-4</v>
      </c>
      <c r="AH366" s="84">
        <f>IF(INDEX(lmic_raw_ub[],MATCH($A366,lmic_raw_ub[[setting]:[setting]],0), MATCH(AH$277, lmic_raw_ub[#Headers],0))=0, INDEX(regions_ub[], MATCH($D366, regions_ub[[setting]:[setting]],0), MATCH(AH$139, regions_ub[#Headers],0)),INDEX(lmic_raw_ub[],MATCH($A366,lmic_raw_ub[[setting]:[setting]],0), MATCH(AH$277, lmic_raw_ub[#Headers],0)))</f>
        <v>1.246643171882742E-3</v>
      </c>
      <c r="AI366" s="84">
        <f>IF(INDEX(lmic_raw_ub[],MATCH($A366,lmic_raw_ub[[setting]:[setting]],0), MATCH(AI$277, lmic_raw_ub[#Headers],0))=0, INDEX(regions_ub[], MATCH($D366, regions_ub[[setting]:[setting]],0), MATCH(AI$139, regions_ub[#Headers],0)),INDEX(lmic_raw_ub[],MATCH($A366,lmic_raw_ub[[setting]:[setting]],0), MATCH(AI$277, lmic_raw_ub[#Headers],0)))</f>
        <v>1.3546013693873159E-3</v>
      </c>
      <c r="AJ366" s="84">
        <f>IF(INDEX(lmic_raw_ub[],MATCH($A366,lmic_raw_ub[[setting]:[setting]],0), MATCH(AJ$277, lmic_raw_ub[#Headers],0))=0, INDEX(regions_ub[], MATCH($D366, regions_ub[[setting]:[setting]],0), MATCH(AJ$139, regions_ub[#Headers],0)),INDEX(lmic_raw_ub[],MATCH($A366,lmic_raw_ub[[setting]:[setting]],0), MATCH(AJ$277, lmic_raw_ub[#Headers],0)))</f>
        <v>1.5947804222987013E-3</v>
      </c>
      <c r="AK366" s="84">
        <f>IF(INDEX(lmic_raw_ub[],MATCH($A366,lmic_raw_ub[[setting]:[setting]],0), MATCH(AK$277, lmic_raw_ub[#Headers],0))=0, INDEX(regions_ub[], MATCH($D366, regions_ub[[setting]:[setting]],0), MATCH(AK$139, regions_ub[#Headers],0)),INDEX(lmic_raw_ub[],MATCH($A366,lmic_raw_ub[[setting]:[setting]],0), MATCH(AK$277, lmic_raw_ub[#Headers],0)))</f>
        <v>2.0831384894257924E-3</v>
      </c>
      <c r="AL366" s="84">
        <f>IF(INDEX(lmic_raw_ub[],MATCH($A366,lmic_raw_ub[[setting]:[setting]],0), MATCH(AL$277, lmic_raw_ub[#Headers],0))=0, INDEX(regions_ub[], MATCH($D366, regions_ub[[setting]:[setting]],0), MATCH(AL$139, regions_ub[#Headers],0)),INDEX(lmic_raw_ub[],MATCH($A366,lmic_raw_ub[[setting]:[setting]],0), MATCH(AL$277, lmic_raw_ub[#Headers],0)))</f>
        <v>2.9927669066678428E-3</v>
      </c>
      <c r="AM366" s="84">
        <f>IF(INDEX(lmic_raw_ub[],MATCH($A366,lmic_raw_ub[[setting]:[setting]],0), MATCH(AM$277, lmic_raw_ub[#Headers],0))=0, INDEX(regions_ub[], MATCH($D366, regions_ub[[setting]:[setting]],0), MATCH(AM$139, regions_ub[#Headers],0)),INDEX(lmic_raw_ub[],MATCH($A366,lmic_raw_ub[[setting]:[setting]],0), MATCH(AM$277, lmic_raw_ub[#Headers],0)))</f>
        <v>4.6771041527894569E-3</v>
      </c>
      <c r="AN366" s="84">
        <f>IF(INDEX(lmic_raw_ub[],MATCH($A366,lmic_raw_ub[[setting]:[setting]],0), MATCH(AN$277, lmic_raw_ub[#Headers],0))=0, INDEX(regions_ub[], MATCH($D366, regions_ub[[setting]:[setting]],0), MATCH(AN$139, regions_ub[#Headers],0)),INDEX(lmic_raw_ub[],MATCH($A366,lmic_raw_ub[[setting]:[setting]],0), MATCH(AN$277, lmic_raw_ub[#Headers],0)))</f>
        <v>7.2998278283100734E-3</v>
      </c>
      <c r="AO366" s="84">
        <f>IF(INDEX(lmic_raw_ub[],MATCH($A366,lmic_raw_ub[[setting]:[setting]],0), MATCH(AO$277, lmic_raw_ub[#Headers],0))=0, INDEX(regions_ub[], MATCH($D366, regions_ub[[setting]:[setting]],0), MATCH(AO$139, regions_ub[#Headers],0)),INDEX(lmic_raw_ub[],MATCH($A366,lmic_raw_ub[[setting]:[setting]],0), MATCH(AO$277, lmic_raw_ub[#Headers],0)))</f>
        <v>1.1499188514311542E-2</v>
      </c>
      <c r="AP366" s="84">
        <f>IF(INDEX(lmic_raw_ub[],MATCH($A366,lmic_raw_ub[[setting]:[setting]],0), MATCH(AP$277, lmic_raw_ub[#Headers],0))=0, INDEX(regions_ub[], MATCH($D366, regions_ub[[setting]:[setting]],0), MATCH(AP$139, regions_ub[#Headers],0)),INDEX(lmic_raw_ub[],MATCH($A366,lmic_raw_ub[[setting]:[setting]],0), MATCH(AP$277, lmic_raw_ub[#Headers],0)))</f>
        <v>1.8039945310322155E-2</v>
      </c>
      <c r="AQ366" s="84">
        <f>IF(INDEX(lmic_raw_ub[],MATCH($A366,lmic_raw_ub[[setting]:[setting]],0), MATCH(AQ$277, lmic_raw_ub[#Headers],0))=0, INDEX(regions_ub[], MATCH($D366, regions_ub[[setting]:[setting]],0), MATCH(AQ$139, regions_ub[#Headers],0)),INDEX(lmic_raw_ub[],MATCH($A366,lmic_raw_ub[[setting]:[setting]],0), MATCH(AQ$277, lmic_raw_ub[#Headers],0)))</f>
        <v>2.8624227778338548E-2</v>
      </c>
      <c r="AR366" s="84">
        <f>IF(INDEX(lmic_raw_ub[],MATCH($A366,lmic_raw_ub[[setting]:[setting]],0), MATCH(AR$277, lmic_raw_ub[#Headers],0))=0, INDEX(regions_ub[], MATCH($D366, regions_ub[[setting]:[setting]],0), MATCH(AR$139, regions_ub[#Headers],0)),INDEX(lmic_raw_ub[],MATCH($A366,lmic_raw_ub[[setting]:[setting]],0), MATCH(AR$277, lmic_raw_ub[#Headers],0)))</f>
        <v>4.5369785796160425E-2</v>
      </c>
      <c r="AS366" s="84">
        <f>IF(INDEX(lmic_raw_ub[],MATCH($A366,lmic_raw_ub[[setting]:[setting]],0), MATCH(AS$277, lmic_raw_ub[#Headers],0))=0, INDEX(regions_ub[], MATCH($D366, regions_ub[[setting]:[setting]],0), MATCH(AS$139, regions_ub[#Headers],0)),INDEX(lmic_raw_ub[],MATCH($A366,lmic_raw_ub[[setting]:[setting]],0), MATCH(AS$277, lmic_raw_ub[#Headers],0)))</f>
        <v>7.0111660239106532E-2</v>
      </c>
      <c r="AT366" s="84">
        <f>IF(INDEX(lmic_raw_ub[],MATCH($A366,lmic_raw_ub[[setting]:[setting]],0), MATCH(AT$277, lmic_raw_ub[#Headers],0))=0, INDEX(regions_ub[], MATCH($D366, regions_ub[[setting]:[setting]],0), MATCH(AT$139, regions_ub[#Headers],0)),INDEX(lmic_raw_ub[],MATCH($A366,lmic_raw_ub[[setting]:[setting]],0), MATCH(AT$277, lmic_raw_ub[#Headers],0)))</f>
        <v>0.10356877343514813</v>
      </c>
      <c r="AU366" s="84">
        <f>IF(INDEX(lmic_raw_ub[],MATCH($A366,lmic_raw_ub[[setting]:[setting]],0), MATCH(AU$277, lmic_raw_ub[#Headers],0))=0, INDEX(regions_ub[], MATCH($D366, regions_ub[[setting]:[setting]],0), MATCH(AU$139, regions_ub[#Headers],0)),INDEX(lmic_raw_ub[],MATCH($A366,lmic_raw_ub[[setting]:[setting]],0), MATCH(AU$277, lmic_raw_ub[#Headers],0)))</f>
        <v>0.13965928287635196</v>
      </c>
      <c r="AV366" s="84">
        <f>IF(INDEX(lmic_raw_ub[],MATCH($A366,lmic_raw_ub[[setting]:[setting]],0), MATCH(AV$277, lmic_raw_ub[#Headers],0))=0, INDEX(regions_ub[], MATCH($D366, regions_ub[[setting]:[setting]],0), MATCH(AV$139, regions_ub[#Headers],0)),INDEX(lmic_raw_ub[],MATCH($A366,lmic_raw_ub[[setting]:[setting]],0), MATCH(AV$277, lmic_raw_ub[#Headers],0)))</f>
        <v>0.16925634841930245</v>
      </c>
      <c r="AW366" s="84">
        <f>IF(INDEX(lmic_raw_ub[],MATCH($A366,lmic_raw_ub[[setting]:[setting]],0), MATCH(AW$277, lmic_raw_ub[#Headers],0))=0, INDEX(regions_ub[], MATCH($D366, regions_ub[[setting]:[setting]],0), MATCH(AW$139, regions_ub[#Headers],0)),INDEX(lmic_raw_ub[],MATCH($A366,lmic_raw_ub[[setting]:[setting]],0), MATCH(AW$277, lmic_raw_ub[#Headers],0)))</f>
        <v>0.18832893788226795</v>
      </c>
      <c r="AX366" s="84">
        <f>IF(INDEX(lmic_raw_ub[],MATCH($A366,lmic_raw_ub[[setting]:[setting]],0), MATCH(AX$277, lmic_raw_ub[#Headers],0))=0, INDEX(regions_ub[], MATCH($D366, regions_ub[[setting]:[setting]],0), MATCH(AX$139, regions_ub[#Headers],0)),INDEX(lmic_raw_ub[],MATCH($A366,lmic_raw_ub[[setting]:[setting]],0), MATCH(AX$277, lmic_raw_ub[#Headers],0)))</f>
        <v>73.821299999999994</v>
      </c>
      <c r="AY366" s="33" t="str">
        <f>IF(VLOOKUP(lmics_ub[[#This Row],[setting]],lmic_raw_ub[],11,FALSE)=0, "Yes", "No")</f>
        <v>Yes</v>
      </c>
    </row>
    <row r="367" spans="1:51" x14ac:dyDescent="0.25">
      <c r="A367" s="110" t="s">
        <v>259</v>
      </c>
      <c r="B367" s="104" t="s">
        <v>482</v>
      </c>
      <c r="C367" s="105">
        <v>558</v>
      </c>
      <c r="D367" s="84" t="s">
        <v>679</v>
      </c>
      <c r="E367" s="84" t="s">
        <v>604</v>
      </c>
      <c r="F367" s="84" t="s">
        <v>665</v>
      </c>
      <c r="G367" s="84" t="s">
        <v>678</v>
      </c>
      <c r="J367" s="84">
        <f>IF(INDEX(lmic_raw_ub[],MATCH($A367,lmic_raw_ub[[setting]:[setting]],0), MATCH(J$277, lmic_raw_ub[#Headers],0))=0, INDEX(regions_ub[], MATCH($D367, regions_ub[[setting]:[setting]],0), MATCH(J$139, regions_ub[#Headers],0)),INDEX(lmic_raw_ub[],MATCH($A367,lmic_raw_ub[[setting]:[setting]],0), MATCH(J$277, lmic_raw_ub[#Headers],0)))</f>
        <v>0.74549999999999994</v>
      </c>
      <c r="K367" s="84">
        <f>IF(INDEX(lmic_raw_ub[],MATCH($A367,lmic_raw_ub[[setting]:[setting]],0), MATCH(K$277, lmic_raw_ub[#Headers],0))=0, INDEX(regions_ub[], MATCH($D367, regions_ub[[setting]:[setting]],0), MATCH(K$139, regions_ub[#Headers],0)),INDEX(lmic_raw_ub[],MATCH($A367,lmic_raw_ub[[setting]:[setting]],0), MATCH(K$277, lmic_raw_ub[#Headers],0)))</f>
        <v>0.78230516513860726</v>
      </c>
      <c r="L367" s="84">
        <f>IF(INDEX(lmic_raw_ub[],MATCH($A367,lmic_raw_ub[[setting]:[setting]],0), MATCH(L$277, lmic_raw_ub[#Headers],0))=0, INDEX(regions_ub[], MATCH($D367, regions_ub[[setting]:[setting]],0), MATCH(L$139, regions_ub[#Headers],0)),INDEX(lmic_raw_ub[],MATCH($A367,lmic_raw_ub[[setting]:[setting]],0), MATCH(L$277, lmic_raw_ub[#Headers],0)))</f>
        <v>0.99990000000000001</v>
      </c>
      <c r="M367" s="84">
        <f>IF(INDEX(lmic_raw_ub[],MATCH($A367,lmic_raw_ub[[setting]:[setting]],0), MATCH(M$277, lmic_raw_ub[#Headers],0))=0, INDEX(regions_ub[], MATCH($D367, regions_ub[[setting]:[setting]],0), MATCH(M$139, regions_ub[#Headers],0)),INDEX(lmic_raw_ub[],MATCH($A367,lmic_raw_ub[[setting]:[setting]],0), MATCH(M$277, lmic_raw_ub[#Headers],0)))</f>
        <v>7.7000000000000002E-3</v>
      </c>
      <c r="N367" s="84">
        <f>IF(INDEX(lmic_raw_ub[],MATCH($A367,lmic_raw_ub[[setting]:[setting]],0), MATCH(N$277, lmic_raw_ub[#Headers],0))=0, INDEX(regions_ub[], MATCH($D367, regions_ub[[setting]:[setting]],0), MATCH(N$139, regions_ub[#Headers],0)),INDEX(lmic_raw_ub[],MATCH($A367,lmic_raw_ub[[setting]:[setting]],0), MATCH(N$277, lmic_raw_ub[#Headers],0)))</f>
        <v>0.42950000000000005</v>
      </c>
      <c r="O367" s="84">
        <f>IF(INDEX(lmic_raw_ub[],MATCH($A367,lmic_raw_ub[[setting]:[setting]],0), MATCH(O$277, lmic_raw_ub[#Headers],0))=0, INDEX(regions_ub[], MATCH($D367, regions_ub[[setting]:[setting]],0), MATCH(O$139, regions_ub[#Headers],0)),INDEX(lmic_raw_ub[],MATCH($A367,lmic_raw_ub[[setting]:[setting]],0), MATCH(O$277, lmic_raw_ub[#Headers],0)))</f>
        <v>0.9</v>
      </c>
      <c r="P367" s="84">
        <f>IF(INDEX(lmic_raw_ub[],MATCH($A367,lmic_raw_ub[[setting]:[setting]],0), MATCH(P$277, lmic_raw_ub[#Headers],0))=0, INDEX(regions_ub[], MATCH($D367, regions_ub[[setting]:[setting]],0), MATCH(P$139, regions_ub[#Headers],0)),INDEX(lmic_raw_ub[],MATCH($A367,lmic_raw_ub[[setting]:[setting]],0), MATCH(P$277, lmic_raw_ub[#Headers],0)))</f>
        <v>0.3</v>
      </c>
      <c r="Q367" s="84">
        <f>IF(INDEX(lmic_raw_ub[],MATCH($A367,lmic_raw_ub[[setting]:[setting]],0), MATCH(Q$277, lmic_raw_ub[#Headers],0))=0, INDEX(regions_ub[], MATCH($D367, regions_ub[[setting]:[setting]],0), MATCH(Q$139, regions_ub[#Headers],0)),INDEX(lmic_raw_ub[],MATCH($A367,lmic_raw_ub[[setting]:[setting]],0), MATCH(Q$277, lmic_raw_ub[#Headers],0)))</f>
        <v>10.168273489948627</v>
      </c>
      <c r="R367" s="84">
        <f>IF(INDEX(lmic_raw_ub[],MATCH($A367,lmic_raw_ub[[setting]:[setting]],0), MATCH(R$277, lmic_raw_ub[#Headers],0))=0, INDEX(regions_ub[], MATCH($D367, regions_ub[[setting]:[setting]],0), MATCH(R$139, regions_ub[#Headers],0)),INDEX(lmic_raw_ub[],MATCH($A367,lmic_raw_ub[[setting]:[setting]],0), MATCH(R$277, lmic_raw_ub[#Headers],0)))</f>
        <v>91.228094999999996</v>
      </c>
      <c r="S367" s="84">
        <f>IF(INDEX(lmic_raw_ub[],MATCH($A367,lmic_raw_ub[[setting]:[setting]],0), MATCH(S$277, lmic_raw_ub[#Headers],0))=0, INDEX(regions_ub[], MATCH($D367, regions_ub[[setting]:[setting]],0), MATCH(S$139, regions_ub[#Headers],0)),INDEX(lmic_raw_ub[],MATCH($A367,lmic_raw_ub[[setting]:[setting]],0), MATCH(S$277, lmic_raw_ub[#Headers],0)))</f>
        <v>141.35719500000002</v>
      </c>
      <c r="T367" s="84">
        <f>IF(INDEX(lmic_raw_ub[],MATCH($A367,lmic_raw_ub[[setting]:[setting]],0), MATCH(T$277, lmic_raw_ub[#Headers],0))=0, INDEX(regions_ub[], MATCH($D367, regions_ub[[setting]:[setting]],0), MATCH(T$139, regions_ub[#Headers],0)),INDEX(lmic_raw_ub[],MATCH($A367,lmic_raw_ub[[setting]:[setting]],0), MATCH(T$277, lmic_raw_ub[#Headers],0)))</f>
        <v>141.35719500000002</v>
      </c>
      <c r="U367" s="84">
        <f>IF(INDEX(lmic_raw_ub[],MATCH($A367,lmic_raw_ub[[setting]:[setting]],0), MATCH(U$277, lmic_raw_ub[#Headers],0))=0, INDEX(regions_ub[], MATCH($D367, regions_ub[[setting]:[setting]],0), MATCH(U$139, regions_ub[#Headers],0)),INDEX(lmic_raw_ub[],MATCH($A367,lmic_raw_ub[[setting]:[setting]],0), MATCH(U$277, lmic_raw_ub[#Headers],0)))</f>
        <v>141.35719500000002</v>
      </c>
      <c r="V367" s="84">
        <f>IF(INDEX(lmic_raw_ub[],MATCH($A367,lmic_raw_ub[[setting]:[setting]],0), MATCH(V$277, lmic_raw_ub[#Headers],0))=0, INDEX(regions_ub[], MATCH($D367, regions_ub[[setting]:[setting]],0), MATCH(V$139, regions_ub[#Headers],0)),INDEX(lmic_raw_ub[],MATCH($A367,lmic_raw_ub[[setting]:[setting]],0), MATCH(V$277, lmic_raw_ub[#Headers],0)))</f>
        <v>10.193501847888678</v>
      </c>
      <c r="W367" s="84">
        <f>IF(INDEX(lmic_raw_ub[],MATCH($A367,lmic_raw_ub[[setting]:[setting]],0), MATCH(W$277, lmic_raw_ub[#Headers],0))=0, INDEX(regions_ub[], MATCH($D367, regions_ub[[setting]:[setting]],0), MATCH(W$139, regions_ub[#Headers],0)),INDEX(lmic_raw_ub[],MATCH($A367,lmic_raw_ub[[setting]:[setting]],0), MATCH(W$277, lmic_raw_ub[#Headers],0)))</f>
        <v>10.216391847888678</v>
      </c>
      <c r="X367" s="84">
        <f>IF(INDEX(lmic_raw_ub[],MATCH($A367,lmic_raw_ub[[setting]:[setting]],0), MATCH(X$277, lmic_raw_ub[#Headers],0))=0, INDEX(regions_ub[], MATCH($D367, regions_ub[[setting]:[setting]],0), MATCH(X$139, regions_ub[#Headers],0)),INDEX(lmic_raw_ub[],MATCH($A367,lmic_raw_ub[[setting]:[setting]],0), MATCH(X$277, lmic_raw_ub[#Headers],0)))</f>
        <v>9.6882664829763794</v>
      </c>
      <c r="Y367" s="84">
        <f>IF(INDEX(lmic_raw_ub[],MATCH($A367,lmic_raw_ub[[setting]:[setting]],0), MATCH(Y$277, lmic_raw_ub[#Headers],0))=0, INDEX(regions_ub[], MATCH($D367, regions_ub[[setting]:[setting]],0), MATCH(Y$139, regions_ub[#Headers],0)),INDEX(lmic_raw_ub[],MATCH($A367,lmic_raw_ub[[setting]:[setting]],0), MATCH(Y$277, lmic_raw_ub[#Headers],0)))</f>
        <v>9.7111564829763797</v>
      </c>
      <c r="Z367" s="84">
        <f>IF(INDEX(lmic_raw_ub[],MATCH($A367,lmic_raw_ub[[setting]:[setting]],0), MATCH(Z$277, lmic_raw_ub[#Headers],0))=0, INDEX(regions_ub[], MATCH($D367, regions_ub[[setting]:[setting]],0), MATCH(Z$139, regions_ub[#Headers],0)),INDEX(lmic_raw_ub[],MATCH($A367,lmic_raw_ub[[setting]:[setting]],0), MATCH(Z$277, lmic_raw_ub[#Headers],0)))</f>
        <v>9.6984596573731761</v>
      </c>
      <c r="AA367" s="84">
        <f>IF(INDEX(lmic_raw_ub[],MATCH($A367,lmic_raw_ub[[setting]:[setting]],0), MATCH(AA$277, lmic_raw_ub[#Headers],0))=0, INDEX(regions_ub[], MATCH($D367, regions_ub[[setting]:[setting]],0), MATCH(AA$139, regions_ub[#Headers],0)),INDEX(lmic_raw_ub[],MATCH($A367,lmic_raw_ub[[setting]:[setting]],0), MATCH(AA$277, lmic_raw_ub[#Headers],0)))</f>
        <v>10.464261620923519</v>
      </c>
      <c r="AB367" s="84">
        <f>IF(INDEX(lmic_raw_ub[],MATCH($A367,lmic_raw_ub[[setting]:[setting]],0), MATCH(AB$277, lmic_raw_ub[#Headers],0))=0, INDEX(regions_ub[], MATCH($D367, regions_ub[[setting]:[setting]],0), MATCH(AB$139, regions_ub[#Headers],0)),INDEX(lmic_raw_ub[],MATCH($A367,lmic_raw_ub[[setting]:[setting]],0), MATCH(AB$277, lmic_raw_ub[#Headers],0)))</f>
        <v>10.48715162092352</v>
      </c>
      <c r="AC367" s="84">
        <f>IF(INDEX(lmic_raw_ub[],MATCH($A367,lmic_raw_ub[[setting]:[setting]],0), MATCH(AC$277, lmic_raw_ub[#Headers],0))=0, INDEX(regions_ub[], MATCH($D367, regions_ub[[setting]:[setting]],0), MATCH(AC$139, regions_ub[#Headers],0)),INDEX(lmic_raw_ub[],MATCH($A367,lmic_raw_ub[[setting]:[setting]],0), MATCH(AC$277, lmic_raw_ub[#Headers],0)))</f>
        <v>1.7623231500000062E-2</v>
      </c>
      <c r="AD367" s="84">
        <f>IF(INDEX(lmic_raw_ub[],MATCH($A367,lmic_raw_ub[[setting]:[setting]],0), MATCH(AD$277, lmic_raw_ub[#Headers],0))=0, INDEX(regions_ub[], MATCH($D367, regions_ub[[setting]:[setting]],0), MATCH(AD$139, regions_ub[#Headers],0)),INDEX(lmic_raw_ub[],MATCH($A367,lmic_raw_ub[[setting]:[setting]],0), MATCH(AD$277, lmic_raw_ub[#Headers],0)))</f>
        <v>9.2555110247038357E-4</v>
      </c>
      <c r="AE367" s="84">
        <f>IF(INDEX(lmic_raw_ub[],MATCH($A367,lmic_raw_ub[[setting]:[setting]],0), MATCH(AE$277, lmic_raw_ub[#Headers],0))=0, INDEX(regions_ub[], MATCH($D367, regions_ub[[setting]:[setting]],0), MATCH(AE$139, regions_ub[#Headers],0)),INDEX(lmic_raw_ub[],MATCH($A367,lmic_raw_ub[[setting]:[setting]],0), MATCH(AE$277, lmic_raw_ub[#Headers],0)))</f>
        <v>4.8402385083757155E-4</v>
      </c>
      <c r="AF367" s="84">
        <f>IF(INDEX(lmic_raw_ub[],MATCH($A367,lmic_raw_ub[[setting]:[setting]],0), MATCH(AF$277, lmic_raw_ub[#Headers],0))=0, INDEX(regions_ub[], MATCH($D367, regions_ub[[setting]:[setting]],0), MATCH(AF$139, regions_ub[#Headers],0)),INDEX(lmic_raw_ub[],MATCH($A367,lmic_raw_ub[[setting]:[setting]],0), MATCH(AF$277, lmic_raw_ub[#Headers],0)))</f>
        <v>4.8372412702627675E-4</v>
      </c>
      <c r="AG367" s="84">
        <f>IF(INDEX(lmic_raw_ub[],MATCH($A367,lmic_raw_ub[[setting]:[setting]],0), MATCH(AG$277, lmic_raw_ub[#Headers],0))=0, INDEX(regions_ub[], MATCH($D367, regions_ub[[setting]:[setting]],0), MATCH(AG$139, regions_ub[#Headers],0)),INDEX(lmic_raw_ub[],MATCH($A367,lmic_raw_ub[[setting]:[setting]],0), MATCH(AG$277, lmic_raw_ub[#Headers],0)))</f>
        <v>1.1878667458321912E-3</v>
      </c>
      <c r="AH367" s="84">
        <f>IF(INDEX(lmic_raw_ub[],MATCH($A367,lmic_raw_ub[[setting]:[setting]],0), MATCH(AH$277, lmic_raw_ub[#Headers],0))=0, INDEX(regions_ub[], MATCH($D367, regions_ub[[setting]:[setting]],0), MATCH(AH$139, regions_ub[#Headers],0)),INDEX(lmic_raw_ub[],MATCH($A367,lmic_raw_ub[[setting]:[setting]],0), MATCH(AH$277, lmic_raw_ub[#Headers],0)))</f>
        <v>1.5830857016187641E-3</v>
      </c>
      <c r="AI367" s="84">
        <f>IF(INDEX(lmic_raw_ub[],MATCH($A367,lmic_raw_ub[[setting]:[setting]],0), MATCH(AI$277, lmic_raw_ub[#Headers],0))=0, INDEX(regions_ub[], MATCH($D367, regions_ub[[setting]:[setting]],0), MATCH(AI$139, regions_ub[#Headers],0)),INDEX(lmic_raw_ub[],MATCH($A367,lmic_raw_ub[[setting]:[setting]],0), MATCH(AI$277, lmic_raw_ub[#Headers],0)))</f>
        <v>1.8574062294458567E-3</v>
      </c>
      <c r="AJ367" s="84">
        <f>IF(INDEX(lmic_raw_ub[],MATCH($A367,lmic_raw_ub[[setting]:[setting]],0), MATCH(AJ$277, lmic_raw_ub[#Headers],0))=0, INDEX(regions_ub[], MATCH($D367, regions_ub[[setting]:[setting]],0), MATCH(AJ$139, regions_ub[#Headers],0)),INDEX(lmic_raw_ub[],MATCH($A367,lmic_raw_ub[[setting]:[setting]],0), MATCH(AJ$277, lmic_raw_ub[#Headers],0)))</f>
        <v>2.2337703415762408E-3</v>
      </c>
      <c r="AK367" s="84">
        <f>IF(INDEX(lmic_raw_ub[],MATCH($A367,lmic_raw_ub[[setting]:[setting]],0), MATCH(AK$277, lmic_raw_ub[#Headers],0))=0, INDEX(regions_ub[], MATCH($D367, regions_ub[[setting]:[setting]],0), MATCH(AK$139, regions_ub[#Headers],0)),INDEX(lmic_raw_ub[],MATCH($A367,lmic_raw_ub[[setting]:[setting]],0), MATCH(AK$277, lmic_raw_ub[#Headers],0)))</f>
        <v>2.8341732152057592E-3</v>
      </c>
      <c r="AL367" s="84">
        <f>IF(INDEX(lmic_raw_ub[],MATCH($A367,lmic_raw_ub[[setting]:[setting]],0), MATCH(AL$277, lmic_raw_ub[#Headers],0))=0, INDEX(regions_ub[], MATCH($D367, regions_ub[[setting]:[setting]],0), MATCH(AL$139, regions_ub[#Headers],0)),INDEX(lmic_raw_ub[],MATCH($A367,lmic_raw_ub[[setting]:[setting]],0), MATCH(AL$277, lmic_raw_ub[#Headers],0)))</f>
        <v>3.6067830742343705E-3</v>
      </c>
      <c r="AM367" s="84">
        <f>IF(INDEX(lmic_raw_ub[],MATCH($A367,lmic_raw_ub[[setting]:[setting]],0), MATCH(AM$277, lmic_raw_ub[#Headers],0))=0, INDEX(regions_ub[], MATCH($D367, regions_ub[[setting]:[setting]],0), MATCH(AM$139, regions_ub[#Headers],0)),INDEX(lmic_raw_ub[],MATCH($A367,lmic_raw_ub[[setting]:[setting]],0), MATCH(AM$277, lmic_raw_ub[#Headers],0)))</f>
        <v>4.7435174085627167E-3</v>
      </c>
      <c r="AN367" s="84">
        <f>IF(INDEX(lmic_raw_ub[],MATCH($A367,lmic_raw_ub[[setting]:[setting]],0), MATCH(AN$277, lmic_raw_ub[#Headers],0))=0, INDEX(regions_ub[], MATCH($D367, regions_ub[[setting]:[setting]],0), MATCH(AN$139, regions_ub[#Headers],0)),INDEX(lmic_raw_ub[],MATCH($A367,lmic_raw_ub[[setting]:[setting]],0), MATCH(AN$277, lmic_raw_ub[#Headers],0)))</f>
        <v>6.6735942830029957E-3</v>
      </c>
      <c r="AO367" s="84">
        <f>IF(INDEX(lmic_raw_ub[],MATCH($A367,lmic_raw_ub[[setting]:[setting]],0), MATCH(AO$277, lmic_raw_ub[#Headers],0))=0, INDEX(regions_ub[], MATCH($D367, regions_ub[[setting]:[setting]],0), MATCH(AO$139, regions_ub[#Headers],0)),INDEX(lmic_raw_ub[],MATCH($A367,lmic_raw_ub[[setting]:[setting]],0), MATCH(AO$277, lmic_raw_ub[#Headers],0)))</f>
        <v>9.4949513811554524E-3</v>
      </c>
      <c r="AP367" s="84">
        <f>IF(INDEX(lmic_raw_ub[],MATCH($A367,lmic_raw_ub[[setting]:[setting]],0), MATCH(AP$277, lmic_raw_ub[#Headers],0))=0, INDEX(regions_ub[], MATCH($D367, regions_ub[[setting]:[setting]],0), MATCH(AP$139, regions_ub[#Headers],0)),INDEX(lmic_raw_ub[],MATCH($A367,lmic_raw_ub[[setting]:[setting]],0), MATCH(AP$277, lmic_raw_ub[#Headers],0)))</f>
        <v>1.367690861996898E-2</v>
      </c>
      <c r="AQ367" s="84">
        <f>IF(INDEX(lmic_raw_ub[],MATCH($A367,lmic_raw_ub[[setting]:[setting]],0), MATCH(AQ$277, lmic_raw_ub[#Headers],0))=0, INDEX(regions_ub[], MATCH($D367, regions_ub[[setting]:[setting]],0), MATCH(AQ$139, regions_ub[#Headers],0)),INDEX(lmic_raw_ub[],MATCH($A367,lmic_raw_ub[[setting]:[setting]],0), MATCH(AQ$277, lmic_raw_ub[#Headers],0)))</f>
        <v>1.9976694075429284E-2</v>
      </c>
      <c r="AR367" s="84">
        <f>IF(INDEX(lmic_raw_ub[],MATCH($A367,lmic_raw_ub[[setting]:[setting]],0), MATCH(AR$277, lmic_raw_ub[#Headers],0))=0, INDEX(regions_ub[], MATCH($D367, regions_ub[[setting]:[setting]],0), MATCH(AR$139, regions_ub[#Headers],0)),INDEX(lmic_raw_ub[],MATCH($A367,lmic_raw_ub[[setting]:[setting]],0), MATCH(AR$277, lmic_raw_ub[#Headers],0)))</f>
        <v>2.8907905555558198E-2</v>
      </c>
      <c r="AS367" s="84">
        <f>IF(INDEX(lmic_raw_ub[],MATCH($A367,lmic_raw_ub[[setting]:[setting]],0), MATCH(AS$277, lmic_raw_ub[#Headers],0))=0, INDEX(regions_ub[], MATCH($D367, regions_ub[[setting]:[setting]],0), MATCH(AS$139, regions_ub[#Headers],0)),INDEX(lmic_raw_ub[],MATCH($A367,lmic_raw_ub[[setting]:[setting]],0), MATCH(AS$277, lmic_raw_ub[#Headers],0)))</f>
        <v>4.2407780221249462E-2</v>
      </c>
      <c r="AT367" s="84">
        <f>IF(INDEX(lmic_raw_ub[],MATCH($A367,lmic_raw_ub[[setting]:[setting]],0), MATCH(AT$277, lmic_raw_ub[#Headers],0))=0, INDEX(regions_ub[], MATCH($D367, regions_ub[[setting]:[setting]],0), MATCH(AT$139, regions_ub[#Headers],0)),INDEX(lmic_raw_ub[],MATCH($A367,lmic_raw_ub[[setting]:[setting]],0), MATCH(AT$277, lmic_raw_ub[#Headers],0)))</f>
        <v>6.904178821352519E-2</v>
      </c>
      <c r="AU367" s="84">
        <f>IF(INDEX(lmic_raw_ub[],MATCH($A367,lmic_raw_ub[[setting]:[setting]],0), MATCH(AU$277, lmic_raw_ub[#Headers],0))=0, INDEX(regions_ub[], MATCH($D367, regions_ub[[setting]:[setting]],0), MATCH(AU$139, regions_ub[#Headers],0)),INDEX(lmic_raw_ub[],MATCH($A367,lmic_raw_ub[[setting]:[setting]],0), MATCH(AU$277, lmic_raw_ub[#Headers],0)))</f>
        <v>9.736003705275012E-2</v>
      </c>
      <c r="AV367" s="84">
        <f>IF(INDEX(lmic_raw_ub[],MATCH($A367,lmic_raw_ub[[setting]:[setting]],0), MATCH(AV$277, lmic_raw_ub[#Headers],0))=0, INDEX(regions_ub[], MATCH($D367, regions_ub[[setting]:[setting]],0), MATCH(AV$139, regions_ub[#Headers],0)),INDEX(lmic_raw_ub[],MATCH($A367,lmic_raw_ub[[setting]:[setting]],0), MATCH(AV$277, lmic_raw_ub[#Headers],0)))</f>
        <v>0.1270800478901048</v>
      </c>
      <c r="AW367" s="84">
        <f>IF(INDEX(lmic_raw_ub[],MATCH($A367,lmic_raw_ub[[setting]:[setting]],0), MATCH(AW$277, lmic_raw_ub[#Headers],0))=0, INDEX(regions_ub[], MATCH($D367, regions_ub[[setting]:[setting]],0), MATCH(AW$139, regions_ub[#Headers],0)),INDEX(lmic_raw_ub[],MATCH($A367,lmic_raw_ub[[setting]:[setting]],0), MATCH(AW$277, lmic_raw_ub[#Headers],0)))</f>
        <v>0.15270474583406796</v>
      </c>
      <c r="AX367" s="84">
        <f>IF(INDEX(lmic_raw_ub[],MATCH($A367,lmic_raw_ub[[setting]:[setting]],0), MATCH(AX$277, lmic_raw_ub[#Headers],0))=0, INDEX(regions_ub[], MATCH($D367, regions_ub[[setting]:[setting]],0), MATCH(AX$139, regions_ub[#Headers],0)),INDEX(lmic_raw_ub[],MATCH($A367,lmic_raw_ub[[setting]:[setting]],0), MATCH(AX$277, lmic_raw_ub[#Headers],0)))</f>
        <v>77.861699999999999</v>
      </c>
      <c r="AY367" s="33" t="str">
        <f>IF(VLOOKUP(lmics_ub[[#This Row],[setting]],lmic_raw_ub[],11,FALSE)=0, "Yes", "No")</f>
        <v>Yes</v>
      </c>
    </row>
    <row r="368" spans="1:51" x14ac:dyDescent="0.25">
      <c r="A368" s="109" t="s">
        <v>633</v>
      </c>
      <c r="B368" s="101" t="s">
        <v>483</v>
      </c>
      <c r="C368" s="102">
        <v>562</v>
      </c>
      <c r="D368" s="82" t="s">
        <v>677</v>
      </c>
      <c r="E368" s="82" t="s">
        <v>591</v>
      </c>
      <c r="F368" s="82" t="s">
        <v>667</v>
      </c>
      <c r="G368" s="82" t="s">
        <v>674</v>
      </c>
      <c r="J368" s="84">
        <f>IF(INDEX(lmic_raw_ub[],MATCH($A368,lmic_raw_ub[[setting]:[setting]],0), MATCH(J$277, lmic_raw_ub[#Headers],0))=0, INDEX(regions_ub[], MATCH($D368, regions_ub[[setting]:[setting]],0), MATCH(J$139, regions_ub[#Headers],0)),INDEX(lmic_raw_ub[],MATCH($A368,lmic_raw_ub[[setting]:[setting]],0), MATCH(J$277, lmic_raw_ub[#Headers],0)))</f>
        <v>0.61739999999999995</v>
      </c>
      <c r="K368" s="84">
        <f>IF(INDEX(lmic_raw_ub[],MATCH($A368,lmic_raw_ub[[setting]:[setting]],0), MATCH(K$277, lmic_raw_ub[#Headers],0))=0, INDEX(regions_ub[], MATCH($D368, regions_ub[[setting]:[setting]],0), MATCH(K$139, regions_ub[#Headers],0)),INDEX(lmic_raw_ub[],MATCH($A368,lmic_raw_ub[[setting]:[setting]],0), MATCH(K$277, lmic_raw_ub[#Headers],0)))</f>
        <v>0.71433037619548323</v>
      </c>
      <c r="L368" s="84">
        <f>IF(INDEX(lmic_raw_ub[],MATCH($A368,lmic_raw_ub[[setting]:[setting]],0), MATCH(L$277, lmic_raw_ub[#Headers],0))=0, INDEX(regions_ub[], MATCH($D368, regions_ub[[setting]:[setting]],0), MATCH(L$139, regions_ub[#Headers],0)),INDEX(lmic_raw_ub[],MATCH($A368,lmic_raw_ub[[setting]:[setting]],0), MATCH(L$277, lmic_raw_ub[#Headers],0)))</f>
        <v>0.85050000000000014</v>
      </c>
      <c r="M368" s="84">
        <f>IF(INDEX(lmic_raw_ub[],MATCH($A368,lmic_raw_ub[[setting]:[setting]],0), MATCH(M$277, lmic_raw_ub[#Headers],0))=0, INDEX(regions_ub[], MATCH($D368, regions_ub[[setting]:[setting]],0), MATCH(M$139, regions_ub[#Headers],0)),INDEX(lmic_raw_ub[],MATCH($A368,lmic_raw_ub[[setting]:[setting]],0), MATCH(M$277, lmic_raw_ub[#Headers],0)))</f>
        <v>0.16219999999999998</v>
      </c>
      <c r="N368" s="84">
        <f>IF(INDEX(lmic_raw_ub[],MATCH($A368,lmic_raw_ub[[setting]:[setting]],0), MATCH(N$277, lmic_raw_ub[#Headers],0))=0, INDEX(regions_ub[], MATCH($D368, regions_ub[[setting]:[setting]],0), MATCH(N$139, regions_ub[#Headers],0)),INDEX(lmic_raw_ub[],MATCH($A368,lmic_raw_ub[[setting]:[setting]],0), MATCH(N$277, lmic_raw_ub[#Headers],0)))</f>
        <v>0.41070000000000001</v>
      </c>
      <c r="O368" s="84">
        <f>IF(INDEX(lmic_raw_ub[],MATCH($A368,lmic_raw_ub[[setting]:[setting]],0), MATCH(O$277, lmic_raw_ub[#Headers],0))=0, INDEX(regions_ub[], MATCH($D368, regions_ub[[setting]:[setting]],0), MATCH(O$139, regions_ub[#Headers],0)),INDEX(lmic_raw_ub[],MATCH($A368,lmic_raw_ub[[setting]:[setting]],0), MATCH(O$277, lmic_raw_ub[#Headers],0)))</f>
        <v>0.74399999999999999</v>
      </c>
      <c r="P368" s="84">
        <f>IF(INDEX(lmic_raw_ub[],MATCH($A368,lmic_raw_ub[[setting]:[setting]],0), MATCH(P$277, lmic_raw_ub[#Headers],0))=0, INDEX(regions_ub[], MATCH($D368, regions_ub[[setting]:[setting]],0), MATCH(P$139, regions_ub[#Headers],0)),INDEX(lmic_raw_ub[],MATCH($A368,lmic_raw_ub[[setting]:[setting]],0), MATCH(P$277, lmic_raw_ub[#Headers],0)))</f>
        <v>0.13300000000000001</v>
      </c>
      <c r="Q368" s="84">
        <f>IF(INDEX(lmic_raw_ub[],MATCH($A368,lmic_raw_ub[[setting]:[setting]],0), MATCH(Q$277, lmic_raw_ub[#Headers],0))=0, INDEX(regions_ub[], MATCH($D368, regions_ub[[setting]:[setting]],0), MATCH(Q$139, regions_ub[#Headers],0)),INDEX(lmic_raw_ub[],MATCH($A368,lmic_raw_ub[[setting]:[setting]],0), MATCH(Q$277, lmic_raw_ub[#Headers],0)))</f>
        <v>2.5793148957340217</v>
      </c>
      <c r="R368" s="84">
        <f>IF(INDEX(lmic_raw_ub[],MATCH($A368,lmic_raw_ub[[setting]:[setting]],0), MATCH(R$277, lmic_raw_ub[#Headers],0))=0, INDEX(regions_ub[], MATCH($D368, regions_ub[[setting]:[setting]],0), MATCH(R$139, regions_ub[#Headers],0)),INDEX(lmic_raw_ub[],MATCH($A368,lmic_raw_ub[[setting]:[setting]],0), MATCH(R$277, lmic_raw_ub[#Headers],0)))</f>
        <v>31.416525000000004</v>
      </c>
      <c r="S368" s="84">
        <f>IF(INDEX(lmic_raw_ub[],MATCH($A368,lmic_raw_ub[[setting]:[setting]],0), MATCH(S$277, lmic_raw_ub[#Headers],0))=0, INDEX(regions_ub[], MATCH($D368, regions_ub[[setting]:[setting]],0), MATCH(S$139, regions_ub[#Headers],0)),INDEX(lmic_raw_ub[],MATCH($A368,lmic_raw_ub[[setting]:[setting]],0), MATCH(S$277, lmic_raw_ub[#Headers],0)))</f>
        <v>81.545625000000015</v>
      </c>
      <c r="T368" s="84">
        <f>IF(INDEX(lmic_raw_ub[],MATCH($A368,lmic_raw_ub[[setting]:[setting]],0), MATCH(T$277, lmic_raw_ub[#Headers],0))=0, INDEX(regions_ub[], MATCH($D368, regions_ub[[setting]:[setting]],0), MATCH(T$139, regions_ub[#Headers],0)),INDEX(lmic_raw_ub[],MATCH($A368,lmic_raw_ub[[setting]:[setting]],0), MATCH(T$277, lmic_raw_ub[#Headers],0)))</f>
        <v>81.545625000000015</v>
      </c>
      <c r="U368" s="84">
        <f>IF(INDEX(lmic_raw_ub[],MATCH($A368,lmic_raw_ub[[setting]:[setting]],0), MATCH(U$277, lmic_raw_ub[#Headers],0))=0, INDEX(regions_ub[], MATCH($D368, regions_ub[[setting]:[setting]],0), MATCH(U$139, regions_ub[#Headers],0)),INDEX(lmic_raw_ub[],MATCH($A368,lmic_raw_ub[[setting]:[setting]],0), MATCH(U$277, lmic_raw_ub[#Headers],0)))</f>
        <v>81.545625000000015</v>
      </c>
      <c r="V368" s="84">
        <f>IF(INDEX(lmic_raw_ub[],MATCH($A368,lmic_raw_ub[[setting]:[setting]],0), MATCH(V$277, lmic_raw_ub[#Headers],0))=0, INDEX(regions_ub[], MATCH($D368, regions_ub[[setting]:[setting]],0), MATCH(V$139, regions_ub[#Headers],0)),INDEX(lmic_raw_ub[],MATCH($A368,lmic_raw_ub[[setting]:[setting]],0), MATCH(V$277, lmic_raw_ub[#Headers],0)))</f>
        <v>3.3568941204478606</v>
      </c>
      <c r="W368" s="84">
        <f>IF(INDEX(lmic_raw_ub[],MATCH($A368,lmic_raw_ub[[setting]:[setting]],0), MATCH(W$277, lmic_raw_ub[#Headers],0))=0, INDEX(regions_ub[], MATCH($D368, regions_ub[[setting]:[setting]],0), MATCH(W$139, regions_ub[#Headers],0)),INDEX(lmic_raw_ub[],MATCH($A368,lmic_raw_ub[[setting]:[setting]],0), MATCH(W$277, lmic_raw_ub[#Headers],0)))</f>
        <v>8.4270291204478607</v>
      </c>
      <c r="X368" s="84">
        <f>IF(INDEX(lmic_raw_ub[],MATCH($A368,lmic_raw_ub[[setting]:[setting]],0), MATCH(X$277, lmic_raw_ub[#Headers],0))=0, INDEX(regions_ub[], MATCH($D368, regions_ub[[setting]:[setting]],0), MATCH(X$139, regions_ub[#Headers],0)),INDEX(lmic_raw_ub[],MATCH($A368,lmic_raw_ub[[setting]:[setting]],0), MATCH(X$277, lmic_raw_ub[#Headers],0)))</f>
        <v>2.8643699389318518</v>
      </c>
      <c r="Y368" s="84">
        <f>IF(INDEX(lmic_raw_ub[],MATCH($A368,lmic_raw_ub[[setting]:[setting]],0), MATCH(Y$277, lmic_raw_ub[#Headers],0))=0, INDEX(regions_ub[], MATCH($D368, regions_ub[[setting]:[setting]],0), MATCH(Y$139, regions_ub[#Headers],0)),INDEX(lmic_raw_ub[],MATCH($A368,lmic_raw_ub[[setting]:[setting]],0), MATCH(Y$277, lmic_raw_ub[#Headers],0)))</f>
        <v>7.9345049389318518</v>
      </c>
      <c r="Z368" s="84">
        <f>IF(INDEX(lmic_raw_ub[],MATCH($A368,lmic_raw_ub[[setting]:[setting]],0), MATCH(Z$277, lmic_raw_ub[#Headers],0))=0, INDEX(regions_ub[], MATCH($D368, regions_ub[[setting]:[setting]],0), MATCH(Z$139, regions_ub[#Headers],0)),INDEX(lmic_raw_ub[],MATCH($A368,lmic_raw_ub[[setting]:[setting]],0), MATCH(Z$277, lmic_raw_ub[#Headers],0)))</f>
        <v>7.9295603447111453</v>
      </c>
      <c r="AA368" s="84">
        <f>IF(INDEX(lmic_raw_ub[],MATCH($A368,lmic_raw_ub[[setting]:[setting]],0), MATCH(AA$277, lmic_raw_ub[#Headers],0))=0, INDEX(regions_ub[], MATCH($D368, regions_ub[[setting]:[setting]],0), MATCH(AA$139, regions_ub[#Headers],0)),INDEX(lmic_raw_ub[],MATCH($A368,lmic_raw_ub[[setting]:[setting]],0), MATCH(AA$277, lmic_raw_ub[#Headers],0)))</f>
        <v>3.6247685328344632</v>
      </c>
      <c r="AB368" s="84">
        <f>IF(INDEX(lmic_raw_ub[],MATCH($A368,lmic_raw_ub[[setting]:[setting]],0), MATCH(AB$277, lmic_raw_ub[#Headers],0))=0, INDEX(regions_ub[], MATCH($D368, regions_ub[[setting]:[setting]],0), MATCH(AB$139, regions_ub[#Headers],0)),INDEX(lmic_raw_ub[],MATCH($A368,lmic_raw_ub[[setting]:[setting]],0), MATCH(AB$277, lmic_raw_ub[#Headers],0)))</f>
        <v>8.6949035328344628</v>
      </c>
      <c r="AC368" s="84">
        <f>IF(INDEX(lmic_raw_ub[],MATCH($A368,lmic_raw_ub[[setting]:[setting]],0), MATCH(AC$277, lmic_raw_ub[#Headers],0))=0, INDEX(regions_ub[], MATCH($D368, regions_ub[[setting]:[setting]],0), MATCH(AC$139, regions_ub[#Headers],0)),INDEX(lmic_raw_ub[],MATCH($A368,lmic_raw_ub[[setting]:[setting]],0), MATCH(AC$277, lmic_raw_ub[#Headers],0)))</f>
        <v>4.8634046999999986E-2</v>
      </c>
      <c r="AD368" s="84">
        <f>IF(INDEX(lmic_raw_ub[],MATCH($A368,lmic_raw_ub[[setting]:[setting]],0), MATCH(AD$277, lmic_raw_ub[#Headers],0))=0, INDEX(regions_ub[], MATCH($D368, regions_ub[[setting]:[setting]],0), MATCH(AD$139, regions_ub[#Headers],0)),INDEX(lmic_raw_ub[],MATCH($A368,lmic_raw_ub[[setting]:[setting]],0), MATCH(AD$277, lmic_raw_ub[#Headers],0)))</f>
        <v>1.0552466757625034E-2</v>
      </c>
      <c r="AE368" s="84">
        <f>IF(INDEX(lmic_raw_ub[],MATCH($A368,lmic_raw_ub[[setting]:[setting]],0), MATCH(AE$277, lmic_raw_ub[#Headers],0))=0, INDEX(regions_ub[], MATCH($D368, regions_ub[[setting]:[setting]],0), MATCH(AE$139, regions_ub[#Headers],0)),INDEX(lmic_raw_ub[],MATCH($A368,lmic_raw_ub[[setting]:[setting]],0), MATCH(AE$277, lmic_raw_ub[#Headers],0)))</f>
        <v>2.3353548721143434E-3</v>
      </c>
      <c r="AF368" s="84">
        <f>IF(INDEX(lmic_raw_ub[],MATCH($A368,lmic_raw_ub[[setting]:[setting]],0), MATCH(AF$277, lmic_raw_ub[#Headers],0))=0, INDEX(regions_ub[], MATCH($D368, regions_ub[[setting]:[setting]],0), MATCH(AF$139, regions_ub[#Headers],0)),INDEX(lmic_raw_ub[],MATCH($A368,lmic_raw_ub[[setting]:[setting]],0), MATCH(AF$277, lmic_raw_ub[#Headers],0)))</f>
        <v>1.3975126757874877E-3</v>
      </c>
      <c r="AG368" s="84">
        <f>IF(INDEX(lmic_raw_ub[],MATCH($A368,lmic_raw_ub[[setting]:[setting]],0), MATCH(AG$277, lmic_raw_ub[#Headers],0))=0, INDEX(regions_ub[], MATCH($D368, regions_ub[[setting]:[setting]],0), MATCH(AG$139, regions_ub[#Headers],0)),INDEX(lmic_raw_ub[],MATCH($A368,lmic_raw_ub[[setting]:[setting]],0), MATCH(AG$277, lmic_raw_ub[#Headers],0)))</f>
        <v>2.3300716942091151E-3</v>
      </c>
      <c r="AH368" s="84">
        <f>IF(INDEX(lmic_raw_ub[],MATCH($A368,lmic_raw_ub[[setting]:[setting]],0), MATCH(AH$277, lmic_raw_ub[#Headers],0))=0, INDEX(regions_ub[], MATCH($D368, regions_ub[[setting]:[setting]],0), MATCH(AH$139, regions_ub[#Headers],0)),INDEX(lmic_raw_ub[],MATCH($A368,lmic_raw_ub[[setting]:[setting]],0), MATCH(AH$277, lmic_raw_ub[#Headers],0)))</f>
        <v>3.0456129224326633E-3</v>
      </c>
      <c r="AI368" s="84">
        <f>IF(INDEX(lmic_raw_ub[],MATCH($A368,lmic_raw_ub[[setting]:[setting]],0), MATCH(AI$277, lmic_raw_ub[#Headers],0))=0, INDEX(regions_ub[], MATCH($D368, regions_ub[[setting]:[setting]],0), MATCH(AI$139, regions_ub[#Headers],0)),INDEX(lmic_raw_ub[],MATCH($A368,lmic_raw_ub[[setting]:[setting]],0), MATCH(AI$277, lmic_raw_ub[#Headers],0)))</f>
        <v>3.8194152003484679E-3</v>
      </c>
      <c r="AJ368" s="84">
        <f>IF(INDEX(lmic_raw_ub[],MATCH($A368,lmic_raw_ub[[setting]:[setting]],0), MATCH(AJ$277, lmic_raw_ub[#Headers],0))=0, INDEX(regions_ub[], MATCH($D368, regions_ub[[setting]:[setting]],0), MATCH(AJ$139, regions_ub[#Headers],0)),INDEX(lmic_raw_ub[],MATCH($A368,lmic_raw_ub[[setting]:[setting]],0), MATCH(AJ$277, lmic_raw_ub[#Headers],0)))</f>
        <v>4.0854931670074226E-3</v>
      </c>
      <c r="AK368" s="84">
        <f>IF(INDEX(lmic_raw_ub[],MATCH($A368,lmic_raw_ub[[setting]:[setting]],0), MATCH(AK$277, lmic_raw_ub[#Headers],0))=0, INDEX(regions_ub[], MATCH($D368, regions_ub[[setting]:[setting]],0), MATCH(AK$139, regions_ub[#Headers],0)),INDEX(lmic_raw_ub[],MATCH($A368,lmic_raw_ub[[setting]:[setting]],0), MATCH(AK$277, lmic_raw_ub[#Headers],0)))</f>
        <v>4.6968283896133287E-3</v>
      </c>
      <c r="AL368" s="84">
        <f>IF(INDEX(lmic_raw_ub[],MATCH($A368,lmic_raw_ub[[setting]:[setting]],0), MATCH(AL$277, lmic_raw_ub[#Headers],0))=0, INDEX(regions_ub[], MATCH($D368, regions_ub[[setting]:[setting]],0), MATCH(AL$139, regions_ub[#Headers],0)),INDEX(lmic_raw_ub[],MATCH($A368,lmic_raw_ub[[setting]:[setting]],0), MATCH(AL$277, lmic_raw_ub[#Headers],0)))</f>
        <v>5.6832319894283469E-3</v>
      </c>
      <c r="AM368" s="84">
        <f>IF(INDEX(lmic_raw_ub[],MATCH($A368,lmic_raw_ub[[setting]:[setting]],0), MATCH(AM$277, lmic_raw_ub[#Headers],0))=0, INDEX(regions_ub[], MATCH($D368, regions_ub[[setting]:[setting]],0), MATCH(AM$139, regions_ub[#Headers],0)),INDEX(lmic_raw_ub[],MATCH($A368,lmic_raw_ub[[setting]:[setting]],0), MATCH(AM$277, lmic_raw_ub[#Headers],0)))</f>
        <v>7.3109941430212801E-3</v>
      </c>
      <c r="AN368" s="84">
        <f>IF(INDEX(lmic_raw_ub[],MATCH($A368,lmic_raw_ub[[setting]:[setting]],0), MATCH(AN$277, lmic_raw_ub[#Headers],0))=0, INDEX(regions_ub[], MATCH($D368, regions_ub[[setting]:[setting]],0), MATCH(AN$139, regions_ub[#Headers],0)),INDEX(lmic_raw_ub[],MATCH($A368,lmic_raw_ub[[setting]:[setting]],0), MATCH(AN$277, lmic_raw_ub[#Headers],0)))</f>
        <v>1.055984771450909E-2</v>
      </c>
      <c r="AO368" s="84">
        <f>IF(INDEX(lmic_raw_ub[],MATCH($A368,lmic_raw_ub[[setting]:[setting]],0), MATCH(AO$277, lmic_raw_ub[#Headers],0))=0, INDEX(regions_ub[], MATCH($D368, regions_ub[[setting]:[setting]],0), MATCH(AO$139, regions_ub[#Headers],0)),INDEX(lmic_raw_ub[],MATCH($A368,lmic_raw_ub[[setting]:[setting]],0), MATCH(AO$277, lmic_raw_ub[#Headers],0)))</f>
        <v>1.5204379067438645E-2</v>
      </c>
      <c r="AP368" s="84">
        <f>IF(INDEX(lmic_raw_ub[],MATCH($A368,lmic_raw_ub[[setting]:[setting]],0), MATCH(AP$277, lmic_raw_ub[#Headers],0))=0, INDEX(regions_ub[], MATCH($D368, regions_ub[[setting]:[setting]],0), MATCH(AP$139, regions_ub[#Headers],0)),INDEX(lmic_raw_ub[],MATCH($A368,lmic_raw_ub[[setting]:[setting]],0), MATCH(AP$277, lmic_raw_ub[#Headers],0)))</f>
        <v>2.1547905535353431E-2</v>
      </c>
      <c r="AQ368" s="84">
        <f>IF(INDEX(lmic_raw_ub[],MATCH($A368,lmic_raw_ub[[setting]:[setting]],0), MATCH(AQ$277, lmic_raw_ub[#Headers],0))=0, INDEX(regions_ub[], MATCH($D368, regions_ub[[setting]:[setting]],0), MATCH(AQ$139, regions_ub[#Headers],0)),INDEX(lmic_raw_ub[],MATCH($A368,lmic_raw_ub[[setting]:[setting]],0), MATCH(AQ$277, lmic_raw_ub[#Headers],0)))</f>
        <v>3.2587976004823264E-2</v>
      </c>
      <c r="AR368" s="84">
        <f>IF(INDEX(lmic_raw_ub[],MATCH($A368,lmic_raw_ub[[setting]:[setting]],0), MATCH(AR$277, lmic_raw_ub[#Headers],0))=0, INDEX(regions_ub[], MATCH($D368, regions_ub[[setting]:[setting]],0), MATCH(AR$139, regions_ub[#Headers],0)),INDEX(lmic_raw_ub[],MATCH($A368,lmic_raw_ub[[setting]:[setting]],0), MATCH(AR$277, lmic_raw_ub[#Headers],0)))</f>
        <v>5.3014225670050888E-2</v>
      </c>
      <c r="AS368" s="84">
        <f>IF(INDEX(lmic_raw_ub[],MATCH($A368,lmic_raw_ub[[setting]:[setting]],0), MATCH(AS$277, lmic_raw_ub[#Headers],0))=0, INDEX(regions_ub[], MATCH($D368, regions_ub[[setting]:[setting]],0), MATCH(AS$139, regions_ub[#Headers],0)),INDEX(lmic_raw_ub[],MATCH($A368,lmic_raw_ub[[setting]:[setting]],0), MATCH(AS$277, lmic_raw_ub[#Headers],0)))</f>
        <v>8.3358796286837664E-2</v>
      </c>
      <c r="AT368" s="84">
        <f>IF(INDEX(lmic_raw_ub[],MATCH($A368,lmic_raw_ub[[setting]:[setting]],0), MATCH(AT$277, lmic_raw_ub[#Headers],0))=0, INDEX(regions_ub[], MATCH($D368, regions_ub[[setting]:[setting]],0), MATCH(AT$139, regions_ub[#Headers],0)),INDEX(lmic_raw_ub[],MATCH($A368,lmic_raw_ub[[setting]:[setting]],0), MATCH(AT$277, lmic_raw_ub[#Headers],0)))</f>
        <v>0.12202506750429573</v>
      </c>
      <c r="AU368" s="84">
        <f>IF(INDEX(lmic_raw_ub[],MATCH($A368,lmic_raw_ub[[setting]:[setting]],0), MATCH(AU$277, lmic_raw_ub[#Headers],0))=0, INDEX(regions_ub[], MATCH($D368, regions_ub[[setting]:[setting]],0), MATCH(AU$139, regions_ub[#Headers],0)),INDEX(lmic_raw_ub[],MATCH($A368,lmic_raw_ub[[setting]:[setting]],0), MATCH(AU$277, lmic_raw_ub[#Headers],0)))</f>
        <v>0.15870013211775946</v>
      </c>
      <c r="AV368" s="84">
        <f>IF(INDEX(lmic_raw_ub[],MATCH($A368,lmic_raw_ub[[setting]:[setting]],0), MATCH(AV$277, lmic_raw_ub[#Headers],0))=0, INDEX(regions_ub[], MATCH($D368, regions_ub[[setting]:[setting]],0), MATCH(AV$139, regions_ub[#Headers],0)),INDEX(lmic_raw_ub[],MATCH($A368,lmic_raw_ub[[setting]:[setting]],0), MATCH(AV$277, lmic_raw_ub[#Headers],0)))</f>
        <v>0.18399737123583385</v>
      </c>
      <c r="AW368" s="84">
        <f>IF(INDEX(lmic_raw_ub[],MATCH($A368,lmic_raw_ub[[setting]:[setting]],0), MATCH(AW$277, lmic_raw_ub[#Headers],0))=0, INDEX(regions_ub[], MATCH($D368, regions_ub[[setting]:[setting]],0), MATCH(AW$139, regions_ub[#Headers],0)),INDEX(lmic_raw_ub[],MATCH($A368,lmic_raw_ub[[setting]:[setting]],0), MATCH(AW$277, lmic_raw_ub[#Headers],0)))</f>
        <v>0.19560070425905179</v>
      </c>
      <c r="AX368" s="84">
        <f>IF(INDEX(lmic_raw_ub[],MATCH($A368,lmic_raw_ub[[setting]:[setting]],0), MATCH(AX$277, lmic_raw_ub[#Headers],0))=0, INDEX(regions_ub[], MATCH($D368, regions_ub[[setting]:[setting]],0), MATCH(AX$139, regions_ub[#Headers],0)),INDEX(lmic_raw_ub[],MATCH($A368,lmic_raw_ub[[setting]:[setting]],0), MATCH(AX$277, lmic_raw_ub[#Headers],0)))</f>
        <v>64.888950000000008</v>
      </c>
      <c r="AY368" s="33" t="str">
        <f>IF(VLOOKUP(lmics_ub[[#This Row],[setting]],lmic_raw_ub[],11,FALSE)=0, "Yes", "No")</f>
        <v>Yes</v>
      </c>
    </row>
    <row r="369" spans="1:51" x14ac:dyDescent="0.25">
      <c r="A369" s="110" t="s">
        <v>150</v>
      </c>
      <c r="B369" s="104" t="s">
        <v>484</v>
      </c>
      <c r="C369" s="105">
        <v>566</v>
      </c>
      <c r="D369" s="84" t="s">
        <v>677</v>
      </c>
      <c r="E369" s="84" t="s">
        <v>591</v>
      </c>
      <c r="F369" s="84" t="s">
        <v>667</v>
      </c>
      <c r="G369" s="84" t="s">
        <v>678</v>
      </c>
      <c r="J369" s="84">
        <f>IF(INDEX(lmic_raw_ub[],MATCH($A369,lmic_raw_ub[[setting]:[setting]],0), MATCH(J$277, lmic_raw_ub[#Headers],0))=0, INDEX(regions_ub[], MATCH($D369, regions_ub[[setting]:[setting]],0), MATCH(J$139, regions_ub[#Headers],0)),INDEX(lmic_raw_ub[],MATCH($A369,lmic_raw_ub[[setting]:[setting]],0), MATCH(J$277, lmic_raw_ub[#Headers],0)))</f>
        <v>0.41369999999999996</v>
      </c>
      <c r="K369" s="84">
        <f>IF(INDEX(lmic_raw_ub[],MATCH($A369,lmic_raw_ub[[setting]:[setting]],0), MATCH(K$277, lmic_raw_ub[#Headers],0))=0, INDEX(regions_ub[], MATCH($D369, regions_ub[[setting]:[setting]],0), MATCH(K$139, regions_ub[#Headers],0)),INDEX(lmic_raw_ub[],MATCH($A369,lmic_raw_ub[[setting]:[setting]],0), MATCH(K$277, lmic_raw_ub[#Headers],0)))</f>
        <v>0.71433037619548323</v>
      </c>
      <c r="L369" s="84">
        <f>IF(INDEX(lmic_raw_ub[],MATCH($A369,lmic_raw_ub[[setting]:[setting]],0), MATCH(L$277, lmic_raw_ub[#Headers],0))=0, INDEX(regions_ub[], MATCH($D369, regions_ub[[setting]:[setting]],0), MATCH(L$139, regions_ub[#Headers],0)),INDEX(lmic_raw_ub[],MATCH($A369,lmic_raw_ub[[setting]:[setting]],0), MATCH(L$277, lmic_raw_ub[#Headers],0)))</f>
        <v>0.59849999999999992</v>
      </c>
      <c r="M369" s="84">
        <f>IF(INDEX(lmic_raw_ub[],MATCH($A369,lmic_raw_ub[[setting]:[setting]],0), MATCH(M$277, lmic_raw_ub[#Headers],0))=0, INDEX(regions_ub[], MATCH($D369, regions_ub[[setting]:[setting]],0), MATCH(M$139, regions_ub[#Headers],0)),INDEX(lmic_raw_ub[],MATCH($A369,lmic_raw_ub[[setting]:[setting]],0), MATCH(M$277, lmic_raw_ub[#Headers],0)))</f>
        <v>6.9500000000000006E-2</v>
      </c>
      <c r="N369" s="84">
        <f>IF(INDEX(lmic_raw_ub[],MATCH($A369,lmic_raw_ub[[setting]:[setting]],0), MATCH(N$277, lmic_raw_ub[#Headers],0))=0, INDEX(regions_ub[], MATCH($D369, regions_ub[[setting]:[setting]],0), MATCH(N$139, regions_ub[#Headers],0)),INDEX(lmic_raw_ub[],MATCH($A369,lmic_raw_ub[[setting]:[setting]],0), MATCH(N$277, lmic_raw_ub[#Headers],0)))</f>
        <v>0.41070000000000001</v>
      </c>
      <c r="O369" s="84">
        <f>IF(INDEX(lmic_raw_ub[],MATCH($A369,lmic_raw_ub[[setting]:[setting]],0), MATCH(O$277, lmic_raw_ub[#Headers],0))=0, INDEX(regions_ub[], MATCH($D369, regions_ub[[setting]:[setting]],0), MATCH(O$139, regions_ub[#Headers],0)),INDEX(lmic_raw_ub[],MATCH($A369,lmic_raw_ub[[setting]:[setting]],0), MATCH(O$277, lmic_raw_ub[#Headers],0)))</f>
        <v>0.74399999999999999</v>
      </c>
      <c r="P369" s="84">
        <f>IF(INDEX(lmic_raw_ub[],MATCH($A369,lmic_raw_ub[[setting]:[setting]],0), MATCH(P$277, lmic_raw_ub[#Headers],0))=0, INDEX(regions_ub[], MATCH($D369, regions_ub[[setting]:[setting]],0), MATCH(P$139, regions_ub[#Headers],0)),INDEX(lmic_raw_ub[],MATCH($A369,lmic_raw_ub[[setting]:[setting]],0), MATCH(P$277, lmic_raw_ub[#Headers],0)))</f>
        <v>0.13300000000000001</v>
      </c>
      <c r="Q369" s="84">
        <f>IF(INDEX(lmic_raw_ub[],MATCH($A369,lmic_raw_ub[[setting]:[setting]],0), MATCH(Q$277, lmic_raw_ub[#Headers],0))=0, INDEX(regions_ub[], MATCH($D369, regions_ub[[setting]:[setting]],0), MATCH(Q$139, regions_ub[#Headers],0)),INDEX(lmic_raw_ub[],MATCH($A369,lmic_raw_ub[[setting]:[setting]],0), MATCH(Q$277, lmic_raw_ub[#Headers],0)))</f>
        <v>4.1869777395971663</v>
      </c>
      <c r="R369" s="84">
        <f>IF(INDEX(lmic_raw_ub[],MATCH($A369,lmic_raw_ub[[setting]:[setting]],0), MATCH(R$277, lmic_raw_ub[#Headers],0))=0, INDEX(regions_ub[], MATCH($D369, regions_ub[[setting]:[setting]],0), MATCH(R$139, regions_ub[#Headers],0)),INDEX(lmic_raw_ub[],MATCH($A369,lmic_raw_ub[[setting]:[setting]],0), MATCH(R$277, lmic_raw_ub[#Headers],0)))</f>
        <v>31.416525000000004</v>
      </c>
      <c r="S369" s="84">
        <f>IF(INDEX(lmic_raw_ub[],MATCH($A369,lmic_raw_ub[[setting]:[setting]],0), MATCH(S$277, lmic_raw_ub[#Headers],0))=0, INDEX(regions_ub[], MATCH($D369, regions_ub[[setting]:[setting]],0), MATCH(S$139, regions_ub[#Headers],0)),INDEX(lmic_raw_ub[],MATCH($A369,lmic_raw_ub[[setting]:[setting]],0), MATCH(S$277, lmic_raw_ub[#Headers],0)))</f>
        <v>81.545625000000015</v>
      </c>
      <c r="T369" s="84">
        <f>IF(INDEX(lmic_raw_ub[],MATCH($A369,lmic_raw_ub[[setting]:[setting]],0), MATCH(T$277, lmic_raw_ub[#Headers],0))=0, INDEX(regions_ub[], MATCH($D369, regions_ub[[setting]:[setting]],0), MATCH(T$139, regions_ub[#Headers],0)),INDEX(lmic_raw_ub[],MATCH($A369,lmic_raw_ub[[setting]:[setting]],0), MATCH(T$277, lmic_raw_ub[#Headers],0)))</f>
        <v>81.545625000000015</v>
      </c>
      <c r="U369" s="84">
        <f>IF(INDEX(lmic_raw_ub[],MATCH($A369,lmic_raw_ub[[setting]:[setting]],0), MATCH(U$277, lmic_raw_ub[#Headers],0))=0, INDEX(regions_ub[], MATCH($D369, regions_ub[[setting]:[setting]],0), MATCH(U$139, regions_ub[#Headers],0)),INDEX(lmic_raw_ub[],MATCH($A369,lmic_raw_ub[[setting]:[setting]],0), MATCH(U$277, lmic_raw_ub[#Headers],0)))</f>
        <v>81.545625000000015</v>
      </c>
      <c r="V369" s="84">
        <f>IF(INDEX(lmic_raw_ub[],MATCH($A369,lmic_raw_ub[[setting]:[setting]],0), MATCH(V$277, lmic_raw_ub[#Headers],0))=0, INDEX(regions_ub[], MATCH($D369, regions_ub[[setting]:[setting]],0), MATCH(V$139, regions_ub[#Headers],0)),INDEX(lmic_raw_ub[],MATCH($A369,lmic_raw_ub[[setting]:[setting]],0), MATCH(V$277, lmic_raw_ub[#Headers],0)))</f>
        <v>2.650048493361965</v>
      </c>
      <c r="W369" s="84">
        <f>IF(INDEX(lmic_raw_ub[],MATCH($A369,lmic_raw_ub[[setting]:[setting]],0), MATCH(W$277, lmic_raw_ub[#Headers],0))=0, INDEX(regions_ub[], MATCH($D369, regions_ub[[setting]:[setting]],0), MATCH(W$139, regions_ub[#Headers],0)),INDEX(lmic_raw_ub[],MATCH($A369,lmic_raw_ub[[setting]:[setting]],0), MATCH(W$277, lmic_raw_ub[#Headers],0)))</f>
        <v>7.7201834933619651</v>
      </c>
      <c r="X369" s="84">
        <f>IF(INDEX(lmic_raw_ub[],MATCH($A369,lmic_raw_ub[[setting]:[setting]],0), MATCH(X$277, lmic_raw_ub[#Headers],0))=0, INDEX(regions_ub[], MATCH($D369, regions_ub[[setting]:[setting]],0), MATCH(X$139, regions_ub[#Headers],0)),INDEX(lmic_raw_ub[],MATCH($A369,lmic_raw_ub[[setting]:[setting]],0), MATCH(X$277, lmic_raw_ub[#Headers],0)))</f>
        <v>2.1419183537605595</v>
      </c>
      <c r="Y369" s="84">
        <f>IF(INDEX(lmic_raw_ub[],MATCH($A369,lmic_raw_ub[[setting]:[setting]],0), MATCH(Y$277, lmic_raw_ub[#Headers],0))=0, INDEX(regions_ub[], MATCH($D369, regions_ub[[setting]:[setting]],0), MATCH(Y$139, regions_ub[#Headers],0)),INDEX(lmic_raw_ub[],MATCH($A369,lmic_raw_ub[[setting]:[setting]],0), MATCH(Y$277, lmic_raw_ub[#Headers],0)))</f>
        <v>7.2120533537605596</v>
      </c>
      <c r="Z369" s="84">
        <f>IF(INDEX(lmic_raw_ub[],MATCH($A369,lmic_raw_ub[[setting]:[setting]],0), MATCH(Z$277, lmic_raw_ub[#Headers],0))=0, INDEX(regions_ub[], MATCH($D369, regions_ub[[setting]:[setting]],0), MATCH(Z$139, regions_ub[#Headers],0)),INDEX(lmic_raw_ub[],MATCH($A369,lmic_raw_ub[[setting]:[setting]],0), MATCH(Z$277, lmic_raw_ub[#Headers],0)))</f>
        <v>7.1981524718240344</v>
      </c>
      <c r="AA369" s="84">
        <f>IF(INDEX(lmic_raw_ub[],MATCH($A369,lmic_raw_ub[[setting]:[setting]],0), MATCH(AA$277, lmic_raw_ub[#Headers],0))=0, INDEX(regions_ub[], MATCH($D369, regions_ub[[setting]:[setting]],0), MATCH(AA$139, regions_ub[#Headers],0)),INDEX(lmic_raw_ub[],MATCH($A369,lmic_raw_ub[[setting]:[setting]],0), MATCH(AA$277, lmic_raw_ub[#Headers],0)))</f>
        <v>2.9214653624918787</v>
      </c>
      <c r="AB369" s="84">
        <f>IF(INDEX(lmic_raw_ub[],MATCH($A369,lmic_raw_ub[[setting]:[setting]],0), MATCH(AB$277, lmic_raw_ub[#Headers],0))=0, INDEX(regions_ub[], MATCH($D369, regions_ub[[setting]:[setting]],0), MATCH(AB$139, regions_ub[#Headers],0)),INDEX(lmic_raw_ub[],MATCH($A369,lmic_raw_ub[[setting]:[setting]],0), MATCH(AB$277, lmic_raw_ub[#Headers],0)))</f>
        <v>7.9916003624918792</v>
      </c>
      <c r="AC369" s="84">
        <f>IF(INDEX(lmic_raw_ub[],MATCH($A369,lmic_raw_ub[[setting]:[setting]],0), MATCH(AC$277, lmic_raw_ub[#Headers],0))=0, INDEX(regions_ub[], MATCH($D369, regions_ub[[setting]:[setting]],0), MATCH(AC$139, regions_ub[#Headers],0)),INDEX(lmic_raw_ub[],MATCH($A369,lmic_raw_ub[[setting]:[setting]],0), MATCH(AC$277, lmic_raw_ub[#Headers],0)))</f>
        <v>6.5264314500000059E-2</v>
      </c>
      <c r="AD369" s="84">
        <f>IF(INDEX(lmic_raw_ub[],MATCH($A369,lmic_raw_ub[[setting]:[setting]],0), MATCH(AD$277, lmic_raw_ub[#Headers],0))=0, INDEX(regions_ub[], MATCH($D369, regions_ub[[setting]:[setting]],0), MATCH(AD$139, regions_ub[#Headers],0)),INDEX(lmic_raw_ub[],MATCH($A369,lmic_raw_ub[[setting]:[setting]],0), MATCH(AD$277, lmic_raw_ub[#Headers],0)))</f>
        <v>1.1083045853780012E-2</v>
      </c>
      <c r="AE369" s="84">
        <f>IF(INDEX(lmic_raw_ub[],MATCH($A369,lmic_raw_ub[[setting]:[setting]],0), MATCH(AE$277, lmic_raw_ub[#Headers],0))=0, INDEX(regions_ub[], MATCH($D369, regions_ub[[setting]:[setting]],0), MATCH(AE$139, regions_ub[#Headers],0)),INDEX(lmic_raw_ub[],MATCH($A369,lmic_raw_ub[[setting]:[setting]],0), MATCH(AE$277, lmic_raw_ub[#Headers],0)))</f>
        <v>6.2056636556527189E-3</v>
      </c>
      <c r="AF369" s="84">
        <f>IF(INDEX(lmic_raw_ub[],MATCH($A369,lmic_raw_ub[[setting]:[setting]],0), MATCH(AF$277, lmic_raw_ub[#Headers],0))=0, INDEX(regions_ub[], MATCH($D369, regions_ub[[setting]:[setting]],0), MATCH(AF$139, regions_ub[#Headers],0)),INDEX(lmic_raw_ub[],MATCH($A369,lmic_raw_ub[[setting]:[setting]],0), MATCH(AF$277, lmic_raw_ub[#Headers],0)))</f>
        <v>3.376688896987729E-3</v>
      </c>
      <c r="AG369" s="84">
        <f>IF(INDEX(lmic_raw_ub[],MATCH($A369,lmic_raw_ub[[setting]:[setting]],0), MATCH(AG$277, lmic_raw_ub[#Headers],0))=0, INDEX(regions_ub[], MATCH($D369, regions_ub[[setting]:[setting]],0), MATCH(AG$139, regions_ub[#Headers],0)),INDEX(lmic_raw_ub[],MATCH($A369,lmic_raw_ub[[setting]:[setting]],0), MATCH(AG$277, lmic_raw_ub[#Headers],0)))</f>
        <v>5.3157757715819433E-3</v>
      </c>
      <c r="AH369" s="84">
        <f>IF(INDEX(lmic_raw_ub[],MATCH($A369,lmic_raw_ub[[setting]:[setting]],0), MATCH(AH$277, lmic_raw_ub[#Headers],0))=0, INDEX(regions_ub[], MATCH($D369, regions_ub[[setting]:[setting]],0), MATCH(AH$139, regions_ub[#Headers],0)),INDEX(lmic_raw_ub[],MATCH($A369,lmic_raw_ub[[setting]:[setting]],0), MATCH(AH$277, lmic_raw_ub[#Headers],0)))</f>
        <v>6.4114276843212229E-3</v>
      </c>
      <c r="AI369" s="84">
        <f>IF(INDEX(lmic_raw_ub[],MATCH($A369,lmic_raw_ub[[setting]:[setting]],0), MATCH(AI$277, lmic_raw_ub[#Headers],0))=0, INDEX(regions_ub[], MATCH($D369, regions_ub[[setting]:[setting]],0), MATCH(AI$139, regions_ub[#Headers],0)),INDEX(lmic_raw_ub[],MATCH($A369,lmic_raw_ub[[setting]:[setting]],0), MATCH(AI$277, lmic_raw_ub[#Headers],0)))</f>
        <v>7.0503930118557693E-3</v>
      </c>
      <c r="AJ369" s="84">
        <f>IF(INDEX(lmic_raw_ub[],MATCH($A369,lmic_raw_ub[[setting]:[setting]],0), MATCH(AJ$277, lmic_raw_ub[#Headers],0))=0, INDEX(regions_ub[], MATCH($D369, regions_ub[[setting]:[setting]],0), MATCH(AJ$139, regions_ub[#Headers],0)),INDEX(lmic_raw_ub[],MATCH($A369,lmic_raw_ub[[setting]:[setting]],0), MATCH(AJ$277, lmic_raw_ub[#Headers],0)))</f>
        <v>7.3860782785339155E-3</v>
      </c>
      <c r="AK369" s="84">
        <f>IF(INDEX(lmic_raw_ub[],MATCH($A369,lmic_raw_ub[[setting]:[setting]],0), MATCH(AK$277, lmic_raw_ub[#Headers],0))=0, INDEX(regions_ub[], MATCH($D369, regions_ub[[setting]:[setting]],0), MATCH(AK$139, regions_ub[#Headers],0)),INDEX(lmic_raw_ub[],MATCH($A369,lmic_raw_ub[[setting]:[setting]],0), MATCH(AK$277, lmic_raw_ub[#Headers],0)))</f>
        <v>8.0870402994986136E-3</v>
      </c>
      <c r="AL369" s="84">
        <f>IF(INDEX(lmic_raw_ub[],MATCH($A369,lmic_raw_ub[[setting]:[setting]],0), MATCH(AL$277, lmic_raw_ub[#Headers],0))=0, INDEX(regions_ub[], MATCH($D369, regions_ub[[setting]:[setting]],0), MATCH(AL$139, regions_ub[#Headers],0)),INDEX(lmic_raw_ub[],MATCH($A369,lmic_raw_ub[[setting]:[setting]],0), MATCH(AL$277, lmic_raw_ub[#Headers],0)))</f>
        <v>9.1878116538381422E-3</v>
      </c>
      <c r="AM369" s="84">
        <f>IF(INDEX(lmic_raw_ub[],MATCH($A369,lmic_raw_ub[[setting]:[setting]],0), MATCH(AM$277, lmic_raw_ub[#Headers],0))=0, INDEX(regions_ub[], MATCH($D369, regions_ub[[setting]:[setting]],0), MATCH(AM$139, regions_ub[#Headers],0)),INDEX(lmic_raw_ub[],MATCH($A369,lmic_raw_ub[[setting]:[setting]],0), MATCH(AM$277, lmic_raw_ub[#Headers],0)))</f>
        <v>1.0638852659240389E-2</v>
      </c>
      <c r="AN369" s="84">
        <f>IF(INDEX(lmic_raw_ub[],MATCH($A369,lmic_raw_ub[[setting]:[setting]],0), MATCH(AN$277, lmic_raw_ub[#Headers],0))=0, INDEX(regions_ub[], MATCH($D369, regions_ub[[setting]:[setting]],0), MATCH(AN$139, regions_ub[#Headers],0)),INDEX(lmic_raw_ub[],MATCH($A369,lmic_raw_ub[[setting]:[setting]],0), MATCH(AN$277, lmic_raw_ub[#Headers],0)))</f>
        <v>1.4049752740381725E-2</v>
      </c>
      <c r="AO369" s="84">
        <f>IF(INDEX(lmic_raw_ub[],MATCH($A369,lmic_raw_ub[[setting]:[setting]],0), MATCH(AO$277, lmic_raw_ub[#Headers],0))=0, INDEX(regions_ub[], MATCH($D369, regions_ub[[setting]:[setting]],0), MATCH(AO$139, regions_ub[#Headers],0)),INDEX(lmic_raw_ub[],MATCH($A369,lmic_raw_ub[[setting]:[setting]],0), MATCH(AO$277, lmic_raw_ub[#Headers],0)))</f>
        <v>1.922903842073817E-2</v>
      </c>
      <c r="AP369" s="84">
        <f>IF(INDEX(lmic_raw_ub[],MATCH($A369,lmic_raw_ub[[setting]:[setting]],0), MATCH(AP$277, lmic_raw_ub[#Headers],0))=0, INDEX(regions_ub[], MATCH($D369, regions_ub[[setting]:[setting]],0), MATCH(AP$139, regions_ub[#Headers],0)),INDEX(lmic_raw_ub[],MATCH($A369,lmic_raw_ub[[setting]:[setting]],0), MATCH(AP$277, lmic_raw_ub[#Headers],0)))</f>
        <v>2.9592473551123877E-2</v>
      </c>
      <c r="AQ369" s="84">
        <f>IF(INDEX(lmic_raw_ub[],MATCH($A369,lmic_raw_ub[[setting]:[setting]],0), MATCH(AQ$277, lmic_raw_ub[#Headers],0))=0, INDEX(regions_ub[], MATCH($D369, regions_ub[[setting]:[setting]],0), MATCH(AQ$139, regions_ub[#Headers],0)),INDEX(lmic_raw_ub[],MATCH($A369,lmic_raw_ub[[setting]:[setting]],0), MATCH(AQ$277, lmic_raw_ub[#Headers],0)))</f>
        <v>4.4531742602379673E-2</v>
      </c>
      <c r="AR369" s="84">
        <f>IF(INDEX(lmic_raw_ub[],MATCH($A369,lmic_raw_ub[[setting]:[setting]],0), MATCH(AR$277, lmic_raw_ub[#Headers],0))=0, INDEX(regions_ub[], MATCH($D369, regions_ub[[setting]:[setting]],0), MATCH(AR$139, regions_ub[#Headers],0)),INDEX(lmic_raw_ub[],MATCH($A369,lmic_raw_ub[[setting]:[setting]],0), MATCH(AR$277, lmic_raw_ub[#Headers],0)))</f>
        <v>6.8994272389426167E-2</v>
      </c>
      <c r="AS369" s="84">
        <f>IF(INDEX(lmic_raw_ub[],MATCH($A369,lmic_raw_ub[[setting]:[setting]],0), MATCH(AS$277, lmic_raw_ub[#Headers],0))=0, INDEX(regions_ub[], MATCH($D369, regions_ub[[setting]:[setting]],0), MATCH(AS$139, regions_ub[#Headers],0)),INDEX(lmic_raw_ub[],MATCH($A369,lmic_raw_ub[[setting]:[setting]],0), MATCH(AS$277, lmic_raw_ub[#Headers],0)))</f>
        <v>0.10174969103072433</v>
      </c>
      <c r="AT369" s="84">
        <f>IF(INDEX(lmic_raw_ub[],MATCH($A369,lmic_raw_ub[[setting]:[setting]],0), MATCH(AT$277, lmic_raw_ub[#Headers],0))=0, INDEX(regions_ub[], MATCH($D369, regions_ub[[setting]:[setting]],0), MATCH(AT$139, regions_ub[#Headers],0)),INDEX(lmic_raw_ub[],MATCH($A369,lmic_raw_ub[[setting]:[setting]],0), MATCH(AT$277, lmic_raw_ub[#Headers],0)))</f>
        <v>0.13925653004002383</v>
      </c>
      <c r="AU369" s="84">
        <f>IF(INDEX(lmic_raw_ub[],MATCH($A369,lmic_raw_ub[[setting]:[setting]],0), MATCH(AU$277, lmic_raw_ub[#Headers],0))=0, INDEX(regions_ub[], MATCH($D369, regions_ub[[setting]:[setting]],0), MATCH(AU$139, regions_ub[#Headers],0)),INDEX(lmic_raw_ub[],MATCH($A369,lmic_raw_ub[[setting]:[setting]],0), MATCH(AU$277, lmic_raw_ub[#Headers],0)))</f>
        <v>0.17066804141891234</v>
      </c>
      <c r="AV369" s="84">
        <f>IF(INDEX(lmic_raw_ub[],MATCH($A369,lmic_raw_ub[[setting]:[setting]],0), MATCH(AV$277, lmic_raw_ub[#Headers],0))=0, INDEX(regions_ub[], MATCH($D369, regions_ub[[setting]:[setting]],0), MATCH(AV$139, regions_ub[#Headers],0)),INDEX(lmic_raw_ub[],MATCH($A369,lmic_raw_ub[[setting]:[setting]],0), MATCH(AV$277, lmic_raw_ub[#Headers],0)))</f>
        <v>0.1899024811429979</v>
      </c>
      <c r="AW369" s="84">
        <f>IF(INDEX(lmic_raw_ub[],MATCH($A369,lmic_raw_ub[[setting]:[setting]],0), MATCH(AW$277, lmic_raw_ub[#Headers],0))=0, INDEX(regions_ub[], MATCH($D369, regions_ub[[setting]:[setting]],0), MATCH(AW$139, regions_ub[#Headers],0)),INDEX(lmic_raw_ub[],MATCH($A369,lmic_raw_ub[[setting]:[setting]],0), MATCH(AW$277, lmic_raw_ub[#Headers],0)))</f>
        <v>0.19572984161213169</v>
      </c>
      <c r="AX369" s="84">
        <f>IF(INDEX(lmic_raw_ub[],MATCH($A369,lmic_raw_ub[[setting]:[setting]],0), MATCH(AX$277, lmic_raw_ub[#Headers],0))=0, INDEX(regions_ub[], MATCH($D369, regions_ub[[setting]:[setting]],0), MATCH(AX$139, regions_ub[#Headers],0)),INDEX(lmic_raw_ub[],MATCH($A369,lmic_raw_ub[[setting]:[setting]],0), MATCH(AX$277, lmic_raw_ub[#Headers],0)))</f>
        <v>56.884800000000006</v>
      </c>
      <c r="AY369" s="33" t="str">
        <f>IF(VLOOKUP(lmics_ub[[#This Row],[setting]],lmic_raw_ub[],11,FALSE)=0, "Yes", "No")</f>
        <v>Yes</v>
      </c>
    </row>
    <row r="370" spans="1:51" x14ac:dyDescent="0.25">
      <c r="A370" s="109" t="s">
        <v>342</v>
      </c>
      <c r="B370" s="101" t="s">
        <v>485</v>
      </c>
      <c r="C370" s="102">
        <v>807</v>
      </c>
      <c r="D370" s="82" t="s">
        <v>675</v>
      </c>
      <c r="E370" s="82" t="s">
        <v>580</v>
      </c>
      <c r="F370" s="82" t="s">
        <v>663</v>
      </c>
      <c r="G370" s="82" t="s">
        <v>676</v>
      </c>
      <c r="J370" s="84">
        <f>IF(INDEX(lmic_raw_ub[],MATCH($A370,lmic_raw_ub[[setting]:[setting]],0), MATCH(J$277, lmic_raw_ub[#Headers],0))=0, INDEX(regions_ub[], MATCH($D370, regions_ub[[setting]:[setting]],0), MATCH(J$139, regions_ub[#Headers],0)),INDEX(lmic_raw_ub[],MATCH($A370,lmic_raw_ub[[setting]:[setting]],0), MATCH(J$277, lmic_raw_ub[#Headers],0)))</f>
        <v>0.99990000000000001</v>
      </c>
      <c r="K370" s="84">
        <f>IF(INDEX(lmic_raw_ub[],MATCH($A370,lmic_raw_ub[[setting]:[setting]],0), MATCH(K$277, lmic_raw_ub[#Headers],0))=0, INDEX(regions_ub[], MATCH($D370, regions_ub[[setting]:[setting]],0), MATCH(K$139, regions_ub[#Headers],0)),INDEX(lmic_raw_ub[],MATCH($A370,lmic_raw_ub[[setting]:[setting]],0), MATCH(K$277, lmic_raw_ub[#Headers],0)))</f>
        <v>0.99990000000000001</v>
      </c>
      <c r="L370" s="84">
        <f>IF(INDEX(lmic_raw_ub[],MATCH($A370,lmic_raw_ub[[setting]:[setting]],0), MATCH(L$277, lmic_raw_ub[#Headers],0))=0, INDEX(regions_ub[], MATCH($D370, regions_ub[[setting]:[setting]],0), MATCH(L$139, regions_ub[#Headers],0)),INDEX(lmic_raw_ub[],MATCH($A370,lmic_raw_ub[[setting]:[setting]],0), MATCH(L$277, lmic_raw_ub[#Headers],0)))</f>
        <v>0.96600000000000008</v>
      </c>
      <c r="M370" s="84">
        <f>IF(INDEX(lmic_raw_ub[],MATCH($A370,lmic_raw_ub[[setting]:[setting]],0), MATCH(M$277, lmic_raw_ub[#Headers],0))=0, INDEX(regions_ub[], MATCH($D370, regions_ub[[setting]:[setting]],0), MATCH(M$139, regions_ub[#Headers],0)),INDEX(lmic_raw_ub[],MATCH($A370,lmic_raw_ub[[setting]:[setting]],0), MATCH(M$277, lmic_raw_ub[#Headers],0)))</f>
        <v>0.10880000000000001</v>
      </c>
      <c r="N370" s="84">
        <f>IF(INDEX(lmic_raw_ub[],MATCH($A370,lmic_raw_ub[[setting]:[setting]],0), MATCH(N$277, lmic_raw_ub[#Headers],0))=0, INDEX(regions_ub[], MATCH($D370, regions_ub[[setting]:[setting]],0), MATCH(N$139, regions_ub[#Headers],0)),INDEX(lmic_raw_ub[],MATCH($A370,lmic_raw_ub[[setting]:[setting]],0), MATCH(N$277, lmic_raw_ub[#Headers],0)))</f>
        <v>0.42849999999999999</v>
      </c>
      <c r="O370" s="84">
        <f>IF(INDEX(lmic_raw_ub[],MATCH($A370,lmic_raw_ub[[setting]:[setting]],0), MATCH(O$277, lmic_raw_ub[#Headers],0))=0, INDEX(regions_ub[], MATCH($D370, regions_ub[[setting]:[setting]],0), MATCH(O$139, regions_ub[#Headers],0)),INDEX(lmic_raw_ub[],MATCH($A370,lmic_raw_ub[[setting]:[setting]],0), MATCH(O$277, lmic_raw_ub[#Headers],0)))</f>
        <v>0.9</v>
      </c>
      <c r="P370" s="84">
        <f>IF(INDEX(lmic_raw_ub[],MATCH($A370,lmic_raw_ub[[setting]:[setting]],0), MATCH(P$277, lmic_raw_ub[#Headers],0))=0, INDEX(regions_ub[], MATCH($D370, regions_ub[[setting]:[setting]],0), MATCH(P$139, regions_ub[#Headers],0)),INDEX(lmic_raw_ub[],MATCH($A370,lmic_raw_ub[[setting]:[setting]],0), MATCH(P$277, lmic_raw_ub[#Headers],0)))</f>
        <v>0.3</v>
      </c>
      <c r="Q370" s="84">
        <f>IF(INDEX(lmic_raw_ub[],MATCH($A370,lmic_raw_ub[[setting]:[setting]],0), MATCH(Q$277, lmic_raw_ub[#Headers],0))=0, INDEX(regions_ub[], MATCH($D370, regions_ub[[setting]:[setting]],0), MATCH(Q$139, regions_ub[#Headers],0)),INDEX(lmic_raw_ub[],MATCH($A370,lmic_raw_ub[[setting]:[setting]],0), MATCH(Q$277, lmic_raw_ub[#Headers],0)))</f>
        <v>9.3589163458235642</v>
      </c>
      <c r="R370" s="84">
        <f>IF(INDEX(lmic_raw_ub[],MATCH($A370,lmic_raw_ub[[setting]:[setting]],0), MATCH(R$277, lmic_raw_ub[#Headers],0))=0, INDEX(regions_ub[], MATCH($D370, regions_ub[[setting]:[setting]],0), MATCH(R$139, regions_ub[#Headers],0)),INDEX(lmic_raw_ub[],MATCH($A370,lmic_raw_ub[[setting]:[setting]],0), MATCH(R$277, lmic_raw_ub[#Headers],0)))</f>
        <v>46.76427000000001</v>
      </c>
      <c r="S370" s="84">
        <f>IF(INDEX(lmic_raw_ub[],MATCH($A370,lmic_raw_ub[[setting]:[setting]],0), MATCH(S$277, lmic_raw_ub[#Headers],0))=0, INDEX(regions_ub[], MATCH($D370, regions_ub[[setting]:[setting]],0), MATCH(S$139, regions_ub[#Headers],0)),INDEX(lmic_raw_ub[],MATCH($A370,lmic_raw_ub[[setting]:[setting]],0), MATCH(S$277, lmic_raw_ub[#Headers],0)))</f>
        <v>96.893370000000019</v>
      </c>
      <c r="T370" s="84">
        <f>IF(INDEX(lmic_raw_ub[],MATCH($A370,lmic_raw_ub[[setting]:[setting]],0), MATCH(T$277, lmic_raw_ub[#Headers],0))=0, INDEX(regions_ub[], MATCH($D370, regions_ub[[setting]:[setting]],0), MATCH(T$139, regions_ub[#Headers],0)),INDEX(lmic_raw_ub[],MATCH($A370,lmic_raw_ub[[setting]:[setting]],0), MATCH(T$277, lmic_raw_ub[#Headers],0)))</f>
        <v>96.893370000000019</v>
      </c>
      <c r="U370" s="84">
        <f>IF(INDEX(lmic_raw_ub[],MATCH($A370,lmic_raw_ub[[setting]:[setting]],0), MATCH(U$277, lmic_raw_ub[#Headers],0))=0, INDEX(regions_ub[], MATCH($D370, regions_ub[[setting]:[setting]],0), MATCH(U$139, regions_ub[#Headers],0)),INDEX(lmic_raw_ub[],MATCH($A370,lmic_raw_ub[[setting]:[setting]],0), MATCH(U$277, lmic_raw_ub[#Headers],0)))</f>
        <v>96.893370000000019</v>
      </c>
      <c r="V370" s="84">
        <f>IF(INDEX(lmic_raw_ub[],MATCH($A370,lmic_raw_ub[[setting]:[setting]],0), MATCH(V$277, lmic_raw_ub[#Headers],0))=0, INDEX(regions_ub[], MATCH($D370, regions_ub[[setting]:[setting]],0), MATCH(V$139, regions_ub[#Headers],0)),INDEX(lmic_raw_ub[],MATCH($A370,lmic_raw_ub[[setting]:[setting]],0), MATCH(V$277, lmic_raw_ub[#Headers],0)))</f>
        <v>12.255329847388074</v>
      </c>
      <c r="W370" s="84">
        <f>IF(INDEX(lmic_raw_ub[],MATCH($A370,lmic_raw_ub[[setting]:[setting]],0), MATCH(W$277, lmic_raw_ub[#Headers],0))=0, INDEX(regions_ub[], MATCH($D370, regions_ub[[setting]:[setting]],0), MATCH(W$139, regions_ub[#Headers],0)),INDEX(lmic_raw_ub[],MATCH($A370,lmic_raw_ub[[setting]:[setting]],0), MATCH(W$277, lmic_raw_ub[#Headers],0)))</f>
        <v>16.524314847388077</v>
      </c>
      <c r="X370" s="84">
        <f>IF(INDEX(lmic_raw_ub[],MATCH($A370,lmic_raw_ub[[setting]:[setting]],0), MATCH(X$277, lmic_raw_ub[#Headers],0))=0, INDEX(regions_ub[], MATCH($D370, regions_ub[[setting]:[setting]],0), MATCH(X$139, regions_ub[#Headers],0)),INDEX(lmic_raw_ub[],MATCH($A370,lmic_raw_ub[[setting]:[setting]],0), MATCH(X$277, lmic_raw_ub[#Headers],0)))</f>
        <v>11.735398438623431</v>
      </c>
      <c r="Y370" s="84">
        <f>IF(INDEX(lmic_raw_ub[],MATCH($A370,lmic_raw_ub[[setting]:[setting]],0), MATCH(Y$277, lmic_raw_ub[#Headers],0))=0, INDEX(regions_ub[], MATCH($D370, regions_ub[[setting]:[setting]],0), MATCH(Y$139, regions_ub[#Headers],0)),INDEX(lmic_raw_ub[],MATCH($A370,lmic_raw_ub[[setting]:[setting]],0), MATCH(Y$277, lmic_raw_ub[#Headers],0)))</f>
        <v>16.004383438623432</v>
      </c>
      <c r="Z370" s="84">
        <f>IF(INDEX(lmic_raw_ub[],MATCH($A370,lmic_raw_ub[[setting]:[setting]],0), MATCH(Z$277, lmic_raw_ub[#Headers],0))=0, INDEX(regions_ub[], MATCH($D370, regions_ub[[setting]:[setting]],0), MATCH(Z$139, regions_ub[#Headers],0)),INDEX(lmic_raw_ub[],MATCH($A370,lmic_raw_ub[[setting]:[setting]],0), MATCH(Z$277, lmic_raw_ub[#Headers],0)))</f>
        <v>15.983648213065477</v>
      </c>
      <c r="AA370" s="84">
        <f>IF(INDEX(lmic_raw_ub[],MATCH($A370,lmic_raw_ub[[setting]:[setting]],0), MATCH(AA$277, lmic_raw_ub[#Headers],0))=0, INDEX(regions_ub[], MATCH($D370, regions_ub[[setting]:[setting]],0), MATCH(AA$139, regions_ub[#Headers],0)),INDEX(lmic_raw_ub[],MATCH($A370,lmic_raw_ub[[setting]:[setting]],0), MATCH(AA$277, lmic_raw_ub[#Headers],0)))</f>
        <v>12.529425532217621</v>
      </c>
      <c r="AB370" s="84">
        <f>IF(INDEX(lmic_raw_ub[],MATCH($A370,lmic_raw_ub[[setting]:[setting]],0), MATCH(AB$277, lmic_raw_ub[#Headers],0))=0, INDEX(regions_ub[], MATCH($D370, regions_ub[[setting]:[setting]],0), MATCH(AB$139, regions_ub[#Headers],0)),INDEX(lmic_raw_ub[],MATCH($A370,lmic_raw_ub[[setting]:[setting]],0), MATCH(AB$277, lmic_raw_ub[#Headers],0)))</f>
        <v>16.798410532217623</v>
      </c>
      <c r="AC370" s="84">
        <f>IF(INDEX(lmic_raw_ub[],MATCH($A370,lmic_raw_ub[[setting]:[setting]],0), MATCH(AC$277, lmic_raw_ub[#Headers],0))=0, INDEX(regions_ub[], MATCH($D370, regions_ub[[setting]:[setting]],0), MATCH(AC$139, regions_ub[#Headers],0)),INDEX(lmic_raw_ub[],MATCH($A370,lmic_raw_ub[[setting]:[setting]],0), MATCH(AC$277, lmic_raw_ub[#Headers],0)))</f>
        <v>1.1223764999999926E-2</v>
      </c>
      <c r="AD370" s="84">
        <f>IF(INDEX(lmic_raw_ub[],MATCH($A370,lmic_raw_ub[[setting]:[setting]],0), MATCH(AD$277, lmic_raw_ub[#Headers],0))=0, INDEX(regions_ub[], MATCH($D370, regions_ub[[setting]:[setting]],0), MATCH(AD$139, regions_ub[#Headers],0)),INDEX(lmic_raw_ub[],MATCH($A370,lmic_raw_ub[[setting]:[setting]],0), MATCH(AD$277, lmic_raw_ub[#Headers],0)))</f>
        <v>2.9894374942071432E-4</v>
      </c>
      <c r="AE370" s="84">
        <f>IF(INDEX(lmic_raw_ub[],MATCH($A370,lmic_raw_ub[[setting]:[setting]],0), MATCH(AE$277, lmic_raw_ub[#Headers],0))=0, INDEX(regions_ub[], MATCH($D370, regions_ub[[setting]:[setting]],0), MATCH(AE$139, regions_ub[#Headers],0)),INDEX(lmic_raw_ub[],MATCH($A370,lmic_raw_ub[[setting]:[setting]],0), MATCH(AE$277, lmic_raw_ub[#Headers],0)))</f>
        <v>1.4644772040641436E-4</v>
      </c>
      <c r="AF370" s="84">
        <f>IF(INDEX(lmic_raw_ub[],MATCH($A370,lmic_raw_ub[[setting]:[setting]],0), MATCH(AF$277, lmic_raw_ub[#Headers],0))=0, INDEX(regions_ub[], MATCH($D370, regions_ub[[setting]:[setting]],0), MATCH(AF$139, regions_ub[#Headers],0)),INDEX(lmic_raw_ub[],MATCH($A370,lmic_raw_ub[[setting]:[setting]],0), MATCH(AF$277, lmic_raw_ub[#Headers],0)))</f>
        <v>1.9445781244582054E-4</v>
      </c>
      <c r="AG370" s="84">
        <f>IF(INDEX(lmic_raw_ub[],MATCH($A370,lmic_raw_ub[[setting]:[setting]],0), MATCH(AG$277, lmic_raw_ub[#Headers],0))=0, INDEX(regions_ub[], MATCH($D370, regions_ub[[setting]:[setting]],0), MATCH(AG$139, regions_ub[#Headers],0)),INDEX(lmic_raw_ub[],MATCH($A370,lmic_raw_ub[[setting]:[setting]],0), MATCH(AG$277, lmic_raw_ub[#Headers],0)))</f>
        <v>3.0612159879504303E-4</v>
      </c>
      <c r="AH370" s="84">
        <f>IF(INDEX(lmic_raw_ub[],MATCH($A370,lmic_raw_ub[[setting]:[setting]],0), MATCH(AH$277, lmic_raw_ub[#Headers],0))=0, INDEX(regions_ub[], MATCH($D370, regions_ub[[setting]:[setting]],0), MATCH(AH$139, regions_ub[#Headers],0)),INDEX(lmic_raw_ub[],MATCH($A370,lmic_raw_ub[[setting]:[setting]],0), MATCH(AH$277, lmic_raw_ub[#Headers],0)))</f>
        <v>3.2939443045355225E-4</v>
      </c>
      <c r="AI370" s="84">
        <f>IF(INDEX(lmic_raw_ub[],MATCH($A370,lmic_raw_ub[[setting]:[setting]],0), MATCH(AI$277, lmic_raw_ub[#Headers],0))=0, INDEX(regions_ub[], MATCH($D370, regions_ub[[setting]:[setting]],0), MATCH(AI$139, regions_ub[#Headers],0)),INDEX(lmic_raw_ub[],MATCH($A370,lmic_raw_ub[[setting]:[setting]],0), MATCH(AI$277, lmic_raw_ub[#Headers],0)))</f>
        <v>4.9107607169644925E-4</v>
      </c>
      <c r="AJ370" s="84">
        <f>IF(INDEX(lmic_raw_ub[],MATCH($A370,lmic_raw_ub[[setting]:[setting]],0), MATCH(AJ$277, lmic_raw_ub[#Headers],0))=0, INDEX(regions_ub[], MATCH($D370, regions_ub[[setting]:[setting]],0), MATCH(AJ$139, regions_ub[#Headers],0)),INDEX(lmic_raw_ub[],MATCH($A370,lmic_raw_ub[[setting]:[setting]],0), MATCH(AJ$277, lmic_raw_ub[#Headers],0)))</f>
        <v>5.8666428206749911E-4</v>
      </c>
      <c r="AK370" s="84">
        <f>IF(INDEX(lmic_raw_ub[],MATCH($A370,lmic_raw_ub[[setting]:[setting]],0), MATCH(AK$277, lmic_raw_ub[#Headers],0))=0, INDEX(regions_ub[], MATCH($D370, regions_ub[[setting]:[setting]],0), MATCH(AK$139, regions_ub[#Headers],0)),INDEX(lmic_raw_ub[],MATCH($A370,lmic_raw_ub[[setting]:[setting]],0), MATCH(AK$277, lmic_raw_ub[#Headers],0)))</f>
        <v>9.3562613166154923E-4</v>
      </c>
      <c r="AL370" s="84">
        <f>IF(INDEX(lmic_raw_ub[],MATCH($A370,lmic_raw_ub[[setting]:[setting]],0), MATCH(AL$277, lmic_raw_ub[#Headers],0))=0, INDEX(regions_ub[], MATCH($D370, regions_ub[[setting]:[setting]],0), MATCH(AL$139, regions_ub[#Headers],0)),INDEX(lmic_raw_ub[],MATCH($A370,lmic_raw_ub[[setting]:[setting]],0), MATCH(AL$277, lmic_raw_ub[#Headers],0)))</f>
        <v>1.7088150216703402E-3</v>
      </c>
      <c r="AM370" s="84">
        <f>IF(INDEX(lmic_raw_ub[],MATCH($A370,lmic_raw_ub[[setting]:[setting]],0), MATCH(AM$277, lmic_raw_ub[#Headers],0))=0, INDEX(regions_ub[], MATCH($D370, regions_ub[[setting]:[setting]],0), MATCH(AM$139, regions_ub[#Headers],0)),INDEX(lmic_raw_ub[],MATCH($A370,lmic_raw_ub[[setting]:[setting]],0), MATCH(AM$277, lmic_raw_ub[#Headers],0)))</f>
        <v>2.6393162646140044E-3</v>
      </c>
      <c r="AN370" s="84">
        <f>IF(INDEX(lmic_raw_ub[],MATCH($A370,lmic_raw_ub[[setting]:[setting]],0), MATCH(AN$277, lmic_raw_ub[#Headers],0))=0, INDEX(regions_ub[], MATCH($D370, regions_ub[[setting]:[setting]],0), MATCH(AN$139, regions_ub[#Headers],0)),INDEX(lmic_raw_ub[],MATCH($A370,lmic_raw_ub[[setting]:[setting]],0), MATCH(AN$277, lmic_raw_ub[#Headers],0)))</f>
        <v>4.9233961461122768E-3</v>
      </c>
      <c r="AO370" s="84">
        <f>IF(INDEX(lmic_raw_ub[],MATCH($A370,lmic_raw_ub[[setting]:[setting]],0), MATCH(AO$277, lmic_raw_ub[#Headers],0))=0, INDEX(regions_ub[], MATCH($D370, regions_ub[[setting]:[setting]],0), MATCH(AO$139, regions_ub[#Headers],0)),INDEX(lmic_raw_ub[],MATCH($A370,lmic_raw_ub[[setting]:[setting]],0), MATCH(AO$277, lmic_raw_ub[#Headers],0)))</f>
        <v>8.3691374832477548E-3</v>
      </c>
      <c r="AP370" s="84">
        <f>IF(INDEX(lmic_raw_ub[],MATCH($A370,lmic_raw_ub[[setting]:[setting]],0), MATCH(AP$277, lmic_raw_ub[#Headers],0))=0, INDEX(regions_ub[], MATCH($D370, regions_ub[[setting]:[setting]],0), MATCH(AP$139, regions_ub[#Headers],0)),INDEX(lmic_raw_ub[],MATCH($A370,lmic_raw_ub[[setting]:[setting]],0), MATCH(AP$277, lmic_raw_ub[#Headers],0)))</f>
        <v>1.3828995569468826E-2</v>
      </c>
      <c r="AQ370" s="84">
        <f>IF(INDEX(lmic_raw_ub[],MATCH($A370,lmic_raw_ub[[setting]:[setting]],0), MATCH(AQ$277, lmic_raw_ub[#Headers],0))=0, INDEX(regions_ub[], MATCH($D370, regions_ub[[setting]:[setting]],0), MATCH(AQ$139, regions_ub[#Headers],0)),INDEX(lmic_raw_ub[],MATCH($A370,lmic_raw_ub[[setting]:[setting]],0), MATCH(AQ$277, lmic_raw_ub[#Headers],0)))</f>
        <v>2.1402531568139704E-2</v>
      </c>
      <c r="AR370" s="84">
        <f>IF(INDEX(lmic_raw_ub[],MATCH($A370,lmic_raw_ub[[setting]:[setting]],0), MATCH(AR$277, lmic_raw_ub[#Headers],0))=0, INDEX(regions_ub[], MATCH($D370, regions_ub[[setting]:[setting]],0), MATCH(AR$139, regions_ub[#Headers],0)),INDEX(lmic_raw_ub[],MATCH($A370,lmic_raw_ub[[setting]:[setting]],0), MATCH(AR$277, lmic_raw_ub[#Headers],0)))</f>
        <v>3.361912544912897E-2</v>
      </c>
      <c r="AS370" s="84">
        <f>IF(INDEX(lmic_raw_ub[],MATCH($A370,lmic_raw_ub[[setting]:[setting]],0), MATCH(AS$277, lmic_raw_ub[#Headers],0))=0, INDEX(regions_ub[], MATCH($D370, regions_ub[[setting]:[setting]],0), MATCH(AS$139, regions_ub[#Headers],0)),INDEX(lmic_raw_ub[],MATCH($A370,lmic_raw_ub[[setting]:[setting]],0), MATCH(AS$277, lmic_raw_ub[#Headers],0)))</f>
        <v>5.9658325729081384E-2</v>
      </c>
      <c r="AT370" s="84">
        <f>IF(INDEX(lmic_raw_ub[],MATCH($A370,lmic_raw_ub[[setting]:[setting]],0), MATCH(AT$277, lmic_raw_ub[#Headers],0))=0, INDEX(regions_ub[], MATCH($D370, regions_ub[[setting]:[setting]],0), MATCH(AT$139, regions_ub[#Headers],0)),INDEX(lmic_raw_ub[],MATCH($A370,lmic_raw_ub[[setting]:[setting]],0), MATCH(AT$277, lmic_raw_ub[#Headers],0)))</f>
        <v>9.6105397474416487E-2</v>
      </c>
      <c r="AU370" s="84">
        <f>IF(INDEX(lmic_raw_ub[],MATCH($A370,lmic_raw_ub[[setting]:[setting]],0), MATCH(AU$277, lmic_raw_ub[#Headers],0))=0, INDEX(regions_ub[], MATCH($D370, regions_ub[[setting]:[setting]],0), MATCH(AU$139, regions_ub[#Headers],0)),INDEX(lmic_raw_ub[],MATCH($A370,lmic_raw_ub[[setting]:[setting]],0), MATCH(AU$277, lmic_raw_ub[#Headers],0)))</f>
        <v>0.13620687662120384</v>
      </c>
      <c r="AV370" s="84">
        <f>IF(INDEX(lmic_raw_ub[],MATCH($A370,lmic_raw_ub[[setting]:[setting]],0), MATCH(AV$277, lmic_raw_ub[#Headers],0))=0, INDEX(regions_ub[], MATCH($D370, regions_ub[[setting]:[setting]],0), MATCH(AV$139, regions_ub[#Headers],0)),INDEX(lmic_raw_ub[],MATCH($A370,lmic_raw_ub[[setting]:[setting]],0), MATCH(AV$277, lmic_raw_ub[#Headers],0)))</f>
        <v>0.17509103800118414</v>
      </c>
      <c r="AW370" s="84">
        <f>IF(INDEX(lmic_raw_ub[],MATCH($A370,lmic_raw_ub[[setting]:[setting]],0), MATCH(AW$277, lmic_raw_ub[#Headers],0))=0, INDEX(regions_ub[], MATCH($D370, regions_ub[[setting]:[setting]],0), MATCH(AW$139, regions_ub[#Headers],0)),INDEX(lmic_raw_ub[],MATCH($A370,lmic_raw_ub[[setting]:[setting]],0), MATCH(AW$277, lmic_raw_ub[#Headers],0)))</f>
        <v>0.19555991184090768</v>
      </c>
      <c r="AX370" s="84">
        <f>IF(INDEX(lmic_raw_ub[],MATCH($A370,lmic_raw_ub[[setting]:[setting]],0), MATCH(AX$277, lmic_raw_ub[#Headers],0))=0, INDEX(regions_ub[], MATCH($D370, regions_ub[[setting]:[setting]],0), MATCH(AX$139, regions_ub[#Headers],0)),INDEX(lmic_raw_ub[],MATCH($A370,lmic_raw_ub[[setting]:[setting]],0), MATCH(AX$277, lmic_raw_ub[#Headers],0)))</f>
        <v>79.383150000000001</v>
      </c>
      <c r="AY370" s="33" t="str">
        <f>IF(VLOOKUP(lmics_ub[[#This Row],[setting]],lmic_raw_ub[],11,FALSE)=0, "Yes", "No")</f>
        <v>No</v>
      </c>
    </row>
    <row r="371" spans="1:51" x14ac:dyDescent="0.25">
      <c r="A371" s="110" t="s">
        <v>198</v>
      </c>
      <c r="B371" s="104" t="s">
        <v>488</v>
      </c>
      <c r="C371" s="105">
        <v>586</v>
      </c>
      <c r="D371" s="84" t="s">
        <v>673</v>
      </c>
      <c r="E371" s="84" t="s">
        <v>589</v>
      </c>
      <c r="F371" s="84" t="s">
        <v>589</v>
      </c>
      <c r="G371" s="84" t="s">
        <v>678</v>
      </c>
      <c r="J371" s="84">
        <f>IF(INDEX(lmic_raw_ub[],MATCH($A371,lmic_raw_ub[[setting]:[setting]],0), MATCH(J$277, lmic_raw_ub[#Headers],0))=0, INDEX(regions_ub[], MATCH($D371, regions_ub[[setting]:[setting]],0), MATCH(J$139, regions_ub[#Headers],0)),INDEX(lmic_raw_ub[],MATCH($A371,lmic_raw_ub[[setting]:[setting]],0), MATCH(J$277, lmic_raw_ub[#Headers],0)))</f>
        <v>0.69510000000000005</v>
      </c>
      <c r="K371" s="84">
        <f>IF(INDEX(lmic_raw_ub[],MATCH($A371,lmic_raw_ub[[setting]:[setting]],0), MATCH(K$277, lmic_raw_ub[#Headers],0))=0, INDEX(regions_ub[], MATCH($D371, regions_ub[[setting]:[setting]],0), MATCH(K$139, regions_ub[#Headers],0)),INDEX(lmic_raw_ub[],MATCH($A371,lmic_raw_ub[[setting]:[setting]],0), MATCH(K$277, lmic_raw_ub[#Headers],0)))</f>
        <v>0.74462879341111321</v>
      </c>
      <c r="L371" s="84">
        <f>IF(INDEX(lmic_raw_ub[],MATCH($A371,lmic_raw_ub[[setting]:[setting]],0), MATCH(L$277, lmic_raw_ub[#Headers],0))=0, INDEX(regions_ub[], MATCH($D371, regions_ub[[setting]:[setting]],0), MATCH(L$139, regions_ub[#Headers],0)),INDEX(lmic_raw_ub[],MATCH($A371,lmic_raw_ub[[setting]:[setting]],0), MATCH(L$277, lmic_raw_ub[#Headers],0)))</f>
        <v>0.78750000000000009</v>
      </c>
      <c r="M371" s="84">
        <f>IF(INDEX(lmic_raw_ub[],MATCH($A371,lmic_raw_ub[[setting]:[setting]],0), MATCH(M$277, lmic_raw_ub[#Headers],0))=0, INDEX(regions_ub[], MATCH($D371, regions_ub[[setting]:[setting]],0), MATCH(M$139, regions_ub[#Headers],0)),INDEX(lmic_raw_ub[],MATCH($A371,lmic_raw_ub[[setting]:[setting]],0), MATCH(M$277, lmic_raw_ub[#Headers],0)))</f>
        <v>7.3099999999999998E-2</v>
      </c>
      <c r="N371" s="84">
        <f>IF(INDEX(lmic_raw_ub[],MATCH($A371,lmic_raw_ub[[setting]:[setting]],0), MATCH(N$277, lmic_raw_ub[#Headers],0))=0, INDEX(regions_ub[], MATCH($D371, regions_ub[[setting]:[setting]],0), MATCH(N$139, regions_ub[#Headers],0)),INDEX(lmic_raw_ub[],MATCH($A371,lmic_raw_ub[[setting]:[setting]],0), MATCH(N$277, lmic_raw_ub[#Headers],0)))</f>
        <v>0.35830000000000001</v>
      </c>
      <c r="O371" s="84">
        <f>IF(INDEX(lmic_raw_ub[],MATCH($A371,lmic_raw_ub[[setting]:[setting]],0), MATCH(O$277, lmic_raw_ub[#Headers],0))=0, INDEX(regions_ub[], MATCH($D371, regions_ub[[setting]:[setting]],0), MATCH(O$139, regions_ub[#Headers],0)),INDEX(lmic_raw_ub[],MATCH($A371,lmic_raw_ub[[setting]:[setting]],0), MATCH(O$277, lmic_raw_ub[#Headers],0)))</f>
        <v>0.9</v>
      </c>
      <c r="P371" s="84">
        <f>IF(INDEX(lmic_raw_ub[],MATCH($A371,lmic_raw_ub[[setting]:[setting]],0), MATCH(P$277, lmic_raw_ub[#Headers],0))=0, INDEX(regions_ub[], MATCH($D371, regions_ub[[setting]:[setting]],0), MATCH(P$139, regions_ub[#Headers],0)),INDEX(lmic_raw_ub[],MATCH($A371,lmic_raw_ub[[setting]:[setting]],0), MATCH(P$277, lmic_raw_ub[#Headers],0)))</f>
        <v>0.3</v>
      </c>
      <c r="Q371" s="84">
        <f>IF(INDEX(lmic_raw_ub[],MATCH($A371,lmic_raw_ub[[setting]:[setting]],0), MATCH(Q$277, lmic_raw_ub[#Headers],0))=0, INDEX(regions_ub[], MATCH($D371, regions_ub[[setting]:[setting]],0), MATCH(Q$139, regions_ub[#Headers],0)),INDEX(lmic_raw_ub[],MATCH($A371,lmic_raw_ub[[setting]:[setting]],0), MATCH(Q$277, lmic_raw_ub[#Headers],0)))</f>
        <v>3.239827537011128</v>
      </c>
      <c r="R371" s="84">
        <f>IF(INDEX(lmic_raw_ub[],MATCH($A371,lmic_raw_ub[[setting]:[setting]],0), MATCH(R$277, lmic_raw_ub[#Headers],0))=0, INDEX(regions_ub[], MATCH($D371, regions_ub[[setting]:[setting]],0), MATCH(R$139, regions_ub[#Headers],0)),INDEX(lmic_raw_ub[],MATCH($A371,lmic_raw_ub[[setting]:[setting]],0), MATCH(R$277, lmic_raw_ub[#Headers],0)))</f>
        <v>48.194895000000002</v>
      </c>
      <c r="S371" s="84">
        <f>IF(INDEX(lmic_raw_ub[],MATCH($A371,lmic_raw_ub[[setting]:[setting]],0), MATCH(S$277, lmic_raw_ub[#Headers],0))=0, INDEX(regions_ub[], MATCH($D371, regions_ub[[setting]:[setting]],0), MATCH(S$139, regions_ub[#Headers],0)),INDEX(lmic_raw_ub[],MATCH($A371,lmic_raw_ub[[setting]:[setting]],0), MATCH(S$277, lmic_raw_ub[#Headers],0)))</f>
        <v>98.323995000000011</v>
      </c>
      <c r="T371" s="84">
        <f>IF(INDEX(lmic_raw_ub[],MATCH($A371,lmic_raw_ub[[setting]:[setting]],0), MATCH(T$277, lmic_raw_ub[#Headers],0))=0, INDEX(regions_ub[], MATCH($D371, regions_ub[[setting]:[setting]],0), MATCH(T$139, regions_ub[#Headers],0)),INDEX(lmic_raw_ub[],MATCH($A371,lmic_raw_ub[[setting]:[setting]],0), MATCH(T$277, lmic_raw_ub[#Headers],0)))</f>
        <v>98.323995000000011</v>
      </c>
      <c r="U371" s="84">
        <f>IF(INDEX(lmic_raw_ub[],MATCH($A371,lmic_raw_ub[[setting]:[setting]],0), MATCH(U$277, lmic_raw_ub[#Headers],0))=0, INDEX(regions_ub[], MATCH($D371, regions_ub[[setting]:[setting]],0), MATCH(U$139, regions_ub[#Headers],0)),INDEX(lmic_raw_ub[],MATCH($A371,lmic_raw_ub[[setting]:[setting]],0), MATCH(U$277, lmic_raw_ub[#Headers],0)))</f>
        <v>98.323995000000011</v>
      </c>
      <c r="V371" s="84">
        <f>IF(INDEX(lmic_raw_ub[],MATCH($A371,lmic_raw_ub[[setting]:[setting]],0), MATCH(V$277, lmic_raw_ub[#Headers],0))=0, INDEX(regions_ub[], MATCH($D371, regions_ub[[setting]:[setting]],0), MATCH(V$139, regions_ub[#Headers],0)),INDEX(lmic_raw_ub[],MATCH($A371,lmic_raw_ub[[setting]:[setting]],0), MATCH(V$277, lmic_raw_ub[#Headers],0)))</f>
        <v>2.999717002956217</v>
      </c>
      <c r="W371" s="84">
        <f>IF(INDEX(lmic_raw_ub[],MATCH($A371,lmic_raw_ub[[setting]:[setting]],0), MATCH(W$277, lmic_raw_ub[#Headers],0))=0, INDEX(regions_ub[], MATCH($D371, regions_ub[[setting]:[setting]],0), MATCH(W$139, regions_ub[#Headers],0)),INDEX(lmic_raw_ub[],MATCH($A371,lmic_raw_ub[[setting]:[setting]],0), MATCH(W$277, lmic_raw_ub[#Headers],0)))</f>
        <v>5.5722170029562168</v>
      </c>
      <c r="X371" s="84">
        <f>IF(INDEX(lmic_raw_ub[],MATCH($A371,lmic_raw_ub[[setting]:[setting]],0), MATCH(X$277, lmic_raw_ub[#Headers],0))=0, INDEX(regions_ub[], MATCH($D371, regions_ub[[setting]:[setting]],0), MATCH(X$139, regions_ub[#Headers],0)),INDEX(lmic_raw_ub[],MATCH($A371,lmic_raw_ub[[setting]:[setting]],0), MATCH(X$277, lmic_raw_ub[#Headers],0)))</f>
        <v>2.5010756593221308</v>
      </c>
      <c r="Y371" s="84">
        <f>IF(INDEX(lmic_raw_ub[],MATCH($A371,lmic_raw_ub[[setting]:[setting]],0), MATCH(Y$277, lmic_raw_ub[#Headers],0))=0, INDEX(regions_ub[], MATCH($D371, regions_ub[[setting]:[setting]],0), MATCH(Y$139, regions_ub[#Headers],0)),INDEX(lmic_raw_ub[],MATCH($A371,lmic_raw_ub[[setting]:[setting]],0), MATCH(Y$277, lmic_raw_ub[#Headers],0)))</f>
        <v>5.0735756593221311</v>
      </c>
      <c r="Z371" s="84">
        <f>IF(INDEX(lmic_raw_ub[],MATCH($A371,lmic_raw_ub[[setting]:[setting]],0), MATCH(Z$277, lmic_raw_ub[#Headers],0))=0, INDEX(regions_ub[], MATCH($D371, regions_ub[[setting]:[setting]],0), MATCH(Z$139, regions_ub[#Headers],0)),INDEX(lmic_raw_ub[],MATCH($A371,lmic_raw_ub[[setting]:[setting]],0), MATCH(Z$277, lmic_raw_ub[#Headers],0)))</f>
        <v>5.0643163114140775</v>
      </c>
      <c r="AA371" s="84">
        <f>IF(INDEX(lmic_raw_ub[],MATCH($A371,lmic_raw_ub[[setting]:[setting]],0), MATCH(AA$277, lmic_raw_ub[#Headers],0))=0, INDEX(regions_ub[], MATCH($D371, regions_ub[[setting]:[setting]],0), MATCH(AA$139, regions_ub[#Headers],0)),INDEX(lmic_raw_ub[],MATCH($A371,lmic_raw_ub[[setting]:[setting]],0), MATCH(AA$277, lmic_raw_ub[#Headers],0)))</f>
        <v>3.2689799736150218</v>
      </c>
      <c r="AB371" s="84">
        <f>IF(INDEX(lmic_raw_ub[],MATCH($A371,lmic_raw_ub[[setting]:[setting]],0), MATCH(AB$277, lmic_raw_ub[#Headers],0))=0, INDEX(regions_ub[], MATCH($D371, regions_ub[[setting]:[setting]],0), MATCH(AB$139, regions_ub[#Headers],0)),INDEX(lmic_raw_ub[],MATCH($A371,lmic_raw_ub[[setting]:[setting]],0), MATCH(AB$277, lmic_raw_ub[#Headers],0)))</f>
        <v>5.841479973615022</v>
      </c>
      <c r="AC371" s="84">
        <f>IF(INDEX(lmic_raw_ub[],MATCH($A371,lmic_raw_ub[[setting]:[setting]],0), MATCH(AC$277, lmic_raw_ub[#Headers],0))=0, INDEX(regions_ub[], MATCH($D371, regions_ub[[setting]:[setting]],0), MATCH(AC$139, regions_ub[#Headers],0)),INDEX(lmic_raw_ub[],MATCH($A371,lmic_raw_ub[[setting]:[setting]],0), MATCH(AC$277, lmic_raw_ub[#Headers],0)))</f>
        <v>6.4400227499999962E-2</v>
      </c>
      <c r="AD371" s="84">
        <f>IF(INDEX(lmic_raw_ub[],MATCH($A371,lmic_raw_ub[[setting]:[setting]],0), MATCH(AD$277, lmic_raw_ub[#Headers],0))=0, INDEX(regions_ub[], MATCH($D371, regions_ub[[setting]:[setting]],0), MATCH(AD$139, regions_ub[#Headers],0)),INDEX(lmic_raw_ub[],MATCH($A371,lmic_raw_ub[[setting]:[setting]],0), MATCH(AD$277, lmic_raw_ub[#Headers],0)))</f>
        <v>3.7936031483814339E-3</v>
      </c>
      <c r="AE371" s="84">
        <f>IF(INDEX(lmic_raw_ub[],MATCH($A371,lmic_raw_ub[[setting]:[setting]],0), MATCH(AE$277, lmic_raw_ub[#Headers],0))=0, INDEX(regions_ub[], MATCH($D371, regions_ub[[setting]:[setting]],0), MATCH(AE$139, regions_ub[#Headers],0)),INDEX(lmic_raw_ub[],MATCH($A371,lmic_raw_ub[[setting]:[setting]],0), MATCH(AE$277, lmic_raw_ub[#Headers],0)))</f>
        <v>1.1150690452710593E-3</v>
      </c>
      <c r="AF371" s="84">
        <f>IF(INDEX(lmic_raw_ub[],MATCH($A371,lmic_raw_ub[[setting]:[setting]],0), MATCH(AF$277, lmic_raw_ub[#Headers],0))=0, INDEX(regions_ub[], MATCH($D371, regions_ub[[setting]:[setting]],0), MATCH(AF$139, regions_ub[#Headers],0)),INDEX(lmic_raw_ub[],MATCH($A371,lmic_raw_ub[[setting]:[setting]],0), MATCH(AF$277, lmic_raw_ub[#Headers],0)))</f>
        <v>7.1842002086396019E-4</v>
      </c>
      <c r="AG371" s="84">
        <f>IF(INDEX(lmic_raw_ub[],MATCH($A371,lmic_raw_ub[[setting]:[setting]],0), MATCH(AG$277, lmic_raw_ub[#Headers],0))=0, INDEX(regions_ub[], MATCH($D371, regions_ub[[setting]:[setting]],0), MATCH(AG$139, regions_ub[#Headers],0)),INDEX(lmic_raw_ub[],MATCH($A371,lmic_raw_ub[[setting]:[setting]],0), MATCH(AG$277, lmic_raw_ub[#Headers],0)))</f>
        <v>9.4642577808832075E-4</v>
      </c>
      <c r="AH371" s="84">
        <f>IF(INDEX(lmic_raw_ub[],MATCH($A371,lmic_raw_ub[[setting]:[setting]],0), MATCH(AH$277, lmic_raw_ub[#Headers],0))=0, INDEX(regions_ub[], MATCH($D371, regions_ub[[setting]:[setting]],0), MATCH(AH$139, regions_ub[#Headers],0)),INDEX(lmic_raw_ub[],MATCH($A371,lmic_raw_ub[[setting]:[setting]],0), MATCH(AH$277, lmic_raw_ub[#Headers],0)))</f>
        <v>1.2680931442002605E-3</v>
      </c>
      <c r="AI371" s="84">
        <f>IF(INDEX(lmic_raw_ub[],MATCH($A371,lmic_raw_ub[[setting]:[setting]],0), MATCH(AI$277, lmic_raw_ub[#Headers],0))=0, INDEX(regions_ub[], MATCH($D371, regions_ub[[setting]:[setting]],0), MATCH(AI$139, regions_ub[#Headers],0)),INDEX(lmic_raw_ub[],MATCH($A371,lmic_raw_ub[[setting]:[setting]],0), MATCH(AI$277, lmic_raw_ub[#Headers],0)))</f>
        <v>1.4150865514171729E-3</v>
      </c>
      <c r="AJ371" s="84">
        <f>IF(INDEX(lmic_raw_ub[],MATCH($A371,lmic_raw_ub[[setting]:[setting]],0), MATCH(AJ$277, lmic_raw_ub[#Headers],0))=0, INDEX(regions_ub[], MATCH($D371, regions_ub[[setting]:[setting]],0), MATCH(AJ$139, regions_ub[#Headers],0)),INDEX(lmic_raw_ub[],MATCH($A371,lmic_raw_ub[[setting]:[setting]],0), MATCH(AJ$277, lmic_raw_ub[#Headers],0)))</f>
        <v>1.7783554963479496E-3</v>
      </c>
      <c r="AK371" s="84">
        <f>IF(INDEX(lmic_raw_ub[],MATCH($A371,lmic_raw_ub[[setting]:[setting]],0), MATCH(AK$277, lmic_raw_ub[#Headers],0))=0, INDEX(regions_ub[], MATCH($D371, regions_ub[[setting]:[setting]],0), MATCH(AK$139, regions_ub[#Headers],0)),INDEX(lmic_raw_ub[],MATCH($A371,lmic_raw_ub[[setting]:[setting]],0), MATCH(AK$277, lmic_raw_ub[#Headers],0)))</f>
        <v>2.37201597563336E-3</v>
      </c>
      <c r="AL371" s="84">
        <f>IF(INDEX(lmic_raw_ub[],MATCH($A371,lmic_raw_ub[[setting]:[setting]],0), MATCH(AL$277, lmic_raw_ub[#Headers],0))=0, INDEX(regions_ub[], MATCH($D371, regions_ub[[setting]:[setting]],0), MATCH(AL$139, regions_ub[#Headers],0)),INDEX(lmic_raw_ub[],MATCH($A371,lmic_raw_ub[[setting]:[setting]],0), MATCH(AL$277, lmic_raw_ub[#Headers],0)))</f>
        <v>3.3433648981504365E-3</v>
      </c>
      <c r="AM371" s="84">
        <f>IF(INDEX(lmic_raw_ub[],MATCH($A371,lmic_raw_ub[[setting]:[setting]],0), MATCH(AM$277, lmic_raw_ub[#Headers],0))=0, INDEX(regions_ub[], MATCH($D371, regions_ub[[setting]:[setting]],0), MATCH(AM$139, regions_ub[#Headers],0)),INDEX(lmic_raw_ub[],MATCH($A371,lmic_raw_ub[[setting]:[setting]],0), MATCH(AM$277, lmic_raw_ub[#Headers],0)))</f>
        <v>4.9296437868407237E-3</v>
      </c>
      <c r="AN371" s="84">
        <f>IF(INDEX(lmic_raw_ub[],MATCH($A371,lmic_raw_ub[[setting]:[setting]],0), MATCH(AN$277, lmic_raw_ub[#Headers],0))=0, INDEX(regions_ub[], MATCH($D371, regions_ub[[setting]:[setting]],0), MATCH(AN$139, regions_ub[#Headers],0)),INDEX(lmic_raw_ub[],MATCH($A371,lmic_raw_ub[[setting]:[setting]],0), MATCH(AN$277, lmic_raw_ub[#Headers],0)))</f>
        <v>7.5127547656911068E-3</v>
      </c>
      <c r="AO371" s="84">
        <f>IF(INDEX(lmic_raw_ub[],MATCH($A371,lmic_raw_ub[[setting]:[setting]],0), MATCH(AO$277, lmic_raw_ub[#Headers],0))=0, INDEX(regions_ub[], MATCH($D371, regions_ub[[setting]:[setting]],0), MATCH(AO$139, regions_ub[#Headers],0)),INDEX(lmic_raw_ub[],MATCH($A371,lmic_raw_ub[[setting]:[setting]],0), MATCH(AO$277, lmic_raw_ub[#Headers],0)))</f>
        <v>1.1637091909780331E-2</v>
      </c>
      <c r="AP371" s="84">
        <f>IF(INDEX(lmic_raw_ub[],MATCH($A371,lmic_raw_ub[[setting]:[setting]],0), MATCH(AP$277, lmic_raw_ub[#Headers],0))=0, INDEX(regions_ub[], MATCH($D371, regions_ub[[setting]:[setting]],0), MATCH(AP$139, regions_ub[#Headers],0)),INDEX(lmic_raw_ub[],MATCH($A371,lmic_raw_ub[[setting]:[setting]],0), MATCH(AP$277, lmic_raw_ub[#Headers],0)))</f>
        <v>1.8628526120419119E-2</v>
      </c>
      <c r="AQ371" s="84">
        <f>IF(INDEX(lmic_raw_ub[],MATCH($A371,lmic_raw_ub[[setting]:[setting]],0), MATCH(AQ$277, lmic_raw_ub[#Headers],0))=0, INDEX(regions_ub[], MATCH($D371, regions_ub[[setting]:[setting]],0), MATCH(AQ$139, regions_ub[#Headers],0)),INDEX(lmic_raw_ub[],MATCH($A371,lmic_raw_ub[[setting]:[setting]],0), MATCH(AQ$277, lmic_raw_ub[#Headers],0)))</f>
        <v>2.9021238649259751E-2</v>
      </c>
      <c r="AR371" s="84">
        <f>IF(INDEX(lmic_raw_ub[],MATCH($A371,lmic_raw_ub[[setting]:[setting]],0), MATCH(AR$277, lmic_raw_ub[#Headers],0))=0, INDEX(regions_ub[], MATCH($D371, regions_ub[[setting]:[setting]],0), MATCH(AR$139, regions_ub[#Headers],0)),INDEX(lmic_raw_ub[],MATCH($A371,lmic_raw_ub[[setting]:[setting]],0), MATCH(AR$277, lmic_raw_ub[#Headers],0)))</f>
        <v>4.4277806492189549E-2</v>
      </c>
      <c r="AS371" s="84">
        <f>IF(INDEX(lmic_raw_ub[],MATCH($A371,lmic_raw_ub[[setting]:[setting]],0), MATCH(AS$277, lmic_raw_ub[#Headers],0))=0, INDEX(regions_ub[], MATCH($D371, regions_ub[[setting]:[setting]],0), MATCH(AS$139, regions_ub[#Headers],0)),INDEX(lmic_raw_ub[],MATCH($A371,lmic_raw_ub[[setting]:[setting]],0), MATCH(AS$277, lmic_raw_ub[#Headers],0)))</f>
        <v>6.70581995120276E-2</v>
      </c>
      <c r="AT371" s="84">
        <f>IF(INDEX(lmic_raw_ub[],MATCH($A371,lmic_raw_ub[[setting]:[setting]],0), MATCH(AT$277, lmic_raw_ub[#Headers],0))=0, INDEX(regions_ub[], MATCH($D371, regions_ub[[setting]:[setting]],0), MATCH(AT$139, regions_ub[#Headers],0)),INDEX(lmic_raw_ub[],MATCH($A371,lmic_raw_ub[[setting]:[setting]],0), MATCH(AT$277, lmic_raw_ub[#Headers],0)))</f>
        <v>9.9138582817684159E-2</v>
      </c>
      <c r="AU371" s="84">
        <f>IF(INDEX(lmic_raw_ub[],MATCH($A371,lmic_raw_ub[[setting]:[setting]],0), MATCH(AU$277, lmic_raw_ub[#Headers],0))=0, INDEX(regions_ub[], MATCH($D371, regions_ub[[setting]:[setting]],0), MATCH(AU$139, regions_ub[#Headers],0)),INDEX(lmic_raw_ub[],MATCH($A371,lmic_raw_ub[[setting]:[setting]],0), MATCH(AU$277, lmic_raw_ub[#Headers],0)))</f>
        <v>0.13863188325012804</v>
      </c>
      <c r="AV371" s="84">
        <f>IF(INDEX(lmic_raw_ub[],MATCH($A371,lmic_raw_ub[[setting]:[setting]],0), MATCH(AV$277, lmic_raw_ub[#Headers],0))=0, INDEX(regions_ub[], MATCH($D371, regions_ub[[setting]:[setting]],0), MATCH(AV$139, regions_ub[#Headers],0)),INDEX(lmic_raw_ub[],MATCH($A371,lmic_raw_ub[[setting]:[setting]],0), MATCH(AV$277, lmic_raw_ub[#Headers],0)))</f>
        <v>0.17178126405684202</v>
      </c>
      <c r="AW371" s="84">
        <f>IF(INDEX(lmic_raw_ub[],MATCH($A371,lmic_raw_ub[[setting]:[setting]],0), MATCH(AW$277, lmic_raw_ub[#Headers],0))=0, INDEX(regions_ub[], MATCH($D371, regions_ub[[setting]:[setting]],0), MATCH(AW$139, regions_ub[#Headers],0)),INDEX(lmic_raw_ub[],MATCH($A371,lmic_raw_ub[[setting]:[setting]],0), MATCH(AW$277, lmic_raw_ub[#Headers],0)))</f>
        <v>0.19023737618341166</v>
      </c>
      <c r="AX371" s="84">
        <f>IF(INDEX(lmic_raw_ub[],MATCH($A371,lmic_raw_ub[[setting]:[setting]],0), MATCH(AX$277, lmic_raw_ub[#Headers],0))=0, INDEX(regions_ub[], MATCH($D371, regions_ub[[setting]:[setting]],0), MATCH(AX$139, regions_ub[#Headers],0)),INDEX(lmic_raw_ub[],MATCH($A371,lmic_raw_ub[[setting]:[setting]],0), MATCH(AX$277, lmic_raw_ub[#Headers],0)))</f>
        <v>70.367850000000004</v>
      </c>
      <c r="AY371" s="33" t="str">
        <f>IF(VLOOKUP(lmics_ub[[#This Row],[setting]],lmic_raw_ub[],11,FALSE)=0, "Yes", "No")</f>
        <v>Yes</v>
      </c>
    </row>
    <row r="372" spans="1:51" x14ac:dyDescent="0.25">
      <c r="A372" s="82" t="s">
        <v>683</v>
      </c>
      <c r="B372" s="101" t="s">
        <v>517</v>
      </c>
      <c r="C372" s="106">
        <v>275</v>
      </c>
      <c r="D372" s="82" t="s">
        <v>673</v>
      </c>
      <c r="E372" s="82" t="s">
        <v>579</v>
      </c>
      <c r="F372" s="82" t="s">
        <v>579</v>
      </c>
      <c r="G372" s="82" t="s">
        <v>678</v>
      </c>
      <c r="J372" s="84">
        <f>IF(INDEX(lmic_raw_ub[],MATCH($A372,lmic_raw_ub[[setting]:[setting]],0), MATCH(J$277, lmic_raw_ub[#Headers],0))=0, INDEX(regions_ub[], MATCH($D372, regions_ub[[setting]:[setting]],0), MATCH(J$139, regions_ub[#Headers],0)),INDEX(lmic_raw_ub[],MATCH($A372,lmic_raw_ub[[setting]:[setting]],0), MATCH(J$277, lmic_raw_ub[#Headers],0)))</f>
        <v>0.99990000000000001</v>
      </c>
      <c r="K372" s="84">
        <f>IF(INDEX(lmic_raw_ub[],MATCH($A372,lmic_raw_ub[[setting]:[setting]],0), MATCH(K$277, lmic_raw_ub[#Headers],0))=0, INDEX(regions_ub[], MATCH($D372, regions_ub[[setting]:[setting]],0), MATCH(K$139, regions_ub[#Headers],0)),INDEX(lmic_raw_ub[],MATCH($A372,lmic_raw_ub[[setting]:[setting]],0), MATCH(K$277, lmic_raw_ub[#Headers],0)))</f>
        <v>0.99990000000000001</v>
      </c>
      <c r="L372" s="84">
        <f>IF(INDEX(lmic_raw_ub[],MATCH($A372,lmic_raw_ub[[setting]:[setting]],0), MATCH(L$277, lmic_raw_ub[#Headers],0))=0, INDEX(regions_ub[], MATCH($D372, regions_ub[[setting]:[setting]],0), MATCH(L$139, regions_ub[#Headers],0)),INDEX(lmic_raw_ub[],MATCH($A372,lmic_raw_ub[[setting]:[setting]],0), MATCH(L$277, lmic_raw_ub[#Headers],0)))</f>
        <v>0.99990000000000001</v>
      </c>
      <c r="M372" s="84">
        <f>IF(INDEX(lmic_raw_ub[],MATCH($A372,lmic_raw_ub[[setting]:[setting]],0), MATCH(M$277, lmic_raw_ub[#Headers],0))=0, INDEX(regions_ub[], MATCH($D372, regions_ub[[setting]:[setting]],0), MATCH(M$139, regions_ub[#Headers],0)),INDEX(lmic_raw_ub[],MATCH($A372,lmic_raw_ub[[setting]:[setting]],0), MATCH(M$277, lmic_raw_ub[#Headers],0)))</f>
        <v>1.5844081499976813E-2</v>
      </c>
      <c r="N372" s="84">
        <f>IF(INDEX(lmic_raw_ub[],MATCH($A372,lmic_raw_ub[[setting]:[setting]],0), MATCH(N$277, lmic_raw_ub[#Headers],0))=0, INDEX(regions_ub[], MATCH($D372, regions_ub[[setting]:[setting]],0), MATCH(N$139, regions_ub[#Headers],0)),INDEX(lmic_raw_ub[],MATCH($A372,lmic_raw_ub[[setting]:[setting]],0), MATCH(N$277, lmic_raw_ub[#Headers],0)))</f>
        <v>0.3762719446911843</v>
      </c>
      <c r="O372" s="84">
        <f>IF(INDEX(lmic_raw_ub[],MATCH($A372,lmic_raw_ub[[setting]:[setting]],0), MATCH(O$277, lmic_raw_ub[#Headers],0))=0, INDEX(regions_ub[], MATCH($D372, regions_ub[[setting]:[setting]],0), MATCH(O$139, regions_ub[#Headers],0)),INDEX(lmic_raw_ub[],MATCH($A372,lmic_raw_ub[[setting]:[setting]],0), MATCH(O$277, lmic_raw_ub[#Headers],0)))</f>
        <v>0.9</v>
      </c>
      <c r="P372" s="84">
        <f>IF(INDEX(lmic_raw_ub[],MATCH($A372,lmic_raw_ub[[setting]:[setting]],0), MATCH(P$277, lmic_raw_ub[#Headers],0))=0, INDEX(regions_ub[], MATCH($D372, regions_ub[[setting]:[setting]],0), MATCH(P$139, regions_ub[#Headers],0)),INDEX(lmic_raw_ub[],MATCH($A372,lmic_raw_ub[[setting]:[setting]],0), MATCH(P$277, lmic_raw_ub[#Headers],0)))</f>
        <v>0.3</v>
      </c>
      <c r="Q372" s="84">
        <f>IF(INDEX(lmic_raw_ub[],MATCH($A372,lmic_raw_ub[[setting]:[setting]],0), MATCH(Q$277, lmic_raw_ub[#Headers],0))=0, INDEX(regions_ub[], MATCH($D372, regions_ub[[setting]:[setting]],0), MATCH(Q$139, regions_ub[#Headers],0)),INDEX(lmic_raw_ub[],MATCH($A372,lmic_raw_ub[[setting]:[setting]],0), MATCH(Q$277, lmic_raw_ub[#Headers],0)))</f>
        <v>6.8874579874984834</v>
      </c>
      <c r="R372" s="84">
        <f>IF(INDEX(lmic_raw_ub[],MATCH($A372,lmic_raw_ub[[setting]:[setting]],0), MATCH(R$277, lmic_raw_ub[#Headers],0))=0, INDEX(regions_ub[], MATCH($D372, regions_ub[[setting]:[setting]],0), MATCH(R$139, regions_ub[#Headers],0)),INDEX(lmic_raw_ub[],MATCH($A372,lmic_raw_ub[[setting]:[setting]],0), MATCH(R$277, lmic_raw_ub[#Headers],0)))</f>
        <v>48.652695000000001</v>
      </c>
      <c r="S372" s="84">
        <f>IF(INDEX(lmic_raw_ub[],MATCH($A372,lmic_raw_ub[[setting]:[setting]],0), MATCH(S$277, lmic_raw_ub[#Headers],0))=0, INDEX(regions_ub[], MATCH($D372, regions_ub[[setting]:[setting]],0), MATCH(S$139, regions_ub[#Headers],0)),INDEX(lmic_raw_ub[],MATCH($A372,lmic_raw_ub[[setting]:[setting]],0), MATCH(S$277, lmic_raw_ub[#Headers],0)))</f>
        <v>98.781795000000017</v>
      </c>
      <c r="T372" s="84">
        <f>IF(INDEX(lmic_raw_ub[],MATCH($A372,lmic_raw_ub[[setting]:[setting]],0), MATCH(T$277, lmic_raw_ub[#Headers],0))=0, INDEX(regions_ub[], MATCH($D372, regions_ub[[setting]:[setting]],0), MATCH(T$139, regions_ub[#Headers],0)),INDEX(lmic_raw_ub[],MATCH($A372,lmic_raw_ub[[setting]:[setting]],0), MATCH(T$277, lmic_raw_ub[#Headers],0)))</f>
        <v>98.781795000000017</v>
      </c>
      <c r="U372" s="84">
        <f>IF(INDEX(lmic_raw_ub[],MATCH($A372,lmic_raw_ub[[setting]:[setting]],0), MATCH(U$277, lmic_raw_ub[#Headers],0))=0, INDEX(regions_ub[], MATCH($D372, regions_ub[[setting]:[setting]],0), MATCH(U$139, regions_ub[#Headers],0)),INDEX(lmic_raw_ub[],MATCH($A372,lmic_raw_ub[[setting]:[setting]],0), MATCH(U$277, lmic_raw_ub[#Headers],0)))</f>
        <v>98.781795000000017</v>
      </c>
      <c r="V372" s="84">
        <f>IF(INDEX(lmic_raw_ub[],MATCH($A372,lmic_raw_ub[[setting]:[setting]],0), MATCH(V$277, lmic_raw_ub[#Headers],0))=0, INDEX(regions_ub[], MATCH($D372, regions_ub[[setting]:[setting]],0), MATCH(V$139, regions_ub[#Headers],0)),INDEX(lmic_raw_ub[],MATCH($A372,lmic_raw_ub[[setting]:[setting]],0), MATCH(V$277, lmic_raw_ub[#Headers],0)))</f>
        <v>0.48333918128654974</v>
      </c>
      <c r="W372" s="84">
        <f>IF(INDEX(lmic_raw_ub[],MATCH($A372,lmic_raw_ub[[setting]:[setting]],0), MATCH(W$277, lmic_raw_ub[#Headers],0))=0, INDEX(regions_ub[], MATCH($D372, regions_ub[[setting]:[setting]],0), MATCH(W$139, regions_ub[#Headers],0)),INDEX(lmic_raw_ub[],MATCH($A372,lmic_raw_ub[[setting]:[setting]],0), MATCH(W$277, lmic_raw_ub[#Headers],0)))</f>
        <v>0.98691918128654976</v>
      </c>
      <c r="X372" s="84">
        <f>IF(INDEX(lmic_raw_ub[],MATCH($A372,lmic_raw_ub[[setting]:[setting]],0), MATCH(X$277, lmic_raw_ub[#Headers],0))=0, INDEX(regions_ub[], MATCH($D372, regions_ub[[setting]:[setting]],0), MATCH(X$139, regions_ub[#Headers],0)),INDEX(lmic_raw_ub[],MATCH($A372,lmic_raw_ub[[setting]:[setting]],0), MATCH(X$277, lmic_raw_ub[#Headers],0)))</f>
        <v>5.5358199571361091</v>
      </c>
      <c r="Y372" s="84">
        <f>IF(INDEX(lmic_raw_ub[],MATCH($A372,lmic_raw_ub[[setting]:[setting]],0), MATCH(Y$277, lmic_raw_ub[#Headers],0))=0, INDEX(regions_ub[], MATCH($D372, regions_ub[[setting]:[setting]],0), MATCH(Y$139, regions_ub[#Headers],0)),INDEX(lmic_raw_ub[],MATCH($A372,lmic_raw_ub[[setting]:[setting]],0), MATCH(Y$277, lmic_raw_ub[#Headers],0)))</f>
        <v>0.50358000000000003</v>
      </c>
      <c r="Z372" s="84">
        <f>IF(INDEX(lmic_raw_ub[],MATCH($A372,lmic_raw_ub[[setting]:[setting]],0), MATCH(Z$277, lmic_raw_ub[#Headers],0))=0, INDEX(regions_ub[], MATCH($D372, regions_ub[[setting]:[setting]],0), MATCH(Z$139, regions_ub[#Headers],0)),INDEX(lmic_raw_ub[],MATCH($A372,lmic_raw_ub[[setting]:[setting]],0), MATCH(Z$277, lmic_raw_ub[#Headers],0)))</f>
        <v>0.50358000000000003</v>
      </c>
      <c r="AA372" s="84">
        <f>IF(INDEX(lmic_raw_ub[],MATCH($A372,lmic_raw_ub[[setting]:[setting]],0), MATCH(AA$277, lmic_raw_ub[#Headers],0))=0, INDEX(regions_ub[], MATCH($D372, regions_ub[[setting]:[setting]],0), MATCH(AA$139, regions_ub[#Headers],0)),INDEX(lmic_raw_ub[],MATCH($A372,lmic_raw_ub[[setting]:[setting]],0), MATCH(AA$277, lmic_raw_ub[#Headers],0)))</f>
        <v>0.7491286549707602</v>
      </c>
      <c r="AB372" s="84">
        <f>IF(INDEX(lmic_raw_ub[],MATCH($A372,lmic_raw_ub[[setting]:[setting]],0), MATCH(AB$277, lmic_raw_ub[#Headers],0))=0, INDEX(regions_ub[], MATCH($D372, regions_ub[[setting]:[setting]],0), MATCH(AB$139, regions_ub[#Headers],0)),INDEX(lmic_raw_ub[],MATCH($A372,lmic_raw_ub[[setting]:[setting]],0), MATCH(AB$277, lmic_raw_ub[#Headers],0)))</f>
        <v>1.2527086549707602</v>
      </c>
      <c r="AC372" s="84">
        <f>IF(INDEX(lmic_raw_ub[],MATCH($A372,lmic_raw_ub[[setting]:[setting]],0), MATCH(AC$277, lmic_raw_ub[#Headers],0))=0, INDEX(regions_ub[], MATCH($D372, regions_ub[[setting]:[setting]],0), MATCH(AC$139, regions_ub[#Headers],0)),INDEX(lmic_raw_ub[],MATCH($A372,lmic_raw_ub[[setting]:[setting]],0), MATCH(AC$277, lmic_raw_ub[#Headers],0)))</f>
        <v>1.8333493500000062E-2</v>
      </c>
      <c r="AD372" s="84">
        <f>IF(INDEX(lmic_raw_ub[],MATCH($A372,lmic_raw_ub[[setting]:[setting]],0), MATCH(AD$277, lmic_raw_ub[#Headers],0))=0, INDEX(regions_ub[], MATCH($D372, regions_ub[[setting]:[setting]],0), MATCH(AD$139, regions_ub[#Headers],0)),INDEX(lmic_raw_ub[],MATCH($A372,lmic_raw_ub[[setting]:[setting]],0), MATCH(AD$277, lmic_raw_ub[#Headers],0)))</f>
        <v>7.7777557713120185E-4</v>
      </c>
      <c r="AE372" s="84">
        <f>IF(INDEX(lmic_raw_ub[],MATCH($A372,lmic_raw_ub[[setting]:[setting]],0), MATCH(AE$277, lmic_raw_ub[#Headers],0))=0, INDEX(regions_ub[], MATCH($D372, regions_ub[[setting]:[setting]],0), MATCH(AE$139, regions_ub[#Headers],0)),INDEX(lmic_raw_ub[],MATCH($A372,lmic_raw_ub[[setting]:[setting]],0), MATCH(AE$277, lmic_raw_ub[#Headers],0)))</f>
        <v>3.6304126408925647E-4</v>
      </c>
      <c r="AF372" s="84">
        <f>IF(INDEX(lmic_raw_ub[],MATCH($A372,lmic_raw_ub[[setting]:[setting]],0), MATCH(AF$277, lmic_raw_ub[#Headers],0))=0, INDEX(regions_ub[], MATCH($D372, regions_ub[[setting]:[setting]],0), MATCH(AF$139, regions_ub[#Headers],0)),INDEX(lmic_raw_ub[],MATCH($A372,lmic_raw_ub[[setting]:[setting]],0), MATCH(AF$277, lmic_raw_ub[#Headers],0)))</f>
        <v>3.043871760934072E-4</v>
      </c>
      <c r="AG372" s="84">
        <f>IF(INDEX(lmic_raw_ub[],MATCH($A372,lmic_raw_ub[[setting]:[setting]],0), MATCH(AG$277, lmic_raw_ub[#Headers],0))=0, INDEX(regions_ub[], MATCH($D372, regions_ub[[setting]:[setting]],0), MATCH(AG$139, regions_ub[#Headers],0)),INDEX(lmic_raw_ub[],MATCH($A372,lmic_raw_ub[[setting]:[setting]],0), MATCH(AG$277, lmic_raw_ub[#Headers],0)))</f>
        <v>5.6220080406564816E-4</v>
      </c>
      <c r="AH372" s="84">
        <f>IF(INDEX(lmic_raw_ub[],MATCH($A372,lmic_raw_ub[[setting]:[setting]],0), MATCH(AH$277, lmic_raw_ub[#Headers],0))=0, INDEX(regions_ub[], MATCH($D372, regions_ub[[setting]:[setting]],0), MATCH(AH$139, regions_ub[#Headers],0)),INDEX(lmic_raw_ub[],MATCH($A372,lmic_raw_ub[[setting]:[setting]],0), MATCH(AH$277, lmic_raw_ub[#Headers],0)))</f>
        <v>7.8587713560795177E-4</v>
      </c>
      <c r="AI372" s="84">
        <f>IF(INDEX(lmic_raw_ub[],MATCH($A372,lmic_raw_ub[[setting]:[setting]],0), MATCH(AI$277, lmic_raw_ub[#Headers],0))=0, INDEX(regions_ub[], MATCH($D372, regions_ub[[setting]:[setting]],0), MATCH(AI$139, regions_ub[#Headers],0)),INDEX(lmic_raw_ub[],MATCH($A372,lmic_raw_ub[[setting]:[setting]],0), MATCH(AI$277, lmic_raw_ub[#Headers],0)))</f>
        <v>8.4716979360521176E-4</v>
      </c>
      <c r="AJ372" s="84">
        <f>IF(INDEX(lmic_raw_ub[],MATCH($A372,lmic_raw_ub[[setting]:[setting]],0), MATCH(AJ$277, lmic_raw_ub[#Headers],0))=0, INDEX(regions_ub[], MATCH($D372, regions_ub[[setting]:[setting]],0), MATCH(AJ$139, regions_ub[#Headers],0)),INDEX(lmic_raw_ub[],MATCH($A372,lmic_raw_ub[[setting]:[setting]],0), MATCH(AJ$277, lmic_raw_ub[#Headers],0)))</f>
        <v>9.9932650293776113E-4</v>
      </c>
      <c r="AK372" s="84">
        <f>IF(INDEX(lmic_raw_ub[],MATCH($A372,lmic_raw_ub[[setting]:[setting]],0), MATCH(AK$277, lmic_raw_ub[#Headers],0))=0, INDEX(regions_ub[], MATCH($D372, regions_ub[[setting]:[setting]],0), MATCH(AK$139, regions_ub[#Headers],0)),INDEX(lmic_raw_ub[],MATCH($A372,lmic_raw_ub[[setting]:[setting]],0), MATCH(AK$277, lmic_raw_ub[#Headers],0)))</f>
        <v>1.3356998771681531E-3</v>
      </c>
      <c r="AL372" s="84">
        <f>IF(INDEX(lmic_raw_ub[],MATCH($A372,lmic_raw_ub[[setting]:[setting]],0), MATCH(AL$277, lmic_raw_ub[#Headers],0))=0, INDEX(regions_ub[], MATCH($D372, regions_ub[[setting]:[setting]],0), MATCH(AL$139, regions_ub[#Headers],0)),INDEX(lmic_raw_ub[],MATCH($A372,lmic_raw_ub[[setting]:[setting]],0), MATCH(AL$277, lmic_raw_ub[#Headers],0)))</f>
        <v>2.0208929928033957E-3</v>
      </c>
      <c r="AM372" s="84">
        <f>IF(INDEX(lmic_raw_ub[],MATCH($A372,lmic_raw_ub[[setting]:[setting]],0), MATCH(AM$277, lmic_raw_ub[#Headers],0))=0, INDEX(regions_ub[], MATCH($D372, regions_ub[[setting]:[setting]],0), MATCH(AM$139, regions_ub[#Headers],0)),INDEX(lmic_raw_ub[],MATCH($A372,lmic_raw_ub[[setting]:[setting]],0), MATCH(AM$277, lmic_raw_ub[#Headers],0)))</f>
        <v>3.373602566345381E-3</v>
      </c>
      <c r="AN372" s="84">
        <f>IF(INDEX(lmic_raw_ub[],MATCH($A372,lmic_raw_ub[[setting]:[setting]],0), MATCH(AN$277, lmic_raw_ub[#Headers],0))=0, INDEX(regions_ub[], MATCH($D372, regions_ub[[setting]:[setting]],0), MATCH(AN$139, regions_ub[#Headers],0)),INDEX(lmic_raw_ub[],MATCH($A372,lmic_raw_ub[[setting]:[setting]],0), MATCH(AN$277, lmic_raw_ub[#Headers],0)))</f>
        <v>5.4799534004566991E-3</v>
      </c>
      <c r="AO372" s="84">
        <f>IF(INDEX(lmic_raw_ub[],MATCH($A372,lmic_raw_ub[[setting]:[setting]],0), MATCH(AO$277, lmic_raw_ub[#Headers],0))=0, INDEX(regions_ub[], MATCH($D372, regions_ub[[setting]:[setting]],0), MATCH(AO$139, regions_ub[#Headers],0)),INDEX(lmic_raw_ub[],MATCH($A372,lmic_raw_ub[[setting]:[setting]],0), MATCH(AO$277, lmic_raw_ub[#Headers],0)))</f>
        <v>9.0294380720136579E-3</v>
      </c>
      <c r="AP372" s="84">
        <f>IF(INDEX(lmic_raw_ub[],MATCH($A372,lmic_raw_ub[[setting]:[setting]],0), MATCH(AP$277, lmic_raw_ub[#Headers],0))=0, INDEX(regions_ub[], MATCH($D372, regions_ub[[setting]:[setting]],0), MATCH(AP$139, regions_ub[#Headers],0)),INDEX(lmic_raw_ub[],MATCH($A372,lmic_raw_ub[[setting]:[setting]],0), MATCH(AP$277, lmic_raw_ub[#Headers],0)))</f>
        <v>1.4424106704932039E-2</v>
      </c>
      <c r="AQ372" s="84">
        <f>IF(INDEX(lmic_raw_ub[],MATCH($A372,lmic_raw_ub[[setting]:[setting]],0), MATCH(AQ$277, lmic_raw_ub[#Headers],0))=0, INDEX(regions_ub[], MATCH($D372, regions_ub[[setting]:[setting]],0), MATCH(AQ$139, regions_ub[#Headers],0)),INDEX(lmic_raw_ub[],MATCH($A372,lmic_raw_ub[[setting]:[setting]],0), MATCH(AQ$277, lmic_raw_ub[#Headers],0)))</f>
        <v>2.385603653397635E-2</v>
      </c>
      <c r="AR372" s="84">
        <f>IF(INDEX(lmic_raw_ub[],MATCH($A372,lmic_raw_ub[[setting]:[setting]],0), MATCH(AR$277, lmic_raw_ub[#Headers],0))=0, INDEX(regions_ub[], MATCH($D372, regions_ub[[setting]:[setting]],0), MATCH(AR$139, regions_ub[#Headers],0)),INDEX(lmic_raw_ub[],MATCH($A372,lmic_raw_ub[[setting]:[setting]],0), MATCH(AR$277, lmic_raw_ub[#Headers],0)))</f>
        <v>3.8996120809076787E-2</v>
      </c>
      <c r="AS372" s="84">
        <f>IF(INDEX(lmic_raw_ub[],MATCH($A372,lmic_raw_ub[[setting]:[setting]],0), MATCH(AS$277, lmic_raw_ub[#Headers],0))=0, INDEX(regions_ub[], MATCH($D372, regions_ub[[setting]:[setting]],0), MATCH(AS$139, regions_ub[#Headers],0)),INDEX(lmic_raw_ub[],MATCH($A372,lmic_raw_ub[[setting]:[setting]],0), MATCH(AS$277, lmic_raw_ub[#Headers],0)))</f>
        <v>6.1425810721154231E-2</v>
      </c>
      <c r="AT372" s="84">
        <f>IF(INDEX(lmic_raw_ub[],MATCH($A372,lmic_raw_ub[[setting]:[setting]],0), MATCH(AT$277, lmic_raw_ub[#Headers],0))=0, INDEX(regions_ub[], MATCH($D372, regions_ub[[setting]:[setting]],0), MATCH(AT$139, regions_ub[#Headers],0)),INDEX(lmic_raw_ub[],MATCH($A372,lmic_raw_ub[[setting]:[setting]],0), MATCH(AT$277, lmic_raw_ub[#Headers],0)))</f>
        <v>9.3868040908042391E-2</v>
      </c>
      <c r="AU372" s="84">
        <f>IF(INDEX(lmic_raw_ub[],MATCH($A372,lmic_raw_ub[[setting]:[setting]],0), MATCH(AU$277, lmic_raw_ub[#Headers],0))=0, INDEX(regions_ub[], MATCH($D372, regions_ub[[setting]:[setting]],0), MATCH(AU$139, regions_ub[#Headers],0)),INDEX(lmic_raw_ub[],MATCH($A372,lmic_raw_ub[[setting]:[setting]],0), MATCH(AU$277, lmic_raw_ub[#Headers],0)))</f>
        <v>0.13085606737825306</v>
      </c>
      <c r="AV372" s="84">
        <f>IF(INDEX(lmic_raw_ub[],MATCH($A372,lmic_raw_ub[[setting]:[setting]],0), MATCH(AV$277, lmic_raw_ub[#Headers],0))=0, INDEX(regions_ub[], MATCH($D372, regions_ub[[setting]:[setting]],0), MATCH(AV$139, regions_ub[#Headers],0)),INDEX(lmic_raw_ub[],MATCH($A372,lmic_raw_ub[[setting]:[setting]],0), MATCH(AV$277, lmic_raw_ub[#Headers],0)))</f>
        <v>0.16267174375891894</v>
      </c>
      <c r="AW372" s="84">
        <f>IF(INDEX(lmic_raw_ub[],MATCH($A372,lmic_raw_ub[[setting]:[setting]],0), MATCH(AW$277, lmic_raw_ub[#Headers],0))=0, INDEX(regions_ub[], MATCH($D372, regions_ub[[setting]:[setting]],0), MATCH(AW$139, regions_ub[#Headers],0)),INDEX(lmic_raw_ub[],MATCH($A372,lmic_raw_ub[[setting]:[setting]],0), MATCH(AW$277, lmic_raw_ub[#Headers],0)))</f>
        <v>0.18483485301367081</v>
      </c>
      <c r="AX372" s="84">
        <f>IF(INDEX(lmic_raw_ub[],MATCH($A372,lmic_raw_ub[[setting]:[setting]],0), MATCH(AX$277, lmic_raw_ub[#Headers],0))=0, INDEX(regions_ub[], MATCH($D372, regions_ub[[setting]:[setting]],0), MATCH(AX$139, regions_ub[#Headers],0)),INDEX(lmic_raw_ub[],MATCH($A372,lmic_raw_ub[[setting]:[setting]],0), MATCH(AX$277, lmic_raw_ub[#Headers],0)))</f>
        <v>77.506800000000013</v>
      </c>
      <c r="AY372" s="33" t="str">
        <f>IF(VLOOKUP(lmics_ub[[#This Row],[setting]],lmic_raw_ub[],11,FALSE)=0, "Yes", "No")</f>
        <v>No</v>
      </c>
    </row>
    <row r="373" spans="1:51" x14ac:dyDescent="0.25">
      <c r="A373" s="110" t="s">
        <v>283</v>
      </c>
      <c r="B373" s="104" t="s">
        <v>491</v>
      </c>
      <c r="C373" s="105">
        <v>598</v>
      </c>
      <c r="D373" s="84" t="s">
        <v>681</v>
      </c>
      <c r="E373" s="84" t="s">
        <v>98</v>
      </c>
      <c r="F373" s="84" t="s">
        <v>666</v>
      </c>
      <c r="G373" s="84" t="s">
        <v>678</v>
      </c>
      <c r="J373" s="84">
        <f>IF(INDEX(lmic_raw_ub[],MATCH($A373,lmic_raw_ub[[setting]:[setting]],0), MATCH(J$277, lmic_raw_ub[#Headers],0))=0, INDEX(regions_ub[], MATCH($D373, regions_ub[[setting]:[setting]],0), MATCH(J$139, regions_ub[#Headers],0)),INDEX(lmic_raw_ub[],MATCH($A373,lmic_raw_ub[[setting]:[setting]],0), MATCH(J$277, lmic_raw_ub[#Headers],0)))</f>
        <v>0.57435000000000003</v>
      </c>
      <c r="K373" s="84">
        <f>IF(INDEX(lmic_raw_ub[],MATCH($A373,lmic_raw_ub[[setting]:[setting]],0), MATCH(K$277, lmic_raw_ub[#Headers],0))=0, INDEX(regions_ub[], MATCH($D373, regions_ub[[setting]:[setting]],0), MATCH(K$139, regions_ub[#Headers],0)),INDEX(lmic_raw_ub[],MATCH($A373,lmic_raw_ub[[setting]:[setting]],0), MATCH(K$277, lmic_raw_ub[#Headers],0)))</f>
        <v>0.26250000000000001</v>
      </c>
      <c r="L373" s="84">
        <f>IF(INDEX(lmic_raw_ub[],MATCH($A373,lmic_raw_ub[[setting]:[setting]],0), MATCH(L$277, lmic_raw_ub[#Headers],0))=0, INDEX(regions_ub[], MATCH($D373, regions_ub[[setting]:[setting]],0), MATCH(L$139, regions_ub[#Headers],0)),INDEX(lmic_raw_ub[],MATCH($A373,lmic_raw_ub[[setting]:[setting]],0), MATCH(L$277, lmic_raw_ub[#Headers],0)))</f>
        <v>0.36749999999999999</v>
      </c>
      <c r="M373" s="84">
        <f>IF(INDEX(lmic_raw_ub[],MATCH($A373,lmic_raw_ub[[setting]:[setting]],0), MATCH(M$277, lmic_raw_ub[#Headers],0))=0, INDEX(regions_ub[], MATCH($D373, regions_ub[[setting]:[setting]],0), MATCH(M$139, regions_ub[#Headers],0)),INDEX(lmic_raw_ub[],MATCH($A373,lmic_raw_ub[[setting]:[setting]],0), MATCH(M$277, lmic_raw_ub[#Headers],0)))</f>
        <v>6.7900000000000002E-2</v>
      </c>
      <c r="N373" s="84">
        <f>IF(INDEX(lmic_raw_ub[],MATCH($A373,lmic_raw_ub[[setting]:[setting]],0), MATCH(N$277, lmic_raw_ub[#Headers],0))=0, INDEX(regions_ub[], MATCH($D373, regions_ub[[setting]:[setting]],0), MATCH(N$139, regions_ub[#Headers],0)),INDEX(lmic_raw_ub[],MATCH($A373,lmic_raw_ub[[setting]:[setting]],0), MATCH(N$277, lmic_raw_ub[#Headers],0)))</f>
        <v>0.47889999999999999</v>
      </c>
      <c r="O373" s="84">
        <f>IF(INDEX(lmic_raw_ub[],MATCH($A373,lmic_raw_ub[[setting]:[setting]],0), MATCH(O$277, lmic_raw_ub[#Headers],0))=0, INDEX(regions_ub[], MATCH($D373, regions_ub[[setting]:[setting]],0), MATCH(O$139, regions_ub[#Headers],0)),INDEX(lmic_raw_ub[],MATCH($A373,lmic_raw_ub[[setting]:[setting]],0), MATCH(O$277, lmic_raw_ub[#Headers],0)))</f>
        <v>0.9</v>
      </c>
      <c r="P373" s="84">
        <f>IF(INDEX(lmic_raw_ub[],MATCH($A373,lmic_raw_ub[[setting]:[setting]],0), MATCH(P$277, lmic_raw_ub[#Headers],0))=0, INDEX(regions_ub[], MATCH($D373, regions_ub[[setting]:[setting]],0), MATCH(P$139, regions_ub[#Headers],0)),INDEX(lmic_raw_ub[],MATCH($A373,lmic_raw_ub[[setting]:[setting]],0), MATCH(P$277, lmic_raw_ub[#Headers],0)))</f>
        <v>0.3</v>
      </c>
      <c r="Q373" s="84">
        <f>IF(INDEX(lmic_raw_ub[],MATCH($A373,lmic_raw_ub[[setting]:[setting]],0), MATCH(Q$277, lmic_raw_ub[#Headers],0))=0, INDEX(regions_ub[], MATCH($D373, regions_ub[[setting]:[setting]],0), MATCH(Q$139, regions_ub[#Headers],0)),INDEX(lmic_raw_ub[],MATCH($A373,lmic_raw_ub[[setting]:[setting]],0), MATCH(Q$277, lmic_raw_ub[#Headers],0)))</f>
        <v>5.3459904874985043</v>
      </c>
      <c r="R373" s="84">
        <f>IF(INDEX(lmic_raw_ub[],MATCH($A373,lmic_raw_ub[[setting]:[setting]],0), MATCH(R$277, lmic_raw_ub[#Headers],0))=0, INDEX(regions_ub[], MATCH($D373, regions_ub[[setting]:[setting]],0), MATCH(R$139, regions_ub[#Headers],0)),INDEX(lmic_raw_ub[],MATCH($A373,lmic_raw_ub[[setting]:[setting]],0), MATCH(R$277, lmic_raw_ub[#Headers],0)))</f>
        <v>76.738725000000002</v>
      </c>
      <c r="S373" s="84">
        <f>IF(INDEX(lmic_raw_ub[],MATCH($A373,lmic_raw_ub[[setting]:[setting]],0), MATCH(S$277, lmic_raw_ub[#Headers],0))=0, INDEX(regions_ub[], MATCH($D373, regions_ub[[setting]:[setting]],0), MATCH(S$139, regions_ub[#Headers],0)),INDEX(lmic_raw_ub[],MATCH($A373,lmic_raw_ub[[setting]:[setting]],0), MATCH(S$277, lmic_raw_ub[#Headers],0)))</f>
        <v>126.867825</v>
      </c>
      <c r="T373" s="84">
        <f>IF(INDEX(lmic_raw_ub[],MATCH($A373,lmic_raw_ub[[setting]:[setting]],0), MATCH(T$277, lmic_raw_ub[#Headers],0))=0, INDEX(regions_ub[], MATCH($D373, regions_ub[[setting]:[setting]],0), MATCH(T$139, regions_ub[#Headers],0)),INDEX(lmic_raw_ub[],MATCH($A373,lmic_raw_ub[[setting]:[setting]],0), MATCH(T$277, lmic_raw_ub[#Headers],0)))</f>
        <v>126.867825</v>
      </c>
      <c r="U373" s="84">
        <f>IF(INDEX(lmic_raw_ub[],MATCH($A373,lmic_raw_ub[[setting]:[setting]],0), MATCH(U$277, lmic_raw_ub[#Headers],0))=0, INDEX(regions_ub[], MATCH($D373, regions_ub[[setting]:[setting]],0), MATCH(U$139, regions_ub[#Headers],0)),INDEX(lmic_raw_ub[],MATCH($A373,lmic_raw_ub[[setting]:[setting]],0), MATCH(U$277, lmic_raw_ub[#Headers],0)))</f>
        <v>126.867825</v>
      </c>
      <c r="V373" s="84">
        <f>IF(INDEX(lmic_raw_ub[],MATCH($A373,lmic_raw_ub[[setting]:[setting]],0), MATCH(V$277, lmic_raw_ub[#Headers],0))=0, INDEX(regions_ub[], MATCH($D373, regions_ub[[setting]:[setting]],0), MATCH(V$139, regions_ub[#Headers],0)),INDEX(lmic_raw_ub[],MATCH($A373,lmic_raw_ub[[setting]:[setting]],0), MATCH(V$277, lmic_raw_ub[#Headers],0)))</f>
        <v>4.4452051027635839</v>
      </c>
      <c r="W373" s="84">
        <f>IF(INDEX(lmic_raw_ub[],MATCH($A373,lmic_raw_ub[[setting]:[setting]],0), MATCH(W$277, lmic_raw_ub[#Headers],0))=0, INDEX(regions_ub[], MATCH($D373, regions_ub[[setting]:[setting]],0), MATCH(W$139, regions_ub[#Headers],0)),INDEX(lmic_raw_ub[],MATCH($A373,lmic_raw_ub[[setting]:[setting]],0), MATCH(W$277, lmic_raw_ub[#Headers],0)))</f>
        <v>5.1090151027635837</v>
      </c>
      <c r="X373" s="84">
        <f>IF(INDEX(lmic_raw_ub[],MATCH($A373,lmic_raw_ub[[setting]:[setting]],0), MATCH(X$277, lmic_raw_ub[#Headers],0))=0, INDEX(regions_ub[], MATCH($D373, regions_ub[[setting]:[setting]],0), MATCH(X$139, regions_ub[#Headers],0)),INDEX(lmic_raw_ub[],MATCH($A373,lmic_raw_ub[[setting]:[setting]],0), MATCH(X$277, lmic_raw_ub[#Headers],0)))</f>
        <v>3.9311222707862448</v>
      </c>
      <c r="Y373" s="84">
        <f>IF(INDEX(lmic_raw_ub[],MATCH($A373,lmic_raw_ub[[setting]:[setting]],0), MATCH(Y$277, lmic_raw_ub[#Headers],0))=0, INDEX(regions_ub[], MATCH($D373, regions_ub[[setting]:[setting]],0), MATCH(Y$139, regions_ub[#Headers],0)),INDEX(lmic_raw_ub[],MATCH($A373,lmic_raw_ub[[setting]:[setting]],0), MATCH(Y$277, lmic_raw_ub[#Headers],0)))</f>
        <v>4.594932270786245</v>
      </c>
      <c r="Z373" s="84">
        <f>IF(INDEX(lmic_raw_ub[],MATCH($A373,lmic_raw_ub[[setting]:[setting]],0), MATCH(Z$277, lmic_raw_ub[#Headers],0))=0, INDEX(regions_ub[], MATCH($D373, regions_ub[[setting]:[setting]],0), MATCH(Z$139, regions_ub[#Headers],0)),INDEX(lmic_raw_ub[],MATCH($A373,lmic_raw_ub[[setting]:[setting]],0), MATCH(Z$277, lmic_raw_ub[#Headers],0)))</f>
        <v>4.5781668171034688</v>
      </c>
      <c r="AA373" s="84">
        <f>IF(INDEX(lmic_raw_ub[],MATCH($A373,lmic_raw_ub[[setting]:[setting]],0), MATCH(AA$277, lmic_raw_ub[#Headers],0))=0, INDEX(regions_ub[], MATCH($D373, regions_ub[[setting]:[setting]],0), MATCH(AA$139, regions_ub[#Headers],0)),INDEX(lmic_raw_ub[],MATCH($A373,lmic_raw_ub[[setting]:[setting]],0), MATCH(AA$277, lmic_raw_ub[#Headers],0)))</f>
        <v>4.7179731965432499</v>
      </c>
      <c r="AB373" s="84">
        <f>IF(INDEX(lmic_raw_ub[],MATCH($A373,lmic_raw_ub[[setting]:[setting]],0), MATCH(AB$277, lmic_raw_ub[#Headers],0))=0, INDEX(regions_ub[], MATCH($D373, regions_ub[[setting]:[setting]],0), MATCH(AB$139, regions_ub[#Headers],0)),INDEX(lmic_raw_ub[],MATCH($A373,lmic_raw_ub[[setting]:[setting]],0), MATCH(AB$277, lmic_raw_ub[#Headers],0)))</f>
        <v>5.3817831965432497</v>
      </c>
      <c r="AC373" s="84">
        <f>IF(INDEX(lmic_raw_ub[],MATCH($A373,lmic_raw_ub[[setting]:[setting]],0), MATCH(AC$277, lmic_raw_ub[#Headers],0))=0, INDEX(regions_ub[], MATCH($D373, regions_ub[[setting]:[setting]],0), MATCH(AC$139, regions_ub[#Headers],0)),INDEX(lmic_raw_ub[],MATCH($A373,lmic_raw_ub[[setting]:[setting]],0), MATCH(AC$277, lmic_raw_ub[#Headers],0)))</f>
        <v>4.405847249999998E-2</v>
      </c>
      <c r="AD373" s="84">
        <f>IF(INDEX(lmic_raw_ub[],MATCH($A373,lmic_raw_ub[[setting]:[setting]],0), MATCH(AD$277, lmic_raw_ub[#Headers],0))=0, INDEX(regions_ub[], MATCH($D373, regions_ub[[setting]:[setting]],0), MATCH(AD$139, regions_ub[#Headers],0)),INDEX(lmic_raw_ub[],MATCH($A373,lmic_raw_ub[[setting]:[setting]],0), MATCH(AD$277, lmic_raw_ub[#Headers],0)))</f>
        <v>3.03119362347827E-3</v>
      </c>
      <c r="AE373" s="84">
        <f>IF(INDEX(lmic_raw_ub[],MATCH($A373,lmic_raw_ub[[setting]:[setting]],0), MATCH(AE$277, lmic_raw_ub[#Headers],0))=0, INDEX(regions_ub[], MATCH($D373, regions_ub[[setting]:[setting]],0), MATCH(AE$139, regions_ub[#Headers],0)),INDEX(lmic_raw_ub[],MATCH($A373,lmic_raw_ub[[setting]:[setting]],0), MATCH(AE$277, lmic_raw_ub[#Headers],0)))</f>
        <v>1.2297920578149789E-3</v>
      </c>
      <c r="AF373" s="84">
        <f>IF(INDEX(lmic_raw_ub[],MATCH($A373,lmic_raw_ub[[setting]:[setting]],0), MATCH(AF$277, lmic_raw_ub[#Headers],0))=0, INDEX(regions_ub[], MATCH($D373, regions_ub[[setting]:[setting]],0), MATCH(AF$139, regions_ub[#Headers],0)),INDEX(lmic_raw_ub[],MATCH($A373,lmic_raw_ub[[setting]:[setting]],0), MATCH(AF$277, lmic_raw_ub[#Headers],0)))</f>
        <v>9.7104510172090213E-4</v>
      </c>
      <c r="AG373" s="84">
        <f>IF(INDEX(lmic_raw_ub[],MATCH($A373,lmic_raw_ub[[setting]:[setting]],0), MATCH(AG$277, lmic_raw_ub[#Headers],0))=0, INDEX(regions_ub[], MATCH($D373, regions_ub[[setting]:[setting]],0), MATCH(AG$139, regions_ub[#Headers],0)),INDEX(lmic_raw_ub[],MATCH($A373,lmic_raw_ub[[setting]:[setting]],0), MATCH(AG$277, lmic_raw_ub[#Headers],0)))</f>
        <v>1.7595462507148725E-3</v>
      </c>
      <c r="AH373" s="84">
        <f>IF(INDEX(lmic_raw_ub[],MATCH($A373,lmic_raw_ub[[setting]:[setting]],0), MATCH(AH$277, lmic_raw_ub[#Headers],0))=0, INDEX(regions_ub[], MATCH($D373, regions_ub[[setting]:[setting]],0), MATCH(AH$139, regions_ub[#Headers],0)),INDEX(lmic_raw_ub[],MATCH($A373,lmic_raw_ub[[setting]:[setting]],0), MATCH(AH$277, lmic_raw_ub[#Headers],0)))</f>
        <v>2.3735883228267951E-3</v>
      </c>
      <c r="AI373" s="84">
        <f>IF(INDEX(lmic_raw_ub[],MATCH($A373,lmic_raw_ub[[setting]:[setting]],0), MATCH(AI$277, lmic_raw_ub[#Headers],0))=0, INDEX(regions_ub[], MATCH($D373, regions_ub[[setting]:[setting]],0), MATCH(AI$139, regions_ub[#Headers],0)),INDEX(lmic_raw_ub[],MATCH($A373,lmic_raw_ub[[setting]:[setting]],0), MATCH(AI$277, lmic_raw_ub[#Headers],0)))</f>
        <v>2.5794803963847886E-3</v>
      </c>
      <c r="AJ373" s="84">
        <f>IF(INDEX(lmic_raw_ub[],MATCH($A373,lmic_raw_ub[[setting]:[setting]],0), MATCH(AJ$277, lmic_raw_ub[#Headers],0))=0, INDEX(regions_ub[], MATCH($D373, regions_ub[[setting]:[setting]],0), MATCH(AJ$139, regions_ub[#Headers],0)),INDEX(lmic_raw_ub[],MATCH($A373,lmic_raw_ub[[setting]:[setting]],0), MATCH(AJ$277, lmic_raw_ub[#Headers],0)))</f>
        <v>2.9988667000573816E-3</v>
      </c>
      <c r="AK373" s="84">
        <f>IF(INDEX(lmic_raw_ub[],MATCH($A373,lmic_raw_ub[[setting]:[setting]],0), MATCH(AK$277, lmic_raw_ub[#Headers],0))=0, INDEX(regions_ub[], MATCH($D373, regions_ub[[setting]:[setting]],0), MATCH(AK$139, regions_ub[#Headers],0)),INDEX(lmic_raw_ub[],MATCH($A373,lmic_raw_ub[[setting]:[setting]],0), MATCH(AK$277, lmic_raw_ub[#Headers],0)))</f>
        <v>3.8246633108025225E-3</v>
      </c>
      <c r="AL373" s="84">
        <f>IF(INDEX(lmic_raw_ub[],MATCH($A373,lmic_raw_ub[[setting]:[setting]],0), MATCH(AL$277, lmic_raw_ub[#Headers],0))=0, INDEX(regions_ub[], MATCH($D373, regions_ub[[setting]:[setting]],0), MATCH(AL$139, regions_ub[#Headers],0)),INDEX(lmic_raw_ub[],MATCH($A373,lmic_raw_ub[[setting]:[setting]],0), MATCH(AL$277, lmic_raw_ub[#Headers],0)))</f>
        <v>5.1034100160954792E-3</v>
      </c>
      <c r="AM373" s="84">
        <f>IF(INDEX(lmic_raw_ub[],MATCH($A373,lmic_raw_ub[[setting]:[setting]],0), MATCH(AM$277, lmic_raw_ub[#Headers],0))=0, INDEX(regions_ub[], MATCH($D373, regions_ub[[setting]:[setting]],0), MATCH(AM$139, regions_ub[#Headers],0)),INDEX(lmic_raw_ub[],MATCH($A373,lmic_raw_ub[[setting]:[setting]],0), MATCH(AM$277, lmic_raw_ub[#Headers],0)))</f>
        <v>7.2077630159116035E-3</v>
      </c>
      <c r="AN373" s="84">
        <f>IF(INDEX(lmic_raw_ub[],MATCH($A373,lmic_raw_ub[[setting]:[setting]],0), MATCH(AN$277, lmic_raw_ub[#Headers],0))=0, INDEX(regions_ub[], MATCH($D373, regions_ub[[setting]:[setting]],0), MATCH(AN$139, regions_ub[#Headers],0)),INDEX(lmic_raw_ub[],MATCH($A373,lmic_raw_ub[[setting]:[setting]],0), MATCH(AN$277, lmic_raw_ub[#Headers],0)))</f>
        <v>1.0489755547877224E-2</v>
      </c>
      <c r="AO373" s="84">
        <f>IF(INDEX(lmic_raw_ub[],MATCH($A373,lmic_raw_ub[[setting]:[setting]],0), MATCH(AO$277, lmic_raw_ub[#Headers],0))=0, INDEX(regions_ub[], MATCH($D373, regions_ub[[setting]:[setting]],0), MATCH(AO$139, regions_ub[#Headers],0)),INDEX(lmic_raw_ub[],MATCH($A373,lmic_raw_ub[[setting]:[setting]],0), MATCH(AO$277, lmic_raw_ub[#Headers],0)))</f>
        <v>1.5400901755609332E-2</v>
      </c>
      <c r="AP373" s="84">
        <f>IF(INDEX(lmic_raw_ub[],MATCH($A373,lmic_raw_ub[[setting]:[setting]],0), MATCH(AP$277, lmic_raw_ub[#Headers],0))=0, INDEX(regions_ub[], MATCH($D373, regions_ub[[setting]:[setting]],0), MATCH(AP$139, regions_ub[#Headers],0)),INDEX(lmic_raw_ub[],MATCH($A373,lmic_raw_ub[[setting]:[setting]],0), MATCH(AP$277, lmic_raw_ub[#Headers],0)))</f>
        <v>2.5488614353958279E-2</v>
      </c>
      <c r="AQ373" s="84">
        <f>IF(INDEX(lmic_raw_ub[],MATCH($A373,lmic_raw_ub[[setting]:[setting]],0), MATCH(AQ$277, lmic_raw_ub[#Headers],0))=0, INDEX(regions_ub[], MATCH($D373, regions_ub[[setting]:[setting]],0), MATCH(AQ$139, regions_ub[#Headers],0)),INDEX(lmic_raw_ub[],MATCH($A373,lmic_raw_ub[[setting]:[setting]],0), MATCH(AQ$277, lmic_raw_ub[#Headers],0)))</f>
        <v>4.1881185408583425E-2</v>
      </c>
      <c r="AR373" s="84">
        <f>IF(INDEX(lmic_raw_ub[],MATCH($A373,lmic_raw_ub[[setting]:[setting]],0), MATCH(AR$277, lmic_raw_ub[#Headers],0))=0, INDEX(regions_ub[], MATCH($D373, regions_ub[[setting]:[setting]],0), MATCH(AR$139, regions_ub[#Headers],0)),INDEX(lmic_raw_ub[],MATCH($A373,lmic_raw_ub[[setting]:[setting]],0), MATCH(AR$277, lmic_raw_ub[#Headers],0)))</f>
        <v>6.5071687443200424E-2</v>
      </c>
      <c r="AS373" s="84">
        <f>IF(INDEX(lmic_raw_ub[],MATCH($A373,lmic_raw_ub[[setting]:[setting]],0), MATCH(AS$277, lmic_raw_ub[#Headers],0))=0, INDEX(regions_ub[], MATCH($D373, regions_ub[[setting]:[setting]],0), MATCH(AS$139, regions_ub[#Headers],0)),INDEX(lmic_raw_ub[],MATCH($A373,lmic_raw_ub[[setting]:[setting]],0), MATCH(AS$277, lmic_raw_ub[#Headers],0)))</f>
        <v>9.4105646333746379E-2</v>
      </c>
      <c r="AT373" s="84">
        <f>IF(INDEX(lmic_raw_ub[],MATCH($A373,lmic_raw_ub[[setting]:[setting]],0), MATCH(AT$277, lmic_raw_ub[#Headers],0))=0, INDEX(regions_ub[], MATCH($D373, regions_ub[[setting]:[setting]],0), MATCH(AT$139, regions_ub[#Headers],0)),INDEX(lmic_raw_ub[],MATCH($A373,lmic_raw_ub[[setting]:[setting]],0), MATCH(AT$277, lmic_raw_ub[#Headers],0)))</f>
        <v>0.12784274308655114</v>
      </c>
      <c r="AU373" s="84">
        <f>IF(INDEX(lmic_raw_ub[],MATCH($A373,lmic_raw_ub[[setting]:[setting]],0), MATCH(AU$277, lmic_raw_ub[#Headers],0))=0, INDEX(regions_ub[], MATCH($D373, regions_ub[[setting]:[setting]],0), MATCH(AU$139, regions_ub[#Headers],0)),INDEX(lmic_raw_ub[],MATCH($A373,lmic_raw_ub[[setting]:[setting]],0), MATCH(AU$277, lmic_raw_ub[#Headers],0)))</f>
        <v>0.1607844487902659</v>
      </c>
      <c r="AV373" s="84">
        <f>IF(INDEX(lmic_raw_ub[],MATCH($A373,lmic_raw_ub[[setting]:[setting]],0), MATCH(AV$277, lmic_raw_ub[#Headers],0))=0, INDEX(regions_ub[], MATCH($D373, regions_ub[[setting]:[setting]],0), MATCH(AV$139, regions_ub[#Headers],0)),INDEX(lmic_raw_ub[],MATCH($A373,lmic_raw_ub[[setting]:[setting]],0), MATCH(AV$277, lmic_raw_ub[#Headers],0)))</f>
        <v>0.18368851298036062</v>
      </c>
      <c r="AW373" s="84">
        <f>IF(INDEX(lmic_raw_ub[],MATCH($A373,lmic_raw_ub[[setting]:[setting]],0), MATCH(AW$277, lmic_raw_ub[#Headers],0))=0, INDEX(regions_ub[], MATCH($D373, regions_ub[[setting]:[setting]],0), MATCH(AW$139, regions_ub[#Headers],0)),INDEX(lmic_raw_ub[],MATCH($A373,lmic_raw_ub[[setting]:[setting]],0), MATCH(AW$277, lmic_raw_ub[#Headers],0)))</f>
        <v>0.19574218075663177</v>
      </c>
      <c r="AX373" s="84">
        <f>IF(INDEX(lmic_raw_ub[],MATCH($A373,lmic_raw_ub[[setting]:[setting]],0), MATCH(AX$277, lmic_raw_ub[#Headers],0))=0, INDEX(regions_ub[], MATCH($D373, regions_ub[[setting]:[setting]],0), MATCH(AX$139, regions_ub[#Headers],0)),INDEX(lmic_raw_ub[],MATCH($A373,lmic_raw_ub[[setting]:[setting]],0), MATCH(AX$277, lmic_raw_ub[#Headers],0)))</f>
        <v>67.358549999999994</v>
      </c>
      <c r="AY373" s="33" t="str">
        <f>IF(VLOOKUP(lmics_ub[[#This Row],[setting]],lmic_raw_ub[],11,FALSE)=0, "Yes", "No")</f>
        <v>No</v>
      </c>
    </row>
    <row r="374" spans="1:51" x14ac:dyDescent="0.25">
      <c r="A374" s="109" t="s">
        <v>271</v>
      </c>
      <c r="B374" s="101" t="s">
        <v>492</v>
      </c>
      <c r="C374" s="102">
        <v>600</v>
      </c>
      <c r="D374" s="82" t="s">
        <v>679</v>
      </c>
      <c r="E374" s="82" t="s">
        <v>595</v>
      </c>
      <c r="F374" s="82" t="s">
        <v>665</v>
      </c>
      <c r="G374" s="82" t="s">
        <v>676</v>
      </c>
      <c r="J374" s="84">
        <f>IF(INDEX(lmic_raw_ub[],MATCH($A374,lmic_raw_ub[[setting]:[setting]],0), MATCH(J$277, lmic_raw_ub[#Headers],0))=0, INDEX(regions_ub[], MATCH($D374, regions_ub[[setting]:[setting]],0), MATCH(J$139, regions_ub[#Headers],0)),INDEX(lmic_raw_ub[],MATCH($A374,lmic_raw_ub[[setting]:[setting]],0), MATCH(J$277, lmic_raw_ub[#Headers],0)))</f>
        <v>0.97860000000000014</v>
      </c>
      <c r="K374" s="84">
        <f>IF(INDEX(lmic_raw_ub[],MATCH($A374,lmic_raw_ub[[setting]:[setting]],0), MATCH(K$277, lmic_raw_ub[#Headers],0))=0, INDEX(regions_ub[], MATCH($D374, regions_ub[[setting]:[setting]],0), MATCH(K$139, regions_ub[#Headers],0)),INDEX(lmic_raw_ub[],MATCH($A374,lmic_raw_ub[[setting]:[setting]],0), MATCH(K$277, lmic_raw_ub[#Headers],0)))</f>
        <v>0.78230516513860726</v>
      </c>
      <c r="L374" s="84">
        <f>IF(INDEX(lmic_raw_ub[],MATCH($A374,lmic_raw_ub[[setting]:[setting]],0), MATCH(L$277, lmic_raw_ub[#Headers],0))=0, INDEX(regions_ub[], MATCH($D374, regions_ub[[setting]:[setting]],0), MATCH(L$139, regions_ub[#Headers],0)),INDEX(lmic_raw_ub[],MATCH($A374,lmic_raw_ub[[setting]:[setting]],0), MATCH(L$277, lmic_raw_ub[#Headers],0)))</f>
        <v>0.90300000000000002</v>
      </c>
      <c r="M374" s="84">
        <f>IF(INDEX(lmic_raw_ub[],MATCH($A374,lmic_raw_ub[[setting]:[setting]],0), MATCH(M$277, lmic_raw_ub[#Headers],0))=0, INDEX(regions_ub[], MATCH($D374, regions_ub[[setting]:[setting]],0), MATCH(M$139, regions_ub[#Headers],0)),INDEX(lmic_raw_ub[],MATCH($A374,lmic_raw_ub[[setting]:[setting]],0), MATCH(M$277, lmic_raw_ub[#Headers],0)))</f>
        <v>0.20610000000000001</v>
      </c>
      <c r="N374" s="84">
        <f>IF(INDEX(lmic_raw_ub[],MATCH($A374,lmic_raw_ub[[setting]:[setting]],0), MATCH(N$277, lmic_raw_ub[#Headers],0))=0, INDEX(regions_ub[], MATCH($D374, regions_ub[[setting]:[setting]],0), MATCH(N$139, regions_ub[#Headers],0)),INDEX(lmic_raw_ub[],MATCH($A374,lmic_raw_ub[[setting]:[setting]],0), MATCH(N$277, lmic_raw_ub[#Headers],0)))</f>
        <v>0.433</v>
      </c>
      <c r="O374" s="84">
        <f>IF(INDEX(lmic_raw_ub[],MATCH($A374,lmic_raw_ub[[setting]:[setting]],0), MATCH(O$277, lmic_raw_ub[#Headers],0))=0, INDEX(regions_ub[], MATCH($D374, regions_ub[[setting]:[setting]],0), MATCH(O$139, regions_ub[#Headers],0)),INDEX(lmic_raw_ub[],MATCH($A374,lmic_raw_ub[[setting]:[setting]],0), MATCH(O$277, lmic_raw_ub[#Headers],0)))</f>
        <v>0.9</v>
      </c>
      <c r="P374" s="84">
        <f>IF(INDEX(lmic_raw_ub[],MATCH($A374,lmic_raw_ub[[setting]:[setting]],0), MATCH(P$277, lmic_raw_ub[#Headers],0))=0, INDEX(regions_ub[], MATCH($D374, regions_ub[[setting]:[setting]],0), MATCH(P$139, regions_ub[#Headers],0)),INDEX(lmic_raw_ub[],MATCH($A374,lmic_raw_ub[[setting]:[setting]],0), MATCH(P$277, lmic_raw_ub[#Headers],0)))</f>
        <v>0.3</v>
      </c>
      <c r="Q374" s="84">
        <f>IF(INDEX(lmic_raw_ub[],MATCH($A374,lmic_raw_ub[[setting]:[setting]],0), MATCH(Q$277, lmic_raw_ub[#Headers],0))=0, INDEX(regions_ub[], MATCH($D374, regions_ub[[setting]:[setting]],0), MATCH(Q$139, regions_ub[#Headers],0)),INDEX(lmic_raw_ub[],MATCH($A374,lmic_raw_ub[[setting]:[setting]],0), MATCH(Q$277, lmic_raw_ub[#Headers],0)))</f>
        <v>6.8664158127024084</v>
      </c>
      <c r="R374" s="84">
        <f>IF(INDEX(lmic_raw_ub[],MATCH($A374,lmic_raw_ub[[setting]:[setting]],0), MATCH(R$277, lmic_raw_ub[#Headers],0))=0, INDEX(regions_ub[], MATCH($D374, regions_ub[[setting]:[setting]],0), MATCH(R$139, regions_ub[#Headers],0)),INDEX(lmic_raw_ub[],MATCH($A374,lmic_raw_ub[[setting]:[setting]],0), MATCH(R$277, lmic_raw_ub[#Headers],0)))</f>
        <v>91.228094999999996</v>
      </c>
      <c r="S374" s="84">
        <f>IF(INDEX(lmic_raw_ub[],MATCH($A374,lmic_raw_ub[[setting]:[setting]],0), MATCH(S$277, lmic_raw_ub[#Headers],0))=0, INDEX(regions_ub[], MATCH($D374, regions_ub[[setting]:[setting]],0), MATCH(S$139, regions_ub[#Headers],0)),INDEX(lmic_raw_ub[],MATCH($A374,lmic_raw_ub[[setting]:[setting]],0), MATCH(S$277, lmic_raw_ub[#Headers],0)))</f>
        <v>141.35719500000002</v>
      </c>
      <c r="T374" s="84">
        <f>IF(INDEX(lmic_raw_ub[],MATCH($A374,lmic_raw_ub[[setting]:[setting]],0), MATCH(T$277, lmic_raw_ub[#Headers],0))=0, INDEX(regions_ub[], MATCH($D374, regions_ub[[setting]:[setting]],0), MATCH(T$139, regions_ub[#Headers],0)),INDEX(lmic_raw_ub[],MATCH($A374,lmic_raw_ub[[setting]:[setting]],0), MATCH(T$277, lmic_raw_ub[#Headers],0)))</f>
        <v>141.35719500000002</v>
      </c>
      <c r="U374" s="84">
        <f>IF(INDEX(lmic_raw_ub[],MATCH($A374,lmic_raw_ub[[setting]:[setting]],0), MATCH(U$277, lmic_raw_ub[#Headers],0))=0, INDEX(regions_ub[], MATCH($D374, regions_ub[[setting]:[setting]],0), MATCH(U$139, regions_ub[#Headers],0)),INDEX(lmic_raw_ub[],MATCH($A374,lmic_raw_ub[[setting]:[setting]],0), MATCH(U$277, lmic_raw_ub[#Headers],0)))</f>
        <v>141.35719500000002</v>
      </c>
      <c r="V374" s="84">
        <f>IF(INDEX(lmic_raw_ub[],MATCH($A374,lmic_raw_ub[[setting]:[setting]],0), MATCH(V$277, lmic_raw_ub[#Headers],0))=0, INDEX(regions_ub[], MATCH($D374, regions_ub[[setting]:[setting]],0), MATCH(V$139, regions_ub[#Headers],0)),INDEX(lmic_raw_ub[],MATCH($A374,lmic_raw_ub[[setting]:[setting]],0), MATCH(V$277, lmic_raw_ub[#Headers],0)))</f>
        <v>9.2603848964362552</v>
      </c>
      <c r="W374" s="84">
        <f>IF(INDEX(lmic_raw_ub[],MATCH($A374,lmic_raw_ub[[setting]:[setting]],0), MATCH(W$277, lmic_raw_ub[#Headers],0))=0, INDEX(regions_ub[], MATCH($D374, regions_ub[[setting]:[setting]],0), MATCH(W$139, regions_ub[#Headers],0)),INDEX(lmic_raw_ub[],MATCH($A374,lmic_raw_ub[[setting]:[setting]],0), MATCH(W$277, lmic_raw_ub[#Headers],0)))</f>
        <v>9.2832748964362555</v>
      </c>
      <c r="X374" s="84">
        <f>IF(INDEX(lmic_raw_ub[],MATCH($A374,lmic_raw_ub[[setting]:[setting]],0), MATCH(X$277, lmic_raw_ub[#Headers],0))=0, INDEX(regions_ub[], MATCH($D374, regions_ub[[setting]:[setting]],0), MATCH(X$139, regions_ub[#Headers],0)),INDEX(lmic_raw_ub[],MATCH($A374,lmic_raw_ub[[setting]:[setting]],0), MATCH(X$277, lmic_raw_ub[#Headers],0)))</f>
        <v>8.7440210551789015</v>
      </c>
      <c r="Y374" s="84">
        <f>IF(INDEX(lmic_raw_ub[],MATCH($A374,lmic_raw_ub[[setting]:[setting]],0), MATCH(Y$277, lmic_raw_ub[#Headers],0))=0, INDEX(regions_ub[], MATCH($D374, regions_ub[[setting]:[setting]],0), MATCH(Y$139, regions_ub[#Headers],0)),INDEX(lmic_raw_ub[],MATCH($A374,lmic_raw_ub[[setting]:[setting]],0), MATCH(Y$277, lmic_raw_ub[#Headers],0)))</f>
        <v>8.7669110551789018</v>
      </c>
      <c r="Z374" s="84">
        <f>IF(INDEX(lmic_raw_ub[],MATCH($A374,lmic_raw_ub[[setting]:[setting]],0), MATCH(Z$277, lmic_raw_ub[#Headers],0))=0, INDEX(regions_ub[], MATCH($D374, regions_ub[[setting]:[setting]],0), MATCH(Z$139, regions_ub[#Headers],0)),INDEX(lmic_raw_ub[],MATCH($A374,lmic_raw_ub[[setting]:[setting]],0), MATCH(Z$277, lmic_raw_ub[#Headers],0)))</f>
        <v>8.748116045923803</v>
      </c>
      <c r="AA374" s="84">
        <f>IF(INDEX(lmic_raw_ub[],MATCH($A374,lmic_raw_ub[[setting]:[setting]],0), MATCH(AA$277, lmic_raw_ub[#Headers],0))=0, INDEX(regions_ub[], MATCH($D374, regions_ub[[setting]:[setting]],0), MATCH(AA$139, regions_ub[#Headers],0)),INDEX(lmic_raw_ub[],MATCH($A374,lmic_raw_ub[[setting]:[setting]],0), MATCH(AA$277, lmic_raw_ub[#Headers],0)))</f>
        <v>9.5336707653285639</v>
      </c>
      <c r="AB374" s="84">
        <f>IF(INDEX(lmic_raw_ub[],MATCH($A374,lmic_raw_ub[[setting]:[setting]],0), MATCH(AB$277, lmic_raw_ub[#Headers],0))=0, INDEX(regions_ub[], MATCH($D374, regions_ub[[setting]:[setting]],0), MATCH(AB$139, regions_ub[#Headers],0)),INDEX(lmic_raw_ub[],MATCH($A374,lmic_raw_ub[[setting]:[setting]],0), MATCH(AB$277, lmic_raw_ub[#Headers],0)))</f>
        <v>9.5565607653285642</v>
      </c>
      <c r="AC374" s="84">
        <f>IF(INDEX(lmic_raw_ub[],MATCH($A374,lmic_raw_ub[[setting]:[setting]],0), MATCH(AC$277, lmic_raw_ub[#Headers],0))=0, INDEX(regions_ub[], MATCH($D374, regions_ub[[setting]:[setting]],0), MATCH(AC$139, regions_ub[#Headers],0)),INDEX(lmic_raw_ub[],MATCH($A374,lmic_raw_ub[[setting]:[setting]],0), MATCH(AC$277, lmic_raw_ub[#Headers],0)))</f>
        <v>1.9976155499999947E-2</v>
      </c>
      <c r="AD374" s="84">
        <f>IF(INDEX(lmic_raw_ub[],MATCH($A374,lmic_raw_ub[[setting]:[setting]],0), MATCH(AD$277, lmic_raw_ub[#Headers],0))=0, INDEX(regions_ub[], MATCH($D374, regions_ub[[setting]:[setting]],0), MATCH(AD$139, regions_ub[#Headers],0)),INDEX(lmic_raw_ub[],MATCH($A374,lmic_raw_ub[[setting]:[setting]],0), MATCH(AD$277, lmic_raw_ub[#Headers],0)))</f>
        <v>6.592395990401873E-4</v>
      </c>
      <c r="AE374" s="84">
        <f>IF(INDEX(lmic_raw_ub[],MATCH($A374,lmic_raw_ub[[setting]:[setting]],0), MATCH(AE$277, lmic_raw_ub[#Headers],0))=0, INDEX(regions_ub[], MATCH($D374, regions_ub[[setting]:[setting]],0), MATCH(AE$139, regions_ub[#Headers],0)),INDEX(lmic_raw_ub[],MATCH($A374,lmic_raw_ub[[setting]:[setting]],0), MATCH(AE$277, lmic_raw_ub[#Headers],0)))</f>
        <v>5.7916826893027835E-4</v>
      </c>
      <c r="AF374" s="84">
        <f>IF(INDEX(lmic_raw_ub[],MATCH($A374,lmic_raw_ub[[setting]:[setting]],0), MATCH(AF$277, lmic_raw_ub[#Headers],0))=0, INDEX(regions_ub[], MATCH($D374, regions_ub[[setting]:[setting]],0), MATCH(AF$139, regions_ub[#Headers],0)),INDEX(lmic_raw_ub[],MATCH($A374,lmic_raw_ub[[setting]:[setting]],0), MATCH(AF$277, lmic_raw_ub[#Headers],0)))</f>
        <v>4.7146081707474412E-4</v>
      </c>
      <c r="AG374" s="84">
        <f>IF(INDEX(lmic_raw_ub[],MATCH($A374,lmic_raw_ub[[setting]:[setting]],0), MATCH(AG$277, lmic_raw_ub[#Headers],0))=0, INDEX(regions_ub[], MATCH($D374, regions_ub[[setting]:[setting]],0), MATCH(AG$139, regions_ub[#Headers],0)),INDEX(lmic_raw_ub[],MATCH($A374,lmic_raw_ub[[setting]:[setting]],0), MATCH(AG$277, lmic_raw_ub[#Headers],0)))</f>
        <v>1.1044011379980467E-3</v>
      </c>
      <c r="AH374" s="84">
        <f>IF(INDEX(lmic_raw_ub[],MATCH($A374,lmic_raw_ub[[setting]:[setting]],0), MATCH(AH$277, lmic_raw_ub[#Headers],0))=0, INDEX(regions_ub[], MATCH($D374, regions_ub[[setting]:[setting]],0), MATCH(AH$139, regions_ub[#Headers],0)),INDEX(lmic_raw_ub[],MATCH($A374,lmic_raw_ub[[setting]:[setting]],0), MATCH(AH$277, lmic_raw_ub[#Headers],0)))</f>
        <v>1.6797931964436898E-3</v>
      </c>
      <c r="AI374" s="84">
        <f>IF(INDEX(lmic_raw_ub[],MATCH($A374,lmic_raw_ub[[setting]:[setting]],0), MATCH(AI$277, lmic_raw_ub[#Headers],0))=0, INDEX(regions_ub[], MATCH($D374, regions_ub[[setting]:[setting]],0), MATCH(AI$139, regions_ub[#Headers],0)),INDEX(lmic_raw_ub[],MATCH($A374,lmic_raw_ub[[setting]:[setting]],0), MATCH(AI$277, lmic_raw_ub[#Headers],0)))</f>
        <v>2.0468796893475488E-3</v>
      </c>
      <c r="AJ374" s="84">
        <f>IF(INDEX(lmic_raw_ub[],MATCH($A374,lmic_raw_ub[[setting]:[setting]],0), MATCH(AJ$277, lmic_raw_ub[#Headers],0))=0, INDEX(regions_ub[], MATCH($D374, regions_ub[[setting]:[setting]],0), MATCH(AJ$139, regions_ub[#Headers],0)),INDEX(lmic_raw_ub[],MATCH($A374,lmic_raw_ub[[setting]:[setting]],0), MATCH(AJ$277, lmic_raw_ub[#Headers],0)))</f>
        <v>2.0848289430453683E-3</v>
      </c>
      <c r="AK374" s="84">
        <f>IF(INDEX(lmic_raw_ub[],MATCH($A374,lmic_raw_ub[[setting]:[setting]],0), MATCH(AK$277, lmic_raw_ub[#Headers],0))=0, INDEX(regions_ub[], MATCH($D374, regions_ub[[setting]:[setting]],0), MATCH(AK$139, regions_ub[#Headers],0)),INDEX(lmic_raw_ub[],MATCH($A374,lmic_raw_ub[[setting]:[setting]],0), MATCH(AK$277, lmic_raw_ub[#Headers],0)))</f>
        <v>2.4687142816846338E-3</v>
      </c>
      <c r="AL374" s="84">
        <f>IF(INDEX(lmic_raw_ub[],MATCH($A374,lmic_raw_ub[[setting]:[setting]],0), MATCH(AL$277, lmic_raw_ub[#Headers],0))=0, INDEX(regions_ub[], MATCH($D374, regions_ub[[setting]:[setting]],0), MATCH(AL$139, regions_ub[#Headers],0)),INDEX(lmic_raw_ub[],MATCH($A374,lmic_raw_ub[[setting]:[setting]],0), MATCH(AL$277, lmic_raw_ub[#Headers],0)))</f>
        <v>3.0219827186275883E-3</v>
      </c>
      <c r="AM374" s="84">
        <f>IF(INDEX(lmic_raw_ub[],MATCH($A374,lmic_raw_ub[[setting]:[setting]],0), MATCH(AM$277, lmic_raw_ub[#Headers],0))=0, INDEX(regions_ub[], MATCH($D374, regions_ub[[setting]:[setting]],0), MATCH(AM$139, regions_ub[#Headers],0)),INDEX(lmic_raw_ub[],MATCH($A374,lmic_raw_ub[[setting]:[setting]],0), MATCH(AM$277, lmic_raw_ub[#Headers],0)))</f>
        <v>4.411863782036984E-3</v>
      </c>
      <c r="AN374" s="84">
        <f>IF(INDEX(lmic_raw_ub[],MATCH($A374,lmic_raw_ub[[setting]:[setting]],0), MATCH(AN$277, lmic_raw_ub[#Headers],0))=0, INDEX(regions_ub[], MATCH($D374, regions_ub[[setting]:[setting]],0), MATCH(AN$139, regions_ub[#Headers],0)),INDEX(lmic_raw_ub[],MATCH($A374,lmic_raw_ub[[setting]:[setting]],0), MATCH(AN$277, lmic_raw_ub[#Headers],0)))</f>
        <v>6.4042733334096456E-3</v>
      </c>
      <c r="AO374" s="84">
        <f>IF(INDEX(lmic_raw_ub[],MATCH($A374,lmic_raw_ub[[setting]:[setting]],0), MATCH(AO$277, lmic_raw_ub[#Headers],0))=0, INDEX(regions_ub[], MATCH($D374, regions_ub[[setting]:[setting]],0), MATCH(AO$139, regions_ub[#Headers],0)),INDEX(lmic_raw_ub[],MATCH($A374,lmic_raw_ub[[setting]:[setting]],0), MATCH(AO$277, lmic_raw_ub[#Headers],0)))</f>
        <v>8.9608625956854454E-3</v>
      </c>
      <c r="AP374" s="84">
        <f>IF(INDEX(lmic_raw_ub[],MATCH($A374,lmic_raw_ub[[setting]:[setting]],0), MATCH(AP$277, lmic_raw_ub[#Headers],0))=0, INDEX(regions_ub[], MATCH($D374, regions_ub[[setting]:[setting]],0), MATCH(AP$139, regions_ub[#Headers],0)),INDEX(lmic_raw_ub[],MATCH($A374,lmic_raw_ub[[setting]:[setting]],0), MATCH(AP$277, lmic_raw_ub[#Headers],0)))</f>
        <v>1.3880028017965946E-2</v>
      </c>
      <c r="AQ374" s="84">
        <f>IF(INDEX(lmic_raw_ub[],MATCH($A374,lmic_raw_ub[[setting]:[setting]],0), MATCH(AQ$277, lmic_raw_ub[#Headers],0))=0, INDEX(regions_ub[], MATCH($D374, regions_ub[[setting]:[setting]],0), MATCH(AQ$139, regions_ub[#Headers],0)),INDEX(lmic_raw_ub[],MATCH($A374,lmic_raw_ub[[setting]:[setting]],0), MATCH(AQ$277, lmic_raw_ub[#Headers],0)))</f>
        <v>2.0231394411421202E-2</v>
      </c>
      <c r="AR374" s="84">
        <f>IF(INDEX(lmic_raw_ub[],MATCH($A374,lmic_raw_ub[[setting]:[setting]],0), MATCH(AR$277, lmic_raw_ub[#Headers],0))=0, INDEX(regions_ub[], MATCH($D374, regions_ub[[setting]:[setting]],0), MATCH(AR$139, regions_ub[#Headers],0)),INDEX(lmic_raw_ub[],MATCH($A374,lmic_raw_ub[[setting]:[setting]],0), MATCH(AR$277, lmic_raw_ub[#Headers],0)))</f>
        <v>2.9089567185078994E-2</v>
      </c>
      <c r="AS374" s="84">
        <f>IF(INDEX(lmic_raw_ub[],MATCH($A374,lmic_raw_ub[[setting]:[setting]],0), MATCH(AS$277, lmic_raw_ub[#Headers],0))=0, INDEX(regions_ub[], MATCH($D374, regions_ub[[setting]:[setting]],0), MATCH(AS$139, regions_ub[#Headers],0)),INDEX(lmic_raw_ub[],MATCH($A374,lmic_raw_ub[[setting]:[setting]],0), MATCH(AS$277, lmic_raw_ub[#Headers],0)))</f>
        <v>4.0901654687201923E-2</v>
      </c>
      <c r="AT374" s="84">
        <f>IF(INDEX(lmic_raw_ub[],MATCH($A374,lmic_raw_ub[[setting]:[setting]],0), MATCH(AT$277, lmic_raw_ub[#Headers],0))=0, INDEX(regions_ub[], MATCH($D374, regions_ub[[setting]:[setting]],0), MATCH(AT$139, regions_ub[#Headers],0)),INDEX(lmic_raw_ub[],MATCH($A374,lmic_raw_ub[[setting]:[setting]],0), MATCH(AT$277, lmic_raw_ub[#Headers],0)))</f>
        <v>7.3392207369207194E-2</v>
      </c>
      <c r="AU374" s="84">
        <f>IF(INDEX(lmic_raw_ub[],MATCH($A374,lmic_raw_ub[[setting]:[setting]],0), MATCH(AU$277, lmic_raw_ub[#Headers],0))=0, INDEX(regions_ub[], MATCH($D374, regions_ub[[setting]:[setting]],0), MATCH(AU$139, regions_ub[#Headers],0)),INDEX(lmic_raw_ub[],MATCH($A374,lmic_raw_ub[[setting]:[setting]],0), MATCH(AU$277, lmic_raw_ub[#Headers],0)))</f>
        <v>0.10490435544868519</v>
      </c>
      <c r="AV374" s="84">
        <f>IF(INDEX(lmic_raw_ub[],MATCH($A374,lmic_raw_ub[[setting]:[setting]],0), MATCH(AV$277, lmic_raw_ub[#Headers],0))=0, INDEX(regions_ub[], MATCH($D374, regions_ub[[setting]:[setting]],0), MATCH(AV$139, regions_ub[#Headers],0)),INDEX(lmic_raw_ub[],MATCH($A374,lmic_raw_ub[[setting]:[setting]],0), MATCH(AV$277, lmic_raw_ub[#Headers],0)))</f>
        <v>0.13548066616516596</v>
      </c>
      <c r="AW374" s="84">
        <f>IF(INDEX(lmic_raw_ub[],MATCH($A374,lmic_raw_ub[[setting]:[setting]],0), MATCH(AW$277, lmic_raw_ub[#Headers],0))=0, INDEX(regions_ub[], MATCH($D374, regions_ub[[setting]:[setting]],0), MATCH(AW$139, regions_ub[#Headers],0)),INDEX(lmic_raw_ub[],MATCH($A374,lmic_raw_ub[[setting]:[setting]],0), MATCH(AW$277, lmic_raw_ub[#Headers],0)))</f>
        <v>0.16075847424453499</v>
      </c>
      <c r="AX374" s="84">
        <f>IF(INDEX(lmic_raw_ub[],MATCH($A374,lmic_raw_ub[[setting]:[setting]],0), MATCH(AX$277, lmic_raw_ub[#Headers],0))=0, INDEX(regions_ub[], MATCH($D374, regions_ub[[setting]:[setting]],0), MATCH(AX$139, regions_ub[#Headers],0)),INDEX(lmic_raw_ub[],MATCH($A374,lmic_raw_ub[[setting]:[setting]],0), MATCH(AX$277, lmic_raw_ub[#Headers],0)))</f>
        <v>77.78609999999999</v>
      </c>
      <c r="AY374" s="33" t="str">
        <f>IF(VLOOKUP(lmics_ub[[#This Row],[setting]],lmic_raw_ub[],11,FALSE)=0, "Yes", "No")</f>
        <v>Yes</v>
      </c>
    </row>
    <row r="375" spans="1:51" x14ac:dyDescent="0.25">
      <c r="A375" s="110" t="s">
        <v>272</v>
      </c>
      <c r="B375" s="104" t="s">
        <v>493</v>
      </c>
      <c r="C375" s="105">
        <v>604</v>
      </c>
      <c r="D375" s="84" t="s">
        <v>679</v>
      </c>
      <c r="E375" s="84" t="s">
        <v>593</v>
      </c>
      <c r="F375" s="84" t="s">
        <v>665</v>
      </c>
      <c r="G375" s="84" t="s">
        <v>676</v>
      </c>
      <c r="J375" s="84">
        <f>IF(INDEX(lmic_raw_ub[],MATCH($A375,lmic_raw_ub[[setting]:[setting]],0), MATCH(J$277, lmic_raw_ub[#Headers],0))=0, INDEX(regions_ub[], MATCH($D375, regions_ub[[setting]:[setting]],0), MATCH(J$139, regions_ub[#Headers],0)),INDEX(lmic_raw_ub[],MATCH($A375,lmic_raw_ub[[setting]:[setting]],0), MATCH(J$277, lmic_raw_ub[#Headers],0)))</f>
        <v>0.95550000000000013</v>
      </c>
      <c r="K375" s="84">
        <f>IF(INDEX(lmic_raw_ub[],MATCH($A375,lmic_raw_ub[[setting]:[setting]],0), MATCH(K$277, lmic_raw_ub[#Headers],0))=0, INDEX(regions_ub[], MATCH($D375, regions_ub[[setting]:[setting]],0), MATCH(K$139, regions_ub[#Headers],0)),INDEX(lmic_raw_ub[],MATCH($A375,lmic_raw_ub[[setting]:[setting]],0), MATCH(K$277, lmic_raw_ub[#Headers],0)))</f>
        <v>0.86099999999999999</v>
      </c>
      <c r="L375" s="84">
        <f>IF(INDEX(lmic_raw_ub[],MATCH($A375,lmic_raw_ub[[setting]:[setting]],0), MATCH(L$277, lmic_raw_ub[#Headers],0))=0, INDEX(regions_ub[], MATCH($D375, regions_ub[[setting]:[setting]],0), MATCH(L$139, regions_ub[#Headers],0)),INDEX(lmic_raw_ub[],MATCH($A375,lmic_raw_ub[[setting]:[setting]],0), MATCH(L$277, lmic_raw_ub[#Headers],0)))</f>
        <v>0.92400000000000004</v>
      </c>
      <c r="M375" s="84">
        <f>IF(INDEX(lmic_raw_ub[],MATCH($A375,lmic_raw_ub[[setting]:[setting]],0), MATCH(M$277, lmic_raw_ub[#Headers],0))=0, INDEX(regions_ub[], MATCH($D375, regions_ub[[setting]:[setting]],0), MATCH(M$139, regions_ub[#Headers],0)),INDEX(lmic_raw_ub[],MATCH($A375,lmic_raw_ub[[setting]:[setting]],0), MATCH(M$277, lmic_raw_ub[#Headers],0)))</f>
        <v>1.9E-2</v>
      </c>
      <c r="N375" s="84">
        <f>IF(INDEX(lmic_raw_ub[],MATCH($A375,lmic_raw_ub[[setting]:[setting]],0), MATCH(N$277, lmic_raw_ub[#Headers],0))=0, INDEX(regions_ub[], MATCH($D375, regions_ub[[setting]:[setting]],0), MATCH(N$139, regions_ub[#Headers],0)),INDEX(lmic_raw_ub[],MATCH($A375,lmic_raw_ub[[setting]:[setting]],0), MATCH(N$277, lmic_raw_ub[#Headers],0)))</f>
        <v>0.43020000000000003</v>
      </c>
      <c r="O375" s="84">
        <f>IF(INDEX(lmic_raw_ub[],MATCH($A375,lmic_raw_ub[[setting]:[setting]],0), MATCH(O$277, lmic_raw_ub[#Headers],0))=0, INDEX(regions_ub[], MATCH($D375, regions_ub[[setting]:[setting]],0), MATCH(O$139, regions_ub[#Headers],0)),INDEX(lmic_raw_ub[],MATCH($A375,lmic_raw_ub[[setting]:[setting]],0), MATCH(O$277, lmic_raw_ub[#Headers],0)))</f>
        <v>0.9</v>
      </c>
      <c r="P375" s="84">
        <f>IF(INDEX(lmic_raw_ub[],MATCH($A375,lmic_raw_ub[[setting]:[setting]],0), MATCH(P$277, lmic_raw_ub[#Headers],0))=0, INDEX(regions_ub[], MATCH($D375, regions_ub[[setting]:[setting]],0), MATCH(P$139, regions_ub[#Headers],0)),INDEX(lmic_raw_ub[],MATCH($A375,lmic_raw_ub[[setting]:[setting]],0), MATCH(P$277, lmic_raw_ub[#Headers],0)))</f>
        <v>0.3</v>
      </c>
      <c r="Q375" s="84">
        <f>IF(INDEX(lmic_raw_ub[],MATCH($A375,lmic_raw_ub[[setting]:[setting]],0), MATCH(Q$277, lmic_raw_ub[#Headers],0))=0, INDEX(regions_ub[], MATCH($D375, regions_ub[[setting]:[setting]],0), MATCH(Q$139, regions_ub[#Headers],0)),INDEX(lmic_raw_ub[],MATCH($A375,lmic_raw_ub[[setting]:[setting]],0), MATCH(Q$277, lmic_raw_ub[#Headers],0)))</f>
        <v>10.542854099056113</v>
      </c>
      <c r="R375" s="84">
        <f>IF(INDEX(lmic_raw_ub[],MATCH($A375,lmic_raw_ub[[setting]:[setting]],0), MATCH(R$277, lmic_raw_ub[#Headers],0))=0, INDEX(regions_ub[], MATCH($D375, regions_ub[[setting]:[setting]],0), MATCH(R$139, regions_ub[#Headers],0)),INDEX(lmic_raw_ub[],MATCH($A375,lmic_raw_ub[[setting]:[setting]],0), MATCH(R$277, lmic_raw_ub[#Headers],0)))</f>
        <v>91.228094999999996</v>
      </c>
      <c r="S375" s="84">
        <f>IF(INDEX(lmic_raw_ub[],MATCH($A375,lmic_raw_ub[[setting]:[setting]],0), MATCH(S$277, lmic_raw_ub[#Headers],0))=0, INDEX(regions_ub[], MATCH($D375, regions_ub[[setting]:[setting]],0), MATCH(S$139, regions_ub[#Headers],0)),INDEX(lmic_raw_ub[],MATCH($A375,lmic_raw_ub[[setting]:[setting]],0), MATCH(S$277, lmic_raw_ub[#Headers],0)))</f>
        <v>141.35719500000002</v>
      </c>
      <c r="T375" s="84">
        <f>IF(INDEX(lmic_raw_ub[],MATCH($A375,lmic_raw_ub[[setting]:[setting]],0), MATCH(T$277, lmic_raw_ub[#Headers],0))=0, INDEX(regions_ub[], MATCH($D375, regions_ub[[setting]:[setting]],0), MATCH(T$139, regions_ub[#Headers],0)),INDEX(lmic_raw_ub[],MATCH($A375,lmic_raw_ub[[setting]:[setting]],0), MATCH(T$277, lmic_raw_ub[#Headers],0)))</f>
        <v>141.35719500000002</v>
      </c>
      <c r="U375" s="84">
        <f>IF(INDEX(lmic_raw_ub[],MATCH($A375,lmic_raw_ub[[setting]:[setting]],0), MATCH(U$277, lmic_raw_ub[#Headers],0))=0, INDEX(regions_ub[], MATCH($D375, regions_ub[[setting]:[setting]],0), MATCH(U$139, regions_ub[#Headers],0)),INDEX(lmic_raw_ub[],MATCH($A375,lmic_raw_ub[[setting]:[setting]],0), MATCH(U$277, lmic_raw_ub[#Headers],0)))</f>
        <v>141.35719500000002</v>
      </c>
      <c r="V375" s="84">
        <f>IF(INDEX(lmic_raw_ub[],MATCH($A375,lmic_raw_ub[[setting]:[setting]],0), MATCH(V$277, lmic_raw_ub[#Headers],0))=0, INDEX(regions_ub[], MATCH($D375, regions_ub[[setting]:[setting]],0), MATCH(V$139, regions_ub[#Headers],0)),INDEX(lmic_raw_ub[],MATCH($A375,lmic_raw_ub[[setting]:[setting]],0), MATCH(V$277, lmic_raw_ub[#Headers],0)))</f>
        <v>7.1990432166571132</v>
      </c>
      <c r="W375" s="84">
        <f>IF(INDEX(lmic_raw_ub[],MATCH($A375,lmic_raw_ub[[setting]:[setting]],0), MATCH(W$277, lmic_raw_ub[#Headers],0))=0, INDEX(regions_ub[], MATCH($D375, regions_ub[[setting]:[setting]],0), MATCH(W$139, regions_ub[#Headers],0)),INDEX(lmic_raw_ub[],MATCH($A375,lmic_raw_ub[[setting]:[setting]],0), MATCH(W$277, lmic_raw_ub[#Headers],0)))</f>
        <v>7.2219332166571135</v>
      </c>
      <c r="X375" s="84">
        <f>IF(INDEX(lmic_raw_ub[],MATCH($A375,lmic_raw_ub[[setting]:[setting]],0), MATCH(X$277, lmic_raw_ub[#Headers],0))=0, INDEX(regions_ub[], MATCH($D375, regions_ub[[setting]:[setting]],0), MATCH(X$139, regions_ub[#Headers],0)),INDEX(lmic_raw_ub[],MATCH($A375,lmic_raw_ub[[setting]:[setting]],0), MATCH(X$277, lmic_raw_ub[#Headers],0)))</f>
        <v>6.6740316999286851</v>
      </c>
      <c r="Y375" s="84">
        <f>IF(INDEX(lmic_raw_ub[],MATCH($A375,lmic_raw_ub[[setting]:[setting]],0), MATCH(Y$277, lmic_raw_ub[#Headers],0))=0, INDEX(regions_ub[], MATCH($D375, regions_ub[[setting]:[setting]],0), MATCH(Y$139, regions_ub[#Headers],0)),INDEX(lmic_raw_ub[],MATCH($A375,lmic_raw_ub[[setting]:[setting]],0), MATCH(Y$277, lmic_raw_ub[#Headers],0)))</f>
        <v>6.6969216999286854</v>
      </c>
      <c r="Z375" s="84">
        <f>IF(INDEX(lmic_raw_ub[],MATCH($A375,lmic_raw_ub[[setting]:[setting]],0), MATCH(Z$277, lmic_raw_ub[#Headers],0))=0, INDEX(regions_ub[], MATCH($D375, regions_ub[[setting]:[setting]],0), MATCH(Z$139, regions_ub[#Headers],0)),INDEX(lmic_raw_ub[],MATCH($A375,lmic_raw_ub[[setting]:[setting]],0), MATCH(Z$277, lmic_raw_ub[#Headers],0)))</f>
        <v>6.6737869275266046</v>
      </c>
      <c r="AA375" s="84">
        <f>IF(INDEX(lmic_raw_ub[],MATCH($A375,lmic_raw_ub[[setting]:[setting]],0), MATCH(AA$277, lmic_raw_ub[#Headers],0))=0, INDEX(regions_ub[], MATCH($D375, regions_ub[[setting]:[setting]],0), MATCH(AA$139, regions_ub[#Headers],0)),INDEX(lmic_raw_ub[],MATCH($A375,lmic_raw_ub[[setting]:[setting]],0), MATCH(AA$277, lmic_raw_ub[#Headers],0)))</f>
        <v>7.4742920548281315</v>
      </c>
      <c r="AB375" s="84">
        <f>IF(INDEX(lmic_raw_ub[],MATCH($A375,lmic_raw_ub[[setting]:[setting]],0), MATCH(AB$277, lmic_raw_ub[#Headers],0))=0, INDEX(regions_ub[], MATCH($D375, regions_ub[[setting]:[setting]],0), MATCH(AB$139, regions_ub[#Headers],0)),INDEX(lmic_raw_ub[],MATCH($A375,lmic_raw_ub[[setting]:[setting]],0), MATCH(AB$277, lmic_raw_ub[#Headers],0)))</f>
        <v>7.4971820548281318</v>
      </c>
      <c r="AC375" s="84">
        <f>IF(INDEX(lmic_raw_ub[],MATCH($A375,lmic_raw_ub[[setting]:[setting]],0), MATCH(AC$277, lmic_raw_ub[#Headers],0))=0, INDEX(regions_ub[], MATCH($D375, regions_ub[[setting]:[setting]],0), MATCH(AC$139, regions_ub[#Headers],0)),INDEX(lmic_raw_ub[],MATCH($A375,lmic_raw_ub[[setting]:[setting]],0), MATCH(AC$277, lmic_raw_ub[#Headers],0)))</f>
        <v>1.3426759500000015E-2</v>
      </c>
      <c r="AD375" s="84">
        <f>IF(INDEX(lmic_raw_ub[],MATCH($A375,lmic_raw_ub[[setting]:[setting]],0), MATCH(AD$277, lmic_raw_ub[#Headers],0))=0, INDEX(regions_ub[], MATCH($D375, regions_ub[[setting]:[setting]],0), MATCH(AD$139, regions_ub[#Headers],0)),INDEX(lmic_raw_ub[],MATCH($A375,lmic_raw_ub[[setting]:[setting]],0), MATCH(AD$277, lmic_raw_ub[#Headers],0)))</f>
        <v>9.1898555165335015E-4</v>
      </c>
      <c r="AE375" s="84">
        <f>IF(INDEX(lmic_raw_ub[],MATCH($A375,lmic_raw_ub[[setting]:[setting]],0), MATCH(AE$277, lmic_raw_ub[#Headers],0))=0, INDEX(regions_ub[], MATCH($D375, regions_ub[[setting]:[setting]],0), MATCH(AE$139, regions_ub[#Headers],0)),INDEX(lmic_raw_ub[],MATCH($A375,lmic_raw_ub[[setting]:[setting]],0), MATCH(AE$277, lmic_raw_ub[#Headers],0)))</f>
        <v>5.196993467326505E-4</v>
      </c>
      <c r="AF375" s="84">
        <f>IF(INDEX(lmic_raw_ub[],MATCH($A375,lmic_raw_ub[[setting]:[setting]],0), MATCH(AF$277, lmic_raw_ub[#Headers],0))=0, INDEX(regions_ub[], MATCH($D375, regions_ub[[setting]:[setting]],0), MATCH(AF$139, regions_ub[#Headers],0)),INDEX(lmic_raw_ub[],MATCH($A375,lmic_raw_ub[[setting]:[setting]],0), MATCH(AF$277, lmic_raw_ub[#Headers],0)))</f>
        <v>3.5268426491479884E-4</v>
      </c>
      <c r="AG375" s="84">
        <f>IF(INDEX(lmic_raw_ub[],MATCH($A375,lmic_raw_ub[[setting]:[setting]],0), MATCH(AG$277, lmic_raw_ub[#Headers],0))=0, INDEX(regions_ub[], MATCH($D375, regions_ub[[setting]:[setting]],0), MATCH(AG$139, regions_ub[#Headers],0)),INDEX(lmic_raw_ub[],MATCH($A375,lmic_raw_ub[[setting]:[setting]],0), MATCH(AG$277, lmic_raw_ub[#Headers],0)))</f>
        <v>8.3423264624480308E-4</v>
      </c>
      <c r="AH375" s="84">
        <f>IF(INDEX(lmic_raw_ub[],MATCH($A375,lmic_raw_ub[[setting]:[setting]],0), MATCH(AH$277, lmic_raw_ub[#Headers],0))=0, INDEX(regions_ub[], MATCH($D375, regions_ub[[setting]:[setting]],0), MATCH(AH$139, regions_ub[#Headers],0)),INDEX(lmic_raw_ub[],MATCH($A375,lmic_raw_ub[[setting]:[setting]],0), MATCH(AH$277, lmic_raw_ub[#Headers],0)))</f>
        <v>1.2393025676174282E-3</v>
      </c>
      <c r="AI375" s="84">
        <f>IF(INDEX(lmic_raw_ub[],MATCH($A375,lmic_raw_ub[[setting]:[setting]],0), MATCH(AI$277, lmic_raw_ub[#Headers],0))=0, INDEX(regions_ub[], MATCH($D375, regions_ub[[setting]:[setting]],0), MATCH(AI$139, regions_ub[#Headers],0)),INDEX(lmic_raw_ub[],MATCH($A375,lmic_raw_ub[[setting]:[setting]],0), MATCH(AI$277, lmic_raw_ub[#Headers],0)))</f>
        <v>1.6079807878475031E-3</v>
      </c>
      <c r="AJ375" s="84">
        <f>IF(INDEX(lmic_raw_ub[],MATCH($A375,lmic_raw_ub[[setting]:[setting]],0), MATCH(AJ$277, lmic_raw_ub[#Headers],0))=0, INDEX(regions_ub[], MATCH($D375, regions_ub[[setting]:[setting]],0), MATCH(AJ$139, regions_ub[#Headers],0)),INDEX(lmic_raw_ub[],MATCH($A375,lmic_raw_ub[[setting]:[setting]],0), MATCH(AJ$277, lmic_raw_ub[#Headers],0)))</f>
        <v>1.7676069527859284E-3</v>
      </c>
      <c r="AK375" s="84">
        <f>IF(INDEX(lmic_raw_ub[],MATCH($A375,lmic_raw_ub[[setting]:[setting]],0), MATCH(AK$277, lmic_raw_ub[#Headers],0))=0, INDEX(regions_ub[], MATCH($D375, regions_ub[[setting]:[setting]],0), MATCH(AK$139, regions_ub[#Headers],0)),INDEX(lmic_raw_ub[],MATCH($A375,lmic_raw_ub[[setting]:[setting]],0), MATCH(AK$277, lmic_raw_ub[#Headers],0)))</f>
        <v>2.1137470717851872E-3</v>
      </c>
      <c r="AL375" s="84">
        <f>IF(INDEX(lmic_raw_ub[],MATCH($A375,lmic_raw_ub[[setting]:[setting]],0), MATCH(AL$277, lmic_raw_ub[#Headers],0))=0, INDEX(regions_ub[], MATCH($D375, regions_ub[[setting]:[setting]],0), MATCH(AL$139, regions_ub[#Headers],0)),INDEX(lmic_raw_ub[],MATCH($A375,lmic_raw_ub[[setting]:[setting]],0), MATCH(AL$277, lmic_raw_ub[#Headers],0)))</f>
        <v>2.6939064887440017E-3</v>
      </c>
      <c r="AM375" s="84">
        <f>IF(INDEX(lmic_raw_ub[],MATCH($A375,lmic_raw_ub[[setting]:[setting]],0), MATCH(AM$277, lmic_raw_ub[#Headers],0))=0, INDEX(regions_ub[], MATCH($D375, regions_ub[[setting]:[setting]],0), MATCH(AM$139, regions_ub[#Headers],0)),INDEX(lmic_raw_ub[],MATCH($A375,lmic_raw_ub[[setting]:[setting]],0), MATCH(AM$277, lmic_raw_ub[#Headers],0)))</f>
        <v>3.5935612215692763E-3</v>
      </c>
      <c r="AN375" s="84">
        <f>IF(INDEX(lmic_raw_ub[],MATCH($A375,lmic_raw_ub[[setting]:[setting]],0), MATCH(AN$277, lmic_raw_ub[#Headers],0))=0, INDEX(regions_ub[], MATCH($D375, regions_ub[[setting]:[setting]],0), MATCH(AN$139, regions_ub[#Headers],0)),INDEX(lmic_raw_ub[],MATCH($A375,lmic_raw_ub[[setting]:[setting]],0), MATCH(AN$277, lmic_raw_ub[#Headers],0)))</f>
        <v>4.9975000639995177E-3</v>
      </c>
      <c r="AO375" s="84">
        <f>IF(INDEX(lmic_raw_ub[],MATCH($A375,lmic_raw_ub[[setting]:[setting]],0), MATCH(AO$277, lmic_raw_ub[#Headers],0))=0, INDEX(regions_ub[], MATCH($D375, regions_ub[[setting]:[setting]],0), MATCH(AO$139, regions_ub[#Headers],0)),INDEX(lmic_raw_ub[],MATCH($A375,lmic_raw_ub[[setting]:[setting]],0), MATCH(AO$277, lmic_raw_ub[#Headers],0)))</f>
        <v>7.1320586307002031E-3</v>
      </c>
      <c r="AP375" s="84">
        <f>IF(INDEX(lmic_raw_ub[],MATCH($A375,lmic_raw_ub[[setting]:[setting]],0), MATCH(AP$277, lmic_raw_ub[#Headers],0))=0, INDEX(regions_ub[], MATCH($D375, regions_ub[[setting]:[setting]],0), MATCH(AP$139, regions_ub[#Headers],0)),INDEX(lmic_raw_ub[],MATCH($A375,lmic_raw_ub[[setting]:[setting]],0), MATCH(AP$277, lmic_raw_ub[#Headers],0)))</f>
        <v>1.075482940435377E-2</v>
      </c>
      <c r="AQ375" s="84">
        <f>IF(INDEX(lmic_raw_ub[],MATCH($A375,lmic_raw_ub[[setting]:[setting]],0), MATCH(AQ$277, lmic_raw_ub[#Headers],0))=0, INDEX(regions_ub[], MATCH($D375, regions_ub[[setting]:[setting]],0), MATCH(AQ$139, regions_ub[#Headers],0)),INDEX(lmic_raw_ub[],MATCH($A375,lmic_raw_ub[[setting]:[setting]],0), MATCH(AQ$277, lmic_raw_ub[#Headers],0)))</f>
        <v>1.603789158604892E-2</v>
      </c>
      <c r="AR375" s="84">
        <f>IF(INDEX(lmic_raw_ub[],MATCH($A375,lmic_raw_ub[[setting]:[setting]],0), MATCH(AR$277, lmic_raw_ub[#Headers],0))=0, INDEX(regions_ub[], MATCH($D375, regions_ub[[setting]:[setting]],0), MATCH(AR$139, regions_ub[#Headers],0)),INDEX(lmic_raw_ub[],MATCH($A375,lmic_raw_ub[[setting]:[setting]],0), MATCH(AR$277, lmic_raw_ub[#Headers],0)))</f>
        <v>2.7057960046562624E-2</v>
      </c>
      <c r="AS375" s="84">
        <f>IF(INDEX(lmic_raw_ub[],MATCH($A375,lmic_raw_ub[[setting]:[setting]],0), MATCH(AS$277, lmic_raw_ub[#Headers],0))=0, INDEX(regions_ub[], MATCH($D375, regions_ub[[setting]:[setting]],0), MATCH(AS$139, regions_ub[#Headers],0)),INDEX(lmic_raw_ub[],MATCH($A375,lmic_raw_ub[[setting]:[setting]],0), MATCH(AS$277, lmic_raw_ub[#Headers],0)))</f>
        <v>4.187231319509372E-2</v>
      </c>
      <c r="AT375" s="84">
        <f>IF(INDEX(lmic_raw_ub[],MATCH($A375,lmic_raw_ub[[setting]:[setting]],0), MATCH(AT$277, lmic_raw_ub[#Headers],0))=0, INDEX(regions_ub[], MATCH($D375, regions_ub[[setting]:[setting]],0), MATCH(AT$139, regions_ub[#Headers],0)),INDEX(lmic_raw_ub[],MATCH($A375,lmic_raw_ub[[setting]:[setting]],0), MATCH(AT$277, lmic_raw_ub[#Headers],0)))</f>
        <v>6.5694086397326934E-2</v>
      </c>
      <c r="AU375" s="84">
        <f>IF(INDEX(lmic_raw_ub[],MATCH($A375,lmic_raw_ub[[setting]:[setting]],0), MATCH(AU$277, lmic_raw_ub[#Headers],0))=0, INDEX(regions_ub[], MATCH($D375, regions_ub[[setting]:[setting]],0), MATCH(AU$139, regions_ub[#Headers],0)),INDEX(lmic_raw_ub[],MATCH($A375,lmic_raw_ub[[setting]:[setting]],0), MATCH(AU$277, lmic_raw_ub[#Headers],0)))</f>
        <v>9.7817125060168778E-2</v>
      </c>
      <c r="AV375" s="84">
        <f>IF(INDEX(lmic_raw_ub[],MATCH($A375,lmic_raw_ub[[setting]:[setting]],0), MATCH(AV$277, lmic_raw_ub[#Headers],0))=0, INDEX(regions_ub[], MATCH($D375, regions_ub[[setting]:[setting]],0), MATCH(AV$139, regions_ub[#Headers],0)),INDEX(lmic_raw_ub[],MATCH($A375,lmic_raw_ub[[setting]:[setting]],0), MATCH(AV$277, lmic_raw_ub[#Headers],0)))</f>
        <v>0.12983467794754508</v>
      </c>
      <c r="AW375" s="84">
        <f>IF(INDEX(lmic_raw_ub[],MATCH($A375,lmic_raw_ub[[setting]:[setting]],0), MATCH(AW$277, lmic_raw_ub[#Headers],0))=0, INDEX(regions_ub[], MATCH($D375, regions_ub[[setting]:[setting]],0), MATCH(AW$139, regions_ub[#Headers],0)),INDEX(lmic_raw_ub[],MATCH($A375,lmic_raw_ub[[setting]:[setting]],0), MATCH(AW$277, lmic_raw_ub[#Headers],0)))</f>
        <v>0.15742495312577165</v>
      </c>
      <c r="AX375" s="84">
        <f>IF(INDEX(lmic_raw_ub[],MATCH($A375,lmic_raw_ub[[setting]:[setting]],0), MATCH(AX$277, lmic_raw_ub[#Headers],0))=0, INDEX(regions_ub[], MATCH($D375, regions_ub[[setting]:[setting]],0), MATCH(AX$139, regions_ub[#Headers],0)),INDEX(lmic_raw_ub[],MATCH($A375,lmic_raw_ub[[setting]:[setting]],0), MATCH(AX$277, lmic_raw_ub[#Headers],0)))</f>
        <v>80.229450000000014</v>
      </c>
      <c r="AY375" s="33" t="str">
        <f>IF(VLOOKUP(lmics_ub[[#This Row],[setting]],lmic_raw_ub[],11,FALSE)=0, "Yes", "No")</f>
        <v>No</v>
      </c>
    </row>
    <row r="376" spans="1:51" x14ac:dyDescent="0.25">
      <c r="A376" s="109" t="s">
        <v>654</v>
      </c>
      <c r="B376" s="101" t="s">
        <v>494</v>
      </c>
      <c r="C376" s="102">
        <v>608</v>
      </c>
      <c r="D376" s="82" t="s">
        <v>681</v>
      </c>
      <c r="E376" s="82" t="s">
        <v>598</v>
      </c>
      <c r="F376" s="82" t="s">
        <v>666</v>
      </c>
      <c r="G376" s="82" t="s">
        <v>678</v>
      </c>
      <c r="J376" s="84">
        <f>IF(INDEX(lmic_raw_ub[],MATCH($A376,lmic_raw_ub[[setting]:[setting]],0), MATCH(J$277, lmic_raw_ub[#Headers],0))=0, INDEX(regions_ub[], MATCH($D376, regions_ub[[setting]:[setting]],0), MATCH(J$139, regions_ub[#Headers],0)),INDEX(lmic_raw_ub[],MATCH($A376,lmic_raw_ub[[setting]:[setting]],0), MATCH(J$277, lmic_raw_ub[#Headers],0)))</f>
        <v>0.81585000000000008</v>
      </c>
      <c r="K376" s="84">
        <f>IF(INDEX(lmic_raw_ub[],MATCH($A376,lmic_raw_ub[[setting]:[setting]],0), MATCH(K$277, lmic_raw_ub[#Headers],0))=0, INDEX(regions_ub[], MATCH($D376, regions_ub[[setting]:[setting]],0), MATCH(K$139, regions_ub[#Headers],0)),INDEX(lmic_raw_ub[],MATCH($A376,lmic_raw_ub[[setting]:[setting]],0), MATCH(K$277, lmic_raw_ub[#Headers],0)))</f>
        <v>0.52500000000000002</v>
      </c>
      <c r="L376" s="84">
        <f>IF(INDEX(lmic_raw_ub[],MATCH($A376,lmic_raw_ub[[setting]:[setting]],0), MATCH(L$277, lmic_raw_ub[#Headers],0))=0, INDEX(regions_ub[], MATCH($D376, regions_ub[[setting]:[setting]],0), MATCH(L$139, regions_ub[#Headers],0)),INDEX(lmic_raw_ub[],MATCH($A376,lmic_raw_ub[[setting]:[setting]],0), MATCH(L$277, lmic_raw_ub[#Headers],0)))</f>
        <v>0.68250000000000011</v>
      </c>
      <c r="M376" s="84">
        <f>IF(INDEX(lmic_raw_ub[],MATCH($A376,lmic_raw_ub[[setting]:[setting]],0), MATCH(M$277, lmic_raw_ub[#Headers],0))=0, INDEX(regions_ub[], MATCH($D376, regions_ub[[setting]:[setting]],0), MATCH(M$139, regions_ub[#Headers],0)),INDEX(lmic_raw_ub[],MATCH($A376,lmic_raw_ub[[setting]:[setting]],0), MATCH(M$277, lmic_raw_ub[#Headers],0)))</f>
        <v>4.4999999999999998E-2</v>
      </c>
      <c r="N376" s="84">
        <f>IF(INDEX(lmic_raw_ub[],MATCH($A376,lmic_raw_ub[[setting]:[setting]],0), MATCH(N$277, lmic_raw_ub[#Headers],0))=0, INDEX(regions_ub[], MATCH($D376, regions_ub[[setting]:[setting]],0), MATCH(N$139, regions_ub[#Headers],0)),INDEX(lmic_raw_ub[],MATCH($A376,lmic_raw_ub[[setting]:[setting]],0), MATCH(N$277, lmic_raw_ub[#Headers],0)))</f>
        <v>0.4773</v>
      </c>
      <c r="O376" s="84">
        <f>IF(INDEX(lmic_raw_ub[],MATCH($A376,lmic_raw_ub[[setting]:[setting]],0), MATCH(O$277, lmic_raw_ub[#Headers],0))=0, INDEX(regions_ub[], MATCH($D376, regions_ub[[setting]:[setting]],0), MATCH(O$139, regions_ub[#Headers],0)),INDEX(lmic_raw_ub[],MATCH($A376,lmic_raw_ub[[setting]:[setting]],0), MATCH(O$277, lmic_raw_ub[#Headers],0)))</f>
        <v>0.9</v>
      </c>
      <c r="P376" s="84">
        <f>IF(INDEX(lmic_raw_ub[],MATCH($A376,lmic_raw_ub[[setting]:[setting]],0), MATCH(P$277, lmic_raw_ub[#Headers],0))=0, INDEX(regions_ub[], MATCH($D376, regions_ub[[setting]:[setting]],0), MATCH(P$139, regions_ub[#Headers],0)),INDEX(lmic_raw_ub[],MATCH($A376,lmic_raw_ub[[setting]:[setting]],0), MATCH(P$277, lmic_raw_ub[#Headers],0)))</f>
        <v>0.3</v>
      </c>
      <c r="Q376" s="84">
        <f>IF(INDEX(lmic_raw_ub[],MATCH($A376,lmic_raw_ub[[setting]:[setting]],0), MATCH(Q$277, lmic_raw_ub[#Headers],0))=0, INDEX(regions_ub[], MATCH($D376, regions_ub[[setting]:[setting]],0), MATCH(Q$139, regions_ub[#Headers],0)),INDEX(lmic_raw_ub[],MATCH($A376,lmic_raw_ub[[setting]:[setting]],0), MATCH(Q$277, lmic_raw_ub[#Headers],0)))</f>
        <v>4.9098028942023015</v>
      </c>
      <c r="R376" s="84">
        <f>IF(INDEX(lmic_raw_ub[],MATCH($A376,lmic_raw_ub[[setting]:[setting]],0), MATCH(R$277, lmic_raw_ub[#Headers],0))=0, INDEX(regions_ub[], MATCH($D376, regions_ub[[setting]:[setting]],0), MATCH(R$139, regions_ub[#Headers],0)),INDEX(lmic_raw_ub[],MATCH($A376,lmic_raw_ub[[setting]:[setting]],0), MATCH(R$277, lmic_raw_ub[#Headers],0)))</f>
        <v>76.738725000000002</v>
      </c>
      <c r="S376" s="84">
        <f>IF(INDEX(lmic_raw_ub[],MATCH($A376,lmic_raw_ub[[setting]:[setting]],0), MATCH(S$277, lmic_raw_ub[#Headers],0))=0, INDEX(regions_ub[], MATCH($D376, regions_ub[[setting]:[setting]],0), MATCH(S$139, regions_ub[#Headers],0)),INDEX(lmic_raw_ub[],MATCH($A376,lmic_raw_ub[[setting]:[setting]],0), MATCH(S$277, lmic_raw_ub[#Headers],0)))</f>
        <v>126.867825</v>
      </c>
      <c r="T376" s="84">
        <f>IF(INDEX(lmic_raw_ub[],MATCH($A376,lmic_raw_ub[[setting]:[setting]],0), MATCH(T$277, lmic_raw_ub[#Headers],0))=0, INDEX(regions_ub[], MATCH($D376, regions_ub[[setting]:[setting]],0), MATCH(T$139, regions_ub[#Headers],0)),INDEX(lmic_raw_ub[],MATCH($A376,lmic_raw_ub[[setting]:[setting]],0), MATCH(T$277, lmic_raw_ub[#Headers],0)))</f>
        <v>126.867825</v>
      </c>
      <c r="U376" s="84">
        <f>IF(INDEX(lmic_raw_ub[],MATCH($A376,lmic_raw_ub[[setting]:[setting]],0), MATCH(U$277, lmic_raw_ub[#Headers],0))=0, INDEX(regions_ub[], MATCH($D376, regions_ub[[setting]:[setting]],0), MATCH(U$139, regions_ub[#Headers],0)),INDEX(lmic_raw_ub[],MATCH($A376,lmic_raw_ub[[setting]:[setting]],0), MATCH(U$277, lmic_raw_ub[#Headers],0)))</f>
        <v>126.867825</v>
      </c>
      <c r="V376" s="84">
        <f>IF(INDEX(lmic_raw_ub[],MATCH($A376,lmic_raw_ub[[setting]:[setting]],0), MATCH(V$277, lmic_raw_ub[#Headers],0))=0, INDEX(regions_ub[], MATCH($D376, regions_ub[[setting]:[setting]],0), MATCH(V$139, regions_ub[#Headers],0)),INDEX(lmic_raw_ub[],MATCH($A376,lmic_raw_ub[[setting]:[setting]],0), MATCH(V$277, lmic_raw_ub[#Headers],0)))</f>
        <v>3.5130401439697576</v>
      </c>
      <c r="W376" s="84">
        <f>IF(INDEX(lmic_raw_ub[],MATCH($A376,lmic_raw_ub[[setting]:[setting]],0), MATCH(W$277, lmic_raw_ub[#Headers],0))=0, INDEX(regions_ub[], MATCH($D376, regions_ub[[setting]:[setting]],0), MATCH(W$139, regions_ub[#Headers],0)),INDEX(lmic_raw_ub[],MATCH($A376,lmic_raw_ub[[setting]:[setting]],0), MATCH(W$277, lmic_raw_ub[#Headers],0)))</f>
        <v>4.1768501439697578</v>
      </c>
      <c r="X376" s="84">
        <f>IF(INDEX(lmic_raw_ub[],MATCH($A376,lmic_raw_ub[[setting]:[setting]],0), MATCH(X$277, lmic_raw_ub[#Headers],0))=0, INDEX(regions_ub[], MATCH($D376, regions_ub[[setting]:[setting]],0), MATCH(X$139, regions_ub[#Headers],0)),INDEX(lmic_raw_ub[],MATCH($A376,lmic_raw_ub[[setting]:[setting]],0), MATCH(X$277, lmic_raw_ub[#Headers],0)))</f>
        <v>2.9920264257207756</v>
      </c>
      <c r="Y376" s="84">
        <f>IF(INDEX(lmic_raw_ub[],MATCH($A376,lmic_raw_ub[[setting]:[setting]],0), MATCH(Y$277, lmic_raw_ub[#Headers],0))=0, INDEX(regions_ub[], MATCH($D376, regions_ub[[setting]:[setting]],0), MATCH(Y$139, regions_ub[#Headers],0)),INDEX(lmic_raw_ub[],MATCH($A376,lmic_raw_ub[[setting]:[setting]],0), MATCH(Y$277, lmic_raw_ub[#Headers],0)))</f>
        <v>3.6558364257207758</v>
      </c>
      <c r="Z376" s="84">
        <f>IF(INDEX(lmic_raw_ub[],MATCH($A376,lmic_raw_ub[[setting]:[setting]],0), MATCH(Z$277, lmic_raw_ub[#Headers],0))=0, INDEX(regions_ub[], MATCH($D376, regions_ub[[setting]:[setting]],0), MATCH(Z$139, regions_ub[#Headers],0)),INDEX(lmic_raw_ub[],MATCH($A376,lmic_raw_ub[[setting]:[setting]],0), MATCH(Z$277, lmic_raw_ub[#Headers],0)))</f>
        <v>3.635425438654508</v>
      </c>
      <c r="AA376" s="84">
        <f>IF(INDEX(lmic_raw_ub[],MATCH($A376,lmic_raw_ub[[setting]:[setting]],0), MATCH(AA$277, lmic_raw_ub[#Headers],0))=0, INDEX(regions_ub[], MATCH($D376, regions_ub[[setting]:[setting]],0), MATCH(AA$139, regions_ub[#Headers],0)),INDEX(lmic_raw_ub[],MATCH($A376,lmic_raw_ub[[setting]:[setting]],0), MATCH(AA$277, lmic_raw_ub[#Headers],0)))</f>
        <v>3.7873815064123115</v>
      </c>
      <c r="AB376" s="84">
        <f>IF(INDEX(lmic_raw_ub[],MATCH($A376,lmic_raw_ub[[setting]:[setting]],0), MATCH(AB$277, lmic_raw_ub[#Headers],0))=0, INDEX(regions_ub[], MATCH($D376, regions_ub[[setting]:[setting]],0), MATCH(AB$139, regions_ub[#Headers],0)),INDEX(lmic_raw_ub[],MATCH($A376,lmic_raw_ub[[setting]:[setting]],0), MATCH(AB$277, lmic_raw_ub[#Headers],0)))</f>
        <v>4.4511915064123118</v>
      </c>
      <c r="AC376" s="84">
        <f>IF(INDEX(lmic_raw_ub[],MATCH($A376,lmic_raw_ub[[setting]:[setting]],0), MATCH(AC$277, lmic_raw_ub[#Headers],0))=0, INDEX(regions_ub[], MATCH($D376, regions_ub[[setting]:[setting]],0), MATCH(AC$139, regions_ub[#Headers],0)),INDEX(lmic_raw_ub[],MATCH($A376,lmic_raw_ub[[setting]:[setting]],0), MATCH(AC$277, lmic_raw_ub[#Headers],0)))</f>
        <v>2.0638337999999968E-2</v>
      </c>
      <c r="AD376" s="84">
        <f>IF(INDEX(lmic_raw_ub[],MATCH($A376,lmic_raw_ub[[setting]:[setting]],0), MATCH(AD$277, lmic_raw_ub[#Headers],0))=0, INDEX(regions_ub[], MATCH($D376, regions_ub[[setting]:[setting]],0), MATCH(AD$139, regions_ub[#Headers],0)),INDEX(lmic_raw_ub[],MATCH($A376,lmic_raw_ub[[setting]:[setting]],0), MATCH(AD$277, lmic_raw_ub[#Headers],0)))</f>
        <v>2.1465544803824163E-3</v>
      </c>
      <c r="AE376" s="84">
        <f>IF(INDEX(lmic_raw_ub[],MATCH($A376,lmic_raw_ub[[setting]:[setting]],0), MATCH(AE$277, lmic_raw_ub[#Headers],0))=0, INDEX(regions_ub[], MATCH($D376, regions_ub[[setting]:[setting]],0), MATCH(AE$139, regions_ub[#Headers],0)),INDEX(lmic_raw_ub[],MATCH($A376,lmic_raw_ub[[setting]:[setting]],0), MATCH(AE$277, lmic_raw_ub[#Headers],0)))</f>
        <v>6.436360115665569E-4</v>
      </c>
      <c r="AF376" s="84">
        <f>IF(INDEX(lmic_raw_ub[],MATCH($A376,lmic_raw_ub[[setting]:[setting]],0), MATCH(AF$277, lmic_raw_ub[#Headers],0))=0, INDEX(regions_ub[], MATCH($D376, regions_ub[[setting]:[setting]],0), MATCH(AF$139, regions_ub[#Headers],0)),INDEX(lmic_raw_ub[],MATCH($A376,lmic_raw_ub[[setting]:[setting]],0), MATCH(AF$277, lmic_raw_ub[#Headers],0)))</f>
        <v>5.5867260014132159E-4</v>
      </c>
      <c r="AG376" s="84">
        <f>IF(INDEX(lmic_raw_ub[],MATCH($A376,lmic_raw_ub[[setting]:[setting]],0), MATCH(AG$277, lmic_raw_ub[#Headers],0))=0, INDEX(regions_ub[], MATCH($D376, regions_ub[[setting]:[setting]],0), MATCH(AG$139, regions_ub[#Headers],0)),INDEX(lmic_raw_ub[],MATCH($A376,lmic_raw_ub[[setting]:[setting]],0), MATCH(AG$277, lmic_raw_ub[#Headers],0)))</f>
        <v>1.1950531300706849E-3</v>
      </c>
      <c r="AH376" s="84">
        <f>IF(INDEX(lmic_raw_ub[],MATCH($A376,lmic_raw_ub[[setting]:[setting]],0), MATCH(AH$277, lmic_raw_ub[#Headers],0))=0, INDEX(regions_ub[], MATCH($D376, regions_ub[[setting]:[setting]],0), MATCH(AH$139, regions_ub[#Headers],0)),INDEX(lmic_raw_ub[],MATCH($A376,lmic_raw_ub[[setting]:[setting]],0), MATCH(AH$277, lmic_raw_ub[#Headers],0)))</f>
        <v>1.6716158278059919E-3</v>
      </c>
      <c r="AI376" s="84">
        <f>IF(INDEX(lmic_raw_ub[],MATCH($A376,lmic_raw_ub[[setting]:[setting]],0), MATCH(AI$277, lmic_raw_ub[#Headers],0))=0, INDEX(regions_ub[], MATCH($D376, regions_ub[[setting]:[setting]],0), MATCH(AI$139, regions_ub[#Headers],0)),INDEX(lmic_raw_ub[],MATCH($A376,lmic_raw_ub[[setting]:[setting]],0), MATCH(AI$277, lmic_raw_ub[#Headers],0)))</f>
        <v>1.826884382083029E-3</v>
      </c>
      <c r="AJ376" s="84">
        <f>IF(INDEX(lmic_raw_ub[],MATCH($A376,lmic_raw_ub[[setting]:[setting]],0), MATCH(AJ$277, lmic_raw_ub[#Headers],0))=0, INDEX(regions_ub[], MATCH($D376, regions_ub[[setting]:[setting]],0), MATCH(AJ$139, regions_ub[#Headers],0)),INDEX(lmic_raw_ub[],MATCH($A376,lmic_raw_ub[[setting]:[setting]],0), MATCH(AJ$277, lmic_raw_ub[#Headers],0)))</f>
        <v>2.1801471394451923E-3</v>
      </c>
      <c r="AK376" s="84">
        <f>IF(INDEX(lmic_raw_ub[],MATCH($A376,lmic_raw_ub[[setting]:[setting]],0), MATCH(AK$277, lmic_raw_ub[#Headers],0))=0, INDEX(regions_ub[], MATCH($D376, regions_ub[[setting]:[setting]],0), MATCH(AK$139, regions_ub[#Headers],0)),INDEX(lmic_raw_ub[],MATCH($A376,lmic_raw_ub[[setting]:[setting]],0), MATCH(AK$277, lmic_raw_ub[#Headers],0)))</f>
        <v>2.8934391959445343E-3</v>
      </c>
      <c r="AL376" s="84">
        <f>IF(INDEX(lmic_raw_ub[],MATCH($A376,lmic_raw_ub[[setting]:[setting]],0), MATCH(AL$277, lmic_raw_ub[#Headers],0))=0, INDEX(regions_ub[], MATCH($D376, regions_ub[[setting]:[setting]],0), MATCH(AL$139, regions_ub[#Headers],0)),INDEX(lmic_raw_ub[],MATCH($A376,lmic_raw_ub[[setting]:[setting]],0), MATCH(AL$277, lmic_raw_ub[#Headers],0)))</f>
        <v>4.061991232646698E-3</v>
      </c>
      <c r="AM376" s="84">
        <f>IF(INDEX(lmic_raw_ub[],MATCH($A376,lmic_raw_ub[[setting]:[setting]],0), MATCH(AM$277, lmic_raw_ub[#Headers],0))=0, INDEX(regions_ub[], MATCH($D376, regions_ub[[setting]:[setting]],0), MATCH(AM$139, regions_ub[#Headers],0)),INDEX(lmic_raw_ub[],MATCH($A376,lmic_raw_ub[[setting]:[setting]],0), MATCH(AM$277, lmic_raw_ub[#Headers],0)))</f>
        <v>6.0182455659779097E-3</v>
      </c>
      <c r="AN376" s="84">
        <f>IF(INDEX(lmic_raw_ub[],MATCH($A376,lmic_raw_ub[[setting]:[setting]],0), MATCH(AN$277, lmic_raw_ub[#Headers],0))=0, INDEX(regions_ub[], MATCH($D376, regions_ub[[setting]:[setting]],0), MATCH(AN$139, regions_ub[#Headers],0)),INDEX(lmic_raw_ub[],MATCH($A376,lmic_raw_ub[[setting]:[setting]],0), MATCH(AN$277, lmic_raw_ub[#Headers],0)))</f>
        <v>9.0041804842055512E-3</v>
      </c>
      <c r="AO376" s="84">
        <f>IF(INDEX(lmic_raw_ub[],MATCH($A376,lmic_raw_ub[[setting]:[setting]],0), MATCH(AO$277, lmic_raw_ub[#Headers],0))=0, INDEX(regions_ub[], MATCH($D376, regions_ub[[setting]:[setting]],0), MATCH(AO$139, regions_ub[#Headers],0)),INDEX(lmic_raw_ub[],MATCH($A376,lmic_raw_ub[[setting]:[setting]],0), MATCH(AO$277, lmic_raw_ub[#Headers],0)))</f>
        <v>1.3434441287582026E-2</v>
      </c>
      <c r="AP376" s="84">
        <f>IF(INDEX(lmic_raw_ub[],MATCH($A376,lmic_raw_ub[[setting]:[setting]],0), MATCH(AP$277, lmic_raw_ub[#Headers],0))=0, INDEX(regions_ub[], MATCH($D376, regions_ub[[setting]:[setting]],0), MATCH(AP$139, regions_ub[#Headers],0)),INDEX(lmic_raw_ub[],MATCH($A376,lmic_raw_ub[[setting]:[setting]],0), MATCH(AP$277, lmic_raw_ub[#Headers],0)))</f>
        <v>1.8310575699432279E-2</v>
      </c>
      <c r="AQ376" s="84">
        <f>IF(INDEX(lmic_raw_ub[],MATCH($A376,lmic_raw_ub[[setting]:[setting]],0), MATCH(AQ$277, lmic_raw_ub[#Headers],0))=0, INDEX(regions_ub[], MATCH($D376, regions_ub[[setting]:[setting]],0), MATCH(AQ$139, regions_ub[#Headers],0)),INDEX(lmic_raw_ub[],MATCH($A376,lmic_raw_ub[[setting]:[setting]],0), MATCH(AQ$277, lmic_raw_ub[#Headers],0)))</f>
        <v>2.4708956083751128E-2</v>
      </c>
      <c r="AR376" s="84">
        <f>IF(INDEX(lmic_raw_ub[],MATCH($A376,lmic_raw_ub[[setting]:[setting]],0), MATCH(AR$277, lmic_raw_ub[#Headers],0))=0, INDEX(regions_ub[], MATCH($D376, regions_ub[[setting]:[setting]],0), MATCH(AR$139, regions_ub[#Headers],0)),INDEX(lmic_raw_ub[],MATCH($A376,lmic_raw_ub[[setting]:[setting]],0), MATCH(AR$277, lmic_raw_ub[#Headers],0)))</f>
        <v>3.5444719476318963E-2</v>
      </c>
      <c r="AS376" s="84">
        <f>IF(INDEX(lmic_raw_ub[],MATCH($A376,lmic_raw_ub[[setting]:[setting]],0), MATCH(AS$277, lmic_raw_ub[#Headers],0))=0, INDEX(regions_ub[], MATCH($D376, regions_ub[[setting]:[setting]],0), MATCH(AS$139, regions_ub[#Headers],0)),INDEX(lmic_raw_ub[],MATCH($A376,lmic_raw_ub[[setting]:[setting]],0), MATCH(AS$277, lmic_raw_ub[#Headers],0)))</f>
        <v>5.4321709075467496E-2</v>
      </c>
      <c r="AT376" s="84">
        <f>IF(INDEX(lmic_raw_ub[],MATCH($A376,lmic_raw_ub[[setting]:[setting]],0), MATCH(AT$277, lmic_raw_ub[#Headers],0))=0, INDEX(regions_ub[], MATCH($D376, regions_ub[[setting]:[setting]],0), MATCH(AT$139, regions_ub[#Headers],0)),INDEX(lmic_raw_ub[],MATCH($A376,lmic_raw_ub[[setting]:[setting]],0), MATCH(AT$277, lmic_raw_ub[#Headers],0)))</f>
        <v>7.9794365327861591E-2</v>
      </c>
      <c r="AU376" s="84">
        <f>IF(INDEX(lmic_raw_ub[],MATCH($A376,lmic_raw_ub[[setting]:[setting]],0), MATCH(AU$277, lmic_raw_ub[#Headers],0))=0, INDEX(regions_ub[], MATCH($D376, regions_ub[[setting]:[setting]],0), MATCH(AU$139, regions_ub[#Headers],0)),INDEX(lmic_raw_ub[],MATCH($A376,lmic_raw_ub[[setting]:[setting]],0), MATCH(AU$277, lmic_raw_ub[#Headers],0)))</f>
        <v>0.10999647594111628</v>
      </c>
      <c r="AV376" s="84">
        <f>IF(INDEX(lmic_raw_ub[],MATCH($A376,lmic_raw_ub[[setting]:[setting]],0), MATCH(AV$277, lmic_raw_ub[#Headers],0))=0, INDEX(regions_ub[], MATCH($D376, regions_ub[[setting]:[setting]],0), MATCH(AV$139, regions_ub[#Headers],0)),INDEX(lmic_raw_ub[],MATCH($A376,lmic_raw_ub[[setting]:[setting]],0), MATCH(AV$277, lmic_raw_ub[#Headers],0)))</f>
        <v>0.13885622289473876</v>
      </c>
      <c r="AW376" s="84">
        <f>IF(INDEX(lmic_raw_ub[],MATCH($A376,lmic_raw_ub[[setting]:[setting]],0), MATCH(AW$277, lmic_raw_ub[#Headers],0))=0, INDEX(regions_ub[], MATCH($D376, regions_ub[[setting]:[setting]],0), MATCH(AW$139, regions_ub[#Headers],0)),INDEX(lmic_raw_ub[],MATCH($A376,lmic_raw_ub[[setting]:[setting]],0), MATCH(AW$277, lmic_raw_ub[#Headers],0)))</f>
        <v>0.16463104304132126</v>
      </c>
      <c r="AX376" s="84">
        <f>IF(INDEX(lmic_raw_ub[],MATCH($A376,lmic_raw_ub[[setting]:[setting]],0), MATCH(AX$277, lmic_raw_ub[#Headers],0))=0, INDEX(regions_ub[], MATCH($D376, regions_ub[[setting]:[setting]],0), MATCH(AX$139, regions_ub[#Headers],0)),INDEX(lmic_raw_ub[],MATCH($A376,lmic_raw_ub[[setting]:[setting]],0), MATCH(AX$277, lmic_raw_ub[#Headers],0)))</f>
        <v>74.586749999999995</v>
      </c>
      <c r="AY376" s="33" t="str">
        <f>IF(VLOOKUP(lmics_ub[[#This Row],[setting]],lmic_raw_ub[],11,FALSE)=0, "Yes", "No")</f>
        <v>No</v>
      </c>
    </row>
    <row r="377" spans="1:51" x14ac:dyDescent="0.25">
      <c r="A377" s="110" t="s">
        <v>313</v>
      </c>
      <c r="B377" s="104" t="s">
        <v>500</v>
      </c>
      <c r="C377" s="105">
        <v>642</v>
      </c>
      <c r="D377" s="84" t="s">
        <v>675</v>
      </c>
      <c r="E377" s="84" t="s">
        <v>580</v>
      </c>
      <c r="F377" s="84" t="s">
        <v>663</v>
      </c>
      <c r="G377" s="84" t="s">
        <v>676</v>
      </c>
      <c r="J377" s="84">
        <f>IF(INDEX(lmic_raw_ub[],MATCH($A377,lmic_raw_ub[[setting]:[setting]],0), MATCH(J$277, lmic_raw_ub[#Headers],0))=0, INDEX(regions_ub[], MATCH($D377, regions_ub[[setting]:[setting]],0), MATCH(J$139, regions_ub[#Headers],0)),INDEX(lmic_raw_ub[],MATCH($A377,lmic_raw_ub[[setting]:[setting]],0), MATCH(J$277, lmic_raw_ub[#Headers],0)))</f>
        <v>0.99645000000000006</v>
      </c>
      <c r="K377" s="84">
        <f>IF(INDEX(lmic_raw_ub[],MATCH($A377,lmic_raw_ub[[setting]:[setting]],0), MATCH(K$277, lmic_raw_ub[#Headers],0))=0, INDEX(regions_ub[], MATCH($D377, regions_ub[[setting]:[setting]],0), MATCH(K$139, regions_ub[#Headers],0)),INDEX(lmic_raw_ub[],MATCH($A377,lmic_raw_ub[[setting]:[setting]],0), MATCH(K$277, lmic_raw_ub[#Headers],0)))</f>
        <v>0.99990000000000001</v>
      </c>
      <c r="L377" s="84">
        <f>IF(INDEX(lmic_raw_ub[],MATCH($A377,lmic_raw_ub[[setting]:[setting]],0), MATCH(L$277, lmic_raw_ub[#Headers],0))=0, INDEX(regions_ub[], MATCH($D377, regions_ub[[setting]:[setting]],0), MATCH(L$139, regions_ub[#Headers],0)),INDEX(lmic_raw_ub[],MATCH($A377,lmic_raw_ub[[setting]:[setting]],0), MATCH(L$277, lmic_raw_ub[#Headers],0)))</f>
        <v>0.94500000000000006</v>
      </c>
      <c r="M377" s="84">
        <f>IF(INDEX(lmic_raw_ub[],MATCH($A377,lmic_raw_ub[[setting]:[setting]],0), MATCH(M$277, lmic_raw_ub[#Headers],0))=0, INDEX(regions_ub[], MATCH($D377, regions_ub[[setting]:[setting]],0), MATCH(M$139, regions_ub[#Headers],0)),INDEX(lmic_raw_ub[],MATCH($A377,lmic_raw_ub[[setting]:[setting]],0), MATCH(M$277, lmic_raw_ub[#Headers],0)))</f>
        <v>5.8400000000000001E-2</v>
      </c>
      <c r="N377" s="84">
        <f>IF(INDEX(lmic_raw_ub[],MATCH($A377,lmic_raw_ub[[setting]:[setting]],0), MATCH(N$277, lmic_raw_ub[#Headers],0))=0, INDEX(regions_ub[], MATCH($D377, regions_ub[[setting]:[setting]],0), MATCH(N$139, regions_ub[#Headers],0)),INDEX(lmic_raw_ub[],MATCH($A377,lmic_raw_ub[[setting]:[setting]],0), MATCH(N$277, lmic_raw_ub[#Headers],0)))</f>
        <v>0.42849999999999999</v>
      </c>
      <c r="O377" s="84">
        <f>IF(INDEX(lmic_raw_ub[],MATCH($A377,lmic_raw_ub[[setting]:[setting]],0), MATCH(O$277, lmic_raw_ub[#Headers],0))=0, INDEX(regions_ub[], MATCH($D377, regions_ub[[setting]:[setting]],0), MATCH(O$139, regions_ub[#Headers],0)),INDEX(lmic_raw_ub[],MATCH($A377,lmic_raw_ub[[setting]:[setting]],0), MATCH(O$277, lmic_raw_ub[#Headers],0)))</f>
        <v>0.9</v>
      </c>
      <c r="P377" s="84">
        <f>IF(INDEX(lmic_raw_ub[],MATCH($A377,lmic_raw_ub[[setting]:[setting]],0), MATCH(P$277, lmic_raw_ub[#Headers],0))=0, INDEX(regions_ub[], MATCH($D377, regions_ub[[setting]:[setting]],0), MATCH(P$139, regions_ub[#Headers],0)),INDEX(lmic_raw_ub[],MATCH($A377,lmic_raw_ub[[setting]:[setting]],0), MATCH(P$277, lmic_raw_ub[#Headers],0)))</f>
        <v>0.3</v>
      </c>
      <c r="Q377" s="84">
        <f>IF(INDEX(lmic_raw_ub[],MATCH($A377,lmic_raw_ub[[setting]:[setting]],0), MATCH(Q$277, lmic_raw_ub[#Headers],0))=0, INDEX(regions_ub[], MATCH($D377, regions_ub[[setting]:[setting]],0), MATCH(Q$139, regions_ub[#Headers],0)),INDEX(lmic_raw_ub[],MATCH($A377,lmic_raw_ub[[setting]:[setting]],0), MATCH(Q$277, lmic_raw_ub[#Headers],0)))</f>
        <v>14.14451736941618</v>
      </c>
      <c r="R377" s="84">
        <f>IF(INDEX(lmic_raw_ub[],MATCH($A377,lmic_raw_ub[[setting]:[setting]],0), MATCH(R$277, lmic_raw_ub[#Headers],0))=0, INDEX(regions_ub[], MATCH($D377, regions_ub[[setting]:[setting]],0), MATCH(R$139, regions_ub[#Headers],0)),INDEX(lmic_raw_ub[],MATCH($A377,lmic_raw_ub[[setting]:[setting]],0), MATCH(R$277, lmic_raw_ub[#Headers],0)))</f>
        <v>46.76427000000001</v>
      </c>
      <c r="S377" s="84">
        <f>IF(INDEX(lmic_raw_ub[],MATCH($A377,lmic_raw_ub[[setting]:[setting]],0), MATCH(S$277, lmic_raw_ub[#Headers],0))=0, INDEX(regions_ub[], MATCH($D377, regions_ub[[setting]:[setting]],0), MATCH(S$139, regions_ub[#Headers],0)),INDEX(lmic_raw_ub[],MATCH($A377,lmic_raw_ub[[setting]:[setting]],0), MATCH(S$277, lmic_raw_ub[#Headers],0)))</f>
        <v>96.893370000000019</v>
      </c>
      <c r="T377" s="84">
        <f>IF(INDEX(lmic_raw_ub[],MATCH($A377,lmic_raw_ub[[setting]:[setting]],0), MATCH(T$277, lmic_raw_ub[#Headers],0))=0, INDEX(regions_ub[], MATCH($D377, regions_ub[[setting]:[setting]],0), MATCH(T$139, regions_ub[#Headers],0)),INDEX(lmic_raw_ub[],MATCH($A377,lmic_raw_ub[[setting]:[setting]],0), MATCH(T$277, lmic_raw_ub[#Headers],0)))</f>
        <v>96.893370000000019</v>
      </c>
      <c r="U377" s="84">
        <f>IF(INDEX(lmic_raw_ub[],MATCH($A377,lmic_raw_ub[[setting]:[setting]],0), MATCH(U$277, lmic_raw_ub[#Headers],0))=0, INDEX(regions_ub[], MATCH($D377, regions_ub[[setting]:[setting]],0), MATCH(U$139, regions_ub[#Headers],0)),INDEX(lmic_raw_ub[],MATCH($A377,lmic_raw_ub[[setting]:[setting]],0), MATCH(U$277, lmic_raw_ub[#Headers],0)))</f>
        <v>96.893370000000019</v>
      </c>
      <c r="V377" s="84">
        <f>IF(INDEX(lmic_raw_ub[],MATCH($A377,lmic_raw_ub[[setting]:[setting]],0), MATCH(V$277, lmic_raw_ub[#Headers],0))=0, INDEX(regions_ub[], MATCH($D377, regions_ub[[setting]:[setting]],0), MATCH(V$139, regions_ub[#Headers],0)),INDEX(lmic_raw_ub[],MATCH($A377,lmic_raw_ub[[setting]:[setting]],0), MATCH(V$277, lmic_raw_ub[#Headers],0)))</f>
        <v>10.437962773632282</v>
      </c>
      <c r="W377" s="84">
        <f>IF(INDEX(lmic_raw_ub[],MATCH($A377,lmic_raw_ub[[setting]:[setting]],0), MATCH(W$277, lmic_raw_ub[#Headers],0))=0, INDEX(regions_ub[], MATCH($D377, regions_ub[[setting]:[setting]],0), MATCH(W$139, regions_ub[#Headers],0)),INDEX(lmic_raw_ub[],MATCH($A377,lmic_raw_ub[[setting]:[setting]],0), MATCH(W$277, lmic_raw_ub[#Headers],0)))</f>
        <v>14.706947773632283</v>
      </c>
      <c r="X377" s="84">
        <f>IF(INDEX(lmic_raw_ub[],MATCH($A377,lmic_raw_ub[[setting]:[setting]],0), MATCH(X$277, lmic_raw_ub[#Headers],0))=0, INDEX(regions_ub[], MATCH($D377, regions_ub[[setting]:[setting]],0), MATCH(X$139, regions_ub[#Headers],0)),INDEX(lmic_raw_ub[],MATCH($A377,lmic_raw_ub[[setting]:[setting]],0), MATCH(X$277, lmic_raw_ub[#Headers],0)))</f>
        <v>9.878456524708394</v>
      </c>
      <c r="Y377" s="84">
        <f>IF(INDEX(lmic_raw_ub[],MATCH($A377,lmic_raw_ub[[setting]:[setting]],0), MATCH(Y$277, lmic_raw_ub[#Headers],0))=0, INDEX(regions_ub[], MATCH($D377, regions_ub[[setting]:[setting]],0), MATCH(Y$139, regions_ub[#Headers],0)),INDEX(lmic_raw_ub[],MATCH($A377,lmic_raw_ub[[setting]:[setting]],0), MATCH(Y$277, lmic_raw_ub[#Headers],0)))</f>
        <v>14.147441524708395</v>
      </c>
      <c r="Z377" s="84">
        <f>IF(INDEX(lmic_raw_ub[],MATCH($A377,lmic_raw_ub[[setting]:[setting]],0), MATCH(Z$277, lmic_raw_ub[#Headers],0))=0, INDEX(regions_ub[], MATCH($D377, regions_ub[[setting]:[setting]],0), MATCH(Z$139, regions_ub[#Headers],0)),INDEX(lmic_raw_ub[],MATCH($A377,lmic_raw_ub[[setting]:[setting]],0), MATCH(Z$277, lmic_raw_ub[#Headers],0)))</f>
        <v>14.105822618942742</v>
      </c>
      <c r="AA377" s="84">
        <f>IF(INDEX(lmic_raw_ub[],MATCH($A377,lmic_raw_ub[[setting]:[setting]],0), MATCH(AA$277, lmic_raw_ub[#Headers],0))=0, INDEX(regions_ub[], MATCH($D377, regions_ub[[setting]:[setting]],0), MATCH(AA$139, regions_ub[#Headers],0)),INDEX(lmic_raw_ub[],MATCH($A377,lmic_raw_ub[[setting]:[setting]],0), MATCH(AA$277, lmic_raw_ub[#Headers],0)))</f>
        <v>10.721041704387547</v>
      </c>
      <c r="AB377" s="84">
        <f>IF(INDEX(lmic_raw_ub[],MATCH($A377,lmic_raw_ub[[setting]:[setting]],0), MATCH(AB$277, lmic_raw_ub[#Headers],0))=0, INDEX(regions_ub[], MATCH($D377, regions_ub[[setting]:[setting]],0), MATCH(AB$139, regions_ub[#Headers],0)),INDEX(lmic_raw_ub[],MATCH($A377,lmic_raw_ub[[setting]:[setting]],0), MATCH(AB$277, lmic_raw_ub[#Headers],0)))</f>
        <v>14.990026704387548</v>
      </c>
      <c r="AC377" s="84">
        <f>IF(INDEX(lmic_raw_ub[],MATCH($A377,lmic_raw_ub[[setting]:[setting]],0), MATCH(AC$277, lmic_raw_ub[#Headers],0))=0, INDEX(regions_ub[], MATCH($D377, regions_ub[[setting]:[setting]],0), MATCH(AC$139, regions_ub[#Headers],0)),INDEX(lmic_raw_ub[],MATCH($A377,lmic_raw_ub[[setting]:[setting]],0), MATCH(AC$277, lmic_raw_ub[#Headers],0)))</f>
        <v>7.0184519999999901E-3</v>
      </c>
      <c r="AD377" s="84">
        <f>IF(INDEX(lmic_raw_ub[],MATCH($A377,lmic_raw_ub[[setting]:[setting]],0), MATCH(AD$277, lmic_raw_ub[#Headers],0))=0, INDEX(regions_ub[], MATCH($D377, regions_ub[[setting]:[setting]],0), MATCH(AD$139, regions_ub[#Headers],0)),INDEX(lmic_raw_ub[],MATCH($A377,lmic_raw_ub[[setting]:[setting]],0), MATCH(AD$277, lmic_raw_ub[#Headers],0)))</f>
        <v>3.1834325773710554E-4</v>
      </c>
      <c r="AE377" s="84">
        <f>IF(INDEX(lmic_raw_ub[],MATCH($A377,lmic_raw_ub[[setting]:[setting]],0), MATCH(AE$277, lmic_raw_ub[#Headers],0))=0, INDEX(regions_ub[], MATCH($D377, regions_ub[[setting]:[setting]],0), MATCH(AE$139, regions_ub[#Headers],0)),INDEX(lmic_raw_ub[],MATCH($A377,lmic_raw_ub[[setting]:[setting]],0), MATCH(AE$277, lmic_raw_ub[#Headers],0)))</f>
        <v>1.4962940693952795E-4</v>
      </c>
      <c r="AF377" s="84">
        <f>IF(INDEX(lmic_raw_ub[],MATCH($A377,lmic_raw_ub[[setting]:[setting]],0), MATCH(AF$277, lmic_raw_ub[#Headers],0))=0, INDEX(regions_ub[], MATCH($D377, regions_ub[[setting]:[setting]],0), MATCH(AF$139, regions_ub[#Headers],0)),INDEX(lmic_raw_ub[],MATCH($A377,lmic_raw_ub[[setting]:[setting]],0), MATCH(AF$277, lmic_raw_ub[#Headers],0)))</f>
        <v>2.0458284709961075E-4</v>
      </c>
      <c r="AG377" s="84">
        <f>IF(INDEX(lmic_raw_ub[],MATCH($A377,lmic_raw_ub[[setting]:[setting]],0), MATCH(AG$277, lmic_raw_ub[#Headers],0))=0, INDEX(regions_ub[], MATCH($D377, regions_ub[[setting]:[setting]],0), MATCH(AG$139, regions_ub[#Headers],0)),INDEX(lmic_raw_ub[],MATCH($A377,lmic_raw_ub[[setting]:[setting]],0), MATCH(AG$277, lmic_raw_ub[#Headers],0)))</f>
        <v>3.7920874231048008E-4</v>
      </c>
      <c r="AH377" s="84">
        <f>IF(INDEX(lmic_raw_ub[],MATCH($A377,lmic_raw_ub[[setting]:[setting]],0), MATCH(AH$277, lmic_raw_ub[#Headers],0))=0, INDEX(regions_ub[], MATCH($D377, regions_ub[[setting]:[setting]],0), MATCH(AH$139, regions_ub[#Headers],0)),INDEX(lmic_raw_ub[],MATCH($A377,lmic_raw_ub[[setting]:[setting]],0), MATCH(AH$277, lmic_raw_ub[#Headers],0)))</f>
        <v>4.9271677979517009E-4</v>
      </c>
      <c r="AI377" s="84">
        <f>IF(INDEX(lmic_raw_ub[],MATCH($A377,lmic_raw_ub[[setting]:[setting]],0), MATCH(AI$277, lmic_raw_ub[#Headers],0))=0, INDEX(regions_ub[], MATCH($D377, regions_ub[[setting]:[setting]],0), MATCH(AI$139, regions_ub[#Headers],0)),INDEX(lmic_raw_ub[],MATCH($A377,lmic_raw_ub[[setting]:[setting]],0), MATCH(AI$277, lmic_raw_ub[#Headers],0)))</f>
        <v>6.8378951808910923E-4</v>
      </c>
      <c r="AJ377" s="84">
        <f>IF(INDEX(lmic_raw_ub[],MATCH($A377,lmic_raw_ub[[setting]:[setting]],0), MATCH(AJ$277, lmic_raw_ub[#Headers],0))=0, INDEX(regions_ub[], MATCH($D377, regions_ub[[setting]:[setting]],0), MATCH(AJ$139, regions_ub[#Headers],0)),INDEX(lmic_raw_ub[],MATCH($A377,lmic_raw_ub[[setting]:[setting]],0), MATCH(AJ$277, lmic_raw_ub[#Headers],0)))</f>
        <v>7.8254756719900031E-4</v>
      </c>
      <c r="AK377" s="84">
        <f>IF(INDEX(lmic_raw_ub[],MATCH($A377,lmic_raw_ub[[setting]:[setting]],0), MATCH(AK$277, lmic_raw_ub[#Headers],0))=0, INDEX(regions_ub[], MATCH($D377, regions_ub[[setting]:[setting]],0), MATCH(AK$139, regions_ub[#Headers],0)),INDEX(lmic_raw_ub[],MATCH($A377,lmic_raw_ub[[setting]:[setting]],0), MATCH(AK$277, lmic_raw_ub[#Headers],0)))</f>
        <v>1.2626091406555792E-3</v>
      </c>
      <c r="AL377" s="84">
        <f>IF(INDEX(lmic_raw_ub[],MATCH($A377,lmic_raw_ub[[setting]:[setting]],0), MATCH(AL$277, lmic_raw_ub[#Headers],0))=0, INDEX(regions_ub[], MATCH($D377, regions_ub[[setting]:[setting]],0), MATCH(AL$139, regions_ub[#Headers],0)),INDEX(lmic_raw_ub[],MATCH($A377,lmic_raw_ub[[setting]:[setting]],0), MATCH(AL$277, lmic_raw_ub[#Headers],0)))</f>
        <v>2.356641519909749E-3</v>
      </c>
      <c r="AM377" s="84">
        <f>IF(INDEX(lmic_raw_ub[],MATCH($A377,lmic_raw_ub[[setting]:[setting]],0), MATCH(AM$277, lmic_raw_ub[#Headers],0))=0, INDEX(regions_ub[], MATCH($D377, regions_ub[[setting]:[setting]],0), MATCH(AM$139, regions_ub[#Headers],0)),INDEX(lmic_raw_ub[],MATCH($A377,lmic_raw_ub[[setting]:[setting]],0), MATCH(AM$277, lmic_raw_ub[#Headers],0)))</f>
        <v>3.7139673608463765E-3</v>
      </c>
      <c r="AN377" s="84">
        <f>IF(INDEX(lmic_raw_ub[],MATCH($A377,lmic_raw_ub[[setting]:[setting]],0), MATCH(AN$277, lmic_raw_ub[#Headers],0))=0, INDEX(regions_ub[], MATCH($D377, regions_ub[[setting]:[setting]],0), MATCH(AN$139, regions_ub[#Headers],0)),INDEX(lmic_raw_ub[],MATCH($A377,lmic_raw_ub[[setting]:[setting]],0), MATCH(AN$277, lmic_raw_ub[#Headers],0)))</f>
        <v>6.6573697632187744E-3</v>
      </c>
      <c r="AO377" s="84">
        <f>IF(INDEX(lmic_raw_ub[],MATCH($A377,lmic_raw_ub[[setting]:[setting]],0), MATCH(AO$277, lmic_raw_ub[#Headers],0))=0, INDEX(regions_ub[], MATCH($D377, regions_ub[[setting]:[setting]],0), MATCH(AO$139, regions_ub[#Headers],0)),INDEX(lmic_raw_ub[],MATCH($A377,lmic_raw_ub[[setting]:[setting]],0), MATCH(AO$277, lmic_raw_ub[#Headers],0)))</f>
        <v>1.1168292730980739E-2</v>
      </c>
      <c r="AP377" s="84">
        <f>IF(INDEX(lmic_raw_ub[],MATCH($A377,lmic_raw_ub[[setting]:[setting]],0), MATCH(AP$277, lmic_raw_ub[#Headers],0))=0, INDEX(regions_ub[], MATCH($D377, regions_ub[[setting]:[setting]],0), MATCH(AP$139, regions_ub[#Headers],0)),INDEX(lmic_raw_ub[],MATCH($A377,lmic_raw_ub[[setting]:[setting]],0), MATCH(AP$277, lmic_raw_ub[#Headers],0)))</f>
        <v>1.612834392871175E-2</v>
      </c>
      <c r="AQ377" s="84">
        <f>IF(INDEX(lmic_raw_ub[],MATCH($A377,lmic_raw_ub[[setting]:[setting]],0), MATCH(AQ$277, lmic_raw_ub[#Headers],0))=0, INDEX(regions_ub[], MATCH($D377, regions_ub[[setting]:[setting]],0), MATCH(AQ$139, regions_ub[#Headers],0)),INDEX(lmic_raw_ub[],MATCH($A377,lmic_raw_ub[[setting]:[setting]],0), MATCH(AQ$277, lmic_raw_ub[#Headers],0)))</f>
        <v>2.0966345575680733E-2</v>
      </c>
      <c r="AR377" s="84">
        <f>IF(INDEX(lmic_raw_ub[],MATCH($A377,lmic_raw_ub[[setting]:[setting]],0), MATCH(AR$277, lmic_raw_ub[#Headers],0))=0, INDEX(regions_ub[], MATCH($D377, regions_ub[[setting]:[setting]],0), MATCH(AR$139, regions_ub[#Headers],0)),INDEX(lmic_raw_ub[],MATCH($A377,lmic_raw_ub[[setting]:[setting]],0), MATCH(AR$277, lmic_raw_ub[#Headers],0)))</f>
        <v>3.0368320793221909E-2</v>
      </c>
      <c r="AS377" s="84">
        <f>IF(INDEX(lmic_raw_ub[],MATCH($A377,lmic_raw_ub[[setting]:[setting]],0), MATCH(AS$277, lmic_raw_ub[#Headers],0))=0, INDEX(regions_ub[], MATCH($D377, regions_ub[[setting]:[setting]],0), MATCH(AS$139, regions_ub[#Headers],0)),INDEX(lmic_raw_ub[],MATCH($A377,lmic_raw_ub[[setting]:[setting]],0), MATCH(AS$277, lmic_raw_ub[#Headers],0)))</f>
        <v>4.855983006970082E-2</v>
      </c>
      <c r="AT377" s="84">
        <f>IF(INDEX(lmic_raw_ub[],MATCH($A377,lmic_raw_ub[[setting]:[setting]],0), MATCH(AT$277, lmic_raw_ub[#Headers],0))=0, INDEX(regions_ub[], MATCH($D377, regions_ub[[setting]:[setting]],0), MATCH(AT$139, regions_ub[#Headers],0)),INDEX(lmic_raw_ub[],MATCH($A377,lmic_raw_ub[[setting]:[setting]],0), MATCH(AT$277, lmic_raw_ub[#Headers],0)))</f>
        <v>7.719790908925693E-2</v>
      </c>
      <c r="AU377" s="84">
        <f>IF(INDEX(lmic_raw_ub[],MATCH($A377,lmic_raw_ub[[setting]:[setting]],0), MATCH(AU$277, lmic_raw_ub[#Headers],0))=0, INDEX(regions_ub[], MATCH($D377, regions_ub[[setting]:[setting]],0), MATCH(AU$139, regions_ub[#Headers],0)),INDEX(lmic_raw_ub[],MATCH($A377,lmic_raw_ub[[setting]:[setting]],0), MATCH(AU$277, lmic_raw_ub[#Headers],0)))</f>
        <v>0.1140872377370121</v>
      </c>
      <c r="AV377" s="84">
        <f>IF(INDEX(lmic_raw_ub[],MATCH($A377,lmic_raw_ub[[setting]:[setting]],0), MATCH(AV$277, lmic_raw_ub[#Headers],0))=0, INDEX(regions_ub[], MATCH($D377, regions_ub[[setting]:[setting]],0), MATCH(AV$139, regions_ub[#Headers],0)),INDEX(lmic_raw_ub[],MATCH($A377,lmic_raw_ub[[setting]:[setting]],0), MATCH(AV$277, lmic_raw_ub[#Headers],0)))</f>
        <v>0.149963715098276</v>
      </c>
      <c r="AW377" s="84">
        <f>IF(INDEX(lmic_raw_ub[],MATCH($A377,lmic_raw_ub[[setting]:[setting]],0), MATCH(AW$277, lmic_raw_ub[#Headers],0))=0, INDEX(regions_ub[], MATCH($D377, regions_ub[[setting]:[setting]],0), MATCH(AW$139, regions_ub[#Headers],0)),INDEX(lmic_raw_ub[],MATCH($A377,lmic_raw_ub[[setting]:[setting]],0), MATCH(AW$277, lmic_raw_ub[#Headers],0)))</f>
        <v>0.1767863205967124</v>
      </c>
      <c r="AX377" s="84">
        <f>IF(INDEX(lmic_raw_ub[],MATCH($A377,lmic_raw_ub[[setting]:[setting]],0), MATCH(AX$277, lmic_raw_ub[#Headers],0))=0, INDEX(regions_ub[], MATCH($D377, regions_ub[[setting]:[setting]],0), MATCH(AX$139, regions_ub[#Headers],0)),INDEX(lmic_raw_ub[],MATCH($A377,lmic_raw_ub[[setting]:[setting]],0), MATCH(AX$277, lmic_raw_ub[#Headers],0)))</f>
        <v>79.618350000000007</v>
      </c>
      <c r="AY377" s="33" t="str">
        <f>IF(VLOOKUP(lmics_ub[[#This Row],[setting]],lmic_raw_ub[],11,FALSE)=0, "Yes", "No")</f>
        <v>No</v>
      </c>
    </row>
    <row r="378" spans="1:51" x14ac:dyDescent="0.25">
      <c r="A378" s="109" t="s">
        <v>641</v>
      </c>
      <c r="B378" s="101" t="s">
        <v>501</v>
      </c>
      <c r="C378" s="102">
        <v>643</v>
      </c>
      <c r="D378" s="82" t="s">
        <v>675</v>
      </c>
      <c r="E378" s="82" t="s">
        <v>306</v>
      </c>
      <c r="F378" s="82" t="s">
        <v>663</v>
      </c>
      <c r="G378" s="82" t="s">
        <v>676</v>
      </c>
      <c r="J378" s="84">
        <f>IF(INDEX(lmic_raw_ub[],MATCH($A378,lmic_raw_ub[[setting]:[setting]],0), MATCH(J$277, lmic_raw_ub[#Headers],0))=0, INDEX(regions_ub[], MATCH($D378, regions_ub[[setting]:[setting]],0), MATCH(J$139, regions_ub[#Headers],0)),INDEX(lmic_raw_ub[],MATCH($A378,lmic_raw_ub[[setting]:[setting]],0), MATCH(J$277, lmic_raw_ub[#Headers],0)))</f>
        <v>0.99990000000000001</v>
      </c>
      <c r="K378" s="84">
        <f>IF(INDEX(lmic_raw_ub[],MATCH($A378,lmic_raw_ub[[setting]:[setting]],0), MATCH(K$277, lmic_raw_ub[#Headers],0))=0, INDEX(regions_ub[], MATCH($D378, regions_ub[[setting]:[setting]],0), MATCH(K$139, regions_ub[#Headers],0)),INDEX(lmic_raw_ub[],MATCH($A378,lmic_raw_ub[[setting]:[setting]],0), MATCH(K$277, lmic_raw_ub[#Headers],0)))</f>
        <v>0.96095440088755346</v>
      </c>
      <c r="L378" s="84">
        <f>IF(INDEX(lmic_raw_ub[],MATCH($A378,lmic_raw_ub[[setting]:[setting]],0), MATCH(L$277, lmic_raw_ub[#Headers],0))=0, INDEX(regions_ub[], MATCH($D378, regions_ub[[setting]:[setting]],0), MATCH(L$139, regions_ub[#Headers],0)),INDEX(lmic_raw_ub[],MATCH($A378,lmic_raw_ub[[setting]:[setting]],0), MATCH(L$277, lmic_raw_ub[#Headers],0)))</f>
        <v>0.99990000000000001</v>
      </c>
      <c r="M378" s="84">
        <f>IF(INDEX(lmic_raw_ub[],MATCH($A378,lmic_raw_ub[[setting]:[setting]],0), MATCH(M$277, lmic_raw_ub[#Headers],0))=0, INDEX(regions_ub[], MATCH($D378, regions_ub[[setting]:[setting]],0), MATCH(M$139, regions_ub[#Headers],0)),INDEX(lmic_raw_ub[],MATCH($A378,lmic_raw_ub[[setting]:[setting]],0), MATCH(M$277, lmic_raw_ub[#Headers],0)))</f>
        <v>3.5299999999999998E-2</v>
      </c>
      <c r="N378" s="84">
        <f>IF(INDEX(lmic_raw_ub[],MATCH($A378,lmic_raw_ub[[setting]:[setting]],0), MATCH(N$277, lmic_raw_ub[#Headers],0))=0, INDEX(regions_ub[], MATCH($D378, regions_ub[[setting]:[setting]],0), MATCH(N$139, regions_ub[#Headers],0)),INDEX(lmic_raw_ub[],MATCH($A378,lmic_raw_ub[[setting]:[setting]],0), MATCH(N$277, lmic_raw_ub[#Headers],0)))</f>
        <v>0.42969999999999997</v>
      </c>
      <c r="O378" s="84">
        <f>IF(INDEX(lmic_raw_ub[],MATCH($A378,lmic_raw_ub[[setting]:[setting]],0), MATCH(O$277, lmic_raw_ub[#Headers],0))=0, INDEX(regions_ub[], MATCH($D378, regions_ub[[setting]:[setting]],0), MATCH(O$139, regions_ub[#Headers],0)),INDEX(lmic_raw_ub[],MATCH($A378,lmic_raw_ub[[setting]:[setting]],0), MATCH(O$277, lmic_raw_ub[#Headers],0)))</f>
        <v>0.9</v>
      </c>
      <c r="P378" s="84">
        <f>IF(INDEX(lmic_raw_ub[],MATCH($A378,lmic_raw_ub[[setting]:[setting]],0), MATCH(P$277, lmic_raw_ub[#Headers],0))=0, INDEX(regions_ub[], MATCH($D378, regions_ub[[setting]:[setting]],0), MATCH(P$139, regions_ub[#Headers],0)),INDEX(lmic_raw_ub[],MATCH($A378,lmic_raw_ub[[setting]:[setting]],0), MATCH(P$277, lmic_raw_ub[#Headers],0)))</f>
        <v>0.3</v>
      </c>
      <c r="Q378" s="84">
        <f>IF(INDEX(lmic_raw_ub[],MATCH($A378,lmic_raw_ub[[setting]:[setting]],0), MATCH(Q$277, lmic_raw_ub[#Headers],0))=0, INDEX(regions_ub[], MATCH($D378, regions_ub[[setting]:[setting]],0), MATCH(Q$139, regions_ub[#Headers],0)),INDEX(lmic_raw_ub[],MATCH($A378,lmic_raw_ub[[setting]:[setting]],0), MATCH(Q$277, lmic_raw_ub[#Headers],0)))</f>
        <v>18.655943334365467</v>
      </c>
      <c r="R378" s="84">
        <f>IF(INDEX(lmic_raw_ub[],MATCH($A378,lmic_raw_ub[[setting]:[setting]],0), MATCH(R$277, lmic_raw_ub[#Headers],0))=0, INDEX(regions_ub[], MATCH($D378, regions_ub[[setting]:[setting]],0), MATCH(R$139, regions_ub[#Headers],0)),INDEX(lmic_raw_ub[],MATCH($A378,lmic_raw_ub[[setting]:[setting]],0), MATCH(R$277, lmic_raw_ub[#Headers],0)))</f>
        <v>46.76427000000001</v>
      </c>
      <c r="S378" s="84">
        <f>IF(INDEX(lmic_raw_ub[],MATCH($A378,lmic_raw_ub[[setting]:[setting]],0), MATCH(S$277, lmic_raw_ub[#Headers],0))=0, INDEX(regions_ub[], MATCH($D378, regions_ub[[setting]:[setting]],0), MATCH(S$139, regions_ub[#Headers],0)),INDEX(lmic_raw_ub[],MATCH($A378,lmic_raw_ub[[setting]:[setting]],0), MATCH(S$277, lmic_raw_ub[#Headers],0)))</f>
        <v>96.893370000000019</v>
      </c>
      <c r="T378" s="84">
        <f>IF(INDEX(lmic_raw_ub[],MATCH($A378,lmic_raw_ub[[setting]:[setting]],0), MATCH(T$277, lmic_raw_ub[#Headers],0))=0, INDEX(regions_ub[], MATCH($D378, regions_ub[[setting]:[setting]],0), MATCH(T$139, regions_ub[#Headers],0)),INDEX(lmic_raw_ub[],MATCH($A378,lmic_raw_ub[[setting]:[setting]],0), MATCH(T$277, lmic_raw_ub[#Headers],0)))</f>
        <v>96.893370000000019</v>
      </c>
      <c r="U378" s="84">
        <f>IF(INDEX(lmic_raw_ub[],MATCH($A378,lmic_raw_ub[[setting]:[setting]],0), MATCH(U$277, lmic_raw_ub[#Headers],0))=0, INDEX(regions_ub[], MATCH($D378, regions_ub[[setting]:[setting]],0), MATCH(U$139, regions_ub[#Headers],0)),INDEX(lmic_raw_ub[],MATCH($A378,lmic_raw_ub[[setting]:[setting]],0), MATCH(U$277, lmic_raw_ub[#Headers],0)))</f>
        <v>96.893370000000019</v>
      </c>
      <c r="V378" s="84">
        <f>IF(INDEX(lmic_raw_ub[],MATCH($A378,lmic_raw_ub[[setting]:[setting]],0), MATCH(V$277, lmic_raw_ub[#Headers],0))=0, INDEX(regions_ub[], MATCH($D378, regions_ub[[setting]:[setting]],0), MATCH(V$139, regions_ub[#Headers],0)),INDEX(lmic_raw_ub[],MATCH($A378,lmic_raw_ub[[setting]:[setting]],0), MATCH(V$277, lmic_raw_ub[#Headers],0)))</f>
        <v>10.25621022188548</v>
      </c>
      <c r="W378" s="84">
        <f>IF(INDEX(lmic_raw_ub[],MATCH($A378,lmic_raw_ub[[setting]:[setting]],0), MATCH(W$277, lmic_raw_ub[#Headers],0))=0, INDEX(regions_ub[], MATCH($D378, regions_ub[[setting]:[setting]],0), MATCH(W$139, regions_ub[#Headers],0)),INDEX(lmic_raw_ub[],MATCH($A378,lmic_raw_ub[[setting]:[setting]],0), MATCH(W$277, lmic_raw_ub[#Headers],0)))</f>
        <v>14.525195221885481</v>
      </c>
      <c r="X378" s="84">
        <f>IF(INDEX(lmic_raw_ub[],MATCH($A378,lmic_raw_ub[[setting]:[setting]],0), MATCH(X$277, lmic_raw_ub[#Headers],0))=0, INDEX(regions_ub[], MATCH($D378, regions_ub[[setting]:[setting]],0), MATCH(X$139, regions_ub[#Headers],0)),INDEX(lmic_raw_ub[],MATCH($A378,lmic_raw_ub[[setting]:[setting]],0), MATCH(X$277, lmic_raw_ub[#Headers],0)))</f>
        <v>9.7043162758120829</v>
      </c>
      <c r="Y378" s="84">
        <f>IF(INDEX(lmic_raw_ub[],MATCH($A378,lmic_raw_ub[[setting]:[setting]],0), MATCH(Y$277, lmic_raw_ub[#Headers],0))=0, INDEX(regions_ub[], MATCH($D378, regions_ub[[setting]:[setting]],0), MATCH(Y$139, regions_ub[#Headers],0)),INDEX(lmic_raw_ub[],MATCH($A378,lmic_raw_ub[[setting]:[setting]],0), MATCH(Y$277, lmic_raw_ub[#Headers],0)))</f>
        <v>13.973301275812084</v>
      </c>
      <c r="Z378" s="84">
        <f>IF(INDEX(lmic_raw_ub[],MATCH($A378,lmic_raw_ub[[setting]:[setting]],0), MATCH(Z$277, lmic_raw_ub[#Headers],0))=0, INDEX(regions_ub[], MATCH($D378, regions_ub[[setting]:[setting]],0), MATCH(Z$139, regions_ub[#Headers],0)),INDEX(lmic_raw_ub[],MATCH($A378,lmic_raw_ub[[setting]:[setting]],0), MATCH(Z$277, lmic_raw_ub[#Headers],0)))</f>
        <v>13.935668006164796</v>
      </c>
      <c r="AA378" s="84">
        <f>IF(INDEX(lmic_raw_ub[],MATCH($A378,lmic_raw_ub[[setting]:[setting]],0), MATCH(AA$277, lmic_raw_ub[#Headers],0))=0, INDEX(regions_ub[], MATCH($D378, regions_ub[[setting]:[setting]],0), MATCH(AA$139, regions_ub[#Headers],0)),INDEX(lmic_raw_ub[],MATCH($A378,lmic_raw_ub[[setting]:[setting]],0), MATCH(AA$277, lmic_raw_ub[#Headers],0)))</f>
        <v>10.537561206594926</v>
      </c>
      <c r="AB378" s="84">
        <f>IF(INDEX(lmic_raw_ub[],MATCH($A378,lmic_raw_ub[[setting]:[setting]],0), MATCH(AB$277, lmic_raw_ub[#Headers],0))=0, INDEX(regions_ub[], MATCH($D378, regions_ub[[setting]:[setting]],0), MATCH(AB$139, regions_ub[#Headers],0)),INDEX(lmic_raw_ub[],MATCH($A378,lmic_raw_ub[[setting]:[setting]],0), MATCH(AB$277, lmic_raw_ub[#Headers],0)))</f>
        <v>14.806546206594927</v>
      </c>
      <c r="AC378" s="84">
        <f>IF(INDEX(lmic_raw_ub[],MATCH($A378,lmic_raw_ub[[setting]:[setting]],0), MATCH(AC$277, lmic_raw_ub[#Headers],0))=0, INDEX(regions_ub[], MATCH($D378, regions_ub[[setting]:[setting]],0), MATCH(AC$139, regions_ub[#Headers],0)),INDEX(lmic_raw_ub[],MATCH($A378,lmic_raw_ub[[setting]:[setting]],0), MATCH(AC$277, lmic_raw_ub[#Headers],0)))</f>
        <v>6.0464565000000296E-3</v>
      </c>
      <c r="AD378" s="84">
        <f>IF(INDEX(lmic_raw_ub[],MATCH($A378,lmic_raw_ub[[setting]:[setting]],0), MATCH(AD$277, lmic_raw_ub[#Headers],0))=0, INDEX(regions_ub[], MATCH($D378, regions_ub[[setting]:[setting]],0), MATCH(AD$139, regions_ub[#Headers],0)),INDEX(lmic_raw_ub[],MATCH($A378,lmic_raw_ub[[setting]:[setting]],0), MATCH(AD$277, lmic_raw_ub[#Headers],0)))</f>
        <v>3.5774496008498814E-4</v>
      </c>
      <c r="AE378" s="84">
        <f>IF(INDEX(lmic_raw_ub[],MATCH($A378,lmic_raw_ub[[setting]:[setting]],0), MATCH(AE$277, lmic_raw_ub[#Headers],0))=0, INDEX(regions_ub[], MATCH($D378, regions_ub[[setting]:[setting]],0), MATCH(AE$139, regions_ub[#Headers],0)),INDEX(lmic_raw_ub[],MATCH($A378,lmic_raw_ub[[setting]:[setting]],0), MATCH(AE$277, lmic_raw_ub[#Headers],0)))</f>
        <v>2.0700584018428213E-4</v>
      </c>
      <c r="AF378" s="84">
        <f>IF(INDEX(lmic_raw_ub[],MATCH($A378,lmic_raw_ub[[setting]:[setting]],0), MATCH(AF$277, lmic_raw_ub[#Headers],0))=0, INDEX(regions_ub[], MATCH($D378, regions_ub[[setting]:[setting]],0), MATCH(AF$139, regions_ub[#Headers],0)),INDEX(lmic_raw_ub[],MATCH($A378,lmic_raw_ub[[setting]:[setting]],0), MATCH(AF$277, lmic_raw_ub[#Headers],0)))</f>
        <v>2.7298092993022471E-4</v>
      </c>
      <c r="AG378" s="84">
        <f>IF(INDEX(lmic_raw_ub[],MATCH($A378,lmic_raw_ub[[setting]:[setting]],0), MATCH(AG$277, lmic_raw_ub[#Headers],0))=0, INDEX(regions_ub[], MATCH($D378, regions_ub[[setting]:[setting]],0), MATCH(AG$139, regions_ub[#Headers],0)),INDEX(lmic_raw_ub[],MATCH($A378,lmic_raw_ub[[setting]:[setting]],0), MATCH(AG$277, lmic_raw_ub[#Headers],0)))</f>
        <v>6.5764226295985642E-4</v>
      </c>
      <c r="AH378" s="84">
        <f>IF(INDEX(lmic_raw_ub[],MATCH($A378,lmic_raw_ub[[setting]:[setting]],0), MATCH(AH$277, lmic_raw_ub[#Headers],0))=0, INDEX(regions_ub[], MATCH($D378, regions_ub[[setting]:[setting]],0), MATCH(AH$139, regions_ub[#Headers],0)),INDEX(lmic_raw_ub[],MATCH($A378,lmic_raw_ub[[setting]:[setting]],0), MATCH(AH$277, lmic_raw_ub[#Headers],0)))</f>
        <v>1.1661859369565123E-3</v>
      </c>
      <c r="AI378" s="84">
        <f>IF(INDEX(lmic_raw_ub[],MATCH($A378,lmic_raw_ub[[setting]:[setting]],0), MATCH(AI$277, lmic_raw_ub[#Headers],0))=0, INDEX(regions_ub[], MATCH($D378, regions_ub[[setting]:[setting]],0), MATCH(AI$139, regions_ub[#Headers],0)),INDEX(lmic_raw_ub[],MATCH($A378,lmic_raw_ub[[setting]:[setting]],0), MATCH(AI$277, lmic_raw_ub[#Headers],0)))</f>
        <v>1.8728691953136306E-3</v>
      </c>
      <c r="AJ378" s="84">
        <f>IF(INDEX(lmic_raw_ub[],MATCH($A378,lmic_raw_ub[[setting]:[setting]],0), MATCH(AJ$277, lmic_raw_ub[#Headers],0))=0, INDEX(regions_ub[], MATCH($D378, regions_ub[[setting]:[setting]],0), MATCH(AJ$139, regions_ub[#Headers],0)),INDEX(lmic_raw_ub[],MATCH($A378,lmic_raw_ub[[setting]:[setting]],0), MATCH(AJ$277, lmic_raw_ub[#Headers],0)))</f>
        <v>3.1430717674886437E-3</v>
      </c>
      <c r="AK378" s="84">
        <f>IF(INDEX(lmic_raw_ub[],MATCH($A378,lmic_raw_ub[[setting]:[setting]],0), MATCH(AK$277, lmic_raw_ub[#Headers],0))=0, INDEX(regions_ub[], MATCH($D378, regions_ub[[setting]:[setting]],0), MATCH(AK$139, regions_ub[#Headers],0)),INDEX(lmic_raw_ub[],MATCH($A378,lmic_raw_ub[[setting]:[setting]],0), MATCH(AK$277, lmic_raw_ub[#Headers],0)))</f>
        <v>4.6093032032654673E-3</v>
      </c>
      <c r="AL378" s="84">
        <f>IF(INDEX(lmic_raw_ub[],MATCH($A378,lmic_raw_ub[[setting]:[setting]],0), MATCH(AL$277, lmic_raw_ub[#Headers],0))=0, INDEX(regions_ub[], MATCH($D378, regions_ub[[setting]:[setting]],0), MATCH(AL$139, regions_ub[#Headers],0)),INDEX(lmic_raw_ub[],MATCH($A378,lmic_raw_ub[[setting]:[setting]],0), MATCH(AL$277, lmic_raw_ub[#Headers],0)))</f>
        <v>5.5311588229761529E-3</v>
      </c>
      <c r="AM378" s="84">
        <f>IF(INDEX(lmic_raw_ub[],MATCH($A378,lmic_raw_ub[[setting]:[setting]],0), MATCH(AM$277, lmic_raw_ub[#Headers],0))=0, INDEX(regions_ub[], MATCH($D378, regions_ub[[setting]:[setting]],0), MATCH(AM$139, regions_ub[#Headers],0)),INDEX(lmic_raw_ub[],MATCH($A378,lmic_raw_ub[[setting]:[setting]],0), MATCH(AM$277, lmic_raw_ub[#Headers],0)))</f>
        <v>6.796692394021967E-3</v>
      </c>
      <c r="AN378" s="84">
        <f>IF(INDEX(lmic_raw_ub[],MATCH($A378,lmic_raw_ub[[setting]:[setting]],0), MATCH(AN$277, lmic_raw_ub[#Headers],0))=0, INDEX(regions_ub[], MATCH($D378, regions_ub[[setting]:[setting]],0), MATCH(AN$139, regions_ub[#Headers],0)),INDEX(lmic_raw_ub[],MATCH($A378,lmic_raw_ub[[setting]:[setting]],0), MATCH(AN$277, lmic_raw_ub[#Headers],0)))</f>
        <v>9.2742136261744039E-3</v>
      </c>
      <c r="AO378" s="84">
        <f>IF(INDEX(lmic_raw_ub[],MATCH($A378,lmic_raw_ub[[setting]:[setting]],0), MATCH(AO$277, lmic_raw_ub[#Headers],0))=0, INDEX(regions_ub[], MATCH($D378, regions_ub[[setting]:[setting]],0), MATCH(AO$139, regions_ub[#Headers],0)),INDEX(lmic_raw_ub[],MATCH($A378,lmic_raw_ub[[setting]:[setting]],0), MATCH(AO$277, lmic_raw_ub[#Headers],0)))</f>
        <v>1.2947815628750636E-2</v>
      </c>
      <c r="AP378" s="84">
        <f>IF(INDEX(lmic_raw_ub[],MATCH($A378,lmic_raw_ub[[setting]:[setting]],0), MATCH(AP$277, lmic_raw_ub[#Headers],0))=0, INDEX(regions_ub[], MATCH($D378, regions_ub[[setting]:[setting]],0), MATCH(AP$139, regions_ub[#Headers],0)),INDEX(lmic_raw_ub[],MATCH($A378,lmic_raw_ub[[setting]:[setting]],0), MATCH(AP$277, lmic_raw_ub[#Headers],0)))</f>
        <v>1.862264817536869E-2</v>
      </c>
      <c r="AQ378" s="84">
        <f>IF(INDEX(lmic_raw_ub[],MATCH($A378,lmic_raw_ub[[setting]:[setting]],0), MATCH(AQ$277, lmic_raw_ub[#Headers],0))=0, INDEX(regions_ub[], MATCH($D378, regions_ub[[setting]:[setting]],0), MATCH(AQ$139, regions_ub[#Headers],0)),INDEX(lmic_raw_ub[],MATCH($A378,lmic_raw_ub[[setting]:[setting]],0), MATCH(AQ$277, lmic_raw_ub[#Headers],0)))</f>
        <v>2.517794933955975E-2</v>
      </c>
      <c r="AR378" s="84">
        <f>IF(INDEX(lmic_raw_ub[],MATCH($A378,lmic_raw_ub[[setting]:[setting]],0), MATCH(AR$277, lmic_raw_ub[#Headers],0))=0, INDEX(regions_ub[], MATCH($D378, regions_ub[[setting]:[setting]],0), MATCH(AR$139, regions_ub[#Headers],0)),INDEX(lmic_raw_ub[],MATCH($A378,lmic_raw_ub[[setting]:[setting]],0), MATCH(AR$277, lmic_raw_ub[#Headers],0)))</f>
        <v>3.4732336754161791E-2</v>
      </c>
      <c r="AS378" s="84">
        <f>IF(INDEX(lmic_raw_ub[],MATCH($A378,lmic_raw_ub[[setting]:[setting]],0), MATCH(AS$277, lmic_raw_ub[#Headers],0))=0, INDEX(regions_ub[], MATCH($D378, regions_ub[[setting]:[setting]],0), MATCH(AS$139, regions_ub[#Headers],0)),INDEX(lmic_raw_ub[],MATCH($A378,lmic_raw_ub[[setting]:[setting]],0), MATCH(AS$277, lmic_raw_ub[#Headers],0)))</f>
        <v>5.2165040151178954E-2</v>
      </c>
      <c r="AT378" s="84">
        <f>IF(INDEX(lmic_raw_ub[],MATCH($A378,lmic_raw_ub[[setting]:[setting]],0), MATCH(AT$277, lmic_raw_ub[#Headers],0))=0, INDEX(regions_ub[], MATCH($D378, regions_ub[[setting]:[setting]],0), MATCH(AT$139, regions_ub[#Headers],0)),INDEX(lmic_raw_ub[],MATCH($A378,lmic_raw_ub[[setting]:[setting]],0), MATCH(AT$277, lmic_raw_ub[#Headers],0)))</f>
        <v>7.845871077585416E-2</v>
      </c>
      <c r="AU378" s="84">
        <f>IF(INDEX(lmic_raw_ub[],MATCH($A378,lmic_raw_ub[[setting]:[setting]],0), MATCH(AU$277, lmic_raw_ub[#Headers],0))=0, INDEX(regions_ub[], MATCH($D378, regions_ub[[setting]:[setting]],0), MATCH(AU$139, regions_ub[#Headers],0)),INDEX(lmic_raw_ub[],MATCH($A378,lmic_raw_ub[[setting]:[setting]],0), MATCH(AU$277, lmic_raw_ub[#Headers],0)))</f>
        <v>0.10570432653906629</v>
      </c>
      <c r="AV378" s="84">
        <f>IF(INDEX(lmic_raw_ub[],MATCH($A378,lmic_raw_ub[[setting]:[setting]],0), MATCH(AV$277, lmic_raw_ub[#Headers],0))=0, INDEX(regions_ub[], MATCH($D378, regions_ub[[setting]:[setting]],0), MATCH(AV$139, regions_ub[#Headers],0)),INDEX(lmic_raw_ub[],MATCH($A378,lmic_raw_ub[[setting]:[setting]],0), MATCH(AV$277, lmic_raw_ub[#Headers],0)))</f>
        <v>0.13830285190340175</v>
      </c>
      <c r="AW378" s="84">
        <f>IF(INDEX(lmic_raw_ub[],MATCH($A378,lmic_raw_ub[[setting]:[setting]],0), MATCH(AW$277, lmic_raw_ub[#Headers],0))=0, INDEX(regions_ub[], MATCH($D378, regions_ub[[setting]:[setting]],0), MATCH(AW$139, regions_ub[#Headers],0)),INDEX(lmic_raw_ub[],MATCH($A378,lmic_raw_ub[[setting]:[setting]],0), MATCH(AW$277, lmic_raw_ub[#Headers],0)))</f>
        <v>0.16643607731717763</v>
      </c>
      <c r="AX378" s="84">
        <f>IF(INDEX(lmic_raw_ub[],MATCH($A378,lmic_raw_ub[[setting]:[setting]],0), MATCH(AX$277, lmic_raw_ub[#Headers],0))=0, INDEX(regions_ub[], MATCH($D378, regions_ub[[setting]:[setting]],0), MATCH(AX$139, regions_ub[#Headers],0)),INDEX(lmic_raw_ub[],MATCH($A378,lmic_raw_ub[[setting]:[setting]],0), MATCH(AX$277, lmic_raw_ub[#Headers],0)))</f>
        <v>75.903450000000007</v>
      </c>
      <c r="AY378" s="33" t="str">
        <f>IF(VLOOKUP(lmics_ub[[#This Row],[setting]],lmic_raw_ub[],11,FALSE)=0, "Yes", "No")</f>
        <v>Yes</v>
      </c>
    </row>
    <row r="379" spans="1:51" x14ac:dyDescent="0.25">
      <c r="A379" s="110" t="s">
        <v>113</v>
      </c>
      <c r="B379" s="104" t="s">
        <v>502</v>
      </c>
      <c r="C379" s="105">
        <v>646</v>
      </c>
      <c r="D379" s="84" t="s">
        <v>677</v>
      </c>
      <c r="E379" s="84" t="s">
        <v>597</v>
      </c>
      <c r="F379" s="84" t="s">
        <v>667</v>
      </c>
      <c r="G379" s="84" t="s">
        <v>674</v>
      </c>
      <c r="J379" s="84">
        <f>IF(INDEX(lmic_raw_ub[],MATCH($A379,lmic_raw_ub[[setting]:[setting]],0), MATCH(J$277, lmic_raw_ub[#Headers],0))=0, INDEX(regions_ub[], MATCH($D379, regions_ub[[setting]:[setting]],0), MATCH(J$139, regions_ub[#Headers],0)),INDEX(lmic_raw_ub[],MATCH($A379,lmic_raw_ub[[setting]:[setting]],0), MATCH(J$277, lmic_raw_ub[#Headers],0)))</f>
        <v>0.95235000000000003</v>
      </c>
      <c r="K379" s="84">
        <f>IF(INDEX(lmic_raw_ub[],MATCH($A379,lmic_raw_ub[[setting]:[setting]],0), MATCH(K$277, lmic_raw_ub[#Headers],0))=0, INDEX(regions_ub[], MATCH($D379, regions_ub[[setting]:[setting]],0), MATCH(K$139, regions_ub[#Headers],0)),INDEX(lmic_raw_ub[],MATCH($A379,lmic_raw_ub[[setting]:[setting]],0), MATCH(K$277, lmic_raw_ub[#Headers],0)))</f>
        <v>0.71433037619548323</v>
      </c>
      <c r="L379" s="84">
        <f>IF(INDEX(lmic_raw_ub[],MATCH($A379,lmic_raw_ub[[setting]:[setting]],0), MATCH(L$277, lmic_raw_ub[#Headers],0))=0, INDEX(regions_ub[], MATCH($D379, regions_ub[[setting]:[setting]],0), MATCH(L$139, regions_ub[#Headers],0)),INDEX(lmic_raw_ub[],MATCH($A379,lmic_raw_ub[[setting]:[setting]],0), MATCH(L$277, lmic_raw_ub[#Headers],0)))</f>
        <v>0.99990000000000001</v>
      </c>
      <c r="M379" s="84">
        <f>IF(INDEX(lmic_raw_ub[],MATCH($A379,lmic_raw_ub[[setting]:[setting]],0), MATCH(M$277, lmic_raw_ub[#Headers],0))=0, INDEX(regions_ub[], MATCH($D379, regions_ub[[setting]:[setting]],0), MATCH(M$139, regions_ub[#Headers],0)),INDEX(lmic_raw_ub[],MATCH($A379,lmic_raw_ub[[setting]:[setting]],0), MATCH(M$277, lmic_raw_ub[#Headers],0)))</f>
        <v>7.7399999999999997E-2</v>
      </c>
      <c r="N379" s="84">
        <f>IF(INDEX(lmic_raw_ub[],MATCH($A379,lmic_raw_ub[[setting]:[setting]],0), MATCH(N$277, lmic_raw_ub[#Headers],0))=0, INDEX(regions_ub[], MATCH($D379, regions_ub[[setting]:[setting]],0), MATCH(N$139, regions_ub[#Headers],0)),INDEX(lmic_raw_ub[],MATCH($A379,lmic_raw_ub[[setting]:[setting]],0), MATCH(N$277, lmic_raw_ub[#Headers],0)))</f>
        <v>0.39960000000000001</v>
      </c>
      <c r="O379" s="84">
        <f>IF(INDEX(lmic_raw_ub[],MATCH($A379,lmic_raw_ub[[setting]:[setting]],0), MATCH(O$277, lmic_raw_ub[#Headers],0))=0, INDEX(regions_ub[], MATCH($D379, regions_ub[[setting]:[setting]],0), MATCH(O$139, regions_ub[#Headers],0)),INDEX(lmic_raw_ub[],MATCH($A379,lmic_raw_ub[[setting]:[setting]],0), MATCH(O$277, lmic_raw_ub[#Headers],0)))</f>
        <v>0.74399999999999999</v>
      </c>
      <c r="P379" s="84">
        <f>IF(INDEX(lmic_raw_ub[],MATCH($A379,lmic_raw_ub[[setting]:[setting]],0), MATCH(P$277, lmic_raw_ub[#Headers],0))=0, INDEX(regions_ub[], MATCH($D379, regions_ub[[setting]:[setting]],0), MATCH(P$139, regions_ub[#Headers],0)),INDEX(lmic_raw_ub[],MATCH($A379,lmic_raw_ub[[setting]:[setting]],0), MATCH(P$277, lmic_raw_ub[#Headers],0)))</f>
        <v>0.13300000000000001</v>
      </c>
      <c r="Q379" s="84">
        <f>IF(INDEX(lmic_raw_ub[],MATCH($A379,lmic_raw_ub[[setting]:[setting]],0), MATCH(Q$277, lmic_raw_ub[#Headers],0))=0, INDEX(regions_ub[], MATCH($D379, regions_ub[[setting]:[setting]],0), MATCH(Q$139, regions_ub[#Headers],0)),INDEX(lmic_raw_ub[],MATCH($A379,lmic_raw_ub[[setting]:[setting]],0), MATCH(Q$277, lmic_raw_ub[#Headers],0)))</f>
        <v>3.0279649916958293</v>
      </c>
      <c r="R379" s="84">
        <f>IF(INDEX(lmic_raw_ub[],MATCH($A379,lmic_raw_ub[[setting]:[setting]],0), MATCH(R$277, lmic_raw_ub[#Headers],0))=0, INDEX(regions_ub[], MATCH($D379, regions_ub[[setting]:[setting]],0), MATCH(R$139, regions_ub[#Headers],0)),INDEX(lmic_raw_ub[],MATCH($A379,lmic_raw_ub[[setting]:[setting]],0), MATCH(R$277, lmic_raw_ub[#Headers],0)))</f>
        <v>31.416525000000004</v>
      </c>
      <c r="S379" s="84">
        <f>IF(INDEX(lmic_raw_ub[],MATCH($A379,lmic_raw_ub[[setting]:[setting]],0), MATCH(S$277, lmic_raw_ub[#Headers],0))=0, INDEX(regions_ub[], MATCH($D379, regions_ub[[setting]:[setting]],0), MATCH(S$139, regions_ub[#Headers],0)),INDEX(lmic_raw_ub[],MATCH($A379,lmic_raw_ub[[setting]:[setting]],0), MATCH(S$277, lmic_raw_ub[#Headers],0)))</f>
        <v>81.545625000000015</v>
      </c>
      <c r="T379" s="84">
        <f>IF(INDEX(lmic_raw_ub[],MATCH($A379,lmic_raw_ub[[setting]:[setting]],0), MATCH(T$277, lmic_raw_ub[#Headers],0))=0, INDEX(regions_ub[], MATCH($D379, regions_ub[[setting]:[setting]],0), MATCH(T$139, regions_ub[#Headers],0)),INDEX(lmic_raw_ub[],MATCH($A379,lmic_raw_ub[[setting]:[setting]],0), MATCH(T$277, lmic_raw_ub[#Headers],0)))</f>
        <v>81.545625000000015</v>
      </c>
      <c r="U379" s="84">
        <f>IF(INDEX(lmic_raw_ub[],MATCH($A379,lmic_raw_ub[[setting]:[setting]],0), MATCH(U$277, lmic_raw_ub[#Headers],0))=0, INDEX(regions_ub[], MATCH($D379, regions_ub[[setting]:[setting]],0), MATCH(U$139, regions_ub[#Headers],0)),INDEX(lmic_raw_ub[],MATCH($A379,lmic_raw_ub[[setting]:[setting]],0), MATCH(U$277, lmic_raw_ub[#Headers],0)))</f>
        <v>81.545625000000015</v>
      </c>
      <c r="V379" s="84">
        <f>IF(INDEX(lmic_raw_ub[],MATCH($A379,lmic_raw_ub[[setting]:[setting]],0), MATCH(V$277, lmic_raw_ub[#Headers],0))=0, INDEX(regions_ub[], MATCH($D379, regions_ub[[setting]:[setting]],0), MATCH(V$139, regions_ub[#Headers],0)),INDEX(lmic_raw_ub[],MATCH($A379,lmic_raw_ub[[setting]:[setting]],0), MATCH(V$277, lmic_raw_ub[#Headers],0)))</f>
        <v>6.6315826784578737</v>
      </c>
      <c r="W379" s="84">
        <f>IF(INDEX(lmic_raw_ub[],MATCH($A379,lmic_raw_ub[[setting]:[setting]],0), MATCH(W$277, lmic_raw_ub[#Headers],0))=0, INDEX(regions_ub[], MATCH($D379, regions_ub[[setting]:[setting]],0), MATCH(W$139, regions_ub[#Headers],0)),INDEX(lmic_raw_ub[],MATCH($A379,lmic_raw_ub[[setting]:[setting]],0), MATCH(W$277, lmic_raw_ub[#Headers],0)))</f>
        <v>11.701717678457875</v>
      </c>
      <c r="X379" s="84">
        <f>IF(INDEX(lmic_raw_ub[],MATCH($A379,lmic_raw_ub[[setting]:[setting]],0), MATCH(X$277, lmic_raw_ub[#Headers],0))=0, INDEX(regions_ub[], MATCH($D379, regions_ub[[setting]:[setting]],0), MATCH(X$139, regions_ub[#Headers],0)),INDEX(lmic_raw_ub[],MATCH($A379,lmic_raw_ub[[setting]:[setting]],0), MATCH(X$277, lmic_raw_ub[#Headers],0)))</f>
        <v>6.1347528910034841</v>
      </c>
      <c r="Y379" s="84">
        <f>IF(INDEX(lmic_raw_ub[],MATCH($A379,lmic_raw_ub[[setting]:[setting]],0), MATCH(Y$277, lmic_raw_ub[#Headers],0))=0, INDEX(regions_ub[], MATCH($D379, regions_ub[[setting]:[setting]],0), MATCH(Y$139, regions_ub[#Headers],0)),INDEX(lmic_raw_ub[],MATCH($A379,lmic_raw_ub[[setting]:[setting]],0), MATCH(Y$277, lmic_raw_ub[#Headers],0)))</f>
        <v>11.204887891003484</v>
      </c>
      <c r="Z379" s="84">
        <f>IF(INDEX(lmic_raw_ub[],MATCH($A379,lmic_raw_ub[[setting]:[setting]],0), MATCH(Z$277, lmic_raw_ub[#Headers],0))=0, INDEX(regions_ub[], MATCH($D379, regions_ub[[setting]:[setting]],0), MATCH(Z$139, regions_ub[#Headers],0)),INDEX(lmic_raw_ub[],MATCH($A379,lmic_raw_ub[[setting]:[setting]],0), MATCH(Z$277, lmic_raw_ub[#Headers],0)))</f>
        <v>11.197699485784369</v>
      </c>
      <c r="AA379" s="84">
        <f>IF(INDEX(lmic_raw_ub[],MATCH($A379,lmic_raw_ub[[setting]:[setting]],0), MATCH(AA$277, lmic_raw_ub[#Headers],0))=0, INDEX(regions_ub[], MATCH($D379, regions_ub[[setting]:[setting]],0), MATCH(AA$139, regions_ub[#Headers],0)),INDEX(lmic_raw_ub[],MATCH($A379,lmic_raw_ub[[setting]:[setting]],0), MATCH(AA$277, lmic_raw_ub[#Headers],0)))</f>
        <v>6.9004344369777284</v>
      </c>
      <c r="AB379" s="84">
        <f>IF(INDEX(lmic_raw_ub[],MATCH($A379,lmic_raw_ub[[setting]:[setting]],0), MATCH(AB$277, lmic_raw_ub[#Headers],0))=0, INDEX(regions_ub[], MATCH($D379, regions_ub[[setting]:[setting]],0), MATCH(AB$139, regions_ub[#Headers],0)),INDEX(lmic_raw_ub[],MATCH($A379,lmic_raw_ub[[setting]:[setting]],0), MATCH(AB$277, lmic_raw_ub[#Headers],0)))</f>
        <v>11.97056943697773</v>
      </c>
      <c r="AC379" s="84">
        <f>IF(INDEX(lmic_raw_ub[],MATCH($A379,lmic_raw_ub[[setting]:[setting]],0), MATCH(AC$277, lmic_raw_ub[#Headers],0))=0, INDEX(regions_ub[], MATCH($D379, regions_ub[[setting]:[setting]],0), MATCH(AC$139, regions_ub[#Headers],0)),INDEX(lmic_raw_ub[],MATCH($A379,lmic_raw_ub[[setting]:[setting]],0), MATCH(AC$277, lmic_raw_ub[#Headers],0)))</f>
        <v>3.0654372000000079E-2</v>
      </c>
      <c r="AD379" s="84">
        <f>IF(INDEX(lmic_raw_ub[],MATCH($A379,lmic_raw_ub[[setting]:[setting]],0), MATCH(AD$277, lmic_raw_ub[#Headers],0))=0, INDEX(regions_ub[], MATCH($D379, regions_ub[[setting]:[setting]],0), MATCH(AD$139, regions_ub[#Headers],0)),INDEX(lmic_raw_ub[],MATCH($A379,lmic_raw_ub[[setting]:[setting]],0), MATCH(AD$277, lmic_raw_ub[#Headers],0)))</f>
        <v>2.4909484688053016E-3</v>
      </c>
      <c r="AE379" s="84">
        <f>IF(INDEX(lmic_raw_ub[],MATCH($A379,lmic_raw_ub[[setting]:[setting]],0), MATCH(AE$277, lmic_raw_ub[#Headers],0))=0, INDEX(regions_ub[], MATCH($D379, regions_ub[[setting]:[setting]],0), MATCH(AE$139, regions_ub[#Headers],0)),INDEX(lmic_raw_ub[],MATCH($A379,lmic_raw_ub[[setting]:[setting]],0), MATCH(AE$277, lmic_raw_ub[#Headers],0)))</f>
        <v>9.9582778815158102E-4</v>
      </c>
      <c r="AF379" s="84">
        <f>IF(INDEX(lmic_raw_ub[],MATCH($A379,lmic_raw_ub[[setting]:[setting]],0), MATCH(AF$277, lmic_raw_ub[#Headers],0))=0, INDEX(regions_ub[], MATCH($D379, regions_ub[[setting]:[setting]],0), MATCH(AF$139, regions_ub[#Headers],0)),INDEX(lmic_raw_ub[],MATCH($A379,lmic_raw_ub[[setting]:[setting]],0), MATCH(AF$277, lmic_raw_ub[#Headers],0)))</f>
        <v>7.7091027859474588E-4</v>
      </c>
      <c r="AG379" s="84">
        <f>IF(INDEX(lmic_raw_ub[],MATCH($A379,lmic_raw_ub[[setting]:[setting]],0), MATCH(AG$277, lmic_raw_ub[#Headers],0))=0, INDEX(regions_ub[], MATCH($D379, regions_ub[[setting]:[setting]],0), MATCH(AG$139, regions_ub[#Headers],0)),INDEX(lmic_raw_ub[],MATCH($A379,lmic_raw_ub[[setting]:[setting]],0), MATCH(AG$277, lmic_raw_ub[#Headers],0)))</f>
        <v>1.3471433721220184E-3</v>
      </c>
      <c r="AH379" s="84">
        <f>IF(INDEX(lmic_raw_ub[],MATCH($A379,lmic_raw_ub[[setting]:[setting]],0), MATCH(AH$277, lmic_raw_ub[#Headers],0))=0, INDEX(regions_ub[], MATCH($D379, regions_ub[[setting]:[setting]],0), MATCH(AH$139, regions_ub[#Headers],0)),INDEX(lmic_raw_ub[],MATCH($A379,lmic_raw_ub[[setting]:[setting]],0), MATCH(AH$277, lmic_raw_ub[#Headers],0)))</f>
        <v>2.0279120052268222E-3</v>
      </c>
      <c r="AI379" s="84">
        <f>IF(INDEX(lmic_raw_ub[],MATCH($A379,lmic_raw_ub[[setting]:[setting]],0), MATCH(AI$277, lmic_raw_ub[#Headers],0))=0, INDEX(regions_ub[], MATCH($D379, regions_ub[[setting]:[setting]],0), MATCH(AI$139, regions_ub[#Headers],0)),INDEX(lmic_raw_ub[],MATCH($A379,lmic_raw_ub[[setting]:[setting]],0), MATCH(AI$277, lmic_raw_ub[#Headers],0)))</f>
        <v>2.4482049791448727E-3</v>
      </c>
      <c r="AJ379" s="84">
        <f>IF(INDEX(lmic_raw_ub[],MATCH($A379,lmic_raw_ub[[setting]:[setting]],0), MATCH(AJ$277, lmic_raw_ub[#Headers],0))=0, INDEX(regions_ub[], MATCH($D379, regions_ub[[setting]:[setting]],0), MATCH(AJ$139, regions_ub[#Headers],0)),INDEX(lmic_raw_ub[],MATCH($A379,lmic_raw_ub[[setting]:[setting]],0), MATCH(AJ$277, lmic_raw_ub[#Headers],0)))</f>
        <v>2.9457602370713061E-3</v>
      </c>
      <c r="AK379" s="84">
        <f>IF(INDEX(lmic_raw_ub[],MATCH($A379,lmic_raw_ub[[setting]:[setting]],0), MATCH(AK$277, lmic_raw_ub[#Headers],0))=0, INDEX(regions_ub[], MATCH($D379, regions_ub[[setting]:[setting]],0), MATCH(AK$139, regions_ub[#Headers],0)),INDEX(lmic_raw_ub[],MATCH($A379,lmic_raw_ub[[setting]:[setting]],0), MATCH(AK$277, lmic_raw_ub[#Headers],0)))</f>
        <v>3.6939413007960149E-3</v>
      </c>
      <c r="AL379" s="84">
        <f>IF(INDEX(lmic_raw_ub[],MATCH($A379,lmic_raw_ub[[setting]:[setting]],0), MATCH(AL$277, lmic_raw_ub[#Headers],0))=0, INDEX(regions_ub[], MATCH($D379, regions_ub[[setting]:[setting]],0), MATCH(AL$139, regions_ub[#Headers],0)),INDEX(lmic_raw_ub[],MATCH($A379,lmic_raw_ub[[setting]:[setting]],0), MATCH(AL$277, lmic_raw_ub[#Headers],0)))</f>
        <v>4.7426844855669422E-3</v>
      </c>
      <c r="AM379" s="84">
        <f>IF(INDEX(lmic_raw_ub[],MATCH($A379,lmic_raw_ub[[setting]:[setting]],0), MATCH(AM$277, lmic_raw_ub[#Headers],0))=0, INDEX(regions_ub[], MATCH($D379, regions_ub[[setting]:[setting]],0), MATCH(AM$139, regions_ub[#Headers],0)),INDEX(lmic_raw_ub[],MATCH($A379,lmic_raw_ub[[setting]:[setting]],0), MATCH(AM$277, lmic_raw_ub[#Headers],0)))</f>
        <v>6.1139704638213371E-3</v>
      </c>
      <c r="AN379" s="84">
        <f>IF(INDEX(lmic_raw_ub[],MATCH($A379,lmic_raw_ub[[setting]:[setting]],0), MATCH(AN$277, lmic_raw_ub[#Headers],0))=0, INDEX(regions_ub[], MATCH($D379, regions_ub[[setting]:[setting]],0), MATCH(AN$139, regions_ub[#Headers],0)),INDEX(lmic_raw_ub[],MATCH($A379,lmic_raw_ub[[setting]:[setting]],0), MATCH(AN$277, lmic_raw_ub[#Headers],0)))</f>
        <v>8.837210710149826E-3</v>
      </c>
      <c r="AO379" s="84">
        <f>IF(INDEX(lmic_raw_ub[],MATCH($A379,lmic_raw_ub[[setting]:[setting]],0), MATCH(AO$277, lmic_raw_ub[#Headers],0))=0, INDEX(regions_ub[], MATCH($D379, regions_ub[[setting]:[setting]],0), MATCH(AO$139, regions_ub[#Headers],0)),INDEX(lmic_raw_ub[],MATCH($A379,lmic_raw_ub[[setting]:[setting]],0), MATCH(AO$277, lmic_raw_ub[#Headers],0)))</f>
        <v>1.1905570264579857E-2</v>
      </c>
      <c r="AP379" s="84">
        <f>IF(INDEX(lmic_raw_ub[],MATCH($A379,lmic_raw_ub[[setting]:[setting]],0), MATCH(AP$277, lmic_raw_ub[#Headers],0))=0, INDEX(regions_ub[], MATCH($D379, regions_ub[[setting]:[setting]],0), MATCH(AP$139, regions_ub[#Headers],0)),INDEX(lmic_raw_ub[],MATCH($A379,lmic_raw_ub[[setting]:[setting]],0), MATCH(AP$277, lmic_raw_ub[#Headers],0)))</f>
        <v>1.7797746980497641E-2</v>
      </c>
      <c r="AQ379" s="84">
        <f>IF(INDEX(lmic_raw_ub[],MATCH($A379,lmic_raw_ub[[setting]:[setting]],0), MATCH(AQ$277, lmic_raw_ub[#Headers],0))=0, INDEX(regions_ub[], MATCH($D379, regions_ub[[setting]:[setting]],0), MATCH(AQ$139, regions_ub[#Headers],0)),INDEX(lmic_raw_ub[],MATCH($A379,lmic_raw_ub[[setting]:[setting]],0), MATCH(AQ$277, lmic_raw_ub[#Headers],0)))</f>
        <v>2.7382773098479352E-2</v>
      </c>
      <c r="AR379" s="84">
        <f>IF(INDEX(lmic_raw_ub[],MATCH($A379,lmic_raw_ub[[setting]:[setting]],0), MATCH(AR$277, lmic_raw_ub[#Headers],0))=0, INDEX(regions_ub[], MATCH($D379, regions_ub[[setting]:[setting]],0), MATCH(AR$139, regions_ub[#Headers],0)),INDEX(lmic_raw_ub[],MATCH($A379,lmic_raw_ub[[setting]:[setting]],0), MATCH(AR$277, lmic_raw_ub[#Headers],0)))</f>
        <v>4.2356243392157364E-2</v>
      </c>
      <c r="AS379" s="84">
        <f>IF(INDEX(lmic_raw_ub[],MATCH($A379,lmic_raw_ub[[setting]:[setting]],0), MATCH(AS$277, lmic_raw_ub[#Headers],0))=0, INDEX(regions_ub[], MATCH($D379, regions_ub[[setting]:[setting]],0), MATCH(AS$139, regions_ub[#Headers],0)),INDEX(lmic_raw_ub[],MATCH($A379,lmic_raw_ub[[setting]:[setting]],0), MATCH(AS$277, lmic_raw_ub[#Headers],0)))</f>
        <v>6.5541076566441619E-2</v>
      </c>
      <c r="AT379" s="84">
        <f>IF(INDEX(lmic_raw_ub[],MATCH($A379,lmic_raw_ub[[setting]:[setting]],0), MATCH(AT$277, lmic_raw_ub[#Headers],0))=0, INDEX(regions_ub[], MATCH($D379, regions_ub[[setting]:[setting]],0), MATCH(AT$139, regions_ub[#Headers],0)),INDEX(lmic_raw_ub[],MATCH($A379,lmic_raw_ub[[setting]:[setting]],0), MATCH(AT$277, lmic_raw_ub[#Headers],0)))</f>
        <v>9.9793804988603949E-2</v>
      </c>
      <c r="AU379" s="84">
        <f>IF(INDEX(lmic_raw_ub[],MATCH($A379,lmic_raw_ub[[setting]:[setting]],0), MATCH(AU$277, lmic_raw_ub[#Headers],0))=0, INDEX(regions_ub[], MATCH($D379, regions_ub[[setting]:[setting]],0), MATCH(AU$139, regions_ub[#Headers],0)),INDEX(lmic_raw_ub[],MATCH($A379,lmic_raw_ub[[setting]:[setting]],0), MATCH(AU$277, lmic_raw_ub[#Headers],0)))</f>
        <v>0.14126396326921803</v>
      </c>
      <c r="AV379" s="84">
        <f>IF(INDEX(lmic_raw_ub[],MATCH($A379,lmic_raw_ub[[setting]:[setting]],0), MATCH(AV$277, lmic_raw_ub[#Headers],0))=0, INDEX(regions_ub[], MATCH($D379, regions_ub[[setting]:[setting]],0), MATCH(AV$139, regions_ub[#Headers],0)),INDEX(lmic_raw_ub[],MATCH($A379,lmic_raw_ub[[setting]:[setting]],0), MATCH(AV$277, lmic_raw_ub[#Headers],0)))</f>
        <v>0.18033380815689359</v>
      </c>
      <c r="AW379" s="84">
        <f>IF(INDEX(lmic_raw_ub[],MATCH($A379,lmic_raw_ub[[setting]:[setting]],0), MATCH(AW$277, lmic_raw_ub[#Headers],0))=0, INDEX(regions_ub[], MATCH($D379, regions_ub[[setting]:[setting]],0), MATCH(AW$139, regions_ub[#Headers],0)),INDEX(lmic_raw_ub[],MATCH($A379,lmic_raw_ub[[setting]:[setting]],0), MATCH(AW$277, lmic_raw_ub[#Headers],0)))</f>
        <v>0.19646060307566926</v>
      </c>
      <c r="AX379" s="84">
        <f>IF(INDEX(lmic_raw_ub[],MATCH($A379,lmic_raw_ub[[setting]:[setting]],0), MATCH(AX$277, lmic_raw_ub[#Headers],0))=0, INDEX(regions_ub[], MATCH($D379, regions_ub[[setting]:[setting]],0), MATCH(AX$139, regions_ub[#Headers],0)),INDEX(lmic_raw_ub[],MATCH($A379,lmic_raw_ub[[setting]:[setting]],0), MATCH(AX$277, lmic_raw_ub[#Headers],0)))</f>
        <v>71.85990000000001</v>
      </c>
      <c r="AY379" s="33" t="str">
        <f>IF(VLOOKUP(lmics_ub[[#This Row],[setting]],lmic_raw_ub[],11,FALSE)=0, "Yes", "No")</f>
        <v>Yes</v>
      </c>
    </row>
    <row r="380" spans="1:51" x14ac:dyDescent="0.25">
      <c r="A380" s="109" t="s">
        <v>245</v>
      </c>
      <c r="B380" s="101" t="s">
        <v>503</v>
      </c>
      <c r="C380" s="102">
        <v>662</v>
      </c>
      <c r="D380" s="82" t="s">
        <v>679</v>
      </c>
      <c r="E380" s="82" t="s">
        <v>223</v>
      </c>
      <c r="F380" s="82" t="s">
        <v>665</v>
      </c>
      <c r="G380" s="82" t="s">
        <v>676</v>
      </c>
      <c r="J380" s="84">
        <f>IF(INDEX(lmic_raw_ub[],MATCH($A380,lmic_raw_ub[[setting]:[setting]],0), MATCH(J$277, lmic_raw_ub[#Headers],0))=0, INDEX(regions_ub[], MATCH($D380, regions_ub[[setting]:[setting]],0), MATCH(J$139, regions_ub[#Headers],0)),INDEX(lmic_raw_ub[],MATCH($A380,lmic_raw_ub[[setting]:[setting]],0), MATCH(J$277, lmic_raw_ub[#Headers],0)))</f>
        <v>0.99990000000000001</v>
      </c>
      <c r="K380" s="84">
        <f>IF(INDEX(lmic_raw_ub[],MATCH($A380,lmic_raw_ub[[setting]:[setting]],0), MATCH(K$277, lmic_raw_ub[#Headers],0))=0, INDEX(regions_ub[], MATCH($D380, regions_ub[[setting]:[setting]],0), MATCH(K$139, regions_ub[#Headers],0)),INDEX(lmic_raw_ub[],MATCH($A380,lmic_raw_ub[[setting]:[setting]],0), MATCH(K$277, lmic_raw_ub[#Headers],0)))</f>
        <v>0.89249999999999996</v>
      </c>
      <c r="L380" s="84">
        <f>IF(INDEX(lmic_raw_ub[],MATCH($A380,lmic_raw_ub[[setting]:[setting]],0), MATCH(L$277, lmic_raw_ub[#Headers],0))=0, INDEX(regions_ub[], MATCH($D380, regions_ub[[setting]:[setting]],0), MATCH(L$139, regions_ub[#Headers],0)),INDEX(lmic_raw_ub[],MATCH($A380,lmic_raw_ub[[setting]:[setting]],0), MATCH(L$277, lmic_raw_ub[#Headers],0)))</f>
        <v>0.96600000000000008</v>
      </c>
      <c r="M380" s="84">
        <f>IF(INDEX(lmic_raw_ub[],MATCH($A380,lmic_raw_ub[[setting]:[setting]],0), MATCH(M$277, lmic_raw_ub[#Headers],0))=0, INDEX(regions_ub[], MATCH($D380, regions_ub[[setting]:[setting]],0), MATCH(M$139, regions_ub[#Headers],0)),INDEX(lmic_raw_ub[],MATCH($A380,lmic_raw_ub[[setting]:[setting]],0), MATCH(M$277, lmic_raw_ub[#Headers],0)))</f>
        <v>9.1899999999999996E-2</v>
      </c>
      <c r="N380" s="84">
        <f>IF(INDEX(lmic_raw_ub[],MATCH($A380,lmic_raw_ub[[setting]:[setting]],0), MATCH(N$277, lmic_raw_ub[#Headers],0))=0, INDEX(regions_ub[], MATCH($D380, regions_ub[[setting]:[setting]],0), MATCH(N$139, regions_ub[#Headers],0)),INDEX(lmic_raw_ub[],MATCH($A380,lmic_raw_ub[[setting]:[setting]],0), MATCH(N$277, lmic_raw_ub[#Headers],0)))</f>
        <v>0.43</v>
      </c>
      <c r="O380" s="84">
        <f>IF(INDEX(lmic_raw_ub[],MATCH($A380,lmic_raw_ub[[setting]:[setting]],0), MATCH(O$277, lmic_raw_ub[#Headers],0))=0, INDEX(regions_ub[], MATCH($D380, regions_ub[[setting]:[setting]],0), MATCH(O$139, regions_ub[#Headers],0)),INDEX(lmic_raw_ub[],MATCH($A380,lmic_raw_ub[[setting]:[setting]],0), MATCH(O$277, lmic_raw_ub[#Headers],0)))</f>
        <v>0.9</v>
      </c>
      <c r="P380" s="84">
        <f>IF(INDEX(lmic_raw_ub[],MATCH($A380,lmic_raw_ub[[setting]:[setting]],0), MATCH(P$277, lmic_raw_ub[#Headers],0))=0, INDEX(regions_ub[], MATCH($D380, regions_ub[[setting]:[setting]],0), MATCH(P$139, regions_ub[#Headers],0)),INDEX(lmic_raw_ub[],MATCH($A380,lmic_raw_ub[[setting]:[setting]],0), MATCH(P$277, lmic_raw_ub[#Headers],0)))</f>
        <v>0.3</v>
      </c>
      <c r="Q380" s="84">
        <f>IF(INDEX(lmic_raw_ub[],MATCH($A380,lmic_raw_ub[[setting]:[setting]],0), MATCH(Q$277, lmic_raw_ub[#Headers],0))=0, INDEX(regions_ub[], MATCH($D380, regions_ub[[setting]:[setting]],0), MATCH(Q$139, regions_ub[#Headers],0)),INDEX(lmic_raw_ub[],MATCH($A380,lmic_raw_ub[[setting]:[setting]],0), MATCH(Q$277, lmic_raw_ub[#Headers],0)))</f>
        <v>14.842417518690104</v>
      </c>
      <c r="R380" s="84">
        <f>IF(INDEX(lmic_raw_ub[],MATCH($A380,lmic_raw_ub[[setting]:[setting]],0), MATCH(R$277, lmic_raw_ub[#Headers],0))=0, INDEX(regions_ub[], MATCH($D380, regions_ub[[setting]:[setting]],0), MATCH(R$139, regions_ub[#Headers],0)),INDEX(lmic_raw_ub[],MATCH($A380,lmic_raw_ub[[setting]:[setting]],0), MATCH(R$277, lmic_raw_ub[#Headers],0)))</f>
        <v>91.228094999999996</v>
      </c>
      <c r="S380" s="84">
        <f>IF(INDEX(lmic_raw_ub[],MATCH($A380,lmic_raw_ub[[setting]:[setting]],0), MATCH(S$277, lmic_raw_ub[#Headers],0))=0, INDEX(regions_ub[], MATCH($D380, regions_ub[[setting]:[setting]],0), MATCH(S$139, regions_ub[#Headers],0)),INDEX(lmic_raw_ub[],MATCH($A380,lmic_raw_ub[[setting]:[setting]],0), MATCH(S$277, lmic_raw_ub[#Headers],0)))</f>
        <v>141.35719500000002</v>
      </c>
      <c r="T380" s="84">
        <f>IF(INDEX(lmic_raw_ub[],MATCH($A380,lmic_raw_ub[[setting]:[setting]],0), MATCH(T$277, lmic_raw_ub[#Headers],0))=0, INDEX(regions_ub[], MATCH($D380, regions_ub[[setting]:[setting]],0), MATCH(T$139, regions_ub[#Headers],0)),INDEX(lmic_raw_ub[],MATCH($A380,lmic_raw_ub[[setting]:[setting]],0), MATCH(T$277, lmic_raw_ub[#Headers],0)))</f>
        <v>141.35719500000002</v>
      </c>
      <c r="U380" s="84">
        <f>IF(INDEX(lmic_raw_ub[],MATCH($A380,lmic_raw_ub[[setting]:[setting]],0), MATCH(U$277, lmic_raw_ub[#Headers],0))=0, INDEX(regions_ub[], MATCH($D380, regions_ub[[setting]:[setting]],0), MATCH(U$139, regions_ub[#Headers],0)),INDEX(lmic_raw_ub[],MATCH($A380,lmic_raw_ub[[setting]:[setting]],0), MATCH(U$277, lmic_raw_ub[#Headers],0)))</f>
        <v>141.35719500000002</v>
      </c>
      <c r="V380" s="84">
        <f>IF(INDEX(lmic_raw_ub[],MATCH($A380,lmic_raw_ub[[setting]:[setting]],0), MATCH(V$277, lmic_raw_ub[#Headers],0))=0, INDEX(regions_ub[], MATCH($D380, regions_ub[[setting]:[setting]],0), MATCH(V$139, regions_ub[#Headers],0)),INDEX(lmic_raw_ub[],MATCH($A380,lmic_raw_ub[[setting]:[setting]],0), MATCH(V$277, lmic_raw_ub[#Headers],0)))</f>
        <v>32.016030974689421</v>
      </c>
      <c r="W380" s="84">
        <f>IF(INDEX(lmic_raw_ub[],MATCH($A380,lmic_raw_ub[[setting]:[setting]],0), MATCH(W$277, lmic_raw_ub[#Headers],0))=0, INDEX(regions_ub[], MATCH($D380, regions_ub[[setting]:[setting]],0), MATCH(W$139, regions_ub[#Headers],0)),INDEX(lmic_raw_ub[],MATCH($A380,lmic_raw_ub[[setting]:[setting]],0), MATCH(W$277, lmic_raw_ub[#Headers],0)))</f>
        <v>32.038920974689418</v>
      </c>
      <c r="X380" s="84">
        <f>IF(INDEX(lmic_raw_ub[],MATCH($A380,lmic_raw_ub[[setting]:[setting]],0), MATCH(X$277, lmic_raw_ub[#Headers],0))=0, INDEX(regions_ub[], MATCH($D380, regions_ub[[setting]:[setting]],0), MATCH(X$139, regions_ub[#Headers],0)),INDEX(lmic_raw_ub[],MATCH($A380,lmic_raw_ub[[setting]:[setting]],0), MATCH(X$277, lmic_raw_ub[#Headers],0)))</f>
        <v>31.465968756695798</v>
      </c>
      <c r="Y380" s="84">
        <f>IF(INDEX(lmic_raw_ub[],MATCH($A380,lmic_raw_ub[[setting]:[setting]],0), MATCH(Y$277, lmic_raw_ub[#Headers],0))=0, INDEX(regions_ub[], MATCH($D380, regions_ub[[setting]:[setting]],0), MATCH(Y$139, regions_ub[#Headers],0)),INDEX(lmic_raw_ub[],MATCH($A380,lmic_raw_ub[[setting]:[setting]],0), MATCH(Y$277, lmic_raw_ub[#Headers],0)))</f>
        <v>31.488858756695798</v>
      </c>
      <c r="Z380" s="84">
        <f>IF(INDEX(lmic_raw_ub[],MATCH($A380,lmic_raw_ub[[setting]:[setting]],0), MATCH(Z$277, lmic_raw_ub[#Headers],0))=0, INDEX(regions_ub[], MATCH($D380, regions_ub[[setting]:[setting]],0), MATCH(Z$139, regions_ub[#Headers],0)),INDEX(lmic_raw_ub[],MATCH($A380,lmic_raw_ub[[setting]:[setting]],0), MATCH(Z$277, lmic_raw_ub[#Headers],0)))</f>
        <v>31.453579012597579</v>
      </c>
      <c r="AA380" s="84">
        <f>IF(INDEX(lmic_raw_ub[],MATCH($A380,lmic_raw_ub[[setting]:[setting]],0), MATCH(AA$277, lmic_raw_ub[#Headers],0))=0, INDEX(regions_ub[], MATCH($D380, regions_ub[[setting]:[setting]],0), MATCH(AA$139, regions_ub[#Headers],0)),INDEX(lmic_raw_ub[],MATCH($A380,lmic_raw_ub[[setting]:[setting]],0), MATCH(AA$277, lmic_raw_ub[#Headers],0)))</f>
        <v>32.296966168362353</v>
      </c>
      <c r="AB380" s="84">
        <f>IF(INDEX(lmic_raw_ub[],MATCH($A380,lmic_raw_ub[[setting]:[setting]],0), MATCH(AB$277, lmic_raw_ub[#Headers],0))=0, INDEX(regions_ub[], MATCH($D380, regions_ub[[setting]:[setting]],0), MATCH(AB$139, regions_ub[#Headers],0)),INDEX(lmic_raw_ub[],MATCH($A380,lmic_raw_ub[[setting]:[setting]],0), MATCH(AB$277, lmic_raw_ub[#Headers],0)))</f>
        <v>32.31985616836235</v>
      </c>
      <c r="AC380" s="84">
        <f>IF(INDEX(lmic_raw_ub[],MATCH($A380,lmic_raw_ub[[setting]:[setting]],0), MATCH(AC$277, lmic_raw_ub[#Headers],0))=0, INDEX(regions_ub[], MATCH($D380, regions_ub[[setting]:[setting]],0), MATCH(AC$139, regions_ub[#Headers],0)),INDEX(lmic_raw_ub[],MATCH($A380,lmic_raw_ub[[setting]:[setting]],0), MATCH(AC$277, lmic_raw_ub[#Headers],0)))</f>
        <v>1.3114941000000014E-2</v>
      </c>
      <c r="AD380" s="84">
        <f>IF(INDEX(lmic_raw_ub[],MATCH($A380,lmic_raw_ub[[setting]:[setting]],0), MATCH(AD$277, lmic_raw_ub[#Headers],0))=0, INDEX(regions_ub[], MATCH($D380, regions_ub[[setting]:[setting]],0), MATCH(AD$139, regions_ub[#Headers],0)),INDEX(lmic_raw_ub[],MATCH($A380,lmic_raw_ub[[setting]:[setting]],0), MATCH(AD$277, lmic_raw_ub[#Headers],0)))</f>
        <v>9.6928414102067588E-4</v>
      </c>
      <c r="AE380" s="84">
        <f>IF(INDEX(lmic_raw_ub[],MATCH($A380,lmic_raw_ub[[setting]:[setting]],0), MATCH(AE$277, lmic_raw_ub[#Headers],0))=0, INDEX(regions_ub[], MATCH($D380, regions_ub[[setting]:[setting]],0), MATCH(AE$139, regions_ub[#Headers],0)),INDEX(lmic_raw_ub[],MATCH($A380,lmic_raw_ub[[setting]:[setting]],0), MATCH(AE$277, lmic_raw_ub[#Headers],0)))</f>
        <v>3.5429407619163282E-4</v>
      </c>
      <c r="AF380" s="84">
        <f>IF(INDEX(lmic_raw_ub[],MATCH($A380,lmic_raw_ub[[setting]:[setting]],0), MATCH(AF$277, lmic_raw_ub[#Headers],0))=0, INDEX(regions_ub[], MATCH($D380, regions_ub[[setting]:[setting]],0), MATCH(AF$139, regions_ub[#Headers],0)),INDEX(lmic_raw_ub[],MATCH($A380,lmic_raw_ub[[setting]:[setting]],0), MATCH(AF$277, lmic_raw_ub[#Headers],0)))</f>
        <v>3.2914214399403326E-4</v>
      </c>
      <c r="AG380" s="84">
        <f>IF(INDEX(lmic_raw_ub[],MATCH($A380,lmic_raw_ub[[setting]:[setting]],0), MATCH(AG$277, lmic_raw_ub[#Headers],0))=0, INDEX(regions_ub[], MATCH($D380, regions_ub[[setting]:[setting]],0), MATCH(AG$139, regions_ub[#Headers],0)),INDEX(lmic_raw_ub[],MATCH($A380,lmic_raw_ub[[setting]:[setting]],0), MATCH(AG$277, lmic_raw_ub[#Headers],0)))</f>
        <v>7.7762395340663843E-4</v>
      </c>
      <c r="AH380" s="84">
        <f>IF(INDEX(lmic_raw_ub[],MATCH($A380,lmic_raw_ub[[setting]:[setting]],0), MATCH(AH$277, lmic_raw_ub[#Headers],0))=0, INDEX(regions_ub[], MATCH($D380, regions_ub[[setting]:[setting]],0), MATCH(AH$139, regions_ub[#Headers],0)),INDEX(lmic_raw_ub[],MATCH($A380,lmic_raw_ub[[setting]:[setting]],0), MATCH(AH$277, lmic_raw_ub[#Headers],0)))</f>
        <v>1.0609999372794764E-3</v>
      </c>
      <c r="AI380" s="84">
        <f>IF(INDEX(lmic_raw_ub[],MATCH($A380,lmic_raw_ub[[setting]:[setting]],0), MATCH(AI$277, lmic_raw_ub[#Headers],0))=0, INDEX(regions_ub[], MATCH($D380, regions_ub[[setting]:[setting]],0), MATCH(AI$139, regions_ub[#Headers],0)),INDEX(lmic_raw_ub[],MATCH($A380,lmic_raw_ub[[setting]:[setting]],0), MATCH(AI$277, lmic_raw_ub[#Headers],0)))</f>
        <v>1.1264154387034234E-3</v>
      </c>
      <c r="AJ380" s="84">
        <f>IF(INDEX(lmic_raw_ub[],MATCH($A380,lmic_raw_ub[[setting]:[setting]],0), MATCH(AJ$277, lmic_raw_ub[#Headers],0))=0, INDEX(regions_ub[], MATCH($D380, regions_ub[[setting]:[setting]],0), MATCH(AJ$139, regions_ub[#Headers],0)),INDEX(lmic_raw_ub[],MATCH($A380,lmic_raw_ub[[setting]:[setting]],0), MATCH(AJ$277, lmic_raw_ub[#Headers],0)))</f>
        <v>1.3526802595224669E-3</v>
      </c>
      <c r="AK380" s="84">
        <f>IF(INDEX(lmic_raw_ub[],MATCH($A380,lmic_raw_ub[[setting]:[setting]],0), MATCH(AK$277, lmic_raw_ub[#Headers],0))=0, INDEX(regions_ub[], MATCH($D380, regions_ub[[setting]:[setting]],0), MATCH(AK$139, regions_ub[#Headers],0)),INDEX(lmic_raw_ub[],MATCH($A380,lmic_raw_ub[[setting]:[setting]],0), MATCH(AK$277, lmic_raw_ub[#Headers],0)))</f>
        <v>1.860717228947579E-3</v>
      </c>
      <c r="AL380" s="84">
        <f>IF(INDEX(lmic_raw_ub[],MATCH($A380,lmic_raw_ub[[setting]:[setting]],0), MATCH(AL$277, lmic_raw_ub[#Headers],0))=0, INDEX(regions_ub[], MATCH($D380, regions_ub[[setting]:[setting]],0), MATCH(AL$139, regions_ub[#Headers],0)),INDEX(lmic_raw_ub[],MATCH($A380,lmic_raw_ub[[setting]:[setting]],0), MATCH(AL$277, lmic_raw_ub[#Headers],0)))</f>
        <v>2.7492377476178689E-3</v>
      </c>
      <c r="AM380" s="84">
        <f>IF(INDEX(lmic_raw_ub[],MATCH($A380,lmic_raw_ub[[setting]:[setting]],0), MATCH(AM$277, lmic_raw_ub[#Headers],0))=0, INDEX(regions_ub[], MATCH($D380, regions_ub[[setting]:[setting]],0), MATCH(AM$139, regions_ub[#Headers],0)),INDEX(lmic_raw_ub[],MATCH($A380,lmic_raw_ub[[setting]:[setting]],0), MATCH(AM$277, lmic_raw_ub[#Headers],0)))</f>
        <v>4.3008484235198541E-3</v>
      </c>
      <c r="AN380" s="84">
        <f>IF(INDEX(lmic_raw_ub[],MATCH($A380,lmic_raw_ub[[setting]:[setting]],0), MATCH(AN$277, lmic_raw_ub[#Headers],0))=0, INDEX(regions_ub[], MATCH($D380, regions_ub[[setting]:[setting]],0), MATCH(AN$139, regions_ub[#Headers],0)),INDEX(lmic_raw_ub[],MATCH($A380,lmic_raw_ub[[setting]:[setting]],0), MATCH(AN$277, lmic_raw_ub[#Headers],0)))</f>
        <v>6.7539839874340892E-3</v>
      </c>
      <c r="AO380" s="84">
        <f>IF(INDEX(lmic_raw_ub[],MATCH($A380,lmic_raw_ub[[setting]:[setting]],0), MATCH(AO$277, lmic_raw_ub[#Headers],0))=0, INDEX(regions_ub[], MATCH($D380, regions_ub[[setting]:[setting]],0), MATCH(AO$139, regions_ub[#Headers],0)),INDEX(lmic_raw_ub[],MATCH($A380,lmic_raw_ub[[setting]:[setting]],0), MATCH(AO$277, lmic_raw_ub[#Headers],0)))</f>
        <v>1.0473548839332105E-2</v>
      </c>
      <c r="AP380" s="84">
        <f>IF(INDEX(lmic_raw_ub[],MATCH($A380,lmic_raw_ub[[setting]:[setting]],0), MATCH(AP$277, lmic_raw_ub[#Headers],0))=0, INDEX(regions_ub[], MATCH($D380, regions_ub[[setting]:[setting]],0), MATCH(AP$139, regions_ub[#Headers],0)),INDEX(lmic_raw_ub[],MATCH($A380,lmic_raw_ub[[setting]:[setting]],0), MATCH(AP$277, lmic_raw_ub[#Headers],0)))</f>
        <v>1.3216112054242713E-2</v>
      </c>
      <c r="AQ380" s="84">
        <f>IF(INDEX(lmic_raw_ub[],MATCH($A380,lmic_raw_ub[[setting]:[setting]],0), MATCH(AQ$277, lmic_raw_ub[#Headers],0))=0, INDEX(regions_ub[], MATCH($D380, regions_ub[[setting]:[setting]],0), MATCH(AQ$139, regions_ub[#Headers],0)),INDEX(lmic_raw_ub[],MATCH($A380,lmic_raw_ub[[setting]:[setting]],0), MATCH(AQ$277, lmic_raw_ub[#Headers],0)))</f>
        <v>1.6874830616333686E-2</v>
      </c>
      <c r="AR380" s="84">
        <f>IF(INDEX(lmic_raw_ub[],MATCH($A380,lmic_raw_ub[[setting]:[setting]],0), MATCH(AR$277, lmic_raw_ub[#Headers],0))=0, INDEX(regions_ub[], MATCH($D380, regions_ub[[setting]:[setting]],0), MATCH(AR$139, regions_ub[#Headers],0)),INDEX(lmic_raw_ub[],MATCH($A380,lmic_raw_ub[[setting]:[setting]],0), MATCH(AR$277, lmic_raw_ub[#Headers],0)))</f>
        <v>2.4673985700019597E-2</v>
      </c>
      <c r="AS380" s="84">
        <f>IF(INDEX(lmic_raw_ub[],MATCH($A380,lmic_raw_ub[[setting]:[setting]],0), MATCH(AS$277, lmic_raw_ub[#Headers],0))=0, INDEX(regions_ub[], MATCH($D380, regions_ub[[setting]:[setting]],0), MATCH(AS$139, regions_ub[#Headers],0)),INDEX(lmic_raw_ub[],MATCH($A380,lmic_raw_ub[[setting]:[setting]],0), MATCH(AS$277, lmic_raw_ub[#Headers],0)))</f>
        <v>4.1255118641149287E-2</v>
      </c>
      <c r="AT380" s="84">
        <f>IF(INDEX(lmic_raw_ub[],MATCH($A380,lmic_raw_ub[[setting]:[setting]],0), MATCH(AT$277, lmic_raw_ub[#Headers],0))=0, INDEX(regions_ub[], MATCH($D380, regions_ub[[setting]:[setting]],0), MATCH(AT$139, regions_ub[#Headers],0)),INDEX(lmic_raw_ub[],MATCH($A380,lmic_raw_ub[[setting]:[setting]],0), MATCH(AT$277, lmic_raw_ub[#Headers],0)))</f>
        <v>6.5343643191350761E-2</v>
      </c>
      <c r="AU380" s="84">
        <f>IF(INDEX(lmic_raw_ub[],MATCH($A380,lmic_raw_ub[[setting]:[setting]],0), MATCH(AU$277, lmic_raw_ub[#Headers],0))=0, INDEX(regions_ub[], MATCH($D380, regions_ub[[setting]:[setting]],0), MATCH(AU$139, regions_ub[#Headers],0)),INDEX(lmic_raw_ub[],MATCH($A380,lmic_raw_ub[[setting]:[setting]],0), MATCH(AU$277, lmic_raw_ub[#Headers],0)))</f>
        <v>9.6651828296388381E-2</v>
      </c>
      <c r="AV380" s="84">
        <f>IF(INDEX(lmic_raw_ub[],MATCH($A380,lmic_raw_ub[[setting]:[setting]],0), MATCH(AV$277, lmic_raw_ub[#Headers],0))=0, INDEX(regions_ub[], MATCH($D380, regions_ub[[setting]:[setting]],0), MATCH(AV$139, regions_ub[#Headers],0)),INDEX(lmic_raw_ub[],MATCH($A380,lmic_raw_ub[[setting]:[setting]],0), MATCH(AV$277, lmic_raw_ub[#Headers],0)))</f>
        <v>0.12812321381809724</v>
      </c>
      <c r="AW380" s="84">
        <f>IF(INDEX(lmic_raw_ub[],MATCH($A380,lmic_raw_ub[[setting]:[setting]],0), MATCH(AW$277, lmic_raw_ub[#Headers],0))=0, INDEX(regions_ub[], MATCH($D380, regions_ub[[setting]:[setting]],0), MATCH(AW$139, regions_ub[#Headers],0)),INDEX(lmic_raw_ub[],MATCH($A380,lmic_raw_ub[[setting]:[setting]],0), MATCH(AW$277, lmic_raw_ub[#Headers],0)))</f>
        <v>0.15393380431120357</v>
      </c>
      <c r="AX380" s="84">
        <f>IF(INDEX(lmic_raw_ub[],MATCH($A380,lmic_raw_ub[[setting]:[setting]],0), MATCH(AX$277, lmic_raw_ub[#Headers],0))=0, INDEX(regions_ub[], MATCH($D380, regions_ub[[setting]:[setting]],0), MATCH(AX$139, regions_ub[#Headers],0)),INDEX(lmic_raw_ub[],MATCH($A380,lmic_raw_ub[[setting]:[setting]],0), MATCH(AX$277, lmic_raw_ub[#Headers],0)))</f>
        <v>79.791600000000003</v>
      </c>
      <c r="AY380" s="33" t="str">
        <f>IF(VLOOKUP(lmics_ub[[#This Row],[setting]],lmic_raw_ub[],11,FALSE)=0, "Yes", "No")</f>
        <v>No</v>
      </c>
    </row>
    <row r="381" spans="1:51" x14ac:dyDescent="0.25">
      <c r="A381" s="110" t="s">
        <v>247</v>
      </c>
      <c r="B381" s="104" t="s">
        <v>624</v>
      </c>
      <c r="C381" s="105">
        <v>670</v>
      </c>
      <c r="D381" s="84" t="s">
        <v>679</v>
      </c>
      <c r="E381" s="84" t="s">
        <v>223</v>
      </c>
      <c r="F381" s="84" t="s">
        <v>665</v>
      </c>
      <c r="G381" s="84" t="s">
        <v>676</v>
      </c>
      <c r="J381" s="84">
        <f>IF(INDEX(lmic_raw_ub[],MATCH($A381,lmic_raw_ub[[setting]:[setting]],0), MATCH(J$277, lmic_raw_ub[#Headers],0))=0, INDEX(regions_ub[], MATCH($D381, regions_ub[[setting]:[setting]],0), MATCH(J$139, regions_ub[#Headers],0)),INDEX(lmic_raw_ub[],MATCH($A381,lmic_raw_ub[[setting]:[setting]],0), MATCH(J$277, lmic_raw_ub[#Headers],0)))</f>
        <v>0.97190446634167316</v>
      </c>
      <c r="K381" s="84">
        <f>IF(INDEX(lmic_raw_ub[],MATCH($A381,lmic_raw_ub[[setting]:[setting]],0), MATCH(K$277, lmic_raw_ub[#Headers],0))=0, INDEX(regions_ub[], MATCH($D381, regions_ub[[setting]:[setting]],0), MATCH(K$139, regions_ub[#Headers],0)),INDEX(lmic_raw_ub[],MATCH($A381,lmic_raw_ub[[setting]:[setting]],0), MATCH(K$277, lmic_raw_ub[#Headers],0)))</f>
        <v>0.99990000000000001</v>
      </c>
      <c r="L381" s="84">
        <f>IF(INDEX(lmic_raw_ub[],MATCH($A381,lmic_raw_ub[[setting]:[setting]],0), MATCH(L$277, lmic_raw_ub[#Headers],0))=0, INDEX(regions_ub[], MATCH($D381, regions_ub[[setting]:[setting]],0), MATCH(L$139, regions_ub[#Headers],0)),INDEX(lmic_raw_ub[],MATCH($A381,lmic_raw_ub[[setting]:[setting]],0), MATCH(L$277, lmic_raw_ub[#Headers],0)))</f>
        <v>0.99990000000000001</v>
      </c>
      <c r="M381" s="84">
        <f>IF(INDEX(lmic_raw_ub[],MATCH($A381,lmic_raw_ub[[setting]:[setting]],0), MATCH(M$277, lmic_raw_ub[#Headers],0))=0, INDEX(regions_ub[], MATCH($D381, regions_ub[[setting]:[setting]],0), MATCH(M$139, regions_ub[#Headers],0)),INDEX(lmic_raw_ub[],MATCH($A381,lmic_raw_ub[[setting]:[setting]],0), MATCH(M$277, lmic_raw_ub[#Headers],0)))</f>
        <v>9.8299999999999998E-2</v>
      </c>
      <c r="N381" s="84">
        <f>IF(INDEX(lmic_raw_ub[],MATCH($A381,lmic_raw_ub[[setting]:[setting]],0), MATCH(N$277, lmic_raw_ub[#Headers],0))=0, INDEX(regions_ub[], MATCH($D381, regions_ub[[setting]:[setting]],0), MATCH(N$139, regions_ub[#Headers],0)),INDEX(lmic_raw_ub[],MATCH($A381,lmic_raw_ub[[setting]:[setting]],0), MATCH(N$277, lmic_raw_ub[#Headers],0)))</f>
        <v>0.43</v>
      </c>
      <c r="O381" s="84">
        <f>IF(INDEX(lmic_raw_ub[],MATCH($A381,lmic_raw_ub[[setting]:[setting]],0), MATCH(O$277, lmic_raw_ub[#Headers],0))=0, INDEX(regions_ub[], MATCH($D381, regions_ub[[setting]:[setting]],0), MATCH(O$139, regions_ub[#Headers],0)),INDEX(lmic_raw_ub[],MATCH($A381,lmic_raw_ub[[setting]:[setting]],0), MATCH(O$277, lmic_raw_ub[#Headers],0)))</f>
        <v>0.9</v>
      </c>
      <c r="P381" s="84">
        <f>IF(INDEX(lmic_raw_ub[],MATCH($A381,lmic_raw_ub[[setting]:[setting]],0), MATCH(P$277, lmic_raw_ub[#Headers],0))=0, INDEX(regions_ub[], MATCH($D381, regions_ub[[setting]:[setting]],0), MATCH(P$139, regions_ub[#Headers],0)),INDEX(lmic_raw_ub[],MATCH($A381,lmic_raw_ub[[setting]:[setting]],0), MATCH(P$277, lmic_raw_ub[#Headers],0)))</f>
        <v>0.3</v>
      </c>
      <c r="Q381" s="84">
        <f>IF(INDEX(lmic_raw_ub[],MATCH($A381,lmic_raw_ub[[setting]:[setting]],0), MATCH(Q$277, lmic_raw_ub[#Headers],0))=0, INDEX(regions_ub[], MATCH($D381, regions_ub[[setting]:[setting]],0), MATCH(Q$139, regions_ub[#Headers],0)),INDEX(lmic_raw_ub[],MATCH($A381,lmic_raw_ub[[setting]:[setting]],0), MATCH(Q$277, lmic_raw_ub[#Headers],0)))</f>
        <v>13.459079722807862</v>
      </c>
      <c r="R381" s="84">
        <f>IF(INDEX(lmic_raw_ub[],MATCH($A381,lmic_raw_ub[[setting]:[setting]],0), MATCH(R$277, lmic_raw_ub[#Headers],0))=0, INDEX(regions_ub[], MATCH($D381, regions_ub[[setting]:[setting]],0), MATCH(R$139, regions_ub[#Headers],0)),INDEX(lmic_raw_ub[],MATCH($A381,lmic_raw_ub[[setting]:[setting]],0), MATCH(R$277, lmic_raw_ub[#Headers],0)))</f>
        <v>91.228094999999996</v>
      </c>
      <c r="S381" s="84">
        <f>IF(INDEX(lmic_raw_ub[],MATCH($A381,lmic_raw_ub[[setting]:[setting]],0), MATCH(S$277, lmic_raw_ub[#Headers],0))=0, INDEX(regions_ub[], MATCH($D381, regions_ub[[setting]:[setting]],0), MATCH(S$139, regions_ub[#Headers],0)),INDEX(lmic_raw_ub[],MATCH($A381,lmic_raw_ub[[setting]:[setting]],0), MATCH(S$277, lmic_raw_ub[#Headers],0)))</f>
        <v>141.35719500000002</v>
      </c>
      <c r="T381" s="84">
        <f>IF(INDEX(lmic_raw_ub[],MATCH($A381,lmic_raw_ub[[setting]:[setting]],0), MATCH(T$277, lmic_raw_ub[#Headers],0))=0, INDEX(regions_ub[], MATCH($D381, regions_ub[[setting]:[setting]],0), MATCH(T$139, regions_ub[#Headers],0)),INDEX(lmic_raw_ub[],MATCH($A381,lmic_raw_ub[[setting]:[setting]],0), MATCH(T$277, lmic_raw_ub[#Headers],0)))</f>
        <v>141.35719500000002</v>
      </c>
      <c r="U381" s="84">
        <f>IF(INDEX(lmic_raw_ub[],MATCH($A381,lmic_raw_ub[[setting]:[setting]],0), MATCH(U$277, lmic_raw_ub[#Headers],0))=0, INDEX(regions_ub[], MATCH($D381, regions_ub[[setting]:[setting]],0), MATCH(U$139, regions_ub[#Headers],0)),INDEX(lmic_raw_ub[],MATCH($A381,lmic_raw_ub[[setting]:[setting]],0), MATCH(U$277, lmic_raw_ub[#Headers],0)))</f>
        <v>141.35719500000002</v>
      </c>
      <c r="V381" s="84">
        <f>IF(INDEX(lmic_raw_ub[],MATCH($A381,lmic_raw_ub[[setting]:[setting]],0), MATCH(V$277, lmic_raw_ub[#Headers],0))=0, INDEX(regions_ub[], MATCH($D381, regions_ub[[setting]:[setting]],0), MATCH(V$139, regions_ub[#Headers],0)),INDEX(lmic_raw_ub[],MATCH($A381,lmic_raw_ub[[setting]:[setting]],0), MATCH(V$277, lmic_raw_ub[#Headers],0)))</f>
        <v>34.597954736365196</v>
      </c>
      <c r="W381" s="84">
        <f>IF(INDEX(lmic_raw_ub[],MATCH($A381,lmic_raw_ub[[setting]:[setting]],0), MATCH(W$277, lmic_raw_ub[#Headers],0))=0, INDEX(regions_ub[], MATCH($D381, regions_ub[[setting]:[setting]],0), MATCH(W$139, regions_ub[#Headers],0)),INDEX(lmic_raw_ub[],MATCH($A381,lmic_raw_ub[[setting]:[setting]],0), MATCH(W$277, lmic_raw_ub[#Headers],0)))</f>
        <v>34.620844736365193</v>
      </c>
      <c r="X381" s="84">
        <f>IF(INDEX(lmic_raw_ub[],MATCH($A381,lmic_raw_ub[[setting]:[setting]],0), MATCH(X$277, lmic_raw_ub[#Headers],0))=0, INDEX(regions_ub[], MATCH($D381, regions_ub[[setting]:[setting]],0), MATCH(X$139, regions_ub[#Headers],0)),INDEX(lmic_raw_ub[],MATCH($A381,lmic_raw_ub[[setting]:[setting]],0), MATCH(X$277, lmic_raw_ub[#Headers],0)))</f>
        <v>34.072533914643884</v>
      </c>
      <c r="Y381" s="84">
        <f>IF(INDEX(lmic_raw_ub[],MATCH($A381,lmic_raw_ub[[setting]:[setting]],0), MATCH(Y$277, lmic_raw_ub[#Headers],0))=0, INDEX(regions_ub[], MATCH($D381, regions_ub[[setting]:[setting]],0), MATCH(Y$139, regions_ub[#Headers],0)),INDEX(lmic_raw_ub[],MATCH($A381,lmic_raw_ub[[setting]:[setting]],0), MATCH(Y$277, lmic_raw_ub[#Headers],0)))</f>
        <v>34.095423914643881</v>
      </c>
      <c r="Z381" s="84">
        <f>IF(INDEX(lmic_raw_ub[],MATCH($A381,lmic_raw_ub[[setting]:[setting]],0), MATCH(Z$277, lmic_raw_ub[#Headers],0))=0, INDEX(regions_ub[], MATCH($D381, regions_ub[[setting]:[setting]],0), MATCH(Z$139, regions_ub[#Headers],0)),INDEX(lmic_raw_ub[],MATCH($A381,lmic_raw_ub[[setting]:[setting]],0), MATCH(Z$277, lmic_raw_ub[#Headers],0)))</f>
        <v>34.073712106033867</v>
      </c>
      <c r="AA381" s="84">
        <f>IF(INDEX(lmic_raw_ub[],MATCH($A381,lmic_raw_ub[[setting]:[setting]],0), MATCH(AA$277, lmic_raw_ub[#Headers],0))=0, INDEX(regions_ub[], MATCH($D381, regions_ub[[setting]:[setting]],0), MATCH(AA$139, regions_ub[#Headers],0)),INDEX(lmic_raw_ub[],MATCH($A381,lmic_raw_ub[[setting]:[setting]],0), MATCH(AA$277, lmic_raw_ub[#Headers],0)))</f>
        <v>34.873296484258518</v>
      </c>
      <c r="AB381" s="84">
        <f>IF(INDEX(lmic_raw_ub[],MATCH($A381,lmic_raw_ub[[setting]:[setting]],0), MATCH(AB$277, lmic_raw_ub[#Headers],0))=0, INDEX(regions_ub[], MATCH($D381, regions_ub[[setting]:[setting]],0), MATCH(AB$139, regions_ub[#Headers],0)),INDEX(lmic_raw_ub[],MATCH($A381,lmic_raw_ub[[setting]:[setting]],0), MATCH(AB$277, lmic_raw_ub[#Headers],0)))</f>
        <v>34.896186484258514</v>
      </c>
      <c r="AC381" s="84">
        <f>IF(INDEX(lmic_raw_ub[],MATCH($A381,lmic_raw_ub[[setting]:[setting]],0), MATCH(AC$277, lmic_raw_ub[#Headers],0))=0, INDEX(regions_ub[], MATCH($D381, regions_ub[[setting]:[setting]],0), MATCH(AC$139, regions_ub[#Headers],0)),INDEX(lmic_raw_ub[],MATCH($A381,lmic_raw_ub[[setting]:[setting]],0), MATCH(AC$277, lmic_raw_ub[#Headers],0)))</f>
        <v>1.5396706500000031E-2</v>
      </c>
      <c r="AD381" s="84">
        <f>IF(INDEX(lmic_raw_ub[],MATCH($A381,lmic_raw_ub[[setting]:[setting]],0), MATCH(AD$277, lmic_raw_ub[#Headers],0))=0, INDEX(regions_ub[], MATCH($D381, regions_ub[[setting]:[setting]],0), MATCH(AD$139, regions_ub[#Headers],0)),INDEX(lmic_raw_ub[],MATCH($A381,lmic_raw_ub[[setting]:[setting]],0), MATCH(AD$277, lmic_raw_ub[#Headers],0)))</f>
        <v>3.5722175694966491E-4</v>
      </c>
      <c r="AE381" s="84">
        <f>IF(INDEX(lmic_raw_ub[],MATCH($A381,lmic_raw_ub[[setting]:[setting]],0), MATCH(AE$277, lmic_raw_ub[#Headers],0))=0, INDEX(regions_ub[], MATCH($D381, regions_ub[[setting]:[setting]],0), MATCH(AE$139, regions_ub[#Headers],0)),INDEX(lmic_raw_ub[],MATCH($A381,lmic_raw_ub[[setting]:[setting]],0), MATCH(AE$277, lmic_raw_ub[#Headers],0)))</f>
        <v>4.4769896222502542E-4</v>
      </c>
      <c r="AF381" s="84">
        <f>IF(INDEX(lmic_raw_ub[],MATCH($A381,lmic_raw_ub[[setting]:[setting]],0), MATCH(AF$277, lmic_raw_ub[#Headers],0))=0, INDEX(regions_ub[], MATCH($D381, regions_ub[[setting]:[setting]],0), MATCH(AF$139, regions_ub[#Headers],0)),INDEX(lmic_raw_ub[],MATCH($A381,lmic_raw_ub[[setting]:[setting]],0), MATCH(AF$277, lmic_raw_ub[#Headers],0)))</f>
        <v>4.3206543491592107E-4</v>
      </c>
      <c r="AG381" s="84">
        <f>IF(INDEX(lmic_raw_ub[],MATCH($A381,lmic_raw_ub[[setting]:[setting]],0), MATCH(AG$277, lmic_raw_ub[#Headers],0))=0, INDEX(regions_ub[], MATCH($D381, regions_ub[[setting]:[setting]],0), MATCH(AG$139, regions_ub[#Headers],0)),INDEX(lmic_raw_ub[],MATCH($A381,lmic_raw_ub[[setting]:[setting]],0), MATCH(AG$277, lmic_raw_ub[#Headers],0)))</f>
        <v>1.0483566625908982E-3</v>
      </c>
      <c r="AH381" s="84">
        <f>IF(INDEX(lmic_raw_ub[],MATCH($A381,lmic_raw_ub[[setting]:[setting]],0), MATCH(AH$277, lmic_raw_ub[#Headers],0))=0, INDEX(regions_ub[], MATCH($D381, regions_ub[[setting]:[setting]],0), MATCH(AH$139, regions_ub[#Headers],0)),INDEX(lmic_raw_ub[],MATCH($A381,lmic_raw_ub[[setting]:[setting]],0), MATCH(AH$277, lmic_raw_ub[#Headers],0)))</f>
        <v>1.4750764541849083E-3</v>
      </c>
      <c r="AI381" s="84">
        <f>IF(INDEX(lmic_raw_ub[],MATCH($A381,lmic_raw_ub[[setting]:[setting]],0), MATCH(AI$277, lmic_raw_ub[#Headers],0))=0, INDEX(regions_ub[], MATCH($D381, regions_ub[[setting]:[setting]],0), MATCH(AI$139, regions_ub[#Headers],0)),INDEX(lmic_raw_ub[],MATCH($A381,lmic_raw_ub[[setting]:[setting]],0), MATCH(AI$277, lmic_raw_ub[#Headers],0)))</f>
        <v>1.6074671838935495E-3</v>
      </c>
      <c r="AJ381" s="84">
        <f>IF(INDEX(lmic_raw_ub[],MATCH($A381,lmic_raw_ub[[setting]:[setting]],0), MATCH(AJ$277, lmic_raw_ub[#Headers],0))=0, INDEX(regions_ub[], MATCH($D381, regions_ub[[setting]:[setting]],0), MATCH(AJ$139, regions_ub[#Headers],0)),INDEX(lmic_raw_ub[],MATCH($A381,lmic_raw_ub[[setting]:[setting]],0), MATCH(AJ$277, lmic_raw_ub[#Headers],0)))</f>
        <v>1.9157841862392664E-3</v>
      </c>
      <c r="AK381" s="84">
        <f>IF(INDEX(lmic_raw_ub[],MATCH($A381,lmic_raw_ub[[setting]:[setting]],0), MATCH(AK$277, lmic_raw_ub[#Headers],0))=0, INDEX(regions_ub[], MATCH($D381, regions_ub[[setting]:[setting]],0), MATCH(AK$139, regions_ub[#Headers],0)),INDEX(lmic_raw_ub[],MATCH($A381,lmic_raw_ub[[setting]:[setting]],0), MATCH(AK$277, lmic_raw_ub[#Headers],0)))</f>
        <v>2.5518550269312658E-3</v>
      </c>
      <c r="AL381" s="84">
        <f>IF(INDEX(lmic_raw_ub[],MATCH($A381,lmic_raw_ub[[setting]:[setting]],0), MATCH(AL$277, lmic_raw_ub[#Headers],0))=0, INDEX(regions_ub[], MATCH($D381, regions_ub[[setting]:[setting]],0), MATCH(AL$139, regions_ub[#Headers],0)),INDEX(lmic_raw_ub[],MATCH($A381,lmic_raw_ub[[setting]:[setting]],0), MATCH(AL$277, lmic_raw_ub[#Headers],0)))</f>
        <v>3.6451614165565155E-3</v>
      </c>
      <c r="AM381" s="84">
        <f>IF(INDEX(lmic_raw_ub[],MATCH($A381,lmic_raw_ub[[setting]:[setting]],0), MATCH(AM$277, lmic_raw_ub[#Headers],0))=0, INDEX(regions_ub[], MATCH($D381, regions_ub[[setting]:[setting]],0), MATCH(AM$139, regions_ub[#Headers],0)),INDEX(lmic_raw_ub[],MATCH($A381,lmic_raw_ub[[setting]:[setting]],0), MATCH(AM$277, lmic_raw_ub[#Headers],0)))</f>
        <v>5.4699162930085029E-3</v>
      </c>
      <c r="AN381" s="84">
        <f>IF(INDEX(lmic_raw_ub[],MATCH($A381,lmic_raw_ub[[setting]:[setting]],0), MATCH(AN$277, lmic_raw_ub[#Headers],0))=0, INDEX(regions_ub[], MATCH($D381, regions_ub[[setting]:[setting]],0), MATCH(AN$139, regions_ub[#Headers],0)),INDEX(lmic_raw_ub[],MATCH($A381,lmic_raw_ub[[setting]:[setting]],0), MATCH(AN$277, lmic_raw_ub[#Headers],0)))</f>
        <v>8.2427151119795899E-3</v>
      </c>
      <c r="AO381" s="84">
        <f>IF(INDEX(lmic_raw_ub[],MATCH($A381,lmic_raw_ub[[setting]:[setting]],0), MATCH(AO$277, lmic_raw_ub[#Headers],0))=0, INDEX(regions_ub[], MATCH($D381, regions_ub[[setting]:[setting]],0), MATCH(AO$139, regions_ub[#Headers],0)),INDEX(lmic_raw_ub[],MATCH($A381,lmic_raw_ub[[setting]:[setting]],0), MATCH(AO$277, lmic_raw_ub[#Headers],0)))</f>
        <v>1.239638384573174E-2</v>
      </c>
      <c r="AP381" s="84">
        <f>IF(INDEX(lmic_raw_ub[],MATCH($A381,lmic_raw_ub[[setting]:[setting]],0), MATCH(AP$277, lmic_raw_ub[#Headers],0))=0, INDEX(regions_ub[], MATCH($D381, regions_ub[[setting]:[setting]],0), MATCH(AP$139, regions_ub[#Headers],0)),INDEX(lmic_raw_ub[],MATCH($A381,lmic_raw_ub[[setting]:[setting]],0), MATCH(AP$277, lmic_raw_ub[#Headers],0)))</f>
        <v>1.7424882136101202E-2</v>
      </c>
      <c r="AQ381" s="84">
        <f>IF(INDEX(lmic_raw_ub[],MATCH($A381,lmic_raw_ub[[setting]:[setting]],0), MATCH(AQ$277, lmic_raw_ub[#Headers],0))=0, INDEX(regions_ub[], MATCH($D381, regions_ub[[setting]:[setting]],0), MATCH(AQ$139, regions_ub[#Headers],0)),INDEX(lmic_raw_ub[],MATCH($A381,lmic_raw_ub[[setting]:[setting]],0), MATCH(AQ$277, lmic_raw_ub[#Headers],0)))</f>
        <v>2.436128683685642E-2</v>
      </c>
      <c r="AR381" s="84">
        <f>IF(INDEX(lmic_raw_ub[],MATCH($A381,lmic_raw_ub[[setting]:[setting]],0), MATCH(AR$277, lmic_raw_ub[#Headers],0))=0, INDEX(regions_ub[], MATCH($D381, regions_ub[[setting]:[setting]],0), MATCH(AR$139, regions_ub[#Headers],0)),INDEX(lmic_raw_ub[],MATCH($A381,lmic_raw_ub[[setting]:[setting]],0), MATCH(AR$277, lmic_raw_ub[#Headers],0)))</f>
        <v>3.6096043109741072E-2</v>
      </c>
      <c r="AS381" s="84">
        <f>IF(INDEX(lmic_raw_ub[],MATCH($A381,lmic_raw_ub[[setting]:[setting]],0), MATCH(AS$277, lmic_raw_ub[#Headers],0))=0, INDEX(regions_ub[], MATCH($D381, regions_ub[[setting]:[setting]],0), MATCH(AS$139, regions_ub[#Headers],0)),INDEX(lmic_raw_ub[],MATCH($A381,lmic_raw_ub[[setting]:[setting]],0), MATCH(AS$277, lmic_raw_ub[#Headers],0)))</f>
        <v>5.5869033584551163E-2</v>
      </c>
      <c r="AT381" s="84">
        <f>IF(INDEX(lmic_raw_ub[],MATCH($A381,lmic_raw_ub[[setting]:[setting]],0), MATCH(AT$277, lmic_raw_ub[#Headers],0))=0, INDEX(regions_ub[], MATCH($D381, regions_ub[[setting]:[setting]],0), MATCH(AT$139, regions_ub[#Headers],0)),INDEX(lmic_raw_ub[],MATCH($A381,lmic_raw_ub[[setting]:[setting]],0), MATCH(AT$277, lmic_raw_ub[#Headers],0)))</f>
        <v>8.3542506444369086E-2</v>
      </c>
      <c r="AU381" s="84">
        <f>IF(INDEX(lmic_raw_ub[],MATCH($A381,lmic_raw_ub[[setting]:[setting]],0), MATCH(AU$277, lmic_raw_ub[#Headers],0))=0, INDEX(regions_ub[], MATCH($D381, regions_ub[[setting]:[setting]],0), MATCH(AU$139, regions_ub[#Headers],0)),INDEX(lmic_raw_ub[],MATCH($A381,lmic_raw_ub[[setting]:[setting]],0), MATCH(AU$277, lmic_raw_ub[#Headers],0)))</f>
        <v>0.11767608616351675</v>
      </c>
      <c r="AV381" s="84">
        <f>IF(INDEX(lmic_raw_ub[],MATCH($A381,lmic_raw_ub[[setting]:[setting]],0), MATCH(AV$277, lmic_raw_ub[#Headers],0))=0, INDEX(regions_ub[], MATCH($D381, regions_ub[[setting]:[setting]],0), MATCH(AV$139, regions_ub[#Headers],0)),INDEX(lmic_raw_ub[],MATCH($A381,lmic_raw_ub[[setting]:[setting]],0), MATCH(AV$277, lmic_raw_ub[#Headers],0)))</f>
        <v>0.15088182105392789</v>
      </c>
      <c r="AW381" s="84">
        <f>IF(INDEX(lmic_raw_ub[],MATCH($A381,lmic_raw_ub[[setting]:[setting]],0), MATCH(AW$277, lmic_raw_ub[#Headers],0))=0, INDEX(regions_ub[], MATCH($D381, regions_ub[[setting]:[setting]],0), MATCH(AW$139, regions_ub[#Headers],0)),INDEX(lmic_raw_ub[],MATCH($A381,lmic_raw_ub[[setting]:[setting]],0), MATCH(AW$277, lmic_raw_ub[#Headers],0)))</f>
        <v>0.17717706780699219</v>
      </c>
      <c r="AX381" s="84">
        <f>IF(INDEX(lmic_raw_ub[],MATCH($A381,lmic_raw_ub[[setting]:[setting]],0), MATCH(AX$277, lmic_raw_ub[#Headers],0))=0, INDEX(regions_ub[], MATCH($D381, regions_ub[[setting]:[setting]],0), MATCH(AX$139, regions_ub[#Headers],0)),INDEX(lmic_raw_ub[],MATCH($A381,lmic_raw_ub[[setting]:[setting]],0), MATCH(AX$277, lmic_raw_ub[#Headers],0)))</f>
        <v>75.978000000000009</v>
      </c>
      <c r="AY381" s="33" t="str">
        <f>IF(VLOOKUP(lmics_ub[[#This Row],[setting]],lmic_raw_ub[],11,FALSE)=0, "Yes", "No")</f>
        <v>No</v>
      </c>
    </row>
    <row r="382" spans="1:51" x14ac:dyDescent="0.25">
      <c r="A382" s="109" t="s">
        <v>299</v>
      </c>
      <c r="B382" s="101" t="s">
        <v>504</v>
      </c>
      <c r="C382" s="102">
        <v>882</v>
      </c>
      <c r="D382" s="82" t="s">
        <v>681</v>
      </c>
      <c r="E382" s="82" t="s">
        <v>98</v>
      </c>
      <c r="F382" s="82" t="s">
        <v>666</v>
      </c>
      <c r="G382" s="82" t="s">
        <v>676</v>
      </c>
      <c r="J382" s="84">
        <f>IF(INDEX(lmic_raw_ub[],MATCH($A382,lmic_raw_ub[[setting]:[setting]],0), MATCH(J$277, lmic_raw_ub[#Headers],0))=0, INDEX(regions_ub[], MATCH($D382, regions_ub[[setting]:[setting]],0), MATCH(J$139, regions_ub[#Headers],0)),INDEX(lmic_raw_ub[],MATCH($A382,lmic_raw_ub[[setting]:[setting]],0), MATCH(J$277, lmic_raw_ub[#Headers],0)))</f>
        <v>0.8599500000000001</v>
      </c>
      <c r="K382" s="84">
        <f>IF(INDEX(lmic_raw_ub[],MATCH($A382,lmic_raw_ub[[setting]:[setting]],0), MATCH(K$277, lmic_raw_ub[#Headers],0))=0, INDEX(regions_ub[], MATCH($D382, regions_ub[[setting]:[setting]],0), MATCH(K$139, regions_ub[#Headers],0)),INDEX(lmic_raw_ub[],MATCH($A382,lmic_raw_ub[[setting]:[setting]],0), MATCH(K$277, lmic_raw_ub[#Headers],0)))</f>
        <v>0.68250000000000011</v>
      </c>
      <c r="L382" s="84">
        <f>IF(INDEX(lmic_raw_ub[],MATCH($A382,lmic_raw_ub[[setting]:[setting]],0), MATCH(L$277, lmic_raw_ub[#Headers],0))=0, INDEX(regions_ub[], MATCH($D382, regions_ub[[setting]:[setting]],0), MATCH(L$139, regions_ub[#Headers],0)),INDEX(lmic_raw_ub[],MATCH($A382,lmic_raw_ub[[setting]:[setting]],0), MATCH(L$277, lmic_raw_ub[#Headers],0)))</f>
        <v>0.60899999999999999</v>
      </c>
      <c r="M382" s="84">
        <f>IF(INDEX(lmic_raw_ub[],MATCH($A382,lmic_raw_ub[[setting]:[setting]],0), MATCH(M$277, lmic_raw_ub[#Headers],0))=0, INDEX(regions_ub[], MATCH($D382, regions_ub[[setting]:[setting]],0), MATCH(M$139, regions_ub[#Headers],0)),INDEX(lmic_raw_ub[],MATCH($A382,lmic_raw_ub[[setting]:[setting]],0), MATCH(M$277, lmic_raw_ub[#Headers],0)))</f>
        <v>5.1799999999999999E-2</v>
      </c>
      <c r="N382" s="84">
        <f>IF(INDEX(lmic_raw_ub[],MATCH($A382,lmic_raw_ub[[setting]:[setting]],0), MATCH(N$277, lmic_raw_ub[#Headers],0))=0, INDEX(regions_ub[], MATCH($D382, regions_ub[[setting]:[setting]],0), MATCH(N$139, regions_ub[#Headers],0)),INDEX(lmic_raw_ub[],MATCH($A382,lmic_raw_ub[[setting]:[setting]],0), MATCH(N$277, lmic_raw_ub[#Headers],0)))</f>
        <v>0.47889999999999999</v>
      </c>
      <c r="O382" s="84">
        <f>IF(INDEX(lmic_raw_ub[],MATCH($A382,lmic_raw_ub[[setting]:[setting]],0), MATCH(O$277, lmic_raw_ub[#Headers],0))=0, INDEX(regions_ub[], MATCH($D382, regions_ub[[setting]:[setting]],0), MATCH(O$139, regions_ub[#Headers],0)),INDEX(lmic_raw_ub[],MATCH($A382,lmic_raw_ub[[setting]:[setting]],0), MATCH(O$277, lmic_raw_ub[#Headers],0)))</f>
        <v>0.9</v>
      </c>
      <c r="P382" s="84">
        <f>IF(INDEX(lmic_raw_ub[],MATCH($A382,lmic_raw_ub[[setting]:[setting]],0), MATCH(P$277, lmic_raw_ub[#Headers],0))=0, INDEX(regions_ub[], MATCH($D382, regions_ub[[setting]:[setting]],0), MATCH(P$139, regions_ub[#Headers],0)),INDEX(lmic_raw_ub[],MATCH($A382,lmic_raw_ub[[setting]:[setting]],0), MATCH(P$277, lmic_raw_ub[#Headers],0)))</f>
        <v>0.3</v>
      </c>
      <c r="Q382" s="84">
        <f>IF(INDEX(lmic_raw_ub[],MATCH($A382,lmic_raw_ub[[setting]:[setting]],0), MATCH(Q$277, lmic_raw_ub[#Headers],0))=0, INDEX(regions_ub[], MATCH($D382, regions_ub[[setting]:[setting]],0), MATCH(Q$139, regions_ub[#Headers],0)),INDEX(lmic_raw_ub[],MATCH($A382,lmic_raw_ub[[setting]:[setting]],0), MATCH(Q$277, lmic_raw_ub[#Headers],0)))</f>
        <v>7.4272284326546689</v>
      </c>
      <c r="R382" s="84">
        <f>IF(INDEX(lmic_raw_ub[],MATCH($A382,lmic_raw_ub[[setting]:[setting]],0), MATCH(R$277, lmic_raw_ub[#Headers],0))=0, INDEX(regions_ub[], MATCH($D382, regions_ub[[setting]:[setting]],0), MATCH(R$139, regions_ub[#Headers],0)),INDEX(lmic_raw_ub[],MATCH($A382,lmic_raw_ub[[setting]:[setting]],0), MATCH(R$277, lmic_raw_ub[#Headers],0)))</f>
        <v>76.738725000000002</v>
      </c>
      <c r="S382" s="84">
        <f>IF(INDEX(lmic_raw_ub[],MATCH($A382,lmic_raw_ub[[setting]:[setting]],0), MATCH(S$277, lmic_raw_ub[#Headers],0))=0, INDEX(regions_ub[], MATCH($D382, regions_ub[[setting]:[setting]],0), MATCH(S$139, regions_ub[#Headers],0)),INDEX(lmic_raw_ub[],MATCH($A382,lmic_raw_ub[[setting]:[setting]],0), MATCH(S$277, lmic_raw_ub[#Headers],0)))</f>
        <v>126.867825</v>
      </c>
      <c r="T382" s="84">
        <f>IF(INDEX(lmic_raw_ub[],MATCH($A382,lmic_raw_ub[[setting]:[setting]],0), MATCH(T$277, lmic_raw_ub[#Headers],0))=0, INDEX(regions_ub[], MATCH($D382, regions_ub[[setting]:[setting]],0), MATCH(T$139, regions_ub[#Headers],0)),INDEX(lmic_raw_ub[],MATCH($A382,lmic_raw_ub[[setting]:[setting]],0), MATCH(T$277, lmic_raw_ub[#Headers],0)))</f>
        <v>126.867825</v>
      </c>
      <c r="U382" s="84">
        <f>IF(INDEX(lmic_raw_ub[],MATCH($A382,lmic_raw_ub[[setting]:[setting]],0), MATCH(U$277, lmic_raw_ub[#Headers],0))=0, INDEX(regions_ub[], MATCH($D382, regions_ub[[setting]:[setting]],0), MATCH(U$139, regions_ub[#Headers],0)),INDEX(lmic_raw_ub[],MATCH($A382,lmic_raw_ub[[setting]:[setting]],0), MATCH(U$277, lmic_raw_ub[#Headers],0)))</f>
        <v>126.867825</v>
      </c>
      <c r="V382" s="84">
        <f>IF(INDEX(lmic_raw_ub[],MATCH($A382,lmic_raw_ub[[setting]:[setting]],0), MATCH(V$277, lmic_raw_ub[#Headers],0))=0, INDEX(regions_ub[], MATCH($D382, regions_ub[[setting]:[setting]],0), MATCH(V$139, regions_ub[#Headers],0)),INDEX(lmic_raw_ub[],MATCH($A382,lmic_raw_ub[[setting]:[setting]],0), MATCH(V$277, lmic_raw_ub[#Headers],0)))</f>
        <v>8.8502030253728261</v>
      </c>
      <c r="W382" s="84">
        <f>IF(INDEX(lmic_raw_ub[],MATCH($A382,lmic_raw_ub[[setting]:[setting]],0), MATCH(W$277, lmic_raw_ub[#Headers],0))=0, INDEX(regions_ub[], MATCH($D382, regions_ub[[setting]:[setting]],0), MATCH(W$139, regions_ub[#Headers],0)),INDEX(lmic_raw_ub[],MATCH($A382,lmic_raw_ub[[setting]:[setting]],0), MATCH(W$277, lmic_raw_ub[#Headers],0)))</f>
        <v>9.5140130253728259</v>
      </c>
      <c r="X382" s="84">
        <f>IF(INDEX(lmic_raw_ub[],MATCH($A382,lmic_raw_ub[[setting]:[setting]],0), MATCH(X$277, lmic_raw_ub[#Headers],0))=0, INDEX(regions_ub[], MATCH($D382, regions_ub[[setting]:[setting]],0), MATCH(X$139, regions_ub[#Headers],0)),INDEX(lmic_raw_ub[],MATCH($A382,lmic_raw_ub[[setting]:[setting]],0), MATCH(X$277, lmic_raw_ub[#Headers],0)))</f>
        <v>8.3422729168519432</v>
      </c>
      <c r="Y382" s="84">
        <f>IF(INDEX(lmic_raw_ub[],MATCH($A382,lmic_raw_ub[[setting]:[setting]],0), MATCH(Y$277, lmic_raw_ub[#Headers],0))=0, INDEX(regions_ub[], MATCH($D382, regions_ub[[setting]:[setting]],0), MATCH(Y$139, regions_ub[#Headers],0)),INDEX(lmic_raw_ub[],MATCH($A382,lmic_raw_ub[[setting]:[setting]],0), MATCH(Y$277, lmic_raw_ub[#Headers],0)))</f>
        <v>9.006082916851943</v>
      </c>
      <c r="Z382" s="84">
        <f>IF(INDEX(lmic_raw_ub[],MATCH($A382,lmic_raw_ub[[setting]:[setting]],0), MATCH(Z$277, lmic_raw_ub[#Headers],0))=0, INDEX(regions_ub[], MATCH($D382, regions_ub[[setting]:[setting]],0), MATCH(Z$139, regions_ub[#Headers],0)),INDEX(lmic_raw_ub[],MATCH($A382,lmic_raw_ub[[setting]:[setting]],0), MATCH(Z$277, lmic_raw_ub[#Headers],0)))</f>
        <v>8.9932594389627347</v>
      </c>
      <c r="AA382" s="84">
        <f>IF(INDEX(lmic_raw_ub[],MATCH($A382,lmic_raw_ub[[setting]:[setting]],0), MATCH(AA$277, lmic_raw_ub[#Headers],0))=0, INDEX(regions_ub[], MATCH($D382, regions_ub[[setting]:[setting]],0), MATCH(AA$139, regions_ub[#Headers],0)),INDEX(lmic_raw_ub[],MATCH($A382,lmic_raw_ub[[setting]:[setting]],0), MATCH(AA$277, lmic_raw_ub[#Headers],0)))</f>
        <v>9.1215744886746482</v>
      </c>
      <c r="AB382" s="84">
        <f>IF(INDEX(lmic_raw_ub[],MATCH($A382,lmic_raw_ub[[setting]:[setting]],0), MATCH(AB$277, lmic_raw_ub[#Headers],0))=0, INDEX(regions_ub[], MATCH($D382, regions_ub[[setting]:[setting]],0), MATCH(AB$139, regions_ub[#Headers],0)),INDEX(lmic_raw_ub[],MATCH($A382,lmic_raw_ub[[setting]:[setting]],0), MATCH(AB$277, lmic_raw_ub[#Headers],0)))</f>
        <v>9.7853844886746479</v>
      </c>
      <c r="AC382" s="84">
        <f>IF(INDEX(lmic_raw_ub[],MATCH($A382,lmic_raw_ub[[setting]:[setting]],0), MATCH(AC$277, lmic_raw_ub[#Headers],0))=0, INDEX(regions_ub[], MATCH($D382, regions_ub[[setting]:[setting]],0), MATCH(AC$139, regions_ub[#Headers],0)),INDEX(lmic_raw_ub[],MATCH($A382,lmic_raw_ub[[setting]:[setting]],0), MATCH(AC$277, lmic_raw_ub[#Headers],0)))</f>
        <v>1.4124515999999952E-2</v>
      </c>
      <c r="AD382" s="84">
        <f>IF(INDEX(lmic_raw_ub[],MATCH($A382,lmic_raw_ub[[setting]:[setting]],0), MATCH(AD$277, lmic_raw_ub[#Headers],0))=0, INDEX(regions_ub[], MATCH($D382, regions_ub[[setting]:[setting]],0), MATCH(AD$139, regions_ub[#Headers],0)),INDEX(lmic_raw_ub[],MATCH($A382,lmic_raw_ub[[setting]:[setting]],0), MATCH(AD$277, lmic_raw_ub[#Headers],0)))</f>
        <v>7.2715209176627156E-4</v>
      </c>
      <c r="AE382" s="84">
        <f>IF(INDEX(lmic_raw_ub[],MATCH($A382,lmic_raw_ub[[setting]:[setting]],0), MATCH(AE$277, lmic_raw_ub[#Headers],0))=0, INDEX(regions_ub[], MATCH($D382, regions_ub[[setting]:[setting]],0), MATCH(AE$139, regions_ub[#Headers],0)),INDEX(lmic_raw_ub[],MATCH($A382,lmic_raw_ub[[setting]:[setting]],0), MATCH(AE$277, lmic_raw_ub[#Headers],0)))</f>
        <v>2.8635803608817857E-4</v>
      </c>
      <c r="AF382" s="84">
        <f>IF(INDEX(lmic_raw_ub[],MATCH($A382,lmic_raw_ub[[setting]:[setting]],0), MATCH(AF$277, lmic_raw_ub[#Headers],0))=0, INDEX(regions_ub[], MATCH($D382, regions_ub[[setting]:[setting]],0), MATCH(AF$139, regions_ub[#Headers],0)),INDEX(lmic_raw_ub[],MATCH($A382,lmic_raw_ub[[setting]:[setting]],0), MATCH(AF$277, lmic_raw_ub[#Headers],0)))</f>
        <v>2.6110592069791095E-4</v>
      </c>
      <c r="AG382" s="84">
        <f>IF(INDEX(lmic_raw_ub[],MATCH($A382,lmic_raw_ub[[setting]:[setting]],0), MATCH(AG$277, lmic_raw_ub[#Headers],0))=0, INDEX(regions_ub[], MATCH($D382, regions_ub[[setting]:[setting]],0), MATCH(AG$139, regions_ub[#Headers],0)),INDEX(lmic_raw_ub[],MATCH($A382,lmic_raw_ub[[setting]:[setting]],0), MATCH(AG$277, lmic_raw_ub[#Headers],0)))</f>
        <v>6.0513896667924833E-4</v>
      </c>
      <c r="AH382" s="84">
        <f>IF(INDEX(lmic_raw_ub[],MATCH($A382,lmic_raw_ub[[setting]:[setting]],0), MATCH(AH$277, lmic_raw_ub[#Headers],0))=0, INDEX(regions_ub[], MATCH($D382, regions_ub[[setting]:[setting]],0), MATCH(AH$139, regions_ub[#Headers],0)),INDEX(lmic_raw_ub[],MATCH($A382,lmic_raw_ub[[setting]:[setting]],0), MATCH(AH$277, lmic_raw_ub[#Headers],0)))</f>
        <v>7.8627617005598061E-4</v>
      </c>
      <c r="AI382" s="84">
        <f>IF(INDEX(lmic_raw_ub[],MATCH($A382,lmic_raw_ub[[setting]:[setting]],0), MATCH(AI$277, lmic_raw_ub[#Headers],0))=0, INDEX(regions_ub[], MATCH($D382, regions_ub[[setting]:[setting]],0), MATCH(AI$139, regions_ub[#Headers],0)),INDEX(lmic_raw_ub[],MATCH($A382,lmic_raw_ub[[setting]:[setting]],0), MATCH(AI$277, lmic_raw_ub[#Headers],0)))</f>
        <v>8.0473621666191293E-4</v>
      </c>
      <c r="AJ382" s="84">
        <f>IF(INDEX(lmic_raw_ub[],MATCH($A382,lmic_raw_ub[[setting]:[setting]],0), MATCH(AJ$277, lmic_raw_ub[#Headers],0))=0, INDEX(regions_ub[], MATCH($D382, regions_ub[[setting]:[setting]],0), MATCH(AJ$139, regions_ub[#Headers],0)),INDEX(lmic_raw_ub[],MATCH($A382,lmic_raw_ub[[setting]:[setting]],0), MATCH(AJ$277, lmic_raw_ub[#Headers],0)))</f>
        <v>9.6403011087892632E-4</v>
      </c>
      <c r="AK382" s="84">
        <f>IF(INDEX(lmic_raw_ub[],MATCH($A382,lmic_raw_ub[[setting]:[setting]],0), MATCH(AK$277, lmic_raw_ub[#Headers],0))=0, INDEX(regions_ub[], MATCH($D382, regions_ub[[setting]:[setting]],0), MATCH(AK$139, regions_ub[#Headers],0)),INDEX(lmic_raw_ub[],MATCH($A382,lmic_raw_ub[[setting]:[setting]],0), MATCH(AK$277, lmic_raw_ub[#Headers],0)))</f>
        <v>1.3499798845023015E-3</v>
      </c>
      <c r="AL382" s="84">
        <f>IF(INDEX(lmic_raw_ub[],MATCH($A382,lmic_raw_ub[[setting]:[setting]],0), MATCH(AL$277, lmic_raw_ub[#Headers],0))=0, INDEX(regions_ub[], MATCH($D382, regions_ub[[setting]:[setting]],0), MATCH(AL$139, regions_ub[#Headers],0)),INDEX(lmic_raw_ub[],MATCH($A382,lmic_raw_ub[[setting]:[setting]],0), MATCH(AL$277, lmic_raw_ub[#Headers],0)))</f>
        <v>2.0806158041911755E-3</v>
      </c>
      <c r="AM382" s="84">
        <f>IF(INDEX(lmic_raw_ub[],MATCH($A382,lmic_raw_ub[[setting]:[setting]],0), MATCH(AM$277, lmic_raw_ub[#Headers],0))=0, INDEX(regions_ub[], MATCH($D382, regions_ub[[setting]:[setting]],0), MATCH(AM$139, regions_ub[#Headers],0)),INDEX(lmic_raw_ub[],MATCH($A382,lmic_raw_ub[[setting]:[setting]],0), MATCH(AM$277, lmic_raw_ub[#Headers],0)))</f>
        <v>3.4282172183551607E-3</v>
      </c>
      <c r="AN382" s="84">
        <f>IF(INDEX(lmic_raw_ub[],MATCH($A382,lmic_raw_ub[[setting]:[setting]],0), MATCH(AN$277, lmic_raw_ub[#Headers],0))=0, INDEX(regions_ub[], MATCH($D382, regions_ub[[setting]:[setting]],0), MATCH(AN$139, regions_ub[#Headers],0)),INDEX(lmic_raw_ub[],MATCH($A382,lmic_raw_ub[[setting]:[setting]],0), MATCH(AN$277, lmic_raw_ub[#Headers],0)))</f>
        <v>5.5849036318055727E-3</v>
      </c>
      <c r="AO382" s="84">
        <f>IF(INDEX(lmic_raw_ub[],MATCH($A382,lmic_raw_ub[[setting]:[setting]],0), MATCH(AO$277, lmic_raw_ub[#Headers],0))=0, INDEX(regions_ub[], MATCH($D382, regions_ub[[setting]:[setting]],0), MATCH(AO$139, regions_ub[#Headers],0)),INDEX(lmic_raw_ub[],MATCH($A382,lmic_raw_ub[[setting]:[setting]],0), MATCH(AO$277, lmic_raw_ub[#Headers],0)))</f>
        <v>9.0337176023734013E-3</v>
      </c>
      <c r="AP382" s="84">
        <f>IF(INDEX(lmic_raw_ub[],MATCH($A382,lmic_raw_ub[[setting]:[setting]],0), MATCH(AP$277, lmic_raw_ub[#Headers],0))=0, INDEX(regions_ub[], MATCH($D382, regions_ub[[setting]:[setting]],0), MATCH(AP$139, regions_ub[#Headers],0)),INDEX(lmic_raw_ub[],MATCH($A382,lmic_raw_ub[[setting]:[setting]],0), MATCH(AP$277, lmic_raw_ub[#Headers],0)))</f>
        <v>1.597585839710872E-2</v>
      </c>
      <c r="AQ382" s="84">
        <f>IF(INDEX(lmic_raw_ub[],MATCH($A382,lmic_raw_ub[[setting]:[setting]],0), MATCH(AQ$277, lmic_raw_ub[#Headers],0))=0, INDEX(regions_ub[], MATCH($D382, regions_ub[[setting]:[setting]],0), MATCH(AQ$139, regions_ub[#Headers],0)),INDEX(lmic_raw_ub[],MATCH($A382,lmic_raw_ub[[setting]:[setting]],0), MATCH(AQ$277, lmic_raw_ub[#Headers],0)))</f>
        <v>2.7788822459335446E-2</v>
      </c>
      <c r="AR382" s="84">
        <f>IF(INDEX(lmic_raw_ub[],MATCH($A382,lmic_raw_ub[[setting]:[setting]],0), MATCH(AR$277, lmic_raw_ub[#Headers],0))=0, INDEX(regions_ub[], MATCH($D382, regions_ub[[setting]:[setting]],0), MATCH(AR$139, regions_ub[#Headers],0)),INDEX(lmic_raw_ub[],MATCH($A382,lmic_raw_ub[[setting]:[setting]],0), MATCH(AR$277, lmic_raw_ub[#Headers],0)))</f>
        <v>4.5448167932826355E-2</v>
      </c>
      <c r="AS382" s="84">
        <f>IF(INDEX(lmic_raw_ub[],MATCH($A382,lmic_raw_ub[[setting]:[setting]],0), MATCH(AS$277, lmic_raw_ub[#Headers],0))=0, INDEX(regions_ub[], MATCH($D382, regions_ub[[setting]:[setting]],0), MATCH(AS$139, regions_ub[#Headers],0)),INDEX(lmic_raw_ub[],MATCH($A382,lmic_raw_ub[[setting]:[setting]],0), MATCH(AS$277, lmic_raw_ub[#Headers],0)))</f>
        <v>7.0890072003811089E-2</v>
      </c>
      <c r="AT382" s="84">
        <f>IF(INDEX(lmic_raw_ub[],MATCH($A382,lmic_raw_ub[[setting]:[setting]],0), MATCH(AT$277, lmic_raw_ub[#Headers],0))=0, INDEX(regions_ub[], MATCH($D382, regions_ub[[setting]:[setting]],0), MATCH(AT$139, regions_ub[#Headers],0)),INDEX(lmic_raw_ub[],MATCH($A382,lmic_raw_ub[[setting]:[setting]],0), MATCH(AT$277, lmic_raw_ub[#Headers],0)))</f>
        <v>0.1046553140341394</v>
      </c>
      <c r="AU382" s="84">
        <f>IF(INDEX(lmic_raw_ub[],MATCH($A382,lmic_raw_ub[[setting]:[setting]],0), MATCH(AU$277, lmic_raw_ub[#Headers],0))=0, INDEX(regions_ub[], MATCH($D382, regions_ub[[setting]:[setting]],0), MATCH(AU$139, regions_ub[#Headers],0)),INDEX(lmic_raw_ub[],MATCH($A382,lmic_raw_ub[[setting]:[setting]],0), MATCH(AU$277, lmic_raw_ub[#Headers],0)))</f>
        <v>0.14269179176559876</v>
      </c>
      <c r="AV382" s="84">
        <f>IF(INDEX(lmic_raw_ub[],MATCH($A382,lmic_raw_ub[[setting]:[setting]],0), MATCH(AV$277, lmic_raw_ub[#Headers],0))=0, INDEX(regions_ub[], MATCH($D382, regions_ub[[setting]:[setting]],0), MATCH(AV$139, regions_ub[#Headers],0)),INDEX(lmic_raw_ub[],MATCH($A382,lmic_raw_ub[[setting]:[setting]],0), MATCH(AV$277, lmic_raw_ub[#Headers],0)))</f>
        <v>0.17435614895547821</v>
      </c>
      <c r="AW382" s="84">
        <f>IF(INDEX(lmic_raw_ub[],MATCH($A382,lmic_raw_ub[[setting]:[setting]],0), MATCH(AW$277, lmic_raw_ub[#Headers],0))=0, INDEX(regions_ub[], MATCH($D382, regions_ub[[setting]:[setting]],0), MATCH(AW$139, regions_ub[#Headers],0)),INDEX(lmic_raw_ub[],MATCH($A382,lmic_raw_ub[[setting]:[setting]],0), MATCH(AW$277, lmic_raw_ub[#Headers],0)))</f>
        <v>0.19329810846794404</v>
      </c>
      <c r="AX382" s="84">
        <f>IF(INDEX(lmic_raw_ub[],MATCH($A382,lmic_raw_ub[[setting]:[setting]],0), MATCH(AX$277, lmic_raw_ub[#Headers],0))=0, INDEX(regions_ub[], MATCH($D382, regions_ub[[setting]:[setting]],0), MATCH(AX$139, regions_ub[#Headers],0)),INDEX(lmic_raw_ub[],MATCH($A382,lmic_raw_ub[[setting]:[setting]],0), MATCH(AX$277, lmic_raw_ub[#Headers],0)))</f>
        <v>76.766550000000009</v>
      </c>
      <c r="AY382" s="33" t="str">
        <f>IF(VLOOKUP(lmics_ub[[#This Row],[setting]],lmic_raw_ub[],11,FALSE)=0, "Yes", "No")</f>
        <v>No</v>
      </c>
    </row>
    <row r="383" spans="1:51" x14ac:dyDescent="0.25">
      <c r="A383" s="110" t="s">
        <v>684</v>
      </c>
      <c r="B383" s="104" t="s">
        <v>505</v>
      </c>
      <c r="C383" s="105">
        <v>678</v>
      </c>
      <c r="D383" s="84" t="s">
        <v>677</v>
      </c>
      <c r="E383" s="84" t="s">
        <v>591</v>
      </c>
      <c r="F383" s="84" t="s">
        <v>667</v>
      </c>
      <c r="G383" s="84" t="s">
        <v>678</v>
      </c>
      <c r="J383" s="84">
        <f>IF(INDEX(lmic_raw_ub[],MATCH($A383,lmic_raw_ub[[setting]:[setting]],0), MATCH(J$277, lmic_raw_ub[#Headers],0))=0, INDEX(regions_ub[], MATCH($D383, regions_ub[[setting]:[setting]],0), MATCH(J$139, regions_ub[#Headers],0)),INDEX(lmic_raw_ub[],MATCH($A383,lmic_raw_ub[[setting]:[setting]],0), MATCH(J$277, lmic_raw_ub[#Headers],0)))</f>
        <v>0.95550000000000013</v>
      </c>
      <c r="K383" s="84">
        <f>IF(INDEX(lmic_raw_ub[],MATCH($A383,lmic_raw_ub[[setting]:[setting]],0), MATCH(K$277, lmic_raw_ub[#Headers],0))=0, INDEX(regions_ub[], MATCH($D383, regions_ub[[setting]:[setting]],0), MATCH(K$139, regions_ub[#Headers],0)),INDEX(lmic_raw_ub[],MATCH($A383,lmic_raw_ub[[setting]:[setting]],0), MATCH(K$277, lmic_raw_ub[#Headers],0)))</f>
        <v>0.99749999999999994</v>
      </c>
      <c r="L383" s="84">
        <f>IF(INDEX(lmic_raw_ub[],MATCH($A383,lmic_raw_ub[[setting]:[setting]],0), MATCH(L$277, lmic_raw_ub[#Headers],0))=0, INDEX(regions_ub[], MATCH($D383, regions_ub[[setting]:[setting]],0), MATCH(L$139, regions_ub[#Headers],0)),INDEX(lmic_raw_ub[],MATCH($A383,lmic_raw_ub[[setting]:[setting]],0), MATCH(L$277, lmic_raw_ub[#Headers],0)))</f>
        <v>0.99749999999999994</v>
      </c>
      <c r="M383" s="84">
        <f>IF(INDEX(lmic_raw_ub[],MATCH($A383,lmic_raw_ub[[setting]:[setting]],0), MATCH(M$277, lmic_raw_ub[#Headers],0))=0, INDEX(regions_ub[], MATCH($D383, regions_ub[[setting]:[setting]],0), MATCH(M$139, regions_ub[#Headers],0)),INDEX(lmic_raw_ub[],MATCH($A383,lmic_raw_ub[[setting]:[setting]],0), MATCH(M$277, lmic_raw_ub[#Headers],0)))</f>
        <v>0.24660000000000001</v>
      </c>
      <c r="N383" s="84">
        <f>IF(INDEX(lmic_raw_ub[],MATCH($A383,lmic_raw_ub[[setting]:[setting]],0), MATCH(N$277, lmic_raw_ub[#Headers],0))=0, INDEX(regions_ub[], MATCH($D383, regions_ub[[setting]:[setting]],0), MATCH(N$139, regions_ub[#Headers],0)),INDEX(lmic_raw_ub[],MATCH($A383,lmic_raw_ub[[setting]:[setting]],0), MATCH(N$277, lmic_raw_ub[#Headers],0)))</f>
        <v>0.39380532477309171</v>
      </c>
      <c r="O383" s="84">
        <f>IF(INDEX(lmic_raw_ub[],MATCH($A383,lmic_raw_ub[[setting]:[setting]],0), MATCH(O$277, lmic_raw_ub[#Headers],0))=0, INDEX(regions_ub[], MATCH($D383, regions_ub[[setting]:[setting]],0), MATCH(O$139, regions_ub[#Headers],0)),INDEX(lmic_raw_ub[],MATCH($A383,lmic_raw_ub[[setting]:[setting]],0), MATCH(O$277, lmic_raw_ub[#Headers],0)))</f>
        <v>0.74399999999999999</v>
      </c>
      <c r="P383" s="84">
        <f>IF(INDEX(lmic_raw_ub[],MATCH($A383,lmic_raw_ub[[setting]:[setting]],0), MATCH(P$277, lmic_raw_ub[#Headers],0))=0, INDEX(regions_ub[], MATCH($D383, regions_ub[[setting]:[setting]],0), MATCH(P$139, regions_ub[#Headers],0)),INDEX(lmic_raw_ub[],MATCH($A383,lmic_raw_ub[[setting]:[setting]],0), MATCH(P$277, lmic_raw_ub[#Headers],0)))</f>
        <v>0.13300000000000001</v>
      </c>
      <c r="Q383" s="84">
        <f>IF(INDEX(lmic_raw_ub[],MATCH($A383,lmic_raw_ub[[setting]:[setting]],0), MATCH(Q$277, lmic_raw_ub[#Headers],0))=0, INDEX(regions_ub[], MATCH($D383, regions_ub[[setting]:[setting]],0), MATCH(Q$139, regions_ub[#Headers],0)),INDEX(lmic_raw_ub[],MATCH($A383,lmic_raw_ub[[setting]:[setting]],0), MATCH(Q$277, lmic_raw_ub[#Headers],0)))</f>
        <v>3.5887776116480894</v>
      </c>
      <c r="R383" s="84">
        <f>IF(INDEX(lmic_raw_ub[],MATCH($A383,lmic_raw_ub[[setting]:[setting]],0), MATCH(R$277, lmic_raw_ub[#Headers],0))=0, INDEX(regions_ub[], MATCH($D383, regions_ub[[setting]:[setting]],0), MATCH(R$139, regions_ub[#Headers],0)),INDEX(lmic_raw_ub[],MATCH($A383,lmic_raw_ub[[setting]:[setting]],0), MATCH(R$277, lmic_raw_ub[#Headers],0)))</f>
        <v>31.416525000000004</v>
      </c>
      <c r="S383" s="84">
        <f>IF(INDEX(lmic_raw_ub[],MATCH($A383,lmic_raw_ub[[setting]:[setting]],0), MATCH(S$277, lmic_raw_ub[#Headers],0))=0, INDEX(regions_ub[], MATCH($D383, regions_ub[[setting]:[setting]],0), MATCH(S$139, regions_ub[#Headers],0)),INDEX(lmic_raw_ub[],MATCH($A383,lmic_raw_ub[[setting]:[setting]],0), MATCH(S$277, lmic_raw_ub[#Headers],0)))</f>
        <v>81.545625000000015</v>
      </c>
      <c r="T383" s="84">
        <f>IF(INDEX(lmic_raw_ub[],MATCH($A383,lmic_raw_ub[[setting]:[setting]],0), MATCH(T$277, lmic_raw_ub[#Headers],0))=0, INDEX(regions_ub[], MATCH($D383, regions_ub[[setting]:[setting]],0), MATCH(T$139, regions_ub[#Headers],0)),INDEX(lmic_raw_ub[],MATCH($A383,lmic_raw_ub[[setting]:[setting]],0), MATCH(T$277, lmic_raw_ub[#Headers],0)))</f>
        <v>81.545625000000015</v>
      </c>
      <c r="U383" s="84">
        <f>IF(INDEX(lmic_raw_ub[],MATCH($A383,lmic_raw_ub[[setting]:[setting]],0), MATCH(U$277, lmic_raw_ub[#Headers],0))=0, INDEX(regions_ub[], MATCH($D383, regions_ub[[setting]:[setting]],0), MATCH(U$139, regions_ub[#Headers],0)),INDEX(lmic_raw_ub[],MATCH($A383,lmic_raw_ub[[setting]:[setting]],0), MATCH(U$277, lmic_raw_ub[#Headers],0)))</f>
        <v>81.545625000000015</v>
      </c>
      <c r="V383" s="84">
        <f>IF(INDEX(lmic_raw_ub[],MATCH($A383,lmic_raw_ub[[setting]:[setting]],0), MATCH(V$277, lmic_raw_ub[#Headers],0))=0, INDEX(regions_ub[], MATCH($D383, regions_ub[[setting]:[setting]],0), MATCH(V$139, regions_ub[#Headers],0)),INDEX(lmic_raw_ub[],MATCH($A383,lmic_raw_ub[[setting]:[setting]],0), MATCH(V$277, lmic_raw_ub[#Headers],0)))</f>
        <v>18.564702485052258</v>
      </c>
      <c r="W383" s="84">
        <f>IF(INDEX(lmic_raw_ub[],MATCH($A383,lmic_raw_ub[[setting]:[setting]],0), MATCH(W$277, lmic_raw_ub[#Headers],0))=0, INDEX(regions_ub[], MATCH($D383, regions_ub[[setting]:[setting]],0), MATCH(W$139, regions_ub[#Headers],0)),INDEX(lmic_raw_ub[],MATCH($A383,lmic_raw_ub[[setting]:[setting]],0), MATCH(W$277, lmic_raw_ub[#Headers],0)))</f>
        <v>23.634837485052259</v>
      </c>
      <c r="X383" s="84">
        <f>IF(INDEX(lmic_raw_ub[],MATCH($A383,lmic_raw_ub[[setting]:[setting]],0), MATCH(X$277, lmic_raw_ub[#Headers],0))=0, INDEX(regions_ub[], MATCH($D383, regions_ub[[setting]:[setting]],0), MATCH(X$139, regions_ub[#Headers],0)),INDEX(lmic_raw_ub[],MATCH($A383,lmic_raw_ub[[setting]:[setting]],0), MATCH(X$277, lmic_raw_ub[#Headers],0)))</f>
        <v>18.060679230724908</v>
      </c>
      <c r="Y383" s="84">
        <f>IF(INDEX(lmic_raw_ub[],MATCH($A383,lmic_raw_ub[[setting]:[setting]],0), MATCH(Y$277, lmic_raw_ub[#Headers],0))=0, INDEX(regions_ub[], MATCH($D383, regions_ub[[setting]:[setting]],0), MATCH(Y$139, regions_ub[#Headers],0)),INDEX(lmic_raw_ub[],MATCH($A383,lmic_raw_ub[[setting]:[setting]],0), MATCH(Y$277, lmic_raw_ub[#Headers],0)))</f>
        <v>23.130814230724908</v>
      </c>
      <c r="Z383" s="84">
        <f>IF(INDEX(lmic_raw_ub[],MATCH($A383,lmic_raw_ub[[setting]:[setting]],0), MATCH(Z$277, lmic_raw_ub[#Headers],0))=0, INDEX(regions_ub[], MATCH($D383, regions_ub[[setting]:[setting]],0), MATCH(Z$139, regions_ub[#Headers],0)),INDEX(lmic_raw_ub[],MATCH($A383,lmic_raw_ub[[setting]:[setting]],0), MATCH(Z$277, lmic_raw_ub[#Headers],0)))</f>
        <v>23.119854582323715</v>
      </c>
      <c r="AA383" s="84">
        <f>IF(INDEX(lmic_raw_ub[],MATCH($A383,lmic_raw_ub[[setting]:[setting]],0), MATCH(AA$277, lmic_raw_ub[#Headers],0))=0, INDEX(regions_ub[], MATCH($D383, regions_ub[[setting]:[setting]],0), MATCH(AA$139, regions_ub[#Headers],0)),INDEX(lmic_raw_ub[],MATCH($A383,lmic_raw_ub[[setting]:[setting]],0), MATCH(AA$277, lmic_raw_ub[#Headers],0)))</f>
        <v>18.835187116420578</v>
      </c>
      <c r="AB383" s="84">
        <f>IF(INDEX(lmic_raw_ub[],MATCH($A383,lmic_raw_ub[[setting]:[setting]],0), MATCH(AB$277, lmic_raw_ub[#Headers],0))=0, INDEX(regions_ub[], MATCH($D383, regions_ub[[setting]:[setting]],0), MATCH(AB$139, regions_ub[#Headers],0)),INDEX(lmic_raw_ub[],MATCH($A383,lmic_raw_ub[[setting]:[setting]],0), MATCH(AB$277, lmic_raw_ub[#Headers],0)))</f>
        <v>23.905322116420578</v>
      </c>
      <c r="AC383" s="84">
        <f>IF(INDEX(lmic_raw_ub[],MATCH($A383,lmic_raw_ub[[setting]:[setting]],0), MATCH(AC$277, lmic_raw_ub[#Headers],0))=0, INDEX(regions_ub[], MATCH($D383, regions_ub[[setting]:[setting]],0), MATCH(AC$139, regions_ub[#Headers],0)),INDEX(lmic_raw_ub[],MATCH($A383,lmic_raw_ub[[setting]:[setting]],0), MATCH(AC$277, lmic_raw_ub[#Headers],0)))</f>
        <v>2.7753547500000073E-2</v>
      </c>
      <c r="AD383" s="84">
        <f>IF(INDEX(lmic_raw_ub[],MATCH($A383,lmic_raw_ub[[setting]:[setting]],0), MATCH(AD$277, lmic_raw_ub[#Headers],0))=0, INDEX(regions_ub[], MATCH($D383, regions_ub[[setting]:[setting]],0), MATCH(AD$139, regions_ub[#Headers],0)),INDEX(lmic_raw_ub[],MATCH($A383,lmic_raw_ub[[setting]:[setting]],0), MATCH(AD$277, lmic_raw_ub[#Headers],0)))</f>
        <v>1.5959154062214396E-3</v>
      </c>
      <c r="AE383" s="84">
        <f>IF(INDEX(lmic_raw_ub[],MATCH($A383,lmic_raw_ub[[setting]:[setting]],0), MATCH(AE$277, lmic_raw_ub[#Headers],0))=0, INDEX(regions_ub[], MATCH($D383, regions_ub[[setting]:[setting]],0), MATCH(AE$139, regions_ub[#Headers],0)),INDEX(lmic_raw_ub[],MATCH($A383,lmic_raw_ub[[setting]:[setting]],0), MATCH(AE$277, lmic_raw_ub[#Headers],0)))</f>
        <v>6.2153896350049362E-4</v>
      </c>
      <c r="AF383" s="84">
        <f>IF(INDEX(lmic_raw_ub[],MATCH($A383,lmic_raw_ub[[setting]:[setting]],0), MATCH(AF$277, lmic_raw_ub[#Headers],0))=0, INDEX(regions_ub[], MATCH($D383, regions_ub[[setting]:[setting]],0), MATCH(AF$139, regions_ub[#Headers],0)),INDEX(lmic_raw_ub[],MATCH($A383,lmic_raw_ub[[setting]:[setting]],0), MATCH(AF$277, lmic_raw_ub[#Headers],0)))</f>
        <v>5.1862833994193846E-4</v>
      </c>
      <c r="AG383" s="84">
        <f>IF(INDEX(lmic_raw_ub[],MATCH($A383,lmic_raw_ub[[setting]:[setting]],0), MATCH(AG$277, lmic_raw_ub[#Headers],0))=0, INDEX(regions_ub[], MATCH($D383, regions_ub[[setting]:[setting]],0), MATCH(AG$139, regions_ub[#Headers],0)),INDEX(lmic_raw_ub[],MATCH($A383,lmic_raw_ub[[setting]:[setting]],0), MATCH(AG$277, lmic_raw_ub[#Headers],0)))</f>
        <v>1.0187658297866763E-3</v>
      </c>
      <c r="AH383" s="84">
        <f>IF(INDEX(lmic_raw_ub[],MATCH($A383,lmic_raw_ub[[setting]:[setting]],0), MATCH(AH$277, lmic_raw_ub[#Headers],0))=0, INDEX(regions_ub[], MATCH($D383, regions_ub[[setting]:[setting]],0), MATCH(AH$139, regions_ub[#Headers],0)),INDEX(lmic_raw_ub[],MATCH($A383,lmic_raw_ub[[setting]:[setting]],0), MATCH(AH$277, lmic_raw_ub[#Headers],0)))</f>
        <v>1.3361140997932106E-3</v>
      </c>
      <c r="AI383" s="84">
        <f>IF(INDEX(lmic_raw_ub[],MATCH($A383,lmic_raw_ub[[setting]:[setting]],0), MATCH(AI$277, lmic_raw_ub[#Headers],0))=0, INDEX(regions_ub[], MATCH($D383, regions_ub[[setting]:[setting]],0), MATCH(AI$139, regions_ub[#Headers],0)),INDEX(lmic_raw_ub[],MATCH($A383,lmic_raw_ub[[setting]:[setting]],0), MATCH(AI$277, lmic_raw_ub[#Headers],0)))</f>
        <v>1.4164407461552382E-3</v>
      </c>
      <c r="AJ383" s="84">
        <f>IF(INDEX(lmic_raw_ub[],MATCH($A383,lmic_raw_ub[[setting]:[setting]],0), MATCH(AJ$277, lmic_raw_ub[#Headers],0))=0, INDEX(regions_ub[], MATCH($D383, regions_ub[[setting]:[setting]],0), MATCH(AJ$139, regions_ub[#Headers],0)),INDEX(lmic_raw_ub[],MATCH($A383,lmic_raw_ub[[setting]:[setting]],0), MATCH(AJ$277, lmic_raw_ub[#Headers],0)))</f>
        <v>1.6872894044648249E-3</v>
      </c>
      <c r="AK383" s="84">
        <f>IF(INDEX(lmic_raw_ub[],MATCH($A383,lmic_raw_ub[[setting]:[setting]],0), MATCH(AK$277, lmic_raw_ub[#Headers],0))=0, INDEX(regions_ub[], MATCH($D383, regions_ub[[setting]:[setting]],0), MATCH(AK$139, regions_ub[#Headers],0)),INDEX(lmic_raw_ub[],MATCH($A383,lmic_raw_ub[[setting]:[setting]],0), MATCH(AK$277, lmic_raw_ub[#Headers],0)))</f>
        <v>2.2704327512356238E-3</v>
      </c>
      <c r="AL383" s="84">
        <f>IF(INDEX(lmic_raw_ub[],MATCH($A383,lmic_raw_ub[[setting]:[setting]],0), MATCH(AL$277, lmic_raw_ub[#Headers],0))=0, INDEX(regions_ub[], MATCH($D383, regions_ub[[setting]:[setting]],0), MATCH(AL$139, regions_ub[#Headers],0)),INDEX(lmic_raw_ub[],MATCH($A383,lmic_raw_ub[[setting]:[setting]],0), MATCH(AL$277, lmic_raw_ub[#Headers],0)))</f>
        <v>3.2498656804114132E-3</v>
      </c>
      <c r="AM383" s="84">
        <f>IF(INDEX(lmic_raw_ub[],MATCH($A383,lmic_raw_ub[[setting]:[setting]],0), MATCH(AM$277, lmic_raw_ub[#Headers],0))=0, INDEX(regions_ub[], MATCH($D383, regions_ub[[setting]:[setting]],0), MATCH(AM$139, regions_ub[#Headers],0)),INDEX(lmic_raw_ub[],MATCH($A383,lmic_raw_ub[[setting]:[setting]],0), MATCH(AM$277, lmic_raw_ub[#Headers],0)))</f>
        <v>4.9735195532696402E-3</v>
      </c>
      <c r="AN383" s="84">
        <f>IF(INDEX(lmic_raw_ub[],MATCH($A383,lmic_raw_ub[[setting]:[setting]],0), MATCH(AN$277, lmic_raw_ub[#Headers],0))=0, INDEX(regions_ub[], MATCH($D383, regions_ub[[setting]:[setting]],0), MATCH(AN$139, regions_ub[#Headers],0)),INDEX(lmic_raw_ub[],MATCH($A383,lmic_raw_ub[[setting]:[setting]],0), MATCH(AN$277, lmic_raw_ub[#Headers],0)))</f>
        <v>7.6730632608609101E-3</v>
      </c>
      <c r="AO383" s="84">
        <f>IF(INDEX(lmic_raw_ub[],MATCH($A383,lmic_raw_ub[[setting]:[setting]],0), MATCH(AO$277, lmic_raw_ub[#Headers],0))=0, INDEX(regions_ub[], MATCH($D383, regions_ub[[setting]:[setting]],0), MATCH(AO$139, regions_ub[#Headers],0)),INDEX(lmic_raw_ub[],MATCH($A383,lmic_raw_ub[[setting]:[setting]],0), MATCH(AO$277, lmic_raw_ub[#Headers],0)))</f>
        <v>1.1864360478755396E-2</v>
      </c>
      <c r="AP383" s="84">
        <f>IF(INDEX(lmic_raw_ub[],MATCH($A383,lmic_raw_ub[[setting]:[setting]],0), MATCH(AP$277, lmic_raw_ub[#Headers],0))=0, INDEX(regions_ub[], MATCH($D383, regions_ub[[setting]:[setting]],0), MATCH(AP$139, regions_ub[#Headers],0)),INDEX(lmic_raw_ub[],MATCH($A383,lmic_raw_ub[[setting]:[setting]],0), MATCH(AP$277, lmic_raw_ub[#Headers],0)))</f>
        <v>1.8617499653816458E-2</v>
      </c>
      <c r="AQ383" s="84">
        <f>IF(INDEX(lmic_raw_ub[],MATCH($A383,lmic_raw_ub[[setting]:[setting]],0), MATCH(AQ$277, lmic_raw_ub[#Headers],0))=0, INDEX(regions_ub[], MATCH($D383, regions_ub[[setting]:[setting]],0), MATCH(AQ$139, regions_ub[#Headers],0)),INDEX(lmic_raw_ub[],MATCH($A383,lmic_raw_ub[[setting]:[setting]],0), MATCH(AQ$277, lmic_raw_ub[#Headers],0)))</f>
        <v>2.9257652823621198E-2</v>
      </c>
      <c r="AR383" s="84">
        <f>IF(INDEX(lmic_raw_ub[],MATCH($A383,lmic_raw_ub[[setting]:[setting]],0), MATCH(AR$277, lmic_raw_ub[#Headers],0))=0, INDEX(regions_ub[], MATCH($D383, regions_ub[[setting]:[setting]],0), MATCH(AR$139, regions_ub[#Headers],0)),INDEX(lmic_raw_ub[],MATCH($A383,lmic_raw_ub[[setting]:[setting]],0), MATCH(AR$277, lmic_raw_ub[#Headers],0)))</f>
        <v>4.5778032157570106E-2</v>
      </c>
      <c r="AS383" s="84">
        <f>IF(INDEX(lmic_raw_ub[],MATCH($A383,lmic_raw_ub[[setting]:[setting]],0), MATCH(AS$277, lmic_raw_ub[#Headers],0))=0, INDEX(regions_ub[], MATCH($D383, regions_ub[[setting]:[setting]],0), MATCH(AS$139, regions_ub[#Headers],0)),INDEX(lmic_raw_ub[],MATCH($A383,lmic_raw_ub[[setting]:[setting]],0), MATCH(AS$277, lmic_raw_ub[#Headers],0)))</f>
        <v>6.97992862410175E-2</v>
      </c>
      <c r="AT383" s="84">
        <f>IF(INDEX(lmic_raw_ub[],MATCH($A383,lmic_raw_ub[[setting]:[setting]],0), MATCH(AT$277, lmic_raw_ub[#Headers],0))=0, INDEX(regions_ub[], MATCH($D383, regions_ub[[setting]:[setting]],0), MATCH(AT$139, regions_ub[#Headers],0)),INDEX(lmic_raw_ub[],MATCH($A383,lmic_raw_ub[[setting]:[setting]],0), MATCH(AT$277, lmic_raw_ub[#Headers],0)))</f>
        <v>0.10050287135006605</v>
      </c>
      <c r="AU383" s="84">
        <f>IF(INDEX(lmic_raw_ub[],MATCH($A383,lmic_raw_ub[[setting]:[setting]],0), MATCH(AU$277, lmic_raw_ub[#Headers],0))=0, INDEX(regions_ub[], MATCH($D383, regions_ub[[setting]:[setting]],0), MATCH(AU$139, regions_ub[#Headers],0)),INDEX(lmic_raw_ub[],MATCH($A383,lmic_raw_ub[[setting]:[setting]],0), MATCH(AU$277, lmic_raw_ub[#Headers],0)))</f>
        <v>0.13190497817650745</v>
      </c>
      <c r="AV383" s="84">
        <f>IF(INDEX(lmic_raw_ub[],MATCH($A383,lmic_raw_ub[[setting]:[setting]],0), MATCH(AV$277, lmic_raw_ub[#Headers],0))=0, INDEX(regions_ub[], MATCH($D383, regions_ub[[setting]:[setting]],0), MATCH(AV$139, regions_ub[#Headers],0)),INDEX(lmic_raw_ub[],MATCH($A383,lmic_raw_ub[[setting]:[setting]],0), MATCH(AV$277, lmic_raw_ub[#Headers],0)))</f>
        <v>0.1613277935081692</v>
      </c>
      <c r="AW383" s="84">
        <f>IF(INDEX(lmic_raw_ub[],MATCH($A383,lmic_raw_ub[[setting]:[setting]],0), MATCH(AW$277, lmic_raw_ub[#Headers],0))=0, INDEX(regions_ub[], MATCH($D383, regions_ub[[setting]:[setting]],0), MATCH(AW$139, regions_ub[#Headers],0)),INDEX(lmic_raw_ub[],MATCH($A383,lmic_raw_ub[[setting]:[setting]],0), MATCH(AW$277, lmic_raw_ub[#Headers],0)))</f>
        <v>0.18357825611912726</v>
      </c>
      <c r="AX383" s="84">
        <f>IF(INDEX(lmic_raw_ub[],MATCH($A383,lmic_raw_ub[[setting]:[setting]],0), MATCH(AX$277, lmic_raw_ub[#Headers],0))=0, INDEX(regions_ub[], MATCH($D383, regions_ub[[setting]:[setting]],0), MATCH(AX$139, regions_ub[#Headers],0)),INDEX(lmic_raw_ub[],MATCH($A383,lmic_raw_ub[[setting]:[setting]],0), MATCH(AX$277, lmic_raw_ub[#Headers],0)))</f>
        <v>73.55040000000001</v>
      </c>
      <c r="AY383" s="33" t="str">
        <f>IF(VLOOKUP(lmics_ub[[#This Row],[setting]],lmic_raw_ub[],11,FALSE)=0, "Yes", "No")</f>
        <v>No</v>
      </c>
    </row>
    <row r="384" spans="1:51" x14ac:dyDescent="0.25">
      <c r="A384" s="109" t="s">
        <v>152</v>
      </c>
      <c r="B384" s="101" t="s">
        <v>507</v>
      </c>
      <c r="C384" s="102">
        <v>686</v>
      </c>
      <c r="D384" s="82" t="s">
        <v>677</v>
      </c>
      <c r="E384" s="82" t="s">
        <v>591</v>
      </c>
      <c r="F384" s="82" t="s">
        <v>667</v>
      </c>
      <c r="G384" s="82" t="s">
        <v>678</v>
      </c>
      <c r="J384" s="84">
        <f>IF(INDEX(lmic_raw_ub[],MATCH($A384,lmic_raw_ub[[setting]:[setting]],0), MATCH(J$277, lmic_raw_ub[#Headers],0))=0, INDEX(regions_ub[], MATCH($D384, regions_ub[[setting]:[setting]],0), MATCH(J$139, regions_ub[#Headers],0)),INDEX(lmic_raw_ub[],MATCH($A384,lmic_raw_ub[[setting]:[setting]],0), MATCH(J$277, lmic_raw_ub[#Headers],0)))</f>
        <v>0.85785000000000011</v>
      </c>
      <c r="K384" s="84">
        <f>IF(INDEX(lmic_raw_ub[],MATCH($A384,lmic_raw_ub[[setting]:[setting]],0), MATCH(K$277, lmic_raw_ub[#Headers],0))=0, INDEX(regions_ub[], MATCH($D384, regions_ub[[setting]:[setting]],0), MATCH(K$139, regions_ub[#Headers],0)),INDEX(lmic_raw_ub[],MATCH($A384,lmic_raw_ub[[setting]:[setting]],0), MATCH(K$277, lmic_raw_ub[#Headers],0)))</f>
        <v>0.85050000000000014</v>
      </c>
      <c r="L384" s="84">
        <f>IF(INDEX(lmic_raw_ub[],MATCH($A384,lmic_raw_ub[[setting]:[setting]],0), MATCH(L$277, lmic_raw_ub[#Headers],0))=0, INDEX(regions_ub[], MATCH($D384, regions_ub[[setting]:[setting]],0), MATCH(L$139, regions_ub[#Headers],0)),INDEX(lmic_raw_ub[],MATCH($A384,lmic_raw_ub[[setting]:[setting]],0), MATCH(L$277, lmic_raw_ub[#Headers],0)))</f>
        <v>0.97650000000000015</v>
      </c>
      <c r="M384" s="84">
        <f>IF(INDEX(lmic_raw_ub[],MATCH($A384,lmic_raw_ub[[setting]:[setting]],0), MATCH(M$277, lmic_raw_ub[#Headers],0))=0, INDEX(regions_ub[], MATCH($D384, regions_ub[[setting]:[setting]],0), MATCH(M$139, regions_ub[#Headers],0)),INDEX(lmic_raw_ub[],MATCH($A384,lmic_raw_ub[[setting]:[setting]],0), MATCH(M$277, lmic_raw_ub[#Headers],0)))</f>
        <v>9.9900000000000003E-2</v>
      </c>
      <c r="N384" s="84">
        <f>IF(INDEX(lmic_raw_ub[],MATCH($A384,lmic_raw_ub[[setting]:[setting]],0), MATCH(N$277, lmic_raw_ub[#Headers],0))=0, INDEX(regions_ub[], MATCH($D384, regions_ub[[setting]:[setting]],0), MATCH(N$139, regions_ub[#Headers],0)),INDEX(lmic_raw_ub[],MATCH($A384,lmic_raw_ub[[setting]:[setting]],0), MATCH(N$277, lmic_raw_ub[#Headers],0)))</f>
        <v>0.41070000000000001</v>
      </c>
      <c r="O384" s="84">
        <f>IF(INDEX(lmic_raw_ub[],MATCH($A384,lmic_raw_ub[[setting]:[setting]],0), MATCH(O$277, lmic_raw_ub[#Headers],0))=0, INDEX(regions_ub[], MATCH($D384, regions_ub[[setting]:[setting]],0), MATCH(O$139, regions_ub[#Headers],0)),INDEX(lmic_raw_ub[],MATCH($A384,lmic_raw_ub[[setting]:[setting]],0), MATCH(O$277, lmic_raw_ub[#Headers],0)))</f>
        <v>0.74399999999999999</v>
      </c>
      <c r="P384" s="84">
        <f>IF(INDEX(lmic_raw_ub[],MATCH($A384,lmic_raw_ub[[setting]:[setting]],0), MATCH(P$277, lmic_raw_ub[#Headers],0))=0, INDEX(regions_ub[], MATCH($D384, regions_ub[[setting]:[setting]],0), MATCH(P$139, regions_ub[#Headers],0)),INDEX(lmic_raw_ub[],MATCH($A384,lmic_raw_ub[[setting]:[setting]],0), MATCH(P$277, lmic_raw_ub[#Headers],0)))</f>
        <v>0.13300000000000001</v>
      </c>
      <c r="Q384" s="84">
        <f>IF(INDEX(lmic_raw_ub[],MATCH($A384,lmic_raw_ub[[setting]:[setting]],0), MATCH(Q$277, lmic_raw_ub[#Headers],0))=0, INDEX(regions_ub[], MATCH($D384, regions_ub[[setting]:[setting]],0), MATCH(Q$139, regions_ub[#Headers],0)),INDEX(lmic_raw_ub[],MATCH($A384,lmic_raw_ub[[setting]:[setting]],0), MATCH(Q$277, lmic_raw_ub[#Headers],0)))</f>
        <v>3.7881776542977823</v>
      </c>
      <c r="R384" s="84">
        <f>IF(INDEX(lmic_raw_ub[],MATCH($A384,lmic_raw_ub[[setting]:[setting]],0), MATCH(R$277, lmic_raw_ub[#Headers],0))=0, INDEX(regions_ub[], MATCH($D384, regions_ub[[setting]:[setting]],0), MATCH(R$139, regions_ub[#Headers],0)),INDEX(lmic_raw_ub[],MATCH($A384,lmic_raw_ub[[setting]:[setting]],0), MATCH(R$277, lmic_raw_ub[#Headers],0)))</f>
        <v>31.416525000000004</v>
      </c>
      <c r="S384" s="84">
        <f>IF(INDEX(lmic_raw_ub[],MATCH($A384,lmic_raw_ub[[setting]:[setting]],0), MATCH(S$277, lmic_raw_ub[#Headers],0))=0, INDEX(regions_ub[], MATCH($D384, regions_ub[[setting]:[setting]],0), MATCH(S$139, regions_ub[#Headers],0)),INDEX(lmic_raw_ub[],MATCH($A384,lmic_raw_ub[[setting]:[setting]],0), MATCH(S$277, lmic_raw_ub[#Headers],0)))</f>
        <v>81.545625000000015</v>
      </c>
      <c r="T384" s="84">
        <f>IF(INDEX(lmic_raw_ub[],MATCH($A384,lmic_raw_ub[[setting]:[setting]],0), MATCH(T$277, lmic_raw_ub[#Headers],0))=0, INDEX(regions_ub[], MATCH($D384, regions_ub[[setting]:[setting]],0), MATCH(T$139, regions_ub[#Headers],0)),INDEX(lmic_raw_ub[],MATCH($A384,lmic_raw_ub[[setting]:[setting]],0), MATCH(T$277, lmic_raw_ub[#Headers],0)))</f>
        <v>81.545625000000015</v>
      </c>
      <c r="U384" s="84">
        <f>IF(INDEX(lmic_raw_ub[],MATCH($A384,lmic_raw_ub[[setting]:[setting]],0), MATCH(U$277, lmic_raw_ub[#Headers],0))=0, INDEX(regions_ub[], MATCH($D384, regions_ub[[setting]:[setting]],0), MATCH(U$139, regions_ub[#Headers],0)),INDEX(lmic_raw_ub[],MATCH($A384,lmic_raw_ub[[setting]:[setting]],0), MATCH(U$277, lmic_raw_ub[#Headers],0)))</f>
        <v>81.545625000000015</v>
      </c>
      <c r="V384" s="84">
        <f>IF(INDEX(lmic_raw_ub[],MATCH($A384,lmic_raw_ub[[setting]:[setting]],0), MATCH(V$277, lmic_raw_ub[#Headers],0))=0, INDEX(regions_ub[], MATCH($D384, regions_ub[[setting]:[setting]],0), MATCH(V$139, regions_ub[#Headers],0)),INDEX(lmic_raw_ub[],MATCH($A384,lmic_raw_ub[[setting]:[setting]],0), MATCH(V$277, lmic_raw_ub[#Headers],0)))</f>
        <v>5.0094974807075641</v>
      </c>
      <c r="W384" s="84">
        <f>IF(INDEX(lmic_raw_ub[],MATCH($A384,lmic_raw_ub[[setting]:[setting]],0), MATCH(W$277, lmic_raw_ub[#Headers],0))=0, INDEX(regions_ub[], MATCH($D384, regions_ub[[setting]:[setting]],0), MATCH(W$139, regions_ub[#Headers],0)),INDEX(lmic_raw_ub[],MATCH($A384,lmic_raw_ub[[setting]:[setting]],0), MATCH(W$277, lmic_raw_ub[#Headers],0)))</f>
        <v>10.079632480707565</v>
      </c>
      <c r="X384" s="84">
        <f>IF(INDEX(lmic_raw_ub[],MATCH($A384,lmic_raw_ub[[setting]:[setting]],0), MATCH(X$277, lmic_raw_ub[#Headers],0))=0, INDEX(regions_ub[], MATCH($D384, regions_ub[[setting]:[setting]],0), MATCH(X$139, regions_ub[#Headers],0)),INDEX(lmic_raw_ub[],MATCH($A384,lmic_raw_ub[[setting]:[setting]],0), MATCH(X$277, lmic_raw_ub[#Headers],0)))</f>
        <v>4.5102811567057932</v>
      </c>
      <c r="Y384" s="84">
        <f>IF(INDEX(lmic_raw_ub[],MATCH($A384,lmic_raw_ub[[setting]:[setting]],0), MATCH(Y$277, lmic_raw_ub[#Headers],0))=0, INDEX(regions_ub[], MATCH($D384, regions_ub[[setting]:[setting]],0), MATCH(Y$139, regions_ub[#Headers],0)),INDEX(lmic_raw_ub[],MATCH($A384,lmic_raw_ub[[setting]:[setting]],0), MATCH(Y$277, lmic_raw_ub[#Headers],0)))</f>
        <v>9.5804161567057946</v>
      </c>
      <c r="Z384" s="84">
        <f>IF(INDEX(lmic_raw_ub[],MATCH($A384,lmic_raw_ub[[setting]:[setting]],0), MATCH(Z$277, lmic_raw_ub[#Headers],0))=0, INDEX(regions_ub[], MATCH($D384, regions_ub[[setting]:[setting]],0), MATCH(Z$139, regions_ub[#Headers],0)),INDEX(lmic_raw_ub[],MATCH($A384,lmic_raw_ub[[setting]:[setting]],0), MATCH(Z$277, lmic_raw_ub[#Headers],0)))</f>
        <v>9.571652266407364</v>
      </c>
      <c r="AA384" s="84">
        <f>IF(INDEX(lmic_raw_ub[],MATCH($A384,lmic_raw_ub[[setting]:[setting]],0), MATCH(AA$277, lmic_raw_ub[#Headers],0))=0, INDEX(regions_ub[], MATCH($D384, regions_ub[[setting]:[setting]],0), MATCH(AA$139, regions_ub[#Headers],0)),INDEX(lmic_raw_ub[],MATCH($A384,lmic_raw_ub[[setting]:[setting]],0), MATCH(AA$277, lmic_raw_ub[#Headers],0)))</f>
        <v>5.2788909683823473</v>
      </c>
      <c r="AB384" s="84">
        <f>IF(INDEX(lmic_raw_ub[],MATCH($A384,lmic_raw_ub[[setting]:[setting]],0), MATCH(AB$277, lmic_raw_ub[#Headers],0))=0, INDEX(regions_ub[], MATCH($D384, regions_ub[[setting]:[setting]],0), MATCH(AB$139, regions_ub[#Headers],0)),INDEX(lmic_raw_ub[],MATCH($A384,lmic_raw_ub[[setting]:[setting]],0), MATCH(AB$277, lmic_raw_ub[#Headers],0)))</f>
        <v>10.349025968382348</v>
      </c>
      <c r="AC384" s="84">
        <f>IF(INDEX(lmic_raw_ub[],MATCH($A384,lmic_raw_ub[[setting]:[setting]],0), MATCH(AC$277, lmic_raw_ub[#Headers],0))=0, INDEX(regions_ub[], MATCH($D384, regions_ub[[setting]:[setting]],0), MATCH(AC$139, regions_ub[#Headers],0)),INDEX(lmic_raw_ub[],MATCH($A384,lmic_raw_ub[[setting]:[setting]],0), MATCH(AC$277, lmic_raw_ub[#Headers],0)))</f>
        <v>3.4392330000000068E-2</v>
      </c>
      <c r="AD384" s="84">
        <f>IF(INDEX(lmic_raw_ub[],MATCH($A384,lmic_raw_ub[[setting]:[setting]],0), MATCH(AD$277, lmic_raw_ub[#Headers],0))=0, INDEX(regions_ub[], MATCH($D384, regions_ub[[setting]:[setting]],0), MATCH(AD$139, regions_ub[#Headers],0)),INDEX(lmic_raw_ub[],MATCH($A384,lmic_raw_ub[[setting]:[setting]],0), MATCH(AD$277, lmic_raw_ub[#Headers],0)))</f>
        <v>3.2229399850337778E-3</v>
      </c>
      <c r="AE384" s="84">
        <f>IF(INDEX(lmic_raw_ub[],MATCH($A384,lmic_raw_ub[[setting]:[setting]],0), MATCH(AE$277, lmic_raw_ub[#Headers],0))=0, INDEX(regions_ub[], MATCH($D384, regions_ub[[setting]:[setting]],0), MATCH(AE$139, regions_ub[#Headers],0)),INDEX(lmic_raw_ub[],MATCH($A384,lmic_raw_ub[[setting]:[setting]],0), MATCH(AE$277, lmic_raw_ub[#Headers],0)))</f>
        <v>1.2987881162526778E-3</v>
      </c>
      <c r="AF384" s="84">
        <f>IF(INDEX(lmic_raw_ub[],MATCH($A384,lmic_raw_ub[[setting]:[setting]],0), MATCH(AF$277, lmic_raw_ub[#Headers],0))=0, INDEX(regions_ub[], MATCH($D384, regions_ub[[setting]:[setting]],0), MATCH(AF$139, regions_ub[#Headers],0)),INDEX(lmic_raw_ub[],MATCH($A384,lmic_raw_ub[[setting]:[setting]],0), MATCH(AF$277, lmic_raw_ub[#Headers],0)))</f>
        <v>9.0851787584198191E-4</v>
      </c>
      <c r="AG384" s="84">
        <f>IF(INDEX(lmic_raw_ub[],MATCH($A384,lmic_raw_ub[[setting]:[setting]],0), MATCH(AG$277, lmic_raw_ub[#Headers],0))=0, INDEX(regions_ub[], MATCH($D384, regions_ub[[setting]:[setting]],0), MATCH(AG$139, regions_ub[#Headers],0)),INDEX(lmic_raw_ub[],MATCH($A384,lmic_raw_ub[[setting]:[setting]],0), MATCH(AG$277, lmic_raw_ub[#Headers],0)))</f>
        <v>1.4143000155137971E-3</v>
      </c>
      <c r="AH384" s="84">
        <f>IF(INDEX(lmic_raw_ub[],MATCH($A384,lmic_raw_ub[[setting]:[setting]],0), MATCH(AH$277, lmic_raw_ub[#Headers],0))=0, INDEX(regions_ub[], MATCH($D384, regions_ub[[setting]:[setting]],0), MATCH(AH$139, regions_ub[#Headers],0)),INDEX(lmic_raw_ub[],MATCH($A384,lmic_raw_ub[[setting]:[setting]],0), MATCH(AH$277, lmic_raw_ub[#Headers],0)))</f>
        <v>2.0564883430451066E-3</v>
      </c>
      <c r="AI384" s="84">
        <f>IF(INDEX(lmic_raw_ub[],MATCH($A384,lmic_raw_ub[[setting]:[setting]],0), MATCH(AI$277, lmic_raw_ub[#Headers],0))=0, INDEX(regions_ub[], MATCH($D384, regions_ub[[setting]:[setting]],0), MATCH(AI$139, regions_ub[#Headers],0)),INDEX(lmic_raw_ub[],MATCH($A384,lmic_raw_ub[[setting]:[setting]],0), MATCH(AI$277, lmic_raw_ub[#Headers],0)))</f>
        <v>2.2328935651304495E-3</v>
      </c>
      <c r="AJ384" s="84">
        <f>IF(INDEX(lmic_raw_ub[],MATCH($A384,lmic_raw_ub[[setting]:[setting]],0), MATCH(AJ$277, lmic_raw_ub[#Headers],0))=0, INDEX(regions_ub[], MATCH($D384, regions_ub[[setting]:[setting]],0), MATCH(AJ$139, regions_ub[#Headers],0)),INDEX(lmic_raw_ub[],MATCH($A384,lmic_raw_ub[[setting]:[setting]],0), MATCH(AJ$277, lmic_raw_ub[#Headers],0)))</f>
        <v>2.6055243985349027E-3</v>
      </c>
      <c r="AK384" s="84">
        <f>IF(INDEX(lmic_raw_ub[],MATCH($A384,lmic_raw_ub[[setting]:[setting]],0), MATCH(AK$277, lmic_raw_ub[#Headers],0))=0, INDEX(regions_ub[], MATCH($D384, regions_ub[[setting]:[setting]],0), MATCH(AK$139, regions_ub[#Headers],0)),INDEX(lmic_raw_ub[],MATCH($A384,lmic_raw_ub[[setting]:[setting]],0), MATCH(AK$277, lmic_raw_ub[#Headers],0)))</f>
        <v>3.1215167190386654E-3</v>
      </c>
      <c r="AL384" s="84">
        <f>IF(INDEX(lmic_raw_ub[],MATCH($A384,lmic_raw_ub[[setting]:[setting]],0), MATCH(AL$277, lmic_raw_ub[#Headers],0))=0, INDEX(regions_ub[], MATCH($D384, regions_ub[[setting]:[setting]],0), MATCH(AL$139, regions_ub[#Headers],0)),INDEX(lmic_raw_ub[],MATCH($A384,lmic_raw_ub[[setting]:[setting]],0), MATCH(AL$277, lmic_raw_ub[#Headers],0)))</f>
        <v>4.12633762500649E-3</v>
      </c>
      <c r="AM384" s="84">
        <f>IF(INDEX(lmic_raw_ub[],MATCH($A384,lmic_raw_ub[[setting]:[setting]],0), MATCH(AM$277, lmic_raw_ub[#Headers],0))=0, INDEX(regions_ub[], MATCH($D384, regions_ub[[setting]:[setting]],0), MATCH(AM$139, regions_ub[#Headers],0)),INDEX(lmic_raw_ub[],MATCH($A384,lmic_raw_ub[[setting]:[setting]],0), MATCH(AM$277, lmic_raw_ub[#Headers],0)))</f>
        <v>5.5062289209261593E-3</v>
      </c>
      <c r="AN384" s="84">
        <f>IF(INDEX(lmic_raw_ub[],MATCH($A384,lmic_raw_ub[[setting]:[setting]],0), MATCH(AN$277, lmic_raw_ub[#Headers],0))=0, INDEX(regions_ub[], MATCH($D384, regions_ub[[setting]:[setting]],0), MATCH(AN$139, regions_ub[#Headers],0)),INDEX(lmic_raw_ub[],MATCH($A384,lmic_raw_ub[[setting]:[setting]],0), MATCH(AN$277, lmic_raw_ub[#Headers],0)))</f>
        <v>8.1049984575067915E-3</v>
      </c>
      <c r="AO384" s="84">
        <f>IF(INDEX(lmic_raw_ub[],MATCH($A384,lmic_raw_ub[[setting]:[setting]],0), MATCH(AO$277, lmic_raw_ub[#Headers],0))=0, INDEX(regions_ub[], MATCH($D384, regions_ub[[setting]:[setting]],0), MATCH(AO$139, regions_ub[#Headers],0)),INDEX(lmic_raw_ub[],MATCH($A384,lmic_raw_ub[[setting]:[setting]],0), MATCH(AO$277, lmic_raw_ub[#Headers],0)))</f>
        <v>1.1854822153972135E-2</v>
      </c>
      <c r="AP384" s="84">
        <f>IF(INDEX(lmic_raw_ub[],MATCH($A384,lmic_raw_ub[[setting]:[setting]],0), MATCH(AP$277, lmic_raw_ub[#Headers],0))=0, INDEX(regions_ub[], MATCH($D384, regions_ub[[setting]:[setting]],0), MATCH(AP$139, regions_ub[#Headers],0)),INDEX(lmic_raw_ub[],MATCH($A384,lmic_raw_ub[[setting]:[setting]],0), MATCH(AP$277, lmic_raw_ub[#Headers],0)))</f>
        <v>1.859985381845012E-2</v>
      </c>
      <c r="AQ384" s="84">
        <f>IF(INDEX(lmic_raw_ub[],MATCH($A384,lmic_raw_ub[[setting]:[setting]],0), MATCH(AQ$277, lmic_raw_ub[#Headers],0))=0, INDEX(regions_ub[], MATCH($D384, regions_ub[[setting]:[setting]],0), MATCH(AQ$139, regions_ub[#Headers],0)),INDEX(lmic_raw_ub[],MATCH($A384,lmic_raw_ub[[setting]:[setting]],0), MATCH(AQ$277, lmic_raw_ub[#Headers],0)))</f>
        <v>2.9389379173103674E-2</v>
      </c>
      <c r="AR384" s="84">
        <f>IF(INDEX(lmic_raw_ub[],MATCH($A384,lmic_raw_ub[[setting]:[setting]],0), MATCH(AR$277, lmic_raw_ub[#Headers],0))=0, INDEX(regions_ub[], MATCH($D384, regions_ub[[setting]:[setting]],0), MATCH(AR$139, regions_ub[#Headers],0)),INDEX(lmic_raw_ub[],MATCH($A384,lmic_raw_ub[[setting]:[setting]],0), MATCH(AR$277, lmic_raw_ub[#Headers],0)))</f>
        <v>4.886433058745672E-2</v>
      </c>
      <c r="AS384" s="84">
        <f>IF(INDEX(lmic_raw_ub[],MATCH($A384,lmic_raw_ub[[setting]:[setting]],0), MATCH(AS$277, lmic_raw_ub[#Headers],0))=0, INDEX(regions_ub[], MATCH($D384, regions_ub[[setting]:[setting]],0), MATCH(AS$139, regions_ub[#Headers],0)),INDEX(lmic_raw_ub[],MATCH($A384,lmic_raw_ub[[setting]:[setting]],0), MATCH(AS$277, lmic_raw_ub[#Headers],0)))</f>
        <v>7.8486788847091066E-2</v>
      </c>
      <c r="AT384" s="84">
        <f>IF(INDEX(lmic_raw_ub[],MATCH($A384,lmic_raw_ub[[setting]:[setting]],0), MATCH(AT$277, lmic_raw_ub[#Headers],0))=0, INDEX(regions_ub[], MATCH($D384, regions_ub[[setting]:[setting]],0), MATCH(AT$139, regions_ub[#Headers],0)),INDEX(lmic_raw_ub[],MATCH($A384,lmic_raw_ub[[setting]:[setting]],0), MATCH(AT$277, lmic_raw_ub[#Headers],0)))</f>
        <v>0.11708919332428845</v>
      </c>
      <c r="AU384" s="84">
        <f>IF(INDEX(lmic_raw_ub[],MATCH($A384,lmic_raw_ub[[setting]:[setting]],0), MATCH(AU$277, lmic_raw_ub[#Headers],0))=0, INDEX(regions_ub[], MATCH($D384, regions_ub[[setting]:[setting]],0), MATCH(AU$139, regions_ub[#Headers],0)),INDEX(lmic_raw_ub[],MATCH($A384,lmic_raw_ub[[setting]:[setting]],0), MATCH(AU$277, lmic_raw_ub[#Headers],0)))</f>
        <v>0.15477375025316387</v>
      </c>
      <c r="AV384" s="84">
        <f>IF(INDEX(lmic_raw_ub[],MATCH($A384,lmic_raw_ub[[setting]:[setting]],0), MATCH(AV$277, lmic_raw_ub[#Headers],0))=0, INDEX(regions_ub[], MATCH($D384, regions_ub[[setting]:[setting]],0), MATCH(AV$139, regions_ub[#Headers],0)),INDEX(lmic_raw_ub[],MATCH($A384,lmic_raw_ub[[setting]:[setting]],0), MATCH(AV$277, lmic_raw_ub[#Headers],0)))</f>
        <v>0.18220875108332996</v>
      </c>
      <c r="AW384" s="84">
        <f>IF(INDEX(lmic_raw_ub[],MATCH($A384,lmic_raw_ub[[setting]:[setting]],0), MATCH(AW$277, lmic_raw_ub[#Headers],0))=0, INDEX(regions_ub[], MATCH($D384, regions_ub[[setting]:[setting]],0), MATCH(AW$139, regions_ub[#Headers],0)),INDEX(lmic_raw_ub[],MATCH($A384,lmic_raw_ub[[setting]:[setting]],0), MATCH(AW$277, lmic_raw_ub[#Headers],0)))</f>
        <v>0.19580971762463714</v>
      </c>
      <c r="AX384" s="84">
        <f>IF(INDEX(lmic_raw_ub[],MATCH($A384,lmic_raw_ub[[setting]:[setting]],0), MATCH(AX$277, lmic_raw_ub[#Headers],0))=0, INDEX(regions_ub[], MATCH($D384, regions_ub[[setting]:[setting]],0), MATCH(AX$139, regions_ub[#Headers],0)),INDEX(lmic_raw_ub[],MATCH($A384,lmic_raw_ub[[setting]:[setting]],0), MATCH(AX$277, lmic_raw_ub[#Headers],0)))</f>
        <v>70.843500000000006</v>
      </c>
      <c r="AY384" s="33" t="str">
        <f>IF(VLOOKUP(lmics_ub[[#This Row],[setting]],lmic_raw_ub[],11,FALSE)=0, "Yes", "No")</f>
        <v>No</v>
      </c>
    </row>
    <row r="385" spans="1:51" x14ac:dyDescent="0.25">
      <c r="A385" s="110" t="s">
        <v>345</v>
      </c>
      <c r="B385" s="104" t="s">
        <v>508</v>
      </c>
      <c r="C385" s="105">
        <v>688</v>
      </c>
      <c r="D385" s="84" t="s">
        <v>675</v>
      </c>
      <c r="E385" s="84" t="s">
        <v>580</v>
      </c>
      <c r="F385" s="84" t="s">
        <v>663</v>
      </c>
      <c r="G385" s="84" t="s">
        <v>676</v>
      </c>
      <c r="J385" s="84">
        <f>IF(INDEX(lmic_raw_ub[],MATCH($A385,lmic_raw_ub[[setting]:[setting]],0), MATCH(J$277, lmic_raw_ub[#Headers],0))=0, INDEX(regions_ub[], MATCH($D385, regions_ub[[setting]:[setting]],0), MATCH(J$139, regions_ub[#Headers],0)),INDEX(lmic_raw_ub[],MATCH($A385,lmic_raw_ub[[setting]:[setting]],0), MATCH(J$277, lmic_raw_ub[#Headers],0)))</f>
        <v>0.99990000000000001</v>
      </c>
      <c r="K385" s="84">
        <f>IF(INDEX(lmic_raw_ub[],MATCH($A385,lmic_raw_ub[[setting]:[setting]],0), MATCH(K$277, lmic_raw_ub[#Headers],0))=0, INDEX(regions_ub[], MATCH($D385, regions_ub[[setting]:[setting]],0), MATCH(K$139, regions_ub[#Headers],0)),INDEX(lmic_raw_ub[],MATCH($A385,lmic_raw_ub[[setting]:[setting]],0), MATCH(K$277, lmic_raw_ub[#Headers],0)))</f>
        <v>0.99990000000000001</v>
      </c>
      <c r="L385" s="84">
        <f>IF(INDEX(lmic_raw_ub[],MATCH($A385,lmic_raw_ub[[setting]:[setting]],0), MATCH(L$277, lmic_raw_ub[#Headers],0))=0, INDEX(regions_ub[], MATCH($D385, regions_ub[[setting]:[setting]],0), MATCH(L$139, regions_ub[#Headers],0)),INDEX(lmic_raw_ub[],MATCH($A385,lmic_raw_ub[[setting]:[setting]],0), MATCH(L$277, lmic_raw_ub[#Headers],0)))</f>
        <v>0.98699999999999999</v>
      </c>
      <c r="M385" s="84">
        <f>IF(INDEX(lmic_raw_ub[],MATCH($A385,lmic_raw_ub[[setting]:[setting]],0), MATCH(M$277, lmic_raw_ub[#Headers],0))=0, INDEX(regions_ub[], MATCH($D385, regions_ub[[setting]:[setting]],0), MATCH(M$139, regions_ub[#Headers],0)),INDEX(lmic_raw_ub[],MATCH($A385,lmic_raw_ub[[setting]:[setting]],0), MATCH(M$277, lmic_raw_ub[#Headers],0)))</f>
        <v>1.3300000000000001E-2</v>
      </c>
      <c r="N385" s="84">
        <f>IF(INDEX(lmic_raw_ub[],MATCH($A385,lmic_raw_ub[[setting]:[setting]],0), MATCH(N$277, lmic_raw_ub[#Headers],0))=0, INDEX(regions_ub[], MATCH($D385, regions_ub[[setting]:[setting]],0), MATCH(N$139, regions_ub[#Headers],0)),INDEX(lmic_raw_ub[],MATCH($A385,lmic_raw_ub[[setting]:[setting]],0), MATCH(N$277, lmic_raw_ub[#Headers],0)))</f>
        <v>0.42849999999999999</v>
      </c>
      <c r="O385" s="84">
        <f>IF(INDEX(lmic_raw_ub[],MATCH($A385,lmic_raw_ub[[setting]:[setting]],0), MATCH(O$277, lmic_raw_ub[#Headers],0))=0, INDEX(regions_ub[], MATCH($D385, regions_ub[[setting]:[setting]],0), MATCH(O$139, regions_ub[#Headers],0)),INDEX(lmic_raw_ub[],MATCH($A385,lmic_raw_ub[[setting]:[setting]],0), MATCH(O$277, lmic_raw_ub[#Headers],0)))</f>
        <v>0.9</v>
      </c>
      <c r="P385" s="84">
        <f>IF(INDEX(lmic_raw_ub[],MATCH($A385,lmic_raw_ub[[setting]:[setting]],0), MATCH(P$277, lmic_raw_ub[#Headers],0))=0, INDEX(regions_ub[], MATCH($D385, regions_ub[[setting]:[setting]],0), MATCH(P$139, regions_ub[#Headers],0)),INDEX(lmic_raw_ub[],MATCH($A385,lmic_raw_ub[[setting]:[setting]],0), MATCH(P$277, lmic_raw_ub[#Headers],0)))</f>
        <v>0.3</v>
      </c>
      <c r="Q385" s="84">
        <f>IF(INDEX(lmic_raw_ub[],MATCH($A385,lmic_raw_ub[[setting]:[setting]],0), MATCH(Q$277, lmic_raw_ub[#Headers],0))=0, INDEX(regions_ub[], MATCH($D385, regions_ub[[setting]:[setting]],0), MATCH(Q$139, regions_ub[#Headers],0)),INDEX(lmic_raw_ub[],MATCH($A385,lmic_raw_ub[[setting]:[setting]],0), MATCH(Q$277, lmic_raw_ub[#Headers],0)))</f>
        <v>10.480541585728083</v>
      </c>
      <c r="R385" s="84">
        <f>IF(INDEX(lmic_raw_ub[],MATCH($A385,lmic_raw_ub[[setting]:[setting]],0), MATCH(R$277, lmic_raw_ub[#Headers],0))=0, INDEX(regions_ub[], MATCH($D385, regions_ub[[setting]:[setting]],0), MATCH(R$139, regions_ub[#Headers],0)),INDEX(lmic_raw_ub[],MATCH($A385,lmic_raw_ub[[setting]:[setting]],0), MATCH(R$277, lmic_raw_ub[#Headers],0)))</f>
        <v>46.76427000000001</v>
      </c>
      <c r="S385" s="84">
        <f>IF(INDEX(lmic_raw_ub[],MATCH($A385,lmic_raw_ub[[setting]:[setting]],0), MATCH(S$277, lmic_raw_ub[#Headers],0))=0, INDEX(regions_ub[], MATCH($D385, regions_ub[[setting]:[setting]],0), MATCH(S$139, regions_ub[#Headers],0)),INDEX(lmic_raw_ub[],MATCH($A385,lmic_raw_ub[[setting]:[setting]],0), MATCH(S$277, lmic_raw_ub[#Headers],0)))</f>
        <v>96.893370000000019</v>
      </c>
      <c r="T385" s="84">
        <f>IF(INDEX(lmic_raw_ub[],MATCH($A385,lmic_raw_ub[[setting]:[setting]],0), MATCH(T$277, lmic_raw_ub[#Headers],0))=0, INDEX(regions_ub[], MATCH($D385, regions_ub[[setting]:[setting]],0), MATCH(T$139, regions_ub[#Headers],0)),INDEX(lmic_raw_ub[],MATCH($A385,lmic_raw_ub[[setting]:[setting]],0), MATCH(T$277, lmic_raw_ub[#Headers],0)))</f>
        <v>96.893370000000019</v>
      </c>
      <c r="U385" s="84">
        <f>IF(INDEX(lmic_raw_ub[],MATCH($A385,lmic_raw_ub[[setting]:[setting]],0), MATCH(U$277, lmic_raw_ub[#Headers],0))=0, INDEX(regions_ub[], MATCH($D385, regions_ub[[setting]:[setting]],0), MATCH(U$139, regions_ub[#Headers],0)),INDEX(lmic_raw_ub[],MATCH($A385,lmic_raw_ub[[setting]:[setting]],0), MATCH(U$277, lmic_raw_ub[#Headers],0)))</f>
        <v>96.893370000000019</v>
      </c>
      <c r="V385" s="84">
        <f>IF(INDEX(lmic_raw_ub[],MATCH($A385,lmic_raw_ub[[setting]:[setting]],0), MATCH(V$277, lmic_raw_ub[#Headers],0))=0, INDEX(regions_ub[], MATCH($D385, regions_ub[[setting]:[setting]],0), MATCH(V$139, regions_ub[#Headers],0)),INDEX(lmic_raw_ub[],MATCH($A385,lmic_raw_ub[[setting]:[setting]],0), MATCH(V$277, lmic_raw_ub[#Headers],0)))</f>
        <v>12.128008515736809</v>
      </c>
      <c r="W385" s="84">
        <f>IF(INDEX(lmic_raw_ub[],MATCH($A385,lmic_raw_ub[[setting]:[setting]],0), MATCH(W$277, lmic_raw_ub[#Headers],0))=0, INDEX(regions_ub[], MATCH($D385, regions_ub[[setting]:[setting]],0), MATCH(W$139, regions_ub[#Headers],0)),INDEX(lmic_raw_ub[],MATCH($A385,lmic_raw_ub[[setting]:[setting]],0), MATCH(W$277, lmic_raw_ub[#Headers],0)))</f>
        <v>16.39699351573681</v>
      </c>
      <c r="X385" s="84">
        <f>IF(INDEX(lmic_raw_ub[],MATCH($A385,lmic_raw_ub[[setting]:[setting]],0), MATCH(X$277, lmic_raw_ub[#Headers],0))=0, INDEX(regions_ub[], MATCH($D385, regions_ub[[setting]:[setting]],0), MATCH(X$139, regions_ub[#Headers],0)),INDEX(lmic_raw_ub[],MATCH($A385,lmic_raw_ub[[setting]:[setting]],0), MATCH(X$277, lmic_raw_ub[#Headers],0)))</f>
        <v>11.600497980413367</v>
      </c>
      <c r="Y385" s="84">
        <f>IF(INDEX(lmic_raw_ub[],MATCH($A385,lmic_raw_ub[[setting]:[setting]],0), MATCH(Y$277, lmic_raw_ub[#Headers],0))=0, INDEX(regions_ub[], MATCH($D385, regions_ub[[setting]:[setting]],0), MATCH(Y$139, regions_ub[#Headers],0)),INDEX(lmic_raw_ub[],MATCH($A385,lmic_raw_ub[[setting]:[setting]],0), MATCH(Y$277, lmic_raw_ub[#Headers],0)))</f>
        <v>15.869482980413368</v>
      </c>
      <c r="Z385" s="84">
        <f>IF(INDEX(lmic_raw_ub[],MATCH($A385,lmic_raw_ub[[setting]:[setting]],0), MATCH(Z$277, lmic_raw_ub[#Headers],0))=0, INDEX(regions_ub[], MATCH($D385, regions_ub[[setting]:[setting]],0), MATCH(Z$139, regions_ub[#Headers],0)),INDEX(lmic_raw_ub[],MATCH($A385,lmic_raw_ub[[setting]:[setting]],0), MATCH(Z$277, lmic_raw_ub[#Headers],0)))</f>
        <v>15.845023848614975</v>
      </c>
      <c r="AA385" s="84">
        <f>IF(INDEX(lmic_raw_ub[],MATCH($A385,lmic_raw_ub[[setting]:[setting]],0), MATCH(AA$277, lmic_raw_ub[#Headers],0))=0, INDEX(regions_ub[], MATCH($D385, regions_ub[[setting]:[setting]],0), MATCH(AA$139, regions_ub[#Headers],0)),INDEX(lmic_raw_ub[],MATCH($A385,lmic_raw_ub[[setting]:[setting]],0), MATCH(AA$277, lmic_raw_ub[#Headers],0)))</f>
        <v>12.403824615797495</v>
      </c>
      <c r="AB385" s="84">
        <f>IF(INDEX(lmic_raw_ub[],MATCH($A385,lmic_raw_ub[[setting]:[setting]],0), MATCH(AB$277, lmic_raw_ub[#Headers],0))=0, INDEX(regions_ub[], MATCH($D385, regions_ub[[setting]:[setting]],0), MATCH(AB$139, regions_ub[#Headers],0)),INDEX(lmic_raw_ub[],MATCH($A385,lmic_raw_ub[[setting]:[setting]],0), MATCH(AB$277, lmic_raw_ub[#Headers],0)))</f>
        <v>16.672809615797497</v>
      </c>
      <c r="AC385" s="84">
        <f>IF(INDEX(lmic_raw_ub[],MATCH($A385,lmic_raw_ub[[setting]:[setting]],0), MATCH(AC$277, lmic_raw_ub[#Headers],0))=0, INDEX(regions_ub[], MATCH($D385, regions_ub[[setting]:[setting]],0), MATCH(AC$139, regions_ub[#Headers],0)),INDEX(lmic_raw_ub[],MATCH($A385,lmic_raw_ub[[setting]:[setting]],0), MATCH(AC$277, lmic_raw_ub[#Headers],0)))</f>
        <v>5.1445064999999382E-3</v>
      </c>
      <c r="AD385" s="84">
        <f>IF(INDEX(lmic_raw_ub[],MATCH($A385,lmic_raw_ub[[setting]:[setting]],0), MATCH(AD$277, lmic_raw_ub[#Headers],0))=0, INDEX(regions_ub[], MATCH($D385, regions_ub[[setting]:[setting]],0), MATCH(AD$139, regions_ub[#Headers],0)),INDEX(lmic_raw_ub[],MATCH($A385,lmic_raw_ub[[setting]:[setting]],0), MATCH(AD$277, lmic_raw_ub[#Headers],0)))</f>
        <v>1.7938151009014202E-4</v>
      </c>
      <c r="AE385" s="84">
        <f>IF(INDEX(lmic_raw_ub[],MATCH($A385,lmic_raw_ub[[setting]:[setting]],0), MATCH(AE$277, lmic_raw_ub[#Headers],0))=0, INDEX(regions_ub[], MATCH($D385, regions_ub[[setting]:[setting]],0), MATCH(AE$139, regions_ub[#Headers],0)),INDEX(lmic_raw_ub[],MATCH($A385,lmic_raw_ub[[setting]:[setting]],0), MATCH(AE$277, lmic_raw_ub[#Headers],0)))</f>
        <v>1.051794529649897E-4</v>
      </c>
      <c r="AF385" s="84">
        <f>IF(INDEX(lmic_raw_ub[],MATCH($A385,lmic_raw_ub[[setting]:[setting]],0), MATCH(AF$277, lmic_raw_ub[#Headers],0))=0, INDEX(regions_ub[], MATCH($D385, regions_ub[[setting]:[setting]],0), MATCH(AF$139, regions_ub[#Headers],0)),INDEX(lmic_raw_ub[],MATCH($A385,lmic_raw_ub[[setting]:[setting]],0), MATCH(AF$277, lmic_raw_ub[#Headers],0)))</f>
        <v>1.2283846304301146E-4</v>
      </c>
      <c r="AG385" s="84">
        <f>IF(INDEX(lmic_raw_ub[],MATCH($A385,lmic_raw_ub[[setting]:[setting]],0), MATCH(AG$277, lmic_raw_ub[#Headers],0))=0, INDEX(regions_ub[], MATCH($D385, regions_ub[[setting]:[setting]],0), MATCH(AG$139, regions_ub[#Headers],0)),INDEX(lmic_raw_ub[],MATCH($A385,lmic_raw_ub[[setting]:[setting]],0), MATCH(AG$277, lmic_raw_ub[#Headers],0)))</f>
        <v>3.1685583986913187E-4</v>
      </c>
      <c r="AH385" s="84">
        <f>IF(INDEX(lmic_raw_ub[],MATCH($A385,lmic_raw_ub[[setting]:[setting]],0), MATCH(AH$277, lmic_raw_ub[#Headers],0))=0, INDEX(regions_ub[], MATCH($D385, regions_ub[[setting]:[setting]],0), MATCH(AH$139, regions_ub[#Headers],0)),INDEX(lmic_raw_ub[],MATCH($A385,lmic_raw_ub[[setting]:[setting]],0), MATCH(AH$277, lmic_raw_ub[#Headers],0)))</f>
        <v>4.3605433533571699E-4</v>
      </c>
      <c r="AI385" s="84">
        <f>IF(INDEX(lmic_raw_ub[],MATCH($A385,lmic_raw_ub[[setting]:[setting]],0), MATCH(AI$277, lmic_raw_ub[#Headers],0))=0, INDEX(regions_ub[], MATCH($D385, regions_ub[[setting]:[setting]],0), MATCH(AI$139, regions_ub[#Headers],0)),INDEX(lmic_raw_ub[],MATCH($A385,lmic_raw_ub[[setting]:[setting]],0), MATCH(AI$277, lmic_raw_ub[#Headers],0)))</f>
        <v>5.6046665030145149E-4</v>
      </c>
      <c r="AJ385" s="84">
        <f>IF(INDEX(lmic_raw_ub[],MATCH($A385,lmic_raw_ub[[setting]:[setting]],0), MATCH(AJ$277, lmic_raw_ub[#Headers],0))=0, INDEX(regions_ub[], MATCH($D385, regions_ub[[setting]:[setting]],0), MATCH(AJ$139, regions_ub[#Headers],0)),INDEX(lmic_raw_ub[],MATCH($A385,lmic_raw_ub[[setting]:[setting]],0), MATCH(AJ$277, lmic_raw_ub[#Headers],0)))</f>
        <v>8.1010334601713297E-4</v>
      </c>
      <c r="AK385" s="84">
        <f>IF(INDEX(lmic_raw_ub[],MATCH($A385,lmic_raw_ub[[setting]:[setting]],0), MATCH(AK$277, lmic_raw_ub[#Headers],0))=0, INDEX(regions_ub[], MATCH($D385, regions_ub[[setting]:[setting]],0), MATCH(AK$139, regions_ub[#Headers],0)),INDEX(lmic_raw_ub[],MATCH($A385,lmic_raw_ub[[setting]:[setting]],0), MATCH(AK$277, lmic_raw_ub[#Headers],0)))</f>
        <v>1.1326869250180495E-3</v>
      </c>
      <c r="AL385" s="84">
        <f>IF(INDEX(lmic_raw_ub[],MATCH($A385,lmic_raw_ub[[setting]:[setting]],0), MATCH(AL$277, lmic_raw_ub[#Headers],0))=0, INDEX(regions_ub[], MATCH($D385, regions_ub[[setting]:[setting]],0), MATCH(AL$139, regions_ub[#Headers],0)),INDEX(lmic_raw_ub[],MATCH($A385,lmic_raw_ub[[setting]:[setting]],0), MATCH(AL$277, lmic_raw_ub[#Headers],0)))</f>
        <v>1.9082847229071991E-3</v>
      </c>
      <c r="AM385" s="84">
        <f>IF(INDEX(lmic_raw_ub[],MATCH($A385,lmic_raw_ub[[setting]:[setting]],0), MATCH(AM$277, lmic_raw_ub[#Headers],0))=0, INDEX(regions_ub[], MATCH($D385, regions_ub[[setting]:[setting]],0), MATCH(AM$139, regions_ub[#Headers],0)),INDEX(lmic_raw_ub[],MATCH($A385,lmic_raw_ub[[setting]:[setting]],0), MATCH(AM$277, lmic_raw_ub[#Headers],0)))</f>
        <v>3.3497813565546639E-3</v>
      </c>
      <c r="AN385" s="84">
        <f>IF(INDEX(lmic_raw_ub[],MATCH($A385,lmic_raw_ub[[setting]:[setting]],0), MATCH(AN$277, lmic_raw_ub[#Headers],0))=0, INDEX(regions_ub[], MATCH($D385, regions_ub[[setting]:[setting]],0), MATCH(AN$139, regions_ub[#Headers],0)),INDEX(lmic_raw_ub[],MATCH($A385,lmic_raw_ub[[setting]:[setting]],0), MATCH(AN$277, lmic_raw_ub[#Headers],0)))</f>
        <v>5.8953489645004187E-3</v>
      </c>
      <c r="AO385" s="84">
        <f>IF(INDEX(lmic_raw_ub[],MATCH($A385,lmic_raw_ub[[setting]:[setting]],0), MATCH(AO$277, lmic_raw_ub[#Headers],0))=0, INDEX(regions_ub[], MATCH($D385, regions_ub[[setting]:[setting]],0), MATCH(AO$139, regions_ub[#Headers],0)),INDEX(lmic_raw_ub[],MATCH($A385,lmic_raw_ub[[setting]:[setting]],0), MATCH(AO$277, lmic_raw_ub[#Headers],0)))</f>
        <v>9.6207296791513339E-3</v>
      </c>
      <c r="AP385" s="84">
        <f>IF(INDEX(lmic_raw_ub[],MATCH($A385,lmic_raw_ub[[setting]:[setting]],0), MATCH(AP$277, lmic_raw_ub[#Headers],0))=0, INDEX(regions_ub[], MATCH($D385, regions_ub[[setting]:[setting]],0), MATCH(AP$139, regions_ub[#Headers],0)),INDEX(lmic_raw_ub[],MATCH($A385,lmic_raw_ub[[setting]:[setting]],0), MATCH(AP$277, lmic_raw_ub[#Headers],0)))</f>
        <v>1.4900944359094047E-2</v>
      </c>
      <c r="AQ385" s="84">
        <f>IF(INDEX(lmic_raw_ub[],MATCH($A385,lmic_raw_ub[[setting]:[setting]],0), MATCH(AQ$277, lmic_raw_ub[#Headers],0))=0, INDEX(regions_ub[], MATCH($D385, regions_ub[[setting]:[setting]],0), MATCH(AQ$139, regions_ub[#Headers],0)),INDEX(lmic_raw_ub[],MATCH($A385,lmic_raw_ub[[setting]:[setting]],0), MATCH(AQ$277, lmic_raw_ub[#Headers],0)))</f>
        <v>2.1925944238728286E-2</v>
      </c>
      <c r="AR385" s="84">
        <f>IF(INDEX(lmic_raw_ub[],MATCH($A385,lmic_raw_ub[[setting]:[setting]],0), MATCH(AR$277, lmic_raw_ub[#Headers],0))=0, INDEX(regions_ub[], MATCH($D385, regions_ub[[setting]:[setting]],0), MATCH(AR$139, regions_ub[#Headers],0)),INDEX(lmic_raw_ub[],MATCH($A385,lmic_raw_ub[[setting]:[setting]],0), MATCH(AR$277, lmic_raw_ub[#Headers],0)))</f>
        <v>3.3407250295843446E-2</v>
      </c>
      <c r="AS385" s="84">
        <f>IF(INDEX(lmic_raw_ub[],MATCH($A385,lmic_raw_ub[[setting]:[setting]],0), MATCH(AS$277, lmic_raw_ub[#Headers],0))=0, INDEX(regions_ub[], MATCH($D385, regions_ub[[setting]:[setting]],0), MATCH(AS$139, regions_ub[#Headers],0)),INDEX(lmic_raw_ub[],MATCH($A385,lmic_raw_ub[[setting]:[setting]],0), MATCH(AS$277, lmic_raw_ub[#Headers],0)))</f>
        <v>5.6172443973619035E-2</v>
      </c>
      <c r="AT385" s="84">
        <f>IF(INDEX(lmic_raw_ub[],MATCH($A385,lmic_raw_ub[[setting]:[setting]],0), MATCH(AT$277, lmic_raw_ub[#Headers],0))=0, INDEX(regions_ub[], MATCH($D385, regions_ub[[setting]:[setting]],0), MATCH(AT$139, regions_ub[#Headers],0)),INDEX(lmic_raw_ub[],MATCH($A385,lmic_raw_ub[[setting]:[setting]],0), MATCH(AT$277, lmic_raw_ub[#Headers],0)))</f>
        <v>9.0087643450804777E-2</v>
      </c>
      <c r="AU385" s="84">
        <f>IF(INDEX(lmic_raw_ub[],MATCH($A385,lmic_raw_ub[[setting]:[setting]],0), MATCH(AU$277, lmic_raw_ub[#Headers],0))=0, INDEX(regions_ub[], MATCH($D385, regions_ub[[setting]:[setting]],0), MATCH(AU$139, regions_ub[#Headers],0)),INDEX(lmic_raw_ub[],MATCH($A385,lmic_raw_ub[[setting]:[setting]],0), MATCH(AU$277, lmic_raw_ub[#Headers],0)))</f>
        <v>0.1284591426736531</v>
      </c>
      <c r="AV385" s="84">
        <f>IF(INDEX(lmic_raw_ub[],MATCH($A385,lmic_raw_ub[[setting]:[setting]],0), MATCH(AV$277, lmic_raw_ub[#Headers],0))=0, INDEX(regions_ub[], MATCH($D385, regions_ub[[setting]:[setting]],0), MATCH(AV$139, regions_ub[#Headers],0)),INDEX(lmic_raw_ub[],MATCH($A385,lmic_raw_ub[[setting]:[setting]],0), MATCH(AV$277, lmic_raw_ub[#Headers],0)))</f>
        <v>0.16832574869781952</v>
      </c>
      <c r="AW385" s="84">
        <f>IF(INDEX(lmic_raw_ub[],MATCH($A385,lmic_raw_ub[[setting]:[setting]],0), MATCH(AW$277, lmic_raw_ub[#Headers],0))=0, INDEX(regions_ub[], MATCH($D385, regions_ub[[setting]:[setting]],0), MATCH(AW$139, regions_ub[#Headers],0)),INDEX(lmic_raw_ub[],MATCH($A385,lmic_raw_ub[[setting]:[setting]],0), MATCH(AW$277, lmic_raw_ub[#Headers],0)))</f>
        <v>0.19165542775910896</v>
      </c>
      <c r="AX385" s="84">
        <f>IF(INDEX(lmic_raw_ub[],MATCH($A385,lmic_raw_ub[[setting]:[setting]],0), MATCH(AX$277, lmic_raw_ub[#Headers],0))=0, INDEX(regions_ub[], MATCH($D385, regions_ub[[setting]:[setting]],0), MATCH(AX$139, regions_ub[#Headers],0)),INDEX(lmic_raw_ub[],MATCH($A385,lmic_raw_ub[[setting]:[setting]],0), MATCH(AX$277, lmic_raw_ub[#Headers],0)))</f>
        <v>79.560600000000008</v>
      </c>
      <c r="AY385" s="33" t="str">
        <f>IF(VLOOKUP(lmics_ub[[#This Row],[setting]],lmic_raw_ub[],11,FALSE)=0, "Yes", "No")</f>
        <v>No</v>
      </c>
    </row>
    <row r="386" spans="1:51" x14ac:dyDescent="0.25">
      <c r="A386" s="109" t="s">
        <v>153</v>
      </c>
      <c r="B386" s="101" t="s">
        <v>509</v>
      </c>
      <c r="C386" s="102">
        <v>694</v>
      </c>
      <c r="D386" s="82" t="s">
        <v>677</v>
      </c>
      <c r="E386" s="82" t="s">
        <v>591</v>
      </c>
      <c r="F386" s="82" t="s">
        <v>667</v>
      </c>
      <c r="G386" s="82" t="s">
        <v>674</v>
      </c>
      <c r="J386" s="84">
        <f>IF(INDEX(lmic_raw_ub[],MATCH($A386,lmic_raw_ub[[setting]:[setting]],0), MATCH(J$277, lmic_raw_ub[#Headers],0))=0, INDEX(regions_ub[], MATCH($D386, regions_ub[[setting]:[setting]],0), MATCH(J$139, regions_ub[#Headers],0)),INDEX(lmic_raw_ub[],MATCH($A386,lmic_raw_ub[[setting]:[setting]],0), MATCH(J$277, lmic_raw_ub[#Headers],0)))</f>
        <v>0.87570000000000014</v>
      </c>
      <c r="K386" s="84">
        <f>IF(INDEX(lmic_raw_ub[],MATCH($A386,lmic_raw_ub[[setting]:[setting]],0), MATCH(K$277, lmic_raw_ub[#Headers],0))=0, INDEX(regions_ub[], MATCH($D386, regions_ub[[setting]:[setting]],0), MATCH(K$139, regions_ub[#Headers],0)),INDEX(lmic_raw_ub[],MATCH($A386,lmic_raw_ub[[setting]:[setting]],0), MATCH(K$277, lmic_raw_ub[#Headers],0)))</f>
        <v>0.71433037619548323</v>
      </c>
      <c r="L386" s="84">
        <f>IF(INDEX(lmic_raw_ub[],MATCH($A386,lmic_raw_ub[[setting]:[setting]],0), MATCH(L$277, lmic_raw_ub[#Headers],0))=0, INDEX(regions_ub[], MATCH($D386, regions_ub[[setting]:[setting]],0), MATCH(L$139, regions_ub[#Headers],0)),INDEX(lmic_raw_ub[],MATCH($A386,lmic_raw_ub[[setting]:[setting]],0), MATCH(L$277, lmic_raw_ub[#Headers],0)))</f>
        <v>0.99749999999999994</v>
      </c>
      <c r="M386" s="84">
        <f>IF(INDEX(lmic_raw_ub[],MATCH($A386,lmic_raw_ub[[setting]:[setting]],0), MATCH(M$277, lmic_raw_ub[#Headers],0))=0, INDEX(regions_ub[], MATCH($D386, regions_ub[[setting]:[setting]],0), MATCH(M$139, regions_ub[#Headers],0)),INDEX(lmic_raw_ub[],MATCH($A386,lmic_raw_ub[[setting]:[setting]],0), MATCH(M$277, lmic_raw_ub[#Headers],0)))</f>
        <v>0.24660000000000001</v>
      </c>
      <c r="N386" s="84">
        <f>IF(INDEX(lmic_raw_ub[],MATCH($A386,lmic_raw_ub[[setting]:[setting]],0), MATCH(N$277, lmic_raw_ub[#Headers],0))=0, INDEX(regions_ub[], MATCH($D386, regions_ub[[setting]:[setting]],0), MATCH(N$139, regions_ub[#Headers],0)),INDEX(lmic_raw_ub[],MATCH($A386,lmic_raw_ub[[setting]:[setting]],0), MATCH(N$277, lmic_raw_ub[#Headers],0)))</f>
        <v>0.41070000000000001</v>
      </c>
      <c r="O386" s="84">
        <f>IF(INDEX(lmic_raw_ub[],MATCH($A386,lmic_raw_ub[[setting]:[setting]],0), MATCH(O$277, lmic_raw_ub[#Headers],0))=0, INDEX(regions_ub[], MATCH($D386, regions_ub[[setting]:[setting]],0), MATCH(O$139, regions_ub[#Headers],0)),INDEX(lmic_raw_ub[],MATCH($A386,lmic_raw_ub[[setting]:[setting]],0), MATCH(O$277, lmic_raw_ub[#Headers],0)))</f>
        <v>0.74399999999999999</v>
      </c>
      <c r="P386" s="84">
        <f>IF(INDEX(lmic_raw_ub[],MATCH($A386,lmic_raw_ub[[setting]:[setting]],0), MATCH(P$277, lmic_raw_ub[#Headers],0))=0, INDEX(regions_ub[], MATCH($D386, regions_ub[[setting]:[setting]],0), MATCH(P$139, regions_ub[#Headers],0)),INDEX(lmic_raw_ub[],MATCH($A386,lmic_raw_ub[[setting]:[setting]],0), MATCH(P$277, lmic_raw_ub[#Headers],0)))</f>
        <v>0.13300000000000001</v>
      </c>
      <c r="Q386" s="84">
        <f>IF(INDEX(lmic_raw_ub[],MATCH($A386,lmic_raw_ub[[setting]:[setting]],0), MATCH(Q$277, lmic_raw_ub[#Headers],0))=0, INDEX(regions_ub[], MATCH($D386, regions_ub[[setting]:[setting]],0), MATCH(Q$139, regions_ub[#Headers],0)),INDEX(lmic_raw_ub[],MATCH($A386,lmic_raw_ub[[setting]:[setting]],0), MATCH(Q$277, lmic_raw_ub[#Headers],0)))</f>
        <v>2.7787149383837142</v>
      </c>
      <c r="R386" s="84">
        <f>IF(INDEX(lmic_raw_ub[],MATCH($A386,lmic_raw_ub[[setting]:[setting]],0), MATCH(R$277, lmic_raw_ub[#Headers],0))=0, INDEX(regions_ub[], MATCH($D386, regions_ub[[setting]:[setting]],0), MATCH(R$139, regions_ub[#Headers],0)),INDEX(lmic_raw_ub[],MATCH($A386,lmic_raw_ub[[setting]:[setting]],0), MATCH(R$277, lmic_raw_ub[#Headers],0)))</f>
        <v>31.416525000000004</v>
      </c>
      <c r="S386" s="84">
        <f>IF(INDEX(lmic_raw_ub[],MATCH($A386,lmic_raw_ub[[setting]:[setting]],0), MATCH(S$277, lmic_raw_ub[#Headers],0))=0, INDEX(regions_ub[], MATCH($D386, regions_ub[[setting]:[setting]],0), MATCH(S$139, regions_ub[#Headers],0)),INDEX(lmic_raw_ub[],MATCH($A386,lmic_raw_ub[[setting]:[setting]],0), MATCH(S$277, lmic_raw_ub[#Headers],0)))</f>
        <v>81.545625000000015</v>
      </c>
      <c r="T386" s="84">
        <f>IF(INDEX(lmic_raw_ub[],MATCH($A386,lmic_raw_ub[[setting]:[setting]],0), MATCH(T$277, lmic_raw_ub[#Headers],0))=0, INDEX(regions_ub[], MATCH($D386, regions_ub[[setting]:[setting]],0), MATCH(T$139, regions_ub[#Headers],0)),INDEX(lmic_raw_ub[],MATCH($A386,lmic_raw_ub[[setting]:[setting]],0), MATCH(T$277, lmic_raw_ub[#Headers],0)))</f>
        <v>81.545625000000015</v>
      </c>
      <c r="U386" s="84">
        <f>IF(INDEX(lmic_raw_ub[],MATCH($A386,lmic_raw_ub[[setting]:[setting]],0), MATCH(U$277, lmic_raw_ub[#Headers],0))=0, INDEX(regions_ub[], MATCH($D386, regions_ub[[setting]:[setting]],0), MATCH(U$139, regions_ub[#Headers],0)),INDEX(lmic_raw_ub[],MATCH($A386,lmic_raw_ub[[setting]:[setting]],0), MATCH(U$277, lmic_raw_ub[#Headers],0)))</f>
        <v>81.545625000000015</v>
      </c>
      <c r="V386" s="84">
        <f>IF(INDEX(lmic_raw_ub[],MATCH($A386,lmic_raw_ub[[setting]:[setting]],0), MATCH(V$277, lmic_raw_ub[#Headers],0))=0, INDEX(regions_ub[], MATCH($D386, regions_ub[[setting]:[setting]],0), MATCH(V$139, regions_ub[#Headers],0)),INDEX(lmic_raw_ub[],MATCH($A386,lmic_raw_ub[[setting]:[setting]],0), MATCH(V$277, lmic_raw_ub[#Headers],0)))</f>
        <v>5.518767623669949</v>
      </c>
      <c r="W386" s="84">
        <f>IF(INDEX(lmic_raw_ub[],MATCH($A386,lmic_raw_ub[[setting]:[setting]],0), MATCH(W$277, lmic_raw_ub[#Headers],0))=0, INDEX(regions_ub[], MATCH($D386, regions_ub[[setting]:[setting]],0), MATCH(W$139, regions_ub[#Headers],0)),INDEX(lmic_raw_ub[],MATCH($A386,lmic_raw_ub[[setting]:[setting]],0), MATCH(W$277, lmic_raw_ub[#Headers],0)))</f>
        <v>10.588902623669949</v>
      </c>
      <c r="X386" s="84">
        <f>IF(INDEX(lmic_raw_ub[],MATCH($A386,lmic_raw_ub[[setting]:[setting]],0), MATCH(X$277, lmic_raw_ub[#Headers],0))=0, INDEX(regions_ub[], MATCH($D386, regions_ub[[setting]:[setting]],0), MATCH(X$139, regions_ub[#Headers],0)),INDEX(lmic_raw_ub[],MATCH($A386,lmic_raw_ub[[setting]:[setting]],0), MATCH(X$277, lmic_raw_ub[#Headers],0)))</f>
        <v>5.0267492795500823</v>
      </c>
      <c r="Y386" s="84">
        <f>IF(INDEX(lmic_raw_ub[],MATCH($A386,lmic_raw_ub[[setting]:[setting]],0), MATCH(Y$277, lmic_raw_ub[#Headers],0))=0, INDEX(regions_ub[], MATCH($D386, regions_ub[[setting]:[setting]],0), MATCH(Y$139, regions_ub[#Headers],0)),INDEX(lmic_raw_ub[],MATCH($A386,lmic_raw_ub[[setting]:[setting]],0), MATCH(Y$277, lmic_raw_ub[#Headers],0)))</f>
        <v>10.096884279550082</v>
      </c>
      <c r="Z386" s="84">
        <f>IF(INDEX(lmic_raw_ub[],MATCH($A386,lmic_raw_ub[[setting]:[setting]],0), MATCH(Z$277, lmic_raw_ub[#Headers],0))=0, INDEX(regions_ub[], MATCH($D386, regions_ub[[setting]:[setting]],0), MATCH(Z$139, regions_ub[#Headers],0)),INDEX(lmic_raw_ub[],MATCH($A386,lmic_raw_ub[[setting]:[setting]],0), MATCH(Z$277, lmic_raw_ub[#Headers],0)))</f>
        <v>10.09225930384962</v>
      </c>
      <c r="AA386" s="84">
        <f>IF(INDEX(lmic_raw_ub[],MATCH($A386,lmic_raw_ub[[setting]:[setting]],0), MATCH(AA$277, lmic_raw_ub[#Headers],0))=0, INDEX(regions_ub[], MATCH($D386, regions_ub[[setting]:[setting]],0), MATCH(AA$139, regions_ub[#Headers],0)),INDEX(lmic_raw_ub[],MATCH($A386,lmic_raw_ub[[setting]:[setting]],0), MATCH(AA$277, lmic_raw_ub[#Headers],0)))</f>
        <v>5.7865272140709241</v>
      </c>
      <c r="AB386" s="84">
        <f>IF(INDEX(lmic_raw_ub[],MATCH($A386,lmic_raw_ub[[setting]:[setting]],0), MATCH(AB$277, lmic_raw_ub[#Headers],0))=0, INDEX(regions_ub[], MATCH($D386, regions_ub[[setting]:[setting]],0), MATCH(AB$139, regions_ub[#Headers],0)),INDEX(lmic_raw_ub[],MATCH($A386,lmic_raw_ub[[setting]:[setting]],0), MATCH(AB$277, lmic_raw_ub[#Headers],0)))</f>
        <v>10.856662214070925</v>
      </c>
      <c r="AC386" s="84">
        <f>IF(INDEX(lmic_raw_ub[],MATCH($A386,lmic_raw_ub[[setting]:[setting]],0), MATCH(AC$277, lmic_raw_ub[#Headers],0))=0, INDEX(regions_ub[], MATCH($D386, regions_ub[[setting]:[setting]],0), MATCH(AC$139, regions_ub[#Headers],0)),INDEX(lmic_raw_ub[],MATCH($A386,lmic_raw_ub[[setting]:[setting]],0), MATCH(AC$277, lmic_raw_ub[#Headers],0)))</f>
        <v>8.4831589499999943E-2</v>
      </c>
      <c r="AD386" s="84">
        <f>IF(INDEX(lmic_raw_ub[],MATCH($A386,lmic_raw_ub[[setting]:[setting]],0), MATCH(AD$277, lmic_raw_ub[#Headers],0))=0, INDEX(regions_ub[], MATCH($D386, regions_ub[[setting]:[setting]],0), MATCH(AD$139, regions_ub[#Headers],0)),INDEX(lmic_raw_ub[],MATCH($A386,lmic_raw_ub[[setting]:[setting]],0), MATCH(AD$277, lmic_raw_ub[#Headers],0)))</f>
        <v>8.4516667234003015E-3</v>
      </c>
      <c r="AE386" s="84">
        <f>IF(INDEX(lmic_raw_ub[],MATCH($A386,lmic_raw_ub[[setting]:[setting]],0), MATCH(AE$277, lmic_raw_ub[#Headers],0))=0, INDEX(regions_ub[], MATCH($D386, regions_ub[[setting]:[setting]],0), MATCH(AE$139, regions_ub[#Headers],0)),INDEX(lmic_raw_ub[],MATCH($A386,lmic_raw_ub[[setting]:[setting]],0), MATCH(AE$277, lmic_raw_ub[#Headers],0)))</f>
        <v>3.7388400699392417E-3</v>
      </c>
      <c r="AF386" s="84">
        <f>IF(INDEX(lmic_raw_ub[],MATCH($A386,lmic_raw_ub[[setting]:[setting]],0), MATCH(AF$277, lmic_raw_ub[#Headers],0))=0, INDEX(regions_ub[], MATCH($D386, regions_ub[[setting]:[setting]],0), MATCH(AF$139, regions_ub[#Headers],0)),INDEX(lmic_raw_ub[],MATCH($A386,lmic_raw_ub[[setting]:[setting]],0), MATCH(AF$277, lmic_raw_ub[#Headers],0)))</f>
        <v>2.7470184874054835E-3</v>
      </c>
      <c r="AG386" s="84">
        <f>IF(INDEX(lmic_raw_ub[],MATCH($A386,lmic_raw_ub[[setting]:[setting]],0), MATCH(AG$277, lmic_raw_ub[#Headers],0))=0, INDEX(regions_ub[], MATCH($D386, regions_ub[[setting]:[setting]],0), MATCH(AG$139, regions_ub[#Headers],0)),INDEX(lmic_raw_ub[],MATCH($A386,lmic_raw_ub[[setting]:[setting]],0), MATCH(AG$277, lmic_raw_ub[#Headers],0)))</f>
        <v>4.5205002319840034E-3</v>
      </c>
      <c r="AH386" s="84">
        <f>IF(INDEX(lmic_raw_ub[],MATCH($A386,lmic_raw_ub[[setting]:[setting]],0), MATCH(AH$277, lmic_raw_ub[#Headers],0))=0, INDEX(regions_ub[], MATCH($D386, regions_ub[[setting]:[setting]],0), MATCH(AH$139, regions_ub[#Headers],0)),INDEX(lmic_raw_ub[],MATCH($A386,lmic_raw_ub[[setting]:[setting]],0), MATCH(AH$277, lmic_raw_ub[#Headers],0)))</f>
        <v>6.2916332594958411E-3</v>
      </c>
      <c r="AI386" s="84">
        <f>IF(INDEX(lmic_raw_ub[],MATCH($A386,lmic_raw_ub[[setting]:[setting]],0), MATCH(AI$277, lmic_raw_ub[#Headers],0))=0, INDEX(regions_ub[], MATCH($D386, regions_ub[[setting]:[setting]],0), MATCH(AI$139, regions_ub[#Headers],0)),INDEX(lmic_raw_ub[],MATCH($A386,lmic_raw_ub[[setting]:[setting]],0), MATCH(AI$277, lmic_raw_ub[#Headers],0)))</f>
        <v>6.9076282621046235E-3</v>
      </c>
      <c r="AJ386" s="84">
        <f>IF(INDEX(lmic_raw_ub[],MATCH($A386,lmic_raw_ub[[setting]:[setting]],0), MATCH(AJ$277, lmic_raw_ub[#Headers],0))=0, INDEX(regions_ub[], MATCH($D386, regions_ub[[setting]:[setting]],0), MATCH(AJ$139, regions_ub[#Headers],0)),INDEX(lmic_raw_ub[],MATCH($A386,lmic_raw_ub[[setting]:[setting]],0), MATCH(AJ$277, lmic_raw_ub[#Headers],0)))</f>
        <v>7.5964884663196359E-3</v>
      </c>
      <c r="AK386" s="84">
        <f>IF(INDEX(lmic_raw_ub[],MATCH($A386,lmic_raw_ub[[setting]:[setting]],0), MATCH(AK$277, lmic_raw_ub[#Headers],0))=0, INDEX(regions_ub[], MATCH($D386, regions_ub[[setting]:[setting]],0), MATCH(AK$139, regions_ub[#Headers],0)),INDEX(lmic_raw_ub[],MATCH($A386,lmic_raw_ub[[setting]:[setting]],0), MATCH(AK$277, lmic_raw_ub[#Headers],0)))</f>
        <v>8.7679876868459322E-3</v>
      </c>
      <c r="AL386" s="84">
        <f>IF(INDEX(lmic_raw_ub[],MATCH($A386,lmic_raw_ub[[setting]:[setting]],0), MATCH(AL$277, lmic_raw_ub[#Headers],0))=0, INDEX(regions_ub[], MATCH($D386, regions_ub[[setting]:[setting]],0), MATCH(AL$139, regions_ub[#Headers],0)),INDEX(lmic_raw_ub[],MATCH($A386,lmic_raw_ub[[setting]:[setting]],0), MATCH(AL$277, lmic_raw_ub[#Headers],0)))</f>
        <v>1.037911429004715E-2</v>
      </c>
      <c r="AM386" s="84">
        <f>IF(INDEX(lmic_raw_ub[],MATCH($A386,lmic_raw_ub[[setting]:[setting]],0), MATCH(AM$277, lmic_raw_ub[#Headers],0))=0, INDEX(regions_ub[], MATCH($D386, regions_ub[[setting]:[setting]],0), MATCH(AM$139, regions_ub[#Headers],0)),INDEX(lmic_raw_ub[],MATCH($A386,lmic_raw_ub[[setting]:[setting]],0), MATCH(AM$277, lmic_raw_ub[#Headers],0)))</f>
        <v>1.273048011527878E-2</v>
      </c>
      <c r="AN386" s="84">
        <f>IF(INDEX(lmic_raw_ub[],MATCH($A386,lmic_raw_ub[[setting]:[setting]],0), MATCH(AN$277, lmic_raw_ub[#Headers],0))=0, INDEX(regions_ub[], MATCH($D386, regions_ub[[setting]:[setting]],0), MATCH(AN$139, regions_ub[#Headers],0)),INDEX(lmic_raw_ub[],MATCH($A386,lmic_raw_ub[[setting]:[setting]],0), MATCH(AN$277, lmic_raw_ub[#Headers],0)))</f>
        <v>1.6663069383855963E-2</v>
      </c>
      <c r="AO386" s="84">
        <f>IF(INDEX(lmic_raw_ub[],MATCH($A386,lmic_raw_ub[[setting]:[setting]],0), MATCH(AO$277, lmic_raw_ub[#Headers],0))=0, INDEX(regions_ub[], MATCH($D386, regions_ub[[setting]:[setting]],0), MATCH(AO$139, regions_ub[#Headers],0)),INDEX(lmic_raw_ub[],MATCH($A386,lmic_raw_ub[[setting]:[setting]],0), MATCH(AO$277, lmic_raw_ub[#Headers],0)))</f>
        <v>2.2161625678344572E-2</v>
      </c>
      <c r="AP386" s="84">
        <f>IF(INDEX(lmic_raw_ub[],MATCH($A386,lmic_raw_ub[[setting]:[setting]],0), MATCH(AP$277, lmic_raw_ub[#Headers],0))=0, INDEX(regions_ub[], MATCH($D386, regions_ub[[setting]:[setting]],0), MATCH(AP$139, regions_ub[#Headers],0)),INDEX(lmic_raw_ub[],MATCH($A386,lmic_raw_ub[[setting]:[setting]],0), MATCH(AP$277, lmic_raw_ub[#Headers],0)))</f>
        <v>3.1209962661911509E-2</v>
      </c>
      <c r="AQ386" s="84">
        <f>IF(INDEX(lmic_raw_ub[],MATCH($A386,lmic_raw_ub[[setting]:[setting]],0), MATCH(AQ$277, lmic_raw_ub[#Headers],0))=0, INDEX(regions_ub[], MATCH($D386, regions_ub[[setting]:[setting]],0), MATCH(AQ$139, regions_ub[#Headers],0)),INDEX(lmic_raw_ub[],MATCH($A386,lmic_raw_ub[[setting]:[setting]],0), MATCH(AQ$277, lmic_raw_ub[#Headers],0)))</f>
        <v>4.4152899442848309E-2</v>
      </c>
      <c r="AR386" s="84">
        <f>IF(INDEX(lmic_raw_ub[],MATCH($A386,lmic_raw_ub[[setting]:[setting]],0), MATCH(AR$277, lmic_raw_ub[#Headers],0))=0, INDEX(regions_ub[], MATCH($D386, regions_ub[[setting]:[setting]],0), MATCH(AR$139, regions_ub[#Headers],0)),INDEX(lmic_raw_ub[],MATCH($A386,lmic_raw_ub[[setting]:[setting]],0), MATCH(AR$277, lmic_raw_ub[#Headers],0)))</f>
        <v>6.358063905180604E-2</v>
      </c>
      <c r="AS386" s="84">
        <f>IF(INDEX(lmic_raw_ub[],MATCH($A386,lmic_raw_ub[[setting]:[setting]],0), MATCH(AS$277, lmic_raw_ub[#Headers],0))=0, INDEX(regions_ub[], MATCH($D386, regions_ub[[setting]:[setting]],0), MATCH(AS$139, regions_ub[#Headers],0)),INDEX(lmic_raw_ub[],MATCH($A386,lmic_raw_ub[[setting]:[setting]],0), MATCH(AS$277, lmic_raw_ub[#Headers],0)))</f>
        <v>8.8790774238259151E-2</v>
      </c>
      <c r="AT386" s="84">
        <f>IF(INDEX(lmic_raw_ub[],MATCH($A386,lmic_raw_ub[[setting]:[setting]],0), MATCH(AT$277, lmic_raw_ub[#Headers],0))=0, INDEX(regions_ub[], MATCH($D386, regions_ub[[setting]:[setting]],0), MATCH(AT$139, regions_ub[#Headers],0)),INDEX(lmic_raw_ub[],MATCH($A386,lmic_raw_ub[[setting]:[setting]],0), MATCH(AT$277, lmic_raw_ub[#Headers],0)))</f>
        <v>0.11839918341948198</v>
      </c>
      <c r="AU386" s="84">
        <f>IF(INDEX(lmic_raw_ub[],MATCH($A386,lmic_raw_ub[[setting]:[setting]],0), MATCH(AU$277, lmic_raw_ub[#Headers],0))=0, INDEX(regions_ub[], MATCH($D386, regions_ub[[setting]:[setting]],0), MATCH(AU$139, regions_ub[#Headers],0)),INDEX(lmic_raw_ub[],MATCH($A386,lmic_raw_ub[[setting]:[setting]],0), MATCH(AU$277, lmic_raw_ub[#Headers],0)))</f>
        <v>0.1454700730911484</v>
      </c>
      <c r="AV386" s="84">
        <f>IF(INDEX(lmic_raw_ub[],MATCH($A386,lmic_raw_ub[[setting]:[setting]],0), MATCH(AV$277, lmic_raw_ub[#Headers],0))=0, INDEX(regions_ub[], MATCH($D386, regions_ub[[setting]:[setting]],0), MATCH(AV$139, regions_ub[#Headers],0)),INDEX(lmic_raw_ub[],MATCH($A386,lmic_raw_ub[[setting]:[setting]],0), MATCH(AV$277, lmic_raw_ub[#Headers],0)))</f>
        <v>0.1691242760572092</v>
      </c>
      <c r="AW386" s="84">
        <f>IF(INDEX(lmic_raw_ub[],MATCH($A386,lmic_raw_ub[[setting]:[setting]],0), MATCH(AW$277, lmic_raw_ub[#Headers],0))=0, INDEX(regions_ub[], MATCH($D386, regions_ub[[setting]:[setting]],0), MATCH(AW$139, regions_ub[#Headers],0)),INDEX(lmic_raw_ub[],MATCH($A386,lmic_raw_ub[[setting]:[setting]],0), MATCH(AW$277, lmic_raw_ub[#Headers],0)))</f>
        <v>0.18744508083651304</v>
      </c>
      <c r="AX386" s="84">
        <f>IF(INDEX(lmic_raw_ub[],MATCH($A386,lmic_raw_ub[[setting]:[setting]],0), MATCH(AX$277, lmic_raw_ub[#Headers],0))=0, INDEX(regions_ub[], MATCH($D386, regions_ub[[setting]:[setting]],0), MATCH(AX$139, regions_ub[#Headers],0)),INDEX(lmic_raw_ub[],MATCH($A386,lmic_raw_ub[[setting]:[setting]],0), MATCH(AX$277, lmic_raw_ub[#Headers],0)))</f>
        <v>56.769300000000008</v>
      </c>
      <c r="AY386" s="33" t="str">
        <f>IF(VLOOKUP(lmics_ub[[#This Row],[setting]],lmic_raw_ub[],11,FALSE)=0, "Yes", "No")</f>
        <v>Yes</v>
      </c>
    </row>
    <row r="387" spans="1:51" x14ac:dyDescent="0.25">
      <c r="A387" s="110" t="s">
        <v>284</v>
      </c>
      <c r="B387" s="104" t="s">
        <v>512</v>
      </c>
      <c r="C387" s="105">
        <v>90</v>
      </c>
      <c r="D387" s="84" t="s">
        <v>681</v>
      </c>
      <c r="E387" s="84" t="s">
        <v>98</v>
      </c>
      <c r="F387" s="84" t="s">
        <v>666</v>
      </c>
      <c r="G387" s="84" t="s">
        <v>678</v>
      </c>
      <c r="J387" s="84">
        <f>IF(INDEX(lmic_raw_ub[],MATCH($A387,lmic_raw_ub[[setting]:[setting]],0), MATCH(J$277, lmic_raw_ub[#Headers],0))=0, INDEX(regions_ub[], MATCH($D387, regions_ub[[setting]:[setting]],0), MATCH(J$139, regions_ub[#Headers],0)),INDEX(lmic_raw_ub[],MATCH($A387,lmic_raw_ub[[setting]:[setting]],0), MATCH(J$277, lmic_raw_ub[#Headers],0)))</f>
        <v>0.88724999999999998</v>
      </c>
      <c r="K387" s="84">
        <f>IF(INDEX(lmic_raw_ub[],MATCH($A387,lmic_raw_ub[[setting]:[setting]],0), MATCH(K$277, lmic_raw_ub[#Headers],0))=0, INDEX(regions_ub[], MATCH($D387, regions_ub[[setting]:[setting]],0), MATCH(K$139, regions_ub[#Headers],0)),INDEX(lmic_raw_ub[],MATCH($A387,lmic_raw_ub[[setting]:[setting]],0), MATCH(K$277, lmic_raw_ub[#Headers],0)))</f>
        <v>0.69300000000000006</v>
      </c>
      <c r="L387" s="84">
        <f>IF(INDEX(lmic_raw_ub[],MATCH($A387,lmic_raw_ub[[setting]:[setting]],0), MATCH(L$277, lmic_raw_ub[#Headers],0))=0, INDEX(regions_ub[], MATCH($D387, regions_ub[[setting]:[setting]],0), MATCH(L$139, regions_ub[#Headers],0)),INDEX(lmic_raw_ub[],MATCH($A387,lmic_raw_ub[[setting]:[setting]],0), MATCH(L$277, lmic_raw_ub[#Headers],0)))</f>
        <v>0.98699999999999999</v>
      </c>
      <c r="M387" s="84">
        <f>IF(INDEX(lmic_raw_ub[],MATCH($A387,lmic_raw_ub[[setting]:[setting]],0), MATCH(M$277, lmic_raw_ub[#Headers],0))=0, INDEX(regions_ub[], MATCH($D387, regions_ub[[setting]:[setting]],0), MATCH(M$139, regions_ub[#Headers],0)),INDEX(lmic_raw_ub[],MATCH($A387,lmic_raw_ub[[setting]:[setting]],0), MATCH(M$277, lmic_raw_ub[#Headers],0)))</f>
        <v>0.1318</v>
      </c>
      <c r="N387" s="84">
        <f>IF(INDEX(lmic_raw_ub[],MATCH($A387,lmic_raw_ub[[setting]:[setting]],0), MATCH(N$277, lmic_raw_ub[#Headers],0))=0, INDEX(regions_ub[], MATCH($D387, regions_ub[[setting]:[setting]],0), MATCH(N$139, regions_ub[#Headers],0)),INDEX(lmic_raw_ub[],MATCH($A387,lmic_raw_ub[[setting]:[setting]],0), MATCH(N$277, lmic_raw_ub[#Headers],0)))</f>
        <v>0.47889999999999999</v>
      </c>
      <c r="O387" s="84">
        <f>IF(INDEX(lmic_raw_ub[],MATCH($A387,lmic_raw_ub[[setting]:[setting]],0), MATCH(O$277, lmic_raw_ub[#Headers],0))=0, INDEX(regions_ub[], MATCH($D387, regions_ub[[setting]:[setting]],0), MATCH(O$139, regions_ub[#Headers],0)),INDEX(lmic_raw_ub[],MATCH($A387,lmic_raw_ub[[setting]:[setting]],0), MATCH(O$277, lmic_raw_ub[#Headers],0)))</f>
        <v>0.9</v>
      </c>
      <c r="P387" s="84">
        <f>IF(INDEX(lmic_raw_ub[],MATCH($A387,lmic_raw_ub[[setting]:[setting]],0), MATCH(P$277, lmic_raw_ub[#Headers],0))=0, INDEX(regions_ub[], MATCH($D387, regions_ub[[setting]:[setting]],0), MATCH(P$139, regions_ub[#Headers],0)),INDEX(lmic_raw_ub[],MATCH($A387,lmic_raw_ub[[setting]:[setting]],0), MATCH(P$277, lmic_raw_ub[#Headers],0)))</f>
        <v>0.3</v>
      </c>
      <c r="Q387" s="84">
        <f>IF(INDEX(lmic_raw_ub[],MATCH($A387,lmic_raw_ub[[setting]:[setting]],0), MATCH(Q$277, lmic_raw_ub[#Headers],0))=0, INDEX(regions_ub[], MATCH($D387, regions_ub[[setting]:[setting]],0), MATCH(Q$139, regions_ub[#Headers],0)),INDEX(lmic_raw_ub[],MATCH($A387,lmic_raw_ub[[setting]:[setting]],0), MATCH(Q$277, lmic_raw_ub[#Headers],0)))</f>
        <v>6.1062031501004554</v>
      </c>
      <c r="R387" s="84">
        <f>IF(INDEX(lmic_raw_ub[],MATCH($A387,lmic_raw_ub[[setting]:[setting]],0), MATCH(R$277, lmic_raw_ub[#Headers],0))=0, INDEX(regions_ub[], MATCH($D387, regions_ub[[setting]:[setting]],0), MATCH(R$139, regions_ub[#Headers],0)),INDEX(lmic_raw_ub[],MATCH($A387,lmic_raw_ub[[setting]:[setting]],0), MATCH(R$277, lmic_raw_ub[#Headers],0)))</f>
        <v>76.738725000000002</v>
      </c>
      <c r="S387" s="84">
        <f>IF(INDEX(lmic_raw_ub[],MATCH($A387,lmic_raw_ub[[setting]:[setting]],0), MATCH(S$277, lmic_raw_ub[#Headers],0))=0, INDEX(regions_ub[], MATCH($D387, regions_ub[[setting]:[setting]],0), MATCH(S$139, regions_ub[#Headers],0)),INDEX(lmic_raw_ub[],MATCH($A387,lmic_raw_ub[[setting]:[setting]],0), MATCH(S$277, lmic_raw_ub[#Headers],0)))</f>
        <v>126.867825</v>
      </c>
      <c r="T387" s="84">
        <f>IF(INDEX(lmic_raw_ub[],MATCH($A387,lmic_raw_ub[[setting]:[setting]],0), MATCH(T$277, lmic_raw_ub[#Headers],0))=0, INDEX(regions_ub[], MATCH($D387, regions_ub[[setting]:[setting]],0), MATCH(T$139, regions_ub[#Headers],0)),INDEX(lmic_raw_ub[],MATCH($A387,lmic_raw_ub[[setting]:[setting]],0), MATCH(T$277, lmic_raw_ub[#Headers],0)))</f>
        <v>126.867825</v>
      </c>
      <c r="U387" s="84">
        <f>IF(INDEX(lmic_raw_ub[],MATCH($A387,lmic_raw_ub[[setting]:[setting]],0), MATCH(U$277, lmic_raw_ub[#Headers],0))=0, INDEX(regions_ub[], MATCH($D387, regions_ub[[setting]:[setting]],0), MATCH(U$139, regions_ub[#Headers],0)),INDEX(lmic_raw_ub[],MATCH($A387,lmic_raw_ub[[setting]:[setting]],0), MATCH(U$277, lmic_raw_ub[#Headers],0)))</f>
        <v>126.867825</v>
      </c>
      <c r="V387" s="84">
        <f>IF(INDEX(lmic_raw_ub[],MATCH($A387,lmic_raw_ub[[setting]:[setting]],0), MATCH(V$277, lmic_raw_ub[#Headers],0))=0, INDEX(regions_ub[], MATCH($D387, regions_ub[[setting]:[setting]],0), MATCH(V$139, regions_ub[#Headers],0)),INDEX(lmic_raw_ub[],MATCH($A387,lmic_raw_ub[[setting]:[setting]],0), MATCH(V$277, lmic_raw_ub[#Headers],0)))</f>
        <v>11.190370046159025</v>
      </c>
      <c r="W387" s="84">
        <f>IF(INDEX(lmic_raw_ub[],MATCH($A387,lmic_raw_ub[[setting]:[setting]],0), MATCH(W$277, lmic_raw_ub[#Headers],0))=0, INDEX(regions_ub[], MATCH($D387, regions_ub[[setting]:[setting]],0), MATCH(W$139, regions_ub[#Headers],0)),INDEX(lmic_raw_ub[],MATCH($A387,lmic_raw_ub[[setting]:[setting]],0), MATCH(W$277, lmic_raw_ub[#Headers],0)))</f>
        <v>11.854180046159025</v>
      </c>
      <c r="X387" s="84">
        <f>IF(INDEX(lmic_raw_ub[],MATCH($A387,lmic_raw_ub[[setting]:[setting]],0), MATCH(X$277, lmic_raw_ub[#Headers],0))=0, INDEX(regions_ub[], MATCH($D387, regions_ub[[setting]:[setting]],0), MATCH(X$139, regions_ub[#Headers],0)),INDEX(lmic_raw_ub[],MATCH($A387,lmic_raw_ub[[setting]:[setting]],0), MATCH(X$277, lmic_raw_ub[#Headers],0)))</f>
        <v>10.681511771279601</v>
      </c>
      <c r="Y387" s="84">
        <f>IF(INDEX(lmic_raw_ub[],MATCH($A387,lmic_raw_ub[[setting]:[setting]],0), MATCH(Y$277, lmic_raw_ub[#Headers],0))=0, INDEX(regions_ub[], MATCH($D387, regions_ub[[setting]:[setting]],0), MATCH(Y$139, regions_ub[#Headers],0)),INDEX(lmic_raw_ub[],MATCH($A387,lmic_raw_ub[[setting]:[setting]],0), MATCH(Y$277, lmic_raw_ub[#Headers],0)))</f>
        <v>11.3453217712796</v>
      </c>
      <c r="Z387" s="84">
        <f>IF(INDEX(lmic_raw_ub[],MATCH($A387,lmic_raw_ub[[setting]:[setting]],0), MATCH(Z$277, lmic_raw_ub[#Headers],0))=0, INDEX(regions_ub[], MATCH($D387, regions_ub[[setting]:[setting]],0), MATCH(Z$139, regions_ub[#Headers],0)),INDEX(lmic_raw_ub[],MATCH($A387,lmic_raw_ub[[setting]:[setting]],0), MATCH(Z$277, lmic_raw_ub[#Headers],0)))</f>
        <v>11.331592462743894</v>
      </c>
      <c r="AA387" s="84">
        <f>IF(INDEX(lmic_raw_ub[],MATCH($A387,lmic_raw_ub[[setting]:[setting]],0), MATCH(AA$277, lmic_raw_ub[#Headers],0))=0, INDEX(regions_ub[], MATCH($D387, regions_ub[[setting]:[setting]],0), MATCH(AA$139, regions_ub[#Headers],0)),INDEX(lmic_raw_ub[],MATCH($A387,lmic_raw_ub[[setting]:[setting]],0), MATCH(AA$277, lmic_raw_ub[#Headers],0)))</f>
        <v>11.461952197529962</v>
      </c>
      <c r="AB387" s="84">
        <f>IF(INDEX(lmic_raw_ub[],MATCH($A387,lmic_raw_ub[[setting]:[setting]],0), MATCH(AB$277, lmic_raw_ub[#Headers],0))=0, INDEX(regions_ub[], MATCH($D387, regions_ub[[setting]:[setting]],0), MATCH(AB$139, regions_ub[#Headers],0)),INDEX(lmic_raw_ub[],MATCH($A387,lmic_raw_ub[[setting]:[setting]],0), MATCH(AB$277, lmic_raw_ub[#Headers],0)))</f>
        <v>12.125762197529962</v>
      </c>
      <c r="AC387" s="84">
        <f>IF(INDEX(lmic_raw_ub[],MATCH($A387,lmic_raw_ub[[setting]:[setting]],0), MATCH(AC$277, lmic_raw_ub[#Headers],0))=0, INDEX(regions_ub[], MATCH($D387, regions_ub[[setting]:[setting]],0), MATCH(AC$139, regions_ub[#Headers],0)),INDEX(lmic_raw_ub[],MATCH($A387,lmic_raw_ub[[setting]:[setting]],0), MATCH(AC$277, lmic_raw_ub[#Headers],0)))</f>
        <v>1.6229230500000035E-2</v>
      </c>
      <c r="AD387" s="84">
        <f>IF(INDEX(lmic_raw_ub[],MATCH($A387,lmic_raw_ub[[setting]:[setting]],0), MATCH(AD$277, lmic_raw_ub[#Headers],0))=0, INDEX(regions_ub[], MATCH($D387, regions_ub[[setting]:[setting]],0), MATCH(AD$139, regions_ub[#Headers],0)),INDEX(lmic_raw_ub[],MATCH($A387,lmic_raw_ub[[setting]:[setting]],0), MATCH(AD$277, lmic_raw_ub[#Headers],0)))</f>
        <v>1.2443122249163193E-3</v>
      </c>
      <c r="AE387" s="84">
        <f>IF(INDEX(lmic_raw_ub[],MATCH($A387,lmic_raw_ub[[setting]:[setting]],0), MATCH(AE$277, lmic_raw_ub[#Headers],0))=0, INDEX(regions_ub[], MATCH($D387, regions_ub[[setting]:[setting]],0), MATCH(AE$139, regions_ub[#Headers],0)),INDEX(lmic_raw_ub[],MATCH($A387,lmic_raw_ub[[setting]:[setting]],0), MATCH(AE$277, lmic_raw_ub[#Headers],0)))</f>
        <v>4.5629744691734041E-4</v>
      </c>
      <c r="AF387" s="84">
        <f>IF(INDEX(lmic_raw_ub[],MATCH($A387,lmic_raw_ub[[setting]:[setting]],0), MATCH(AF$277, lmic_raw_ub[#Headers],0))=0, INDEX(regions_ub[], MATCH($D387, regions_ub[[setting]:[setting]],0), MATCH(AF$139, regions_ub[#Headers],0)),INDEX(lmic_raw_ub[],MATCH($A387,lmic_raw_ub[[setting]:[setting]],0), MATCH(AF$277, lmic_raw_ub[#Headers],0)))</f>
        <v>4.2022874003769446E-4</v>
      </c>
      <c r="AG387" s="84">
        <f>IF(INDEX(lmic_raw_ub[],MATCH($A387,lmic_raw_ub[[setting]:[setting]],0), MATCH(AG$277, lmic_raw_ub[#Headers],0))=0, INDEX(regions_ub[], MATCH($D387, regions_ub[[setting]:[setting]],0), MATCH(AG$139, regions_ub[#Headers],0)),INDEX(lmic_raw_ub[],MATCH($A387,lmic_raw_ub[[setting]:[setting]],0), MATCH(AG$277, lmic_raw_ub[#Headers],0)))</f>
        <v>9.2228905097233211E-4</v>
      </c>
      <c r="AH387" s="84">
        <f>IF(INDEX(lmic_raw_ub[],MATCH($A387,lmic_raw_ub[[setting]:[setting]],0), MATCH(AH$277, lmic_raw_ub[#Headers],0))=0, INDEX(regions_ub[], MATCH($D387, regions_ub[[setting]:[setting]],0), MATCH(AH$139, regions_ub[#Headers],0)),INDEX(lmic_raw_ub[],MATCH($A387,lmic_raw_ub[[setting]:[setting]],0), MATCH(AH$277, lmic_raw_ub[#Headers],0)))</f>
        <v>1.2088475142922807E-3</v>
      </c>
      <c r="AI387" s="84">
        <f>IF(INDEX(lmic_raw_ub[],MATCH($A387,lmic_raw_ub[[setting]:[setting]],0), MATCH(AI$277, lmic_raw_ub[#Headers],0))=0, INDEX(regions_ub[], MATCH($D387, regions_ub[[setting]:[setting]],0), MATCH(AI$139, regions_ub[#Headers],0)),INDEX(lmic_raw_ub[],MATCH($A387,lmic_raw_ub[[setting]:[setting]],0), MATCH(AI$277, lmic_raw_ub[#Headers],0)))</f>
        <v>1.2753409204484928E-3</v>
      </c>
      <c r="AJ387" s="84">
        <f>IF(INDEX(lmic_raw_ub[],MATCH($A387,lmic_raw_ub[[setting]:[setting]],0), MATCH(AJ$277, lmic_raw_ub[#Headers],0))=0, INDEX(regions_ub[], MATCH($D387, regions_ub[[setting]:[setting]],0), MATCH(AJ$139, regions_ub[#Headers],0)),INDEX(lmic_raw_ub[],MATCH($A387,lmic_raw_ub[[setting]:[setting]],0), MATCH(AJ$277, lmic_raw_ub[#Headers],0)))</f>
        <v>1.5157014503602878E-3</v>
      </c>
      <c r="AK387" s="84">
        <f>IF(INDEX(lmic_raw_ub[],MATCH($A387,lmic_raw_ub[[setting]:[setting]],0), MATCH(AK$277, lmic_raw_ub[#Headers],0))=0, INDEX(regions_ub[], MATCH($D387, regions_ub[[setting]:[setting]],0), MATCH(AK$139, regions_ub[#Headers],0)),INDEX(lmic_raw_ub[],MATCH($A387,lmic_raw_ub[[setting]:[setting]],0), MATCH(AK$277, lmic_raw_ub[#Headers],0)))</f>
        <v>2.0411594068359081E-3</v>
      </c>
      <c r="AL387" s="84">
        <f>IF(INDEX(lmic_raw_ub[],MATCH($A387,lmic_raw_ub[[setting]:[setting]],0), MATCH(AL$277, lmic_raw_ub[#Headers],0))=0, INDEX(regions_ub[], MATCH($D387, regions_ub[[setting]:[setting]],0), MATCH(AL$139, regions_ub[#Headers],0)),INDEX(lmic_raw_ub[],MATCH($A387,lmic_raw_ub[[setting]:[setting]],0), MATCH(AL$277, lmic_raw_ub[#Headers],0)))</f>
        <v>2.9399242636781904E-3</v>
      </c>
      <c r="AM387" s="84">
        <f>IF(INDEX(lmic_raw_ub[],MATCH($A387,lmic_raw_ub[[setting]:[setting]],0), MATCH(AM$277, lmic_raw_ub[#Headers],0))=0, INDEX(regions_ub[], MATCH($D387, regions_ub[[setting]:[setting]],0), MATCH(AM$139, regions_ub[#Headers],0)),INDEX(lmic_raw_ub[],MATCH($A387,lmic_raw_ub[[setting]:[setting]],0), MATCH(AM$277, lmic_raw_ub[#Headers],0)))</f>
        <v>4.5300171336931329E-3</v>
      </c>
      <c r="AN387" s="84">
        <f>IF(INDEX(lmic_raw_ub[],MATCH($A387,lmic_raw_ub[[setting]:[setting]],0), MATCH(AN$277, lmic_raw_ub[#Headers],0))=0, INDEX(regions_ub[], MATCH($D387, regions_ub[[setting]:[setting]],0), MATCH(AN$139, regions_ub[#Headers],0)),INDEX(lmic_raw_ub[],MATCH($A387,lmic_raw_ub[[setting]:[setting]],0), MATCH(AN$277, lmic_raw_ub[#Headers],0)))</f>
        <v>7.0420555956551834E-3</v>
      </c>
      <c r="AO387" s="84">
        <f>IF(INDEX(lmic_raw_ub[],MATCH($A387,lmic_raw_ub[[setting]:[setting]],0), MATCH(AO$277, lmic_raw_ub[#Headers],0))=0, INDEX(regions_ub[], MATCH($D387, regions_ub[[setting]:[setting]],0), MATCH(AO$139, regions_ub[#Headers],0)),INDEX(lmic_raw_ub[],MATCH($A387,lmic_raw_ub[[setting]:[setting]],0), MATCH(AO$277, lmic_raw_ub[#Headers],0)))</f>
        <v>1.0991901334473569E-2</v>
      </c>
      <c r="AP387" s="84">
        <f>IF(INDEX(lmic_raw_ub[],MATCH($A387,lmic_raw_ub[[setting]:[setting]],0), MATCH(AP$277, lmic_raw_ub[#Headers],0))=0, INDEX(regions_ub[], MATCH($D387, regions_ub[[setting]:[setting]],0), MATCH(AP$139, regions_ub[#Headers],0)),INDEX(lmic_raw_ub[],MATCH($A387,lmic_raw_ub[[setting]:[setting]],0), MATCH(AP$277, lmic_raw_ub[#Headers],0)))</f>
        <v>1.6377557805654478E-2</v>
      </c>
      <c r="AQ387" s="84">
        <f>IF(INDEX(lmic_raw_ub[],MATCH($A387,lmic_raw_ub[[setting]:[setting]],0), MATCH(AQ$277, lmic_raw_ub[#Headers],0))=0, INDEX(regions_ub[], MATCH($D387, regions_ub[[setting]:[setting]],0), MATCH(AQ$139, regions_ub[#Headers],0)),INDEX(lmic_raw_ub[],MATCH($A387,lmic_raw_ub[[setting]:[setting]],0), MATCH(AQ$277, lmic_raw_ub[#Headers],0)))</f>
        <v>2.4149197855496258E-2</v>
      </c>
      <c r="AR387" s="84">
        <f>IF(INDEX(lmic_raw_ub[],MATCH($A387,lmic_raw_ub[[setting]:[setting]],0), MATCH(AR$277, lmic_raw_ub[#Headers],0))=0, INDEX(regions_ub[], MATCH($D387, regions_ub[[setting]:[setting]],0), MATCH(AR$139, regions_ub[#Headers],0)),INDEX(lmic_raw_ub[],MATCH($A387,lmic_raw_ub[[setting]:[setting]],0), MATCH(AR$277, lmic_raw_ub[#Headers],0)))</f>
        <v>3.6998324226869488E-2</v>
      </c>
      <c r="AS387" s="84">
        <f>IF(INDEX(lmic_raw_ub[],MATCH($A387,lmic_raw_ub[[setting]:[setting]],0), MATCH(AS$277, lmic_raw_ub[#Headers],0))=0, INDEX(regions_ub[], MATCH($D387, regions_ub[[setting]:[setting]],0), MATCH(AS$139, regions_ub[#Headers],0)),INDEX(lmic_raw_ub[],MATCH($A387,lmic_raw_ub[[setting]:[setting]],0), MATCH(AS$277, lmic_raw_ub[#Headers],0)))</f>
        <v>5.849661623626868E-2</v>
      </c>
      <c r="AT387" s="84">
        <f>IF(INDEX(lmic_raw_ub[],MATCH($A387,lmic_raw_ub[[setting]:[setting]],0), MATCH(AT$277, lmic_raw_ub[#Headers],0))=0, INDEX(regions_ub[], MATCH($D387, regions_ub[[setting]:[setting]],0), MATCH(AT$139, regions_ub[#Headers],0)),INDEX(lmic_raw_ub[],MATCH($A387,lmic_raw_ub[[setting]:[setting]],0), MATCH(AT$277, lmic_raw_ub[#Headers],0)))</f>
        <v>8.7462737463654031E-2</v>
      </c>
      <c r="AU387" s="84">
        <f>IF(INDEX(lmic_raw_ub[],MATCH($A387,lmic_raw_ub[[setting]:[setting]],0), MATCH(AU$277, lmic_raw_ub[#Headers],0))=0, INDEX(regions_ub[], MATCH($D387, regions_ub[[setting]:[setting]],0), MATCH(AU$139, regions_ub[#Headers],0)),INDEX(lmic_raw_ub[],MATCH($A387,lmic_raw_ub[[setting]:[setting]],0), MATCH(AU$277, lmic_raw_ub[#Headers],0)))</f>
        <v>0.12229021769035453</v>
      </c>
      <c r="AV387" s="84">
        <f>IF(INDEX(lmic_raw_ub[],MATCH($A387,lmic_raw_ub[[setting]:[setting]],0), MATCH(AV$277, lmic_raw_ub[#Headers],0))=0, INDEX(regions_ub[], MATCH($D387, regions_ub[[setting]:[setting]],0), MATCH(AV$139, regions_ub[#Headers],0)),INDEX(lmic_raw_ub[],MATCH($A387,lmic_raw_ub[[setting]:[setting]],0), MATCH(AV$277, lmic_raw_ub[#Headers],0)))</f>
        <v>0.15431252735191409</v>
      </c>
      <c r="AW387" s="84">
        <f>IF(INDEX(lmic_raw_ub[],MATCH($A387,lmic_raw_ub[[setting]:[setting]],0), MATCH(AW$277, lmic_raw_ub[#Headers],0))=0, INDEX(regions_ub[], MATCH($D387, regions_ub[[setting]:[setting]],0), MATCH(AW$139, regions_ub[#Headers],0)),INDEX(lmic_raw_ub[],MATCH($A387,lmic_raw_ub[[setting]:[setting]],0), MATCH(AW$277, lmic_raw_ub[#Headers],0)))</f>
        <v>0.17872070277059268</v>
      </c>
      <c r="AX387" s="84">
        <f>IF(INDEX(lmic_raw_ub[],MATCH($A387,lmic_raw_ub[[setting]:[setting]],0), MATCH(AX$277, lmic_raw_ub[#Headers],0))=0, INDEX(regions_ub[], MATCH($D387, regions_ub[[setting]:[setting]],0), MATCH(AX$139, regions_ub[#Headers],0)),INDEX(lmic_raw_ub[],MATCH($A387,lmic_raw_ub[[setting]:[setting]],0), MATCH(AX$277, lmic_raw_ub[#Headers],0)))</f>
        <v>76.411649999999995</v>
      </c>
      <c r="AY387" s="33" t="str">
        <f>IF(VLOOKUP(lmics_ub[[#This Row],[setting]],lmic_raw_ub[],11,FALSE)=0, "Yes", "No")</f>
        <v>No</v>
      </c>
    </row>
    <row r="388" spans="1:51" x14ac:dyDescent="0.25">
      <c r="A388" s="109" t="s">
        <v>115</v>
      </c>
      <c r="B388" s="101" t="s">
        <v>513</v>
      </c>
      <c r="C388" s="102">
        <v>706</v>
      </c>
      <c r="D388" s="82" t="s">
        <v>673</v>
      </c>
      <c r="E388" s="82" t="s">
        <v>597</v>
      </c>
      <c r="F388" s="82" t="s">
        <v>667</v>
      </c>
      <c r="G388" s="82" t="s">
        <v>674</v>
      </c>
      <c r="J388" s="84">
        <f>IF(INDEX(lmic_raw_ub[],MATCH($A388,lmic_raw_ub[[setting]:[setting]],0), MATCH(J$277, lmic_raw_ub[#Headers],0))=0, INDEX(regions_ub[], MATCH($D388, regions_ub[[setting]:[setting]],0), MATCH(J$139, regions_ub[#Headers],0)),INDEX(lmic_raw_ub[],MATCH($A388,lmic_raw_ub[[setting]:[setting]],0), MATCH(J$277, lmic_raw_ub[#Headers],0)))</f>
        <v>0.21734999999999999</v>
      </c>
      <c r="K388" s="84">
        <f>IF(INDEX(lmic_raw_ub[],MATCH($A388,lmic_raw_ub[[setting]:[setting]],0), MATCH(K$277, lmic_raw_ub[#Headers],0))=0, INDEX(regions_ub[], MATCH($D388, regions_ub[[setting]:[setting]],0), MATCH(K$139, regions_ub[#Headers],0)),INDEX(lmic_raw_ub[],MATCH($A388,lmic_raw_ub[[setting]:[setting]],0), MATCH(K$277, lmic_raw_ub[#Headers],0)))</f>
        <v>0.74462879341111321</v>
      </c>
      <c r="L388" s="84">
        <f>IF(INDEX(lmic_raw_ub[],MATCH($A388,lmic_raw_ub[[setting]:[setting]],0), MATCH(L$277, lmic_raw_ub[#Headers],0))=0, INDEX(regions_ub[], MATCH($D388, regions_ub[[setting]:[setting]],0), MATCH(L$139, regions_ub[#Headers],0)),INDEX(lmic_raw_ub[],MATCH($A388,lmic_raw_ub[[setting]:[setting]],0), MATCH(L$277, lmic_raw_ub[#Headers],0)))</f>
        <v>0.441</v>
      </c>
      <c r="M388" s="84">
        <f>IF(INDEX(lmic_raw_ub[],MATCH($A388,lmic_raw_ub[[setting]:[setting]],0), MATCH(M$277, lmic_raw_ub[#Headers],0))=0, INDEX(regions_ub[], MATCH($D388, regions_ub[[setting]:[setting]],0), MATCH(M$139, regions_ub[#Headers],0)),INDEX(lmic_raw_ub[],MATCH($A388,lmic_raw_ub[[setting]:[setting]],0), MATCH(M$277, lmic_raw_ub[#Headers],0)))</f>
        <v>0.16370000000000001</v>
      </c>
      <c r="N388" s="84">
        <f>IF(INDEX(lmic_raw_ub[],MATCH($A388,lmic_raw_ub[[setting]:[setting]],0), MATCH(N$277, lmic_raw_ub[#Headers],0))=0, INDEX(regions_ub[], MATCH($D388, regions_ub[[setting]:[setting]],0), MATCH(N$139, regions_ub[#Headers],0)),INDEX(lmic_raw_ub[],MATCH($A388,lmic_raw_ub[[setting]:[setting]],0), MATCH(N$277, lmic_raw_ub[#Headers],0)))</f>
        <v>0.39960000000000001</v>
      </c>
      <c r="O388" s="84">
        <f>IF(INDEX(lmic_raw_ub[],MATCH($A388,lmic_raw_ub[[setting]:[setting]],0), MATCH(O$277, lmic_raw_ub[#Headers],0))=0, INDEX(regions_ub[], MATCH($D388, regions_ub[[setting]:[setting]],0), MATCH(O$139, regions_ub[#Headers],0)),INDEX(lmic_raw_ub[],MATCH($A388,lmic_raw_ub[[setting]:[setting]],0), MATCH(O$277, lmic_raw_ub[#Headers],0)))</f>
        <v>0.74399999999999999</v>
      </c>
      <c r="P388" s="84">
        <f>IF(INDEX(lmic_raw_ub[],MATCH($A388,lmic_raw_ub[[setting]:[setting]],0), MATCH(P$277, lmic_raw_ub[#Headers],0))=0, INDEX(regions_ub[], MATCH($D388, regions_ub[[setting]:[setting]],0), MATCH(P$139, regions_ub[#Headers],0)),INDEX(lmic_raw_ub[],MATCH($A388,lmic_raw_ub[[setting]:[setting]],0), MATCH(P$277, lmic_raw_ub[#Headers],0)))</f>
        <v>0.13300000000000001</v>
      </c>
      <c r="Q388" s="84">
        <f>IF(INDEX(lmic_raw_ub[],MATCH($A388,lmic_raw_ub[[setting]:[setting]],0), MATCH(Q$277, lmic_raw_ub[#Headers],0))=0, INDEX(regions_ub[], MATCH($D388, regions_ub[[setting]:[setting]],0), MATCH(Q$139, regions_ub[#Headers],0)),INDEX(lmic_raw_ub[],MATCH($A388,lmic_raw_ub[[setting]:[setting]],0), MATCH(Q$277, lmic_raw_ub[#Headers],0)))</f>
        <v>6.8874579874984834</v>
      </c>
      <c r="R388" s="84">
        <f>IF(INDEX(lmic_raw_ub[],MATCH($A388,lmic_raw_ub[[setting]:[setting]],0), MATCH(R$277, lmic_raw_ub[#Headers],0))=0, INDEX(regions_ub[], MATCH($D388, regions_ub[[setting]:[setting]],0), MATCH(R$139, regions_ub[#Headers],0)),INDEX(lmic_raw_ub[],MATCH($A388,lmic_raw_ub[[setting]:[setting]],0), MATCH(R$277, lmic_raw_ub[#Headers],0)))</f>
        <v>31.416525000000004</v>
      </c>
      <c r="S388" s="84">
        <f>IF(INDEX(lmic_raw_ub[],MATCH($A388,lmic_raw_ub[[setting]:[setting]],0), MATCH(S$277, lmic_raw_ub[#Headers],0))=0, INDEX(regions_ub[], MATCH($D388, regions_ub[[setting]:[setting]],0), MATCH(S$139, regions_ub[#Headers],0)),INDEX(lmic_raw_ub[],MATCH($A388,lmic_raw_ub[[setting]:[setting]],0), MATCH(S$277, lmic_raw_ub[#Headers],0)))</f>
        <v>81.545625000000015</v>
      </c>
      <c r="T388" s="84">
        <f>IF(INDEX(lmic_raw_ub[],MATCH($A388,lmic_raw_ub[[setting]:[setting]],0), MATCH(T$277, lmic_raw_ub[#Headers],0))=0, INDEX(regions_ub[], MATCH($D388, regions_ub[[setting]:[setting]],0), MATCH(T$139, regions_ub[#Headers],0)),INDEX(lmic_raw_ub[],MATCH($A388,lmic_raw_ub[[setting]:[setting]],0), MATCH(T$277, lmic_raw_ub[#Headers],0)))</f>
        <v>81.545625000000015</v>
      </c>
      <c r="U388" s="84">
        <f>IF(INDEX(lmic_raw_ub[],MATCH($A388,lmic_raw_ub[[setting]:[setting]],0), MATCH(U$277, lmic_raw_ub[#Headers],0))=0, INDEX(regions_ub[], MATCH($D388, regions_ub[[setting]:[setting]],0), MATCH(U$139, regions_ub[#Headers],0)),INDEX(lmic_raw_ub[],MATCH($A388,lmic_raw_ub[[setting]:[setting]],0), MATCH(U$277, lmic_raw_ub[#Headers],0)))</f>
        <v>81.545625000000015</v>
      </c>
      <c r="V388" s="84">
        <f>IF(INDEX(lmic_raw_ub[],MATCH($A388,lmic_raw_ub[[setting]:[setting]],0), MATCH(V$277, lmic_raw_ub[#Headers],0))=0, INDEX(regions_ub[], MATCH($D388, regions_ub[[setting]:[setting]],0), MATCH(V$139, regions_ub[#Headers],0)),INDEX(lmic_raw_ub[],MATCH($A388,lmic_raw_ub[[setting]:[setting]],0), MATCH(V$277, lmic_raw_ub[#Headers],0)))</f>
        <v>2.2596592648834699</v>
      </c>
      <c r="W388" s="84">
        <f>IF(INDEX(lmic_raw_ub[],MATCH($A388,lmic_raw_ub[[setting]:[setting]],0), MATCH(W$277, lmic_raw_ub[#Headers],0))=0, INDEX(regions_ub[], MATCH($D388, regions_ub[[setting]:[setting]],0), MATCH(W$139, regions_ub[#Headers],0)),INDEX(lmic_raw_ub[],MATCH($A388,lmic_raw_ub[[setting]:[setting]],0), MATCH(W$277, lmic_raw_ub[#Headers],0)))</f>
        <v>7.3297942648834704</v>
      </c>
      <c r="X388" s="84">
        <f>IF(INDEX(lmic_raw_ub[],MATCH($A388,lmic_raw_ub[[setting]:[setting]],0), MATCH(X$277, lmic_raw_ub[#Headers],0))=0, INDEX(regions_ub[], MATCH($D388, regions_ub[[setting]:[setting]],0), MATCH(X$139, regions_ub[#Headers],0)),INDEX(lmic_raw_ub[],MATCH($A388,lmic_raw_ub[[setting]:[setting]],0), MATCH(X$277, lmic_raw_ub[#Headers],0)))</f>
        <v>1.7742005970230965</v>
      </c>
      <c r="Y388" s="84">
        <f>IF(INDEX(lmic_raw_ub[],MATCH($A388,lmic_raw_ub[[setting]:[setting]],0), MATCH(Y$277, lmic_raw_ub[#Headers],0))=0, INDEX(regions_ub[], MATCH($D388, regions_ub[[setting]:[setting]],0), MATCH(Y$139, regions_ub[#Headers],0)),INDEX(lmic_raw_ub[],MATCH($A388,lmic_raw_ub[[setting]:[setting]],0), MATCH(Y$277, lmic_raw_ub[#Headers],0)))</f>
        <v>6.8443355970230968</v>
      </c>
      <c r="Z388" s="84">
        <f>IF(INDEX(lmic_raw_ub[],MATCH($A388,lmic_raw_ub[[setting]:[setting]],0), MATCH(Z$277, lmic_raw_ub[#Headers],0))=0, INDEX(regions_ub[], MATCH($D388, regions_ub[[setting]:[setting]],0), MATCH(Z$139, regions_ub[#Headers],0)),INDEX(lmic_raw_ub[],MATCH($A388,lmic_raw_ub[[setting]:[setting]],0), MATCH(Z$277, lmic_raw_ub[#Headers],0)))</f>
        <v>6.8431844512531104</v>
      </c>
      <c r="AA388" s="84">
        <f>IF(INDEX(lmic_raw_ub[],MATCH($A388,lmic_raw_ub[[setting]:[setting]],0), MATCH(AA$277, lmic_raw_ub[#Headers],0))=0, INDEX(regions_ub[], MATCH($D388, regions_ub[[setting]:[setting]],0), MATCH(AA$139, regions_ub[#Headers],0)),INDEX(lmic_raw_ub[],MATCH($A388,lmic_raw_ub[[setting]:[setting]],0), MATCH(AA$277, lmic_raw_ub[#Headers],0)))</f>
        <v>2.5259298490169533</v>
      </c>
      <c r="AB388" s="84">
        <f>IF(INDEX(lmic_raw_ub[],MATCH($A388,lmic_raw_ub[[setting]:[setting]],0), MATCH(AB$277, lmic_raw_ub[#Headers],0))=0, INDEX(regions_ub[], MATCH($D388, regions_ub[[setting]:[setting]],0), MATCH(AB$139, regions_ub[#Headers],0)),INDEX(lmic_raw_ub[],MATCH($A388,lmic_raw_ub[[setting]:[setting]],0), MATCH(AB$277, lmic_raw_ub[#Headers],0)))</f>
        <v>7.5960648490169538</v>
      </c>
      <c r="AC388" s="84">
        <f>IF(INDEX(lmic_raw_ub[],MATCH($A388,lmic_raw_ub[[setting]:[setting]],0), MATCH(AC$277, lmic_raw_ub[#Headers],0))=0, INDEX(regions_ub[], MATCH($D388, regions_ub[[setting]:[setting]],0), MATCH(AC$139, regions_ub[#Headers],0)),INDEX(lmic_raw_ub[],MATCH($A388,lmic_raw_ub[[setting]:[setting]],0), MATCH(AC$277, lmic_raw_ub[#Headers],0)))</f>
        <v>7.2789884999999957E-2</v>
      </c>
      <c r="AD388" s="84">
        <f>IF(INDEX(lmic_raw_ub[],MATCH($A388,lmic_raw_ub[[setting]:[setting]],0), MATCH(AD$277, lmic_raw_ub[#Headers],0))=0, INDEX(regions_ub[], MATCH($D388, regions_ub[[setting]:[setting]],0), MATCH(AD$139, regions_ub[#Headers],0)),INDEX(lmic_raw_ub[],MATCH($A388,lmic_raw_ub[[setting]:[setting]],0), MATCH(AD$277, lmic_raw_ub[#Headers],0)))</f>
        <v>1.2906997040754159E-2</v>
      </c>
      <c r="AE388" s="84">
        <f>IF(INDEX(lmic_raw_ub[],MATCH($A388,lmic_raw_ub[[setting]:[setting]],0), MATCH(AE$277, lmic_raw_ub[#Headers],0))=0, INDEX(regions_ub[], MATCH($D388, regions_ub[[setting]:[setting]],0), MATCH(AE$139, regions_ub[#Headers],0)),INDEX(lmic_raw_ub[],MATCH($A388,lmic_raw_ub[[setting]:[setting]],0), MATCH(AE$277, lmic_raw_ub[#Headers],0)))</f>
        <v>4.256786580954507E-3</v>
      </c>
      <c r="AF388" s="84">
        <f>IF(INDEX(lmic_raw_ub[],MATCH($A388,lmic_raw_ub[[setting]:[setting]],0), MATCH(AF$277, lmic_raw_ub[#Headers],0))=0, INDEX(regions_ub[], MATCH($D388, regions_ub[[setting]:[setting]],0), MATCH(AF$139, regions_ub[#Headers],0)),INDEX(lmic_raw_ub[],MATCH($A388,lmic_raw_ub[[setting]:[setting]],0), MATCH(AF$277, lmic_raw_ub[#Headers],0)))</f>
        <v>3.0590347296089852E-3</v>
      </c>
      <c r="AG388" s="84">
        <f>IF(INDEX(lmic_raw_ub[],MATCH($A388,lmic_raw_ub[[setting]:[setting]],0), MATCH(AG$277, lmic_raw_ub[#Headers],0))=0, INDEX(regions_ub[], MATCH($D388, regions_ub[[setting]:[setting]],0), MATCH(AG$139, regions_ub[#Headers],0)),INDEX(lmic_raw_ub[],MATCH($A388,lmic_raw_ub[[setting]:[setting]],0), MATCH(AG$277, lmic_raw_ub[#Headers],0)))</f>
        <v>3.2525777414439379E-3</v>
      </c>
      <c r="AH388" s="84">
        <f>IF(INDEX(lmic_raw_ub[],MATCH($A388,lmic_raw_ub[[setting]:[setting]],0), MATCH(AH$277, lmic_raw_ub[#Headers],0))=0, INDEX(regions_ub[], MATCH($D388, regions_ub[[setting]:[setting]],0), MATCH(AH$139, regions_ub[#Headers],0)),INDEX(lmic_raw_ub[],MATCH($A388,lmic_raw_ub[[setting]:[setting]],0), MATCH(AH$277, lmic_raw_ub[#Headers],0)))</f>
        <v>4.2784650913780566E-3</v>
      </c>
      <c r="AI388" s="84">
        <f>IF(INDEX(lmic_raw_ub[],MATCH($A388,lmic_raw_ub[[setting]:[setting]],0), MATCH(AI$277, lmic_raw_ub[#Headers],0))=0, INDEX(regions_ub[], MATCH($D388, regions_ub[[setting]:[setting]],0), MATCH(AI$139, regions_ub[#Headers],0)),INDEX(lmic_raw_ub[],MATCH($A388,lmic_raw_ub[[setting]:[setting]],0), MATCH(AI$277, lmic_raw_ub[#Headers],0)))</f>
        <v>5.1737639647431357E-3</v>
      </c>
      <c r="AJ388" s="84">
        <f>IF(INDEX(lmic_raw_ub[],MATCH($A388,lmic_raw_ub[[setting]:[setting]],0), MATCH(AJ$277, lmic_raw_ub[#Headers],0))=0, INDEX(regions_ub[], MATCH($D388, regions_ub[[setting]:[setting]],0), MATCH(AJ$139, regions_ub[#Headers],0)),INDEX(lmic_raw_ub[],MATCH($A388,lmic_raw_ub[[setting]:[setting]],0), MATCH(AJ$277, lmic_raw_ub[#Headers],0)))</f>
        <v>6.0928047942315142E-3</v>
      </c>
      <c r="AK388" s="84">
        <f>IF(INDEX(lmic_raw_ub[],MATCH($A388,lmic_raw_ub[[setting]:[setting]],0), MATCH(AK$277, lmic_raw_ub[#Headers],0))=0, INDEX(regions_ub[], MATCH($D388, regions_ub[[setting]:[setting]],0), MATCH(AK$139, regions_ub[#Headers],0)),INDEX(lmic_raw_ub[],MATCH($A388,lmic_raw_ub[[setting]:[setting]],0), MATCH(AK$277, lmic_raw_ub[#Headers],0)))</f>
        <v>7.4957744596755903E-3</v>
      </c>
      <c r="AL388" s="84">
        <f>IF(INDEX(lmic_raw_ub[],MATCH($A388,lmic_raw_ub[[setting]:[setting]],0), MATCH(AL$277, lmic_raw_ub[#Headers],0))=0, INDEX(regions_ub[], MATCH($D388, regions_ub[[setting]:[setting]],0), MATCH(AL$139, regions_ub[#Headers],0)),INDEX(lmic_raw_ub[],MATCH($A388,lmic_raw_ub[[setting]:[setting]],0), MATCH(AL$277, lmic_raw_ub[#Headers],0)))</f>
        <v>8.5061696006223705E-3</v>
      </c>
      <c r="AM388" s="84">
        <f>IF(INDEX(lmic_raw_ub[],MATCH($A388,lmic_raw_ub[[setting]:[setting]],0), MATCH(AM$277, lmic_raw_ub[#Headers],0))=0, INDEX(regions_ub[], MATCH($D388, regions_ub[[setting]:[setting]],0), MATCH(AM$139, regions_ub[#Headers],0)),INDEX(lmic_raw_ub[],MATCH($A388,lmic_raw_ub[[setting]:[setting]],0), MATCH(AM$277, lmic_raw_ub[#Headers],0)))</f>
        <v>9.7983286323064262E-3</v>
      </c>
      <c r="AN388" s="84">
        <f>IF(INDEX(lmic_raw_ub[],MATCH($A388,lmic_raw_ub[[setting]:[setting]],0), MATCH(AN$277, lmic_raw_ub[#Headers],0))=0, INDEX(regions_ub[], MATCH($D388, regions_ub[[setting]:[setting]],0), MATCH(AN$139, regions_ub[#Headers],0)),INDEX(lmic_raw_ub[],MATCH($A388,lmic_raw_ub[[setting]:[setting]],0), MATCH(AN$277, lmic_raw_ub[#Headers],0)))</f>
        <v>1.2171325587940618E-2</v>
      </c>
      <c r="AO388" s="84">
        <f>IF(INDEX(lmic_raw_ub[],MATCH($A388,lmic_raw_ub[[setting]:[setting]],0), MATCH(AO$277, lmic_raw_ub[#Headers],0))=0, INDEX(regions_ub[], MATCH($D388, regions_ub[[setting]:[setting]],0), MATCH(AO$139, regions_ub[#Headers],0)),INDEX(lmic_raw_ub[],MATCH($A388,lmic_raw_ub[[setting]:[setting]],0), MATCH(AO$277, lmic_raw_ub[#Headers],0)))</f>
        <v>1.6305806380872694E-2</v>
      </c>
      <c r="AP388" s="84">
        <f>IF(INDEX(lmic_raw_ub[],MATCH($A388,lmic_raw_ub[[setting]:[setting]],0), MATCH(AP$277, lmic_raw_ub[#Headers],0))=0, INDEX(regions_ub[], MATCH($D388, regions_ub[[setting]:[setting]],0), MATCH(AP$139, regions_ub[#Headers],0)),INDEX(lmic_raw_ub[],MATCH($A388,lmic_raw_ub[[setting]:[setting]],0), MATCH(AP$277, lmic_raw_ub[#Headers],0)))</f>
        <v>2.3535424293891837E-2</v>
      </c>
      <c r="AQ388" s="84">
        <f>IF(INDEX(lmic_raw_ub[],MATCH($A388,lmic_raw_ub[[setting]:[setting]],0), MATCH(AQ$277, lmic_raw_ub[#Headers],0))=0, INDEX(regions_ub[], MATCH($D388, regions_ub[[setting]:[setting]],0), MATCH(AQ$139, regions_ub[#Headers],0)),INDEX(lmic_raw_ub[],MATCH($A388,lmic_raw_ub[[setting]:[setting]],0), MATCH(AQ$277, lmic_raw_ub[#Headers],0)))</f>
        <v>3.5233548910453827E-2</v>
      </c>
      <c r="AR388" s="84">
        <f>IF(INDEX(lmic_raw_ub[],MATCH($A388,lmic_raw_ub[[setting]:[setting]],0), MATCH(AR$277, lmic_raw_ub[#Headers],0))=0, INDEX(regions_ub[], MATCH($D388, regions_ub[[setting]:[setting]],0), MATCH(AR$139, regions_ub[#Headers],0)),INDEX(lmic_raw_ub[],MATCH($A388,lmic_raw_ub[[setting]:[setting]],0), MATCH(AR$277, lmic_raw_ub[#Headers],0)))</f>
        <v>5.2947229416409246E-2</v>
      </c>
      <c r="AS388" s="84">
        <f>IF(INDEX(lmic_raw_ub[],MATCH($A388,lmic_raw_ub[[setting]:[setting]],0), MATCH(AS$277, lmic_raw_ub[#Headers],0))=0, INDEX(regions_ub[], MATCH($D388, regions_ub[[setting]:[setting]],0), MATCH(AS$139, regions_ub[#Headers],0)),INDEX(lmic_raw_ub[],MATCH($A388,lmic_raw_ub[[setting]:[setting]],0), MATCH(AS$277, lmic_raw_ub[#Headers],0)))</f>
        <v>7.7401138879670525E-2</v>
      </c>
      <c r="AT388" s="84">
        <f>IF(INDEX(lmic_raw_ub[],MATCH($A388,lmic_raw_ub[[setting]:[setting]],0), MATCH(AT$277, lmic_raw_ub[#Headers],0))=0, INDEX(regions_ub[], MATCH($D388, regions_ub[[setting]:[setting]],0), MATCH(AT$139, regions_ub[#Headers],0)),INDEX(lmic_raw_ub[],MATCH($A388,lmic_raw_ub[[setting]:[setting]],0), MATCH(AT$277, lmic_raw_ub[#Headers],0)))</f>
        <v>0.10743559202287832</v>
      </c>
      <c r="AU388" s="84">
        <f>IF(INDEX(lmic_raw_ub[],MATCH($A388,lmic_raw_ub[[setting]:[setting]],0), MATCH(AU$277, lmic_raw_ub[#Headers],0))=0, INDEX(regions_ub[], MATCH($D388, regions_ub[[setting]:[setting]],0), MATCH(AU$139, regions_ub[#Headers],0)),INDEX(lmic_raw_ub[],MATCH($A388,lmic_raw_ub[[setting]:[setting]],0), MATCH(AU$277, lmic_raw_ub[#Headers],0)))</f>
        <v>0.13869881855098729</v>
      </c>
      <c r="AV388" s="84">
        <f>IF(INDEX(lmic_raw_ub[],MATCH($A388,lmic_raw_ub[[setting]:[setting]],0), MATCH(AV$277, lmic_raw_ub[#Headers],0))=0, INDEX(regions_ub[], MATCH($D388, regions_ub[[setting]:[setting]],0), MATCH(AV$139, regions_ub[#Headers],0)),INDEX(lmic_raw_ub[],MATCH($A388,lmic_raw_ub[[setting]:[setting]],0), MATCH(AV$277, lmic_raw_ub[#Headers],0)))</f>
        <v>0.16592720278338602</v>
      </c>
      <c r="AW388" s="84">
        <f>IF(INDEX(lmic_raw_ub[],MATCH($A388,lmic_raw_ub[[setting]:[setting]],0), MATCH(AW$277, lmic_raw_ub[#Headers],0))=0, INDEX(regions_ub[], MATCH($D388, regions_ub[[setting]:[setting]],0), MATCH(AW$139, regions_ub[#Headers],0)),INDEX(lmic_raw_ub[],MATCH($A388,lmic_raw_ub[[setting]:[setting]],0), MATCH(AW$277, lmic_raw_ub[#Headers],0)))</f>
        <v>0.18436709774762539</v>
      </c>
      <c r="AX388" s="84">
        <f>IF(INDEX(lmic_raw_ub[],MATCH($A388,lmic_raw_ub[[setting]:[setting]],0), MATCH(AX$277, lmic_raw_ub[#Headers],0))=0, INDEX(regions_ub[], MATCH($D388, regions_ub[[setting]:[setting]],0), MATCH(AX$139, regions_ub[#Headers],0)),INDEX(lmic_raw_ub[],MATCH($A388,lmic_raw_ub[[setting]:[setting]],0), MATCH(AX$277, lmic_raw_ub[#Headers],0)))</f>
        <v>59.788050000000005</v>
      </c>
      <c r="AY388" s="33" t="str">
        <f>IF(VLOOKUP(lmics_ub[[#This Row],[setting]],lmic_raw_ub[],11,FALSE)=0, "Yes", "No")</f>
        <v>Yes</v>
      </c>
    </row>
    <row r="389" spans="1:51" x14ac:dyDescent="0.25">
      <c r="A389" s="110" t="s">
        <v>136</v>
      </c>
      <c r="B389" s="104" t="s">
        <v>514</v>
      </c>
      <c r="C389" s="105">
        <v>710</v>
      </c>
      <c r="D389" s="84" t="s">
        <v>677</v>
      </c>
      <c r="E389" s="84" t="s">
        <v>594</v>
      </c>
      <c r="F389" s="84" t="s">
        <v>667</v>
      </c>
      <c r="G389" s="84" t="s">
        <v>676</v>
      </c>
      <c r="J389" s="84">
        <f>IF(INDEX(lmic_raw_ub[],MATCH($A389,lmic_raw_ub[[setting]:[setting]],0), MATCH(J$277, lmic_raw_ub[#Headers],0))=0, INDEX(regions_ub[], MATCH($D389, regions_ub[[setting]:[setting]],0), MATCH(J$139, regions_ub[#Headers],0)),INDEX(lmic_raw_ub[],MATCH($A389,lmic_raw_ub[[setting]:[setting]],0), MATCH(J$277, lmic_raw_ub[#Headers],0)))</f>
        <v>0.99990000000000001</v>
      </c>
      <c r="K389" s="84">
        <f>IF(INDEX(lmic_raw_ub[],MATCH($A389,lmic_raw_ub[[setting]:[setting]],0), MATCH(K$277, lmic_raw_ub[#Headers],0))=0, INDEX(regions_ub[], MATCH($D389, regions_ub[[setting]:[setting]],0), MATCH(K$139, regions_ub[#Headers],0)),INDEX(lmic_raw_ub[],MATCH($A389,lmic_raw_ub[[setting]:[setting]],0), MATCH(K$277, lmic_raw_ub[#Headers],0)))</f>
        <v>0.71433037619548323</v>
      </c>
      <c r="L389" s="84">
        <f>IF(INDEX(lmic_raw_ub[],MATCH($A389,lmic_raw_ub[[setting]:[setting]],0), MATCH(L$277, lmic_raw_ub[#Headers],0))=0, INDEX(regions_ub[], MATCH($D389, regions_ub[[setting]:[setting]],0), MATCH(L$139, regions_ub[#Headers],0)),INDEX(lmic_raw_ub[],MATCH($A389,lmic_raw_ub[[setting]:[setting]],0), MATCH(L$277, lmic_raw_ub[#Headers],0)))</f>
        <v>0.80850000000000011</v>
      </c>
      <c r="M389" s="84">
        <f>IF(INDEX(lmic_raw_ub[],MATCH($A389,lmic_raw_ub[[setting]:[setting]],0), MATCH(M$277, lmic_raw_ub[#Headers],0))=0, INDEX(regions_ub[], MATCH($D389, regions_ub[[setting]:[setting]],0), MATCH(M$139, regions_ub[#Headers],0)),INDEX(lmic_raw_ub[],MATCH($A389,lmic_raw_ub[[setting]:[setting]],0), MATCH(M$277, lmic_raw_ub[#Headers],0)))</f>
        <v>4.7699999999999992E-2</v>
      </c>
      <c r="N389" s="84">
        <f>IF(INDEX(lmic_raw_ub[],MATCH($A389,lmic_raw_ub[[setting]:[setting]],0), MATCH(N$277, lmic_raw_ub[#Headers],0))=0, INDEX(regions_ub[], MATCH($D389, regions_ub[[setting]:[setting]],0), MATCH(N$139, regions_ub[#Headers],0)),INDEX(lmic_raw_ub[],MATCH($A389,lmic_raw_ub[[setting]:[setting]],0), MATCH(N$277, lmic_raw_ub[#Headers],0)))</f>
        <v>0.3679</v>
      </c>
      <c r="O389" s="84">
        <f>IF(INDEX(lmic_raw_ub[],MATCH($A389,lmic_raw_ub[[setting]:[setting]],0), MATCH(O$277, lmic_raw_ub[#Headers],0))=0, INDEX(regions_ub[], MATCH($D389, regions_ub[[setting]:[setting]],0), MATCH(O$139, regions_ub[#Headers],0)),INDEX(lmic_raw_ub[],MATCH($A389,lmic_raw_ub[[setting]:[setting]],0), MATCH(O$277, lmic_raw_ub[#Headers],0)))</f>
        <v>0.74399999999999999</v>
      </c>
      <c r="P389" s="84">
        <f>IF(INDEX(lmic_raw_ub[],MATCH($A389,lmic_raw_ub[[setting]:[setting]],0), MATCH(P$277, lmic_raw_ub[#Headers],0))=0, INDEX(regions_ub[], MATCH($D389, regions_ub[[setting]:[setting]],0), MATCH(P$139, regions_ub[#Headers],0)),INDEX(lmic_raw_ub[],MATCH($A389,lmic_raw_ub[[setting]:[setting]],0), MATCH(P$277, lmic_raw_ub[#Headers],0)))</f>
        <v>0.13300000000000001</v>
      </c>
      <c r="Q389" s="84">
        <f>IF(INDEX(lmic_raw_ub[],MATCH($A389,lmic_raw_ub[[setting]:[setting]],0), MATCH(Q$277, lmic_raw_ub[#Headers],0))=0, INDEX(regions_ub[], MATCH($D389, regions_ub[[setting]:[setting]],0), MATCH(Q$139, regions_ub[#Headers],0)),INDEX(lmic_raw_ub[],MATCH($A389,lmic_raw_ub[[setting]:[setting]],0), MATCH(Q$277, lmic_raw_ub[#Headers],0)))</f>
        <v>13.072742140174086</v>
      </c>
      <c r="R389" s="84">
        <f>IF(INDEX(lmic_raw_ub[],MATCH($A389,lmic_raw_ub[[setting]:[setting]],0), MATCH(R$277, lmic_raw_ub[#Headers],0))=0, INDEX(regions_ub[], MATCH($D389, regions_ub[[setting]:[setting]],0), MATCH(R$139, regions_ub[#Headers],0)),INDEX(lmic_raw_ub[],MATCH($A389,lmic_raw_ub[[setting]:[setting]],0), MATCH(R$277, lmic_raw_ub[#Headers],0)))</f>
        <v>31.416525000000004</v>
      </c>
      <c r="S389" s="84">
        <f>IF(INDEX(lmic_raw_ub[],MATCH($A389,lmic_raw_ub[[setting]:[setting]],0), MATCH(S$277, lmic_raw_ub[#Headers],0))=0, INDEX(regions_ub[], MATCH($D389, regions_ub[[setting]:[setting]],0), MATCH(S$139, regions_ub[#Headers],0)),INDEX(lmic_raw_ub[],MATCH($A389,lmic_raw_ub[[setting]:[setting]],0), MATCH(S$277, lmic_raw_ub[#Headers],0)))</f>
        <v>81.545625000000015</v>
      </c>
      <c r="T389" s="84">
        <f>IF(INDEX(lmic_raw_ub[],MATCH($A389,lmic_raw_ub[[setting]:[setting]],0), MATCH(T$277, lmic_raw_ub[#Headers],0))=0, INDEX(regions_ub[], MATCH($D389, regions_ub[[setting]:[setting]],0), MATCH(T$139, regions_ub[#Headers],0)),INDEX(lmic_raw_ub[],MATCH($A389,lmic_raw_ub[[setting]:[setting]],0), MATCH(T$277, lmic_raw_ub[#Headers],0)))</f>
        <v>81.545625000000015</v>
      </c>
      <c r="U389" s="84">
        <f>IF(INDEX(lmic_raw_ub[],MATCH($A389,lmic_raw_ub[[setting]:[setting]],0), MATCH(U$277, lmic_raw_ub[#Headers],0))=0, INDEX(regions_ub[], MATCH($D389, regions_ub[[setting]:[setting]],0), MATCH(U$139, regions_ub[#Headers],0)),INDEX(lmic_raw_ub[],MATCH($A389,lmic_raw_ub[[setting]:[setting]],0), MATCH(U$277, lmic_raw_ub[#Headers],0)))</f>
        <v>81.545625000000015</v>
      </c>
      <c r="V389" s="84">
        <f>IF(INDEX(lmic_raw_ub[],MATCH($A389,lmic_raw_ub[[setting]:[setting]],0), MATCH(V$277, lmic_raw_ub[#Headers],0))=0, INDEX(regions_ub[], MATCH($D389, regions_ub[[setting]:[setting]],0), MATCH(V$139, regions_ub[#Headers],0)),INDEX(lmic_raw_ub[],MATCH($A389,lmic_raw_ub[[setting]:[setting]],0), MATCH(V$277, lmic_raw_ub[#Headers],0)))</f>
        <v>5.6214750777235043</v>
      </c>
      <c r="W389" s="84">
        <f>IF(INDEX(lmic_raw_ub[],MATCH($A389,lmic_raw_ub[[setting]:[setting]],0), MATCH(W$277, lmic_raw_ub[#Headers],0))=0, INDEX(regions_ub[], MATCH($D389, regions_ub[[setting]:[setting]],0), MATCH(W$139, regions_ub[#Headers],0)),INDEX(lmic_raw_ub[],MATCH($A389,lmic_raw_ub[[setting]:[setting]],0), MATCH(W$277, lmic_raw_ub[#Headers],0)))</f>
        <v>10.691610077723505</v>
      </c>
      <c r="X389" s="84">
        <f>IF(INDEX(lmic_raw_ub[],MATCH($A389,lmic_raw_ub[[setting]:[setting]],0), MATCH(X$277, lmic_raw_ub[#Headers],0))=0, INDEX(regions_ub[], MATCH($D389, regions_ub[[setting]:[setting]],0), MATCH(X$139, regions_ub[#Headers],0)),INDEX(lmic_raw_ub[],MATCH($A389,lmic_raw_ub[[setting]:[setting]],0), MATCH(X$277, lmic_raw_ub[#Headers],0)))</f>
        <v>5.101837683987303</v>
      </c>
      <c r="Y389" s="84">
        <f>IF(INDEX(lmic_raw_ub[],MATCH($A389,lmic_raw_ub[[setting]:[setting]],0), MATCH(Y$277, lmic_raw_ub[#Headers],0))=0, INDEX(regions_ub[], MATCH($D389, regions_ub[[setting]:[setting]],0), MATCH(Y$139, regions_ub[#Headers],0)),INDEX(lmic_raw_ub[],MATCH($A389,lmic_raw_ub[[setting]:[setting]],0), MATCH(Y$277, lmic_raw_ub[#Headers],0)))</f>
        <v>10.171972683987303</v>
      </c>
      <c r="Z389" s="84">
        <f>IF(INDEX(lmic_raw_ub[],MATCH($A389,lmic_raw_ub[[setting]:[setting]],0), MATCH(Z$277, lmic_raw_ub[#Headers],0))=0, INDEX(regions_ub[], MATCH($D389, regions_ub[[setting]:[setting]],0), MATCH(Z$139, regions_ub[#Headers],0)),INDEX(lmic_raw_ub[],MATCH($A389,lmic_raw_ub[[setting]:[setting]],0), MATCH(Z$277, lmic_raw_ub[#Headers],0)))</f>
        <v>10.15151469462387</v>
      </c>
      <c r="AA389" s="84">
        <f>IF(INDEX(lmic_raw_ub[],MATCH($A389,lmic_raw_ub[[setting]:[setting]],0), MATCH(AA$277, lmic_raw_ub[#Headers],0))=0, INDEX(regions_ub[], MATCH($D389, regions_ub[[setting]:[setting]],0), MATCH(AA$139, regions_ub[#Headers],0)),INDEX(lmic_raw_ub[],MATCH($A389,lmic_raw_ub[[setting]:[setting]],0), MATCH(AA$277, lmic_raw_ub[#Headers],0)))</f>
        <v>5.8955040229453646</v>
      </c>
      <c r="AB389" s="84">
        <f>IF(INDEX(lmic_raw_ub[],MATCH($A389,lmic_raw_ub[[setting]:[setting]],0), MATCH(AB$277, lmic_raw_ub[#Headers],0))=0, INDEX(regions_ub[], MATCH($D389, regions_ub[[setting]:[setting]],0), MATCH(AB$139, regions_ub[#Headers],0)),INDEX(lmic_raw_ub[],MATCH($A389,lmic_raw_ub[[setting]:[setting]],0), MATCH(AB$277, lmic_raw_ub[#Headers],0)))</f>
        <v>10.965639022945364</v>
      </c>
      <c r="AC389" s="84">
        <f>IF(INDEX(lmic_raw_ub[],MATCH($A389,lmic_raw_ub[[setting]:[setting]],0), MATCH(AC$277, lmic_raw_ub[#Headers],0))=0, INDEX(regions_ub[], MATCH($D389, regions_ub[[setting]:[setting]],0), MATCH(AC$139, regions_ub[#Headers],0)),INDEX(lmic_raw_ub[],MATCH($A389,lmic_raw_ub[[setting]:[setting]],0), MATCH(AC$277, lmic_raw_ub[#Headers],0)))</f>
        <v>2.8606199999999939E-2</v>
      </c>
      <c r="AD389" s="84">
        <f>IF(INDEX(lmic_raw_ub[],MATCH($A389,lmic_raw_ub[[setting]:[setting]],0), MATCH(AD$277, lmic_raw_ub[#Headers],0))=0, INDEX(regions_ub[], MATCH($D389, regions_ub[[setting]:[setting]],0), MATCH(AD$139, regions_ub[#Headers],0)),INDEX(lmic_raw_ub[],MATCH($A389,lmic_raw_ub[[setting]:[setting]],0), MATCH(AD$277, lmic_raw_ub[#Headers],0)))</f>
        <v>2.2162985887519871E-3</v>
      </c>
      <c r="AE389" s="84">
        <f>IF(INDEX(lmic_raw_ub[],MATCH($A389,lmic_raw_ub[[setting]:[setting]],0), MATCH(AE$277, lmic_raw_ub[#Headers],0))=0, INDEX(regions_ub[], MATCH($D389, regions_ub[[setting]:[setting]],0), MATCH(AE$139, regions_ub[#Headers],0)),INDEX(lmic_raw_ub[],MATCH($A389,lmic_raw_ub[[setting]:[setting]],0), MATCH(AE$277, lmic_raw_ub[#Headers],0)))</f>
        <v>9.4688471010382226E-4</v>
      </c>
      <c r="AF389" s="84">
        <f>IF(INDEX(lmic_raw_ub[],MATCH($A389,lmic_raw_ub[[setting]:[setting]],0), MATCH(AF$277, lmic_raw_ub[#Headers],0))=0, INDEX(regions_ub[], MATCH($D389, regions_ub[[setting]:[setting]],0), MATCH(AF$139, regions_ub[#Headers],0)),INDEX(lmic_raw_ub[],MATCH($A389,lmic_raw_ub[[setting]:[setting]],0), MATCH(AF$277, lmic_raw_ub[#Headers],0)))</f>
        <v>7.912667595840403E-4</v>
      </c>
      <c r="AG389" s="84">
        <f>IF(INDEX(lmic_raw_ub[],MATCH($A389,lmic_raw_ub[[setting]:[setting]],0), MATCH(AG$277, lmic_raw_ub[#Headers],0))=0, INDEX(regions_ub[], MATCH($D389, regions_ub[[setting]:[setting]],0), MATCH(AG$139, regions_ub[#Headers],0)),INDEX(lmic_raw_ub[],MATCH($A389,lmic_raw_ub[[setting]:[setting]],0), MATCH(AG$277, lmic_raw_ub[#Headers],0)))</f>
        <v>1.3459613185123713E-3</v>
      </c>
      <c r="AH389" s="84">
        <f>IF(INDEX(lmic_raw_ub[],MATCH($A389,lmic_raw_ub[[setting]:[setting]],0), MATCH(AH$277, lmic_raw_ub[#Headers],0))=0, INDEX(regions_ub[], MATCH($D389, regions_ub[[setting]:[setting]],0), MATCH(AH$139, regions_ub[#Headers],0)),INDEX(lmic_raw_ub[],MATCH($A389,lmic_raw_ub[[setting]:[setting]],0), MATCH(AH$277, lmic_raw_ub[#Headers],0)))</f>
        <v>2.4006147815552798E-3</v>
      </c>
      <c r="AI389" s="84">
        <f>IF(INDEX(lmic_raw_ub[],MATCH($A389,lmic_raw_ub[[setting]:[setting]],0), MATCH(AI$277, lmic_raw_ub[#Headers],0))=0, INDEX(regions_ub[], MATCH($D389, regions_ub[[setting]:[setting]],0), MATCH(AI$139, regions_ub[#Headers],0)),INDEX(lmic_raw_ub[],MATCH($A389,lmic_raw_ub[[setting]:[setting]],0), MATCH(AI$277, lmic_raw_ub[#Headers],0)))</f>
        <v>4.0183005192001272E-3</v>
      </c>
      <c r="AJ389" s="84">
        <f>IF(INDEX(lmic_raw_ub[],MATCH($A389,lmic_raw_ub[[setting]:[setting]],0), MATCH(AJ$277, lmic_raw_ub[#Headers],0))=0, INDEX(regions_ub[], MATCH($D389, regions_ub[[setting]:[setting]],0), MATCH(AJ$139, regions_ub[#Headers],0)),INDEX(lmic_raw_ub[],MATCH($A389,lmic_raw_ub[[setting]:[setting]],0), MATCH(AJ$277, lmic_raw_ub[#Headers],0)))</f>
        <v>5.8643878156156119E-3</v>
      </c>
      <c r="AK389" s="84">
        <f>IF(INDEX(lmic_raw_ub[],MATCH($A389,lmic_raw_ub[[setting]:[setting]],0), MATCH(AK$277, lmic_raw_ub[#Headers],0))=0, INDEX(regions_ub[], MATCH($D389, regions_ub[[setting]:[setting]],0), MATCH(AK$139, regions_ub[#Headers],0)),INDEX(lmic_raw_ub[],MATCH($A389,lmic_raw_ub[[setting]:[setting]],0), MATCH(AK$277, lmic_raw_ub[#Headers],0)))</f>
        <v>8.5270908134880488E-3</v>
      </c>
      <c r="AL389" s="84">
        <f>IF(INDEX(lmic_raw_ub[],MATCH($A389,lmic_raw_ub[[setting]:[setting]],0), MATCH(AL$277, lmic_raw_ub[#Headers],0))=0, INDEX(regions_ub[], MATCH($D389, regions_ub[[setting]:[setting]],0), MATCH(AL$139, regions_ub[#Headers],0)),INDEX(lmic_raw_ub[],MATCH($A389,lmic_raw_ub[[setting]:[setting]],0), MATCH(AL$277, lmic_raw_ub[#Headers],0)))</f>
        <v>1.0266067652798527E-2</v>
      </c>
      <c r="AM389" s="84">
        <f>IF(INDEX(lmic_raw_ub[],MATCH($A389,lmic_raw_ub[[setting]:[setting]],0), MATCH(AM$277, lmic_raw_ub[#Headers],0))=0, INDEX(regions_ub[], MATCH($D389, regions_ub[[setting]:[setting]],0), MATCH(AM$139, regions_ub[#Headers],0)),INDEX(lmic_raw_ub[],MATCH($A389,lmic_raw_ub[[setting]:[setting]],0), MATCH(AM$277, lmic_raw_ub[#Headers],0)))</f>
        <v>1.2304175486549256E-2</v>
      </c>
      <c r="AN389" s="84">
        <f>IF(INDEX(lmic_raw_ub[],MATCH($A389,lmic_raw_ub[[setting]:[setting]],0), MATCH(AN$277, lmic_raw_ub[#Headers],0))=0, INDEX(regions_ub[], MATCH($D389, regions_ub[[setting]:[setting]],0), MATCH(AN$139, regions_ub[#Headers],0)),INDEX(lmic_raw_ub[],MATCH($A389,lmic_raw_ub[[setting]:[setting]],0), MATCH(AN$277, lmic_raw_ub[#Headers],0)))</f>
        <v>1.4934540254836134E-2</v>
      </c>
      <c r="AO389" s="84">
        <f>IF(INDEX(lmic_raw_ub[],MATCH($A389,lmic_raw_ub[[setting]:[setting]],0), MATCH(AO$277, lmic_raw_ub[#Headers],0))=0, INDEX(regions_ub[], MATCH($D389, regions_ub[[setting]:[setting]],0), MATCH(AO$139, regions_ub[#Headers],0)),INDEX(lmic_raw_ub[],MATCH($A389,lmic_raw_ub[[setting]:[setting]],0), MATCH(AO$277, lmic_raw_ub[#Headers],0)))</f>
        <v>1.8188427398020967E-2</v>
      </c>
      <c r="AP389" s="84">
        <f>IF(INDEX(lmic_raw_ub[],MATCH($A389,lmic_raw_ub[[setting]:[setting]],0), MATCH(AP$277, lmic_raw_ub[#Headers],0))=0, INDEX(regions_ub[], MATCH($D389, regions_ub[[setting]:[setting]],0), MATCH(AP$139, regions_ub[#Headers],0)),INDEX(lmic_raw_ub[],MATCH($A389,lmic_raw_ub[[setting]:[setting]],0), MATCH(AP$277, lmic_raw_ub[#Headers],0)))</f>
        <v>2.4086398569404636E-2</v>
      </c>
      <c r="AQ389" s="84">
        <f>IF(INDEX(lmic_raw_ub[],MATCH($A389,lmic_raw_ub[[setting]:[setting]],0), MATCH(AQ$277, lmic_raw_ub[#Headers],0))=0, INDEX(regions_ub[], MATCH($D389, regions_ub[[setting]:[setting]],0), MATCH(AQ$139, regions_ub[#Headers],0)),INDEX(lmic_raw_ub[],MATCH($A389,lmic_raw_ub[[setting]:[setting]],0), MATCH(AQ$277, lmic_raw_ub[#Headers],0)))</f>
        <v>3.3869117629657247E-2</v>
      </c>
      <c r="AR389" s="84">
        <f>IF(INDEX(lmic_raw_ub[],MATCH($A389,lmic_raw_ub[[setting]:[setting]],0), MATCH(AR$277, lmic_raw_ub[#Headers],0))=0, INDEX(regions_ub[], MATCH($D389, regions_ub[[setting]:[setting]],0), MATCH(AR$139, regions_ub[#Headers],0)),INDEX(lmic_raw_ub[],MATCH($A389,lmic_raw_ub[[setting]:[setting]],0), MATCH(AR$277, lmic_raw_ub[#Headers],0)))</f>
        <v>4.9334354700535717E-2</v>
      </c>
      <c r="AS389" s="84">
        <f>IF(INDEX(lmic_raw_ub[],MATCH($A389,lmic_raw_ub[[setting]:[setting]],0), MATCH(AS$277, lmic_raw_ub[#Headers],0))=0, INDEX(regions_ub[], MATCH($D389, regions_ub[[setting]:[setting]],0), MATCH(AS$139, regions_ub[#Headers],0)),INDEX(lmic_raw_ub[],MATCH($A389,lmic_raw_ub[[setting]:[setting]],0), MATCH(AS$277, lmic_raw_ub[#Headers],0)))</f>
        <v>7.2290709623683586E-2</v>
      </c>
      <c r="AT389" s="84">
        <f>IF(INDEX(lmic_raw_ub[],MATCH($A389,lmic_raw_ub[[setting]:[setting]],0), MATCH(AT$277, lmic_raw_ub[#Headers],0))=0, INDEX(regions_ub[], MATCH($D389, regions_ub[[setting]:[setting]],0), MATCH(AT$139, regions_ub[#Headers],0)),INDEX(lmic_raw_ub[],MATCH($A389,lmic_raw_ub[[setting]:[setting]],0), MATCH(AT$277, lmic_raw_ub[#Headers],0)))</f>
        <v>0.10795071348991744</v>
      </c>
      <c r="AU389" s="84">
        <f>IF(INDEX(lmic_raw_ub[],MATCH($A389,lmic_raw_ub[[setting]:[setting]],0), MATCH(AU$277, lmic_raw_ub[#Headers],0))=0, INDEX(regions_ub[], MATCH($D389, regions_ub[[setting]:[setting]],0), MATCH(AU$139, regions_ub[#Headers],0)),INDEX(lmic_raw_ub[],MATCH($A389,lmic_raw_ub[[setting]:[setting]],0), MATCH(AU$277, lmic_raw_ub[#Headers],0)))</f>
        <v>0.15085278205046967</v>
      </c>
      <c r="AV389" s="84">
        <f>IF(INDEX(lmic_raw_ub[],MATCH($A389,lmic_raw_ub[[setting]:[setting]],0), MATCH(AV$277, lmic_raw_ub[#Headers],0))=0, INDEX(regions_ub[], MATCH($D389, regions_ub[[setting]:[setting]],0), MATCH(AV$139, regions_ub[#Headers],0)),INDEX(lmic_raw_ub[],MATCH($A389,lmic_raw_ub[[setting]:[setting]],0), MATCH(AV$277, lmic_raw_ub[#Headers],0)))</f>
        <v>0.18455128490027262</v>
      </c>
      <c r="AW389" s="84">
        <f>IF(INDEX(lmic_raw_ub[],MATCH($A389,lmic_raw_ub[[setting]:[setting]],0), MATCH(AW$277, lmic_raw_ub[#Headers],0))=0, INDEX(regions_ub[], MATCH($D389, regions_ub[[setting]:[setting]],0), MATCH(AW$139, regions_ub[#Headers],0)),INDEX(lmic_raw_ub[],MATCH($A389,lmic_raw_ub[[setting]:[setting]],0), MATCH(AW$277, lmic_raw_ub[#Headers],0)))</f>
        <v>0.19669053317647764</v>
      </c>
      <c r="AX389" s="84">
        <f>IF(INDEX(lmic_raw_ub[],MATCH($A389,lmic_raw_ub[[setting]:[setting]],0), MATCH(AX$277, lmic_raw_ub[#Headers],0))=0, INDEX(regions_ub[], MATCH($D389, regions_ub[[setting]:[setting]],0), MATCH(AX$139, regions_ub[#Headers],0)),INDEX(lmic_raw_ub[],MATCH($A389,lmic_raw_ub[[setting]:[setting]],0), MATCH(AX$277, lmic_raw_ub[#Headers],0)))</f>
        <v>66.795749999999998</v>
      </c>
      <c r="AY389" s="33" t="str">
        <f>IF(VLOOKUP(lmics_ub[[#This Row],[setting]],lmic_raw_ub[],11,FALSE)=0, "Yes", "No")</f>
        <v>Yes</v>
      </c>
    </row>
    <row r="390" spans="1:51" x14ac:dyDescent="0.25">
      <c r="A390" s="109" t="s">
        <v>116</v>
      </c>
      <c r="B390" s="101" t="s">
        <v>515</v>
      </c>
      <c r="C390" s="102">
        <v>728</v>
      </c>
      <c r="D390" s="82" t="s">
        <v>677</v>
      </c>
      <c r="E390" s="82" t="s">
        <v>597</v>
      </c>
      <c r="F390" s="82" t="s">
        <v>667</v>
      </c>
      <c r="G390" s="82" t="s">
        <v>674</v>
      </c>
      <c r="J390" s="84">
        <f>IF(INDEX(lmic_raw_ub[],MATCH($A390,lmic_raw_ub[[setting]:[setting]],0), MATCH(J$277, lmic_raw_ub[#Headers],0))=0, INDEX(regions_ub[], MATCH($D390, regions_ub[[setting]:[setting]],0), MATCH(J$139, regions_ub[#Headers],0)),INDEX(lmic_raw_ub[],MATCH($A390,lmic_raw_ub[[setting]:[setting]],0), MATCH(J$277, lmic_raw_ub[#Headers],0)))</f>
        <v>0.12075000000000001</v>
      </c>
      <c r="K390" s="84">
        <f>IF(INDEX(lmic_raw_ub[],MATCH($A390,lmic_raw_ub[[setting]:[setting]],0), MATCH(K$277, lmic_raw_ub[#Headers],0))=0, INDEX(regions_ub[], MATCH($D390, regions_ub[[setting]:[setting]],0), MATCH(K$139, regions_ub[#Headers],0)),INDEX(lmic_raw_ub[],MATCH($A390,lmic_raw_ub[[setting]:[setting]],0), MATCH(K$277, lmic_raw_ub[#Headers],0)))</f>
        <v>0.71433037619548323</v>
      </c>
      <c r="L390" s="84">
        <f>IF(INDEX(lmic_raw_ub[],MATCH($A390,lmic_raw_ub[[setting]:[setting]],0), MATCH(L$277, lmic_raw_ub[#Headers],0))=0, INDEX(regions_ub[], MATCH($D390, regions_ub[[setting]:[setting]],0), MATCH(L$139, regions_ub[#Headers],0)),INDEX(lmic_raw_ub[],MATCH($A390,lmic_raw_ub[[setting]:[setting]],0), MATCH(L$277, lmic_raw_ub[#Headers],0)))</f>
        <v>0.51449999999999996</v>
      </c>
      <c r="M390" s="84">
        <f>IF(INDEX(lmic_raw_ub[],MATCH($A390,lmic_raw_ub[[setting]:[setting]],0), MATCH(M$277, lmic_raw_ub[#Headers],0))=0, INDEX(regions_ub[], MATCH($D390, regions_ub[[setting]:[setting]],0), MATCH(M$139, regions_ub[#Headers],0)),INDEX(lmic_raw_ub[],MATCH($A390,lmic_raw_ub[[setting]:[setting]],0), MATCH(M$277, lmic_raw_ub[#Headers],0)))</f>
        <v>0.26629999999999998</v>
      </c>
      <c r="N390" s="84">
        <f>IF(INDEX(lmic_raw_ub[],MATCH($A390,lmic_raw_ub[[setting]:[setting]],0), MATCH(N$277, lmic_raw_ub[#Headers],0))=0, INDEX(regions_ub[], MATCH($D390, regions_ub[[setting]:[setting]],0), MATCH(N$139, regions_ub[#Headers],0)),INDEX(lmic_raw_ub[],MATCH($A390,lmic_raw_ub[[setting]:[setting]],0), MATCH(N$277, lmic_raw_ub[#Headers],0)))</f>
        <v>0.39960000000000001</v>
      </c>
      <c r="O390" s="84">
        <f>IF(INDEX(lmic_raw_ub[],MATCH($A390,lmic_raw_ub[[setting]:[setting]],0), MATCH(O$277, lmic_raw_ub[#Headers],0))=0, INDEX(regions_ub[], MATCH($D390, regions_ub[[setting]:[setting]],0), MATCH(O$139, regions_ub[#Headers],0)),INDEX(lmic_raw_ub[],MATCH($A390,lmic_raw_ub[[setting]:[setting]],0), MATCH(O$277, lmic_raw_ub[#Headers],0)))</f>
        <v>0.74399999999999999</v>
      </c>
      <c r="P390" s="84">
        <f>IF(INDEX(lmic_raw_ub[],MATCH($A390,lmic_raw_ub[[setting]:[setting]],0), MATCH(P$277, lmic_raw_ub[#Headers],0))=0, INDEX(regions_ub[], MATCH($D390, regions_ub[[setting]:[setting]],0), MATCH(P$139, regions_ub[#Headers],0)),INDEX(lmic_raw_ub[],MATCH($A390,lmic_raw_ub[[setting]:[setting]],0), MATCH(P$277, lmic_raw_ub[#Headers],0)))</f>
        <v>0.13300000000000001</v>
      </c>
      <c r="Q390" s="84">
        <f>IF(INDEX(lmic_raw_ub[],MATCH($A390,lmic_raw_ub[[setting]:[setting]],0), MATCH(Q$277, lmic_raw_ub[#Headers],0))=0, INDEX(regions_ub[], MATCH($D390, regions_ub[[setting]:[setting]],0), MATCH(Q$139, regions_ub[#Headers],0)),INDEX(lmic_raw_ub[],MATCH($A390,lmic_raw_ub[[setting]:[setting]],0), MATCH(Q$277, lmic_raw_ub[#Headers],0)))</f>
        <v>4.8907647106941052</v>
      </c>
      <c r="R390" s="84">
        <f>IF(INDEX(lmic_raw_ub[],MATCH($A390,lmic_raw_ub[[setting]:[setting]],0), MATCH(R$277, lmic_raw_ub[#Headers],0))=0, INDEX(regions_ub[], MATCH($D390, regions_ub[[setting]:[setting]],0), MATCH(R$139, regions_ub[#Headers],0)),INDEX(lmic_raw_ub[],MATCH($A390,lmic_raw_ub[[setting]:[setting]],0), MATCH(R$277, lmic_raw_ub[#Headers],0)))</f>
        <v>31.416525000000004</v>
      </c>
      <c r="S390" s="84">
        <f>IF(INDEX(lmic_raw_ub[],MATCH($A390,lmic_raw_ub[[setting]:[setting]],0), MATCH(S$277, lmic_raw_ub[#Headers],0))=0, INDEX(regions_ub[], MATCH($D390, regions_ub[[setting]:[setting]],0), MATCH(S$139, regions_ub[#Headers],0)),INDEX(lmic_raw_ub[],MATCH($A390,lmic_raw_ub[[setting]:[setting]],0), MATCH(S$277, lmic_raw_ub[#Headers],0)))</f>
        <v>81.545625000000015</v>
      </c>
      <c r="T390" s="84">
        <f>IF(INDEX(lmic_raw_ub[],MATCH($A390,lmic_raw_ub[[setting]:[setting]],0), MATCH(T$277, lmic_raw_ub[#Headers],0))=0, INDEX(regions_ub[], MATCH($D390, regions_ub[[setting]:[setting]],0), MATCH(T$139, regions_ub[#Headers],0)),INDEX(lmic_raw_ub[],MATCH($A390,lmic_raw_ub[[setting]:[setting]],0), MATCH(T$277, lmic_raw_ub[#Headers],0)))</f>
        <v>81.545625000000015</v>
      </c>
      <c r="U390" s="84">
        <f>IF(INDEX(lmic_raw_ub[],MATCH($A390,lmic_raw_ub[[setting]:[setting]],0), MATCH(U$277, lmic_raw_ub[#Headers],0))=0, INDEX(regions_ub[], MATCH($D390, regions_ub[[setting]:[setting]],0), MATCH(U$139, regions_ub[#Headers],0)),INDEX(lmic_raw_ub[],MATCH($A390,lmic_raw_ub[[setting]:[setting]],0), MATCH(U$277, lmic_raw_ub[#Headers],0)))</f>
        <v>81.545625000000015</v>
      </c>
      <c r="V390" s="84">
        <f>IF(INDEX(lmic_raw_ub[],MATCH($A390,lmic_raw_ub[[setting]:[setting]],0), MATCH(V$277, lmic_raw_ub[#Headers],0))=0, INDEX(regions_ub[], MATCH($D390, regions_ub[[setting]:[setting]],0), MATCH(V$139, regions_ub[#Headers],0)),INDEX(lmic_raw_ub[],MATCH($A390,lmic_raw_ub[[setting]:[setting]],0), MATCH(V$277, lmic_raw_ub[#Headers],0)))</f>
        <v>2.6772391812865495</v>
      </c>
      <c r="W390" s="84">
        <f>IF(INDEX(lmic_raw_ub[],MATCH($A390,lmic_raw_ub[[setting]:[setting]],0), MATCH(W$277, lmic_raw_ub[#Headers],0))=0, INDEX(regions_ub[], MATCH($D390, regions_ub[[setting]:[setting]],0), MATCH(W$139, regions_ub[#Headers],0)),INDEX(lmic_raw_ub[],MATCH($A390,lmic_raw_ub[[setting]:[setting]],0), MATCH(W$277, lmic_raw_ub[#Headers],0)))</f>
        <v>7.74737418128655</v>
      </c>
      <c r="X390" s="84">
        <f>IF(INDEX(lmic_raw_ub[],MATCH($A390,lmic_raw_ub[[setting]:[setting]],0), MATCH(X$277, lmic_raw_ub[#Headers],0))=0, INDEX(regions_ub[], MATCH($D390, regions_ub[[setting]:[setting]],0), MATCH(X$139, regions_ub[#Headers],0)),INDEX(lmic_raw_ub[],MATCH($A390,lmic_raw_ub[[setting]:[setting]],0), MATCH(X$277, lmic_raw_ub[#Headers],0)))</f>
        <v>2.1938999999999997</v>
      </c>
      <c r="Y390" s="84">
        <f>IF(INDEX(lmic_raw_ub[],MATCH($A390,lmic_raw_ub[[setting]:[setting]],0), MATCH(Y$277, lmic_raw_ub[#Headers],0))=0, INDEX(regions_ub[], MATCH($D390, regions_ub[[setting]:[setting]],0), MATCH(Y$139, regions_ub[#Headers],0)),INDEX(lmic_raw_ub[],MATCH($A390,lmic_raw_ub[[setting]:[setting]],0), MATCH(Y$277, lmic_raw_ub[#Headers],0)))</f>
        <v>7.2640349999999998</v>
      </c>
      <c r="Z390" s="84">
        <f>IF(INDEX(lmic_raw_ub[],MATCH($A390,lmic_raw_ub[[setting]:[setting]],0), MATCH(Z$277, lmic_raw_ub[#Headers],0))=0, INDEX(regions_ub[], MATCH($D390, regions_ub[[setting]:[setting]],0), MATCH(Z$139, regions_ub[#Headers],0)),INDEX(lmic_raw_ub[],MATCH($A390,lmic_raw_ub[[setting]:[setting]],0), MATCH(Z$277, lmic_raw_ub[#Headers],0)))</f>
        <v>7.2640349999999998</v>
      </c>
      <c r="AA390" s="84">
        <f>IF(INDEX(lmic_raw_ub[],MATCH($A390,lmic_raw_ub[[setting]:[setting]],0), MATCH(AA$277, lmic_raw_ub[#Headers],0))=0, INDEX(regions_ub[], MATCH($D390, regions_ub[[setting]:[setting]],0), MATCH(AA$139, regions_ub[#Headers],0)),INDEX(lmic_raw_ub[],MATCH($A390,lmic_raw_ub[[setting]:[setting]],0), MATCH(AA$277, lmic_raw_ub[#Headers],0)))</f>
        <v>2.9430286549707598</v>
      </c>
      <c r="AB390" s="84">
        <f>IF(INDEX(lmic_raw_ub[],MATCH($A390,lmic_raw_ub[[setting]:[setting]],0), MATCH(AB$277, lmic_raw_ub[#Headers],0))=0, INDEX(regions_ub[], MATCH($D390, regions_ub[[setting]:[setting]],0), MATCH(AB$139, regions_ub[#Headers],0)),INDEX(lmic_raw_ub[],MATCH($A390,lmic_raw_ub[[setting]:[setting]],0), MATCH(AB$277, lmic_raw_ub[#Headers],0)))</f>
        <v>8.0131636549707608</v>
      </c>
      <c r="AC390" s="84">
        <f>IF(INDEX(lmic_raw_ub[],MATCH($A390,lmic_raw_ub[[setting]:[setting]],0), MATCH(AC$277, lmic_raw_ub[#Headers],0))=0, INDEX(regions_ub[], MATCH($D390, regions_ub[[setting]:[setting]],0), MATCH(AC$139, regions_ub[#Headers],0)),INDEX(lmic_raw_ub[],MATCH($A390,lmic_raw_ub[[setting]:[setting]],0), MATCH(AC$277, lmic_raw_ub[#Headers],0)))</f>
        <v>6.7610739000000031E-2</v>
      </c>
      <c r="AD390" s="84">
        <f>IF(INDEX(lmic_raw_ub[],MATCH($A390,lmic_raw_ub[[setting]:[setting]],0), MATCH(AD$277, lmic_raw_ub[#Headers],0))=0, INDEX(regions_ub[], MATCH($D390, regions_ub[[setting]:[setting]],0), MATCH(AD$139, regions_ub[#Headers],0)),INDEX(lmic_raw_ub[],MATCH($A390,lmic_raw_ub[[setting]:[setting]],0), MATCH(AD$277, lmic_raw_ub[#Headers],0)))</f>
        <v>9.5840298673114353E-3</v>
      </c>
      <c r="AE390" s="84">
        <f>IF(INDEX(lmic_raw_ub[],MATCH($A390,lmic_raw_ub[[setting]:[setting]],0), MATCH(AE$277, lmic_raw_ub[#Headers],0))=0, INDEX(regions_ub[], MATCH($D390, regions_ub[[setting]:[setting]],0), MATCH(AE$139, regions_ub[#Headers],0)),INDEX(lmic_raw_ub[],MATCH($A390,lmic_raw_ub[[setting]:[setting]],0), MATCH(AE$277, lmic_raw_ub[#Headers],0)))</f>
        <v>3.9527582247868955E-3</v>
      </c>
      <c r="AF390" s="84">
        <f>IF(INDEX(lmic_raw_ub[],MATCH($A390,lmic_raw_ub[[setting]:[setting]],0), MATCH(AF$277, lmic_raw_ub[#Headers],0))=0, INDEX(regions_ub[], MATCH($D390, regions_ub[[setting]:[setting]],0), MATCH(AF$139, regions_ub[#Headers],0)),INDEX(lmic_raw_ub[],MATCH($A390,lmic_raw_ub[[setting]:[setting]],0), MATCH(AF$277, lmic_raw_ub[#Headers],0)))</f>
        <v>2.4015954567371892E-3</v>
      </c>
      <c r="AG390" s="84">
        <f>IF(INDEX(lmic_raw_ub[],MATCH($A390,lmic_raw_ub[[setting]:[setting]],0), MATCH(AG$277, lmic_raw_ub[#Headers],0))=0, INDEX(regions_ub[], MATCH($D390, regions_ub[[setting]:[setting]],0), MATCH(AG$139, regions_ub[#Headers],0)),INDEX(lmic_raw_ub[],MATCH($A390,lmic_raw_ub[[setting]:[setting]],0), MATCH(AG$277, lmic_raw_ub[#Headers],0)))</f>
        <v>3.0969968380762645E-3</v>
      </c>
      <c r="AH390" s="84">
        <f>IF(INDEX(lmic_raw_ub[],MATCH($A390,lmic_raw_ub[[setting]:[setting]],0), MATCH(AH$277, lmic_raw_ub[#Headers],0))=0, INDEX(regions_ub[], MATCH($D390, regions_ub[[setting]:[setting]],0), MATCH(AH$139, regions_ub[#Headers],0)),INDEX(lmic_raw_ub[],MATCH($A390,lmic_raw_ub[[setting]:[setting]],0), MATCH(AH$277, lmic_raw_ub[#Headers],0)))</f>
        <v>4.2832464488702735E-3</v>
      </c>
      <c r="AI390" s="84">
        <f>IF(INDEX(lmic_raw_ub[],MATCH($A390,lmic_raw_ub[[setting]:[setting]],0), MATCH(AI$277, lmic_raw_ub[#Headers],0))=0, INDEX(regions_ub[], MATCH($D390, regions_ub[[setting]:[setting]],0), MATCH(AI$139, regions_ub[#Headers],0)),INDEX(lmic_raw_ub[],MATCH($A390,lmic_raw_ub[[setting]:[setting]],0), MATCH(AI$277, lmic_raw_ub[#Headers],0)))</f>
        <v>5.7682938288829639E-3</v>
      </c>
      <c r="AJ390" s="84">
        <f>IF(INDEX(lmic_raw_ub[],MATCH($A390,lmic_raw_ub[[setting]:[setting]],0), MATCH(AJ$277, lmic_raw_ub[#Headers],0))=0, INDEX(regions_ub[], MATCH($D390, regions_ub[[setting]:[setting]],0), MATCH(AJ$139, regions_ub[#Headers],0)),INDEX(lmic_raw_ub[],MATCH($A390,lmic_raw_ub[[setting]:[setting]],0), MATCH(AJ$277, lmic_raw_ub[#Headers],0)))</f>
        <v>7.3340173421793031E-3</v>
      </c>
      <c r="AK390" s="84">
        <f>IF(INDEX(lmic_raw_ub[],MATCH($A390,lmic_raw_ub[[setting]:[setting]],0), MATCH(AK$277, lmic_raw_ub[#Headers],0))=0, INDEX(regions_ub[], MATCH($D390, regions_ub[[setting]:[setting]],0), MATCH(AK$139, regions_ub[#Headers],0)),INDEX(lmic_raw_ub[],MATCH($A390,lmic_raw_ub[[setting]:[setting]],0), MATCH(AK$277, lmic_raw_ub[#Headers],0)))</f>
        <v>9.3831486731590797E-3</v>
      </c>
      <c r="AL390" s="84">
        <f>IF(INDEX(lmic_raw_ub[],MATCH($A390,lmic_raw_ub[[setting]:[setting]],0), MATCH(AL$277, lmic_raw_ub[#Headers],0))=0, INDEX(regions_ub[], MATCH($D390, regions_ub[[setting]:[setting]],0), MATCH(AL$139, regions_ub[#Headers],0)),INDEX(lmic_raw_ub[],MATCH($A390,lmic_raw_ub[[setting]:[setting]],0), MATCH(AL$277, lmic_raw_ub[#Headers],0)))</f>
        <v>1.026194369894568E-2</v>
      </c>
      <c r="AM390" s="84">
        <f>IF(INDEX(lmic_raw_ub[],MATCH($A390,lmic_raw_ub[[setting]:[setting]],0), MATCH(AM$277, lmic_raw_ub[#Headers],0))=0, INDEX(regions_ub[], MATCH($D390, regions_ub[[setting]:[setting]],0), MATCH(AM$139, regions_ub[#Headers],0)),INDEX(lmic_raw_ub[],MATCH($A390,lmic_raw_ub[[setting]:[setting]],0), MATCH(AM$277, lmic_raw_ub[#Headers],0)))</f>
        <v>1.138141827364437E-2</v>
      </c>
      <c r="AN390" s="84">
        <f>IF(INDEX(lmic_raw_ub[],MATCH($A390,lmic_raw_ub[[setting]:[setting]],0), MATCH(AN$277, lmic_raw_ub[#Headers],0))=0, INDEX(regions_ub[], MATCH($D390, regions_ub[[setting]:[setting]],0), MATCH(AN$139, regions_ub[#Headers],0)),INDEX(lmic_raw_ub[],MATCH($A390,lmic_raw_ub[[setting]:[setting]],0), MATCH(AN$277, lmic_raw_ub[#Headers],0)))</f>
        <v>1.3429355540567749E-2</v>
      </c>
      <c r="AO390" s="84">
        <f>IF(INDEX(lmic_raw_ub[],MATCH($A390,lmic_raw_ub[[setting]:[setting]],0), MATCH(AO$277, lmic_raw_ub[#Headers],0))=0, INDEX(regions_ub[], MATCH($D390, regions_ub[[setting]:[setting]],0), MATCH(AO$139, regions_ub[#Headers],0)),INDEX(lmic_raw_ub[],MATCH($A390,lmic_raw_ub[[setting]:[setting]],0), MATCH(AO$277, lmic_raw_ub[#Headers],0)))</f>
        <v>1.6589504716475852E-2</v>
      </c>
      <c r="AP390" s="84">
        <f>IF(INDEX(lmic_raw_ub[],MATCH($A390,lmic_raw_ub[[setting]:[setting]],0), MATCH(AP$277, lmic_raw_ub[#Headers],0))=0, INDEX(regions_ub[], MATCH($D390, regions_ub[[setting]:[setting]],0), MATCH(AP$139, regions_ub[#Headers],0)),INDEX(lmic_raw_ub[],MATCH($A390,lmic_raw_ub[[setting]:[setting]],0), MATCH(AP$277, lmic_raw_ub[#Headers],0)))</f>
        <v>2.3611610608705202E-2</v>
      </c>
      <c r="AQ390" s="84">
        <f>IF(INDEX(lmic_raw_ub[],MATCH($A390,lmic_raw_ub[[setting]:[setting]],0), MATCH(AQ$277, lmic_raw_ub[#Headers],0))=0, INDEX(regions_ub[], MATCH($D390, regions_ub[[setting]:[setting]],0), MATCH(AQ$139, regions_ub[#Headers],0)),INDEX(lmic_raw_ub[],MATCH($A390,lmic_raw_ub[[setting]:[setting]],0), MATCH(AQ$277, lmic_raw_ub[#Headers],0)))</f>
        <v>3.3485066060526009E-2</v>
      </c>
      <c r="AR390" s="84">
        <f>IF(INDEX(lmic_raw_ub[],MATCH($A390,lmic_raw_ub[[setting]:[setting]],0), MATCH(AR$277, lmic_raw_ub[#Headers],0))=0, INDEX(regions_ub[], MATCH($D390, regions_ub[[setting]:[setting]],0), MATCH(AR$139, regions_ub[#Headers],0)),INDEX(lmic_raw_ub[],MATCH($A390,lmic_raw_ub[[setting]:[setting]],0), MATCH(AR$277, lmic_raw_ub[#Headers],0)))</f>
        <v>5.0657441272133598E-2</v>
      </c>
      <c r="AS390" s="84">
        <f>IF(INDEX(lmic_raw_ub[],MATCH($A390,lmic_raw_ub[[setting]:[setting]],0), MATCH(AS$277, lmic_raw_ub[#Headers],0))=0, INDEX(regions_ub[], MATCH($D390, regions_ub[[setting]:[setting]],0), MATCH(AS$139, regions_ub[#Headers],0)),INDEX(lmic_raw_ub[],MATCH($A390,lmic_raw_ub[[setting]:[setting]],0), MATCH(AS$277, lmic_raw_ub[#Headers],0)))</f>
        <v>7.4571241111907174E-2</v>
      </c>
      <c r="AT390" s="84">
        <f>IF(INDEX(lmic_raw_ub[],MATCH($A390,lmic_raw_ub[[setting]:[setting]],0), MATCH(AT$277, lmic_raw_ub[#Headers],0))=0, INDEX(regions_ub[], MATCH($D390, regions_ub[[setting]:[setting]],0), MATCH(AT$139, regions_ub[#Headers],0)),INDEX(lmic_raw_ub[],MATCH($A390,lmic_raw_ub[[setting]:[setting]],0), MATCH(AT$277, lmic_raw_ub[#Headers],0)))</f>
        <v>0.10598698143463851</v>
      </c>
      <c r="AU390" s="84">
        <f>IF(INDEX(lmic_raw_ub[],MATCH($A390,lmic_raw_ub[[setting]:[setting]],0), MATCH(AU$277, lmic_raw_ub[#Headers],0))=0, INDEX(regions_ub[], MATCH($D390, regions_ub[[setting]:[setting]],0), MATCH(AU$139, regions_ub[#Headers],0)),INDEX(lmic_raw_ub[],MATCH($A390,lmic_raw_ub[[setting]:[setting]],0), MATCH(AU$277, lmic_raw_ub[#Headers],0)))</f>
        <v>0.13803261548744403</v>
      </c>
      <c r="AV390" s="84">
        <f>IF(INDEX(lmic_raw_ub[],MATCH($A390,lmic_raw_ub[[setting]:[setting]],0), MATCH(AV$277, lmic_raw_ub[#Headers],0))=0, INDEX(regions_ub[], MATCH($D390, regions_ub[[setting]:[setting]],0), MATCH(AV$139, regions_ub[#Headers],0)),INDEX(lmic_raw_ub[],MATCH($A390,lmic_raw_ub[[setting]:[setting]],0), MATCH(AV$277, lmic_raw_ub[#Headers],0)))</f>
        <v>0.16512736638233153</v>
      </c>
      <c r="AW390" s="84">
        <f>IF(INDEX(lmic_raw_ub[],MATCH($A390,lmic_raw_ub[[setting]:[setting]],0), MATCH(AW$277, lmic_raw_ub[#Headers],0))=0, INDEX(regions_ub[], MATCH($D390, regions_ub[[setting]:[setting]],0), MATCH(AW$139, regions_ub[#Headers],0)),INDEX(lmic_raw_ub[],MATCH($A390,lmic_raw_ub[[setting]:[setting]],0), MATCH(AW$277, lmic_raw_ub[#Headers],0)))</f>
        <v>0.18424284045335393</v>
      </c>
      <c r="AX390" s="84">
        <f>IF(INDEX(lmic_raw_ub[],MATCH($A390,lmic_raw_ub[[setting]:[setting]],0), MATCH(AX$277, lmic_raw_ub[#Headers],0))=0, INDEX(regions_ub[], MATCH($D390, regions_ub[[setting]:[setting]],0), MATCH(AX$139, regions_ub[#Headers],0)),INDEX(lmic_raw_ub[],MATCH($A390,lmic_raw_ub[[setting]:[setting]],0), MATCH(AX$277, lmic_raw_ub[#Headers],0)))</f>
        <v>60.296250000000001</v>
      </c>
      <c r="AY390" s="33" t="str">
        <f>IF(VLOOKUP(lmics_ub[[#This Row],[setting]],lmic_raw_ub[],11,FALSE)=0, "Yes", "No")</f>
        <v>Yes</v>
      </c>
    </row>
    <row r="391" spans="1:51" x14ac:dyDescent="0.25">
      <c r="A391" s="110" t="s">
        <v>199</v>
      </c>
      <c r="B391" s="104" t="s">
        <v>516</v>
      </c>
      <c r="C391" s="105">
        <v>144</v>
      </c>
      <c r="D391" s="84" t="s">
        <v>680</v>
      </c>
      <c r="E391" s="84" t="s">
        <v>598</v>
      </c>
      <c r="F391" s="84" t="s">
        <v>666</v>
      </c>
      <c r="G391" s="84" t="s">
        <v>676</v>
      </c>
      <c r="J391" s="84">
        <f>IF(INDEX(lmic_raw_ub[],MATCH($A391,lmic_raw_ub[[setting]:[setting]],0), MATCH(J$277, lmic_raw_ub[#Headers],0))=0, INDEX(regions_ub[], MATCH($D391, regions_ub[[setting]:[setting]],0), MATCH(J$139, regions_ub[#Headers],0)),INDEX(lmic_raw_ub[],MATCH($A391,lmic_raw_ub[[setting]:[setting]],0), MATCH(J$277, lmic_raw_ub[#Headers],0)))</f>
        <v>0.99990000000000001</v>
      </c>
      <c r="K391" s="84">
        <f>IF(INDEX(lmic_raw_ub[],MATCH($A391,lmic_raw_ub[[setting]:[setting]],0), MATCH(K$277, lmic_raw_ub[#Headers],0))=0, INDEX(regions_ub[], MATCH($D391, regions_ub[[setting]:[setting]],0), MATCH(K$139, regions_ub[#Headers],0)),INDEX(lmic_raw_ub[],MATCH($A391,lmic_raw_ub[[setting]:[setting]],0), MATCH(K$277, lmic_raw_ub[#Headers],0)))</f>
        <v>0.63593287376541119</v>
      </c>
      <c r="L391" s="84">
        <f>IF(INDEX(lmic_raw_ub[],MATCH($A391,lmic_raw_ub[[setting]:[setting]],0), MATCH(L$277, lmic_raw_ub[#Headers],0))=0, INDEX(regions_ub[], MATCH($D391, regions_ub[[setting]:[setting]],0), MATCH(L$139, regions_ub[#Headers],0)),INDEX(lmic_raw_ub[],MATCH($A391,lmic_raw_ub[[setting]:[setting]],0), MATCH(L$277, lmic_raw_ub[#Headers],0)))</f>
        <v>0.99990000000000001</v>
      </c>
      <c r="M391" s="84">
        <f>IF(INDEX(lmic_raw_ub[],MATCH($A391,lmic_raw_ub[[setting]:[setting]],0), MATCH(M$277, lmic_raw_ub[#Headers],0))=0, INDEX(regions_ub[], MATCH($D391, regions_ub[[setting]:[setting]],0), MATCH(M$139, regions_ub[#Headers],0)),INDEX(lmic_raw_ub[],MATCH($A391,lmic_raw_ub[[setting]:[setting]],0), MATCH(M$277, lmic_raw_ub[#Headers],0)))</f>
        <v>2.7799999999999998E-2</v>
      </c>
      <c r="N391" s="84">
        <f>IF(INDEX(lmic_raw_ub[],MATCH($A391,lmic_raw_ub[[setting]:[setting]],0), MATCH(N$277, lmic_raw_ub[#Headers],0))=0, INDEX(regions_ub[], MATCH($D391, regions_ub[[setting]:[setting]],0), MATCH(N$139, regions_ub[#Headers],0)),INDEX(lmic_raw_ub[],MATCH($A391,lmic_raw_ub[[setting]:[setting]],0), MATCH(N$277, lmic_raw_ub[#Headers],0)))</f>
        <v>0.47729999999999995</v>
      </c>
      <c r="O391" s="84">
        <f>IF(INDEX(lmic_raw_ub[],MATCH($A391,lmic_raw_ub[[setting]:[setting]],0), MATCH(O$277, lmic_raw_ub[#Headers],0))=0, INDEX(regions_ub[], MATCH($D391, regions_ub[[setting]:[setting]],0), MATCH(O$139, regions_ub[#Headers],0)),INDEX(lmic_raw_ub[],MATCH($A391,lmic_raw_ub[[setting]:[setting]],0), MATCH(O$277, lmic_raw_ub[#Headers],0)))</f>
        <v>0.9</v>
      </c>
      <c r="P391" s="84">
        <f>IF(INDEX(lmic_raw_ub[],MATCH($A391,lmic_raw_ub[[setting]:[setting]],0), MATCH(P$277, lmic_raw_ub[#Headers],0))=0, INDEX(regions_ub[], MATCH($D391, regions_ub[[setting]:[setting]],0), MATCH(P$139, regions_ub[#Headers],0)),INDEX(lmic_raw_ub[],MATCH($A391,lmic_raw_ub[[setting]:[setting]],0), MATCH(P$277, lmic_raw_ub[#Headers],0)))</f>
        <v>0.3</v>
      </c>
      <c r="Q391" s="84">
        <f>IF(INDEX(lmic_raw_ub[],MATCH($A391,lmic_raw_ub[[setting]:[setting]],0), MATCH(Q$277, lmic_raw_ub[#Headers],0))=0, INDEX(regions_ub[], MATCH($D391, regions_ub[[setting]:[setting]],0), MATCH(Q$139, regions_ub[#Headers],0)),INDEX(lmic_raw_ub[],MATCH($A391,lmic_raw_ub[[setting]:[setting]],0), MATCH(Q$277, lmic_raw_ub[#Headers],0)))</f>
        <v>5.0219654181927531</v>
      </c>
      <c r="R391" s="84">
        <f>IF(INDEX(lmic_raw_ub[],MATCH($A391,lmic_raw_ub[[setting]:[setting]],0), MATCH(R$277, lmic_raw_ub[#Headers],0))=0, INDEX(regions_ub[], MATCH($D391, regions_ub[[setting]:[setting]],0), MATCH(R$139, regions_ub[#Headers],0)),INDEX(lmic_raw_ub[],MATCH($A391,lmic_raw_ub[[setting]:[setting]],0), MATCH(R$277, lmic_raw_ub[#Headers],0)))</f>
        <v>76.738725000000002</v>
      </c>
      <c r="S391" s="84">
        <f>IF(INDEX(lmic_raw_ub[],MATCH($A391,lmic_raw_ub[[setting]:[setting]],0), MATCH(S$277, lmic_raw_ub[#Headers],0))=0, INDEX(regions_ub[], MATCH($D391, regions_ub[[setting]:[setting]],0), MATCH(S$139, regions_ub[#Headers],0)),INDEX(lmic_raw_ub[],MATCH($A391,lmic_raw_ub[[setting]:[setting]],0), MATCH(S$277, lmic_raw_ub[#Headers],0)))</f>
        <v>126.867825</v>
      </c>
      <c r="T391" s="84">
        <f>IF(INDEX(lmic_raw_ub[],MATCH($A391,lmic_raw_ub[[setting]:[setting]],0), MATCH(T$277, lmic_raw_ub[#Headers],0))=0, INDEX(regions_ub[], MATCH($D391, regions_ub[[setting]:[setting]],0), MATCH(T$139, regions_ub[#Headers],0)),INDEX(lmic_raw_ub[],MATCH($A391,lmic_raw_ub[[setting]:[setting]],0), MATCH(T$277, lmic_raw_ub[#Headers],0)))</f>
        <v>126.867825</v>
      </c>
      <c r="U391" s="84">
        <f>IF(INDEX(lmic_raw_ub[],MATCH($A391,lmic_raw_ub[[setting]:[setting]],0), MATCH(U$277, lmic_raw_ub[#Headers],0))=0, INDEX(regions_ub[], MATCH($D391, regions_ub[[setting]:[setting]],0), MATCH(U$139, regions_ub[#Headers],0)),INDEX(lmic_raw_ub[],MATCH($A391,lmic_raw_ub[[setting]:[setting]],0), MATCH(U$277, lmic_raw_ub[#Headers],0)))</f>
        <v>126.867825</v>
      </c>
      <c r="V391" s="84">
        <f>IF(INDEX(lmic_raw_ub[],MATCH($A391,lmic_raw_ub[[setting]:[setting]],0), MATCH(V$277, lmic_raw_ub[#Headers],0))=0, INDEX(regions_ub[], MATCH($D391, regions_ub[[setting]:[setting]],0), MATCH(V$139, regions_ub[#Headers],0)),INDEX(lmic_raw_ub[],MATCH($A391,lmic_raw_ub[[setting]:[setting]],0), MATCH(V$277, lmic_raw_ub[#Headers],0)))</f>
        <v>9.6806279388556415</v>
      </c>
      <c r="W391" s="84">
        <f>IF(INDEX(lmic_raw_ub[],MATCH($A391,lmic_raw_ub[[setting]:[setting]],0), MATCH(W$277, lmic_raw_ub[#Headers],0))=0, INDEX(regions_ub[], MATCH($D391, regions_ub[[setting]:[setting]],0), MATCH(W$139, regions_ub[#Headers],0)),INDEX(lmic_raw_ub[],MATCH($A391,lmic_raw_ub[[setting]:[setting]],0), MATCH(W$277, lmic_raw_ub[#Headers],0)))</f>
        <v>10.344437938855641</v>
      </c>
      <c r="X391" s="84">
        <f>IF(INDEX(lmic_raw_ub[],MATCH($A391,lmic_raw_ub[[setting]:[setting]],0), MATCH(X$277, lmic_raw_ub[#Headers],0))=0, INDEX(regions_ub[], MATCH($D391, regions_ub[[setting]:[setting]],0), MATCH(X$139, regions_ub[#Headers],0)),INDEX(lmic_raw_ub[],MATCH($A391,lmic_raw_ub[[setting]:[setting]],0), MATCH(X$277, lmic_raw_ub[#Headers],0)))</f>
        <v>9.1744378829581787</v>
      </c>
      <c r="Y391" s="84">
        <f>IF(INDEX(lmic_raw_ub[],MATCH($A391,lmic_raw_ub[[setting]:[setting]],0), MATCH(Y$277, lmic_raw_ub[#Headers],0))=0, INDEX(regions_ub[], MATCH($D391, regions_ub[[setting]:[setting]],0), MATCH(Y$139, regions_ub[#Headers],0)),INDEX(lmic_raw_ub[],MATCH($A391,lmic_raw_ub[[setting]:[setting]],0), MATCH(Y$277, lmic_raw_ub[#Headers],0)))</f>
        <v>9.8382478829581785</v>
      </c>
      <c r="Z391" s="84">
        <f>IF(INDEX(lmic_raw_ub[],MATCH($A391,lmic_raw_ub[[setting]:[setting]],0), MATCH(Z$277, lmic_raw_ub[#Headers],0))=0, INDEX(regions_ub[], MATCH($D391, regions_ub[[setting]:[setting]],0), MATCH(Z$139, regions_ub[#Headers],0)),INDEX(lmic_raw_ub[],MATCH($A391,lmic_raw_ub[[setting]:[setting]],0), MATCH(Z$277, lmic_raw_ub[#Headers],0)))</f>
        <v>9.8256699037060393</v>
      </c>
      <c r="AA391" s="84">
        <f>IF(INDEX(lmic_raw_ub[],MATCH($A391,lmic_raw_ub[[setting]:[setting]],0), MATCH(AA$277, lmic_raw_ub[#Headers],0))=0, INDEX(regions_ub[], MATCH($D391, regions_ub[[setting]:[setting]],0), MATCH(AA$139, regions_ub[#Headers],0)),INDEX(lmic_raw_ub[],MATCH($A391,lmic_raw_ub[[setting]:[setting]],0), MATCH(AA$277, lmic_raw_ub[#Headers],0)))</f>
        <v>9.9516044208871151</v>
      </c>
      <c r="AB391" s="84">
        <f>IF(INDEX(lmic_raw_ub[],MATCH($A391,lmic_raw_ub[[setting]:[setting]],0), MATCH(AB$277, lmic_raw_ub[#Headers],0))=0, INDEX(regions_ub[], MATCH($D391, regions_ub[[setting]:[setting]],0), MATCH(AB$139, regions_ub[#Headers],0)),INDEX(lmic_raw_ub[],MATCH($A391,lmic_raw_ub[[setting]:[setting]],0), MATCH(AB$277, lmic_raw_ub[#Headers],0)))</f>
        <v>10.615414420887115</v>
      </c>
      <c r="AC391" s="84">
        <f>IF(INDEX(lmic_raw_ub[],MATCH($A391,lmic_raw_ub[[setting]:[setting]],0), MATCH(AC$277, lmic_raw_ub[#Headers],0))=0, INDEX(regions_ub[], MATCH($D391, regions_ub[[setting]:[setting]],0), MATCH(AC$139, regions_ub[#Headers],0)),INDEX(lmic_raw_ub[],MATCH($A391,lmic_raw_ub[[setting]:[setting]],0), MATCH(AC$277, lmic_raw_ub[#Headers],0)))</f>
        <v>7.9519544999999778E-3</v>
      </c>
      <c r="AD391" s="84">
        <f>IF(INDEX(lmic_raw_ub[],MATCH($A391,lmic_raw_ub[[setting]:[setting]],0), MATCH(AD$277, lmic_raw_ub[#Headers],0))=0, INDEX(regions_ub[], MATCH($D391, regions_ub[[setting]:[setting]],0), MATCH(AD$139, regions_ub[#Headers],0)),INDEX(lmic_raw_ub[],MATCH($A391,lmic_raw_ub[[setting]:[setting]],0), MATCH(AD$277, lmic_raw_ub[#Headers],0)))</f>
        <v>2.6985670307081198E-4</v>
      </c>
      <c r="AE391" s="84">
        <f>IF(INDEX(lmic_raw_ub[],MATCH($A391,lmic_raw_ub[[setting]:[setting]],0), MATCH(AE$277, lmic_raw_ub[#Headers],0))=0, INDEX(regions_ub[], MATCH($D391, regions_ub[[setting]:[setting]],0), MATCH(AE$139, regions_ub[#Headers],0)),INDEX(lmic_raw_ub[],MATCH($A391,lmic_raw_ub[[setting]:[setting]],0), MATCH(AE$277, lmic_raw_ub[#Headers],0)))</f>
        <v>3.1190748634110491E-4</v>
      </c>
      <c r="AF391" s="84">
        <f>IF(INDEX(lmic_raw_ub[],MATCH($A391,lmic_raw_ub[[setting]:[setting]],0), MATCH(AF$277, lmic_raw_ub[#Headers],0))=0, INDEX(regions_ub[], MATCH($D391, regions_ub[[setting]:[setting]],0), MATCH(AF$139, regions_ub[#Headers],0)),INDEX(lmic_raw_ub[],MATCH($A391,lmic_raw_ub[[setting]:[setting]],0), MATCH(AF$277, lmic_raw_ub[#Headers],0)))</f>
        <v>3.0492337084786996E-4</v>
      </c>
      <c r="AG391" s="84">
        <f>IF(INDEX(lmic_raw_ub[],MATCH($A391,lmic_raw_ub[[setting]:[setting]],0), MATCH(AG$277, lmic_raw_ub[#Headers],0))=0, INDEX(regions_ub[], MATCH($D391, regions_ub[[setting]:[setting]],0), MATCH(AG$139, regions_ub[#Headers],0)),INDEX(lmic_raw_ub[],MATCH($A391,lmic_raw_ub[[setting]:[setting]],0), MATCH(AG$277, lmic_raw_ub[#Headers],0)))</f>
        <v>5.8265483493439077E-4</v>
      </c>
      <c r="AH391" s="84">
        <f>IF(INDEX(lmic_raw_ub[],MATCH($A391,lmic_raw_ub[[setting]:[setting]],0), MATCH(AH$277, lmic_raw_ub[#Headers],0))=0, INDEX(regions_ub[], MATCH($D391, regions_ub[[setting]:[setting]],0), MATCH(AH$139, regions_ub[#Headers],0)),INDEX(lmic_raw_ub[],MATCH($A391,lmic_raw_ub[[setting]:[setting]],0), MATCH(AH$277, lmic_raw_ub[#Headers],0)))</f>
        <v>8.2836920569008359E-4</v>
      </c>
      <c r="AI391" s="84">
        <f>IF(INDEX(lmic_raw_ub[],MATCH($A391,lmic_raw_ub[[setting]:[setting]],0), MATCH(AI$277, lmic_raw_ub[#Headers],0))=0, INDEX(regions_ub[], MATCH($D391, regions_ub[[setting]:[setting]],0), MATCH(AI$139, regions_ub[#Headers],0)),INDEX(lmic_raw_ub[],MATCH($A391,lmic_raw_ub[[setting]:[setting]],0), MATCH(AI$277, lmic_raw_ub[#Headers],0)))</f>
        <v>9.0603243615311512E-4</v>
      </c>
      <c r="AJ391" s="84">
        <f>IF(INDEX(lmic_raw_ub[],MATCH($A391,lmic_raw_ub[[setting]:[setting]],0), MATCH(AJ$277, lmic_raw_ub[#Headers],0))=0, INDEX(regions_ub[], MATCH($D391, regions_ub[[setting]:[setting]],0), MATCH(AJ$139, regions_ub[#Headers],0)),INDEX(lmic_raw_ub[],MATCH($A391,lmic_raw_ub[[setting]:[setting]],0), MATCH(AJ$277, lmic_raw_ub[#Headers],0)))</f>
        <v>1.0370179061018395E-3</v>
      </c>
      <c r="AK391" s="84">
        <f>IF(INDEX(lmic_raw_ub[],MATCH($A391,lmic_raw_ub[[setting]:[setting]],0), MATCH(AK$277, lmic_raw_ub[#Headers],0))=0, INDEX(regions_ub[], MATCH($D391, regions_ub[[setting]:[setting]],0), MATCH(AK$139, regions_ub[#Headers],0)),INDEX(lmic_raw_ub[],MATCH($A391,lmic_raw_ub[[setting]:[setting]],0), MATCH(AK$277, lmic_raw_ub[#Headers],0)))</f>
        <v>1.4917336690235914E-3</v>
      </c>
      <c r="AL391" s="84">
        <f>IF(INDEX(lmic_raw_ub[],MATCH($A391,lmic_raw_ub[[setting]:[setting]],0), MATCH(AL$277, lmic_raw_ub[#Headers],0))=0, INDEX(regions_ub[], MATCH($D391, regions_ub[[setting]:[setting]],0), MATCH(AL$139, regions_ub[#Headers],0)),INDEX(lmic_raw_ub[],MATCH($A391,lmic_raw_ub[[setting]:[setting]],0), MATCH(AL$277, lmic_raw_ub[#Headers],0)))</f>
        <v>2.1839892109599729E-3</v>
      </c>
      <c r="AM391" s="84">
        <f>IF(INDEX(lmic_raw_ub[],MATCH($A391,lmic_raw_ub[[setting]:[setting]],0), MATCH(AM$277, lmic_raw_ub[#Headers],0))=0, INDEX(regions_ub[], MATCH($D391, regions_ub[[setting]:[setting]],0), MATCH(AM$139, regions_ub[#Headers],0)),INDEX(lmic_raw_ub[],MATCH($A391,lmic_raw_ub[[setting]:[setting]],0), MATCH(AM$277, lmic_raw_ub[#Headers],0)))</f>
        <v>3.3678526633927016E-3</v>
      </c>
      <c r="AN391" s="84">
        <f>IF(INDEX(lmic_raw_ub[],MATCH($A391,lmic_raw_ub[[setting]:[setting]],0), MATCH(AN$277, lmic_raw_ub[#Headers],0))=0, INDEX(regions_ub[], MATCH($D391, regions_ub[[setting]:[setting]],0), MATCH(AN$139, regions_ub[#Headers],0)),INDEX(lmic_raw_ub[],MATCH($A391,lmic_raw_ub[[setting]:[setting]],0), MATCH(AN$277, lmic_raw_ub[#Headers],0)))</f>
        <v>5.1579409835322146E-3</v>
      </c>
      <c r="AO391" s="84">
        <f>IF(INDEX(lmic_raw_ub[],MATCH($A391,lmic_raw_ub[[setting]:[setting]],0), MATCH(AO$277, lmic_raw_ub[#Headers],0))=0, INDEX(regions_ub[], MATCH($D391, regions_ub[[setting]:[setting]],0), MATCH(AO$139, regions_ub[#Headers],0)),INDEX(lmic_raw_ub[],MATCH($A391,lmic_raw_ub[[setting]:[setting]],0), MATCH(AO$277, lmic_raw_ub[#Headers],0)))</f>
        <v>7.3246016074776368E-3</v>
      </c>
      <c r="AP391" s="84">
        <f>IF(INDEX(lmic_raw_ub[],MATCH($A391,lmic_raw_ub[[setting]:[setting]],0), MATCH(AP$277, lmic_raw_ub[#Headers],0))=0, INDEX(regions_ub[], MATCH($D391, regions_ub[[setting]:[setting]],0), MATCH(AP$139, regions_ub[#Headers],0)),INDEX(lmic_raw_ub[],MATCH($A391,lmic_raw_ub[[setting]:[setting]],0), MATCH(AP$277, lmic_raw_ub[#Headers],0)))</f>
        <v>1.0494002050422375E-2</v>
      </c>
      <c r="AQ391" s="84">
        <f>IF(INDEX(lmic_raw_ub[],MATCH($A391,lmic_raw_ub[[setting]:[setting]],0), MATCH(AQ$277, lmic_raw_ub[#Headers],0))=0, INDEX(regions_ub[], MATCH($D391, regions_ub[[setting]:[setting]],0), MATCH(AQ$139, regions_ub[#Headers],0)),INDEX(lmic_raw_ub[],MATCH($A391,lmic_raw_ub[[setting]:[setting]],0), MATCH(AQ$277, lmic_raw_ub[#Headers],0)))</f>
        <v>1.8379359136768188E-2</v>
      </c>
      <c r="AR391" s="84">
        <f>IF(INDEX(lmic_raw_ub[],MATCH($A391,lmic_raw_ub[[setting]:[setting]],0), MATCH(AR$277, lmic_raw_ub[#Headers],0))=0, INDEX(regions_ub[], MATCH($D391, regions_ub[[setting]:[setting]],0), MATCH(AR$139, regions_ub[#Headers],0)),INDEX(lmic_raw_ub[],MATCH($A391,lmic_raw_ub[[setting]:[setting]],0), MATCH(AR$277, lmic_raw_ub[#Headers],0)))</f>
        <v>3.3030790305563426E-2</v>
      </c>
      <c r="AS391" s="84">
        <f>IF(INDEX(lmic_raw_ub[],MATCH($A391,lmic_raw_ub[[setting]:[setting]],0), MATCH(AS$277, lmic_raw_ub[#Headers],0))=0, INDEX(regions_ub[], MATCH($D391, regions_ub[[setting]:[setting]],0), MATCH(AS$139, regions_ub[#Headers],0)),INDEX(lmic_raw_ub[],MATCH($A391,lmic_raw_ub[[setting]:[setting]],0), MATCH(AS$277, lmic_raw_ub[#Headers],0)))</f>
        <v>4.5284177478041823E-2</v>
      </c>
      <c r="AT391" s="84">
        <f>IF(INDEX(lmic_raw_ub[],MATCH($A391,lmic_raw_ub[[setting]:[setting]],0), MATCH(AT$277, lmic_raw_ub[#Headers],0))=0, INDEX(regions_ub[], MATCH($D391, regions_ub[[setting]:[setting]],0), MATCH(AT$139, regions_ub[#Headers],0)),INDEX(lmic_raw_ub[],MATCH($A391,lmic_raw_ub[[setting]:[setting]],0), MATCH(AT$277, lmic_raw_ub[#Headers],0)))</f>
        <v>7.3438631715630406E-2</v>
      </c>
      <c r="AU391" s="84">
        <f>IF(INDEX(lmic_raw_ub[],MATCH($A391,lmic_raw_ub[[setting]:[setting]],0), MATCH(AU$277, lmic_raw_ub[#Headers],0))=0, INDEX(regions_ub[], MATCH($D391, regions_ub[[setting]:[setting]],0), MATCH(AU$139, regions_ub[#Headers],0)),INDEX(lmic_raw_ub[],MATCH($A391,lmic_raw_ub[[setting]:[setting]],0), MATCH(AU$277, lmic_raw_ub[#Headers],0)))</f>
        <v>0.11199340061476418</v>
      </c>
      <c r="AV391" s="84">
        <f>IF(INDEX(lmic_raw_ub[],MATCH($A391,lmic_raw_ub[[setting]:[setting]],0), MATCH(AV$277, lmic_raw_ub[#Headers],0))=0, INDEX(regions_ub[], MATCH($D391, regions_ub[[setting]:[setting]],0), MATCH(AV$139, regions_ub[#Headers],0)),INDEX(lmic_raw_ub[],MATCH($A391,lmic_raw_ub[[setting]:[setting]],0), MATCH(AV$277, lmic_raw_ub[#Headers],0)))</f>
        <v>0.15143565190961059</v>
      </c>
      <c r="AW391" s="84">
        <f>IF(INDEX(lmic_raw_ub[],MATCH($A391,lmic_raw_ub[[setting]:[setting]],0), MATCH(AW$277, lmic_raw_ub[#Headers],0))=0, INDEX(regions_ub[], MATCH($D391, regions_ub[[setting]:[setting]],0), MATCH(AW$139, regions_ub[#Headers],0)),INDEX(lmic_raw_ub[],MATCH($A391,lmic_raw_ub[[setting]:[setting]],0), MATCH(AW$277, lmic_raw_ub[#Headers],0)))</f>
        <v>0.18033015405119185</v>
      </c>
      <c r="AX391" s="84">
        <f>IF(INDEX(lmic_raw_ub[],MATCH($A391,lmic_raw_ub[[setting]:[setting]],0), MATCH(AX$277, lmic_raw_ub[#Headers],0))=0, INDEX(regions_ub[], MATCH($D391, regions_ub[[setting]:[setting]],0), MATCH(AX$139, regions_ub[#Headers],0)),INDEX(lmic_raw_ub[],MATCH($A391,lmic_raw_ub[[setting]:[setting]],0), MATCH(AX$277, lmic_raw_ub[#Headers],0)))</f>
        <v>80.561250000000001</v>
      </c>
      <c r="AY391" s="33" t="str">
        <f>IF(VLOOKUP(lmics_ub[[#This Row],[setting]],lmic_raw_ub[],11,FALSE)=0, "Yes", "No")</f>
        <v>Yes</v>
      </c>
    </row>
    <row r="392" spans="1:51" x14ac:dyDescent="0.25">
      <c r="A392" s="109" t="s">
        <v>647</v>
      </c>
      <c r="B392" s="101" t="s">
        <v>518</v>
      </c>
      <c r="C392" s="102">
        <v>729</v>
      </c>
      <c r="D392" s="82" t="s">
        <v>673</v>
      </c>
      <c r="E392" s="82" t="s">
        <v>597</v>
      </c>
      <c r="F392" s="82" t="s">
        <v>667</v>
      </c>
      <c r="G392" s="82" t="s">
        <v>678</v>
      </c>
      <c r="J392" s="84">
        <f>IF(INDEX(lmic_raw_ub[],MATCH($A392,lmic_raw_ub[[setting]:[setting]],0), MATCH(J$277, lmic_raw_ub[#Headers],0))=0, INDEX(regions_ub[], MATCH($D392, regions_ub[[setting]:[setting]],0), MATCH(J$139, regions_ub[#Headers],0)),INDEX(lmic_raw_ub[],MATCH($A392,lmic_raw_ub[[setting]:[setting]],0), MATCH(J$277, lmic_raw_ub[#Headers],0)))</f>
        <v>0.29085</v>
      </c>
      <c r="K392" s="84">
        <f>IF(INDEX(lmic_raw_ub[],MATCH($A392,lmic_raw_ub[[setting]:[setting]],0), MATCH(K$277, lmic_raw_ub[#Headers],0))=0, INDEX(regions_ub[], MATCH($D392, regions_ub[[setting]:[setting]],0), MATCH(K$139, regions_ub[#Headers],0)),INDEX(lmic_raw_ub[],MATCH($A392,lmic_raw_ub[[setting]:[setting]],0), MATCH(K$277, lmic_raw_ub[#Headers],0)))</f>
        <v>0.74462879341111321</v>
      </c>
      <c r="L392" s="84">
        <f>IF(INDEX(lmic_raw_ub[],MATCH($A392,lmic_raw_ub[[setting]:[setting]],0), MATCH(L$277, lmic_raw_ub[#Headers],0))=0, INDEX(regions_ub[], MATCH($D392, regions_ub[[setting]:[setting]],0), MATCH(L$139, regions_ub[#Headers],0)),INDEX(lmic_raw_ub[],MATCH($A392,lmic_raw_ub[[setting]:[setting]],0), MATCH(L$277, lmic_raw_ub[#Headers],0)))</f>
        <v>0.97650000000000015</v>
      </c>
      <c r="M392" s="84">
        <f>IF(INDEX(lmic_raw_ub[],MATCH($A392,lmic_raw_ub[[setting]:[setting]],0), MATCH(M$277, lmic_raw_ub[#Headers],0))=0, INDEX(regions_ub[], MATCH($D392, regions_ub[[setting]:[setting]],0), MATCH(M$139, regions_ub[#Headers],0)),INDEX(lmic_raw_ub[],MATCH($A392,lmic_raw_ub[[setting]:[setting]],0), MATCH(M$277, lmic_raw_ub[#Headers],0)))</f>
        <v>9.2300000000000007E-2</v>
      </c>
      <c r="N392" s="84">
        <f>IF(INDEX(lmic_raw_ub[],MATCH($A392,lmic_raw_ub[[setting]:[setting]],0), MATCH(N$277, lmic_raw_ub[#Headers],0))=0, INDEX(regions_ub[], MATCH($D392, regions_ub[[setting]:[setting]],0), MATCH(N$139, regions_ub[#Headers],0)),INDEX(lmic_raw_ub[],MATCH($A392,lmic_raw_ub[[setting]:[setting]],0), MATCH(N$277, lmic_raw_ub[#Headers],0)))</f>
        <v>0.39960000000000001</v>
      </c>
      <c r="O392" s="84">
        <f>IF(INDEX(lmic_raw_ub[],MATCH($A392,lmic_raw_ub[[setting]:[setting]],0), MATCH(O$277, lmic_raw_ub[#Headers],0))=0, INDEX(regions_ub[], MATCH($D392, regions_ub[[setting]:[setting]],0), MATCH(O$139, regions_ub[#Headers],0)),INDEX(lmic_raw_ub[],MATCH($A392,lmic_raw_ub[[setting]:[setting]],0), MATCH(O$277, lmic_raw_ub[#Headers],0)))</f>
        <v>0.74399999999999999</v>
      </c>
      <c r="P392" s="84">
        <f>IF(INDEX(lmic_raw_ub[],MATCH($A392,lmic_raw_ub[[setting]:[setting]],0), MATCH(P$277, lmic_raw_ub[#Headers],0))=0, INDEX(regions_ub[], MATCH($D392, regions_ub[[setting]:[setting]],0), MATCH(P$139, regions_ub[#Headers],0)),INDEX(lmic_raw_ub[],MATCH($A392,lmic_raw_ub[[setting]:[setting]],0), MATCH(P$277, lmic_raw_ub[#Headers],0)))</f>
        <v>0.13300000000000001</v>
      </c>
      <c r="Q392" s="84">
        <f>IF(INDEX(lmic_raw_ub[],MATCH($A392,lmic_raw_ub[[setting]:[setting]],0), MATCH(Q$277, lmic_raw_ub[#Headers],0))=0, INDEX(regions_ub[], MATCH($D392, regions_ub[[setting]:[setting]],0), MATCH(Q$139, regions_ub[#Headers],0)),INDEX(lmic_raw_ub[],MATCH($A392,lmic_raw_ub[[setting]:[setting]],0), MATCH(Q$277, lmic_raw_ub[#Headers],0)))</f>
        <v>4.2243652475939841</v>
      </c>
      <c r="R392" s="84">
        <f>IF(INDEX(lmic_raw_ub[],MATCH($A392,lmic_raw_ub[[setting]:[setting]],0), MATCH(R$277, lmic_raw_ub[#Headers],0))=0, INDEX(regions_ub[], MATCH($D392, regions_ub[[setting]:[setting]],0), MATCH(R$139, regions_ub[#Headers],0)),INDEX(lmic_raw_ub[],MATCH($A392,lmic_raw_ub[[setting]:[setting]],0), MATCH(R$277, lmic_raw_ub[#Headers],0)))</f>
        <v>31.416525000000004</v>
      </c>
      <c r="S392" s="84">
        <f>IF(INDEX(lmic_raw_ub[],MATCH($A392,lmic_raw_ub[[setting]:[setting]],0), MATCH(S$277, lmic_raw_ub[#Headers],0))=0, INDEX(regions_ub[], MATCH($D392, regions_ub[[setting]:[setting]],0), MATCH(S$139, regions_ub[#Headers],0)),INDEX(lmic_raw_ub[],MATCH($A392,lmic_raw_ub[[setting]:[setting]],0), MATCH(S$277, lmic_raw_ub[#Headers],0)))</f>
        <v>81.545625000000015</v>
      </c>
      <c r="T392" s="84">
        <f>IF(INDEX(lmic_raw_ub[],MATCH($A392,lmic_raw_ub[[setting]:[setting]],0), MATCH(T$277, lmic_raw_ub[#Headers],0))=0, INDEX(regions_ub[], MATCH($D392, regions_ub[[setting]:[setting]],0), MATCH(T$139, regions_ub[#Headers],0)),INDEX(lmic_raw_ub[],MATCH($A392,lmic_raw_ub[[setting]:[setting]],0), MATCH(T$277, lmic_raw_ub[#Headers],0)))</f>
        <v>81.545625000000015</v>
      </c>
      <c r="U392" s="84">
        <f>IF(INDEX(lmic_raw_ub[],MATCH($A392,lmic_raw_ub[[setting]:[setting]],0), MATCH(U$277, lmic_raw_ub[#Headers],0))=0, INDEX(regions_ub[], MATCH($D392, regions_ub[[setting]:[setting]],0), MATCH(U$139, regions_ub[#Headers],0)),INDEX(lmic_raw_ub[],MATCH($A392,lmic_raw_ub[[setting]:[setting]],0), MATCH(U$277, lmic_raw_ub[#Headers],0)))</f>
        <v>81.545625000000015</v>
      </c>
      <c r="V392" s="84">
        <f>IF(INDEX(lmic_raw_ub[],MATCH($A392,lmic_raw_ub[[setting]:[setting]],0), MATCH(V$277, lmic_raw_ub[#Headers],0))=0, INDEX(regions_ub[], MATCH($D392, regions_ub[[setting]:[setting]],0), MATCH(V$139, regions_ub[#Headers],0)),INDEX(lmic_raw_ub[],MATCH($A392,lmic_raw_ub[[setting]:[setting]],0), MATCH(V$277, lmic_raw_ub[#Headers],0)))</f>
        <v>5.0469362231545087</v>
      </c>
      <c r="W392" s="84">
        <f>IF(INDEX(lmic_raw_ub[],MATCH($A392,lmic_raw_ub[[setting]:[setting]],0), MATCH(W$277, lmic_raw_ub[#Headers],0))=0, INDEX(regions_ub[], MATCH($D392, regions_ub[[setting]:[setting]],0), MATCH(W$139, regions_ub[#Headers],0)),INDEX(lmic_raw_ub[],MATCH($A392,lmic_raw_ub[[setting]:[setting]],0), MATCH(W$277, lmic_raw_ub[#Headers],0)))</f>
        <v>10.117071223154509</v>
      </c>
      <c r="X392" s="84">
        <f>IF(INDEX(lmic_raw_ub[],MATCH($A392,lmic_raw_ub[[setting]:[setting]],0), MATCH(X$277, lmic_raw_ub[#Headers],0))=0, INDEX(regions_ub[], MATCH($D392, regions_ub[[setting]:[setting]],0), MATCH(X$139, regions_ub[#Headers],0)),INDEX(lmic_raw_ub[],MATCH($A392,lmic_raw_ub[[setting]:[setting]],0), MATCH(X$277, lmic_raw_ub[#Headers],0)))</f>
        <v>4.5586589762357903</v>
      </c>
      <c r="Y392" s="84">
        <f>IF(INDEX(lmic_raw_ub[],MATCH($A392,lmic_raw_ub[[setting]:[setting]],0), MATCH(Y$277, lmic_raw_ub[#Headers],0))=0, INDEX(regions_ub[], MATCH($D392, regions_ub[[setting]:[setting]],0), MATCH(Y$139, regions_ub[#Headers],0)),INDEX(lmic_raw_ub[],MATCH($A392,lmic_raw_ub[[setting]:[setting]],0), MATCH(Y$277, lmic_raw_ub[#Headers],0)))</f>
        <v>9.6287939762357908</v>
      </c>
      <c r="Z392" s="84">
        <f>IF(INDEX(lmic_raw_ub[],MATCH($A392,lmic_raw_ub[[setting]:[setting]],0), MATCH(Z$277, lmic_raw_ub[#Headers],0))=0, INDEX(regions_ub[], MATCH($D392, regions_ub[[setting]:[setting]],0), MATCH(Z$139, regions_ub[#Headers],0)),INDEX(lmic_raw_ub[],MATCH($A392,lmic_raw_ub[[setting]:[setting]],0), MATCH(Z$277, lmic_raw_ub[#Headers],0)))</f>
        <v>9.6260054118768483</v>
      </c>
      <c r="AA392" s="84">
        <f>IF(INDEX(lmic_raw_ub[],MATCH($A392,lmic_raw_ub[[setting]:[setting]],0), MATCH(AA$277, lmic_raw_ub[#Headers],0))=0, INDEX(regions_ub[], MATCH($D392, regions_ub[[setting]:[setting]],0), MATCH(AA$139, regions_ub[#Headers],0)),INDEX(lmic_raw_ub[],MATCH($A392,lmic_raw_ub[[setting]:[setting]],0), MATCH(AA$277, lmic_raw_ub[#Headers],0)))</f>
        <v>5.3138466074423416</v>
      </c>
      <c r="AB392" s="84">
        <f>IF(INDEX(lmic_raw_ub[],MATCH($A392,lmic_raw_ub[[setting]:[setting]],0), MATCH(AB$277, lmic_raw_ub[#Headers],0))=0, INDEX(regions_ub[], MATCH($D392, regions_ub[[setting]:[setting]],0), MATCH(AB$139, regions_ub[#Headers],0)),INDEX(lmic_raw_ub[],MATCH($A392,lmic_raw_ub[[setting]:[setting]],0), MATCH(AB$277, lmic_raw_ub[#Headers],0)))</f>
        <v>10.383981607442342</v>
      </c>
      <c r="AC392" s="84">
        <f>IF(INDEX(lmic_raw_ub[],MATCH($A392,lmic_raw_ub[[setting]:[setting]],0), MATCH(AC$277, lmic_raw_ub[#Headers],0))=0, INDEX(regions_ub[], MATCH($D392, regions_ub[[setting]:[setting]],0), MATCH(AC$139, regions_ub[#Headers],0)),INDEX(lmic_raw_ub[],MATCH($A392,lmic_raw_ub[[setting]:[setting]],0), MATCH(AC$277, lmic_raw_ub[#Headers],0)))</f>
        <v>4.501859250000001E-2</v>
      </c>
      <c r="AD392" s="84">
        <f>IF(INDEX(lmic_raw_ub[],MATCH($A392,lmic_raw_ub[[setting]:[setting]],0), MATCH(AD$277, lmic_raw_ub[#Headers],0))=0, INDEX(regions_ub[], MATCH($D392, regions_ub[[setting]:[setting]],0), MATCH(AD$139, regions_ub[#Headers],0)),INDEX(lmic_raw_ub[],MATCH($A392,lmic_raw_ub[[setting]:[setting]],0), MATCH(AD$277, lmic_raw_ub[#Headers],0)))</f>
        <v>5.7864877962928917E-3</v>
      </c>
      <c r="AE392" s="84">
        <f>IF(INDEX(lmic_raw_ub[],MATCH($A392,lmic_raw_ub[[setting]:[setting]],0), MATCH(AE$277, lmic_raw_ub[#Headers],0))=0, INDEX(regions_ub[], MATCH($D392, regions_ub[[setting]:[setting]],0), MATCH(AE$139, regions_ub[#Headers],0)),INDEX(lmic_raw_ub[],MATCH($A392,lmic_raw_ub[[setting]:[setting]],0), MATCH(AE$277, lmic_raw_ub[#Headers],0)))</f>
        <v>2.2750208217927515E-3</v>
      </c>
      <c r="AF392" s="84">
        <f>IF(INDEX(lmic_raw_ub[],MATCH($A392,lmic_raw_ub[[setting]:[setting]],0), MATCH(AF$277, lmic_raw_ub[#Headers],0))=0, INDEX(regions_ub[], MATCH($D392, regions_ub[[setting]:[setting]],0), MATCH(AF$139, regions_ub[#Headers],0)),INDEX(lmic_raw_ub[],MATCH($A392,lmic_raw_ub[[setting]:[setting]],0), MATCH(AF$277, lmic_raw_ub[#Headers],0)))</f>
        <v>1.7078683314977387E-3</v>
      </c>
      <c r="AG392" s="84">
        <f>IF(INDEX(lmic_raw_ub[],MATCH($A392,lmic_raw_ub[[setting]:[setting]],0), MATCH(AG$277, lmic_raw_ub[#Headers],0))=0, INDEX(regions_ub[], MATCH($D392, regions_ub[[setting]:[setting]],0), MATCH(AG$139, regions_ub[#Headers],0)),INDEX(lmic_raw_ub[],MATCH($A392,lmic_raw_ub[[setting]:[setting]],0), MATCH(AG$277, lmic_raw_ub[#Headers],0)))</f>
        <v>2.014662459337528E-3</v>
      </c>
      <c r="AH392" s="84">
        <f>IF(INDEX(lmic_raw_ub[],MATCH($A392,lmic_raw_ub[[setting]:[setting]],0), MATCH(AH$277, lmic_raw_ub[#Headers],0))=0, INDEX(regions_ub[], MATCH($D392, regions_ub[[setting]:[setting]],0), MATCH(AH$139, regions_ub[#Headers],0)),INDEX(lmic_raw_ub[],MATCH($A392,lmic_raw_ub[[setting]:[setting]],0), MATCH(AH$277, lmic_raw_ub[#Headers],0)))</f>
        <v>2.7008311181251077E-3</v>
      </c>
      <c r="AI392" s="84">
        <f>IF(INDEX(lmic_raw_ub[],MATCH($A392,lmic_raw_ub[[setting]:[setting]],0), MATCH(AI$277, lmic_raw_ub[#Headers],0))=0, INDEX(regions_ub[], MATCH($D392, regions_ub[[setting]:[setting]],0), MATCH(AI$139, regions_ub[#Headers],0)),INDEX(lmic_raw_ub[],MATCH($A392,lmic_raw_ub[[setting]:[setting]],0), MATCH(AI$277, lmic_raw_ub[#Headers],0)))</f>
        <v>3.2065527480574577E-3</v>
      </c>
      <c r="AJ392" s="84">
        <f>IF(INDEX(lmic_raw_ub[],MATCH($A392,lmic_raw_ub[[setting]:[setting]],0), MATCH(AJ$277, lmic_raw_ub[#Headers],0))=0, INDEX(regions_ub[], MATCH($D392, regions_ub[[setting]:[setting]],0), MATCH(AJ$139, regions_ub[#Headers],0)),INDEX(lmic_raw_ub[],MATCH($A392,lmic_raw_ub[[setting]:[setting]],0), MATCH(AJ$277, lmic_raw_ub[#Headers],0)))</f>
        <v>3.7238305856888902E-3</v>
      </c>
      <c r="AK392" s="84">
        <f>IF(INDEX(lmic_raw_ub[],MATCH($A392,lmic_raw_ub[[setting]:[setting]],0), MATCH(AK$277, lmic_raw_ub[#Headers],0))=0, INDEX(regions_ub[], MATCH($D392, regions_ub[[setting]:[setting]],0), MATCH(AK$139, regions_ub[#Headers],0)),INDEX(lmic_raw_ub[],MATCH($A392,lmic_raw_ub[[setting]:[setting]],0), MATCH(AK$277, lmic_raw_ub[#Headers],0)))</f>
        <v>4.690870921800777E-3</v>
      </c>
      <c r="AL392" s="84">
        <f>IF(INDEX(lmic_raw_ub[],MATCH($A392,lmic_raw_ub[[setting]:[setting]],0), MATCH(AL$277, lmic_raw_ub[#Headers],0))=0, INDEX(regions_ub[], MATCH($D392, regions_ub[[setting]:[setting]],0), MATCH(AL$139, regions_ub[#Headers],0)),INDEX(lmic_raw_ub[],MATCH($A392,lmic_raw_ub[[setting]:[setting]],0), MATCH(AL$277, lmic_raw_ub[#Headers],0)))</f>
        <v>5.6815244081905511E-3</v>
      </c>
      <c r="AM392" s="84">
        <f>IF(INDEX(lmic_raw_ub[],MATCH($A392,lmic_raw_ub[[setting]:[setting]],0), MATCH(AM$277, lmic_raw_ub[#Headers],0))=0, INDEX(regions_ub[], MATCH($D392, regions_ub[[setting]:[setting]],0), MATCH(AM$139, regions_ub[#Headers],0)),INDEX(lmic_raw_ub[],MATCH($A392,lmic_raw_ub[[setting]:[setting]],0), MATCH(AM$277, lmic_raw_ub[#Headers],0)))</f>
        <v>6.9546985827998046E-3</v>
      </c>
      <c r="AN392" s="84">
        <f>IF(INDEX(lmic_raw_ub[],MATCH($A392,lmic_raw_ub[[setting]:[setting]],0), MATCH(AN$277, lmic_raw_ub[#Headers],0))=0, INDEX(regions_ub[], MATCH($D392, regions_ub[[setting]:[setting]],0), MATCH(AN$139, regions_ub[#Headers],0)),INDEX(lmic_raw_ub[],MATCH($A392,lmic_raw_ub[[setting]:[setting]],0), MATCH(AN$277, lmic_raw_ub[#Headers],0)))</f>
        <v>9.2742884245818041E-3</v>
      </c>
      <c r="AO392" s="84">
        <f>IF(INDEX(lmic_raw_ub[],MATCH($A392,lmic_raw_ub[[setting]:[setting]],0), MATCH(AO$277, lmic_raw_ub[#Headers],0))=0, INDEX(regions_ub[], MATCH($D392, regions_ub[[setting]:[setting]],0), MATCH(AO$139, regions_ub[#Headers],0)),INDEX(lmic_raw_ub[],MATCH($A392,lmic_raw_ub[[setting]:[setting]],0), MATCH(AO$277, lmic_raw_ub[#Headers],0)))</f>
        <v>1.2519252615699639E-2</v>
      </c>
      <c r="AP392" s="84">
        <f>IF(INDEX(lmic_raw_ub[],MATCH($A392,lmic_raw_ub[[setting]:[setting]],0), MATCH(AP$277, lmic_raw_ub[#Headers],0))=0, INDEX(regions_ub[], MATCH($D392, regions_ub[[setting]:[setting]],0), MATCH(AP$139, regions_ub[#Headers],0)),INDEX(lmic_raw_ub[],MATCH($A392,lmic_raw_ub[[setting]:[setting]],0), MATCH(AP$277, lmic_raw_ub[#Headers],0)))</f>
        <v>1.8413794780652783E-2</v>
      </c>
      <c r="AQ392" s="84">
        <f>IF(INDEX(lmic_raw_ub[],MATCH($A392,lmic_raw_ub[[setting]:[setting]],0), MATCH(AQ$277, lmic_raw_ub[#Headers],0))=0, INDEX(regions_ub[], MATCH($D392, regions_ub[[setting]:[setting]],0), MATCH(AQ$139, regions_ub[#Headers],0)),INDEX(lmic_raw_ub[],MATCH($A392,lmic_raw_ub[[setting]:[setting]],0), MATCH(AQ$277, lmic_raw_ub[#Headers],0)))</f>
        <v>2.878004443238389E-2</v>
      </c>
      <c r="AR392" s="84">
        <f>IF(INDEX(lmic_raw_ub[],MATCH($A392,lmic_raw_ub[[setting]:[setting]],0), MATCH(AR$277, lmic_raw_ub[#Headers],0))=0, INDEX(regions_ub[], MATCH($D392, regions_ub[[setting]:[setting]],0), MATCH(AR$139, regions_ub[#Headers],0)),INDEX(lmic_raw_ub[],MATCH($A392,lmic_raw_ub[[setting]:[setting]],0), MATCH(AR$277, lmic_raw_ub[#Headers],0)))</f>
        <v>4.470969949560679E-2</v>
      </c>
      <c r="AS392" s="84">
        <f>IF(INDEX(lmic_raw_ub[],MATCH($A392,lmic_raw_ub[[setting]:[setting]],0), MATCH(AS$277, lmic_raw_ub[#Headers],0))=0, INDEX(regions_ub[], MATCH($D392, regions_ub[[setting]:[setting]],0), MATCH(AS$139, regions_ub[#Headers],0)),INDEX(lmic_raw_ub[],MATCH($A392,lmic_raw_ub[[setting]:[setting]],0), MATCH(AS$277, lmic_raw_ub[#Headers],0)))</f>
        <v>6.7020845843525523E-2</v>
      </c>
      <c r="AT392" s="84">
        <f>IF(INDEX(lmic_raw_ub[],MATCH($A392,lmic_raw_ub[[setting]:[setting]],0), MATCH(AT$277, lmic_raw_ub[#Headers],0))=0, INDEX(regions_ub[], MATCH($D392, regions_ub[[setting]:[setting]],0), MATCH(AT$139, regions_ub[#Headers],0)),INDEX(lmic_raw_ub[],MATCH($A392,lmic_raw_ub[[setting]:[setting]],0), MATCH(AT$277, lmic_raw_ub[#Headers],0)))</f>
        <v>9.6661564150910817E-2</v>
      </c>
      <c r="AU392" s="84">
        <f>IF(INDEX(lmic_raw_ub[],MATCH($A392,lmic_raw_ub[[setting]:[setting]],0), MATCH(AU$277, lmic_raw_ub[#Headers],0))=0, INDEX(regions_ub[], MATCH($D392, regions_ub[[setting]:[setting]],0), MATCH(AU$139, regions_ub[#Headers],0)),INDEX(lmic_raw_ub[],MATCH($A392,lmic_raw_ub[[setting]:[setting]],0), MATCH(AU$277, lmic_raw_ub[#Headers],0)))</f>
        <v>0.12777696452902904</v>
      </c>
      <c r="AV392" s="84">
        <f>IF(INDEX(lmic_raw_ub[],MATCH($A392,lmic_raw_ub[[setting]:[setting]],0), MATCH(AV$277, lmic_raw_ub[#Headers],0))=0, INDEX(regions_ub[], MATCH($D392, regions_ub[[setting]:[setting]],0), MATCH(AV$139, regions_ub[#Headers],0)),INDEX(lmic_raw_ub[],MATCH($A392,lmic_raw_ub[[setting]:[setting]],0), MATCH(AV$277, lmic_raw_ub[#Headers],0)))</f>
        <v>0.1556047938930811</v>
      </c>
      <c r="AW392" s="84">
        <f>IF(INDEX(lmic_raw_ub[],MATCH($A392,lmic_raw_ub[[setting]:[setting]],0), MATCH(AW$277, lmic_raw_ub[#Headers],0))=0, INDEX(regions_ub[], MATCH($D392, regions_ub[[setting]:[setting]],0), MATCH(AW$139, regions_ub[#Headers],0)),INDEX(lmic_raw_ub[],MATCH($A392,lmic_raw_ub[[setting]:[setting]],0), MATCH(AW$277, lmic_raw_ub[#Headers],0)))</f>
        <v>0.17624935615569085</v>
      </c>
      <c r="AX392" s="84">
        <f>IF(INDEX(lmic_raw_ub[],MATCH($A392,lmic_raw_ub[[setting]:[setting]],0), MATCH(AX$277, lmic_raw_ub[#Headers],0))=0, INDEX(regions_ub[], MATCH($D392, regions_ub[[setting]:[setting]],0), MATCH(AX$139, regions_ub[#Headers],0)),INDEX(lmic_raw_ub[],MATCH($A392,lmic_raw_ub[[setting]:[setting]],0), MATCH(AX$277, lmic_raw_ub[#Headers],0)))</f>
        <v>68.195399999999992</v>
      </c>
      <c r="AY392" s="33" t="str">
        <f>IF(VLOOKUP(lmics_ub[[#This Row],[setting]],lmic_raw_ub[],11,FALSE)=0, "Yes", "No")</f>
        <v>Yes</v>
      </c>
    </row>
    <row r="393" spans="1:51" x14ac:dyDescent="0.25">
      <c r="A393" s="110" t="s">
        <v>273</v>
      </c>
      <c r="B393" s="104" t="s">
        <v>519</v>
      </c>
      <c r="C393" s="105">
        <v>740</v>
      </c>
      <c r="D393" s="84" t="s">
        <v>679</v>
      </c>
      <c r="E393" s="84" t="s">
        <v>223</v>
      </c>
      <c r="F393" s="84" t="s">
        <v>665</v>
      </c>
      <c r="G393" s="84" t="s">
        <v>676</v>
      </c>
      <c r="J393" s="84">
        <f>IF(INDEX(lmic_raw_ub[],MATCH($A393,lmic_raw_ub[[setting]:[setting]],0), MATCH(J$277, lmic_raw_ub[#Headers],0))=0, INDEX(regions_ub[], MATCH($D393, regions_ub[[setting]:[setting]],0), MATCH(J$139, regions_ub[#Headers],0)),INDEX(lmic_raw_ub[],MATCH($A393,lmic_raw_ub[[setting]:[setting]],0), MATCH(J$277, lmic_raw_ub[#Headers],0)))</f>
        <v>0.97545000000000004</v>
      </c>
      <c r="K393" s="84">
        <f>IF(INDEX(lmic_raw_ub[],MATCH($A393,lmic_raw_ub[[setting]:[setting]],0), MATCH(K$277, lmic_raw_ub[#Headers],0))=0, INDEX(regions_ub[], MATCH($D393, regions_ub[[setting]:[setting]],0), MATCH(K$139, regions_ub[#Headers],0)),INDEX(lmic_raw_ub[],MATCH($A393,lmic_raw_ub[[setting]:[setting]],0), MATCH(K$277, lmic_raw_ub[#Headers],0)))</f>
        <v>0.82950000000000013</v>
      </c>
      <c r="L393" s="84">
        <f>IF(INDEX(lmic_raw_ub[],MATCH($A393,lmic_raw_ub[[setting]:[setting]],0), MATCH(L$277, lmic_raw_ub[#Headers],0))=0, INDEX(regions_ub[], MATCH($D393, regions_ub[[setting]:[setting]],0), MATCH(L$139, regions_ub[#Headers],0)),INDEX(lmic_raw_ub[],MATCH($A393,lmic_raw_ub[[setting]:[setting]],0), MATCH(L$277, lmic_raw_ub[#Headers],0)))</f>
        <v>0.80850000000000011</v>
      </c>
      <c r="M393" s="84">
        <f>IF(INDEX(lmic_raw_ub[],MATCH($A393,lmic_raw_ub[[setting]:[setting]],0), MATCH(M$277, lmic_raw_ub[#Headers],0))=0, INDEX(regions_ub[], MATCH($D393, regions_ub[[setting]:[setting]],0), MATCH(M$139, regions_ub[#Headers],0)),INDEX(lmic_raw_ub[],MATCH($A393,lmic_raw_ub[[setting]:[setting]],0), MATCH(M$277, lmic_raw_ub[#Headers],0)))</f>
        <v>0.14940000000000001</v>
      </c>
      <c r="N393" s="84">
        <f>IF(INDEX(lmic_raw_ub[],MATCH($A393,lmic_raw_ub[[setting]:[setting]],0), MATCH(N$277, lmic_raw_ub[#Headers],0))=0, INDEX(regions_ub[], MATCH($D393, regions_ub[[setting]:[setting]],0), MATCH(N$139, regions_ub[#Headers],0)),INDEX(lmic_raw_ub[],MATCH($A393,lmic_raw_ub[[setting]:[setting]],0), MATCH(N$277, lmic_raw_ub[#Headers],0)))</f>
        <v>0.43</v>
      </c>
      <c r="O393" s="84">
        <f>IF(INDEX(lmic_raw_ub[],MATCH($A393,lmic_raw_ub[[setting]:[setting]],0), MATCH(O$277, lmic_raw_ub[#Headers],0))=0, INDEX(regions_ub[], MATCH($D393, regions_ub[[setting]:[setting]],0), MATCH(O$139, regions_ub[#Headers],0)),INDEX(lmic_raw_ub[],MATCH($A393,lmic_raw_ub[[setting]:[setting]],0), MATCH(O$277, lmic_raw_ub[#Headers],0)))</f>
        <v>0.9</v>
      </c>
      <c r="P393" s="84">
        <f>IF(INDEX(lmic_raw_ub[],MATCH($A393,lmic_raw_ub[[setting]:[setting]],0), MATCH(P$277, lmic_raw_ub[#Headers],0))=0, INDEX(regions_ub[], MATCH($D393, regions_ub[[setting]:[setting]],0), MATCH(P$139, regions_ub[#Headers],0)),INDEX(lmic_raw_ub[],MATCH($A393,lmic_raw_ub[[setting]:[setting]],0), MATCH(P$277, lmic_raw_ub[#Headers],0)))</f>
        <v>0.3</v>
      </c>
      <c r="Q393" s="84">
        <f>IF(INDEX(lmic_raw_ub[],MATCH($A393,lmic_raw_ub[[setting]:[setting]],0), MATCH(Q$277, lmic_raw_ub[#Headers],0))=0, INDEX(regions_ub[], MATCH($D393, regions_ub[[setting]:[setting]],0), MATCH(Q$139, regions_ub[#Headers],0)),INDEX(lmic_raw_ub[],MATCH($A393,lmic_raw_ub[[setting]:[setting]],0), MATCH(Q$277, lmic_raw_ub[#Headers],0)))</f>
        <v>10.40576656973445</v>
      </c>
      <c r="R393" s="84">
        <f>IF(INDEX(lmic_raw_ub[],MATCH($A393,lmic_raw_ub[[setting]:[setting]],0), MATCH(R$277, lmic_raw_ub[#Headers],0))=0, INDEX(regions_ub[], MATCH($D393, regions_ub[[setting]:[setting]],0), MATCH(R$139, regions_ub[#Headers],0)),INDEX(lmic_raw_ub[],MATCH($A393,lmic_raw_ub[[setting]:[setting]],0), MATCH(R$277, lmic_raw_ub[#Headers],0)))</f>
        <v>91.228094999999996</v>
      </c>
      <c r="S393" s="84">
        <f>IF(INDEX(lmic_raw_ub[],MATCH($A393,lmic_raw_ub[[setting]:[setting]],0), MATCH(S$277, lmic_raw_ub[#Headers],0))=0, INDEX(regions_ub[], MATCH($D393, regions_ub[[setting]:[setting]],0), MATCH(S$139, regions_ub[#Headers],0)),INDEX(lmic_raw_ub[],MATCH($A393,lmic_raw_ub[[setting]:[setting]],0), MATCH(S$277, lmic_raw_ub[#Headers],0)))</f>
        <v>141.35719500000002</v>
      </c>
      <c r="T393" s="84">
        <f>IF(INDEX(lmic_raw_ub[],MATCH($A393,lmic_raw_ub[[setting]:[setting]],0), MATCH(T$277, lmic_raw_ub[#Headers],0))=0, INDEX(regions_ub[], MATCH($D393, regions_ub[[setting]:[setting]],0), MATCH(T$139, regions_ub[#Headers],0)),INDEX(lmic_raw_ub[],MATCH($A393,lmic_raw_ub[[setting]:[setting]],0), MATCH(T$277, lmic_raw_ub[#Headers],0)))</f>
        <v>141.35719500000002</v>
      </c>
      <c r="U393" s="84">
        <f>IF(INDEX(lmic_raw_ub[],MATCH($A393,lmic_raw_ub[[setting]:[setting]],0), MATCH(U$277, lmic_raw_ub[#Headers],0))=0, INDEX(regions_ub[], MATCH($D393, regions_ub[[setting]:[setting]],0), MATCH(U$139, regions_ub[#Headers],0)),INDEX(lmic_raw_ub[],MATCH($A393,lmic_raw_ub[[setting]:[setting]],0), MATCH(U$277, lmic_raw_ub[#Headers],0)))</f>
        <v>141.35719500000002</v>
      </c>
      <c r="V393" s="84">
        <f>IF(INDEX(lmic_raw_ub[],MATCH($A393,lmic_raw_ub[[setting]:[setting]],0), MATCH(V$277, lmic_raw_ub[#Headers],0))=0, INDEX(regions_ub[], MATCH($D393, regions_ub[[setting]:[setting]],0), MATCH(V$139, regions_ub[#Headers],0)),INDEX(lmic_raw_ub[],MATCH($A393,lmic_raw_ub[[setting]:[setting]],0), MATCH(V$277, lmic_raw_ub[#Headers],0)))</f>
        <v>18.756951627696484</v>
      </c>
      <c r="W393" s="84">
        <f>IF(INDEX(lmic_raw_ub[],MATCH($A393,lmic_raw_ub[[setting]:[setting]],0), MATCH(W$277, lmic_raw_ub[#Headers],0))=0, INDEX(regions_ub[], MATCH($D393, regions_ub[[setting]:[setting]],0), MATCH(W$139, regions_ub[#Headers],0)),INDEX(lmic_raw_ub[],MATCH($A393,lmic_raw_ub[[setting]:[setting]],0), MATCH(W$277, lmic_raw_ub[#Headers],0)))</f>
        <v>18.779841627696484</v>
      </c>
      <c r="X393" s="84">
        <f>IF(INDEX(lmic_raw_ub[],MATCH($A393,lmic_raw_ub[[setting]:[setting]],0), MATCH(X$277, lmic_raw_ub[#Headers],0))=0, INDEX(regions_ub[], MATCH($D393, regions_ub[[setting]:[setting]],0), MATCH(X$139, regions_ub[#Headers],0)),INDEX(lmic_raw_ub[],MATCH($A393,lmic_raw_ub[[setting]:[setting]],0), MATCH(X$277, lmic_raw_ub[#Headers],0)))</f>
        <v>18.235977656424208</v>
      </c>
      <c r="Y393" s="84">
        <f>IF(INDEX(lmic_raw_ub[],MATCH($A393,lmic_raw_ub[[setting]:[setting]],0), MATCH(Y$277, lmic_raw_ub[#Headers],0))=0, INDEX(regions_ub[], MATCH($D393, regions_ub[[setting]:[setting]],0), MATCH(Y$139, regions_ub[#Headers],0)),INDEX(lmic_raw_ub[],MATCH($A393,lmic_raw_ub[[setting]:[setting]],0), MATCH(Y$277, lmic_raw_ub[#Headers],0)))</f>
        <v>18.258867656424208</v>
      </c>
      <c r="Z393" s="84">
        <f>IF(INDEX(lmic_raw_ub[],MATCH($A393,lmic_raw_ub[[setting]:[setting]],0), MATCH(Z$277, lmic_raw_ub[#Headers],0))=0, INDEX(regions_ub[], MATCH($D393, regions_ub[[setting]:[setting]],0), MATCH(Z$139, regions_ub[#Headers],0)),INDEX(lmic_raw_ub[],MATCH($A393,lmic_raw_ub[[setting]:[setting]],0), MATCH(Z$277, lmic_raw_ub[#Headers],0)))</f>
        <v>18.238207850922088</v>
      </c>
      <c r="AA393" s="84">
        <f>IF(INDEX(lmic_raw_ub[],MATCH($A393,lmic_raw_ub[[setting]:[setting]],0), MATCH(AA$277, lmic_raw_ub[#Headers],0))=0, INDEX(regions_ub[], MATCH($D393, regions_ub[[setting]:[setting]],0), MATCH(AA$139, regions_ub[#Headers],0)),INDEX(lmic_raw_ub[],MATCH($A393,lmic_raw_ub[[setting]:[setting]],0), MATCH(AA$277, lmic_raw_ub[#Headers],0)))</f>
        <v>19.031283967819174</v>
      </c>
      <c r="AB393" s="84">
        <f>IF(INDEX(lmic_raw_ub[],MATCH($A393,lmic_raw_ub[[setting]:[setting]],0), MATCH(AB$277, lmic_raw_ub[#Headers],0))=0, INDEX(regions_ub[], MATCH($D393, regions_ub[[setting]:[setting]],0), MATCH(AB$139, regions_ub[#Headers],0)),INDEX(lmic_raw_ub[],MATCH($A393,lmic_raw_ub[[setting]:[setting]],0), MATCH(AB$277, lmic_raw_ub[#Headers],0)))</f>
        <v>19.054173967819175</v>
      </c>
      <c r="AC393" s="84">
        <f>IF(INDEX(lmic_raw_ub[],MATCH($A393,lmic_raw_ub[[setting]:[setting]],0), MATCH(AC$277, lmic_raw_ub[#Headers],0))=0, INDEX(regions_ub[], MATCH($D393, regions_ub[[setting]:[setting]],0), MATCH(AC$139, regions_ub[#Headers],0)),INDEX(lmic_raw_ub[],MATCH($A393,lmic_raw_ub[[setting]:[setting]],0), MATCH(AC$277, lmic_raw_ub[#Headers],0)))</f>
        <v>1.8371366999999948E-2</v>
      </c>
      <c r="AD393" s="84">
        <f>IF(INDEX(lmic_raw_ub[],MATCH($A393,lmic_raw_ub[[setting]:[setting]],0), MATCH(AD$277, lmic_raw_ub[#Headers],0))=0, INDEX(regions_ub[], MATCH($D393, regions_ub[[setting]:[setting]],0), MATCH(AD$139, regions_ub[#Headers],0)),INDEX(lmic_raw_ub[],MATCH($A393,lmic_raw_ub[[setting]:[setting]],0), MATCH(AD$277, lmic_raw_ub[#Headers],0)))</f>
        <v>5.5348698212218128E-4</v>
      </c>
      <c r="AE393" s="84">
        <f>IF(INDEX(lmic_raw_ub[],MATCH($A393,lmic_raw_ub[[setting]:[setting]],0), MATCH(AE$277, lmic_raw_ub[#Headers],0))=0, INDEX(regions_ub[], MATCH($D393, regions_ub[[setting]:[setting]],0), MATCH(AE$139, regions_ub[#Headers],0)),INDEX(lmic_raw_ub[],MATCH($A393,lmic_raw_ub[[setting]:[setting]],0), MATCH(AE$277, lmic_raw_ub[#Headers],0)))</f>
        <v>5.7846867333960668E-4</v>
      </c>
      <c r="AF393" s="84">
        <f>IF(INDEX(lmic_raw_ub[],MATCH($A393,lmic_raw_ub[[setting]:[setting]],0), MATCH(AF$277, lmic_raw_ub[#Headers],0))=0, INDEX(regions_ub[], MATCH($D393, regions_ub[[setting]:[setting]],0), MATCH(AF$139, regions_ub[#Headers],0)),INDEX(lmic_raw_ub[],MATCH($A393,lmic_raw_ub[[setting]:[setting]],0), MATCH(AF$277, lmic_raw_ub[#Headers],0)))</f>
        <v>3.3118890600516054E-4</v>
      </c>
      <c r="AG393" s="84">
        <f>IF(INDEX(lmic_raw_ub[],MATCH($A393,lmic_raw_ub[[setting]:[setting]],0), MATCH(AG$277, lmic_raw_ub[#Headers],0))=0, INDEX(regions_ub[], MATCH($D393, regions_ub[[setting]:[setting]],0), MATCH(AG$139, regions_ub[#Headers],0)),INDEX(lmic_raw_ub[],MATCH($A393,lmic_raw_ub[[setting]:[setting]],0), MATCH(AG$277, lmic_raw_ub[#Headers],0)))</f>
        <v>6.0395139609980707E-4</v>
      </c>
      <c r="AH393" s="84">
        <f>IF(INDEX(lmic_raw_ub[],MATCH($A393,lmic_raw_ub[[setting]:[setting]],0), MATCH(AH$277, lmic_raw_ub[#Headers],0))=0, INDEX(regions_ub[], MATCH($D393, regions_ub[[setting]:[setting]],0), MATCH(AH$139, regions_ub[#Headers],0)),INDEX(lmic_raw_ub[],MATCH($A393,lmic_raw_ub[[setting]:[setting]],0), MATCH(AH$277, lmic_raw_ub[#Headers],0)))</f>
        <v>1.2334334382935244E-3</v>
      </c>
      <c r="AI393" s="84">
        <f>IF(INDEX(lmic_raw_ub[],MATCH($A393,lmic_raw_ub[[setting]:[setting]],0), MATCH(AI$277, lmic_raw_ub[#Headers],0))=0, INDEX(regions_ub[], MATCH($D393, regions_ub[[setting]:[setting]],0), MATCH(AI$139, regions_ub[#Headers],0)),INDEX(lmic_raw_ub[],MATCH($A393,lmic_raw_ub[[setting]:[setting]],0), MATCH(AI$277, lmic_raw_ub[#Headers],0)))</f>
        <v>1.9910084127090048E-3</v>
      </c>
      <c r="AJ393" s="84">
        <f>IF(INDEX(lmic_raw_ub[],MATCH($A393,lmic_raw_ub[[setting]:[setting]],0), MATCH(AJ$277, lmic_raw_ub[#Headers],0))=0, INDEX(regions_ub[], MATCH($D393, regions_ub[[setting]:[setting]],0), MATCH(AJ$139, regions_ub[#Headers],0)),INDEX(lmic_raw_ub[],MATCH($A393,lmic_raw_ub[[setting]:[setting]],0), MATCH(AJ$277, lmic_raw_ub[#Headers],0)))</f>
        <v>2.6970697975910191E-3</v>
      </c>
      <c r="AK393" s="84">
        <f>IF(INDEX(lmic_raw_ub[],MATCH($A393,lmic_raw_ub[[setting]:[setting]],0), MATCH(AK$277, lmic_raw_ub[#Headers],0))=0, INDEX(regions_ub[], MATCH($D393, regions_ub[[setting]:[setting]],0), MATCH(AK$139, regions_ub[#Headers],0)),INDEX(lmic_raw_ub[],MATCH($A393,lmic_raw_ub[[setting]:[setting]],0), MATCH(AK$277, lmic_raw_ub[#Headers],0)))</f>
        <v>3.3766058241579988E-3</v>
      </c>
      <c r="AL393" s="84">
        <f>IF(INDEX(lmic_raw_ub[],MATCH($A393,lmic_raw_ub[[setting]:[setting]],0), MATCH(AL$277, lmic_raw_ub[#Headers],0))=0, INDEX(regions_ub[], MATCH($D393, regions_ub[[setting]:[setting]],0), MATCH(AL$139, regions_ub[#Headers],0)),INDEX(lmic_raw_ub[],MATCH($A393,lmic_raw_ub[[setting]:[setting]],0), MATCH(AL$277, lmic_raw_ub[#Headers],0)))</f>
        <v>4.1309305998209287E-3</v>
      </c>
      <c r="AM393" s="84">
        <f>IF(INDEX(lmic_raw_ub[],MATCH($A393,lmic_raw_ub[[setting]:[setting]],0), MATCH(AM$277, lmic_raw_ub[#Headers],0))=0, INDEX(regions_ub[], MATCH($D393, regions_ub[[setting]:[setting]],0), MATCH(AM$139, regions_ub[#Headers],0)),INDEX(lmic_raw_ub[],MATCH($A393,lmic_raw_ub[[setting]:[setting]],0), MATCH(AM$277, lmic_raw_ub[#Headers],0)))</f>
        <v>5.3094321041114298E-3</v>
      </c>
      <c r="AN393" s="84">
        <f>IF(INDEX(lmic_raw_ub[],MATCH($A393,lmic_raw_ub[[setting]:[setting]],0), MATCH(AN$277, lmic_raw_ub[#Headers],0))=0, INDEX(regions_ub[], MATCH($D393, regions_ub[[setting]:[setting]],0), MATCH(AN$139, regions_ub[#Headers],0)),INDEX(lmic_raw_ub[],MATCH($A393,lmic_raw_ub[[setting]:[setting]],0), MATCH(AN$277, lmic_raw_ub[#Headers],0)))</f>
        <v>7.6941617681486607E-3</v>
      </c>
      <c r="AO393" s="84">
        <f>IF(INDEX(lmic_raw_ub[],MATCH($A393,lmic_raw_ub[[setting]:[setting]],0), MATCH(AO$277, lmic_raw_ub[#Headers],0))=0, INDEX(regions_ub[], MATCH($D393, regions_ub[[setting]:[setting]],0), MATCH(AO$139, regions_ub[#Headers],0)),INDEX(lmic_raw_ub[],MATCH($A393,lmic_raw_ub[[setting]:[setting]],0), MATCH(AO$277, lmic_raw_ub[#Headers],0)))</f>
        <v>1.1925245100141316E-2</v>
      </c>
      <c r="AP393" s="84">
        <f>IF(INDEX(lmic_raw_ub[],MATCH($A393,lmic_raw_ub[[setting]:[setting]],0), MATCH(AP$277, lmic_raw_ub[#Headers],0))=0, INDEX(regions_ub[], MATCH($D393, regions_ub[[setting]:[setting]],0), MATCH(AP$139, regions_ub[#Headers],0)),INDEX(lmic_raw_ub[],MATCH($A393,lmic_raw_ub[[setting]:[setting]],0), MATCH(AP$277, lmic_raw_ub[#Headers],0)))</f>
        <v>1.8412374234507929E-2</v>
      </c>
      <c r="AQ393" s="84">
        <f>IF(INDEX(lmic_raw_ub[],MATCH($A393,lmic_raw_ub[[setting]:[setting]],0), MATCH(AQ$277, lmic_raw_ub[#Headers],0))=0, INDEX(regions_ub[], MATCH($D393, regions_ub[[setting]:[setting]],0), MATCH(AQ$139, regions_ub[#Headers],0)),INDEX(lmic_raw_ub[],MATCH($A393,lmic_raw_ub[[setting]:[setting]],0), MATCH(AQ$277, lmic_raw_ub[#Headers],0)))</f>
        <v>2.7795866569855308E-2</v>
      </c>
      <c r="AR393" s="84">
        <f>IF(INDEX(lmic_raw_ub[],MATCH($A393,lmic_raw_ub[[setting]:[setting]],0), MATCH(AR$277, lmic_raw_ub[#Headers],0))=0, INDEX(regions_ub[], MATCH($D393, regions_ub[[setting]:[setting]],0), MATCH(AR$139, regions_ub[#Headers],0)),INDEX(lmic_raw_ub[],MATCH($A393,lmic_raw_ub[[setting]:[setting]],0), MATCH(AR$277, lmic_raw_ub[#Headers],0)))</f>
        <v>4.1160395805510237E-2</v>
      </c>
      <c r="AS393" s="84">
        <f>IF(INDEX(lmic_raw_ub[],MATCH($A393,lmic_raw_ub[[setting]:[setting]],0), MATCH(AS$277, lmic_raw_ub[#Headers],0))=0, INDEX(regions_ub[], MATCH($D393, regions_ub[[setting]:[setting]],0), MATCH(AS$139, regions_ub[#Headers],0)),INDEX(lmic_raw_ub[],MATCH($A393,lmic_raw_ub[[setting]:[setting]],0), MATCH(AS$277, lmic_raw_ub[#Headers],0)))</f>
        <v>5.9642984510163831E-2</v>
      </c>
      <c r="AT393" s="84">
        <f>IF(INDEX(lmic_raw_ub[],MATCH($A393,lmic_raw_ub[[setting]:[setting]],0), MATCH(AT$277, lmic_raw_ub[#Headers],0))=0, INDEX(regions_ub[], MATCH($D393, regions_ub[[setting]:[setting]],0), MATCH(AT$139, regions_ub[#Headers],0)),INDEX(lmic_raw_ub[],MATCH($A393,lmic_raw_ub[[setting]:[setting]],0), MATCH(AT$277, lmic_raw_ub[#Headers],0)))</f>
        <v>8.3804937834456056E-2</v>
      </c>
      <c r="AU393" s="84">
        <f>IF(INDEX(lmic_raw_ub[],MATCH($A393,lmic_raw_ub[[setting]:[setting]],0), MATCH(AU$277, lmic_raw_ub[#Headers],0))=0, INDEX(regions_ub[], MATCH($D393, regions_ub[[setting]:[setting]],0), MATCH(AU$139, regions_ub[#Headers],0)),INDEX(lmic_raw_ub[],MATCH($A393,lmic_raw_ub[[setting]:[setting]],0), MATCH(AU$277, lmic_raw_ub[#Headers],0)))</f>
        <v>0.11195017439742516</v>
      </c>
      <c r="AV393" s="84">
        <f>IF(INDEX(lmic_raw_ub[],MATCH($A393,lmic_raw_ub[[setting]:[setting]],0), MATCH(AV$277, lmic_raw_ub[#Headers],0))=0, INDEX(regions_ub[], MATCH($D393, regions_ub[[setting]:[setting]],0), MATCH(AV$139, regions_ub[#Headers],0)),INDEX(lmic_raw_ub[],MATCH($A393,lmic_raw_ub[[setting]:[setting]],0), MATCH(AV$277, lmic_raw_ub[#Headers],0)))</f>
        <v>0.14054328098589122</v>
      </c>
      <c r="AW393" s="84">
        <f>IF(INDEX(lmic_raw_ub[],MATCH($A393,lmic_raw_ub[[setting]:[setting]],0), MATCH(AW$277, lmic_raw_ub[#Headers],0))=0, INDEX(regions_ub[], MATCH($D393, regions_ub[[setting]:[setting]],0), MATCH(AW$139, regions_ub[#Headers],0)),INDEX(lmic_raw_ub[],MATCH($A393,lmic_raw_ub[[setting]:[setting]],0), MATCH(AW$277, lmic_raw_ub[#Headers],0)))</f>
        <v>0.1654472611384466</v>
      </c>
      <c r="AX393" s="84">
        <f>IF(INDEX(lmic_raw_ub[],MATCH($A393,lmic_raw_ub[[setting]:[setting]],0), MATCH(AX$277, lmic_raw_ub[#Headers],0))=0, INDEX(regions_ub[], MATCH($D393, regions_ub[[setting]:[setting]],0), MATCH(AX$139, regions_ub[#Headers],0)),INDEX(lmic_raw_ub[],MATCH($A393,lmic_raw_ub[[setting]:[setting]],0), MATCH(AX$277, lmic_raw_ub[#Headers],0)))</f>
        <v>75.062399999999997</v>
      </c>
      <c r="AY393" s="33" t="str">
        <f>IF(VLOOKUP(lmics_ub[[#This Row],[setting]],lmic_raw_ub[],11,FALSE)=0, "Yes", "No")</f>
        <v>No</v>
      </c>
    </row>
    <row r="394" spans="1:51" x14ac:dyDescent="0.25">
      <c r="A394" s="109" t="s">
        <v>648</v>
      </c>
      <c r="B394" s="101" t="s">
        <v>520</v>
      </c>
      <c r="C394" s="102">
        <v>760</v>
      </c>
      <c r="D394" s="82" t="s">
        <v>673</v>
      </c>
      <c r="E394" s="82" t="s">
        <v>579</v>
      </c>
      <c r="F394" s="82" t="s">
        <v>579</v>
      </c>
      <c r="G394" s="82" t="s">
        <v>674</v>
      </c>
      <c r="J394" s="84">
        <f>IF(INDEX(lmic_raw_ub[],MATCH($A394,lmic_raw_ub[[setting]:[setting]],0), MATCH(J$277, lmic_raw_ub[#Headers],0))=0, INDEX(regions_ub[], MATCH($D394, regions_ub[[setting]:[setting]],0), MATCH(J$139, regions_ub[#Headers],0)),INDEX(lmic_raw_ub[],MATCH($A394,lmic_raw_ub[[setting]:[setting]],0), MATCH(J$277, lmic_raw_ub[#Headers],0)))</f>
        <v>0.82110000000000005</v>
      </c>
      <c r="K394" s="84">
        <f>IF(INDEX(lmic_raw_ub[],MATCH($A394,lmic_raw_ub[[setting]:[setting]],0), MATCH(K$277, lmic_raw_ub[#Headers],0))=0, INDEX(regions_ub[], MATCH($D394, regions_ub[[setting]:[setting]],0), MATCH(K$139, regions_ub[#Headers],0)),INDEX(lmic_raw_ub[],MATCH($A394,lmic_raw_ub[[setting]:[setting]],0), MATCH(K$277, lmic_raw_ub[#Headers],0)))</f>
        <v>0.74462879341111321</v>
      </c>
      <c r="L394" s="84">
        <f>IF(INDEX(lmic_raw_ub[],MATCH($A394,lmic_raw_ub[[setting]:[setting]],0), MATCH(L$277, lmic_raw_ub[#Headers],0))=0, INDEX(regions_ub[], MATCH($D394, regions_ub[[setting]:[setting]],0), MATCH(L$139, regions_ub[#Headers],0)),INDEX(lmic_raw_ub[],MATCH($A394,lmic_raw_ub[[setting]:[setting]],0), MATCH(L$277, lmic_raw_ub[#Headers],0)))</f>
        <v>0.56700000000000006</v>
      </c>
      <c r="M394" s="84">
        <f>IF(INDEX(lmic_raw_ub[],MATCH($A394,lmic_raw_ub[[setting]:[setting]],0), MATCH(M$277, lmic_raw_ub[#Headers],0))=0, INDEX(regions_ub[], MATCH($D394, regions_ub[[setting]:[setting]],0), MATCH(M$139, regions_ub[#Headers],0)),INDEX(lmic_raw_ub[],MATCH($A394,lmic_raw_ub[[setting]:[setting]],0), MATCH(M$277, lmic_raw_ub[#Headers],0)))</f>
        <v>1.54E-2</v>
      </c>
      <c r="N394" s="84">
        <f>IF(INDEX(lmic_raw_ub[],MATCH($A394,lmic_raw_ub[[setting]:[setting]],0), MATCH(N$277, lmic_raw_ub[#Headers],0))=0, INDEX(regions_ub[], MATCH($D394, regions_ub[[setting]:[setting]],0), MATCH(N$139, regions_ub[#Headers],0)),INDEX(lmic_raw_ub[],MATCH($A394,lmic_raw_ub[[setting]:[setting]],0), MATCH(N$277, lmic_raw_ub[#Headers],0)))</f>
        <v>0.37619999999999998</v>
      </c>
      <c r="O394" s="84">
        <f>IF(INDEX(lmic_raw_ub[],MATCH($A394,lmic_raw_ub[[setting]:[setting]],0), MATCH(O$277, lmic_raw_ub[#Headers],0))=0, INDEX(regions_ub[], MATCH($D394, regions_ub[[setting]:[setting]],0), MATCH(O$139, regions_ub[#Headers],0)),INDEX(lmic_raw_ub[],MATCH($A394,lmic_raw_ub[[setting]:[setting]],0), MATCH(O$277, lmic_raw_ub[#Headers],0)))</f>
        <v>0.9</v>
      </c>
      <c r="P394" s="84">
        <f>IF(INDEX(lmic_raw_ub[],MATCH($A394,lmic_raw_ub[[setting]:[setting]],0), MATCH(P$277, lmic_raw_ub[#Headers],0))=0, INDEX(regions_ub[], MATCH($D394, regions_ub[[setting]:[setting]],0), MATCH(P$139, regions_ub[#Headers],0)),INDEX(lmic_raw_ub[],MATCH($A394,lmic_raw_ub[[setting]:[setting]],0), MATCH(P$277, lmic_raw_ub[#Headers],0)))</f>
        <v>0.3</v>
      </c>
      <c r="Q394" s="84">
        <f>IF(INDEX(lmic_raw_ub[],MATCH($A394,lmic_raw_ub[[setting]:[setting]],0), MATCH(Q$277, lmic_raw_ub[#Headers],0))=0, INDEX(regions_ub[], MATCH($D394, regions_ub[[setting]:[setting]],0), MATCH(Q$139, regions_ub[#Headers],0)),INDEX(lmic_raw_ub[],MATCH($A394,lmic_raw_ub[[setting]:[setting]],0), MATCH(Q$277, lmic_raw_ub[#Headers],0)))</f>
        <v>7.8509535232852645</v>
      </c>
      <c r="R394" s="84">
        <f>IF(INDEX(lmic_raw_ub[],MATCH($A394,lmic_raw_ub[[setting]:[setting]],0), MATCH(R$277, lmic_raw_ub[#Headers],0))=0, INDEX(regions_ub[], MATCH($D394, regions_ub[[setting]:[setting]],0), MATCH(R$139, regions_ub[#Headers],0)),INDEX(lmic_raw_ub[],MATCH($A394,lmic_raw_ub[[setting]:[setting]],0), MATCH(R$277, lmic_raw_ub[#Headers],0)))</f>
        <v>48.652695000000001</v>
      </c>
      <c r="S394" s="84">
        <f>IF(INDEX(lmic_raw_ub[],MATCH($A394,lmic_raw_ub[[setting]:[setting]],0), MATCH(S$277, lmic_raw_ub[#Headers],0))=0, INDEX(regions_ub[], MATCH($D394, regions_ub[[setting]:[setting]],0), MATCH(S$139, regions_ub[#Headers],0)),INDEX(lmic_raw_ub[],MATCH($A394,lmic_raw_ub[[setting]:[setting]],0), MATCH(S$277, lmic_raw_ub[#Headers],0)))</f>
        <v>98.781795000000017</v>
      </c>
      <c r="T394" s="84">
        <f>IF(INDEX(lmic_raw_ub[],MATCH($A394,lmic_raw_ub[[setting]:[setting]],0), MATCH(T$277, lmic_raw_ub[#Headers],0))=0, INDEX(regions_ub[], MATCH($D394, regions_ub[[setting]:[setting]],0), MATCH(T$139, regions_ub[#Headers],0)),INDEX(lmic_raw_ub[],MATCH($A394,lmic_raw_ub[[setting]:[setting]],0), MATCH(T$277, lmic_raw_ub[#Headers],0)))</f>
        <v>98.781795000000017</v>
      </c>
      <c r="U394" s="84">
        <f>IF(INDEX(lmic_raw_ub[],MATCH($A394,lmic_raw_ub[[setting]:[setting]],0), MATCH(U$277, lmic_raw_ub[#Headers],0))=0, INDEX(regions_ub[], MATCH($D394, regions_ub[[setting]:[setting]],0), MATCH(U$139, regions_ub[#Headers],0)),INDEX(lmic_raw_ub[],MATCH($A394,lmic_raw_ub[[setting]:[setting]],0), MATCH(U$277, lmic_raw_ub[#Headers],0)))</f>
        <v>98.781795000000017</v>
      </c>
      <c r="V394" s="84">
        <f>IF(INDEX(lmic_raw_ub[],MATCH($A394,lmic_raw_ub[[setting]:[setting]],0), MATCH(V$277, lmic_raw_ub[#Headers],0))=0, INDEX(regions_ub[], MATCH($D394, regions_ub[[setting]:[setting]],0), MATCH(V$139, regions_ub[#Headers],0)),INDEX(lmic_raw_ub[],MATCH($A394,lmic_raw_ub[[setting]:[setting]],0), MATCH(V$277, lmic_raw_ub[#Headers],0)))</f>
        <v>3.1693671353339186</v>
      </c>
      <c r="W394" s="84">
        <f>IF(INDEX(lmic_raw_ub[],MATCH($A394,lmic_raw_ub[[setting]:[setting]],0), MATCH(W$277, lmic_raw_ub[#Headers],0))=0, INDEX(regions_ub[], MATCH($D394, regions_ub[[setting]:[setting]],0), MATCH(W$139, regions_ub[#Headers],0)),INDEX(lmic_raw_ub[],MATCH($A394,lmic_raw_ub[[setting]:[setting]],0), MATCH(W$277, lmic_raw_ub[#Headers],0)))</f>
        <v>3.6729471353339185</v>
      </c>
      <c r="X394" s="84">
        <f>IF(INDEX(lmic_raw_ub[],MATCH($A394,lmic_raw_ub[[setting]:[setting]],0), MATCH(X$277, lmic_raw_ub[#Headers],0))=0, INDEX(regions_ub[], MATCH($D394, regions_ub[[setting]:[setting]],0), MATCH(X$139, regions_ub[#Headers],0)),INDEX(lmic_raw_ub[],MATCH($A394,lmic_raw_ub[[setting]:[setting]],0), MATCH(X$277, lmic_raw_ub[#Headers],0)))</f>
        <v>2.6500476330839495</v>
      </c>
      <c r="Y394" s="84">
        <f>IF(INDEX(lmic_raw_ub[],MATCH($A394,lmic_raw_ub[[setting]:[setting]],0), MATCH(Y$277, lmic_raw_ub[#Headers],0))=0, INDEX(regions_ub[], MATCH($D394, regions_ub[[setting]:[setting]],0), MATCH(Y$139, regions_ub[#Headers],0)),INDEX(lmic_raw_ub[],MATCH($A394,lmic_raw_ub[[setting]:[setting]],0), MATCH(Y$277, lmic_raw_ub[#Headers],0)))</f>
        <v>3.1536276330839494</v>
      </c>
      <c r="Z394" s="84">
        <f>IF(INDEX(lmic_raw_ub[],MATCH($A394,lmic_raw_ub[[setting]:[setting]],0), MATCH(Z$277, lmic_raw_ub[#Headers],0))=0, INDEX(regions_ub[], MATCH($D394, regions_ub[[setting]:[setting]],0), MATCH(Z$139, regions_ub[#Headers],0)),INDEX(lmic_raw_ub[],MATCH($A394,lmic_raw_ub[[setting]:[setting]],0), MATCH(Z$277, lmic_raw_ub[#Headers],0)))</f>
        <v>3.1326920583657709</v>
      </c>
      <c r="AA394" s="84">
        <f>IF(INDEX(lmic_raw_ub[],MATCH($A394,lmic_raw_ub[[setting]:[setting]],0), MATCH(AA$277, lmic_raw_ub[#Headers],0))=0, INDEX(regions_ub[], MATCH($D394, regions_ub[[setting]:[setting]],0), MATCH(AA$139, regions_ub[#Headers],0)),INDEX(lmic_raw_ub[],MATCH($A394,lmic_raw_ub[[setting]:[setting]],0), MATCH(AA$277, lmic_raw_ub[#Headers],0)))</f>
        <v>3.4433239211386595</v>
      </c>
      <c r="AB394" s="84">
        <f>IF(INDEX(lmic_raw_ub[],MATCH($A394,lmic_raw_ub[[setting]:[setting]],0), MATCH(AB$277, lmic_raw_ub[#Headers],0))=0, INDEX(regions_ub[], MATCH($D394, regions_ub[[setting]:[setting]],0), MATCH(AB$139, regions_ub[#Headers],0)),INDEX(lmic_raw_ub[],MATCH($A394,lmic_raw_ub[[setting]:[setting]],0), MATCH(AB$277, lmic_raw_ub[#Headers],0)))</f>
        <v>3.9469039211386594</v>
      </c>
      <c r="AC394" s="84">
        <f>IF(INDEX(lmic_raw_ub[],MATCH($A394,lmic_raw_ub[[setting]:[setting]],0), MATCH(AC$277, lmic_raw_ub[#Headers],0))=0, INDEX(regions_ub[], MATCH($D394, regions_ub[[setting]:[setting]],0), MATCH(AC$139, regions_ub[#Headers],0)),INDEX(lmic_raw_ub[],MATCH($A394,lmic_raw_ub[[setting]:[setting]],0), MATCH(AC$277, lmic_raw_ub[#Headers],0)))</f>
        <v>1.6321021500000019E-2</v>
      </c>
      <c r="AD394" s="84">
        <f>IF(INDEX(lmic_raw_ub[],MATCH($A394,lmic_raw_ub[[setting]:[setting]],0), MATCH(AD$277, lmic_raw_ub[#Headers],0))=0, INDEX(regions_ub[], MATCH($D394, regions_ub[[setting]:[setting]],0), MATCH(AD$139, regions_ub[#Headers],0)),INDEX(lmic_raw_ub[],MATCH($A394,lmic_raw_ub[[setting]:[setting]],0), MATCH(AD$277, lmic_raw_ub[#Headers],0)))</f>
        <v>5.9457230584474008E-4</v>
      </c>
      <c r="AE394" s="84">
        <f>IF(INDEX(lmic_raw_ub[],MATCH($A394,lmic_raw_ub[[setting]:[setting]],0), MATCH(AE$277, lmic_raw_ub[#Headers],0))=0, INDEX(regions_ub[], MATCH($D394, regions_ub[[setting]:[setting]],0), MATCH(AE$139, regions_ub[#Headers],0)),INDEX(lmic_raw_ub[],MATCH($A394,lmic_raw_ub[[setting]:[setting]],0), MATCH(AE$277, lmic_raw_ub[#Headers],0)))</f>
        <v>3.7231133508392654E-4</v>
      </c>
      <c r="AF394" s="84">
        <f>IF(INDEX(lmic_raw_ub[],MATCH($A394,lmic_raw_ub[[setting]:[setting]],0), MATCH(AF$277, lmic_raw_ub[#Headers],0))=0, INDEX(regions_ub[], MATCH($D394, regions_ub[[setting]:[setting]],0), MATCH(AF$139, regions_ub[#Headers],0)),INDEX(lmic_raw_ub[],MATCH($A394,lmic_raw_ub[[setting]:[setting]],0), MATCH(AF$277, lmic_raw_ub[#Headers],0)))</f>
        <v>3.3189505185058889E-4</v>
      </c>
      <c r="AG394" s="84">
        <f>IF(INDEX(lmic_raw_ub[],MATCH($A394,lmic_raw_ub[[setting]:[setting]],0), MATCH(AG$277, lmic_raw_ub[#Headers],0))=0, INDEX(regions_ub[], MATCH($D394, regions_ub[[setting]:[setting]],0), MATCH(AG$139, regions_ub[#Headers],0)),INDEX(lmic_raw_ub[],MATCH($A394,lmic_raw_ub[[setting]:[setting]],0), MATCH(AG$277, lmic_raw_ub[#Headers],0)))</f>
        <v>2.2550427309636308E-3</v>
      </c>
      <c r="AH394" s="84">
        <f>IF(INDEX(lmic_raw_ub[],MATCH($A394,lmic_raw_ub[[setting]:[setting]],0), MATCH(AH$277, lmic_raw_ub[#Headers],0))=0, INDEX(regions_ub[], MATCH($D394, regions_ub[[setting]:[setting]],0), MATCH(AH$139, regions_ub[#Headers],0)),INDEX(lmic_raw_ub[],MATCH($A394,lmic_raw_ub[[setting]:[setting]],0), MATCH(AH$277, lmic_raw_ub[#Headers],0)))</f>
        <v>3.2909142421129289E-3</v>
      </c>
      <c r="AI394" s="84">
        <f>IF(INDEX(lmic_raw_ub[],MATCH($A394,lmic_raw_ub[[setting]:[setting]],0), MATCH(AI$277, lmic_raw_ub[#Headers],0))=0, INDEX(regions_ub[], MATCH($D394, regions_ub[[setting]:[setting]],0), MATCH(AI$139, regions_ub[#Headers],0)),INDEX(lmic_raw_ub[],MATCH($A394,lmic_raw_ub[[setting]:[setting]],0), MATCH(AI$277, lmic_raw_ub[#Headers],0)))</f>
        <v>4.8811839491137267E-3</v>
      </c>
      <c r="AJ394" s="84">
        <f>IF(INDEX(lmic_raw_ub[],MATCH($A394,lmic_raw_ub[[setting]:[setting]],0), MATCH(AJ$277, lmic_raw_ub[#Headers],0))=0, INDEX(regions_ub[], MATCH($D394, regions_ub[[setting]:[setting]],0), MATCH(AJ$139, regions_ub[#Headers],0)),INDEX(lmic_raw_ub[],MATCH($A394,lmic_raw_ub[[setting]:[setting]],0), MATCH(AJ$277, lmic_raw_ub[#Headers],0)))</f>
        <v>4.1932358571168385E-3</v>
      </c>
      <c r="AK394" s="84">
        <f>IF(INDEX(lmic_raw_ub[],MATCH($A394,lmic_raw_ub[[setting]:[setting]],0), MATCH(AK$277, lmic_raw_ub[#Headers],0))=0, INDEX(regions_ub[], MATCH($D394, regions_ub[[setting]:[setting]],0), MATCH(AK$139, regions_ub[#Headers],0)),INDEX(lmic_raw_ub[],MATCH($A394,lmic_raw_ub[[setting]:[setting]],0), MATCH(AK$277, lmic_raw_ub[#Headers],0)))</f>
        <v>2.8568133535646677E-3</v>
      </c>
      <c r="AL394" s="84">
        <f>IF(INDEX(lmic_raw_ub[],MATCH($A394,lmic_raw_ub[[setting]:[setting]],0), MATCH(AL$277, lmic_raw_ub[#Headers],0))=0, INDEX(regions_ub[], MATCH($D394, regions_ub[[setting]:[setting]],0), MATCH(AL$139, regions_ub[#Headers],0)),INDEX(lmic_raw_ub[],MATCH($A394,lmic_raw_ub[[setting]:[setting]],0), MATCH(AL$277, lmic_raw_ub[#Headers],0)))</f>
        <v>2.8583233015923681E-3</v>
      </c>
      <c r="AM394" s="84">
        <f>IF(INDEX(lmic_raw_ub[],MATCH($A394,lmic_raw_ub[[setting]:[setting]],0), MATCH(AM$277, lmic_raw_ub[#Headers],0))=0, INDEX(regions_ub[], MATCH($D394, regions_ub[[setting]:[setting]],0), MATCH(AM$139, regions_ub[#Headers],0)),INDEX(lmic_raw_ub[],MATCH($A394,lmic_raw_ub[[setting]:[setting]],0), MATCH(AM$277, lmic_raw_ub[#Headers],0)))</f>
        <v>4.2693574561719801E-3</v>
      </c>
      <c r="AN394" s="84">
        <f>IF(INDEX(lmic_raw_ub[],MATCH($A394,lmic_raw_ub[[setting]:[setting]],0), MATCH(AN$277, lmic_raw_ub[#Headers],0))=0, INDEX(regions_ub[], MATCH($D394, regions_ub[[setting]:[setting]],0), MATCH(AN$139, regions_ub[#Headers],0)),INDEX(lmic_raw_ub[],MATCH($A394,lmic_raw_ub[[setting]:[setting]],0), MATCH(AN$277, lmic_raw_ub[#Headers],0)))</f>
        <v>6.9541385979065831E-3</v>
      </c>
      <c r="AO394" s="84">
        <f>IF(INDEX(lmic_raw_ub[],MATCH($A394,lmic_raw_ub[[setting]:[setting]],0), MATCH(AO$277, lmic_raw_ub[#Headers],0))=0, INDEX(regions_ub[], MATCH($D394, regions_ub[[setting]:[setting]],0), MATCH(AO$139, regions_ub[#Headers],0)),INDEX(lmic_raw_ub[],MATCH($A394,lmic_raw_ub[[setting]:[setting]],0), MATCH(AO$277, lmic_raw_ub[#Headers],0)))</f>
        <v>8.5161682514391396E-3</v>
      </c>
      <c r="AP394" s="84">
        <f>IF(INDEX(lmic_raw_ub[],MATCH($A394,lmic_raw_ub[[setting]:[setting]],0), MATCH(AP$277, lmic_raw_ub[#Headers],0))=0, INDEX(regions_ub[], MATCH($D394, regions_ub[[setting]:[setting]],0), MATCH(AP$139, regions_ub[#Headers],0)),INDEX(lmic_raw_ub[],MATCH($A394,lmic_raw_ub[[setting]:[setting]],0), MATCH(AP$277, lmic_raw_ub[#Headers],0)))</f>
        <v>1.366296456727493E-2</v>
      </c>
      <c r="AQ394" s="84">
        <f>IF(INDEX(lmic_raw_ub[],MATCH($A394,lmic_raw_ub[[setting]:[setting]],0), MATCH(AQ$277, lmic_raw_ub[#Headers],0))=0, INDEX(regions_ub[], MATCH($D394, regions_ub[[setting]:[setting]],0), MATCH(AQ$139, regions_ub[#Headers],0)),INDEX(lmic_raw_ub[],MATCH($A394,lmic_raw_ub[[setting]:[setting]],0), MATCH(AQ$277, lmic_raw_ub[#Headers],0)))</f>
        <v>2.2653173044982673E-2</v>
      </c>
      <c r="AR394" s="84">
        <f>IF(INDEX(lmic_raw_ub[],MATCH($A394,lmic_raw_ub[[setting]:[setting]],0), MATCH(AR$277, lmic_raw_ub[#Headers],0))=0, INDEX(regions_ub[], MATCH($D394, regions_ub[[setting]:[setting]],0), MATCH(AR$139, regions_ub[#Headers],0)),INDEX(lmic_raw_ub[],MATCH($A394,lmic_raw_ub[[setting]:[setting]],0), MATCH(AR$277, lmic_raw_ub[#Headers],0)))</f>
        <v>3.7272474862667791E-2</v>
      </c>
      <c r="AS394" s="84">
        <f>IF(INDEX(lmic_raw_ub[],MATCH($A394,lmic_raw_ub[[setting]:[setting]],0), MATCH(AS$277, lmic_raw_ub[#Headers],0))=0, INDEX(regions_ub[], MATCH($D394, regions_ub[[setting]:[setting]],0), MATCH(AS$139, regions_ub[#Headers],0)),INDEX(lmic_raw_ub[],MATCH($A394,lmic_raw_ub[[setting]:[setting]],0), MATCH(AS$277, lmic_raw_ub[#Headers],0)))</f>
        <v>5.4760644806118496E-2</v>
      </c>
      <c r="AT394" s="84">
        <f>IF(INDEX(lmic_raw_ub[],MATCH($A394,lmic_raw_ub[[setting]:[setting]],0), MATCH(AT$277, lmic_raw_ub[#Headers],0))=0, INDEX(regions_ub[], MATCH($D394, regions_ub[[setting]:[setting]],0), MATCH(AT$139, regions_ub[#Headers],0)),INDEX(lmic_raw_ub[],MATCH($A394,lmic_raw_ub[[setting]:[setting]],0), MATCH(AT$277, lmic_raw_ub[#Headers],0)))</f>
        <v>8.6875391871879828E-2</v>
      </c>
      <c r="AU394" s="84">
        <f>IF(INDEX(lmic_raw_ub[],MATCH($A394,lmic_raw_ub[[setting]:[setting]],0), MATCH(AU$277, lmic_raw_ub[#Headers],0))=0, INDEX(regions_ub[], MATCH($D394, regions_ub[[setting]:[setting]],0), MATCH(AU$139, regions_ub[#Headers],0)),INDEX(lmic_raw_ub[],MATCH($A394,lmic_raw_ub[[setting]:[setting]],0), MATCH(AU$277, lmic_raw_ub[#Headers],0)))</f>
        <v>0.12335531144691679</v>
      </c>
      <c r="AV394" s="84">
        <f>IF(INDEX(lmic_raw_ub[],MATCH($A394,lmic_raw_ub[[setting]:[setting]],0), MATCH(AV$277, lmic_raw_ub[#Headers],0))=0, INDEX(regions_ub[], MATCH($D394, regions_ub[[setting]:[setting]],0), MATCH(AV$139, regions_ub[#Headers],0)),INDEX(lmic_raw_ub[],MATCH($A394,lmic_raw_ub[[setting]:[setting]],0), MATCH(AV$277, lmic_raw_ub[#Headers],0)))</f>
        <v>0.15828556870058197</v>
      </c>
      <c r="AW394" s="84">
        <f>IF(INDEX(lmic_raw_ub[],MATCH($A394,lmic_raw_ub[[setting]:[setting]],0), MATCH(AW$277, lmic_raw_ub[#Headers],0))=0, INDEX(regions_ub[], MATCH($D394, regions_ub[[setting]:[setting]],0), MATCH(AW$139, regions_ub[#Headers],0)),INDEX(lmic_raw_ub[],MATCH($A394,lmic_raw_ub[[setting]:[setting]],0), MATCH(AW$277, lmic_raw_ub[#Headers],0)))</f>
        <v>0.18155357760825275</v>
      </c>
      <c r="AX394" s="84">
        <f>IF(INDEX(lmic_raw_ub[],MATCH($A394,lmic_raw_ub[[setting]:[setting]],0), MATCH(AX$277, lmic_raw_ub[#Headers],0))=0, INDEX(regions_ub[], MATCH($D394, regions_ub[[setting]:[setting]],0), MATCH(AX$139, regions_ub[#Headers],0)),INDEX(lmic_raw_ub[],MATCH($A394,lmic_raw_ub[[setting]:[setting]],0), MATCH(AX$277, lmic_raw_ub[#Headers],0)))</f>
        <v>74.885999999999996</v>
      </c>
      <c r="AY394" s="33" t="str">
        <f>IF(VLOOKUP(lmics_ub[[#This Row],[setting]],lmic_raw_ub[],11,FALSE)=0, "Yes", "No")</f>
        <v>Yes</v>
      </c>
    </row>
    <row r="395" spans="1:51" x14ac:dyDescent="0.25">
      <c r="A395" s="110" t="s">
        <v>187</v>
      </c>
      <c r="B395" s="104" t="s">
        <v>521</v>
      </c>
      <c r="C395" s="105">
        <v>762</v>
      </c>
      <c r="D395" s="84" t="s">
        <v>675</v>
      </c>
      <c r="E395" s="84" t="s">
        <v>184</v>
      </c>
      <c r="F395" s="84" t="s">
        <v>663</v>
      </c>
      <c r="G395" s="84" t="s">
        <v>674</v>
      </c>
      <c r="J395" s="84">
        <f>IF(INDEX(lmic_raw_ub[],MATCH($A395,lmic_raw_ub[[setting]:[setting]],0), MATCH(J$277, lmic_raw_ub[#Headers],0))=0, INDEX(regions_ub[], MATCH($D395, regions_ub[[setting]:[setting]],0), MATCH(J$139, regions_ub[#Headers],0)),INDEX(lmic_raw_ub[],MATCH($A395,lmic_raw_ub[[setting]:[setting]],0), MATCH(J$277, lmic_raw_ub[#Headers],0)))</f>
        <v>0.92610000000000003</v>
      </c>
      <c r="K395" s="84">
        <f>IF(INDEX(lmic_raw_ub[],MATCH($A395,lmic_raw_ub[[setting]:[setting]],0), MATCH(K$277, lmic_raw_ub[#Headers],0))=0, INDEX(regions_ub[], MATCH($D395, regions_ub[[setting]:[setting]],0), MATCH(K$139, regions_ub[#Headers],0)),INDEX(lmic_raw_ub[],MATCH($A395,lmic_raw_ub[[setting]:[setting]],0), MATCH(K$277, lmic_raw_ub[#Headers],0)))</f>
        <v>0.99990000000000001</v>
      </c>
      <c r="L395" s="84">
        <f>IF(INDEX(lmic_raw_ub[],MATCH($A395,lmic_raw_ub[[setting]:[setting]],0), MATCH(L$277, lmic_raw_ub[#Headers],0))=0, INDEX(regions_ub[], MATCH($D395, regions_ub[[setting]:[setting]],0), MATCH(L$139, regions_ub[#Headers],0)),INDEX(lmic_raw_ub[],MATCH($A395,lmic_raw_ub[[setting]:[setting]],0), MATCH(L$277, lmic_raw_ub[#Headers],0)))</f>
        <v>0.99990000000000001</v>
      </c>
      <c r="M395" s="84">
        <f>IF(INDEX(lmic_raw_ub[],MATCH($A395,lmic_raw_ub[[setting]:[setting]],0), MATCH(M$277, lmic_raw_ub[#Headers],0))=0, INDEX(regions_ub[], MATCH($D395, regions_ub[[setting]:[setting]],0), MATCH(M$139, regions_ub[#Headers],0)),INDEX(lmic_raw_ub[],MATCH($A395,lmic_raw_ub[[setting]:[setting]],0), MATCH(M$277, lmic_raw_ub[#Headers],0)))</f>
        <v>6.8600000000000008E-2</v>
      </c>
      <c r="N395" s="84">
        <f>IF(INDEX(lmic_raw_ub[],MATCH($A395,lmic_raw_ub[[setting]:[setting]],0), MATCH(N$277, lmic_raw_ub[#Headers],0))=0, INDEX(regions_ub[], MATCH($D395, regions_ub[[setting]:[setting]],0), MATCH(N$139, regions_ub[#Headers],0)),INDEX(lmic_raw_ub[],MATCH($A395,lmic_raw_ub[[setting]:[setting]],0), MATCH(N$277, lmic_raw_ub[#Headers],0)))</f>
        <v>0.43079999999999996</v>
      </c>
      <c r="O395" s="84">
        <f>IF(INDEX(lmic_raw_ub[],MATCH($A395,lmic_raw_ub[[setting]:[setting]],0), MATCH(O$277, lmic_raw_ub[#Headers],0))=0, INDEX(regions_ub[], MATCH($D395, regions_ub[[setting]:[setting]],0), MATCH(O$139, regions_ub[#Headers],0)),INDEX(lmic_raw_ub[],MATCH($A395,lmic_raw_ub[[setting]:[setting]],0), MATCH(O$277, lmic_raw_ub[#Headers],0)))</f>
        <v>0.9</v>
      </c>
      <c r="P395" s="84">
        <f>IF(INDEX(lmic_raw_ub[],MATCH($A395,lmic_raw_ub[[setting]:[setting]],0), MATCH(P$277, lmic_raw_ub[#Headers],0))=0, INDEX(regions_ub[], MATCH($D395, regions_ub[[setting]:[setting]],0), MATCH(P$139, regions_ub[#Headers],0)),INDEX(lmic_raw_ub[],MATCH($A395,lmic_raw_ub[[setting]:[setting]],0), MATCH(P$277, lmic_raw_ub[#Headers],0)))</f>
        <v>0.3</v>
      </c>
      <c r="Q395" s="84">
        <f>IF(INDEX(lmic_raw_ub[],MATCH($A395,lmic_raw_ub[[setting]:[setting]],0), MATCH(Q$277, lmic_raw_ub[#Headers],0))=0, INDEX(regions_ub[], MATCH($D395, regions_ub[[setting]:[setting]],0), MATCH(Q$139, regions_ub[#Headers],0)),INDEX(lmic_raw_ub[],MATCH($A395,lmic_raw_ub[[setting]:[setting]],0), MATCH(Q$277, lmic_raw_ub[#Headers],0)))</f>
        <v>3.4018400716640023</v>
      </c>
      <c r="R395" s="84">
        <f>IF(INDEX(lmic_raw_ub[],MATCH($A395,lmic_raw_ub[[setting]:[setting]],0), MATCH(R$277, lmic_raw_ub[#Headers],0))=0, INDEX(regions_ub[], MATCH($D395, regions_ub[[setting]:[setting]],0), MATCH(R$139, regions_ub[#Headers],0)),INDEX(lmic_raw_ub[],MATCH($A395,lmic_raw_ub[[setting]:[setting]],0), MATCH(R$277, lmic_raw_ub[#Headers],0)))</f>
        <v>46.76427000000001</v>
      </c>
      <c r="S395" s="84">
        <f>IF(INDEX(lmic_raw_ub[],MATCH($A395,lmic_raw_ub[[setting]:[setting]],0), MATCH(S$277, lmic_raw_ub[#Headers],0))=0, INDEX(regions_ub[], MATCH($D395, regions_ub[[setting]:[setting]],0), MATCH(S$139, regions_ub[#Headers],0)),INDEX(lmic_raw_ub[],MATCH($A395,lmic_raw_ub[[setting]:[setting]],0), MATCH(S$277, lmic_raw_ub[#Headers],0)))</f>
        <v>96.893370000000019</v>
      </c>
      <c r="T395" s="84">
        <f>IF(INDEX(lmic_raw_ub[],MATCH($A395,lmic_raw_ub[[setting]:[setting]],0), MATCH(T$277, lmic_raw_ub[#Headers],0))=0, INDEX(regions_ub[], MATCH($D395, regions_ub[[setting]:[setting]],0), MATCH(T$139, regions_ub[#Headers],0)),INDEX(lmic_raw_ub[],MATCH($A395,lmic_raw_ub[[setting]:[setting]],0), MATCH(T$277, lmic_raw_ub[#Headers],0)))</f>
        <v>96.893370000000019</v>
      </c>
      <c r="U395" s="84">
        <f>IF(INDEX(lmic_raw_ub[],MATCH($A395,lmic_raw_ub[[setting]:[setting]],0), MATCH(U$277, lmic_raw_ub[#Headers],0))=0, INDEX(regions_ub[], MATCH($D395, regions_ub[[setting]:[setting]],0), MATCH(U$139, regions_ub[#Headers],0)),INDEX(lmic_raw_ub[],MATCH($A395,lmic_raw_ub[[setting]:[setting]],0), MATCH(U$277, lmic_raw_ub[#Headers],0)))</f>
        <v>96.893370000000019</v>
      </c>
      <c r="V395" s="84">
        <f>IF(INDEX(lmic_raw_ub[],MATCH($A395,lmic_raw_ub[[setting]:[setting]],0), MATCH(V$277, lmic_raw_ub[#Headers],0))=0, INDEX(regions_ub[], MATCH($D395, regions_ub[[setting]:[setting]],0), MATCH(V$139, regions_ub[#Headers],0)),INDEX(lmic_raw_ub[],MATCH($A395,lmic_raw_ub[[setting]:[setting]],0), MATCH(V$277, lmic_raw_ub[#Headers],0)))</f>
        <v>6.8614533182452657</v>
      </c>
      <c r="W395" s="84">
        <f>IF(INDEX(lmic_raw_ub[],MATCH($A395,lmic_raw_ub[[setting]:[setting]],0), MATCH(W$277, lmic_raw_ub[#Headers],0))=0, INDEX(regions_ub[], MATCH($D395, regions_ub[[setting]:[setting]],0), MATCH(W$139, regions_ub[#Headers],0)),INDEX(lmic_raw_ub[],MATCH($A395,lmic_raw_ub[[setting]:[setting]],0), MATCH(W$277, lmic_raw_ub[#Headers],0)))</f>
        <v>11.130438318245266</v>
      </c>
      <c r="X395" s="84">
        <f>IF(INDEX(lmic_raw_ub[],MATCH($A395,lmic_raw_ub[[setting]:[setting]],0), MATCH(X$277, lmic_raw_ub[#Headers],0))=0, INDEX(regions_ub[], MATCH($D395, regions_ub[[setting]:[setting]],0), MATCH(X$139, regions_ub[#Headers],0)),INDEX(lmic_raw_ub[],MATCH($A395,lmic_raw_ub[[setting]:[setting]],0), MATCH(X$277, lmic_raw_ub[#Headers],0)))</f>
        <v>6.3631548963959865</v>
      </c>
      <c r="Y395" s="84">
        <f>IF(INDEX(lmic_raw_ub[],MATCH($A395,lmic_raw_ub[[setting]:[setting]],0), MATCH(Y$277, lmic_raw_ub[#Headers],0))=0, INDEX(regions_ub[], MATCH($D395, regions_ub[[setting]:[setting]],0), MATCH(Y$139, regions_ub[#Headers],0)),INDEX(lmic_raw_ub[],MATCH($A395,lmic_raw_ub[[setting]:[setting]],0), MATCH(Y$277, lmic_raw_ub[#Headers],0)))</f>
        <v>10.632139896395987</v>
      </c>
      <c r="Z395" s="84">
        <f>IF(INDEX(lmic_raw_ub[],MATCH($A395,lmic_raw_ub[[setting]:[setting]],0), MATCH(Z$277, lmic_raw_ub[#Headers],0))=0, INDEX(regions_ub[], MATCH($D395, regions_ub[[setting]:[setting]],0), MATCH(Z$139, regions_ub[#Headers],0)),INDEX(lmic_raw_ub[],MATCH($A395,lmic_raw_ub[[setting]:[setting]],0), MATCH(Z$277, lmic_raw_ub[#Headers],0)))</f>
        <v>10.623729179260792</v>
      </c>
      <c r="AA395" s="84">
        <f>IF(INDEX(lmic_raw_ub[],MATCH($A395,lmic_raw_ub[[setting]:[setting]],0), MATCH(AA$277, lmic_raw_ub[#Headers],0))=0, INDEX(regions_ub[], MATCH($D395, regions_ub[[setting]:[setting]],0), MATCH(AA$139, regions_ub[#Headers],0)),INDEX(lmic_raw_ub[],MATCH($A395,lmic_raw_ub[[setting]:[setting]],0), MATCH(AA$277, lmic_raw_ub[#Headers],0)))</f>
        <v>7.1306384477627329</v>
      </c>
      <c r="AB395" s="84">
        <f>IF(INDEX(lmic_raw_ub[],MATCH($A395,lmic_raw_ub[[setting]:[setting]],0), MATCH(AB$277, lmic_raw_ub[#Headers],0))=0, INDEX(regions_ub[], MATCH($D395, regions_ub[[setting]:[setting]],0), MATCH(AB$139, regions_ub[#Headers],0)),INDEX(lmic_raw_ub[],MATCH($A395,lmic_raw_ub[[setting]:[setting]],0), MATCH(AB$277, lmic_raw_ub[#Headers],0)))</f>
        <v>11.399623447762734</v>
      </c>
      <c r="AC395" s="84">
        <f>IF(INDEX(lmic_raw_ub[],MATCH($A395,lmic_raw_ub[[setting]:[setting]],0), MATCH(AC$277, lmic_raw_ub[#Headers],0))=0, INDEX(regions_ub[], MATCH($D395, regions_ub[[setting]:[setting]],0), MATCH(AC$139, regions_ub[#Headers],0)),INDEX(lmic_raw_ub[],MATCH($A395,lmic_raw_ub[[setting]:[setting]],0), MATCH(AC$277, lmic_raw_ub[#Headers],0)))</f>
        <v>3.0739002000000053E-2</v>
      </c>
      <c r="AD395" s="84">
        <f>IF(INDEX(lmic_raw_ub[],MATCH($A395,lmic_raw_ub[[setting]:[setting]],0), MATCH(AD$277, lmic_raw_ub[#Headers],0))=0, INDEX(regions_ub[], MATCH($D395, regions_ub[[setting]:[setting]],0), MATCH(AD$139, regions_ub[#Headers],0)),INDEX(lmic_raw_ub[],MATCH($A395,lmic_raw_ub[[setting]:[setting]],0), MATCH(AD$277, lmic_raw_ub[#Headers],0)))</f>
        <v>8.146053933969766E-4</v>
      </c>
      <c r="AE395" s="84">
        <f>IF(INDEX(lmic_raw_ub[],MATCH($A395,lmic_raw_ub[[setting]:[setting]],0), MATCH(AE$277, lmic_raw_ub[#Headers],0))=0, INDEX(regions_ub[], MATCH($D395, regions_ub[[setting]:[setting]],0), MATCH(AE$139, regions_ub[#Headers],0)),INDEX(lmic_raw_ub[],MATCH($A395,lmic_raw_ub[[setting]:[setting]],0), MATCH(AE$277, lmic_raw_ub[#Headers],0)))</f>
        <v>2.0111306836170293E-4</v>
      </c>
      <c r="AF395" s="84">
        <f>IF(INDEX(lmic_raw_ub[],MATCH($A395,lmic_raw_ub[[setting]:[setting]],0), MATCH(AF$277, lmic_raw_ub[#Headers],0))=0, INDEX(regions_ub[], MATCH($D395, regions_ub[[setting]:[setting]],0), MATCH(AF$139, regions_ub[#Headers],0)),INDEX(lmic_raw_ub[],MATCH($A395,lmic_raw_ub[[setting]:[setting]],0), MATCH(AF$277, lmic_raw_ub[#Headers],0)))</f>
        <v>2.103485013672831E-4</v>
      </c>
      <c r="AG395" s="84">
        <f>IF(INDEX(lmic_raw_ub[],MATCH($A395,lmic_raw_ub[[setting]:[setting]],0), MATCH(AG$277, lmic_raw_ub[#Headers],0))=0, INDEX(regions_ub[], MATCH($D395, regions_ub[[setting]:[setting]],0), MATCH(AG$139, regions_ub[#Headers],0)),INDEX(lmic_raw_ub[],MATCH($A395,lmic_raw_ub[[setting]:[setting]],0), MATCH(AG$277, lmic_raw_ub[#Headers],0)))</f>
        <v>3.48576832137598E-4</v>
      </c>
      <c r="AH395" s="84">
        <f>IF(INDEX(lmic_raw_ub[],MATCH($A395,lmic_raw_ub[[setting]:[setting]],0), MATCH(AH$277, lmic_raw_ub[#Headers],0))=0, INDEX(regions_ub[], MATCH($D395, regions_ub[[setting]:[setting]],0), MATCH(AH$139, regions_ub[#Headers],0)),INDEX(lmic_raw_ub[],MATCH($A395,lmic_raw_ub[[setting]:[setting]],0), MATCH(AH$277, lmic_raw_ub[#Headers],0)))</f>
        <v>5.363655507820013E-4</v>
      </c>
      <c r="AI395" s="84">
        <f>IF(INDEX(lmic_raw_ub[],MATCH($A395,lmic_raw_ub[[setting]:[setting]],0), MATCH(AI$277, lmic_raw_ub[#Headers],0))=0, INDEX(regions_ub[], MATCH($D395, regions_ub[[setting]:[setting]],0), MATCH(AI$139, regions_ub[#Headers],0)),INDEX(lmic_raw_ub[],MATCH($A395,lmic_raw_ub[[setting]:[setting]],0), MATCH(AI$277, lmic_raw_ub[#Headers],0)))</f>
        <v>8.9840572406592496E-4</v>
      </c>
      <c r="AJ395" s="84">
        <f>IF(INDEX(lmic_raw_ub[],MATCH($A395,lmic_raw_ub[[setting]:[setting]],0), MATCH(AJ$277, lmic_raw_ub[#Headers],0))=0, INDEX(regions_ub[], MATCH($D395, regions_ub[[setting]:[setting]],0), MATCH(AJ$139, regions_ub[#Headers],0)),INDEX(lmic_raw_ub[],MATCH($A395,lmic_raw_ub[[setting]:[setting]],0), MATCH(AJ$277, lmic_raw_ub[#Headers],0)))</f>
        <v>1.3809468733470809E-3</v>
      </c>
      <c r="AK395" s="84">
        <f>IF(INDEX(lmic_raw_ub[],MATCH($A395,lmic_raw_ub[[setting]:[setting]],0), MATCH(AK$277, lmic_raw_ub[#Headers],0))=0, INDEX(regions_ub[], MATCH($D395, regions_ub[[setting]:[setting]],0), MATCH(AK$139, regions_ub[#Headers],0)),INDEX(lmic_raw_ub[],MATCH($A395,lmic_raw_ub[[setting]:[setting]],0), MATCH(AK$277, lmic_raw_ub[#Headers],0)))</f>
        <v>2.1127202667968726E-3</v>
      </c>
      <c r="AL395" s="84">
        <f>IF(INDEX(lmic_raw_ub[],MATCH($A395,lmic_raw_ub[[setting]:[setting]],0), MATCH(AL$277, lmic_raw_ub[#Headers],0))=0, INDEX(regions_ub[], MATCH($D395, regions_ub[[setting]:[setting]],0), MATCH(AL$139, regions_ub[#Headers],0)),INDEX(lmic_raw_ub[],MATCH($A395,lmic_raw_ub[[setting]:[setting]],0), MATCH(AL$277, lmic_raw_ub[#Headers],0)))</f>
        <v>2.6797949890995489E-3</v>
      </c>
      <c r="AM395" s="84">
        <f>IF(INDEX(lmic_raw_ub[],MATCH($A395,lmic_raw_ub[[setting]:[setting]],0), MATCH(AM$277, lmic_raw_ub[#Headers],0))=0, INDEX(regions_ub[], MATCH($D395, regions_ub[[setting]:[setting]],0), MATCH(AM$139, regions_ub[#Headers],0)),INDEX(lmic_raw_ub[],MATCH($A395,lmic_raw_ub[[setting]:[setting]],0), MATCH(AM$277, lmic_raw_ub[#Headers],0)))</f>
        <v>3.8215524932911668E-3</v>
      </c>
      <c r="AN395" s="84">
        <f>IF(INDEX(lmic_raw_ub[],MATCH($A395,lmic_raw_ub[[setting]:[setting]],0), MATCH(AN$277, lmic_raw_ub[#Headers],0))=0, INDEX(regions_ub[], MATCH($D395, regions_ub[[setting]:[setting]],0), MATCH(AN$139, regions_ub[#Headers],0)),INDEX(lmic_raw_ub[],MATCH($A395,lmic_raw_ub[[setting]:[setting]],0), MATCH(AN$277, lmic_raw_ub[#Headers],0)))</f>
        <v>6.2848753165892085E-3</v>
      </c>
      <c r="AO395" s="84">
        <f>IF(INDEX(lmic_raw_ub[],MATCH($A395,lmic_raw_ub[[setting]:[setting]],0), MATCH(AO$277, lmic_raw_ub[#Headers],0))=0, INDEX(regions_ub[], MATCH($D395, regions_ub[[setting]:[setting]],0), MATCH(AO$139, regions_ub[#Headers],0)),INDEX(lmic_raw_ub[],MATCH($A395,lmic_raw_ub[[setting]:[setting]],0), MATCH(AO$277, lmic_raw_ub[#Headers],0)))</f>
        <v>1.1188973903740103E-2</v>
      </c>
      <c r="AP395" s="84">
        <f>IF(INDEX(lmic_raw_ub[],MATCH($A395,lmic_raw_ub[[setting]:[setting]],0), MATCH(AP$277, lmic_raw_ub[#Headers],0))=0, INDEX(regions_ub[], MATCH($D395, regions_ub[[setting]:[setting]],0), MATCH(AP$139, regions_ub[#Headers],0)),INDEX(lmic_raw_ub[],MATCH($A395,lmic_raw_ub[[setting]:[setting]],0), MATCH(AP$277, lmic_raw_ub[#Headers],0)))</f>
        <v>1.9322771786814449E-2</v>
      </c>
      <c r="AQ395" s="84">
        <f>IF(INDEX(lmic_raw_ub[],MATCH($A395,lmic_raw_ub[[setting]:[setting]],0), MATCH(AQ$277, lmic_raw_ub[#Headers],0))=0, INDEX(regions_ub[], MATCH($D395, regions_ub[[setting]:[setting]],0), MATCH(AQ$139, regions_ub[#Headers],0)),INDEX(lmic_raw_ub[],MATCH($A395,lmic_raw_ub[[setting]:[setting]],0), MATCH(AQ$277, lmic_raw_ub[#Headers],0)))</f>
        <v>3.027648826426697E-2</v>
      </c>
      <c r="AR395" s="84">
        <f>IF(INDEX(lmic_raw_ub[],MATCH($A395,lmic_raw_ub[[setting]:[setting]],0), MATCH(AR$277, lmic_raw_ub[#Headers],0))=0, INDEX(regions_ub[], MATCH($D395, regions_ub[[setting]:[setting]],0), MATCH(AR$139, regions_ub[#Headers],0)),INDEX(lmic_raw_ub[],MATCH($A395,lmic_raw_ub[[setting]:[setting]],0), MATCH(AR$277, lmic_raw_ub[#Headers],0)))</f>
        <v>4.9993099388046178E-2</v>
      </c>
      <c r="AS395" s="84">
        <f>IF(INDEX(lmic_raw_ub[],MATCH($A395,lmic_raw_ub[[setting]:[setting]],0), MATCH(AS$277, lmic_raw_ub[#Headers],0))=0, INDEX(regions_ub[], MATCH($D395, regions_ub[[setting]:[setting]],0), MATCH(AS$139, regions_ub[#Headers],0)),INDEX(lmic_raw_ub[],MATCH($A395,lmic_raw_ub[[setting]:[setting]],0), MATCH(AS$277, lmic_raw_ub[#Headers],0)))</f>
        <v>7.7598678114881289E-2</v>
      </c>
      <c r="AT395" s="84">
        <f>IF(INDEX(lmic_raw_ub[],MATCH($A395,lmic_raw_ub[[setting]:[setting]],0), MATCH(AT$277, lmic_raw_ub[#Headers],0))=0, INDEX(regions_ub[], MATCH($D395, regions_ub[[setting]:[setting]],0), MATCH(AT$139, regions_ub[#Headers],0)),INDEX(lmic_raw_ub[],MATCH($A395,lmic_raw_ub[[setting]:[setting]],0), MATCH(AT$277, lmic_raw_ub[#Headers],0)))</f>
        <v>0.1109403770688054</v>
      </c>
      <c r="AU395" s="84">
        <f>IF(INDEX(lmic_raw_ub[],MATCH($A395,lmic_raw_ub[[setting]:[setting]],0), MATCH(AU$277, lmic_raw_ub[#Headers],0))=0, INDEX(regions_ub[], MATCH($D395, regions_ub[[setting]:[setting]],0), MATCH(AU$139, regions_ub[#Headers],0)),INDEX(lmic_raw_ub[],MATCH($A395,lmic_raw_ub[[setting]:[setting]],0), MATCH(AU$277, lmic_raw_ub[#Headers],0)))</f>
        <v>0.14401976232239924</v>
      </c>
      <c r="AV395" s="84">
        <f>IF(INDEX(lmic_raw_ub[],MATCH($A395,lmic_raw_ub[[setting]:[setting]],0), MATCH(AV$277, lmic_raw_ub[#Headers],0))=0, INDEX(regions_ub[], MATCH($D395, regions_ub[[setting]:[setting]],0), MATCH(AV$139, regions_ub[#Headers],0)),INDEX(lmic_raw_ub[],MATCH($A395,lmic_raw_ub[[setting]:[setting]],0), MATCH(AV$277, lmic_raw_ub[#Headers],0)))</f>
        <v>0.1726566196803698</v>
      </c>
      <c r="AW395" s="84">
        <f>IF(INDEX(lmic_raw_ub[],MATCH($A395,lmic_raw_ub[[setting]:[setting]],0), MATCH(AW$277, lmic_raw_ub[#Headers],0))=0, INDEX(regions_ub[], MATCH($D395, regions_ub[[setting]:[setting]],0), MATCH(AW$139, regions_ub[#Headers],0)),INDEX(lmic_raw_ub[],MATCH($A395,lmic_raw_ub[[setting]:[setting]],0), MATCH(AW$277, lmic_raw_ub[#Headers],0)))</f>
        <v>0.1913699596897393</v>
      </c>
      <c r="AX395" s="84">
        <f>IF(INDEX(lmic_raw_ub[],MATCH($A395,lmic_raw_ub[[setting]:[setting]],0), MATCH(AX$277, lmic_raw_ub[#Headers],0))=0, INDEX(regions_ub[], MATCH($D395, regions_ub[[setting]:[setting]],0), MATCH(AX$139, regions_ub[#Headers],0)),INDEX(lmic_raw_ub[],MATCH($A395,lmic_raw_ub[[setting]:[setting]],0), MATCH(AX$277, lmic_raw_ub[#Headers],0)))</f>
        <v>74.308499999999995</v>
      </c>
      <c r="AY395" s="33" t="str">
        <f>IF(VLOOKUP(lmics_ub[[#This Row],[setting]],lmic_raw_ub[],11,FALSE)=0, "Yes", "No")</f>
        <v>No</v>
      </c>
    </row>
    <row r="396" spans="1:51" x14ac:dyDescent="0.25">
      <c r="A396" s="82" t="s">
        <v>652</v>
      </c>
      <c r="B396" s="101" t="s">
        <v>534</v>
      </c>
      <c r="C396" s="102">
        <v>834</v>
      </c>
      <c r="D396" s="82" t="s">
        <v>677</v>
      </c>
      <c r="E396" s="82" t="s">
        <v>597</v>
      </c>
      <c r="F396" s="82" t="s">
        <v>667</v>
      </c>
      <c r="G396" s="82" t="s">
        <v>674</v>
      </c>
      <c r="J396" s="84">
        <f>IF(INDEX(lmic_raw_ub[],MATCH($A396,lmic_raw_ub[[setting]:[setting]],0), MATCH(J$277, lmic_raw_ub[#Headers],0))=0, INDEX(regions_ub[], MATCH($D396, regions_ub[[setting]:[setting]],0), MATCH(J$139, regions_ub[#Headers],0)),INDEX(lmic_raw_ub[],MATCH($A396,lmic_raw_ub[[setting]:[setting]],0), MATCH(J$277, lmic_raw_ub[#Headers],0)))</f>
        <v>0.6573</v>
      </c>
      <c r="K396" s="84">
        <f>IF(INDEX(lmic_raw_ub[],MATCH($A396,lmic_raw_ub[[setting]:[setting]],0), MATCH(K$277, lmic_raw_ub[#Headers],0))=0, INDEX(regions_ub[], MATCH($D396, regions_ub[[setting]:[setting]],0), MATCH(K$139, regions_ub[#Headers],0)),INDEX(lmic_raw_ub[],MATCH($A396,lmic_raw_ub[[setting]:[setting]],0), MATCH(K$277, lmic_raw_ub[#Headers],0)))</f>
        <v>0.71433037619548323</v>
      </c>
      <c r="L396" s="84">
        <f>IF(INDEX(lmic_raw_ub[],MATCH($A396,lmic_raw_ub[[setting]:[setting]],0), MATCH(L$277, lmic_raw_ub[#Headers],0))=0, INDEX(regions_ub[], MATCH($D396, regions_ub[[setting]:[setting]],0), MATCH(L$139, regions_ub[#Headers],0)),INDEX(lmic_raw_ub[],MATCH($A396,lmic_raw_ub[[setting]:[setting]],0), MATCH(L$277, lmic_raw_ub[#Headers],0)))</f>
        <v>0.93450000000000011</v>
      </c>
      <c r="M396" s="84">
        <f>IF(INDEX(lmic_raw_ub[],MATCH($A396,lmic_raw_ub[[setting]:[setting]],0), MATCH(M$277, lmic_raw_ub[#Headers],0))=0, INDEX(regions_ub[], MATCH($D396, regions_ub[[setting]:[setting]],0), MATCH(M$139, regions_ub[#Headers],0)),INDEX(lmic_raw_ub[],MATCH($A396,lmic_raw_ub[[setting]:[setting]],0), MATCH(M$277, lmic_raw_ub[#Headers],0)))</f>
        <v>5.16E-2</v>
      </c>
      <c r="N396" s="84">
        <f>IF(INDEX(lmic_raw_ub[],MATCH($A396,lmic_raw_ub[[setting]:[setting]],0), MATCH(N$277, lmic_raw_ub[#Headers],0))=0, INDEX(regions_ub[], MATCH($D396, regions_ub[[setting]:[setting]],0), MATCH(N$139, regions_ub[#Headers],0)),INDEX(lmic_raw_ub[],MATCH($A396,lmic_raw_ub[[setting]:[setting]],0), MATCH(N$277, lmic_raw_ub[#Headers],0)))</f>
        <v>0.39960000000000001</v>
      </c>
      <c r="O396" s="84">
        <f>IF(INDEX(lmic_raw_ub[],MATCH($A396,lmic_raw_ub[[setting]:[setting]],0), MATCH(O$277, lmic_raw_ub[#Headers],0))=0, INDEX(regions_ub[], MATCH($D396, regions_ub[[setting]:[setting]],0), MATCH(O$139, regions_ub[#Headers],0)),INDEX(lmic_raw_ub[],MATCH($A396,lmic_raw_ub[[setting]:[setting]],0), MATCH(O$277, lmic_raw_ub[#Headers],0)))</f>
        <v>0.74399999999999999</v>
      </c>
      <c r="P396" s="84">
        <f>IF(INDEX(lmic_raw_ub[],MATCH($A396,lmic_raw_ub[[setting]:[setting]],0), MATCH(P$277, lmic_raw_ub[#Headers],0))=0, INDEX(regions_ub[], MATCH($D396, regions_ub[[setting]:[setting]],0), MATCH(P$139, regions_ub[#Headers],0)),INDEX(lmic_raw_ub[],MATCH($A396,lmic_raw_ub[[setting]:[setting]],0), MATCH(P$277, lmic_raw_ub[#Headers],0)))</f>
        <v>0.13300000000000001</v>
      </c>
      <c r="Q396" s="84">
        <f>IF(INDEX(lmic_raw_ub[],MATCH($A396,lmic_raw_ub[[setting]:[setting]],0), MATCH(Q$277, lmic_raw_ub[#Headers],0))=0, INDEX(regions_ub[], MATCH($D396, regions_ub[[setting]:[setting]],0), MATCH(Q$139, regions_ub[#Headers],0)),INDEX(lmic_raw_ub[],MATCH($A396,lmic_raw_ub[[setting]:[setting]],0), MATCH(Q$277, lmic_raw_ub[#Headers],0)))</f>
        <v>2.9905774836990124</v>
      </c>
      <c r="R396" s="84">
        <f>IF(INDEX(lmic_raw_ub[],MATCH($A396,lmic_raw_ub[[setting]:[setting]],0), MATCH(R$277, lmic_raw_ub[#Headers],0))=0, INDEX(regions_ub[], MATCH($D396, regions_ub[[setting]:[setting]],0), MATCH(R$139, regions_ub[#Headers],0)),INDEX(lmic_raw_ub[],MATCH($A396,lmic_raw_ub[[setting]:[setting]],0), MATCH(R$277, lmic_raw_ub[#Headers],0)))</f>
        <v>31.416525000000004</v>
      </c>
      <c r="S396" s="84">
        <f>IF(INDEX(lmic_raw_ub[],MATCH($A396,lmic_raw_ub[[setting]:[setting]],0), MATCH(S$277, lmic_raw_ub[#Headers],0))=0, INDEX(regions_ub[], MATCH($D396, regions_ub[[setting]:[setting]],0), MATCH(S$139, regions_ub[#Headers],0)),INDEX(lmic_raw_ub[],MATCH($A396,lmic_raw_ub[[setting]:[setting]],0), MATCH(S$277, lmic_raw_ub[#Headers],0)))</f>
        <v>81.545625000000015</v>
      </c>
      <c r="T396" s="84">
        <f>IF(INDEX(lmic_raw_ub[],MATCH($A396,lmic_raw_ub[[setting]:[setting]],0), MATCH(T$277, lmic_raw_ub[#Headers],0))=0, INDEX(regions_ub[], MATCH($D396, regions_ub[[setting]:[setting]],0), MATCH(T$139, regions_ub[#Headers],0)),INDEX(lmic_raw_ub[],MATCH($A396,lmic_raw_ub[[setting]:[setting]],0), MATCH(T$277, lmic_raw_ub[#Headers],0)))</f>
        <v>81.545625000000015</v>
      </c>
      <c r="U396" s="84">
        <f>IF(INDEX(lmic_raw_ub[],MATCH($A396,lmic_raw_ub[[setting]:[setting]],0), MATCH(U$277, lmic_raw_ub[#Headers],0))=0, INDEX(regions_ub[], MATCH($D396, regions_ub[[setting]:[setting]],0), MATCH(U$139, regions_ub[#Headers],0)),INDEX(lmic_raw_ub[],MATCH($A396,lmic_raw_ub[[setting]:[setting]],0), MATCH(U$277, lmic_raw_ub[#Headers],0)))</f>
        <v>81.545625000000015</v>
      </c>
      <c r="V396" s="84">
        <f>IF(INDEX(lmic_raw_ub[],MATCH($A396,lmic_raw_ub[[setting]:[setting]],0), MATCH(V$277, lmic_raw_ub[#Headers],0))=0, INDEX(regions_ub[], MATCH($D396, regions_ub[[setting]:[setting]],0), MATCH(V$139, regions_ub[#Headers],0)),INDEX(lmic_raw_ub[],MATCH($A396,lmic_raw_ub[[setting]:[setting]],0), MATCH(V$277, lmic_raw_ub[#Headers],0)))</f>
        <v>5.7458753543204928</v>
      </c>
      <c r="W396" s="84">
        <f>IF(INDEX(lmic_raw_ub[],MATCH($A396,lmic_raw_ub[[setting]:[setting]],0), MATCH(W$277, lmic_raw_ub[#Headers],0))=0, INDEX(regions_ub[], MATCH($D396, regions_ub[[setting]:[setting]],0), MATCH(W$139, regions_ub[#Headers],0)),INDEX(lmic_raw_ub[],MATCH($A396,lmic_raw_ub[[setting]:[setting]],0), MATCH(W$277, lmic_raw_ub[#Headers],0)))</f>
        <v>10.816010354320493</v>
      </c>
      <c r="X396" s="84">
        <f>IF(INDEX(lmic_raw_ub[],MATCH($A396,lmic_raw_ub[[setting]:[setting]],0), MATCH(X$277, lmic_raw_ub[#Headers],0))=0, INDEX(regions_ub[], MATCH($D396, regions_ub[[setting]:[setting]],0), MATCH(X$139, regions_ub[#Headers],0)),INDEX(lmic_raw_ub[],MATCH($A396,lmic_raw_ub[[setting]:[setting]],0), MATCH(X$277, lmic_raw_ub[#Headers],0)))</f>
        <v>5.2443788832142939</v>
      </c>
      <c r="Y396" s="84">
        <f>IF(INDEX(lmic_raw_ub[],MATCH($A396,lmic_raw_ub[[setting]:[setting]],0), MATCH(Y$277, lmic_raw_ub[#Headers],0))=0, INDEX(regions_ub[], MATCH($D396, regions_ub[[setting]:[setting]],0), MATCH(Y$139, regions_ub[#Headers],0)),INDEX(lmic_raw_ub[],MATCH($A396,lmic_raw_ub[[setting]:[setting]],0), MATCH(Y$277, lmic_raw_ub[#Headers],0)))</f>
        <v>10.314513883214294</v>
      </c>
      <c r="Z396" s="84">
        <f>IF(INDEX(lmic_raw_ub[],MATCH($A396,lmic_raw_ub[[setting]:[setting]],0), MATCH(Z$277, lmic_raw_ub[#Headers],0))=0, INDEX(regions_ub[], MATCH($D396, regions_ub[[setting]:[setting]],0), MATCH(Z$139, regions_ub[#Headers],0)),INDEX(lmic_raw_ub[],MATCH($A396,lmic_raw_ub[[setting]:[setting]],0), MATCH(Z$277, lmic_raw_ub[#Headers],0)))</f>
        <v>10.305049354008514</v>
      </c>
      <c r="AA396" s="84">
        <f>IF(INDEX(lmic_raw_ub[],MATCH($A396,lmic_raw_ub[[setting]:[setting]],0), MATCH(AA$277, lmic_raw_ub[#Headers],0))=0, INDEX(regions_ub[], MATCH($D396, regions_ub[[setting]:[setting]],0), MATCH(AA$139, regions_ub[#Headers],0)),INDEX(lmic_raw_ub[],MATCH($A396,lmic_raw_ub[[setting]:[setting]],0), MATCH(AA$277, lmic_raw_ub[#Headers],0)))</f>
        <v>6.0157864213993477</v>
      </c>
      <c r="AB396" s="84">
        <f>IF(INDEX(lmic_raw_ub[],MATCH($A396,lmic_raw_ub[[setting]:[setting]],0), MATCH(AB$277, lmic_raw_ub[#Headers],0))=0, INDEX(regions_ub[], MATCH($D396, regions_ub[[setting]:[setting]],0), MATCH(AB$139, regions_ub[#Headers],0)),INDEX(lmic_raw_ub[],MATCH($A396,lmic_raw_ub[[setting]:[setting]],0), MATCH(AB$277, lmic_raw_ub[#Headers],0)))</f>
        <v>11.085921421399348</v>
      </c>
      <c r="AC396" s="84">
        <f>IF(INDEX(lmic_raw_ub[],MATCH($A396,lmic_raw_ub[[setting]:[setting]],0), MATCH(AC$277, lmic_raw_ub[#Headers],0))=0, INDEX(regions_ub[], MATCH($D396, regions_ub[[setting]:[setting]],0), MATCH(AC$139, regions_ub[#Headers],0)),INDEX(lmic_raw_ub[],MATCH($A396,lmic_raw_ub[[setting]:[setting]],0), MATCH(AC$277, lmic_raw_ub[#Headers],0)))</f>
        <v>4.3274752499999992E-2</v>
      </c>
      <c r="AD396" s="84">
        <f>IF(INDEX(lmic_raw_ub[],MATCH($A396,lmic_raw_ub[[setting]:[setting]],0), MATCH(AD$277, lmic_raw_ub[#Headers],0))=0, INDEX(regions_ub[], MATCH($D396, regions_ub[[setting]:[setting]],0), MATCH(AD$139, regions_ub[#Headers],0)),INDEX(lmic_raw_ub[],MATCH($A396,lmic_raw_ub[[setting]:[setting]],0), MATCH(AD$277, lmic_raw_ub[#Headers],0)))</f>
        <v>4.196694006623705E-3</v>
      </c>
      <c r="AE396" s="84">
        <f>IF(INDEX(lmic_raw_ub[],MATCH($A396,lmic_raw_ub[[setting]:[setting]],0), MATCH(AE$277, lmic_raw_ub[#Headers],0))=0, INDEX(regions_ub[], MATCH($D396, regions_ub[[setting]:[setting]],0), MATCH(AE$139, regions_ub[#Headers],0)),INDEX(lmic_raw_ub[],MATCH($A396,lmic_raw_ub[[setting]:[setting]],0), MATCH(AE$277, lmic_raw_ub[#Headers],0)))</f>
        <v>1.6477407645676043E-3</v>
      </c>
      <c r="AF396" s="84">
        <f>IF(INDEX(lmic_raw_ub[],MATCH($A396,lmic_raw_ub[[setting]:[setting]],0), MATCH(AF$277, lmic_raw_ub[#Headers],0))=0, INDEX(regions_ub[], MATCH($D396, regions_ub[[setting]:[setting]],0), MATCH(AF$139, regions_ub[#Headers],0)),INDEX(lmic_raw_ub[],MATCH($A396,lmic_raw_ub[[setting]:[setting]],0), MATCH(AF$277, lmic_raw_ub[#Headers],0)))</f>
        <v>1.1668901151419644E-3</v>
      </c>
      <c r="AG396" s="84">
        <f>IF(INDEX(lmic_raw_ub[],MATCH($A396,lmic_raw_ub[[setting]:[setting]],0), MATCH(AG$277, lmic_raw_ub[#Headers],0))=0, INDEX(regions_ub[], MATCH($D396, regions_ub[[setting]:[setting]],0), MATCH(AG$139, regions_ub[#Headers],0)),INDEX(lmic_raw_ub[],MATCH($A396,lmic_raw_ub[[setting]:[setting]],0), MATCH(AG$277, lmic_raw_ub[#Headers],0)))</f>
        <v>1.8662148762369182E-3</v>
      </c>
      <c r="AH396" s="84">
        <f>IF(INDEX(lmic_raw_ub[],MATCH($A396,lmic_raw_ub[[setting]:[setting]],0), MATCH(AH$277, lmic_raw_ub[#Headers],0))=0, INDEX(regions_ub[], MATCH($D396, regions_ub[[setting]:[setting]],0), MATCH(AH$139, regions_ub[#Headers],0)),INDEX(lmic_raw_ub[],MATCH($A396,lmic_raw_ub[[setting]:[setting]],0), MATCH(AH$277, lmic_raw_ub[#Headers],0)))</f>
        <v>2.699390450381717E-3</v>
      </c>
      <c r="AI396" s="84">
        <f>IF(INDEX(lmic_raw_ub[],MATCH($A396,lmic_raw_ub[[setting]:[setting]],0), MATCH(AI$277, lmic_raw_ub[#Headers],0))=0, INDEX(regions_ub[], MATCH($D396, regions_ub[[setting]:[setting]],0), MATCH(AI$139, regions_ub[#Headers],0)),INDEX(lmic_raw_ub[],MATCH($A396,lmic_raw_ub[[setting]:[setting]],0), MATCH(AI$277, lmic_raw_ub[#Headers],0)))</f>
        <v>3.1311192857966237E-3</v>
      </c>
      <c r="AJ396" s="84">
        <f>IF(INDEX(lmic_raw_ub[],MATCH($A396,lmic_raw_ub[[setting]:[setting]],0), MATCH(AJ$277, lmic_raw_ub[#Headers],0))=0, INDEX(regions_ub[], MATCH($D396, regions_ub[[setting]:[setting]],0), MATCH(AJ$139, regions_ub[#Headers],0)),INDEX(lmic_raw_ub[],MATCH($A396,lmic_raw_ub[[setting]:[setting]],0), MATCH(AJ$277, lmic_raw_ub[#Headers],0)))</f>
        <v>3.6724357051874665E-3</v>
      </c>
      <c r="AK396" s="84">
        <f>IF(INDEX(lmic_raw_ub[],MATCH($A396,lmic_raw_ub[[setting]:[setting]],0), MATCH(AK$277, lmic_raw_ub[#Headers],0))=0, INDEX(regions_ub[], MATCH($D396, regions_ub[[setting]:[setting]],0), MATCH(AK$139, regions_ub[#Headers],0)),INDEX(lmic_raw_ub[],MATCH($A396,lmic_raw_ub[[setting]:[setting]],0), MATCH(AK$277, lmic_raw_ub[#Headers],0)))</f>
        <v>4.4880135504277918E-3</v>
      </c>
      <c r="AL396" s="84">
        <f>IF(INDEX(lmic_raw_ub[],MATCH($A396,lmic_raw_ub[[setting]:[setting]],0), MATCH(AL$277, lmic_raw_ub[#Headers],0))=0, INDEX(regions_ub[], MATCH($D396, regions_ub[[setting]:[setting]],0), MATCH(AL$139, regions_ub[#Headers],0)),INDEX(lmic_raw_ub[],MATCH($A396,lmic_raw_ub[[setting]:[setting]],0), MATCH(AL$277, lmic_raw_ub[#Headers],0)))</f>
        <v>5.6805157010169456E-3</v>
      </c>
      <c r="AM396" s="84">
        <f>IF(INDEX(lmic_raw_ub[],MATCH($A396,lmic_raw_ub[[setting]:[setting]],0), MATCH(AM$277, lmic_raw_ub[#Headers],0))=0, INDEX(regions_ub[], MATCH($D396, regions_ub[[setting]:[setting]],0), MATCH(AM$139, regions_ub[#Headers],0)),INDEX(lmic_raw_ub[],MATCH($A396,lmic_raw_ub[[setting]:[setting]],0), MATCH(AM$277, lmic_raw_ub[#Headers],0)))</f>
        <v>7.1601354095088979E-3</v>
      </c>
      <c r="AN396" s="84">
        <f>IF(INDEX(lmic_raw_ub[],MATCH($A396,lmic_raw_ub[[setting]:[setting]],0), MATCH(AN$277, lmic_raw_ub[#Headers],0))=0, INDEX(regions_ub[], MATCH($D396, regions_ub[[setting]:[setting]],0), MATCH(AN$139, regions_ub[#Headers],0)),INDEX(lmic_raw_ub[],MATCH($A396,lmic_raw_ub[[setting]:[setting]],0), MATCH(AN$277, lmic_raw_ub[#Headers],0)))</f>
        <v>1.0145028989737064E-2</v>
      </c>
      <c r="AO396" s="84">
        <f>IF(INDEX(lmic_raw_ub[],MATCH($A396,lmic_raw_ub[[setting]:[setting]],0), MATCH(AO$277, lmic_raw_ub[#Headers],0))=0, INDEX(regions_ub[], MATCH($D396, regions_ub[[setting]:[setting]],0), MATCH(AO$139, regions_ub[#Headers],0)),INDEX(lmic_raw_ub[],MATCH($A396,lmic_raw_ub[[setting]:[setting]],0), MATCH(AO$277, lmic_raw_ub[#Headers],0)))</f>
        <v>1.361971620622853E-2</v>
      </c>
      <c r="AP396" s="84">
        <f>IF(INDEX(lmic_raw_ub[],MATCH($A396,lmic_raw_ub[[setting]:[setting]],0), MATCH(AP$277, lmic_raw_ub[#Headers],0))=0, INDEX(regions_ub[], MATCH($D396, regions_ub[[setting]:[setting]],0), MATCH(AP$139, regions_ub[#Headers],0)),INDEX(lmic_raw_ub[],MATCH($A396,lmic_raw_ub[[setting]:[setting]],0), MATCH(AP$277, lmic_raw_ub[#Headers],0)))</f>
        <v>2.0511006647375048E-2</v>
      </c>
      <c r="AQ396" s="84">
        <f>IF(INDEX(lmic_raw_ub[],MATCH($A396,lmic_raw_ub[[setting]:[setting]],0), MATCH(AQ$277, lmic_raw_ub[#Headers],0))=0, INDEX(regions_ub[], MATCH($D396, regions_ub[[setting]:[setting]],0), MATCH(AQ$139, regions_ub[#Headers],0)),INDEX(lmic_raw_ub[],MATCH($A396,lmic_raw_ub[[setting]:[setting]],0), MATCH(AQ$277, lmic_raw_ub[#Headers],0)))</f>
        <v>3.1710837248348514E-2</v>
      </c>
      <c r="AR396" s="84">
        <f>IF(INDEX(lmic_raw_ub[],MATCH($A396,lmic_raw_ub[[setting]:[setting]],0), MATCH(AR$277, lmic_raw_ub[#Headers],0))=0, INDEX(regions_ub[], MATCH($D396, regions_ub[[setting]:[setting]],0), MATCH(AR$139, regions_ub[#Headers],0)),INDEX(lmic_raw_ub[],MATCH($A396,lmic_raw_ub[[setting]:[setting]],0), MATCH(AR$277, lmic_raw_ub[#Headers],0)))</f>
        <v>4.9302638158889502E-2</v>
      </c>
      <c r="AS396" s="84">
        <f>IF(INDEX(lmic_raw_ub[],MATCH($A396,lmic_raw_ub[[setting]:[setting]],0), MATCH(AS$277, lmic_raw_ub[#Headers],0))=0, INDEX(regions_ub[], MATCH($D396, regions_ub[[setting]:[setting]],0), MATCH(AS$139, regions_ub[#Headers],0)),INDEX(lmic_raw_ub[],MATCH($A396,lmic_raw_ub[[setting]:[setting]],0), MATCH(AS$277, lmic_raw_ub[#Headers],0)))</f>
        <v>7.5466522919631934E-2</v>
      </c>
      <c r="AT396" s="84">
        <f>IF(INDEX(lmic_raw_ub[],MATCH($A396,lmic_raw_ub[[setting]:[setting]],0), MATCH(AT$277, lmic_raw_ub[#Headers],0))=0, INDEX(regions_ub[], MATCH($D396, regions_ub[[setting]:[setting]],0), MATCH(AT$139, regions_ub[#Headers],0)),INDEX(lmic_raw_ub[],MATCH($A396,lmic_raw_ub[[setting]:[setting]],0), MATCH(AT$277, lmic_raw_ub[#Headers],0)))</f>
        <v>0.1123328387871995</v>
      </c>
      <c r="AU396" s="84">
        <f>IF(INDEX(lmic_raw_ub[],MATCH($A396,lmic_raw_ub[[setting]:[setting]],0), MATCH(AU$277, lmic_raw_ub[#Headers],0))=0, INDEX(regions_ub[], MATCH($D396, regions_ub[[setting]:[setting]],0), MATCH(AU$139, regions_ub[#Headers],0)),INDEX(lmic_raw_ub[],MATCH($A396,lmic_raw_ub[[setting]:[setting]],0), MATCH(AU$277, lmic_raw_ub[#Headers],0)))</f>
        <v>0.15424640561807276</v>
      </c>
      <c r="AV396" s="84">
        <f>IF(INDEX(lmic_raw_ub[],MATCH($A396,lmic_raw_ub[[setting]:[setting]],0), MATCH(AV$277, lmic_raw_ub[#Headers],0))=0, INDEX(regions_ub[], MATCH($D396, regions_ub[[setting]:[setting]],0), MATCH(AV$139, regions_ub[#Headers],0)),INDEX(lmic_raw_ub[],MATCH($A396,lmic_raw_ub[[setting]:[setting]],0), MATCH(AV$277, lmic_raw_ub[#Headers],0)))</f>
        <v>0.18884488568208707</v>
      </c>
      <c r="AW396" s="84">
        <f>IF(INDEX(lmic_raw_ub[],MATCH($A396,lmic_raw_ub[[setting]:[setting]],0), MATCH(AW$277, lmic_raw_ub[#Headers],0))=0, INDEX(regions_ub[], MATCH($D396, regions_ub[[setting]:[setting]],0), MATCH(AW$139, regions_ub[#Headers],0)),INDEX(lmic_raw_ub[],MATCH($A396,lmic_raw_ub[[setting]:[setting]],0), MATCH(AW$277, lmic_raw_ub[#Headers],0)))</f>
        <v>0.19933884498058171</v>
      </c>
      <c r="AX396" s="84">
        <f>IF(INDEX(lmic_raw_ub[],MATCH($A396,lmic_raw_ub[[setting]:[setting]],0), MATCH(AX$277, lmic_raw_ub[#Headers],0))=0, INDEX(regions_ub[], MATCH($D396, regions_ub[[setting]:[setting]],0), MATCH(AX$139, regions_ub[#Headers],0)),INDEX(lmic_raw_ub[],MATCH($A396,lmic_raw_ub[[setting]:[setting]],0), MATCH(AX$277, lmic_raw_ub[#Headers],0)))</f>
        <v>68.084100000000007</v>
      </c>
      <c r="AY396" s="33" t="str">
        <f>IF(VLOOKUP(lmics_ub[[#This Row],[setting]],lmic_raw_ub[],11,FALSE)=0, "Yes", "No")</f>
        <v>Yes</v>
      </c>
    </row>
    <row r="397" spans="1:51" x14ac:dyDescent="0.25">
      <c r="A397" s="110" t="s">
        <v>219</v>
      </c>
      <c r="B397" s="104" t="s">
        <v>522</v>
      </c>
      <c r="C397" s="105">
        <v>764</v>
      </c>
      <c r="D397" s="84" t="s">
        <v>680</v>
      </c>
      <c r="E397" s="84" t="s">
        <v>598</v>
      </c>
      <c r="F397" s="84" t="s">
        <v>666</v>
      </c>
      <c r="G397" s="84" t="s">
        <v>676</v>
      </c>
      <c r="J397" s="84">
        <f>IF(INDEX(lmic_raw_ub[],MATCH($A397,lmic_raw_ub[[setting]:[setting]],0), MATCH(J$277, lmic_raw_ub[#Headers],0))=0, INDEX(regions_ub[], MATCH($D397, regions_ub[[setting]:[setting]],0), MATCH(J$139, regions_ub[#Headers],0)),INDEX(lmic_raw_ub[],MATCH($A397,lmic_raw_ub[[setting]:[setting]],0), MATCH(J$277, lmic_raw_ub[#Headers],0)))</f>
        <v>0.99990000000000001</v>
      </c>
      <c r="K397" s="84">
        <f>IF(INDEX(lmic_raw_ub[],MATCH($A397,lmic_raw_ub[[setting]:[setting]],0), MATCH(K$277, lmic_raw_ub[#Headers],0))=0, INDEX(regions_ub[], MATCH($D397, regions_ub[[setting]:[setting]],0), MATCH(K$139, regions_ub[#Headers],0)),INDEX(lmic_raw_ub[],MATCH($A397,lmic_raw_ub[[setting]:[setting]],0), MATCH(K$277, lmic_raw_ub[#Headers],0)))</f>
        <v>0.99990000000000001</v>
      </c>
      <c r="L397" s="84">
        <f>IF(INDEX(lmic_raw_ub[],MATCH($A397,lmic_raw_ub[[setting]:[setting]],0), MATCH(L$277, lmic_raw_ub[#Headers],0))=0, INDEX(regions_ub[], MATCH($D397, regions_ub[[setting]:[setting]],0), MATCH(L$139, regions_ub[#Headers],0)),INDEX(lmic_raw_ub[],MATCH($A397,lmic_raw_ub[[setting]:[setting]],0), MATCH(L$277, lmic_raw_ub[#Headers],0)))</f>
        <v>0.99990000000000001</v>
      </c>
      <c r="M397" s="84">
        <f>IF(INDEX(lmic_raw_ub[],MATCH($A397,lmic_raw_ub[[setting]:[setting]],0), MATCH(M$277, lmic_raw_ub[#Headers],0))=0, INDEX(regions_ub[], MATCH($D397, regions_ub[[setting]:[setting]],0), MATCH(M$139, regions_ub[#Headers],0)),INDEX(lmic_raw_ub[],MATCH($A397,lmic_raw_ub[[setting]:[setting]],0), MATCH(M$277, lmic_raw_ub[#Headers],0)))</f>
        <v>1.7899999999999999E-2</v>
      </c>
      <c r="N397" s="84">
        <f>IF(INDEX(lmic_raw_ub[],MATCH($A397,lmic_raw_ub[[setting]:[setting]],0), MATCH(N$277, lmic_raw_ub[#Headers],0))=0, INDEX(regions_ub[], MATCH($D397, regions_ub[[setting]:[setting]],0), MATCH(N$139, regions_ub[#Headers],0)),INDEX(lmic_raw_ub[],MATCH($A397,lmic_raw_ub[[setting]:[setting]],0), MATCH(N$277, lmic_raw_ub[#Headers],0)))</f>
        <v>0.47729999999999995</v>
      </c>
      <c r="O397" s="84">
        <f>IF(INDEX(lmic_raw_ub[],MATCH($A397,lmic_raw_ub[[setting]:[setting]],0), MATCH(O$277, lmic_raw_ub[#Headers],0))=0, INDEX(regions_ub[], MATCH($D397, regions_ub[[setting]:[setting]],0), MATCH(O$139, regions_ub[#Headers],0)),INDEX(lmic_raw_ub[],MATCH($A397,lmic_raw_ub[[setting]:[setting]],0), MATCH(O$277, lmic_raw_ub[#Headers],0)))</f>
        <v>0.9</v>
      </c>
      <c r="P397" s="84">
        <f>IF(INDEX(lmic_raw_ub[],MATCH($A397,lmic_raw_ub[[setting]:[setting]],0), MATCH(P$277, lmic_raw_ub[#Headers],0))=0, INDEX(regions_ub[], MATCH($D397, regions_ub[[setting]:[setting]],0), MATCH(P$139, regions_ub[#Headers],0)),INDEX(lmic_raw_ub[],MATCH($A397,lmic_raw_ub[[setting]:[setting]],0), MATCH(P$277, lmic_raw_ub[#Headers],0)))</f>
        <v>0.3</v>
      </c>
      <c r="Q397" s="84">
        <f>IF(INDEX(lmic_raw_ub[],MATCH($A397,lmic_raw_ub[[setting]:[setting]],0), MATCH(Q$277, lmic_raw_ub[#Headers],0))=0, INDEX(regions_ub[], MATCH($D397, regions_ub[[setting]:[setting]],0), MATCH(Q$139, regions_ub[#Headers],0)),INDEX(lmic_raw_ub[],MATCH($A397,lmic_raw_ub[[setting]:[setting]],0), MATCH(Q$277, lmic_raw_ub[#Headers],0)))</f>
        <v>7.8758785286164761</v>
      </c>
      <c r="R397" s="84">
        <f>IF(INDEX(lmic_raw_ub[],MATCH($A397,lmic_raw_ub[[setting]:[setting]],0), MATCH(R$277, lmic_raw_ub[#Headers],0))=0, INDEX(regions_ub[], MATCH($D397, regions_ub[[setting]:[setting]],0), MATCH(R$139, regions_ub[#Headers],0)),INDEX(lmic_raw_ub[],MATCH($A397,lmic_raw_ub[[setting]:[setting]],0), MATCH(R$277, lmic_raw_ub[#Headers],0)))</f>
        <v>76.738725000000002</v>
      </c>
      <c r="S397" s="84">
        <f>IF(INDEX(lmic_raw_ub[],MATCH($A397,lmic_raw_ub[[setting]:[setting]],0), MATCH(S$277, lmic_raw_ub[#Headers],0))=0, INDEX(regions_ub[], MATCH($D397, regions_ub[[setting]:[setting]],0), MATCH(S$139, regions_ub[#Headers],0)),INDEX(lmic_raw_ub[],MATCH($A397,lmic_raw_ub[[setting]:[setting]],0), MATCH(S$277, lmic_raw_ub[#Headers],0)))</f>
        <v>126.867825</v>
      </c>
      <c r="T397" s="84">
        <f>IF(INDEX(lmic_raw_ub[],MATCH($A397,lmic_raw_ub[[setting]:[setting]],0), MATCH(T$277, lmic_raw_ub[#Headers],0))=0, INDEX(regions_ub[], MATCH($D397, regions_ub[[setting]:[setting]],0), MATCH(T$139, regions_ub[#Headers],0)),INDEX(lmic_raw_ub[],MATCH($A397,lmic_raw_ub[[setting]:[setting]],0), MATCH(T$277, lmic_raw_ub[#Headers],0)))</f>
        <v>126.867825</v>
      </c>
      <c r="U397" s="84">
        <f>IF(INDEX(lmic_raw_ub[],MATCH($A397,lmic_raw_ub[[setting]:[setting]],0), MATCH(U$277, lmic_raw_ub[#Headers],0))=0, INDEX(regions_ub[], MATCH($D397, regions_ub[[setting]:[setting]],0), MATCH(U$139, regions_ub[#Headers],0)),INDEX(lmic_raw_ub[],MATCH($A397,lmic_raw_ub[[setting]:[setting]],0), MATCH(U$277, lmic_raw_ub[#Headers],0)))</f>
        <v>126.867825</v>
      </c>
      <c r="V397" s="84">
        <f>IF(INDEX(lmic_raw_ub[],MATCH($A397,lmic_raw_ub[[setting]:[setting]],0), MATCH(V$277, lmic_raw_ub[#Headers],0))=0, INDEX(regions_ub[], MATCH($D397, regions_ub[[setting]:[setting]],0), MATCH(V$139, regions_ub[#Headers],0)),INDEX(lmic_raw_ub[],MATCH($A397,lmic_raw_ub[[setting]:[setting]],0), MATCH(V$277, lmic_raw_ub[#Headers],0)))</f>
        <v>9.9162889439111961</v>
      </c>
      <c r="W397" s="84">
        <f>IF(INDEX(lmic_raw_ub[],MATCH($A397,lmic_raw_ub[[setting]:[setting]],0), MATCH(W$277, lmic_raw_ub[#Headers],0))=0, INDEX(regions_ub[], MATCH($D397, regions_ub[[setting]:[setting]],0), MATCH(W$139, regions_ub[#Headers],0)),INDEX(lmic_raw_ub[],MATCH($A397,lmic_raw_ub[[setting]:[setting]],0), MATCH(W$277, lmic_raw_ub[#Headers],0)))</f>
        <v>10.580098943911196</v>
      </c>
      <c r="X397" s="84">
        <f>IF(INDEX(lmic_raw_ub[],MATCH($A397,lmic_raw_ub[[setting]:[setting]],0), MATCH(X$277, lmic_raw_ub[#Headers],0))=0, INDEX(regions_ub[], MATCH($D397, regions_ub[[setting]:[setting]],0), MATCH(X$139, regions_ub[#Headers],0)),INDEX(lmic_raw_ub[],MATCH($A397,lmic_raw_ub[[setting]:[setting]],0), MATCH(X$277, lmic_raw_ub[#Headers],0)))</f>
        <v>9.3875298967628904</v>
      </c>
      <c r="Y397" s="84">
        <f>IF(INDEX(lmic_raw_ub[],MATCH($A397,lmic_raw_ub[[setting]:[setting]],0), MATCH(Y$277, lmic_raw_ub[#Headers],0))=0, INDEX(regions_ub[], MATCH($D397, regions_ub[[setting]:[setting]],0), MATCH(Y$139, regions_ub[#Headers],0)),INDEX(lmic_raw_ub[],MATCH($A397,lmic_raw_ub[[setting]:[setting]],0), MATCH(Y$277, lmic_raw_ub[#Headers],0)))</f>
        <v>10.05133989676289</v>
      </c>
      <c r="Z397" s="84">
        <f>IF(INDEX(lmic_raw_ub[],MATCH($A397,lmic_raw_ub[[setting]:[setting]],0), MATCH(Z$277, lmic_raw_ub[#Headers],0))=0, INDEX(regions_ub[], MATCH($D397, regions_ub[[setting]:[setting]],0), MATCH(Z$139, regions_ub[#Headers],0)),INDEX(lmic_raw_ub[],MATCH($A397,lmic_raw_ub[[setting]:[setting]],0), MATCH(Z$277, lmic_raw_ub[#Headers],0)))</f>
        <v>10.026933348377693</v>
      </c>
      <c r="AA397" s="84">
        <f>IF(INDEX(lmic_raw_ub[],MATCH($A397,lmic_raw_ub[[setting]:[setting]],0), MATCH(AA$277, lmic_raw_ub[#Headers],0))=0, INDEX(regions_ub[], MATCH($D397, regions_ub[[setting]:[setting]],0), MATCH(AA$139, regions_ub[#Headers],0)),INDEX(lmic_raw_ub[],MATCH($A397,lmic_raw_ub[[setting]:[setting]],0), MATCH(AA$277, lmic_raw_ub[#Headers],0)))</f>
        <v>10.192388448496542</v>
      </c>
      <c r="AB397" s="84">
        <f>IF(INDEX(lmic_raw_ub[],MATCH($A397,lmic_raw_ub[[setting]:[setting]],0), MATCH(AB$277, lmic_raw_ub[#Headers],0))=0, INDEX(regions_ub[], MATCH($D397, regions_ub[[setting]:[setting]],0), MATCH(AB$139, regions_ub[#Headers],0)),INDEX(lmic_raw_ub[],MATCH($A397,lmic_raw_ub[[setting]:[setting]],0), MATCH(AB$277, lmic_raw_ub[#Headers],0)))</f>
        <v>10.856198448496542</v>
      </c>
      <c r="AC397" s="84">
        <f>IF(INDEX(lmic_raw_ub[],MATCH($A397,lmic_raw_ub[[setting]:[setting]],0), MATCH(AC$277, lmic_raw_ub[#Headers],0))=0, INDEX(regions_ub[], MATCH($D397, regions_ub[[setting]:[setting]],0), MATCH(AC$139, regions_ub[#Headers],0)),INDEX(lmic_raw_ub[],MATCH($A397,lmic_raw_ub[[setting]:[setting]],0), MATCH(AC$277, lmic_raw_ub[#Headers],0)))</f>
        <v>8.1419205000000227E-3</v>
      </c>
      <c r="AD397" s="84">
        <f>IF(INDEX(lmic_raw_ub[],MATCH($A397,lmic_raw_ub[[setting]:[setting]],0), MATCH(AD$277, lmic_raw_ub[#Headers],0))=0, INDEX(regions_ub[], MATCH($D397, regions_ub[[setting]:[setting]],0), MATCH(AD$139, regions_ub[#Headers],0)),INDEX(lmic_raw_ub[],MATCH($A397,lmic_raw_ub[[setting]:[setting]],0), MATCH(AD$277, lmic_raw_ub[#Headers],0)))</f>
        <v>3.2944848775826708E-4</v>
      </c>
      <c r="AE397" s="84">
        <f>IF(INDEX(lmic_raw_ub[],MATCH($A397,lmic_raw_ub[[setting]:[setting]],0), MATCH(AE$277, lmic_raw_ub[#Headers],0))=0, INDEX(regions_ub[], MATCH($D397, regions_ub[[setting]:[setting]],0), MATCH(AE$139, regions_ub[#Headers],0)),INDEX(lmic_raw_ub[],MATCH($A397,lmic_raw_ub[[setting]:[setting]],0), MATCH(AE$277, lmic_raw_ub[#Headers],0)))</f>
        <v>2.7837383085827422E-4</v>
      </c>
      <c r="AF397" s="84">
        <f>IF(INDEX(lmic_raw_ub[],MATCH($A397,lmic_raw_ub[[setting]:[setting]],0), MATCH(AF$277, lmic_raw_ub[#Headers],0))=0, INDEX(regions_ub[], MATCH($D397, regions_ub[[setting]:[setting]],0), MATCH(AF$139, regions_ub[#Headers],0)),INDEX(lmic_raw_ub[],MATCH($A397,lmic_raw_ub[[setting]:[setting]],0), MATCH(AF$277, lmic_raw_ub[#Headers],0)))</f>
        <v>4.3332041140043944E-4</v>
      </c>
      <c r="AG397" s="84">
        <f>IF(INDEX(lmic_raw_ub[],MATCH($A397,lmic_raw_ub[[setting]:[setting]],0), MATCH(AG$277, lmic_raw_ub[#Headers],0))=0, INDEX(regions_ub[], MATCH($D397, regions_ub[[setting]:[setting]],0), MATCH(AG$139, regions_ub[#Headers],0)),INDEX(lmic_raw_ub[],MATCH($A397,lmic_raw_ub[[setting]:[setting]],0), MATCH(AG$277, lmic_raw_ub[#Headers],0)))</f>
        <v>1.1293644707260986E-3</v>
      </c>
      <c r="AH397" s="84">
        <f>IF(INDEX(lmic_raw_ub[],MATCH($A397,lmic_raw_ub[[setting]:[setting]],0), MATCH(AH$277, lmic_raw_ub[#Headers],0))=0, INDEX(regions_ub[], MATCH($D397, regions_ub[[setting]:[setting]],0), MATCH(AH$139, regions_ub[#Headers],0)),INDEX(lmic_raw_ub[],MATCH($A397,lmic_raw_ub[[setting]:[setting]],0), MATCH(AH$277, lmic_raw_ub[#Headers],0)))</f>
        <v>1.0821935070727073E-3</v>
      </c>
      <c r="AI397" s="84">
        <f>IF(INDEX(lmic_raw_ub[],MATCH($A397,lmic_raw_ub[[setting]:[setting]],0), MATCH(AI$277, lmic_raw_ub[#Headers],0))=0, INDEX(regions_ub[], MATCH($D397, regions_ub[[setting]:[setting]],0), MATCH(AI$139, regions_ub[#Headers],0)),INDEX(lmic_raw_ub[],MATCH($A397,lmic_raw_ub[[setting]:[setting]],0), MATCH(AI$277, lmic_raw_ub[#Headers],0)))</f>
        <v>1.1874840071217391E-3</v>
      </c>
      <c r="AJ397" s="84">
        <f>IF(INDEX(lmic_raw_ub[],MATCH($A397,lmic_raw_ub[[setting]:[setting]],0), MATCH(AJ$277, lmic_raw_ub[#Headers],0))=0, INDEX(regions_ub[], MATCH($D397, regions_ub[[setting]:[setting]],0), MATCH(AJ$139, regions_ub[#Headers],0)),INDEX(lmic_raw_ub[],MATCH($A397,lmic_raw_ub[[setting]:[setting]],0), MATCH(AJ$277, lmic_raw_ub[#Headers],0)))</f>
        <v>1.6897122070438299E-3</v>
      </c>
      <c r="AK397" s="84">
        <f>IF(INDEX(lmic_raw_ub[],MATCH($A397,lmic_raw_ub[[setting]:[setting]],0), MATCH(AK$277, lmic_raw_ub[#Headers],0))=0, INDEX(regions_ub[], MATCH($D397, regions_ub[[setting]:[setting]],0), MATCH(AK$139, regions_ub[#Headers],0)),INDEX(lmic_raw_ub[],MATCH($A397,lmic_raw_ub[[setting]:[setting]],0), MATCH(AK$277, lmic_raw_ub[#Headers],0)))</f>
        <v>2.5668091053516391E-3</v>
      </c>
      <c r="AL397" s="84">
        <f>IF(INDEX(lmic_raw_ub[],MATCH($A397,lmic_raw_ub[[setting]:[setting]],0), MATCH(AL$277, lmic_raw_ub[#Headers],0))=0, INDEX(regions_ub[], MATCH($D397, regions_ub[[setting]:[setting]],0), MATCH(AL$139, regions_ub[#Headers],0)),INDEX(lmic_raw_ub[],MATCH($A397,lmic_raw_ub[[setting]:[setting]],0), MATCH(AL$277, lmic_raw_ub[#Headers],0)))</f>
        <v>3.5126631594236987E-3</v>
      </c>
      <c r="AM397" s="84">
        <f>IF(INDEX(lmic_raw_ub[],MATCH($A397,lmic_raw_ub[[setting]:[setting]],0), MATCH(AM$277, lmic_raw_ub[#Headers],0))=0, INDEX(regions_ub[], MATCH($D397, regions_ub[[setting]:[setting]],0), MATCH(AM$139, regions_ub[#Headers],0)),INDEX(lmic_raw_ub[],MATCH($A397,lmic_raw_ub[[setting]:[setting]],0), MATCH(AM$277, lmic_raw_ub[#Headers],0)))</f>
        <v>4.5801376992109198E-3</v>
      </c>
      <c r="AN397" s="84">
        <f>IF(INDEX(lmic_raw_ub[],MATCH($A397,lmic_raw_ub[[setting]:[setting]],0), MATCH(AN$277, lmic_raw_ub[#Headers],0))=0, INDEX(regions_ub[], MATCH($D397, regions_ub[[setting]:[setting]],0), MATCH(AN$139, regions_ub[#Headers],0)),INDEX(lmic_raw_ub[],MATCH($A397,lmic_raw_ub[[setting]:[setting]],0), MATCH(AN$277, lmic_raw_ub[#Headers],0)))</f>
        <v>6.0444061730401694E-3</v>
      </c>
      <c r="AO397" s="84">
        <f>IF(INDEX(lmic_raw_ub[],MATCH($A397,lmic_raw_ub[[setting]:[setting]],0), MATCH(AO$277, lmic_raw_ub[#Headers],0))=0, INDEX(regions_ub[], MATCH($D397, regions_ub[[setting]:[setting]],0), MATCH(AO$139, regions_ub[#Headers],0)),INDEX(lmic_raw_ub[],MATCH($A397,lmic_raw_ub[[setting]:[setting]],0), MATCH(AO$277, lmic_raw_ub[#Headers],0)))</f>
        <v>8.0831955395526123E-3</v>
      </c>
      <c r="AP397" s="84">
        <f>IF(INDEX(lmic_raw_ub[],MATCH($A397,lmic_raw_ub[[setting]:[setting]],0), MATCH(AP$277, lmic_raw_ub[#Headers],0))=0, INDEX(regions_ub[], MATCH($D397, regions_ub[[setting]:[setting]],0), MATCH(AP$139, regions_ub[#Headers],0)),INDEX(lmic_raw_ub[],MATCH($A397,lmic_raw_ub[[setting]:[setting]],0), MATCH(AP$277, lmic_raw_ub[#Headers],0)))</f>
        <v>1.1711229425023133E-2</v>
      </c>
      <c r="AQ397" s="84">
        <f>IF(INDEX(lmic_raw_ub[],MATCH($A397,lmic_raw_ub[[setting]:[setting]],0), MATCH(AQ$277, lmic_raw_ub[#Headers],0))=0, INDEX(regions_ub[], MATCH($D397, regions_ub[[setting]:[setting]],0), MATCH(AQ$139, regions_ub[#Headers],0)),INDEX(lmic_raw_ub[],MATCH($A397,lmic_raw_ub[[setting]:[setting]],0), MATCH(AQ$277, lmic_raw_ub[#Headers],0)))</f>
        <v>1.6290316472665076E-2</v>
      </c>
      <c r="AR397" s="84">
        <f>IF(INDEX(lmic_raw_ub[],MATCH($A397,lmic_raw_ub[[setting]:[setting]],0), MATCH(AR$277, lmic_raw_ub[#Headers],0))=0, INDEX(regions_ub[], MATCH($D397, regions_ub[[setting]:[setting]],0), MATCH(AR$139, regions_ub[#Headers],0)),INDEX(lmic_raw_ub[],MATCH($A397,lmic_raw_ub[[setting]:[setting]],0), MATCH(AR$277, lmic_raw_ub[#Headers],0)))</f>
        <v>2.5349339026536105E-2</v>
      </c>
      <c r="AS397" s="84">
        <f>IF(INDEX(lmic_raw_ub[],MATCH($A397,lmic_raw_ub[[setting]:[setting]],0), MATCH(AS$277, lmic_raw_ub[#Headers],0))=0, INDEX(regions_ub[], MATCH($D397, regions_ub[[setting]:[setting]],0), MATCH(AS$139, regions_ub[#Headers],0)),INDEX(lmic_raw_ub[],MATCH($A397,lmic_raw_ub[[setting]:[setting]],0), MATCH(AS$277, lmic_raw_ub[#Headers],0)))</f>
        <v>4.0151849402773915E-2</v>
      </c>
      <c r="AT397" s="84">
        <f>IF(INDEX(lmic_raw_ub[],MATCH($A397,lmic_raw_ub[[setting]:[setting]],0), MATCH(AT$277, lmic_raw_ub[#Headers],0))=0, INDEX(regions_ub[], MATCH($D397, regions_ub[[setting]:[setting]],0), MATCH(AT$139, regions_ub[#Headers],0)),INDEX(lmic_raw_ub[],MATCH($A397,lmic_raw_ub[[setting]:[setting]],0), MATCH(AT$277, lmic_raw_ub[#Headers],0)))</f>
        <v>6.103447828658333E-2</v>
      </c>
      <c r="AU397" s="84">
        <f>IF(INDEX(lmic_raw_ub[],MATCH($A397,lmic_raw_ub[[setting]:[setting]],0), MATCH(AU$277, lmic_raw_ub[#Headers],0))=0, INDEX(regions_ub[], MATCH($D397, regions_ub[[setting]:[setting]],0), MATCH(AU$139, regions_ub[#Headers],0)),INDEX(lmic_raw_ub[],MATCH($A397,lmic_raw_ub[[setting]:[setting]],0), MATCH(AU$277, lmic_raw_ub[#Headers],0)))</f>
        <v>8.8696338663652535E-2</v>
      </c>
      <c r="AV397" s="84">
        <f>IF(INDEX(lmic_raw_ub[],MATCH($A397,lmic_raw_ub[[setting]:[setting]],0), MATCH(AV$277, lmic_raw_ub[#Headers],0))=0, INDEX(regions_ub[], MATCH($D397, regions_ub[[setting]:[setting]],0), MATCH(AV$139, regions_ub[#Headers],0)),INDEX(lmic_raw_ub[],MATCH($A397,lmic_raw_ub[[setting]:[setting]],0), MATCH(AV$277, lmic_raw_ub[#Headers],0)))</f>
        <v>0.11915515419200368</v>
      </c>
      <c r="AW397" s="84">
        <f>IF(INDEX(lmic_raw_ub[],MATCH($A397,lmic_raw_ub[[setting]:[setting]],0), MATCH(AW$277, lmic_raw_ub[#Headers],0))=0, INDEX(regions_ub[], MATCH($D397, regions_ub[[setting]:[setting]],0), MATCH(AW$139, regions_ub[#Headers],0)),INDEX(lmic_raw_ub[],MATCH($A397,lmic_raw_ub[[setting]:[setting]],0), MATCH(AW$277, lmic_raw_ub[#Headers],0)))</f>
        <v>0.14762673947774813</v>
      </c>
      <c r="AX397" s="84">
        <f>IF(INDEX(lmic_raw_ub[],MATCH($A397,lmic_raw_ub[[setting]:[setting]],0), MATCH(AX$277, lmic_raw_ub[#Headers],0))=0, INDEX(regions_ub[], MATCH($D397, regions_ub[[setting]:[setting]],0), MATCH(AX$139, regions_ub[#Headers],0)),INDEX(lmic_raw_ub[],MATCH($A397,lmic_raw_ub[[setting]:[setting]],0), MATCH(AX$277, lmic_raw_ub[#Headers],0)))</f>
        <v>80.673599999999993</v>
      </c>
      <c r="AY397" s="33" t="str">
        <f>IF(VLOOKUP(lmics_ub[[#This Row],[setting]],lmic_raw_ub[],11,FALSE)=0, "Yes", "No")</f>
        <v>No</v>
      </c>
    </row>
    <row r="398" spans="1:51" x14ac:dyDescent="0.25">
      <c r="A398" s="109" t="s">
        <v>220</v>
      </c>
      <c r="B398" s="101" t="s">
        <v>523</v>
      </c>
      <c r="C398" s="102">
        <v>626</v>
      </c>
      <c r="D398" s="82" t="s">
        <v>680</v>
      </c>
      <c r="E398" s="82" t="s">
        <v>598</v>
      </c>
      <c r="F398" s="82" t="s">
        <v>666</v>
      </c>
      <c r="G398" s="82" t="s">
        <v>678</v>
      </c>
      <c r="J398" s="84">
        <f>IF(INDEX(lmic_raw_ub[],MATCH($A398,lmic_raw_ub[[setting]:[setting]],0), MATCH(J$277, lmic_raw_ub[#Headers],0))=0, INDEX(regions_ub[], MATCH($D398, regions_ub[[setting]:[setting]],0), MATCH(J$139, regions_ub[#Headers],0)),INDEX(lmic_raw_ub[],MATCH($A398,lmic_raw_ub[[setting]:[setting]],0), MATCH(J$277, lmic_raw_ub[#Headers],0)))</f>
        <v>0.50924999999999998</v>
      </c>
      <c r="K398" s="84">
        <f>IF(INDEX(lmic_raw_ub[],MATCH($A398,lmic_raw_ub[[setting]:[setting]],0), MATCH(K$277, lmic_raw_ub[#Headers],0))=0, INDEX(regions_ub[], MATCH($D398, regions_ub[[setting]:[setting]],0), MATCH(K$139, regions_ub[#Headers],0)),INDEX(lmic_raw_ub[],MATCH($A398,lmic_raw_ub[[setting]:[setting]],0), MATCH(K$277, lmic_raw_ub[#Headers],0)))</f>
        <v>0.73499999999999999</v>
      </c>
      <c r="L398" s="84">
        <f>IF(INDEX(lmic_raw_ub[],MATCH($A398,lmic_raw_ub[[setting]:[setting]],0), MATCH(L$277, lmic_raw_ub[#Headers],0))=0, INDEX(regions_ub[], MATCH($D398, regions_ub[[setting]:[setting]],0), MATCH(L$139, regions_ub[#Headers],0)),INDEX(lmic_raw_ub[],MATCH($A398,lmic_raw_ub[[setting]:[setting]],0), MATCH(L$277, lmic_raw_ub[#Headers],0)))</f>
        <v>0.87149999999999994</v>
      </c>
      <c r="M398" s="84">
        <f>IF(INDEX(lmic_raw_ub[],MATCH($A398,lmic_raw_ub[[setting]:[setting]],0), MATCH(M$277, lmic_raw_ub[#Headers],0))=0, INDEX(regions_ub[], MATCH($D398, regions_ub[[setting]:[setting]],0), MATCH(M$139, regions_ub[#Headers],0)),INDEX(lmic_raw_ub[],MATCH($A398,lmic_raw_ub[[setting]:[setting]],0), MATCH(M$277, lmic_raw_ub[#Headers],0)))</f>
        <v>3.3399999999999999E-2</v>
      </c>
      <c r="N398" s="84">
        <f>IF(INDEX(lmic_raw_ub[],MATCH($A398,lmic_raw_ub[[setting]:[setting]],0), MATCH(N$277, lmic_raw_ub[#Headers],0))=0, INDEX(regions_ub[], MATCH($D398, regions_ub[[setting]:[setting]],0), MATCH(N$139, regions_ub[#Headers],0)),INDEX(lmic_raw_ub[],MATCH($A398,lmic_raw_ub[[setting]:[setting]],0), MATCH(N$277, lmic_raw_ub[#Headers],0)))</f>
        <v>0.47729999999999995</v>
      </c>
      <c r="O398" s="84">
        <f>IF(INDEX(lmic_raw_ub[],MATCH($A398,lmic_raw_ub[[setting]:[setting]],0), MATCH(O$277, lmic_raw_ub[#Headers],0))=0, INDEX(regions_ub[], MATCH($D398, regions_ub[[setting]:[setting]],0), MATCH(O$139, regions_ub[#Headers],0)),INDEX(lmic_raw_ub[],MATCH($A398,lmic_raw_ub[[setting]:[setting]],0), MATCH(O$277, lmic_raw_ub[#Headers],0)))</f>
        <v>0.9</v>
      </c>
      <c r="P398" s="84">
        <f>IF(INDEX(lmic_raw_ub[],MATCH($A398,lmic_raw_ub[[setting]:[setting]],0), MATCH(P$277, lmic_raw_ub[#Headers],0))=0, INDEX(regions_ub[], MATCH($D398, regions_ub[[setting]:[setting]],0), MATCH(P$139, regions_ub[#Headers],0)),INDEX(lmic_raw_ub[],MATCH($A398,lmic_raw_ub[[setting]:[setting]],0), MATCH(P$277, lmic_raw_ub[#Headers],0)))</f>
        <v>0.3</v>
      </c>
      <c r="Q398" s="84">
        <f>IF(INDEX(lmic_raw_ub[],MATCH($A398,lmic_raw_ub[[setting]:[setting]],0), MATCH(Q$277, lmic_raw_ub[#Headers],0))=0, INDEX(regions_ub[], MATCH($D398, regions_ub[[setting]:[setting]],0), MATCH(Q$139, regions_ub[#Headers],0)),INDEX(lmic_raw_ub[],MATCH($A398,lmic_raw_ub[[setting]:[setting]],0), MATCH(Q$277, lmic_raw_ub[#Headers],0)))</f>
        <v>4.2697504886998372</v>
      </c>
      <c r="R398" s="84">
        <f>IF(INDEX(lmic_raw_ub[],MATCH($A398,lmic_raw_ub[[setting]:[setting]],0), MATCH(R$277, lmic_raw_ub[#Headers],0))=0, INDEX(regions_ub[], MATCH($D398, regions_ub[[setting]:[setting]],0), MATCH(R$139, regions_ub[#Headers],0)),INDEX(lmic_raw_ub[],MATCH($A398,lmic_raw_ub[[setting]:[setting]],0), MATCH(R$277, lmic_raw_ub[#Headers],0)))</f>
        <v>76.738725000000002</v>
      </c>
      <c r="S398" s="84">
        <f>IF(INDEX(lmic_raw_ub[],MATCH($A398,lmic_raw_ub[[setting]:[setting]],0), MATCH(S$277, lmic_raw_ub[#Headers],0))=0, INDEX(regions_ub[], MATCH($D398, regions_ub[[setting]:[setting]],0), MATCH(S$139, regions_ub[#Headers],0)),INDEX(lmic_raw_ub[],MATCH($A398,lmic_raw_ub[[setting]:[setting]],0), MATCH(S$277, lmic_raw_ub[#Headers],0)))</f>
        <v>126.867825</v>
      </c>
      <c r="T398" s="84">
        <f>IF(INDEX(lmic_raw_ub[],MATCH($A398,lmic_raw_ub[[setting]:[setting]],0), MATCH(T$277, lmic_raw_ub[#Headers],0))=0, INDEX(regions_ub[], MATCH($D398, regions_ub[[setting]:[setting]],0), MATCH(T$139, regions_ub[#Headers],0)),INDEX(lmic_raw_ub[],MATCH($A398,lmic_raw_ub[[setting]:[setting]],0), MATCH(T$277, lmic_raw_ub[#Headers],0)))</f>
        <v>126.867825</v>
      </c>
      <c r="U398" s="84">
        <f>IF(INDEX(lmic_raw_ub[],MATCH($A398,lmic_raw_ub[[setting]:[setting]],0), MATCH(U$277, lmic_raw_ub[#Headers],0))=0, INDEX(regions_ub[], MATCH($D398, regions_ub[[setting]:[setting]],0), MATCH(U$139, regions_ub[#Headers],0)),INDEX(lmic_raw_ub[],MATCH($A398,lmic_raw_ub[[setting]:[setting]],0), MATCH(U$277, lmic_raw_ub[#Headers],0)))</f>
        <v>126.867825</v>
      </c>
      <c r="V398" s="84">
        <f>IF(INDEX(lmic_raw_ub[],MATCH($A398,lmic_raw_ub[[setting]:[setting]],0), MATCH(V$277, lmic_raw_ub[#Headers],0))=0, INDEX(regions_ub[], MATCH($D398, regions_ub[[setting]:[setting]],0), MATCH(V$139, regions_ub[#Headers],0)),INDEX(lmic_raw_ub[],MATCH($A398,lmic_raw_ub[[setting]:[setting]],0), MATCH(V$277, lmic_raw_ub[#Headers],0)))</f>
        <v>8.3607312400466096</v>
      </c>
      <c r="W398" s="84">
        <f>IF(INDEX(lmic_raw_ub[],MATCH($A398,lmic_raw_ub[[setting]:[setting]],0), MATCH(W$277, lmic_raw_ub[#Headers],0))=0, INDEX(regions_ub[], MATCH($D398, regions_ub[[setting]:[setting]],0), MATCH(W$139, regions_ub[#Headers],0)),INDEX(lmic_raw_ub[],MATCH($A398,lmic_raw_ub[[setting]:[setting]],0), MATCH(W$277, lmic_raw_ub[#Headers],0)))</f>
        <v>9.0245412400466094</v>
      </c>
      <c r="X398" s="84">
        <f>IF(INDEX(lmic_raw_ub[],MATCH($A398,lmic_raw_ub[[setting]:[setting]],0), MATCH(X$277, lmic_raw_ub[#Headers],0))=0, INDEX(regions_ub[], MATCH($D398, regions_ub[[setting]:[setting]],0), MATCH(X$139, regions_ub[#Headers],0)),INDEX(lmic_raw_ub[],MATCH($A398,lmic_raw_ub[[setting]:[setting]],0), MATCH(X$277, lmic_raw_ub[#Headers],0)))</f>
        <v>7.8598383243857075</v>
      </c>
      <c r="Y398" s="84">
        <f>IF(INDEX(lmic_raw_ub[],MATCH($A398,lmic_raw_ub[[setting]:[setting]],0), MATCH(Y$277, lmic_raw_ub[#Headers],0))=0, INDEX(regions_ub[], MATCH($D398, regions_ub[[setting]:[setting]],0), MATCH(Y$139, regions_ub[#Headers],0)),INDEX(lmic_raw_ub[],MATCH($A398,lmic_raw_ub[[setting]:[setting]],0), MATCH(Y$277, lmic_raw_ub[#Headers],0)))</f>
        <v>8.5236483243857073</v>
      </c>
      <c r="Z398" s="84">
        <f>IF(INDEX(lmic_raw_ub[],MATCH($A398,lmic_raw_ub[[setting]:[setting]],0), MATCH(Z$277, lmic_raw_ub[#Headers],0))=0, INDEX(regions_ub[], MATCH($D398, regions_ub[[setting]:[setting]],0), MATCH(Z$139, regions_ub[#Headers],0)),INDEX(lmic_raw_ub[],MATCH($A398,lmic_raw_ub[[setting]:[setting]],0), MATCH(Z$277, lmic_raw_ub[#Headers],0)))</f>
        <v>8.513669332011867</v>
      </c>
      <c r="AA398" s="84">
        <f>IF(INDEX(lmic_raw_ub[],MATCH($A398,lmic_raw_ub[[setting]:[setting]],0), MATCH(AA$277, lmic_raw_ub[#Headers],0))=0, INDEX(regions_ub[], MATCH($D398, regions_ub[[setting]:[setting]],0), MATCH(AA$139, regions_ub[#Headers],0)),INDEX(lmic_raw_ub[],MATCH($A398,lmic_raw_ub[[setting]:[setting]],0), MATCH(AA$277, lmic_raw_ub[#Headers],0)))</f>
        <v>8.6305053037421757</v>
      </c>
      <c r="AB398" s="84">
        <f>IF(INDEX(lmic_raw_ub[],MATCH($A398,lmic_raw_ub[[setting]:[setting]],0), MATCH(AB$277, lmic_raw_ub[#Headers],0))=0, INDEX(regions_ub[], MATCH($D398, regions_ub[[setting]:[setting]],0), MATCH(AB$139, regions_ub[#Headers],0)),INDEX(lmic_raw_ub[],MATCH($A398,lmic_raw_ub[[setting]:[setting]],0), MATCH(AB$277, lmic_raw_ub[#Headers],0)))</f>
        <v>9.2943153037421755</v>
      </c>
      <c r="AC398" s="84">
        <f>IF(INDEX(lmic_raw_ub[],MATCH($A398,lmic_raw_ub[[setting]:[setting]],0), MATCH(AC$277, lmic_raw_ub[#Headers],0))=0, INDEX(regions_ub[], MATCH($D398, regions_ub[[setting]:[setting]],0), MATCH(AC$139, regions_ub[#Headers],0)),INDEX(lmic_raw_ub[],MATCH($A398,lmic_raw_ub[[setting]:[setting]],0), MATCH(AC$277, lmic_raw_ub[#Headers],0)))</f>
        <v>3.9220954499999974E-2</v>
      </c>
      <c r="AD398" s="84">
        <f>IF(INDEX(lmic_raw_ub[],MATCH($A398,lmic_raw_ub[[setting]:[setting]],0), MATCH(AD$277, lmic_raw_ub[#Headers],0))=0, INDEX(regions_ub[], MATCH($D398, regions_ub[[setting]:[setting]],0), MATCH(AD$139, regions_ub[#Headers],0)),INDEX(lmic_raw_ub[],MATCH($A398,lmic_raw_ub[[setting]:[setting]],0), MATCH(AD$277, lmic_raw_ub[#Headers],0)))</f>
        <v>2.5638510206927559E-3</v>
      </c>
      <c r="AE398" s="84">
        <f>IF(INDEX(lmic_raw_ub[],MATCH($A398,lmic_raw_ub[[setting]:[setting]],0), MATCH(AE$277, lmic_raw_ub[#Headers],0))=0, INDEX(regions_ub[], MATCH($D398, regions_ub[[setting]:[setting]],0), MATCH(AE$139, regions_ub[#Headers],0)),INDEX(lmic_raw_ub[],MATCH($A398,lmic_raw_ub[[setting]:[setting]],0), MATCH(AE$277, lmic_raw_ub[#Headers],0)))</f>
        <v>7.8798535725077285E-4</v>
      </c>
      <c r="AF398" s="84">
        <f>IF(INDEX(lmic_raw_ub[],MATCH($A398,lmic_raw_ub[[setting]:[setting]],0), MATCH(AF$277, lmic_raw_ub[#Headers],0))=0, INDEX(regions_ub[], MATCH($D398, regions_ub[[setting]:[setting]],0), MATCH(AF$139, regions_ub[#Headers],0)),INDEX(lmic_raw_ub[],MATCH($A398,lmic_raw_ub[[setting]:[setting]],0), MATCH(AF$277, lmic_raw_ub[#Headers],0)))</f>
        <v>6.0888366394973054E-4</v>
      </c>
      <c r="AG398" s="84">
        <f>IF(INDEX(lmic_raw_ub[],MATCH($A398,lmic_raw_ub[[setting]:[setting]],0), MATCH(AG$277, lmic_raw_ub[#Headers],0))=0, INDEX(regions_ub[], MATCH($D398, regions_ub[[setting]:[setting]],0), MATCH(AG$139, regions_ub[#Headers],0)),INDEX(lmic_raw_ub[],MATCH($A398,lmic_raw_ub[[setting]:[setting]],0), MATCH(AG$277, lmic_raw_ub[#Headers],0)))</f>
        <v>1.0496184284337858E-3</v>
      </c>
      <c r="AH398" s="84">
        <f>IF(INDEX(lmic_raw_ub[],MATCH($A398,lmic_raw_ub[[setting]:[setting]],0), MATCH(AH$277, lmic_raw_ub[#Headers],0))=0, INDEX(regions_ub[], MATCH($D398, regions_ub[[setting]:[setting]],0), MATCH(AH$139, regions_ub[#Headers],0)),INDEX(lmic_raw_ub[],MATCH($A398,lmic_raw_ub[[setting]:[setting]],0), MATCH(AH$277, lmic_raw_ub[#Headers],0)))</f>
        <v>1.3241496652141257E-3</v>
      </c>
      <c r="AI398" s="84">
        <f>IF(INDEX(lmic_raw_ub[],MATCH($A398,lmic_raw_ub[[setting]:[setting]],0), MATCH(AI$277, lmic_raw_ub[#Headers],0))=0, INDEX(regions_ub[], MATCH($D398, regions_ub[[setting]:[setting]],0), MATCH(AI$139, regions_ub[#Headers],0)),INDEX(lmic_raw_ub[],MATCH($A398,lmic_raw_ub[[setting]:[setting]],0), MATCH(AI$277, lmic_raw_ub[#Headers],0)))</f>
        <v>1.2644788139660938E-3</v>
      </c>
      <c r="AJ398" s="84">
        <f>IF(INDEX(lmic_raw_ub[],MATCH($A398,lmic_raw_ub[[setting]:[setting]],0), MATCH(AJ$277, lmic_raw_ub[#Headers],0))=0, INDEX(regions_ub[], MATCH($D398, regions_ub[[setting]:[setting]],0), MATCH(AJ$139, regions_ub[#Headers],0)),INDEX(lmic_raw_ub[],MATCH($A398,lmic_raw_ub[[setting]:[setting]],0), MATCH(AJ$277, lmic_raw_ub[#Headers],0)))</f>
        <v>1.4063501518021204E-3</v>
      </c>
      <c r="AK398" s="84">
        <f>IF(INDEX(lmic_raw_ub[],MATCH($A398,lmic_raw_ub[[setting]:[setting]],0), MATCH(AK$277, lmic_raw_ub[#Headers],0))=0, INDEX(regions_ub[], MATCH($D398, regions_ub[[setting]:[setting]],0), MATCH(AK$139, regions_ub[#Headers],0)),INDEX(lmic_raw_ub[],MATCH($A398,lmic_raw_ub[[setting]:[setting]],0), MATCH(AK$277, lmic_raw_ub[#Headers],0)))</f>
        <v>1.8370173726497642E-3</v>
      </c>
      <c r="AL398" s="84">
        <f>IF(INDEX(lmic_raw_ub[],MATCH($A398,lmic_raw_ub[[setting]:[setting]],0), MATCH(AL$277, lmic_raw_ub[#Headers],0))=0, INDEX(regions_ub[], MATCH($D398, regions_ub[[setting]:[setting]],0), MATCH(AL$139, regions_ub[#Headers],0)),INDEX(lmic_raw_ub[],MATCH($A398,lmic_raw_ub[[setting]:[setting]],0), MATCH(AL$277, lmic_raw_ub[#Headers],0)))</f>
        <v>2.6425698031158746E-3</v>
      </c>
      <c r="AM398" s="84">
        <f>IF(INDEX(lmic_raw_ub[],MATCH($A398,lmic_raw_ub[[setting]:[setting]],0), MATCH(AM$277, lmic_raw_ub[#Headers],0))=0, INDEX(regions_ub[], MATCH($D398, regions_ub[[setting]:[setting]],0), MATCH(AM$139, regions_ub[#Headers],0)),INDEX(lmic_raw_ub[],MATCH($A398,lmic_raw_ub[[setting]:[setting]],0), MATCH(AM$277, lmic_raw_ub[#Headers],0)))</f>
        <v>4.2088551208562903E-3</v>
      </c>
      <c r="AN398" s="84">
        <f>IF(INDEX(lmic_raw_ub[],MATCH($A398,lmic_raw_ub[[setting]:[setting]],0), MATCH(AN$277, lmic_raw_ub[#Headers],0))=0, INDEX(regions_ub[], MATCH($D398, regions_ub[[setting]:[setting]],0), MATCH(AN$139, regions_ub[#Headers],0)),INDEX(lmic_raw_ub[],MATCH($A398,lmic_raw_ub[[setting]:[setting]],0), MATCH(AN$277, lmic_raw_ub[#Headers],0)))</f>
        <v>6.9056182402854925E-3</v>
      </c>
      <c r="AO398" s="84">
        <f>IF(INDEX(lmic_raw_ub[],MATCH($A398,lmic_raw_ub[[setting]:[setting]],0), MATCH(AO$277, lmic_raw_ub[#Headers],0))=0, INDEX(regions_ub[], MATCH($D398, regions_ub[[setting]:[setting]],0), MATCH(AO$139, regions_ub[#Headers],0)),INDEX(lmic_raw_ub[],MATCH($A398,lmic_raw_ub[[setting]:[setting]],0), MATCH(AO$277, lmic_raw_ub[#Headers],0)))</f>
        <v>1.1840526556369949E-2</v>
      </c>
      <c r="AP398" s="84">
        <f>IF(INDEX(lmic_raw_ub[],MATCH($A398,lmic_raw_ub[[setting]:[setting]],0), MATCH(AP$277, lmic_raw_ub[#Headers],0))=0, INDEX(regions_ub[], MATCH($D398, regions_ub[[setting]:[setting]],0), MATCH(AP$139, regions_ub[#Headers],0)),INDEX(lmic_raw_ub[],MATCH($A398,lmic_raw_ub[[setting]:[setting]],0), MATCH(AP$277, lmic_raw_ub[#Headers],0)))</f>
        <v>1.9002846145813657E-2</v>
      </c>
      <c r="AQ398" s="84">
        <f>IF(INDEX(lmic_raw_ub[],MATCH($A398,lmic_raw_ub[[setting]:[setting]],0), MATCH(AQ$277, lmic_raw_ub[#Headers],0))=0, INDEX(regions_ub[], MATCH($D398, regions_ub[[setting]:[setting]],0), MATCH(AQ$139, regions_ub[#Headers],0)),INDEX(lmic_raw_ub[],MATCH($A398,lmic_raw_ub[[setting]:[setting]],0), MATCH(AQ$277, lmic_raw_ub[#Headers],0)))</f>
        <v>3.0204594275904897E-2</v>
      </c>
      <c r="AR398" s="84">
        <f>IF(INDEX(lmic_raw_ub[],MATCH($A398,lmic_raw_ub[[setting]:[setting]],0), MATCH(AR$277, lmic_raw_ub[#Headers],0))=0, INDEX(regions_ub[], MATCH($D398, regions_ub[[setting]:[setting]],0), MATCH(AR$139, regions_ub[#Headers],0)),INDEX(lmic_raw_ub[],MATCH($A398,lmic_raw_ub[[setting]:[setting]],0), MATCH(AR$277, lmic_raw_ub[#Headers],0)))</f>
        <v>4.7898170104014398E-2</v>
      </c>
      <c r="AS398" s="84">
        <f>IF(INDEX(lmic_raw_ub[],MATCH($A398,lmic_raw_ub[[setting]:[setting]],0), MATCH(AS$277, lmic_raw_ub[#Headers],0))=0, INDEX(regions_ub[], MATCH($D398, regions_ub[[setting]:[setting]],0), MATCH(AS$139, regions_ub[#Headers],0)),INDEX(lmic_raw_ub[],MATCH($A398,lmic_raw_ub[[setting]:[setting]],0), MATCH(AS$277, lmic_raw_ub[#Headers],0)))</f>
        <v>7.3564634916089236E-2</v>
      </c>
      <c r="AT398" s="84">
        <f>IF(INDEX(lmic_raw_ub[],MATCH($A398,lmic_raw_ub[[setting]:[setting]],0), MATCH(AT$277, lmic_raw_ub[#Headers],0))=0, INDEX(regions_ub[], MATCH($D398, regions_ub[[setting]:[setting]],0), MATCH(AT$139, regions_ub[#Headers],0)),INDEX(lmic_raw_ub[],MATCH($A398,lmic_raw_ub[[setting]:[setting]],0), MATCH(AT$277, lmic_raw_ub[#Headers],0)))</f>
        <v>0.10511155068601673</v>
      </c>
      <c r="AU398" s="84">
        <f>IF(INDEX(lmic_raw_ub[],MATCH($A398,lmic_raw_ub[[setting]:[setting]],0), MATCH(AU$277, lmic_raw_ub[#Headers],0))=0, INDEX(regions_ub[], MATCH($D398, regions_ub[[setting]:[setting]],0), MATCH(AU$139, regions_ub[#Headers],0)),INDEX(lmic_raw_ub[],MATCH($A398,lmic_raw_ub[[setting]:[setting]],0), MATCH(AU$277, lmic_raw_ub[#Headers],0)))</f>
        <v>0.13933486124914579</v>
      </c>
      <c r="AV398" s="84">
        <f>IF(INDEX(lmic_raw_ub[],MATCH($A398,lmic_raw_ub[[setting]:[setting]],0), MATCH(AV$277, lmic_raw_ub[#Headers],0))=0, INDEX(regions_ub[], MATCH($D398, regions_ub[[setting]:[setting]],0), MATCH(AV$139, regions_ub[#Headers],0)),INDEX(lmic_raw_ub[],MATCH($A398,lmic_raw_ub[[setting]:[setting]],0), MATCH(AV$277, lmic_raw_ub[#Headers],0)))</f>
        <v>0.16727135549032718</v>
      </c>
      <c r="AW398" s="84">
        <f>IF(INDEX(lmic_raw_ub[],MATCH($A398,lmic_raw_ub[[setting]:[setting]],0), MATCH(AW$277, lmic_raw_ub[#Headers],0))=0, INDEX(regions_ub[], MATCH($D398, regions_ub[[setting]:[setting]],0), MATCH(AW$139, regions_ub[#Headers],0)),INDEX(lmic_raw_ub[],MATCH($A398,lmic_raw_ub[[setting]:[setting]],0), MATCH(AW$277, lmic_raw_ub[#Headers],0)))</f>
        <v>0.18687092370569863</v>
      </c>
      <c r="AX398" s="84">
        <f>IF(INDEX(lmic_raw_ub[],MATCH($A398,lmic_raw_ub[[setting]:[setting]],0), MATCH(AX$277, lmic_raw_ub[#Headers],0))=0, INDEX(regions_ub[], MATCH($D398, regions_ub[[setting]:[setting]],0), MATCH(AX$139, regions_ub[#Headers],0)),INDEX(lmic_raw_ub[],MATCH($A398,lmic_raw_ub[[setting]:[setting]],0), MATCH(AX$277, lmic_raw_ub[#Headers],0)))</f>
        <v>72.610650000000007</v>
      </c>
      <c r="AY398" s="33" t="str">
        <f>IF(VLOOKUP(lmics_ub[[#This Row],[setting]],lmic_raw_ub[],11,FALSE)=0, "Yes", "No")</f>
        <v>No</v>
      </c>
    </row>
    <row r="399" spans="1:51" x14ac:dyDescent="0.25">
      <c r="A399" s="110" t="s">
        <v>154</v>
      </c>
      <c r="B399" s="104" t="s">
        <v>524</v>
      </c>
      <c r="C399" s="105">
        <v>768</v>
      </c>
      <c r="D399" s="84" t="s">
        <v>677</v>
      </c>
      <c r="E399" s="84" t="s">
        <v>591</v>
      </c>
      <c r="F399" s="84" t="s">
        <v>667</v>
      </c>
      <c r="G399" s="84" t="s">
        <v>674</v>
      </c>
      <c r="J399" s="84">
        <f>IF(INDEX(lmic_raw_ub[],MATCH($A399,lmic_raw_ub[[setting]:[setting]],0), MATCH(J$277, lmic_raw_ub[#Headers],0))=0, INDEX(regions_ub[], MATCH($D399, regions_ub[[setting]:[setting]],0), MATCH(J$139, regions_ub[#Headers],0)),INDEX(lmic_raw_ub[],MATCH($A399,lmic_raw_ub[[setting]:[setting]],0), MATCH(J$277, lmic_raw_ub[#Headers],0)))</f>
        <v>0.84000000000000008</v>
      </c>
      <c r="K399" s="84">
        <f>IF(INDEX(lmic_raw_ub[],MATCH($A399,lmic_raw_ub[[setting]:[setting]],0), MATCH(K$277, lmic_raw_ub[#Headers],0))=0, INDEX(regions_ub[], MATCH($D399, regions_ub[[setting]:[setting]],0), MATCH(K$139, regions_ub[#Headers],0)),INDEX(lmic_raw_ub[],MATCH($A399,lmic_raw_ub[[setting]:[setting]],0), MATCH(K$277, lmic_raw_ub[#Headers],0)))</f>
        <v>0.71433037619548323</v>
      </c>
      <c r="L399" s="84">
        <f>IF(INDEX(lmic_raw_ub[],MATCH($A399,lmic_raw_ub[[setting]:[setting]],0), MATCH(L$277, lmic_raw_ub[#Headers],0))=0, INDEX(regions_ub[], MATCH($D399, regions_ub[[setting]:[setting]],0), MATCH(L$139, regions_ub[#Headers],0)),INDEX(lmic_raw_ub[],MATCH($A399,lmic_raw_ub[[setting]:[setting]],0), MATCH(L$277, lmic_raw_ub[#Headers],0)))</f>
        <v>0.88200000000000001</v>
      </c>
      <c r="M399" s="84">
        <f>IF(INDEX(lmic_raw_ub[],MATCH($A399,lmic_raw_ub[[setting]:[setting]],0), MATCH(M$277, lmic_raw_ub[#Headers],0))=0, INDEX(regions_ub[], MATCH($D399, regions_ub[[setting]:[setting]],0), MATCH(M$139, regions_ub[#Headers],0)),INDEX(lmic_raw_ub[],MATCH($A399,lmic_raw_ub[[setting]:[setting]],0), MATCH(M$277, lmic_raw_ub[#Headers],0)))</f>
        <v>0.12429999999999999</v>
      </c>
      <c r="N399" s="84">
        <f>IF(INDEX(lmic_raw_ub[],MATCH($A399,lmic_raw_ub[[setting]:[setting]],0), MATCH(N$277, lmic_raw_ub[#Headers],0))=0, INDEX(regions_ub[], MATCH($D399, regions_ub[[setting]:[setting]],0), MATCH(N$139, regions_ub[#Headers],0)),INDEX(lmic_raw_ub[],MATCH($A399,lmic_raw_ub[[setting]:[setting]],0), MATCH(N$277, lmic_raw_ub[#Headers],0)))</f>
        <v>0.41070000000000001</v>
      </c>
      <c r="O399" s="84">
        <f>IF(INDEX(lmic_raw_ub[],MATCH($A399,lmic_raw_ub[[setting]:[setting]],0), MATCH(O$277, lmic_raw_ub[#Headers],0))=0, INDEX(regions_ub[], MATCH($D399, regions_ub[[setting]:[setting]],0), MATCH(O$139, regions_ub[#Headers],0)),INDEX(lmic_raw_ub[],MATCH($A399,lmic_raw_ub[[setting]:[setting]],0), MATCH(O$277, lmic_raw_ub[#Headers],0)))</f>
        <v>0.74399999999999999</v>
      </c>
      <c r="P399" s="84">
        <f>IF(INDEX(lmic_raw_ub[],MATCH($A399,lmic_raw_ub[[setting]:[setting]],0), MATCH(P$277, lmic_raw_ub[#Headers],0))=0, INDEX(regions_ub[], MATCH($D399, regions_ub[[setting]:[setting]],0), MATCH(P$139, regions_ub[#Headers],0)),INDEX(lmic_raw_ub[],MATCH($A399,lmic_raw_ub[[setting]:[setting]],0), MATCH(P$277, lmic_raw_ub[#Headers],0)))</f>
        <v>0.13300000000000001</v>
      </c>
      <c r="Q399" s="84">
        <f>IF(INDEX(lmic_raw_ub[],MATCH($A399,lmic_raw_ub[[setting]:[setting]],0), MATCH(Q$277, lmic_raw_ub[#Headers],0))=0, INDEX(regions_ub[], MATCH($D399, regions_ub[[setting]:[setting]],0), MATCH(Q$139, regions_ub[#Headers],0)),INDEX(lmic_raw_ub[],MATCH($A399,lmic_raw_ub[[setting]:[setting]],0), MATCH(Q$277, lmic_raw_ub[#Headers],0)))</f>
        <v>2.8285649490461373</v>
      </c>
      <c r="R399" s="84">
        <f>IF(INDEX(lmic_raw_ub[],MATCH($A399,lmic_raw_ub[[setting]:[setting]],0), MATCH(R$277, lmic_raw_ub[#Headers],0))=0, INDEX(regions_ub[], MATCH($D399, regions_ub[[setting]:[setting]],0), MATCH(R$139, regions_ub[#Headers],0)),INDEX(lmic_raw_ub[],MATCH($A399,lmic_raw_ub[[setting]:[setting]],0), MATCH(R$277, lmic_raw_ub[#Headers],0)))</f>
        <v>31.416525000000004</v>
      </c>
      <c r="S399" s="84">
        <f>IF(INDEX(lmic_raw_ub[],MATCH($A399,lmic_raw_ub[[setting]:[setting]],0), MATCH(S$277, lmic_raw_ub[#Headers],0))=0, INDEX(regions_ub[], MATCH($D399, regions_ub[[setting]:[setting]],0), MATCH(S$139, regions_ub[#Headers],0)),INDEX(lmic_raw_ub[],MATCH($A399,lmic_raw_ub[[setting]:[setting]],0), MATCH(S$277, lmic_raw_ub[#Headers],0)))</f>
        <v>81.545625000000015</v>
      </c>
      <c r="T399" s="84">
        <f>IF(INDEX(lmic_raw_ub[],MATCH($A399,lmic_raw_ub[[setting]:[setting]],0), MATCH(T$277, lmic_raw_ub[#Headers],0))=0, INDEX(regions_ub[], MATCH($D399, regions_ub[[setting]:[setting]],0), MATCH(T$139, regions_ub[#Headers],0)),INDEX(lmic_raw_ub[],MATCH($A399,lmic_raw_ub[[setting]:[setting]],0), MATCH(T$277, lmic_raw_ub[#Headers],0)))</f>
        <v>81.545625000000015</v>
      </c>
      <c r="U399" s="84">
        <f>IF(INDEX(lmic_raw_ub[],MATCH($A399,lmic_raw_ub[[setting]:[setting]],0), MATCH(U$277, lmic_raw_ub[#Headers],0))=0, INDEX(regions_ub[], MATCH($D399, regions_ub[[setting]:[setting]],0), MATCH(U$139, regions_ub[#Headers],0)),INDEX(lmic_raw_ub[],MATCH($A399,lmic_raw_ub[[setting]:[setting]],0), MATCH(U$277, lmic_raw_ub[#Headers],0)))</f>
        <v>81.545625000000015</v>
      </c>
      <c r="V399" s="84">
        <f>IF(INDEX(lmic_raw_ub[],MATCH($A399,lmic_raw_ub[[setting]:[setting]],0), MATCH(V$277, lmic_raw_ub[#Headers],0))=0, INDEX(regions_ub[], MATCH($D399, regions_ub[[setting]:[setting]],0), MATCH(V$139, regions_ub[#Headers],0)),INDEX(lmic_raw_ub[],MATCH($A399,lmic_raw_ub[[setting]:[setting]],0), MATCH(V$277, lmic_raw_ub[#Headers],0)))</f>
        <v>5.3186353140536413</v>
      </c>
      <c r="W399" s="84">
        <f>IF(INDEX(lmic_raw_ub[],MATCH($A399,lmic_raw_ub[[setting]:[setting]],0), MATCH(W$277, lmic_raw_ub[#Headers],0))=0, INDEX(regions_ub[], MATCH($D399, regions_ub[[setting]:[setting]],0), MATCH(W$139, regions_ub[#Headers],0)),INDEX(lmic_raw_ub[],MATCH($A399,lmic_raw_ub[[setting]:[setting]],0), MATCH(W$277, lmic_raw_ub[#Headers],0)))</f>
        <v>10.388770314053641</v>
      </c>
      <c r="X399" s="84">
        <f>IF(INDEX(lmic_raw_ub[],MATCH($A399,lmic_raw_ub[[setting]:[setting]],0), MATCH(X$277, lmic_raw_ub[#Headers],0))=0, INDEX(regions_ub[], MATCH($D399, regions_ub[[setting]:[setting]],0), MATCH(X$139, regions_ub[#Headers],0)),INDEX(lmic_raw_ub[],MATCH($A399,lmic_raw_ub[[setting]:[setting]],0), MATCH(X$277, lmic_raw_ub[#Headers],0)))</f>
        <v>4.823982166813825</v>
      </c>
      <c r="Y399" s="84">
        <f>IF(INDEX(lmic_raw_ub[],MATCH($A399,lmic_raw_ub[[setting]:[setting]],0), MATCH(Y$277, lmic_raw_ub[#Headers],0))=0, INDEX(regions_ub[], MATCH($D399, regions_ub[[setting]:[setting]],0), MATCH(Y$139, regions_ub[#Headers],0)),INDEX(lmic_raw_ub[],MATCH($A399,lmic_raw_ub[[setting]:[setting]],0), MATCH(Y$277, lmic_raw_ub[#Headers],0)))</f>
        <v>9.8941171668138246</v>
      </c>
      <c r="Z399" s="84">
        <f>IF(INDEX(lmic_raw_ub[],MATCH($A399,lmic_raw_ub[[setting]:[setting]],0), MATCH(Z$277, lmic_raw_ub[#Headers],0))=0, INDEX(regions_ub[], MATCH($D399, regions_ub[[setting]:[setting]],0), MATCH(Z$139, regions_ub[#Headers],0)),INDEX(lmic_raw_ub[],MATCH($A399,lmic_raw_ub[[setting]:[setting]],0), MATCH(Z$277, lmic_raw_ub[#Headers],0)))</f>
        <v>9.8879923269186349</v>
      </c>
      <c r="AA399" s="84">
        <f>IF(INDEX(lmic_raw_ub[],MATCH($A399,lmic_raw_ub[[setting]:[setting]],0), MATCH(AA$277, lmic_raw_ub[#Headers],0))=0, INDEX(regions_ub[], MATCH($D399, regions_ub[[setting]:[setting]],0), MATCH(AA$139, regions_ub[#Headers],0)),INDEX(lmic_raw_ub[],MATCH($A399,lmic_raw_ub[[setting]:[setting]],0), MATCH(AA$277, lmic_raw_ub[#Headers],0)))</f>
        <v>5.5869929885984098</v>
      </c>
      <c r="AB399" s="84">
        <f>IF(INDEX(lmic_raw_ub[],MATCH($A399,lmic_raw_ub[[setting]:[setting]],0), MATCH(AB$277, lmic_raw_ub[#Headers],0))=0, INDEX(regions_ub[], MATCH($D399, regions_ub[[setting]:[setting]],0), MATCH(AB$139, regions_ub[#Headers],0)),INDEX(lmic_raw_ub[],MATCH($A399,lmic_raw_ub[[setting]:[setting]],0), MATCH(AB$277, lmic_raw_ub[#Headers],0)))</f>
        <v>10.657127988598411</v>
      </c>
      <c r="AC399" s="84">
        <f>IF(INDEX(lmic_raw_ub[],MATCH($A399,lmic_raw_ub[[setting]:[setting]],0), MATCH(AC$277, lmic_raw_ub[#Headers],0))=0, INDEX(regions_ub[], MATCH($D399, regions_ub[[setting]:[setting]],0), MATCH(AC$139, regions_ub[#Headers],0)),INDEX(lmic_raw_ub[],MATCH($A399,lmic_raw_ub[[setting]:[setting]],0), MATCH(AC$277, lmic_raw_ub[#Headers],0)))</f>
        <v>5.2181041500000074E-2</v>
      </c>
      <c r="AD399" s="84">
        <f>IF(INDEX(lmic_raw_ub[],MATCH($A399,lmic_raw_ub[[setting]:[setting]],0), MATCH(AD$277, lmic_raw_ub[#Headers],0))=0, INDEX(regions_ub[], MATCH($D399, regions_ub[[setting]:[setting]],0), MATCH(AD$139, regions_ub[#Headers],0)),INDEX(lmic_raw_ub[],MATCH($A399,lmic_raw_ub[[setting]:[setting]],0), MATCH(AD$277, lmic_raw_ub[#Headers],0)))</f>
        <v>7.1062857353496539E-3</v>
      </c>
      <c r="AE399" s="84">
        <f>IF(INDEX(lmic_raw_ub[],MATCH($A399,lmic_raw_ub[[setting]:[setting]],0), MATCH(AE$277, lmic_raw_ub[#Headers],0))=0, INDEX(regions_ub[], MATCH($D399, regions_ub[[setting]:[setting]],0), MATCH(AE$139, regions_ub[#Headers],0)),INDEX(lmic_raw_ub[],MATCH($A399,lmic_raw_ub[[setting]:[setting]],0), MATCH(AE$277, lmic_raw_ub[#Headers],0)))</f>
        <v>3.2495120257947613E-3</v>
      </c>
      <c r="AF399" s="84">
        <f>IF(INDEX(lmic_raw_ub[],MATCH($A399,lmic_raw_ub[[setting]:[setting]],0), MATCH(AF$277, lmic_raw_ub[#Headers],0))=0, INDEX(regions_ub[], MATCH($D399, regions_ub[[setting]:[setting]],0), MATCH(AF$139, regions_ub[#Headers],0)),INDEX(lmic_raw_ub[],MATCH($A399,lmic_raw_ub[[setting]:[setting]],0), MATCH(AF$277, lmic_raw_ub[#Headers],0)))</f>
        <v>1.9018587183679549E-3</v>
      </c>
      <c r="AG399" s="84">
        <f>IF(INDEX(lmic_raw_ub[],MATCH($A399,lmic_raw_ub[[setting]:[setting]],0), MATCH(AG$277, lmic_raw_ub[#Headers],0))=0, INDEX(regions_ub[], MATCH($D399, regions_ub[[setting]:[setting]],0), MATCH(AG$139, regions_ub[#Headers],0)),INDEX(lmic_raw_ub[],MATCH($A399,lmic_raw_ub[[setting]:[setting]],0), MATCH(AG$277, lmic_raw_ub[#Headers],0)))</f>
        <v>2.9044530854527889E-3</v>
      </c>
      <c r="AH399" s="84">
        <f>IF(INDEX(lmic_raw_ub[],MATCH($A399,lmic_raw_ub[[setting]:[setting]],0), MATCH(AH$277, lmic_raw_ub[#Headers],0))=0, INDEX(regions_ub[], MATCH($D399, regions_ub[[setting]:[setting]],0), MATCH(AH$139, regions_ub[#Headers],0)),INDEX(lmic_raw_ub[],MATCH($A399,lmic_raw_ub[[setting]:[setting]],0), MATCH(AH$277, lmic_raw_ub[#Headers],0)))</f>
        <v>4.0566853686809295E-3</v>
      </c>
      <c r="AI399" s="84">
        <f>IF(INDEX(lmic_raw_ub[],MATCH($A399,lmic_raw_ub[[setting]:[setting]],0), MATCH(AI$277, lmic_raw_ub[#Headers],0))=0, INDEX(regions_ub[], MATCH($D399, regions_ub[[setting]:[setting]],0), MATCH(AI$139, regions_ub[#Headers],0)),INDEX(lmic_raw_ub[],MATCH($A399,lmic_raw_ub[[setting]:[setting]],0), MATCH(AI$277, lmic_raw_ub[#Headers],0)))</f>
        <v>4.3130451395077124E-3</v>
      </c>
      <c r="AJ399" s="84">
        <f>IF(INDEX(lmic_raw_ub[],MATCH($A399,lmic_raw_ub[[setting]:[setting]],0), MATCH(AJ$277, lmic_raw_ub[#Headers],0))=0, INDEX(regions_ub[], MATCH($D399, regions_ub[[setting]:[setting]],0), MATCH(AJ$139, regions_ub[#Headers],0)),INDEX(lmic_raw_ub[],MATCH($A399,lmic_raw_ub[[setting]:[setting]],0), MATCH(AJ$277, lmic_raw_ub[#Headers],0)))</f>
        <v>4.7195825330234959E-3</v>
      </c>
      <c r="AK399" s="84">
        <f>IF(INDEX(lmic_raw_ub[],MATCH($A399,lmic_raw_ub[[setting]:[setting]],0), MATCH(AK$277, lmic_raw_ub[#Headers],0))=0, INDEX(regions_ub[], MATCH($D399, regions_ub[[setting]:[setting]],0), MATCH(AK$139, regions_ub[#Headers],0)),INDEX(lmic_raw_ub[],MATCH($A399,lmic_raw_ub[[setting]:[setting]],0), MATCH(AK$277, lmic_raw_ub[#Headers],0)))</f>
        <v>5.3660789664378107E-3</v>
      </c>
      <c r="AL399" s="84">
        <f>IF(INDEX(lmic_raw_ub[],MATCH($A399,lmic_raw_ub[[setting]:[setting]],0), MATCH(AL$277, lmic_raw_ub[#Headers],0))=0, INDEX(regions_ub[], MATCH($D399, regions_ub[[setting]:[setting]],0), MATCH(AL$139, regions_ub[#Headers],0)),INDEX(lmic_raw_ub[],MATCH($A399,lmic_raw_ub[[setting]:[setting]],0), MATCH(AL$277, lmic_raw_ub[#Headers],0)))</f>
        <v>6.5204945819310797E-3</v>
      </c>
      <c r="AM399" s="84">
        <f>IF(INDEX(lmic_raw_ub[],MATCH($A399,lmic_raw_ub[[setting]:[setting]],0), MATCH(AM$277, lmic_raw_ub[#Headers],0))=0, INDEX(regions_ub[], MATCH($D399, regions_ub[[setting]:[setting]],0), MATCH(AM$139, regions_ub[#Headers],0)),INDEX(lmic_raw_ub[],MATCH($A399,lmic_raw_ub[[setting]:[setting]],0), MATCH(AM$277, lmic_raw_ub[#Headers],0)))</f>
        <v>8.0653621666472546E-3</v>
      </c>
      <c r="AN399" s="84">
        <f>IF(INDEX(lmic_raw_ub[],MATCH($A399,lmic_raw_ub[[setting]:[setting]],0), MATCH(AN$277, lmic_raw_ub[#Headers],0))=0, INDEX(regions_ub[], MATCH($D399, regions_ub[[setting]:[setting]],0), MATCH(AN$139, regions_ub[#Headers],0)),INDEX(lmic_raw_ub[],MATCH($A399,lmic_raw_ub[[setting]:[setting]],0), MATCH(AN$277, lmic_raw_ub[#Headers],0)))</f>
        <v>1.1219568067823987E-2</v>
      </c>
      <c r="AO399" s="84">
        <f>IF(INDEX(lmic_raw_ub[],MATCH($A399,lmic_raw_ub[[setting]:[setting]],0), MATCH(AO$277, lmic_raw_ub[#Headers],0))=0, INDEX(regions_ub[], MATCH($D399, regions_ub[[setting]:[setting]],0), MATCH(AO$139, regions_ub[#Headers],0)),INDEX(lmic_raw_ub[],MATCH($A399,lmic_raw_ub[[setting]:[setting]],0), MATCH(AO$277, lmic_raw_ub[#Headers],0)))</f>
        <v>1.5866601707778698E-2</v>
      </c>
      <c r="AP399" s="84">
        <f>IF(INDEX(lmic_raw_ub[],MATCH($A399,lmic_raw_ub[[setting]:[setting]],0), MATCH(AP$277, lmic_raw_ub[#Headers],0))=0, INDEX(regions_ub[], MATCH($D399, regions_ub[[setting]:[setting]],0), MATCH(AP$139, regions_ub[#Headers],0)),INDEX(lmic_raw_ub[],MATCH($A399,lmic_raw_ub[[setting]:[setting]],0), MATCH(AP$277, lmic_raw_ub[#Headers],0)))</f>
        <v>2.456964127452399E-2</v>
      </c>
      <c r="AQ399" s="84">
        <f>IF(INDEX(lmic_raw_ub[],MATCH($A399,lmic_raw_ub[[setting]:[setting]],0), MATCH(AQ$277, lmic_raw_ub[#Headers],0))=0, INDEX(regions_ub[], MATCH($D399, regions_ub[[setting]:[setting]],0), MATCH(AQ$139, regions_ub[#Headers],0)),INDEX(lmic_raw_ub[],MATCH($A399,lmic_raw_ub[[setting]:[setting]],0), MATCH(AQ$277, lmic_raw_ub[#Headers],0)))</f>
        <v>3.7635594000322257E-2</v>
      </c>
      <c r="AR399" s="84">
        <f>IF(INDEX(lmic_raw_ub[],MATCH($A399,lmic_raw_ub[[setting]:[setting]],0), MATCH(AR$277, lmic_raw_ub[#Headers],0))=0, INDEX(regions_ub[], MATCH($D399, regions_ub[[setting]:[setting]],0), MATCH(AR$139, regions_ub[#Headers],0)),INDEX(lmic_raw_ub[],MATCH($A399,lmic_raw_ub[[setting]:[setting]],0), MATCH(AR$277, lmic_raw_ub[#Headers],0)))</f>
        <v>5.9815114166494321E-2</v>
      </c>
      <c r="AS399" s="84">
        <f>IF(INDEX(lmic_raw_ub[],MATCH($A399,lmic_raw_ub[[setting]:[setting]],0), MATCH(AS$277, lmic_raw_ub[#Headers],0))=0, INDEX(regions_ub[], MATCH($D399, regions_ub[[setting]:[setting]],0), MATCH(AS$139, regions_ub[#Headers],0)),INDEX(lmic_raw_ub[],MATCH($A399,lmic_raw_ub[[setting]:[setting]],0), MATCH(AS$277, lmic_raw_ub[#Headers],0)))</f>
        <v>9.1196917910823794E-2</v>
      </c>
      <c r="AT399" s="84">
        <f>IF(INDEX(lmic_raw_ub[],MATCH($A399,lmic_raw_ub[[setting]:[setting]],0), MATCH(AT$277, lmic_raw_ub[#Headers],0))=0, INDEX(regions_ub[], MATCH($D399, regions_ub[[setting]:[setting]],0), MATCH(AT$139, regions_ub[#Headers],0)),INDEX(lmic_raw_ub[],MATCH($A399,lmic_raw_ub[[setting]:[setting]],0), MATCH(AT$277, lmic_raw_ub[#Headers],0)))</f>
        <v>0.12916269213311854</v>
      </c>
      <c r="AU399" s="84">
        <f>IF(INDEX(lmic_raw_ub[],MATCH($A399,lmic_raw_ub[[setting]:[setting]],0), MATCH(AU$277, lmic_raw_ub[#Headers],0))=0, INDEX(regions_ub[], MATCH($D399, regions_ub[[setting]:[setting]],0), MATCH(AU$139, regions_ub[#Headers],0)),INDEX(lmic_raw_ub[],MATCH($A399,lmic_raw_ub[[setting]:[setting]],0), MATCH(AU$277, lmic_raw_ub[#Headers],0)))</f>
        <v>0.16339425922731182</v>
      </c>
      <c r="AV399" s="84">
        <f>IF(INDEX(lmic_raw_ub[],MATCH($A399,lmic_raw_ub[[setting]:[setting]],0), MATCH(AV$277, lmic_raw_ub[#Headers],0))=0, INDEX(regions_ub[], MATCH($D399, regions_ub[[setting]:[setting]],0), MATCH(AV$139, regions_ub[#Headers],0)),INDEX(lmic_raw_ub[],MATCH($A399,lmic_raw_ub[[setting]:[setting]],0), MATCH(AV$277, lmic_raw_ub[#Headers],0)))</f>
        <v>0.18667504558638601</v>
      </c>
      <c r="AW399" s="84">
        <f>IF(INDEX(lmic_raw_ub[],MATCH($A399,lmic_raw_ub[[setting]:[setting]],0), MATCH(AW$277, lmic_raw_ub[#Headers],0))=0, INDEX(regions_ub[], MATCH($D399, regions_ub[[setting]:[setting]],0), MATCH(AW$139, regions_ub[#Headers],0)),INDEX(lmic_raw_ub[],MATCH($A399,lmic_raw_ub[[setting]:[setting]],0), MATCH(AW$277, lmic_raw_ub[#Headers],0)))</f>
        <v>0.2037613251426007</v>
      </c>
      <c r="AX399" s="84">
        <f>IF(INDEX(lmic_raw_ub[],MATCH($A399,lmic_raw_ub[[setting]:[setting]],0), MATCH(AX$277, lmic_raw_ub[#Headers],0))=0, INDEX(regions_ub[], MATCH($D399, regions_ub[[setting]:[setting]],0), MATCH(AX$139, regions_ub[#Headers],0)),INDEX(lmic_raw_ub[],MATCH($A399,lmic_raw_ub[[setting]:[setting]],0), MATCH(AX$277, lmic_raw_ub[#Headers],0)))</f>
        <v>63.554400000000001</v>
      </c>
      <c r="AY399" s="33" t="str">
        <f>IF(VLOOKUP(lmics_ub[[#This Row],[setting]],lmic_raw_ub[],11,FALSE)=0, "Yes", "No")</f>
        <v>Yes</v>
      </c>
    </row>
    <row r="400" spans="1:51" x14ac:dyDescent="0.25">
      <c r="A400" s="109" t="s">
        <v>301</v>
      </c>
      <c r="B400" s="101" t="s">
        <v>525</v>
      </c>
      <c r="C400" s="102">
        <v>776</v>
      </c>
      <c r="D400" s="82" t="s">
        <v>681</v>
      </c>
      <c r="E400" s="82" t="s">
        <v>98</v>
      </c>
      <c r="F400" s="82" t="s">
        <v>666</v>
      </c>
      <c r="G400" s="82" t="s">
        <v>676</v>
      </c>
      <c r="J400" s="84">
        <f>IF(INDEX(lmic_raw_ub[],MATCH($A400,lmic_raw_ub[[setting]:[setting]],0), MATCH(J$277, lmic_raw_ub[#Headers],0))=0, INDEX(regions_ub[], MATCH($D400, regions_ub[[setting]:[setting]],0), MATCH(J$139, regions_ub[#Headers],0)),INDEX(lmic_raw_ub[],MATCH($A400,lmic_raw_ub[[setting]:[setting]],0), MATCH(J$277, lmic_raw_ub[#Headers],0)))</f>
        <v>0.99990000000000001</v>
      </c>
      <c r="K400" s="84">
        <f>IF(INDEX(lmic_raw_ub[],MATCH($A400,lmic_raw_ub[[setting]:[setting]],0), MATCH(K$277, lmic_raw_ub[#Headers],0))=0, INDEX(regions_ub[], MATCH($D400, regions_ub[[setting]:[setting]],0), MATCH(K$139, regions_ub[#Headers],0)),INDEX(lmic_raw_ub[],MATCH($A400,lmic_raw_ub[[setting]:[setting]],0), MATCH(K$277, lmic_raw_ub[#Headers],0)))</f>
        <v>0.99990000000000001</v>
      </c>
      <c r="L400" s="84">
        <f>IF(INDEX(lmic_raw_ub[],MATCH($A400,lmic_raw_ub[[setting]:[setting]],0), MATCH(L$277, lmic_raw_ub[#Headers],0))=0, INDEX(regions_ub[], MATCH($D400, regions_ub[[setting]:[setting]],0), MATCH(L$139, regions_ub[#Headers],0)),INDEX(lmic_raw_ub[],MATCH($A400,lmic_raw_ub[[setting]:[setting]],0), MATCH(L$277, lmic_raw_ub[#Headers],0)))</f>
        <v>0.99990000000000001</v>
      </c>
      <c r="M400" s="84">
        <f>IF(INDEX(lmic_raw_ub[],MATCH($A400,lmic_raw_ub[[setting]:[setting]],0), MATCH(M$277, lmic_raw_ub[#Headers],0))=0, INDEX(regions_ub[], MATCH($D400, regions_ub[[setting]:[setting]],0), MATCH(M$139, regions_ub[#Headers],0)),INDEX(lmic_raw_ub[],MATCH($A400,lmic_raw_ub[[setting]:[setting]],0), MATCH(M$277, lmic_raw_ub[#Headers],0)))</f>
        <v>0.1167</v>
      </c>
      <c r="N400" s="84">
        <f>IF(INDEX(lmic_raw_ub[],MATCH($A400,lmic_raw_ub[[setting]:[setting]],0), MATCH(N$277, lmic_raw_ub[#Headers],0))=0, INDEX(regions_ub[], MATCH($D400, regions_ub[[setting]:[setting]],0), MATCH(N$139, regions_ub[#Headers],0)),INDEX(lmic_raw_ub[],MATCH($A400,lmic_raw_ub[[setting]:[setting]],0), MATCH(N$277, lmic_raw_ub[#Headers],0)))</f>
        <v>0.47889999999999999</v>
      </c>
      <c r="O400" s="84">
        <f>IF(INDEX(lmic_raw_ub[],MATCH($A400,lmic_raw_ub[[setting]:[setting]],0), MATCH(O$277, lmic_raw_ub[#Headers],0))=0, INDEX(regions_ub[], MATCH($D400, regions_ub[[setting]:[setting]],0), MATCH(O$139, regions_ub[#Headers],0)),INDEX(lmic_raw_ub[],MATCH($A400,lmic_raw_ub[[setting]:[setting]],0), MATCH(O$277, lmic_raw_ub[#Headers],0)))</f>
        <v>0.9</v>
      </c>
      <c r="P400" s="84">
        <f>IF(INDEX(lmic_raw_ub[],MATCH($A400,lmic_raw_ub[[setting]:[setting]],0), MATCH(P$277, lmic_raw_ub[#Headers],0))=0, INDEX(regions_ub[], MATCH($D400, regions_ub[[setting]:[setting]],0), MATCH(P$139, regions_ub[#Headers],0)),INDEX(lmic_raw_ub[],MATCH($A400,lmic_raw_ub[[setting]:[setting]],0), MATCH(P$277, lmic_raw_ub[#Headers],0)))</f>
        <v>0.3</v>
      </c>
      <c r="Q400" s="84">
        <f>IF(INDEX(lmic_raw_ub[],MATCH($A400,lmic_raw_ub[[setting]:[setting]],0), MATCH(Q$277, lmic_raw_ub[#Headers],0))=0, INDEX(regions_ub[], MATCH($D400, regions_ub[[setting]:[setting]],0), MATCH(Q$139, regions_ub[#Headers],0)),INDEX(lmic_raw_ub[],MATCH($A400,lmic_raw_ub[[setting]:[setting]],0), MATCH(Q$277, lmic_raw_ub[#Headers],0)))</f>
        <v>8.3993036405719188</v>
      </c>
      <c r="R400" s="84">
        <f>IF(INDEX(lmic_raw_ub[],MATCH($A400,lmic_raw_ub[[setting]:[setting]],0), MATCH(R$277, lmic_raw_ub[#Headers],0))=0, INDEX(regions_ub[], MATCH($D400, regions_ub[[setting]:[setting]],0), MATCH(R$139, regions_ub[#Headers],0)),INDEX(lmic_raw_ub[],MATCH($A400,lmic_raw_ub[[setting]:[setting]],0), MATCH(R$277, lmic_raw_ub[#Headers],0)))</f>
        <v>76.738725000000002</v>
      </c>
      <c r="S400" s="84">
        <f>IF(INDEX(lmic_raw_ub[],MATCH($A400,lmic_raw_ub[[setting]:[setting]],0), MATCH(S$277, lmic_raw_ub[#Headers],0))=0, INDEX(regions_ub[], MATCH($D400, regions_ub[[setting]:[setting]],0), MATCH(S$139, regions_ub[#Headers],0)),INDEX(lmic_raw_ub[],MATCH($A400,lmic_raw_ub[[setting]:[setting]],0), MATCH(S$277, lmic_raw_ub[#Headers],0)))</f>
        <v>126.867825</v>
      </c>
      <c r="T400" s="84">
        <f>IF(INDEX(lmic_raw_ub[],MATCH($A400,lmic_raw_ub[[setting]:[setting]],0), MATCH(T$277, lmic_raw_ub[#Headers],0))=0, INDEX(regions_ub[], MATCH($D400, regions_ub[[setting]:[setting]],0), MATCH(T$139, regions_ub[#Headers],0)),INDEX(lmic_raw_ub[],MATCH($A400,lmic_raw_ub[[setting]:[setting]],0), MATCH(T$277, lmic_raw_ub[#Headers],0)))</f>
        <v>126.867825</v>
      </c>
      <c r="U400" s="84">
        <f>IF(INDEX(lmic_raw_ub[],MATCH($A400,lmic_raw_ub[[setting]:[setting]],0), MATCH(U$277, lmic_raw_ub[#Headers],0))=0, INDEX(regions_ub[], MATCH($D400, regions_ub[[setting]:[setting]],0), MATCH(U$139, regions_ub[#Headers],0)),INDEX(lmic_raw_ub[],MATCH($A400,lmic_raw_ub[[setting]:[setting]],0), MATCH(U$277, lmic_raw_ub[#Headers],0)))</f>
        <v>126.867825</v>
      </c>
      <c r="V400" s="84">
        <f>IF(INDEX(lmic_raw_ub[],MATCH($A400,lmic_raw_ub[[setting]:[setting]],0), MATCH(V$277, lmic_raw_ub[#Headers],0))=0, INDEX(regions_ub[], MATCH($D400, regions_ub[[setting]:[setting]],0), MATCH(V$139, regions_ub[#Headers],0)),INDEX(lmic_raw_ub[],MATCH($A400,lmic_raw_ub[[setting]:[setting]],0), MATCH(V$277, lmic_raw_ub[#Headers],0)))</f>
        <v>19.373744884988202</v>
      </c>
      <c r="W400" s="84">
        <f>IF(INDEX(lmic_raw_ub[],MATCH($A400,lmic_raw_ub[[setting]:[setting]],0), MATCH(W$277, lmic_raw_ub[#Headers],0))=0, INDEX(regions_ub[], MATCH($D400, regions_ub[[setting]:[setting]],0), MATCH(W$139, regions_ub[#Headers],0)),INDEX(lmic_raw_ub[],MATCH($A400,lmic_raw_ub[[setting]:[setting]],0), MATCH(W$277, lmic_raw_ub[#Headers],0)))</f>
        <v>20.037554884988204</v>
      </c>
      <c r="X400" s="84">
        <f>IF(INDEX(lmic_raw_ub[],MATCH($A400,lmic_raw_ub[[setting]:[setting]],0), MATCH(X$277, lmic_raw_ub[#Headers],0))=0, INDEX(regions_ub[], MATCH($D400, regions_ub[[setting]:[setting]],0), MATCH(X$139, regions_ub[#Headers],0)),INDEX(lmic_raw_ub[],MATCH($A400,lmic_raw_ub[[setting]:[setting]],0), MATCH(X$277, lmic_raw_ub[#Headers],0)))</f>
        <v>18.862562922149671</v>
      </c>
      <c r="Y400" s="84">
        <f>IF(INDEX(lmic_raw_ub[],MATCH($A400,lmic_raw_ub[[setting]:[setting]],0), MATCH(Y$277, lmic_raw_ub[#Headers],0))=0, INDEX(regions_ub[], MATCH($D400, regions_ub[[setting]:[setting]],0), MATCH(Y$139, regions_ub[#Headers],0)),INDEX(lmic_raw_ub[],MATCH($A400,lmic_raw_ub[[setting]:[setting]],0), MATCH(Y$277, lmic_raw_ub[#Headers],0)))</f>
        <v>19.526372922149672</v>
      </c>
      <c r="Z400" s="84">
        <f>IF(INDEX(lmic_raw_ub[],MATCH($A400,lmic_raw_ub[[setting]:[setting]],0), MATCH(Z$277, lmic_raw_ub[#Headers],0))=0, INDEX(regions_ub[], MATCH($D400, regions_ub[[setting]:[setting]],0), MATCH(Z$139, regions_ub[#Headers],0)),INDEX(lmic_raw_ub[],MATCH($A400,lmic_raw_ub[[setting]:[setting]],0), MATCH(Z$277, lmic_raw_ub[#Headers],0)))</f>
        <v>19.511883144362955</v>
      </c>
      <c r="AA400" s="84">
        <f>IF(INDEX(lmic_raw_ub[],MATCH($A400,lmic_raw_ub[[setting]:[setting]],0), MATCH(AA$277, lmic_raw_ub[#Headers],0))=0, INDEX(regions_ub[], MATCH($D400, regions_ub[[setting]:[setting]],0), MATCH(AA$139, regions_ub[#Headers],0)),INDEX(lmic_raw_ub[],MATCH($A400,lmic_raw_ub[[setting]:[setting]],0), MATCH(AA$277, lmic_raw_ub[#Headers],0)))</f>
        <v>19.645854499270104</v>
      </c>
      <c r="AB400" s="84">
        <f>IF(INDEX(lmic_raw_ub[],MATCH($A400,lmic_raw_ub[[setting]:[setting]],0), MATCH(AB$277, lmic_raw_ub[#Headers],0))=0, INDEX(regions_ub[], MATCH($D400, regions_ub[[setting]:[setting]],0), MATCH(AB$139, regions_ub[#Headers],0)),INDEX(lmic_raw_ub[],MATCH($A400,lmic_raw_ub[[setting]:[setting]],0), MATCH(AB$277, lmic_raw_ub[#Headers],0)))</f>
        <v>20.309664499270106</v>
      </c>
      <c r="AC400" s="84">
        <f>IF(INDEX(lmic_raw_ub[],MATCH($A400,lmic_raw_ub[[setting]:[setting]],0), MATCH(AC$277, lmic_raw_ub[#Headers],0))=0, INDEX(regions_ub[], MATCH($D400, regions_ub[[setting]:[setting]],0), MATCH(AC$139, regions_ub[#Headers],0)),INDEX(lmic_raw_ub[],MATCH($A400,lmic_raw_ub[[setting]:[setting]],0), MATCH(AC$277, lmic_raw_ub[#Headers],0)))</f>
        <v>1.3142461500000004E-2</v>
      </c>
      <c r="AD400" s="84">
        <f>IF(INDEX(lmic_raw_ub[],MATCH($A400,lmic_raw_ub[[setting]:[setting]],0), MATCH(AD$277, lmic_raw_ub[#Headers],0))=0, INDEX(regions_ub[], MATCH($D400, regions_ub[[setting]:[setting]],0), MATCH(AD$139, regions_ub[#Headers],0)),INDEX(lmic_raw_ub[],MATCH($A400,lmic_raw_ub[[setting]:[setting]],0), MATCH(AD$277, lmic_raw_ub[#Headers],0)))</f>
        <v>8.2515440234705837E-4</v>
      </c>
      <c r="AE400" s="84">
        <f>IF(INDEX(lmic_raw_ub[],MATCH($A400,lmic_raw_ub[[setting]:[setting]],0), MATCH(AE$277, lmic_raw_ub[#Headers],0))=0, INDEX(regions_ub[], MATCH($D400, regions_ub[[setting]:[setting]],0), MATCH(AE$139, regions_ub[#Headers],0)),INDEX(lmic_raw_ub[],MATCH($A400,lmic_raw_ub[[setting]:[setting]],0), MATCH(AE$277, lmic_raw_ub[#Headers],0)))</f>
        <v>4.1801632007142146E-4</v>
      </c>
      <c r="AF400" s="84">
        <f>IF(INDEX(lmic_raw_ub[],MATCH($A400,lmic_raw_ub[[setting]:[setting]],0), MATCH(AF$277, lmic_raw_ub[#Headers],0))=0, INDEX(regions_ub[], MATCH($D400, regions_ub[[setting]:[setting]],0), MATCH(AF$139, regions_ub[#Headers],0)),INDEX(lmic_raw_ub[],MATCH($A400,lmic_raw_ub[[setting]:[setting]],0), MATCH(AF$277, lmic_raw_ub[#Headers],0)))</f>
        <v>3.9704461985552817E-4</v>
      </c>
      <c r="AG400" s="84">
        <f>IF(INDEX(lmic_raw_ub[],MATCH($A400,lmic_raw_ub[[setting]:[setting]],0), MATCH(AG$277, lmic_raw_ub[#Headers],0))=0, INDEX(regions_ub[], MATCH($D400, regions_ub[[setting]:[setting]],0), MATCH(AG$139, regions_ub[#Headers],0)),INDEX(lmic_raw_ub[],MATCH($A400,lmic_raw_ub[[setting]:[setting]],0), MATCH(AG$277, lmic_raw_ub[#Headers],0)))</f>
        <v>9.920878464068424E-4</v>
      </c>
      <c r="AH400" s="84">
        <f>IF(INDEX(lmic_raw_ub[],MATCH($A400,lmic_raw_ub[[setting]:[setting]],0), MATCH(AH$277, lmic_raw_ub[#Headers],0))=0, INDEX(regions_ub[], MATCH($D400, regions_ub[[setting]:[setting]],0), MATCH(AH$139, regions_ub[#Headers],0)),INDEX(lmic_raw_ub[],MATCH($A400,lmic_raw_ub[[setting]:[setting]],0), MATCH(AH$277, lmic_raw_ub[#Headers],0)))</f>
        <v>1.4418868747507157E-3</v>
      </c>
      <c r="AI400" s="84">
        <f>IF(INDEX(lmic_raw_ub[],MATCH($A400,lmic_raw_ub[[setting]:[setting]],0), MATCH(AI$277, lmic_raw_ub[#Headers],0))=0, INDEX(regions_ub[], MATCH($D400, regions_ub[[setting]:[setting]],0), MATCH(AI$139, regions_ub[#Headers],0)),INDEX(lmic_raw_ub[],MATCH($A400,lmic_raw_ub[[setting]:[setting]],0), MATCH(AI$277, lmic_raw_ub[#Headers],0)))</f>
        <v>1.5780662177807072E-3</v>
      </c>
      <c r="AJ400" s="84">
        <f>IF(INDEX(lmic_raw_ub[],MATCH($A400,lmic_raw_ub[[setting]:[setting]],0), MATCH(AJ$277, lmic_raw_ub[#Headers],0))=0, INDEX(regions_ub[], MATCH($D400, regions_ub[[setting]:[setting]],0), MATCH(AJ$139, regions_ub[#Headers],0)),INDEX(lmic_raw_ub[],MATCH($A400,lmic_raw_ub[[setting]:[setting]],0), MATCH(AJ$277, lmic_raw_ub[#Headers],0)))</f>
        <v>1.8866966642702339E-3</v>
      </c>
      <c r="AK400" s="84">
        <f>IF(INDEX(lmic_raw_ub[],MATCH($A400,lmic_raw_ub[[setting]:[setting]],0), MATCH(AK$277, lmic_raw_ub[#Headers],0))=0, INDEX(regions_ub[], MATCH($D400, regions_ub[[setting]:[setting]],0), MATCH(AK$139, regions_ub[#Headers],0)),INDEX(lmic_raw_ub[],MATCH($A400,lmic_raw_ub[[setting]:[setting]],0), MATCH(AK$277, lmic_raw_ub[#Headers],0)))</f>
        <v>2.5429317960542386E-3</v>
      </c>
      <c r="AL400" s="84">
        <f>IF(INDEX(lmic_raw_ub[],MATCH($A400,lmic_raw_ub[[setting]:[setting]],0), MATCH(AL$277, lmic_raw_ub[#Headers],0))=0, INDEX(regions_ub[], MATCH($D400, regions_ub[[setting]:[setting]],0), MATCH(AL$139, regions_ub[#Headers],0)),INDEX(lmic_raw_ub[],MATCH($A400,lmic_raw_ub[[setting]:[setting]],0), MATCH(AL$277, lmic_raw_ub[#Headers],0)))</f>
        <v>3.6548412816302229E-3</v>
      </c>
      <c r="AM400" s="84">
        <f>IF(INDEX(lmic_raw_ub[],MATCH($A400,lmic_raw_ub[[setting]:[setting]],0), MATCH(AM$277, lmic_raw_ub[#Headers],0))=0, INDEX(regions_ub[], MATCH($D400, regions_ub[[setting]:[setting]],0), MATCH(AM$139, regions_ub[#Headers],0)),INDEX(lmic_raw_ub[],MATCH($A400,lmic_raw_ub[[setting]:[setting]],0), MATCH(AM$277, lmic_raw_ub[#Headers],0)))</f>
        <v>5.4933801450625505E-3</v>
      </c>
      <c r="AN400" s="84">
        <f>IF(INDEX(lmic_raw_ub[],MATCH($A400,lmic_raw_ub[[setting]:[setting]],0), MATCH(AN$277, lmic_raw_ub[#Headers],0))=0, INDEX(regions_ub[], MATCH($D400, regions_ub[[setting]:[setting]],0), MATCH(AN$139, regions_ub[#Headers],0)),INDEX(lmic_raw_ub[],MATCH($A400,lmic_raw_ub[[setting]:[setting]],0), MATCH(AN$277, lmic_raw_ub[#Headers],0)))</f>
        <v>8.3032493594690365E-3</v>
      </c>
      <c r="AO400" s="84">
        <f>IF(INDEX(lmic_raw_ub[],MATCH($A400,lmic_raw_ub[[setting]:[setting]],0), MATCH(AO$277, lmic_raw_ub[#Headers],0))=0, INDEX(regions_ub[], MATCH($D400, regions_ub[[setting]:[setting]],0), MATCH(AO$139, regions_ub[#Headers],0)),INDEX(lmic_raw_ub[],MATCH($A400,lmic_raw_ub[[setting]:[setting]],0), MATCH(AO$277, lmic_raw_ub[#Headers],0)))</f>
        <v>1.2261459063966047E-2</v>
      </c>
      <c r="AP400" s="84">
        <f>IF(INDEX(lmic_raw_ub[],MATCH($A400,lmic_raw_ub[[setting]:[setting]],0), MATCH(AP$277, lmic_raw_ub[#Headers],0))=0, INDEX(regions_ub[], MATCH($D400, regions_ub[[setting]:[setting]],0), MATCH(AP$139, regions_ub[#Headers],0)),INDEX(lmic_raw_ub[],MATCH($A400,lmic_raw_ub[[setting]:[setting]],0), MATCH(AP$277, lmic_raw_ub[#Headers],0)))</f>
        <v>1.9454465628032457E-2</v>
      </c>
      <c r="AQ400" s="84">
        <f>IF(INDEX(lmic_raw_ub[],MATCH($A400,lmic_raw_ub[[setting]:[setting]],0), MATCH(AQ$277, lmic_raw_ub[#Headers],0))=0, INDEX(regions_ub[], MATCH($D400, regions_ub[[setting]:[setting]],0), MATCH(AQ$139, regions_ub[#Headers],0)),INDEX(lmic_raw_ub[],MATCH($A400,lmic_raw_ub[[setting]:[setting]],0), MATCH(AQ$277, lmic_raw_ub[#Headers],0)))</f>
        <v>3.0980011718835059E-2</v>
      </c>
      <c r="AR400" s="84">
        <f>IF(INDEX(lmic_raw_ub[],MATCH($A400,lmic_raw_ub[[setting]:[setting]],0), MATCH(AR$277, lmic_raw_ub[#Headers],0))=0, INDEX(regions_ub[], MATCH($D400, regions_ub[[setting]:[setting]],0), MATCH(AR$139, regions_ub[#Headers],0)),INDEX(lmic_raw_ub[],MATCH($A400,lmic_raw_ub[[setting]:[setting]],0), MATCH(AR$277, lmic_raw_ub[#Headers],0)))</f>
        <v>4.8035691411929475E-2</v>
      </c>
      <c r="AS400" s="84">
        <f>IF(INDEX(lmic_raw_ub[],MATCH($A400,lmic_raw_ub[[setting]:[setting]],0), MATCH(AS$277, lmic_raw_ub[#Headers],0))=0, INDEX(regions_ub[], MATCH($D400, regions_ub[[setting]:[setting]],0), MATCH(AS$139, regions_ub[#Headers],0)),INDEX(lmic_raw_ub[],MATCH($A400,lmic_raw_ub[[setting]:[setting]],0), MATCH(AS$277, lmic_raw_ub[#Headers],0)))</f>
        <v>7.2241034395332165E-2</v>
      </c>
      <c r="AT400" s="84">
        <f>IF(INDEX(lmic_raw_ub[],MATCH($A400,lmic_raw_ub[[setting]:[setting]],0), MATCH(AT$277, lmic_raw_ub[#Headers],0))=0, INDEX(regions_ub[], MATCH($D400, regions_ub[[setting]:[setting]],0), MATCH(AT$139, regions_ub[#Headers],0)),INDEX(lmic_raw_ub[],MATCH($A400,lmic_raw_ub[[setting]:[setting]],0), MATCH(AT$277, lmic_raw_ub[#Headers],0)))</f>
        <v>0.10456161160101302</v>
      </c>
      <c r="AU400" s="84">
        <f>IF(INDEX(lmic_raw_ub[],MATCH($A400,lmic_raw_ub[[setting]:[setting]],0), MATCH(AU$277, lmic_raw_ub[#Headers],0))=0, INDEX(regions_ub[], MATCH($D400, regions_ub[[setting]:[setting]],0), MATCH(AU$139, regions_ub[#Headers],0)),INDEX(lmic_raw_ub[],MATCH($A400,lmic_raw_ub[[setting]:[setting]],0), MATCH(AU$277, lmic_raw_ub[#Headers],0)))</f>
        <v>0.14108433240940566</v>
      </c>
      <c r="AV400" s="84">
        <f>IF(INDEX(lmic_raw_ub[],MATCH($A400,lmic_raw_ub[[setting]:[setting]],0), MATCH(AV$277, lmic_raw_ub[#Headers],0))=0, INDEX(regions_ub[], MATCH($D400, regions_ub[[setting]:[setting]],0), MATCH(AV$139, regions_ub[#Headers],0)),INDEX(lmic_raw_ub[],MATCH($A400,lmic_raw_ub[[setting]:[setting]],0), MATCH(AV$277, lmic_raw_ub[#Headers],0)))</f>
        <v>0.17208397875185233</v>
      </c>
      <c r="AW400" s="84">
        <f>IF(INDEX(lmic_raw_ub[],MATCH($A400,lmic_raw_ub[[setting]:[setting]],0), MATCH(AW$277, lmic_raw_ub[#Headers],0))=0, INDEX(regions_ub[], MATCH($D400, regions_ub[[setting]:[setting]],0), MATCH(AW$139, regions_ub[#Headers],0)),INDEX(lmic_raw_ub[],MATCH($A400,lmic_raw_ub[[setting]:[setting]],0), MATCH(AW$277, lmic_raw_ub[#Headers],0)))</f>
        <v>0.19108905187618003</v>
      </c>
      <c r="AX400" s="84">
        <f>IF(INDEX(lmic_raw_ub[],MATCH($A400,lmic_raw_ub[[setting]:[setting]],0), MATCH(AX$277, lmic_raw_ub[#Headers],0))=0, INDEX(regions_ub[], MATCH($D400, regions_ub[[setting]:[setting]],0), MATCH(AX$139, regions_ub[#Headers],0)),INDEX(lmic_raw_ub[],MATCH($A400,lmic_raw_ub[[setting]:[setting]],0), MATCH(AX$277, lmic_raw_ub[#Headers],0)))</f>
        <v>74.278050000000007</v>
      </c>
      <c r="AY400" s="33" t="str">
        <f>IF(VLOOKUP(lmics_ub[[#This Row],[setting]],lmic_raw_ub[],11,FALSE)=0, "Yes", "No")</f>
        <v>No</v>
      </c>
    </row>
    <row r="401" spans="1:51" x14ac:dyDescent="0.25">
      <c r="A401" s="110" t="s">
        <v>162</v>
      </c>
      <c r="B401" s="104" t="s">
        <v>527</v>
      </c>
      <c r="C401" s="105">
        <v>788</v>
      </c>
      <c r="D401" s="84" t="s">
        <v>673</v>
      </c>
      <c r="E401" s="84" t="s">
        <v>579</v>
      </c>
      <c r="F401" s="84" t="s">
        <v>579</v>
      </c>
      <c r="G401" s="84" t="s">
        <v>678</v>
      </c>
      <c r="J401" s="84">
        <f>IF(INDEX(lmic_raw_ub[],MATCH($A401,lmic_raw_ub[[setting]:[setting]],0), MATCH(J$277, lmic_raw_ub[#Headers],0))=0, INDEX(regions_ub[], MATCH($D401, regions_ub[[setting]:[setting]],0), MATCH(J$139, regions_ub[#Headers],0)),INDEX(lmic_raw_ub[],MATCH($A401,lmic_raw_ub[[setting]:[setting]],0), MATCH(J$277, lmic_raw_ub[#Headers],0)))</f>
        <v>0.99990000000000001</v>
      </c>
      <c r="K401" s="84">
        <f>IF(INDEX(lmic_raw_ub[],MATCH($A401,lmic_raw_ub[[setting]:[setting]],0), MATCH(K$277, lmic_raw_ub[#Headers],0))=0, INDEX(regions_ub[], MATCH($D401, regions_ub[[setting]:[setting]],0), MATCH(K$139, regions_ub[#Headers],0)),INDEX(lmic_raw_ub[],MATCH($A401,lmic_raw_ub[[setting]:[setting]],0), MATCH(K$277, lmic_raw_ub[#Headers],0)))</f>
        <v>0.77700000000000002</v>
      </c>
      <c r="L401" s="84">
        <f>IF(INDEX(lmic_raw_ub[],MATCH($A401,lmic_raw_ub[[setting]:[setting]],0), MATCH(L$277, lmic_raw_ub[#Headers],0))=0, INDEX(regions_ub[], MATCH($D401, regions_ub[[setting]:[setting]],0), MATCH(L$139, regions_ub[#Headers],0)),INDEX(lmic_raw_ub[],MATCH($A401,lmic_raw_ub[[setting]:[setting]],0), MATCH(L$277, lmic_raw_ub[#Headers],0)))</f>
        <v>0.96600000000000008</v>
      </c>
      <c r="M401" s="84">
        <f>IF(INDEX(lmic_raw_ub[],MATCH($A401,lmic_raw_ub[[setting]:[setting]],0), MATCH(M$277, lmic_raw_ub[#Headers],0))=0, INDEX(regions_ub[], MATCH($D401, regions_ub[[setting]:[setting]],0), MATCH(M$139, regions_ub[#Headers],0)),INDEX(lmic_raw_ub[],MATCH($A401,lmic_raw_ub[[setting]:[setting]],0), MATCH(M$277, lmic_raw_ub[#Headers],0)))</f>
        <v>6.1500000000000006E-2</v>
      </c>
      <c r="N401" s="84">
        <f>IF(INDEX(lmic_raw_ub[],MATCH($A401,lmic_raw_ub[[setting]:[setting]],0), MATCH(N$277, lmic_raw_ub[#Headers],0))=0, INDEX(regions_ub[], MATCH($D401, regions_ub[[setting]:[setting]],0), MATCH(N$139, regions_ub[#Headers],0)),INDEX(lmic_raw_ub[],MATCH($A401,lmic_raw_ub[[setting]:[setting]],0), MATCH(N$277, lmic_raw_ub[#Headers],0)))</f>
        <v>0.37619999999999998</v>
      </c>
      <c r="O401" s="84">
        <f>IF(INDEX(lmic_raw_ub[],MATCH($A401,lmic_raw_ub[[setting]:[setting]],0), MATCH(O$277, lmic_raw_ub[#Headers],0))=0, INDEX(regions_ub[], MATCH($D401, regions_ub[[setting]:[setting]],0), MATCH(O$139, regions_ub[#Headers],0)),INDEX(lmic_raw_ub[],MATCH($A401,lmic_raw_ub[[setting]:[setting]],0), MATCH(O$277, lmic_raw_ub[#Headers],0)))</f>
        <v>0.9</v>
      </c>
      <c r="P401" s="84">
        <f>IF(INDEX(lmic_raw_ub[],MATCH($A401,lmic_raw_ub[[setting]:[setting]],0), MATCH(P$277, lmic_raw_ub[#Headers],0))=0, INDEX(regions_ub[], MATCH($D401, regions_ub[[setting]:[setting]],0), MATCH(P$139, regions_ub[#Headers],0)),INDEX(lmic_raw_ub[],MATCH($A401,lmic_raw_ub[[setting]:[setting]],0), MATCH(P$277, lmic_raw_ub[#Headers],0)))</f>
        <v>0.3</v>
      </c>
      <c r="Q401" s="84">
        <f>IF(INDEX(lmic_raw_ub[],MATCH($A401,lmic_raw_ub[[setting]:[setting]],0), MATCH(Q$277, lmic_raw_ub[#Headers],0))=0, INDEX(regions_ub[], MATCH($D401, regions_ub[[setting]:[setting]],0), MATCH(Q$139, regions_ub[#Headers],0)),INDEX(lmic_raw_ub[],MATCH($A401,lmic_raw_ub[[setting]:[setting]],0), MATCH(Q$277, lmic_raw_ub[#Headers],0)))</f>
        <v>8.7108662072120637</v>
      </c>
      <c r="R401" s="84">
        <f>IF(INDEX(lmic_raw_ub[],MATCH($A401,lmic_raw_ub[[setting]:[setting]],0), MATCH(R$277, lmic_raw_ub[#Headers],0))=0, INDEX(regions_ub[], MATCH($D401, regions_ub[[setting]:[setting]],0), MATCH(R$139, regions_ub[#Headers],0)),INDEX(lmic_raw_ub[],MATCH($A401,lmic_raw_ub[[setting]:[setting]],0), MATCH(R$277, lmic_raw_ub[#Headers],0)))</f>
        <v>48.652695000000001</v>
      </c>
      <c r="S401" s="84">
        <f>IF(INDEX(lmic_raw_ub[],MATCH($A401,lmic_raw_ub[[setting]:[setting]],0), MATCH(S$277, lmic_raw_ub[#Headers],0))=0, INDEX(regions_ub[], MATCH($D401, regions_ub[[setting]:[setting]],0), MATCH(S$139, regions_ub[#Headers],0)),INDEX(lmic_raw_ub[],MATCH($A401,lmic_raw_ub[[setting]:[setting]],0), MATCH(S$277, lmic_raw_ub[#Headers],0)))</f>
        <v>98.781795000000017</v>
      </c>
      <c r="T401" s="84">
        <f>IF(INDEX(lmic_raw_ub[],MATCH($A401,lmic_raw_ub[[setting]:[setting]],0), MATCH(T$277, lmic_raw_ub[#Headers],0))=0, INDEX(regions_ub[], MATCH($D401, regions_ub[[setting]:[setting]],0), MATCH(T$139, regions_ub[#Headers],0)),INDEX(lmic_raw_ub[],MATCH($A401,lmic_raw_ub[[setting]:[setting]],0), MATCH(T$277, lmic_raw_ub[#Headers],0)))</f>
        <v>98.781795000000017</v>
      </c>
      <c r="U401" s="84">
        <f>IF(INDEX(lmic_raw_ub[],MATCH($A401,lmic_raw_ub[[setting]:[setting]],0), MATCH(U$277, lmic_raw_ub[#Headers],0))=0, INDEX(regions_ub[], MATCH($D401, regions_ub[[setting]:[setting]],0), MATCH(U$139, regions_ub[#Headers],0)),INDEX(lmic_raw_ub[],MATCH($A401,lmic_raw_ub[[setting]:[setting]],0), MATCH(U$277, lmic_raw_ub[#Headers],0)))</f>
        <v>98.781795000000017</v>
      </c>
      <c r="V401" s="84">
        <f>IF(INDEX(lmic_raw_ub[],MATCH($A401,lmic_raw_ub[[setting]:[setting]],0), MATCH(V$277, lmic_raw_ub[#Headers],0))=0, INDEX(regions_ub[], MATCH($D401, regions_ub[[setting]:[setting]],0), MATCH(V$139, regions_ub[#Headers],0)),INDEX(lmic_raw_ub[],MATCH($A401,lmic_raw_ub[[setting]:[setting]],0), MATCH(V$277, lmic_raw_ub[#Headers],0)))</f>
        <v>9.2088010338045354</v>
      </c>
      <c r="W401" s="84">
        <f>IF(INDEX(lmic_raw_ub[],MATCH($A401,lmic_raw_ub[[setting]:[setting]],0), MATCH(W$277, lmic_raw_ub[#Headers],0))=0, INDEX(regions_ub[], MATCH($D401, regions_ub[[setting]:[setting]],0), MATCH(W$139, regions_ub[#Headers],0)),INDEX(lmic_raw_ub[],MATCH($A401,lmic_raw_ub[[setting]:[setting]],0), MATCH(W$277, lmic_raw_ub[#Headers],0)))</f>
        <v>9.7123810338045349</v>
      </c>
      <c r="X401" s="84">
        <f>IF(INDEX(lmic_raw_ub[],MATCH($A401,lmic_raw_ub[[setting]:[setting]],0), MATCH(X$277, lmic_raw_ub[#Headers],0))=0, INDEX(regions_ub[], MATCH($D401, regions_ub[[setting]:[setting]],0), MATCH(X$139, regions_ub[#Headers],0)),INDEX(lmic_raw_ub[],MATCH($A401,lmic_raw_ub[[setting]:[setting]],0), MATCH(X$277, lmic_raw_ub[#Headers],0)))</f>
        <v>8.6878497810016455</v>
      </c>
      <c r="Y401" s="84">
        <f>IF(INDEX(lmic_raw_ub[],MATCH($A401,lmic_raw_ub[[setting]:[setting]],0), MATCH(Y$277, lmic_raw_ub[#Headers],0))=0, INDEX(regions_ub[], MATCH($D401, regions_ub[[setting]:[setting]],0), MATCH(Y$139, regions_ub[#Headers],0)),INDEX(lmic_raw_ub[],MATCH($A401,lmic_raw_ub[[setting]:[setting]],0), MATCH(Y$277, lmic_raw_ub[#Headers],0)))</f>
        <v>9.191429781001645</v>
      </c>
      <c r="Z401" s="84">
        <f>IF(INDEX(lmic_raw_ub[],MATCH($A401,lmic_raw_ub[[setting]:[setting]],0), MATCH(Z$277, lmic_raw_ub[#Headers],0))=0, INDEX(regions_ub[], MATCH($D401, regions_ub[[setting]:[setting]],0), MATCH(Z$139, regions_ub[#Headers],0)),INDEX(lmic_raw_ub[],MATCH($A401,lmic_raw_ub[[setting]:[setting]],0), MATCH(Z$277, lmic_raw_ub[#Headers],0)))</f>
        <v>9.1698537303200904</v>
      </c>
      <c r="AA401" s="84">
        <f>IF(INDEX(lmic_raw_ub[],MATCH($A401,lmic_raw_ub[[setting]:[setting]],0), MATCH(AA$277, lmic_raw_ub[#Headers],0))=0, INDEX(regions_ub[], MATCH($D401, regions_ub[[setting]:[setting]],0), MATCH(AA$139, regions_ub[#Headers],0)),INDEX(lmic_raw_ub[],MATCH($A401,lmic_raw_ub[[setting]:[setting]],0), MATCH(AA$277, lmic_raw_ub[#Headers],0)))</f>
        <v>9.4831282169740501</v>
      </c>
      <c r="AB401" s="84">
        <f>IF(INDEX(lmic_raw_ub[],MATCH($A401,lmic_raw_ub[[setting]:[setting]],0), MATCH(AB$277, lmic_raw_ub[#Headers],0))=0, INDEX(regions_ub[], MATCH($D401, regions_ub[[setting]:[setting]],0), MATCH(AB$139, regions_ub[#Headers],0)),INDEX(lmic_raw_ub[],MATCH($A401,lmic_raw_ub[[setting]:[setting]],0), MATCH(AB$277, lmic_raw_ub[#Headers],0)))</f>
        <v>9.9867082169740495</v>
      </c>
      <c r="AC401" s="84">
        <f>IF(INDEX(lmic_raw_ub[],MATCH($A401,lmic_raw_ub[[setting]:[setting]],0), MATCH(AC$277, lmic_raw_ub[#Headers],0))=0, INDEX(regions_ub[], MATCH($D401, regions_ub[[setting]:[setting]],0), MATCH(AC$139, regions_ub[#Headers],0)),INDEX(lmic_raw_ub[],MATCH($A401,lmic_raw_ub[[setting]:[setting]],0), MATCH(AC$277, lmic_raw_ub[#Headers],0)))</f>
        <v>1.3311543000000035E-2</v>
      </c>
      <c r="AD401" s="84">
        <f>IF(INDEX(lmic_raw_ub[],MATCH($A401,lmic_raw_ub[[setting]:[setting]],0), MATCH(AD$277, lmic_raw_ub[#Headers],0))=0, INDEX(regions_ub[], MATCH($D401, regions_ub[[setting]:[setting]],0), MATCH(AD$139, regions_ub[#Headers],0)),INDEX(lmic_raw_ub[],MATCH($A401,lmic_raw_ub[[setting]:[setting]],0), MATCH(AD$277, lmic_raw_ub[#Headers],0)))</f>
        <v>2.0608960899233625E-4</v>
      </c>
      <c r="AE401" s="84">
        <f>IF(INDEX(lmic_raw_ub[],MATCH($A401,lmic_raw_ub[[setting]:[setting]],0), MATCH(AE$277, lmic_raw_ub[#Headers],0))=0, INDEX(regions_ub[], MATCH($D401, regions_ub[[setting]:[setting]],0), MATCH(AE$139, regions_ub[#Headers],0)),INDEX(lmic_raw_ub[],MATCH($A401,lmic_raw_ub[[setting]:[setting]],0), MATCH(AE$277, lmic_raw_ub[#Headers],0)))</f>
        <v>1.5255083743129881E-4</v>
      </c>
      <c r="AF401" s="84">
        <f>IF(INDEX(lmic_raw_ub[],MATCH($A401,lmic_raw_ub[[setting]:[setting]],0), MATCH(AF$277, lmic_raw_ub[#Headers],0))=0, INDEX(regions_ub[], MATCH($D401, regions_ub[[setting]:[setting]],0), MATCH(AF$139, regions_ub[#Headers],0)),INDEX(lmic_raw_ub[],MATCH($A401,lmic_raw_ub[[setting]:[setting]],0), MATCH(AF$277, lmic_raw_ub[#Headers],0)))</f>
        <v>2.5796097022882431E-4</v>
      </c>
      <c r="AG401" s="84">
        <f>IF(INDEX(lmic_raw_ub[],MATCH($A401,lmic_raw_ub[[setting]:[setting]],0), MATCH(AG$277, lmic_raw_ub[#Headers],0))=0, INDEX(regions_ub[], MATCH($D401, regions_ub[[setting]:[setting]],0), MATCH(AG$139, regions_ub[#Headers],0)),INDEX(lmic_raw_ub[],MATCH($A401,lmic_raw_ub[[setting]:[setting]],0), MATCH(AG$277, lmic_raw_ub[#Headers],0)))</f>
        <v>3.8793349167197698E-4</v>
      </c>
      <c r="AH401" s="84">
        <f>IF(INDEX(lmic_raw_ub[],MATCH($A401,lmic_raw_ub[[setting]:[setting]],0), MATCH(AH$277, lmic_raw_ub[#Headers],0))=0, INDEX(regions_ub[], MATCH($D401, regions_ub[[setting]:[setting]],0), MATCH(AH$139, regions_ub[#Headers],0)),INDEX(lmic_raw_ub[],MATCH($A401,lmic_raw_ub[[setting]:[setting]],0), MATCH(AH$277, lmic_raw_ub[#Headers],0)))</f>
        <v>5.2729238093918477E-4</v>
      </c>
      <c r="AI401" s="84">
        <f>IF(INDEX(lmic_raw_ub[],MATCH($A401,lmic_raw_ub[[setting]:[setting]],0), MATCH(AI$277, lmic_raw_ub[#Headers],0))=0, INDEX(regions_ub[], MATCH($D401, regions_ub[[setting]:[setting]],0), MATCH(AI$139, regions_ub[#Headers],0)),INDEX(lmic_raw_ub[],MATCH($A401,lmic_raw_ub[[setting]:[setting]],0), MATCH(AI$277, lmic_raw_ub[#Headers],0)))</f>
        <v>5.9878300731977237E-4</v>
      </c>
      <c r="AJ401" s="84">
        <f>IF(INDEX(lmic_raw_ub[],MATCH($A401,lmic_raw_ub[[setting]:[setting]],0), MATCH(AJ$277, lmic_raw_ub[#Headers],0))=0, INDEX(regions_ub[], MATCH($D401, regions_ub[[setting]:[setting]],0), MATCH(AJ$139, regions_ub[#Headers],0)),INDEX(lmic_raw_ub[],MATCH($A401,lmic_raw_ub[[setting]:[setting]],0), MATCH(AJ$277, lmic_raw_ub[#Headers],0)))</f>
        <v>7.0216138782826817E-4</v>
      </c>
      <c r="AK401" s="84">
        <f>IF(INDEX(lmic_raw_ub[],MATCH($A401,lmic_raw_ub[[setting]:[setting]],0), MATCH(AK$277, lmic_raw_ub[#Headers],0))=0, INDEX(regions_ub[], MATCH($D401, regions_ub[[setting]:[setting]],0), MATCH(AK$139, regions_ub[#Headers],0)),INDEX(lmic_raw_ub[],MATCH($A401,lmic_raw_ub[[setting]:[setting]],0), MATCH(AK$277, lmic_raw_ub[#Headers],0)))</f>
        <v>9.8605699447690026E-4</v>
      </c>
      <c r="AL401" s="84">
        <f>IF(INDEX(lmic_raw_ub[],MATCH($A401,lmic_raw_ub[[setting]:[setting]],0), MATCH(AL$277, lmic_raw_ub[#Headers],0))=0, INDEX(regions_ub[], MATCH($D401, regions_ub[[setting]:[setting]],0), MATCH(AL$139, regions_ub[#Headers],0)),INDEX(lmic_raw_ub[],MATCH($A401,lmic_raw_ub[[setting]:[setting]],0), MATCH(AL$277, lmic_raw_ub[#Headers],0)))</f>
        <v>1.5704915089490585E-3</v>
      </c>
      <c r="AM401" s="84">
        <f>IF(INDEX(lmic_raw_ub[],MATCH($A401,lmic_raw_ub[[setting]:[setting]],0), MATCH(AM$277, lmic_raw_ub[#Headers],0))=0, INDEX(regions_ub[], MATCH($D401, regions_ub[[setting]:[setting]],0), MATCH(AM$139, regions_ub[#Headers],0)),INDEX(lmic_raw_ub[],MATCH($A401,lmic_raw_ub[[setting]:[setting]],0), MATCH(AM$277, lmic_raw_ub[#Headers],0)))</f>
        <v>2.580904568476268E-3</v>
      </c>
      <c r="AN401" s="84">
        <f>IF(INDEX(lmic_raw_ub[],MATCH($A401,lmic_raw_ub[[setting]:[setting]],0), MATCH(AN$277, lmic_raw_ub[#Headers],0))=0, INDEX(regions_ub[], MATCH($D401, regions_ub[[setting]:[setting]],0), MATCH(AN$139, regions_ub[#Headers],0)),INDEX(lmic_raw_ub[],MATCH($A401,lmic_raw_ub[[setting]:[setting]],0), MATCH(AN$277, lmic_raw_ub[#Headers],0)))</f>
        <v>4.4250712371072158E-3</v>
      </c>
      <c r="AO401" s="84">
        <f>IF(INDEX(lmic_raw_ub[],MATCH($A401,lmic_raw_ub[[setting]:[setting]],0), MATCH(AO$277, lmic_raw_ub[#Headers],0))=0, INDEX(regions_ub[], MATCH($D401, regions_ub[[setting]:[setting]],0), MATCH(AO$139, regions_ub[#Headers],0)),INDEX(lmic_raw_ub[],MATCH($A401,lmic_raw_ub[[setting]:[setting]],0), MATCH(AO$277, lmic_raw_ub[#Headers],0)))</f>
        <v>7.4090599119046871E-3</v>
      </c>
      <c r="AP401" s="84">
        <f>IF(INDEX(lmic_raw_ub[],MATCH($A401,lmic_raw_ub[[setting]:[setting]],0), MATCH(AP$277, lmic_raw_ub[#Headers],0))=0, INDEX(regions_ub[], MATCH($D401, regions_ub[[setting]:[setting]],0), MATCH(AP$139, regions_ub[#Headers],0)),INDEX(lmic_raw_ub[],MATCH($A401,lmic_raw_ub[[setting]:[setting]],0), MATCH(AP$277, lmic_raw_ub[#Headers],0)))</f>
        <v>1.196662218810636E-2</v>
      </c>
      <c r="AQ401" s="84">
        <f>IF(INDEX(lmic_raw_ub[],MATCH($A401,lmic_raw_ub[[setting]:[setting]],0), MATCH(AQ$277, lmic_raw_ub[#Headers],0))=0, INDEX(regions_ub[], MATCH($D401, regions_ub[[setting]:[setting]],0), MATCH(AQ$139, regions_ub[#Headers],0)),INDEX(lmic_raw_ub[],MATCH($A401,lmic_raw_ub[[setting]:[setting]],0), MATCH(AQ$277, lmic_raw_ub[#Headers],0)))</f>
        <v>1.8937553526277878E-2</v>
      </c>
      <c r="AR401" s="84">
        <f>IF(INDEX(lmic_raw_ub[],MATCH($A401,lmic_raw_ub[[setting]:[setting]],0), MATCH(AR$277, lmic_raw_ub[#Headers],0))=0, INDEX(regions_ub[], MATCH($D401, regions_ub[[setting]:[setting]],0), MATCH(AR$139, regions_ub[#Headers],0)),INDEX(lmic_raw_ub[],MATCH($A401,lmic_raw_ub[[setting]:[setting]],0), MATCH(AR$277, lmic_raw_ub[#Headers],0)))</f>
        <v>3.2473658281102477E-2</v>
      </c>
      <c r="AS401" s="84">
        <f>IF(INDEX(lmic_raw_ub[],MATCH($A401,lmic_raw_ub[[setting]:[setting]],0), MATCH(AS$277, lmic_raw_ub[#Headers],0))=0, INDEX(regions_ub[], MATCH($D401, regions_ub[[setting]:[setting]],0), MATCH(AS$139, regions_ub[#Headers],0)),INDEX(lmic_raw_ub[],MATCH($A401,lmic_raw_ub[[setting]:[setting]],0), MATCH(AS$277, lmic_raw_ub[#Headers],0)))</f>
        <v>5.4191825240946193E-2</v>
      </c>
      <c r="AT401" s="84">
        <f>IF(INDEX(lmic_raw_ub[],MATCH($A401,lmic_raw_ub[[setting]:[setting]],0), MATCH(AT$277, lmic_raw_ub[#Headers],0))=0, INDEX(regions_ub[], MATCH($D401, regions_ub[[setting]:[setting]],0), MATCH(AT$139, regions_ub[#Headers],0)),INDEX(lmic_raw_ub[],MATCH($A401,lmic_raw_ub[[setting]:[setting]],0), MATCH(AT$277, lmic_raw_ub[#Headers],0)))</f>
        <v>8.4356729679455178E-2</v>
      </c>
      <c r="AU401" s="84">
        <f>IF(INDEX(lmic_raw_ub[],MATCH($A401,lmic_raw_ub[[setting]:[setting]],0), MATCH(AU$277, lmic_raw_ub[#Headers],0))=0, INDEX(regions_ub[], MATCH($D401, regions_ub[[setting]:[setting]],0), MATCH(AU$139, regions_ub[#Headers],0)),INDEX(lmic_raw_ub[],MATCH($A401,lmic_raw_ub[[setting]:[setting]],0), MATCH(AU$277, lmic_raw_ub[#Headers],0)))</f>
        <v>0.11952868713079701</v>
      </c>
      <c r="AV401" s="84">
        <f>IF(INDEX(lmic_raw_ub[],MATCH($A401,lmic_raw_ub[[setting]:[setting]],0), MATCH(AV$277, lmic_raw_ub[#Headers],0))=0, INDEX(regions_ub[], MATCH($D401, regions_ub[[setting]:[setting]],0), MATCH(AV$139, regions_ub[#Headers],0)),INDEX(lmic_raw_ub[],MATCH($A401,lmic_raw_ub[[setting]:[setting]],0), MATCH(AV$277, lmic_raw_ub[#Headers],0)))</f>
        <v>0.15178338475000064</v>
      </c>
      <c r="AW401" s="84">
        <f>IF(INDEX(lmic_raw_ub[],MATCH($A401,lmic_raw_ub[[setting]:[setting]],0), MATCH(AW$277, lmic_raw_ub[#Headers],0))=0, INDEX(regions_ub[], MATCH($D401, regions_ub[[setting]:[setting]],0), MATCH(AW$139, regions_ub[#Headers],0)),INDEX(lmic_raw_ub[],MATCH($A401,lmic_raw_ub[[setting]:[setting]],0), MATCH(AW$277, lmic_raw_ub[#Headers],0)))</f>
        <v>0.17603360851768921</v>
      </c>
      <c r="AX401" s="84">
        <f>IF(INDEX(lmic_raw_ub[],MATCH($A401,lmic_raw_ub[[setting]:[setting]],0), MATCH(AX$277, lmic_raw_ub[#Headers],0))=0, INDEX(regions_ub[], MATCH($D401, regions_ub[[setting]:[setting]],0), MATCH(AX$139, regions_ub[#Headers],0)),INDEX(lmic_raw_ub[],MATCH($A401,lmic_raw_ub[[setting]:[setting]],0), MATCH(AX$277, lmic_raw_ub[#Headers],0)))</f>
        <v>80.232600000000005</v>
      </c>
      <c r="AY401" s="33" t="str">
        <f>IF(VLOOKUP(lmics_ub[[#This Row],[setting]],lmic_raw_ub[],11,FALSE)=0, "Yes", "No")</f>
        <v>No</v>
      </c>
    </row>
    <row r="402" spans="1:51" x14ac:dyDescent="0.25">
      <c r="A402" s="109" t="s">
        <v>180</v>
      </c>
      <c r="B402" s="101" t="s">
        <v>528</v>
      </c>
      <c r="C402" s="102">
        <v>792</v>
      </c>
      <c r="D402" s="82" t="s">
        <v>675</v>
      </c>
      <c r="E402" s="82" t="s">
        <v>579</v>
      </c>
      <c r="F402" s="82" t="s">
        <v>579</v>
      </c>
      <c r="G402" s="82" t="s">
        <v>676</v>
      </c>
      <c r="J402" s="84">
        <f>IF(INDEX(lmic_raw_ub[],MATCH($A402,lmic_raw_ub[[setting]:[setting]],0), MATCH(J$277, lmic_raw_ub[#Headers],0))=0, INDEX(regions_ub[], MATCH($D402, regions_ub[[setting]:[setting]],0), MATCH(J$139, regions_ub[#Headers],0)),INDEX(lmic_raw_ub[],MATCH($A402,lmic_raw_ub[[setting]:[setting]],0), MATCH(J$277, lmic_raw_ub[#Headers],0)))</f>
        <v>0.99990000000000001</v>
      </c>
      <c r="K402" s="84">
        <f>IF(INDEX(lmic_raw_ub[],MATCH($A402,lmic_raw_ub[[setting]:[setting]],0), MATCH(K$277, lmic_raw_ub[#Headers],0))=0, INDEX(regions_ub[], MATCH($D402, regions_ub[[setting]:[setting]],0), MATCH(K$139, regions_ub[#Headers],0)),INDEX(lmic_raw_ub[],MATCH($A402,lmic_raw_ub[[setting]:[setting]],0), MATCH(K$277, lmic_raw_ub[#Headers],0)))</f>
        <v>0.99990000000000001</v>
      </c>
      <c r="L402" s="84">
        <f>IF(INDEX(lmic_raw_ub[],MATCH($A402,lmic_raw_ub[[setting]:[setting]],0), MATCH(L$277, lmic_raw_ub[#Headers],0))=0, INDEX(regions_ub[], MATCH($D402, regions_ub[[setting]:[setting]],0), MATCH(L$139, regions_ub[#Headers],0)),INDEX(lmic_raw_ub[],MATCH($A402,lmic_raw_ub[[setting]:[setting]],0), MATCH(L$277, lmic_raw_ub[#Headers],0)))</f>
        <v>0.99990000000000001</v>
      </c>
      <c r="M402" s="84">
        <f>IF(INDEX(lmic_raw_ub[],MATCH($A402,lmic_raw_ub[[setting]:[setting]],0), MATCH(M$277, lmic_raw_ub[#Headers],0))=0, INDEX(regions_ub[], MATCH($D402, regions_ub[[setting]:[setting]],0), MATCH(M$139, regions_ub[#Headers],0)),INDEX(lmic_raw_ub[],MATCH($A402,lmic_raw_ub[[setting]:[setting]],0), MATCH(M$277, lmic_raw_ub[#Headers],0)))</f>
        <v>3.2799999999999996E-2</v>
      </c>
      <c r="N402" s="84">
        <f>IF(INDEX(lmic_raw_ub[],MATCH($A402,lmic_raw_ub[[setting]:[setting]],0), MATCH(N$277, lmic_raw_ub[#Headers],0))=0, INDEX(regions_ub[], MATCH($D402, regions_ub[[setting]:[setting]],0), MATCH(N$139, regions_ub[#Headers],0)),INDEX(lmic_raw_ub[],MATCH($A402,lmic_raw_ub[[setting]:[setting]],0), MATCH(N$277, lmic_raw_ub[#Headers],0)))</f>
        <v>0.37619999999999998</v>
      </c>
      <c r="O402" s="84">
        <f>IF(INDEX(lmic_raw_ub[],MATCH($A402,lmic_raw_ub[[setting]:[setting]],0), MATCH(O$277, lmic_raw_ub[#Headers],0))=0, INDEX(regions_ub[], MATCH($D402, regions_ub[[setting]:[setting]],0), MATCH(O$139, regions_ub[#Headers],0)),INDEX(lmic_raw_ub[],MATCH($A402,lmic_raw_ub[[setting]:[setting]],0), MATCH(O$277, lmic_raw_ub[#Headers],0)))</f>
        <v>0.9</v>
      </c>
      <c r="P402" s="84">
        <f>IF(INDEX(lmic_raw_ub[],MATCH($A402,lmic_raw_ub[[setting]:[setting]],0), MATCH(P$277, lmic_raw_ub[#Headers],0))=0, INDEX(regions_ub[], MATCH($D402, regions_ub[[setting]:[setting]],0), MATCH(P$139, regions_ub[#Headers],0)),INDEX(lmic_raw_ub[],MATCH($A402,lmic_raw_ub[[setting]:[setting]],0), MATCH(P$277, lmic_raw_ub[#Headers],0)))</f>
        <v>0.3</v>
      </c>
      <c r="Q402" s="84">
        <f>IF(INDEX(lmic_raw_ub[],MATCH($A402,lmic_raw_ub[[setting]:[setting]],0), MATCH(Q$277, lmic_raw_ub[#Headers],0))=0, INDEX(regions_ub[], MATCH($D402, regions_ub[[setting]:[setting]],0), MATCH(Q$139, regions_ub[#Headers],0)),INDEX(lmic_raw_ub[],MATCH($A402,lmic_raw_ub[[setting]:[setting]],0), MATCH(Q$277, lmic_raw_ub[#Headers],0)))</f>
        <v>18.14498072507563</v>
      </c>
      <c r="R402" s="84">
        <f>IF(INDEX(lmic_raw_ub[],MATCH($A402,lmic_raw_ub[[setting]:[setting]],0), MATCH(R$277, lmic_raw_ub[#Headers],0))=0, INDEX(regions_ub[], MATCH($D402, regions_ub[[setting]:[setting]],0), MATCH(R$139, regions_ub[#Headers],0)),INDEX(lmic_raw_ub[],MATCH($A402,lmic_raw_ub[[setting]:[setting]],0), MATCH(R$277, lmic_raw_ub[#Headers],0)))</f>
        <v>48.652695000000001</v>
      </c>
      <c r="S402" s="84">
        <f>IF(INDEX(lmic_raw_ub[],MATCH($A402,lmic_raw_ub[[setting]:[setting]],0), MATCH(S$277, lmic_raw_ub[#Headers],0))=0, INDEX(regions_ub[], MATCH($D402, regions_ub[[setting]:[setting]],0), MATCH(S$139, regions_ub[#Headers],0)),INDEX(lmic_raw_ub[],MATCH($A402,lmic_raw_ub[[setting]:[setting]],0), MATCH(S$277, lmic_raw_ub[#Headers],0)))</f>
        <v>98.781795000000017</v>
      </c>
      <c r="T402" s="84">
        <f>IF(INDEX(lmic_raw_ub[],MATCH($A402,lmic_raw_ub[[setting]:[setting]],0), MATCH(T$277, lmic_raw_ub[#Headers],0))=0, INDEX(regions_ub[], MATCH($D402, regions_ub[[setting]:[setting]],0), MATCH(T$139, regions_ub[#Headers],0)),INDEX(lmic_raw_ub[],MATCH($A402,lmic_raw_ub[[setting]:[setting]],0), MATCH(T$277, lmic_raw_ub[#Headers],0)))</f>
        <v>98.781795000000017</v>
      </c>
      <c r="U402" s="84">
        <f>IF(INDEX(lmic_raw_ub[],MATCH($A402,lmic_raw_ub[[setting]:[setting]],0), MATCH(U$277, lmic_raw_ub[#Headers],0))=0, INDEX(regions_ub[], MATCH($D402, regions_ub[[setting]:[setting]],0), MATCH(U$139, regions_ub[#Headers],0)),INDEX(lmic_raw_ub[],MATCH($A402,lmic_raw_ub[[setting]:[setting]],0), MATCH(U$277, lmic_raw_ub[#Headers],0)))</f>
        <v>98.781795000000017</v>
      </c>
      <c r="V402" s="84">
        <f>IF(INDEX(lmic_raw_ub[],MATCH($A402,lmic_raw_ub[[setting]:[setting]],0), MATCH(V$277, lmic_raw_ub[#Headers],0))=0, INDEX(regions_ub[], MATCH($D402, regions_ub[[setting]:[setting]],0), MATCH(V$139, regions_ub[#Headers],0)),INDEX(lmic_raw_ub[],MATCH($A402,lmic_raw_ub[[setting]:[setting]],0), MATCH(V$277, lmic_raw_ub[#Headers],0)))</f>
        <v>11.410880875321665</v>
      </c>
      <c r="W402" s="84">
        <f>IF(INDEX(lmic_raw_ub[],MATCH($A402,lmic_raw_ub[[setting]:[setting]],0), MATCH(W$277, lmic_raw_ub[#Headers],0))=0, INDEX(regions_ub[], MATCH($D402, regions_ub[[setting]:[setting]],0), MATCH(W$139, regions_ub[#Headers],0)),INDEX(lmic_raw_ub[],MATCH($A402,lmic_raw_ub[[setting]:[setting]],0), MATCH(W$277, lmic_raw_ub[#Headers],0)))</f>
        <v>11.914460875321664</v>
      </c>
      <c r="X402" s="84">
        <f>IF(INDEX(lmic_raw_ub[],MATCH($A402,lmic_raw_ub[[setting]:[setting]],0), MATCH(X$277, lmic_raw_ub[#Headers],0))=0, INDEX(regions_ub[], MATCH($D402, regions_ub[[setting]:[setting]],0), MATCH(X$139, regions_ub[#Headers],0)),INDEX(lmic_raw_ub[],MATCH($A402,lmic_raw_ub[[setting]:[setting]],0), MATCH(X$277, lmic_raw_ub[#Headers],0)))</f>
        <v>10.87238137412403</v>
      </c>
      <c r="Y402" s="84">
        <f>IF(INDEX(lmic_raw_ub[],MATCH($A402,lmic_raw_ub[[setting]:[setting]],0), MATCH(Y$277, lmic_raw_ub[#Headers],0))=0, INDEX(regions_ub[], MATCH($D402, regions_ub[[setting]:[setting]],0), MATCH(Y$139, regions_ub[#Headers],0)),INDEX(lmic_raw_ub[],MATCH($A402,lmic_raw_ub[[setting]:[setting]],0), MATCH(Y$277, lmic_raw_ub[#Headers],0)))</f>
        <v>11.37596137412403</v>
      </c>
      <c r="Z402" s="84">
        <f>IF(INDEX(lmic_raw_ub[],MATCH($A402,lmic_raw_ub[[setting]:[setting]],0), MATCH(Z$277, lmic_raw_ub[#Headers],0))=0, INDEX(regions_ub[], MATCH($D402, regions_ub[[setting]:[setting]],0), MATCH(Z$139, regions_ub[#Headers],0)),INDEX(lmic_raw_ub[],MATCH($A402,lmic_raw_ub[[setting]:[setting]],0), MATCH(Z$277, lmic_raw_ub[#Headers],0)))</f>
        <v>11.344898918980263</v>
      </c>
      <c r="AA402" s="84">
        <f>IF(INDEX(lmic_raw_ub[],MATCH($A402,lmic_raw_ub[[setting]:[setting]],0), MATCH(AA$277, lmic_raw_ub[#Headers],0))=0, INDEX(regions_ub[], MATCH($D402, regions_ub[[setting]:[setting]],0), MATCH(AA$139, regions_ub[#Headers],0)),INDEX(lmic_raw_ub[],MATCH($A402,lmic_raw_ub[[setting]:[setting]],0), MATCH(AA$277, lmic_raw_ub[#Headers],0)))</f>
        <v>11.689191403218821</v>
      </c>
      <c r="AB402" s="84">
        <f>IF(INDEX(lmic_raw_ub[],MATCH($A402,lmic_raw_ub[[setting]:[setting]],0), MATCH(AB$277, lmic_raw_ub[#Headers],0))=0, INDEX(regions_ub[], MATCH($D402, regions_ub[[setting]:[setting]],0), MATCH(AB$139, regions_ub[#Headers],0)),INDEX(lmic_raw_ub[],MATCH($A402,lmic_raw_ub[[setting]:[setting]],0), MATCH(AB$277, lmic_raw_ub[#Headers],0)))</f>
        <v>12.192771403218821</v>
      </c>
      <c r="AC402" s="84">
        <f>IF(INDEX(lmic_raw_ub[],MATCH($A402,lmic_raw_ub[[setting]:[setting]],0), MATCH(AC$277, lmic_raw_ub[#Headers],0))=0, INDEX(regions_ub[], MATCH($D402, regions_ub[[setting]:[setting]],0), MATCH(AC$139, regions_ub[#Headers],0)),INDEX(lmic_raw_ub[],MATCH($A402,lmic_raw_ub[[setting]:[setting]],0), MATCH(AC$277, lmic_raw_ub[#Headers],0)))</f>
        <v>9.3465749999999403E-3</v>
      </c>
      <c r="AD402" s="84">
        <f>IF(INDEX(lmic_raw_ub[],MATCH($A402,lmic_raw_ub[[setting]:[setting]],0), MATCH(AD$277, lmic_raw_ub[#Headers],0))=0, INDEX(regions_ub[], MATCH($D402, regions_ub[[setting]:[setting]],0), MATCH(AD$139, regions_ub[#Headers],0)),INDEX(lmic_raw_ub[],MATCH($A402,lmic_raw_ub[[setting]:[setting]],0), MATCH(AD$277, lmic_raw_ub[#Headers],0)))</f>
        <v>1.1518711308714572E-3</v>
      </c>
      <c r="AE402" s="84">
        <f>IF(INDEX(lmic_raw_ub[],MATCH($A402,lmic_raw_ub[[setting]:[setting]],0), MATCH(AE$277, lmic_raw_ub[#Headers],0))=0, INDEX(regions_ub[], MATCH($D402, regions_ub[[setting]:[setting]],0), MATCH(AE$139, regions_ub[#Headers],0)),INDEX(lmic_raw_ub[],MATCH($A402,lmic_raw_ub[[setting]:[setting]],0), MATCH(AE$277, lmic_raw_ub[#Headers],0)))</f>
        <v>7.164541905813846E-4</v>
      </c>
      <c r="AF402" s="84">
        <f>IF(INDEX(lmic_raw_ub[],MATCH($A402,lmic_raw_ub[[setting]:[setting]],0), MATCH(AF$277, lmic_raw_ub[#Headers],0))=0, INDEX(regions_ub[], MATCH($D402, regions_ub[[setting]:[setting]],0), MATCH(AF$139, regions_ub[#Headers],0)),INDEX(lmic_raw_ub[],MATCH($A402,lmic_raw_ub[[setting]:[setting]],0), MATCH(AF$277, lmic_raw_ub[#Headers],0)))</f>
        <v>6.1208562686156673E-4</v>
      </c>
      <c r="AG402" s="84">
        <f>IF(INDEX(lmic_raw_ub[],MATCH($A402,lmic_raw_ub[[setting]:[setting]],0), MATCH(AG$277, lmic_raw_ub[#Headers],0))=0, INDEX(regions_ub[], MATCH($D402, regions_ub[[setting]:[setting]],0), MATCH(AG$139, regions_ub[#Headers],0)),INDEX(lmic_raw_ub[],MATCH($A402,lmic_raw_ub[[setting]:[setting]],0), MATCH(AG$277, lmic_raw_ub[#Headers],0)))</f>
        <v>7.2619137537621086E-4</v>
      </c>
      <c r="AH402" s="84">
        <f>IF(INDEX(lmic_raw_ub[],MATCH($A402,lmic_raw_ub[[setting]:[setting]],0), MATCH(AH$277, lmic_raw_ub[#Headers],0))=0, INDEX(regions_ub[], MATCH($D402, regions_ub[[setting]:[setting]],0), MATCH(AH$139, regions_ub[#Headers],0)),INDEX(lmic_raw_ub[],MATCH($A402,lmic_raw_ub[[setting]:[setting]],0), MATCH(AH$277, lmic_raw_ub[#Headers],0)))</f>
        <v>1.0090713372233676E-3</v>
      </c>
      <c r="AI402" s="84">
        <f>IF(INDEX(lmic_raw_ub[],MATCH($A402,lmic_raw_ub[[setting]:[setting]],0), MATCH(AI$277, lmic_raw_ub[#Headers],0))=0, INDEX(regions_ub[], MATCH($D402, regions_ub[[setting]:[setting]],0), MATCH(AI$139, regions_ub[#Headers],0)),INDEX(lmic_raw_ub[],MATCH($A402,lmic_raw_ub[[setting]:[setting]],0), MATCH(AI$277, lmic_raw_ub[#Headers],0)))</f>
        <v>1.233071611558365E-3</v>
      </c>
      <c r="AJ402" s="84">
        <f>IF(INDEX(lmic_raw_ub[],MATCH($A402,lmic_raw_ub[[setting]:[setting]],0), MATCH(AJ$277, lmic_raw_ub[#Headers],0))=0, INDEX(regions_ub[], MATCH($D402, regions_ub[[setting]:[setting]],0), MATCH(AJ$139, regions_ub[#Headers],0)),INDEX(lmic_raw_ub[],MATCH($A402,lmic_raw_ub[[setting]:[setting]],0), MATCH(AJ$277, lmic_raw_ub[#Headers],0)))</f>
        <v>1.4462358104610482E-3</v>
      </c>
      <c r="AK402" s="84">
        <f>IF(INDEX(lmic_raw_ub[],MATCH($A402,lmic_raw_ub[[setting]:[setting]],0), MATCH(AK$277, lmic_raw_ub[#Headers],0))=0, INDEX(regions_ub[], MATCH($D402, regions_ub[[setting]:[setting]],0), MATCH(AK$139, regions_ub[#Headers],0)),INDEX(lmic_raw_ub[],MATCH($A402,lmic_raw_ub[[setting]:[setting]],0), MATCH(AK$277, lmic_raw_ub[#Headers],0)))</f>
        <v>1.7139813057957241E-3</v>
      </c>
      <c r="AL402" s="84">
        <f>IF(INDEX(lmic_raw_ub[],MATCH($A402,lmic_raw_ub[[setting]:[setting]],0), MATCH(AL$277, lmic_raw_ub[#Headers],0))=0, INDEX(regions_ub[], MATCH($D402, regions_ub[[setting]:[setting]],0), MATCH(AL$139, regions_ub[#Headers],0)),INDEX(lmic_raw_ub[],MATCH($A402,lmic_raw_ub[[setting]:[setting]],0), MATCH(AL$277, lmic_raw_ub[#Headers],0)))</f>
        <v>2.1038362818917721E-3</v>
      </c>
      <c r="AM402" s="84">
        <f>IF(INDEX(lmic_raw_ub[],MATCH($A402,lmic_raw_ub[[setting]:[setting]],0), MATCH(AM$277, lmic_raw_ub[#Headers],0))=0, INDEX(regions_ub[], MATCH($D402, regions_ub[[setting]:[setting]],0), MATCH(AM$139, regions_ub[#Headers],0)),INDEX(lmic_raw_ub[],MATCH($A402,lmic_raw_ub[[setting]:[setting]],0), MATCH(AM$277, lmic_raw_ub[#Headers],0)))</f>
        <v>2.7200263968622318E-3</v>
      </c>
      <c r="AN402" s="84">
        <f>IF(INDEX(lmic_raw_ub[],MATCH($A402,lmic_raw_ub[[setting]:[setting]],0), MATCH(AN$277, lmic_raw_ub[#Headers],0))=0, INDEX(regions_ub[], MATCH($D402, regions_ub[[setting]:[setting]],0), MATCH(AN$139, regions_ub[#Headers],0)),INDEX(lmic_raw_ub[],MATCH($A402,lmic_raw_ub[[setting]:[setting]],0), MATCH(AN$277, lmic_raw_ub[#Headers],0)))</f>
        <v>3.7103592700020354E-3</v>
      </c>
      <c r="AO402" s="84">
        <f>IF(INDEX(lmic_raw_ub[],MATCH($A402,lmic_raw_ub[[setting]:[setting]],0), MATCH(AO$277, lmic_raw_ub[#Headers],0))=0, INDEX(regions_ub[], MATCH($D402, regions_ub[[setting]:[setting]],0), MATCH(AO$139, regions_ub[#Headers],0)),INDEX(lmic_raw_ub[],MATCH($A402,lmic_raw_ub[[setting]:[setting]],0), MATCH(AO$277, lmic_raw_ub[#Headers],0)))</f>
        <v>5.4959173451945382E-3</v>
      </c>
      <c r="AP402" s="84">
        <f>IF(INDEX(lmic_raw_ub[],MATCH($A402,lmic_raw_ub[[setting]:[setting]],0), MATCH(AP$277, lmic_raw_ub[#Headers],0))=0, INDEX(regions_ub[], MATCH($D402, regions_ub[[setting]:[setting]],0), MATCH(AP$139, regions_ub[#Headers],0)),INDEX(lmic_raw_ub[],MATCH($A402,lmic_raw_ub[[setting]:[setting]],0), MATCH(AP$277, lmic_raw_ub[#Headers],0)))</f>
        <v>8.5482827193287189E-3</v>
      </c>
      <c r="AQ402" s="84">
        <f>IF(INDEX(lmic_raw_ub[],MATCH($A402,lmic_raw_ub[[setting]:[setting]],0), MATCH(AQ$277, lmic_raw_ub[#Headers],0))=0, INDEX(regions_ub[], MATCH($D402, regions_ub[[setting]:[setting]],0), MATCH(AQ$139, regions_ub[#Headers],0)),INDEX(lmic_raw_ub[],MATCH($A402,lmic_raw_ub[[setting]:[setting]],0), MATCH(AQ$277, lmic_raw_ub[#Headers],0)))</f>
        <v>1.3916391508008741E-2</v>
      </c>
      <c r="AR402" s="84">
        <f>IF(INDEX(lmic_raw_ub[],MATCH($A402,lmic_raw_ub[[setting]:[setting]],0), MATCH(AR$277, lmic_raw_ub[#Headers],0))=0, INDEX(regions_ub[], MATCH($D402, regions_ub[[setting]:[setting]],0), MATCH(AR$139, regions_ub[#Headers],0)),INDEX(lmic_raw_ub[],MATCH($A402,lmic_raw_ub[[setting]:[setting]],0), MATCH(AR$277, lmic_raw_ub[#Headers],0)))</f>
        <v>2.4870542934322847E-2</v>
      </c>
      <c r="AS402" s="84">
        <f>IF(INDEX(lmic_raw_ub[],MATCH($A402,lmic_raw_ub[[setting]:[setting]],0), MATCH(AS$277, lmic_raw_ub[#Headers],0))=0, INDEX(regions_ub[], MATCH($D402, regions_ub[[setting]:[setting]],0), MATCH(AS$139, regions_ub[#Headers],0)),INDEX(lmic_raw_ub[],MATCH($A402,lmic_raw_ub[[setting]:[setting]],0), MATCH(AS$277, lmic_raw_ub[#Headers],0)))</f>
        <v>4.4011237056635039E-2</v>
      </c>
      <c r="AT402" s="84">
        <f>IF(INDEX(lmic_raw_ub[],MATCH($A402,lmic_raw_ub[[setting]:[setting]],0), MATCH(AT$277, lmic_raw_ub[#Headers],0))=0, INDEX(regions_ub[], MATCH($D402, regions_ub[[setting]:[setting]],0), MATCH(AT$139, regions_ub[#Headers],0)),INDEX(lmic_raw_ub[],MATCH($A402,lmic_raw_ub[[setting]:[setting]],0), MATCH(AT$277, lmic_raw_ub[#Headers],0)))</f>
        <v>7.2766737915263072E-2</v>
      </c>
      <c r="AU402" s="84">
        <f>IF(INDEX(lmic_raw_ub[],MATCH($A402,lmic_raw_ub[[setting]:[setting]],0), MATCH(AU$277, lmic_raw_ub[#Headers],0))=0, INDEX(regions_ub[], MATCH($D402, regions_ub[[setting]:[setting]],0), MATCH(AU$139, regions_ub[#Headers],0)),INDEX(lmic_raw_ub[],MATCH($A402,lmic_raw_ub[[setting]:[setting]],0), MATCH(AU$277, lmic_raw_ub[#Headers],0)))</f>
        <v>0.10914139612526493</v>
      </c>
      <c r="AV402" s="84">
        <f>IF(INDEX(lmic_raw_ub[],MATCH($A402,lmic_raw_ub[[setting]:[setting]],0), MATCH(AV$277, lmic_raw_ub[#Headers],0))=0, INDEX(regions_ub[], MATCH($D402, regions_ub[[setting]:[setting]],0), MATCH(AV$139, regions_ub[#Headers],0)),INDEX(lmic_raw_ub[],MATCH($A402,lmic_raw_ub[[setting]:[setting]],0), MATCH(AV$277, lmic_raw_ub[#Headers],0)))</f>
        <v>0.14685173116285838</v>
      </c>
      <c r="AW402" s="84">
        <f>IF(INDEX(lmic_raw_ub[],MATCH($A402,lmic_raw_ub[[setting]:[setting]],0), MATCH(AW$277, lmic_raw_ub[#Headers],0))=0, INDEX(regions_ub[], MATCH($D402, regions_ub[[setting]:[setting]],0), MATCH(AW$139, regions_ub[#Headers],0)),INDEX(lmic_raw_ub[],MATCH($A402,lmic_raw_ub[[setting]:[setting]],0), MATCH(AW$277, lmic_raw_ub[#Headers],0)))</f>
        <v>0.17669010499414736</v>
      </c>
      <c r="AX402" s="84">
        <f>IF(INDEX(lmic_raw_ub[],MATCH($A402,lmic_raw_ub[[setting]:[setting]],0), MATCH(AX$277, lmic_raw_ub[#Headers],0))=0, INDEX(regions_ub[], MATCH($D402, regions_ub[[setting]:[setting]],0), MATCH(AX$139, regions_ub[#Headers],0)),INDEX(lmic_raw_ub[],MATCH($A402,lmic_raw_ub[[setting]:[setting]],0), MATCH(AX$277, lmic_raw_ub[#Headers],0)))</f>
        <v>81.172350000000009</v>
      </c>
      <c r="AY402" s="33" t="str">
        <f>IF(VLOOKUP(lmics_ub[[#This Row],[setting]],lmic_raw_ub[],11,FALSE)=0, "Yes", "No")</f>
        <v>No</v>
      </c>
    </row>
    <row r="403" spans="1:51" x14ac:dyDescent="0.25">
      <c r="A403" s="110" t="s">
        <v>188</v>
      </c>
      <c r="B403" s="104" t="s">
        <v>529</v>
      </c>
      <c r="C403" s="105">
        <v>795</v>
      </c>
      <c r="D403" s="84" t="s">
        <v>675</v>
      </c>
      <c r="E403" s="84" t="s">
        <v>184</v>
      </c>
      <c r="F403" s="84" t="s">
        <v>663</v>
      </c>
      <c r="G403" s="84" t="s">
        <v>676</v>
      </c>
      <c r="J403" s="84">
        <f>IF(INDEX(lmic_raw_ub[],MATCH($A403,lmic_raw_ub[[setting]:[setting]],0), MATCH(J$277, lmic_raw_ub[#Headers],0))=0, INDEX(regions_ub[], MATCH($D403, regions_ub[[setting]:[setting]],0), MATCH(J$139, regions_ub[#Headers],0)),INDEX(lmic_raw_ub[],MATCH($A403,lmic_raw_ub[[setting]:[setting]],0), MATCH(J$277, lmic_raw_ub[#Headers],0)))</f>
        <v>0.99990000000000001</v>
      </c>
      <c r="K403" s="84">
        <f>IF(INDEX(lmic_raw_ub[],MATCH($A403,lmic_raw_ub[[setting]:[setting]],0), MATCH(K$277, lmic_raw_ub[#Headers],0))=0, INDEX(regions_ub[], MATCH($D403, regions_ub[[setting]:[setting]],0), MATCH(K$139, regions_ub[#Headers],0)),INDEX(lmic_raw_ub[],MATCH($A403,lmic_raw_ub[[setting]:[setting]],0), MATCH(K$277, lmic_raw_ub[#Headers],0)))</f>
        <v>0.99990000000000001</v>
      </c>
      <c r="L403" s="84">
        <f>IF(INDEX(lmic_raw_ub[],MATCH($A403,lmic_raw_ub[[setting]:[setting]],0), MATCH(L$277, lmic_raw_ub[#Headers],0))=0, INDEX(regions_ub[], MATCH($D403, regions_ub[[setting]:[setting]],0), MATCH(L$139, regions_ub[#Headers],0)),INDEX(lmic_raw_ub[],MATCH($A403,lmic_raw_ub[[setting]:[setting]],0), MATCH(L$277, lmic_raw_ub[#Headers],0)))</f>
        <v>0.99990000000000001</v>
      </c>
      <c r="M403" s="84">
        <f>IF(INDEX(lmic_raw_ub[],MATCH($A403,lmic_raw_ub[[setting]:[setting]],0), MATCH(M$277, lmic_raw_ub[#Headers],0))=0, INDEX(regions_ub[], MATCH($D403, regions_ub[[setting]:[setting]],0), MATCH(M$139, regions_ub[#Headers],0)),INDEX(lmic_raw_ub[],MATCH($A403,lmic_raw_ub[[setting]:[setting]],0), MATCH(M$277, lmic_raw_ub[#Headers],0)))</f>
        <v>0.12570000000000001</v>
      </c>
      <c r="N403" s="84">
        <f>IF(INDEX(lmic_raw_ub[],MATCH($A403,lmic_raw_ub[[setting]:[setting]],0), MATCH(N$277, lmic_raw_ub[#Headers],0))=0, INDEX(regions_ub[], MATCH($D403, regions_ub[[setting]:[setting]],0), MATCH(N$139, regions_ub[#Headers],0)),INDEX(lmic_raw_ub[],MATCH($A403,lmic_raw_ub[[setting]:[setting]],0), MATCH(N$277, lmic_raw_ub[#Headers],0)))</f>
        <v>0.43079999999999996</v>
      </c>
      <c r="O403" s="84">
        <f>IF(INDEX(lmic_raw_ub[],MATCH($A403,lmic_raw_ub[[setting]:[setting]],0), MATCH(O$277, lmic_raw_ub[#Headers],0))=0, INDEX(regions_ub[], MATCH($D403, regions_ub[[setting]:[setting]],0), MATCH(O$139, regions_ub[#Headers],0)),INDEX(lmic_raw_ub[],MATCH($A403,lmic_raw_ub[[setting]:[setting]],0), MATCH(O$277, lmic_raw_ub[#Headers],0)))</f>
        <v>0.9</v>
      </c>
      <c r="P403" s="84">
        <f>IF(INDEX(lmic_raw_ub[],MATCH($A403,lmic_raw_ub[[setting]:[setting]],0), MATCH(P$277, lmic_raw_ub[#Headers],0))=0, INDEX(regions_ub[], MATCH($D403, regions_ub[[setting]:[setting]],0), MATCH(P$139, regions_ub[#Headers],0)),INDEX(lmic_raw_ub[],MATCH($A403,lmic_raw_ub[[setting]:[setting]],0), MATCH(P$277, lmic_raw_ub[#Headers],0)))</f>
        <v>0.3</v>
      </c>
      <c r="Q403" s="84">
        <f>IF(INDEX(lmic_raw_ub[],MATCH($A403,lmic_raw_ub[[setting]:[setting]],0), MATCH(Q$277, lmic_raw_ub[#Headers],0))=0, INDEX(regions_ub[], MATCH($D403, regions_ub[[setting]:[setting]],0), MATCH(Q$139, regions_ub[#Headers],0)),INDEX(lmic_raw_ub[],MATCH($A403,lmic_raw_ub[[setting]:[setting]],0), MATCH(Q$277, lmic_raw_ub[#Headers],0)))</f>
        <v>8.3993036405719188</v>
      </c>
      <c r="R403" s="84">
        <f>IF(INDEX(lmic_raw_ub[],MATCH($A403,lmic_raw_ub[[setting]:[setting]],0), MATCH(R$277, lmic_raw_ub[#Headers],0))=0, INDEX(regions_ub[], MATCH($D403, regions_ub[[setting]:[setting]],0), MATCH(R$139, regions_ub[#Headers],0)),INDEX(lmic_raw_ub[],MATCH($A403,lmic_raw_ub[[setting]:[setting]],0), MATCH(R$277, lmic_raw_ub[#Headers],0)))</f>
        <v>46.76427000000001</v>
      </c>
      <c r="S403" s="84">
        <f>IF(INDEX(lmic_raw_ub[],MATCH($A403,lmic_raw_ub[[setting]:[setting]],0), MATCH(S$277, lmic_raw_ub[#Headers],0))=0, INDEX(regions_ub[], MATCH($D403, regions_ub[[setting]:[setting]],0), MATCH(S$139, regions_ub[#Headers],0)),INDEX(lmic_raw_ub[],MATCH($A403,lmic_raw_ub[[setting]:[setting]],0), MATCH(S$277, lmic_raw_ub[#Headers],0)))</f>
        <v>96.893370000000019</v>
      </c>
      <c r="T403" s="84">
        <f>IF(INDEX(lmic_raw_ub[],MATCH($A403,lmic_raw_ub[[setting]:[setting]],0), MATCH(T$277, lmic_raw_ub[#Headers],0))=0, INDEX(regions_ub[], MATCH($D403, regions_ub[[setting]:[setting]],0), MATCH(T$139, regions_ub[#Headers],0)),INDEX(lmic_raw_ub[],MATCH($A403,lmic_raw_ub[[setting]:[setting]],0), MATCH(T$277, lmic_raw_ub[#Headers],0)))</f>
        <v>96.893370000000019</v>
      </c>
      <c r="U403" s="84">
        <f>IF(INDEX(lmic_raw_ub[],MATCH($A403,lmic_raw_ub[[setting]:[setting]],0), MATCH(U$277, lmic_raw_ub[#Headers],0))=0, INDEX(regions_ub[], MATCH($D403, regions_ub[[setting]:[setting]],0), MATCH(U$139, regions_ub[#Headers],0)),INDEX(lmic_raw_ub[],MATCH($A403,lmic_raw_ub[[setting]:[setting]],0), MATCH(U$277, lmic_raw_ub[#Headers],0)))</f>
        <v>96.893370000000019</v>
      </c>
      <c r="V403" s="84">
        <f>IF(INDEX(lmic_raw_ub[],MATCH($A403,lmic_raw_ub[[setting]:[setting]],0), MATCH(V$277, lmic_raw_ub[#Headers],0))=0, INDEX(regions_ub[], MATCH($D403, regions_ub[[setting]:[setting]],0), MATCH(V$139, regions_ub[#Headers],0)),INDEX(lmic_raw_ub[],MATCH($A403,lmic_raw_ub[[setting]:[setting]],0), MATCH(V$277, lmic_raw_ub[#Headers],0)))</f>
        <v>14.068723344841279</v>
      </c>
      <c r="W403" s="84">
        <f>IF(INDEX(lmic_raw_ub[],MATCH($A403,lmic_raw_ub[[setting]:[setting]],0), MATCH(W$277, lmic_raw_ub[#Headers],0))=0, INDEX(regions_ub[], MATCH($D403, regions_ub[[setting]:[setting]],0), MATCH(W$139, regions_ub[#Headers],0)),INDEX(lmic_raw_ub[],MATCH($A403,lmic_raw_ub[[setting]:[setting]],0), MATCH(W$277, lmic_raw_ub[#Headers],0)))</f>
        <v>18.337708344841282</v>
      </c>
      <c r="X403" s="84">
        <f>IF(INDEX(lmic_raw_ub[],MATCH($A403,lmic_raw_ub[[setting]:[setting]],0), MATCH(X$277, lmic_raw_ub[#Headers],0))=0, INDEX(regions_ub[], MATCH($D403, regions_ub[[setting]:[setting]],0), MATCH(X$139, regions_ub[#Headers],0)),INDEX(lmic_raw_ub[],MATCH($A403,lmic_raw_ub[[setting]:[setting]],0), MATCH(X$277, lmic_raw_ub[#Headers],0)))</f>
        <v>13.543900365594894</v>
      </c>
      <c r="Y403" s="84">
        <f>IF(INDEX(lmic_raw_ub[],MATCH($A403,lmic_raw_ub[[setting]:[setting]],0), MATCH(Y$277, lmic_raw_ub[#Headers],0))=0, INDEX(regions_ub[], MATCH($D403, regions_ub[[setting]:[setting]],0), MATCH(Y$139, regions_ub[#Headers],0)),INDEX(lmic_raw_ub[],MATCH($A403,lmic_raw_ub[[setting]:[setting]],0), MATCH(Y$277, lmic_raw_ub[#Headers],0)))</f>
        <v>17.812885365594894</v>
      </c>
      <c r="Z403" s="84">
        <f>IF(INDEX(lmic_raw_ub[],MATCH($A403,lmic_raw_ub[[setting]:[setting]],0), MATCH(Z$277, lmic_raw_ub[#Headers],0))=0, INDEX(regions_ub[], MATCH($D403, regions_ub[[setting]:[setting]],0), MATCH(Z$139, regions_ub[#Headers],0)),INDEX(lmic_raw_ub[],MATCH($A403,lmic_raw_ub[[setting]:[setting]],0), MATCH(Z$277, lmic_raw_ub[#Headers],0)))</f>
        <v>17.789937549487099</v>
      </c>
      <c r="AA403" s="84">
        <f>IF(INDEX(lmic_raw_ub[],MATCH($A403,lmic_raw_ub[[setting]:[setting]],0), MATCH(AA$277, lmic_raw_ub[#Headers],0))=0, INDEX(regions_ub[], MATCH($D403, regions_ub[[setting]:[setting]],0), MATCH(AA$139, regions_ub[#Headers],0)),INDEX(lmic_raw_ub[],MATCH($A403,lmic_raw_ub[[setting]:[setting]],0), MATCH(AA$277, lmic_raw_ub[#Headers],0)))</f>
        <v>14.343929386160546</v>
      </c>
      <c r="AB403" s="84">
        <f>IF(INDEX(lmic_raw_ub[],MATCH($A403,lmic_raw_ub[[setting]:[setting]],0), MATCH(AB$277, lmic_raw_ub[#Headers],0))=0, INDEX(regions_ub[], MATCH($D403, regions_ub[[setting]:[setting]],0), MATCH(AB$139, regions_ub[#Headers],0)),INDEX(lmic_raw_ub[],MATCH($A403,lmic_raw_ub[[setting]:[setting]],0), MATCH(AB$277, lmic_raw_ub[#Headers],0)))</f>
        <v>18.612914386160547</v>
      </c>
      <c r="AC403" s="84">
        <f>IF(INDEX(lmic_raw_ub[],MATCH($A403,lmic_raw_ub[[setting]:[setting]],0), MATCH(AC$277, lmic_raw_ub[#Headers],0))=0, INDEX(regions_ub[], MATCH($D403, regions_ub[[setting]:[setting]],0), MATCH(AC$139, regions_ub[#Headers],0)),INDEX(lmic_raw_ub[],MATCH($A403,lmic_raw_ub[[setting]:[setting]],0), MATCH(AC$277, lmic_raw_ub[#Headers],0)))</f>
        <v>4.5477862500000063E-2</v>
      </c>
      <c r="AD403" s="84">
        <f>IF(INDEX(lmic_raw_ub[],MATCH($A403,lmic_raw_ub[[setting]:[setting]],0), MATCH(AD$277, lmic_raw_ub[#Headers],0))=0, INDEX(regions_ub[], MATCH($D403, regions_ub[[setting]:[setting]],0), MATCH(AD$139, regions_ub[#Headers],0)),INDEX(lmic_raw_ub[],MATCH($A403,lmic_raw_ub[[setting]:[setting]],0), MATCH(AD$277, lmic_raw_ub[#Headers],0)))</f>
        <v>2.2362174857992988E-3</v>
      </c>
      <c r="AE403" s="84">
        <f>IF(INDEX(lmic_raw_ub[],MATCH($A403,lmic_raw_ub[[setting]:[setting]],0), MATCH(AE$277, lmic_raw_ub[#Headers],0))=0, INDEX(regions_ub[], MATCH($D403, regions_ub[[setting]:[setting]],0), MATCH(AE$139, regions_ub[#Headers],0)),INDEX(lmic_raw_ub[],MATCH($A403,lmic_raw_ub[[setting]:[setting]],0), MATCH(AE$277, lmic_raw_ub[#Headers],0)))</f>
        <v>4.054532144106488E-4</v>
      </c>
      <c r="AF403" s="84">
        <f>IF(INDEX(lmic_raw_ub[],MATCH($A403,lmic_raw_ub[[setting]:[setting]],0), MATCH(AF$277, lmic_raw_ub[#Headers],0))=0, INDEX(regions_ub[], MATCH($D403, regions_ub[[setting]:[setting]],0), MATCH(AF$139, regions_ub[#Headers],0)),INDEX(lmic_raw_ub[],MATCH($A403,lmic_raw_ub[[setting]:[setting]],0), MATCH(AF$277, lmic_raw_ub[#Headers],0)))</f>
        <v>3.9747781157458578E-4</v>
      </c>
      <c r="AG403" s="84">
        <f>IF(INDEX(lmic_raw_ub[],MATCH($A403,lmic_raw_ub[[setting]:[setting]],0), MATCH(AG$277, lmic_raw_ub[#Headers],0))=0, INDEX(regions_ub[], MATCH($D403, regions_ub[[setting]:[setting]],0), MATCH(AG$139, regions_ub[#Headers],0)),INDEX(lmic_raw_ub[],MATCH($A403,lmic_raw_ub[[setting]:[setting]],0), MATCH(AG$277, lmic_raw_ub[#Headers],0)))</f>
        <v>9.162161806059489E-4</v>
      </c>
      <c r="AH403" s="84">
        <f>IF(INDEX(lmic_raw_ub[],MATCH($A403,lmic_raw_ub[[setting]:[setting]],0), MATCH(AH$277, lmic_raw_ub[#Headers],0))=0, INDEX(regions_ub[], MATCH($D403, regions_ub[[setting]:[setting]],0), MATCH(AH$139, regions_ub[#Headers],0)),INDEX(lmic_raw_ub[],MATCH($A403,lmic_raw_ub[[setting]:[setting]],0), MATCH(AH$277, lmic_raw_ub[#Headers],0)))</f>
        <v>1.2276712189129881E-3</v>
      </c>
      <c r="AI403" s="84">
        <f>IF(INDEX(lmic_raw_ub[],MATCH($A403,lmic_raw_ub[[setting]:[setting]],0), MATCH(AI$277, lmic_raw_ub[#Headers],0))=0, INDEX(regions_ub[], MATCH($D403, regions_ub[[setting]:[setting]],0), MATCH(AI$139, regions_ub[#Headers],0)),INDEX(lmic_raw_ub[],MATCH($A403,lmic_raw_ub[[setting]:[setting]],0), MATCH(AI$277, lmic_raw_ub[#Headers],0)))</f>
        <v>1.5835657233174536E-3</v>
      </c>
      <c r="AJ403" s="84">
        <f>IF(INDEX(lmic_raw_ub[],MATCH($A403,lmic_raw_ub[[setting]:[setting]],0), MATCH(AJ$277, lmic_raw_ub[#Headers],0))=0, INDEX(regions_ub[], MATCH($D403, regions_ub[[setting]:[setting]],0), MATCH(AJ$139, regions_ub[#Headers],0)),INDEX(lmic_raw_ub[],MATCH($A403,lmic_raw_ub[[setting]:[setting]],0), MATCH(AJ$277, lmic_raw_ub[#Headers],0)))</f>
        <v>2.1618159646976218E-3</v>
      </c>
      <c r="AK403" s="84">
        <f>IF(INDEX(lmic_raw_ub[],MATCH($A403,lmic_raw_ub[[setting]:[setting]],0), MATCH(AK$277, lmic_raw_ub[#Headers],0))=0, INDEX(regions_ub[], MATCH($D403, regions_ub[[setting]:[setting]],0), MATCH(AK$139, regions_ub[#Headers],0)),INDEX(lmic_raw_ub[],MATCH($A403,lmic_raw_ub[[setting]:[setting]],0), MATCH(AK$277, lmic_raw_ub[#Headers],0)))</f>
        <v>3.0547603355392679E-3</v>
      </c>
      <c r="AL403" s="84">
        <f>IF(INDEX(lmic_raw_ub[],MATCH($A403,lmic_raw_ub[[setting]:[setting]],0), MATCH(AL$277, lmic_raw_ub[#Headers],0))=0, INDEX(regions_ub[], MATCH($D403, regions_ub[[setting]:[setting]],0), MATCH(AL$139, regions_ub[#Headers],0)),INDEX(lmic_raw_ub[],MATCH($A403,lmic_raw_ub[[setting]:[setting]],0), MATCH(AL$277, lmic_raw_ub[#Headers],0)))</f>
        <v>4.3104606277592676E-3</v>
      </c>
      <c r="AM403" s="84">
        <f>IF(INDEX(lmic_raw_ub[],MATCH($A403,lmic_raw_ub[[setting]:[setting]],0), MATCH(AM$277, lmic_raw_ub[#Headers],0))=0, INDEX(regions_ub[], MATCH($D403, regions_ub[[setting]:[setting]],0), MATCH(AM$139, regions_ub[#Headers],0)),INDEX(lmic_raw_ub[],MATCH($A403,lmic_raw_ub[[setting]:[setting]],0), MATCH(AM$277, lmic_raw_ub[#Headers],0)))</f>
        <v>5.9821025921599066E-3</v>
      </c>
      <c r="AN403" s="84">
        <f>IF(INDEX(lmic_raw_ub[],MATCH($A403,lmic_raw_ub[[setting]:[setting]],0), MATCH(AN$277, lmic_raw_ub[#Headers],0))=0, INDEX(regions_ub[], MATCH($D403, regions_ub[[setting]:[setting]],0), MATCH(AN$139, regions_ub[#Headers],0)),INDEX(lmic_raw_ub[],MATCH($A403,lmic_raw_ub[[setting]:[setting]],0), MATCH(AN$277, lmic_raw_ub[#Headers],0)))</f>
        <v>9.3930582545521044E-3</v>
      </c>
      <c r="AO403" s="84">
        <f>IF(INDEX(lmic_raw_ub[],MATCH($A403,lmic_raw_ub[[setting]:[setting]],0), MATCH(AO$277, lmic_raw_ub[#Headers],0))=0, INDEX(regions_ub[], MATCH($D403, regions_ub[[setting]:[setting]],0), MATCH(AO$139, regions_ub[#Headers],0)),INDEX(lmic_raw_ub[],MATCH($A403,lmic_raw_ub[[setting]:[setting]],0), MATCH(AO$277, lmic_raw_ub[#Headers],0)))</f>
        <v>1.380067593122635E-2</v>
      </c>
      <c r="AP403" s="84">
        <f>IF(INDEX(lmic_raw_ub[],MATCH($A403,lmic_raw_ub[[setting]:[setting]],0), MATCH(AP$277, lmic_raw_ub[#Headers],0))=0, INDEX(regions_ub[], MATCH($D403, regions_ub[[setting]:[setting]],0), MATCH(AP$139, regions_ub[#Headers],0)),INDEX(lmic_raw_ub[],MATCH($A403,lmic_raw_ub[[setting]:[setting]],0), MATCH(AP$277, lmic_raw_ub[#Headers],0)))</f>
        <v>2.271494094915243E-2</v>
      </c>
      <c r="AQ403" s="84">
        <f>IF(INDEX(lmic_raw_ub[],MATCH($A403,lmic_raw_ub[[setting]:[setting]],0), MATCH(AQ$277, lmic_raw_ub[#Headers],0))=0, INDEX(regions_ub[], MATCH($D403, regions_ub[[setting]:[setting]],0), MATCH(AQ$139, regions_ub[#Headers],0)),INDEX(lmic_raw_ub[],MATCH($A403,lmic_raw_ub[[setting]:[setting]],0), MATCH(AQ$277, lmic_raw_ub[#Headers],0)))</f>
        <v>2.9272147759459424E-2</v>
      </c>
      <c r="AR403" s="84">
        <f>IF(INDEX(lmic_raw_ub[],MATCH($A403,lmic_raw_ub[[setting]:[setting]],0), MATCH(AR$277, lmic_raw_ub[#Headers],0))=0, INDEX(regions_ub[], MATCH($D403, regions_ub[[setting]:[setting]],0), MATCH(AR$139, regions_ub[#Headers],0)),INDEX(lmic_raw_ub[],MATCH($A403,lmic_raw_ub[[setting]:[setting]],0), MATCH(AR$277, lmic_raw_ub[#Headers],0)))</f>
        <v>5.2736459187753597E-2</v>
      </c>
      <c r="AS403" s="84">
        <f>IF(INDEX(lmic_raw_ub[],MATCH($A403,lmic_raw_ub[[setting]:[setting]],0), MATCH(AS$277, lmic_raw_ub[#Headers],0))=0, INDEX(regions_ub[], MATCH($D403, regions_ub[[setting]:[setting]],0), MATCH(AS$139, regions_ub[#Headers],0)),INDEX(lmic_raw_ub[],MATCH($A403,lmic_raw_ub[[setting]:[setting]],0), MATCH(AS$277, lmic_raw_ub[#Headers],0)))</f>
        <v>5.7491260481109363E-2</v>
      </c>
      <c r="AT403" s="84">
        <f>IF(INDEX(lmic_raw_ub[],MATCH($A403,lmic_raw_ub[[setting]:[setting]],0), MATCH(AT$277, lmic_raw_ub[#Headers],0))=0, INDEX(regions_ub[], MATCH($D403, regions_ub[[setting]:[setting]],0), MATCH(AT$139, regions_ub[#Headers],0)),INDEX(lmic_raw_ub[],MATCH($A403,lmic_raw_ub[[setting]:[setting]],0), MATCH(AT$277, lmic_raw_ub[#Headers],0)))</f>
        <v>9.431393579212359E-2</v>
      </c>
      <c r="AU403" s="84">
        <f>IF(INDEX(lmic_raw_ub[],MATCH($A403,lmic_raw_ub[[setting]:[setting]],0), MATCH(AU$277, lmic_raw_ub[#Headers],0))=0, INDEX(regions_ub[], MATCH($D403, regions_ub[[setting]:[setting]],0), MATCH(AU$139, regions_ub[#Headers],0)),INDEX(lmic_raw_ub[],MATCH($A403,lmic_raw_ub[[setting]:[setting]],0), MATCH(AU$277, lmic_raw_ub[#Headers],0)))</f>
        <v>0.12500522378621645</v>
      </c>
      <c r="AV403" s="84">
        <f>IF(INDEX(lmic_raw_ub[],MATCH($A403,lmic_raw_ub[[setting]:[setting]],0), MATCH(AV$277, lmic_raw_ub[#Headers],0))=0, INDEX(regions_ub[], MATCH($D403, regions_ub[[setting]:[setting]],0), MATCH(AV$139, regions_ub[#Headers],0)),INDEX(lmic_raw_ub[],MATCH($A403,lmic_raw_ub[[setting]:[setting]],0), MATCH(AV$277, lmic_raw_ub[#Headers],0)))</f>
        <v>0.15457846162901764</v>
      </c>
      <c r="AW403" s="84">
        <f>IF(INDEX(lmic_raw_ub[],MATCH($A403,lmic_raw_ub[[setting]:[setting]],0), MATCH(AW$277, lmic_raw_ub[#Headers],0))=0, INDEX(regions_ub[], MATCH($D403, regions_ub[[setting]:[setting]],0), MATCH(AW$139, regions_ub[#Headers],0)),INDEX(lmic_raw_ub[],MATCH($A403,lmic_raw_ub[[setting]:[setting]],0), MATCH(AW$277, lmic_raw_ub[#Headers],0)))</f>
        <v>0.17729220102637094</v>
      </c>
      <c r="AX403" s="84">
        <f>IF(INDEX(lmic_raw_ub[],MATCH($A403,lmic_raw_ub[[setting]:[setting]],0), MATCH(AX$277, lmic_raw_ub[#Headers],0))=0, INDEX(regions_ub[], MATCH($D403, regions_ub[[setting]:[setting]],0), MATCH(AX$139, regions_ub[#Headers],0)),INDEX(lmic_raw_ub[],MATCH($A403,lmic_raw_ub[[setting]:[setting]],0), MATCH(AX$277, lmic_raw_ub[#Headers],0)))</f>
        <v>71.38215000000001</v>
      </c>
      <c r="AY403" s="33" t="str">
        <f>IF(VLOOKUP(lmics_ub[[#This Row],[setting]],lmic_raw_ub[],11,FALSE)=0, "Yes", "No")</f>
        <v>No</v>
      </c>
    </row>
    <row r="404" spans="1:51" x14ac:dyDescent="0.25">
      <c r="A404" s="109" t="s">
        <v>302</v>
      </c>
      <c r="B404" s="101" t="s">
        <v>530</v>
      </c>
      <c r="C404" s="102">
        <v>798</v>
      </c>
      <c r="D404" s="82" t="s">
        <v>681</v>
      </c>
      <c r="E404" s="82" t="s">
        <v>98</v>
      </c>
      <c r="F404" s="82" t="s">
        <v>666</v>
      </c>
      <c r="G404" s="82" t="s">
        <v>676</v>
      </c>
      <c r="J404" s="84">
        <f>IF(INDEX(lmic_raw_ub[],MATCH($A404,lmic_raw_ub[[setting]:[setting]],0), MATCH(J$277, lmic_raw_ub[#Headers],0))=0, INDEX(regions_ub[], MATCH($D404, regions_ub[[setting]:[setting]],0), MATCH(J$139, regions_ub[#Headers],0)),INDEX(lmic_raw_ub[],MATCH($A404,lmic_raw_ub[[setting]:[setting]],0), MATCH(J$277, lmic_raw_ub[#Headers],0)))</f>
        <v>0.97650000000000015</v>
      </c>
      <c r="K404" s="84">
        <f>IF(INDEX(lmic_raw_ub[],MATCH($A404,lmic_raw_ub[[setting]:[setting]],0), MATCH(K$277, lmic_raw_ub[#Headers],0))=0, INDEX(regions_ub[], MATCH($D404, regions_ub[[setting]:[setting]],0), MATCH(K$139, regions_ub[#Headers],0)),INDEX(lmic_raw_ub[],MATCH($A404,lmic_raw_ub[[setting]:[setting]],0), MATCH(K$277, lmic_raw_ub[#Headers],0)))</f>
        <v>0.99990000000000001</v>
      </c>
      <c r="L404" s="84">
        <f>IF(INDEX(lmic_raw_ub[],MATCH($A404,lmic_raw_ub[[setting]:[setting]],0), MATCH(L$277, lmic_raw_ub[#Headers],0))=0, INDEX(regions_ub[], MATCH($D404, regions_ub[[setting]:[setting]],0), MATCH(L$139, regions_ub[#Headers],0)),INDEX(lmic_raw_ub[],MATCH($A404,lmic_raw_ub[[setting]:[setting]],0), MATCH(L$277, lmic_raw_ub[#Headers],0)))</f>
        <v>0.96600000000000008</v>
      </c>
      <c r="M404" s="84">
        <f>IF(INDEX(lmic_raw_ub[],MATCH($A404,lmic_raw_ub[[setting]:[setting]],0), MATCH(M$277, lmic_raw_ub[#Headers],0))=0, INDEX(regions_ub[], MATCH($D404, regions_ub[[setting]:[setting]],0), MATCH(M$139, regions_ub[#Headers],0)),INDEX(lmic_raw_ub[],MATCH($A404,lmic_raw_ub[[setting]:[setting]],0), MATCH(M$277, lmic_raw_ub[#Headers],0)))</f>
        <v>0.1105</v>
      </c>
      <c r="N404" s="84">
        <f>IF(INDEX(lmic_raw_ub[],MATCH($A404,lmic_raw_ub[[setting]:[setting]],0), MATCH(N$277, lmic_raw_ub[#Headers],0))=0, INDEX(regions_ub[], MATCH($D404, regions_ub[[setting]:[setting]],0), MATCH(N$139, regions_ub[#Headers],0)),INDEX(lmic_raw_ub[],MATCH($A404,lmic_raw_ub[[setting]:[setting]],0), MATCH(N$277, lmic_raw_ub[#Headers],0)))</f>
        <v>0.4892242904691097</v>
      </c>
      <c r="O404" s="84">
        <f>IF(INDEX(lmic_raw_ub[],MATCH($A404,lmic_raw_ub[[setting]:[setting]],0), MATCH(O$277, lmic_raw_ub[#Headers],0))=0, INDEX(regions_ub[], MATCH($D404, regions_ub[[setting]:[setting]],0), MATCH(O$139, regions_ub[#Headers],0)),INDEX(lmic_raw_ub[],MATCH($A404,lmic_raw_ub[[setting]:[setting]],0), MATCH(O$277, lmic_raw_ub[#Headers],0)))</f>
        <v>0.9</v>
      </c>
      <c r="P404" s="84">
        <f>IF(INDEX(lmic_raw_ub[],MATCH($A404,lmic_raw_ub[[setting]:[setting]],0), MATCH(P$277, lmic_raw_ub[#Headers],0))=0, INDEX(regions_ub[], MATCH($D404, regions_ub[[setting]:[setting]],0), MATCH(P$139, regions_ub[#Headers],0)),INDEX(lmic_raw_ub[],MATCH($A404,lmic_raw_ub[[setting]:[setting]],0), MATCH(P$277, lmic_raw_ub[#Headers],0)))</f>
        <v>0.3</v>
      </c>
      <c r="Q404" s="84">
        <f>IF(INDEX(lmic_raw_ub[],MATCH($A404,lmic_raw_ub[[setting]:[setting]],0), MATCH(Q$277, lmic_raw_ub[#Headers],0))=0, INDEX(regions_ub[], MATCH($D404, regions_ub[[setting]:[setting]],0), MATCH(Q$139, regions_ub[#Headers],0)),INDEX(lmic_raw_ub[],MATCH($A404,lmic_raw_ub[[setting]:[setting]],0), MATCH(Q$277, lmic_raw_ub[#Headers],0)))</f>
        <v>7.6266284753043605</v>
      </c>
      <c r="R404" s="84">
        <f>IF(INDEX(lmic_raw_ub[],MATCH($A404,lmic_raw_ub[[setting]:[setting]],0), MATCH(R$277, lmic_raw_ub[#Headers],0))=0, INDEX(regions_ub[], MATCH($D404, regions_ub[[setting]:[setting]],0), MATCH(R$139, regions_ub[#Headers],0)),INDEX(lmic_raw_ub[],MATCH($A404,lmic_raw_ub[[setting]:[setting]],0), MATCH(R$277, lmic_raw_ub[#Headers],0)))</f>
        <v>76.738725000000002</v>
      </c>
      <c r="S404" s="84">
        <f>IF(INDEX(lmic_raw_ub[],MATCH($A404,lmic_raw_ub[[setting]:[setting]],0), MATCH(S$277, lmic_raw_ub[#Headers],0))=0, INDEX(regions_ub[], MATCH($D404, regions_ub[[setting]:[setting]],0), MATCH(S$139, regions_ub[#Headers],0)),INDEX(lmic_raw_ub[],MATCH($A404,lmic_raw_ub[[setting]:[setting]],0), MATCH(S$277, lmic_raw_ub[#Headers],0)))</f>
        <v>126.867825</v>
      </c>
      <c r="T404" s="84">
        <f>IF(INDEX(lmic_raw_ub[],MATCH($A404,lmic_raw_ub[[setting]:[setting]],0), MATCH(T$277, lmic_raw_ub[#Headers],0))=0, INDEX(regions_ub[], MATCH($D404, regions_ub[[setting]:[setting]],0), MATCH(T$139, regions_ub[#Headers],0)),INDEX(lmic_raw_ub[],MATCH($A404,lmic_raw_ub[[setting]:[setting]],0), MATCH(T$277, lmic_raw_ub[#Headers],0)))</f>
        <v>126.867825</v>
      </c>
      <c r="U404" s="84">
        <f>IF(INDEX(lmic_raw_ub[],MATCH($A404,lmic_raw_ub[[setting]:[setting]],0), MATCH(U$277, lmic_raw_ub[#Headers],0))=0, INDEX(regions_ub[], MATCH($D404, regions_ub[[setting]:[setting]],0), MATCH(U$139, regions_ub[#Headers],0)),INDEX(lmic_raw_ub[],MATCH($A404,lmic_raw_ub[[setting]:[setting]],0), MATCH(U$277, lmic_raw_ub[#Headers],0)))</f>
        <v>126.867825</v>
      </c>
      <c r="V404" s="84">
        <f>IF(INDEX(lmic_raw_ub[],MATCH($A404,lmic_raw_ub[[setting]:[setting]],0), MATCH(V$277, lmic_raw_ub[#Headers],0))=0, INDEX(regions_ub[], MATCH($D404, regions_ub[[setting]:[setting]],0), MATCH(V$139, regions_ub[#Headers],0)),INDEX(lmic_raw_ub[],MATCH($A404,lmic_raw_ub[[setting]:[setting]],0), MATCH(V$277, lmic_raw_ub[#Headers],0)))</f>
        <v>45.021066294040175</v>
      </c>
      <c r="W404" s="84">
        <f>IF(INDEX(lmic_raw_ub[],MATCH($A404,lmic_raw_ub[[setting]:[setting]],0), MATCH(W$277, lmic_raw_ub[#Headers],0))=0, INDEX(regions_ub[], MATCH($D404, regions_ub[[setting]:[setting]],0), MATCH(W$139, regions_ub[#Headers],0)),INDEX(lmic_raw_ub[],MATCH($A404,lmic_raw_ub[[setting]:[setting]],0), MATCH(W$277, lmic_raw_ub[#Headers],0)))</f>
        <v>45.684876294040173</v>
      </c>
      <c r="X404" s="84">
        <f>IF(INDEX(lmic_raw_ub[],MATCH($A404,lmic_raw_ub[[setting]:[setting]],0), MATCH(X$277, lmic_raw_ub[#Headers],0))=0, INDEX(regions_ub[], MATCH($D404, regions_ub[[setting]:[setting]],0), MATCH(X$139, regions_ub[#Headers],0)),INDEX(lmic_raw_ub[],MATCH($A404,lmic_raw_ub[[setting]:[setting]],0), MATCH(X$277, lmic_raw_ub[#Headers],0)))</f>
        <v>44.51436507589731</v>
      </c>
      <c r="Y404" s="84">
        <f>IF(INDEX(lmic_raw_ub[],MATCH($A404,lmic_raw_ub[[setting]:[setting]],0), MATCH(Y$277, lmic_raw_ub[#Headers],0))=0, INDEX(regions_ub[], MATCH($D404, regions_ub[[setting]:[setting]],0), MATCH(Y$139, regions_ub[#Headers],0)),INDEX(lmic_raw_ub[],MATCH($A404,lmic_raw_ub[[setting]:[setting]],0), MATCH(Y$277, lmic_raw_ub[#Headers],0)))</f>
        <v>45.178175075897308</v>
      </c>
      <c r="Z404" s="84">
        <f>IF(INDEX(lmic_raw_ub[],MATCH($A404,lmic_raw_ub[[setting]:[setting]],0), MATCH(Z$277, lmic_raw_ub[#Headers],0))=0, INDEX(regions_ub[], MATCH($D404, regions_ub[[setting]:[setting]],0), MATCH(Z$139, regions_ub[#Headers],0)),INDEX(lmic_raw_ub[],MATCH($A404,lmic_raw_ub[[setting]:[setting]],0), MATCH(Z$277, lmic_raw_ub[#Headers],0)))</f>
        <v>45.165796231464206</v>
      </c>
      <c r="AA404" s="84">
        <f>IF(INDEX(lmic_raw_ub[],MATCH($A404,lmic_raw_ub[[setting]:[setting]],0), MATCH(AA$277, lmic_raw_ub[#Headers],0))=0, INDEX(regions_ub[], MATCH($D404, regions_ub[[setting]:[setting]],0), MATCH(AA$139, regions_ub[#Headers],0)),INDEX(lmic_raw_ub[],MATCH($A404,lmic_raw_ub[[setting]:[setting]],0), MATCH(AA$277, lmic_raw_ub[#Headers],0)))</f>
        <v>45.292158806765386</v>
      </c>
      <c r="AB404" s="84">
        <f>IF(INDEX(lmic_raw_ub[],MATCH($A404,lmic_raw_ub[[setting]:[setting]],0), MATCH(AB$277, lmic_raw_ub[#Headers],0))=0, INDEX(regions_ub[], MATCH($D404, regions_ub[[setting]:[setting]],0), MATCH(AB$139, regions_ub[#Headers],0)),INDEX(lmic_raw_ub[],MATCH($A404,lmic_raw_ub[[setting]:[setting]],0), MATCH(AB$277, lmic_raw_ub[#Headers],0)))</f>
        <v>45.955968806765384</v>
      </c>
      <c r="AC404" s="84">
        <f>IF(INDEX(lmic_raw_ub[],MATCH($A404,lmic_raw_ub[[setting]:[setting]],0), MATCH(AC$277, lmic_raw_ub[#Headers],0))=0, INDEX(regions_ub[], MATCH($D404, regions_ub[[setting]:[setting]],0), MATCH(AC$139, regions_ub[#Headers],0)),INDEX(lmic_raw_ub[],MATCH($A404,lmic_raw_ub[[setting]:[setting]],0), MATCH(AC$277, lmic_raw_ub[#Headers],0)))</f>
        <v>1.2718695170316376E-2</v>
      </c>
      <c r="AD404" s="84">
        <f>IF(INDEX(lmic_raw_ub[],MATCH($A404,lmic_raw_ub[[setting]:[setting]],0), MATCH(AD$277, lmic_raw_ub[#Headers],0))=0, INDEX(regions_ub[], MATCH($D404, regions_ub[[setting]:[setting]],0), MATCH(AD$139, regions_ub[#Headers],0)),INDEX(lmic_raw_ub[],MATCH($A404,lmic_raw_ub[[setting]:[setting]],0), MATCH(AD$277, lmic_raw_ub[#Headers],0)))</f>
        <v>7.0990426719929028E-4</v>
      </c>
      <c r="AE404" s="84">
        <f>IF(INDEX(lmic_raw_ub[],MATCH($A404,lmic_raw_ub[[setting]:[setting]],0), MATCH(AE$277, lmic_raw_ub[#Headers],0))=0, INDEX(regions_ub[], MATCH($D404, regions_ub[[setting]:[setting]],0), MATCH(AE$139, regions_ub[#Headers],0)),INDEX(lmic_raw_ub[],MATCH($A404,lmic_raw_ub[[setting]:[setting]],0), MATCH(AE$277, lmic_raw_ub[#Headers],0)))</f>
        <v>4.1035558161302201E-4</v>
      </c>
      <c r="AF404" s="84">
        <f>IF(INDEX(lmic_raw_ub[],MATCH($A404,lmic_raw_ub[[setting]:[setting]],0), MATCH(AF$277, lmic_raw_ub[#Headers],0))=0, INDEX(regions_ub[], MATCH($D404, regions_ub[[setting]:[setting]],0), MATCH(AF$139, regions_ub[#Headers],0)),INDEX(lmic_raw_ub[],MATCH($A404,lmic_raw_ub[[setting]:[setting]],0), MATCH(AF$277, lmic_raw_ub[#Headers],0)))</f>
        <v>3.2321280704531737E-4</v>
      </c>
      <c r="AG404" s="84">
        <f>IF(INDEX(lmic_raw_ub[],MATCH($A404,lmic_raw_ub[[setting]:[setting]],0), MATCH(AG$277, lmic_raw_ub[#Headers],0))=0, INDEX(regions_ub[], MATCH($D404, regions_ub[[setting]:[setting]],0), MATCH(AG$139, regions_ub[#Headers],0)),INDEX(lmic_raw_ub[],MATCH($A404,lmic_raw_ub[[setting]:[setting]],0), MATCH(AG$277, lmic_raw_ub[#Headers],0)))</f>
        <v>5.1391567877096943E-4</v>
      </c>
      <c r="AH404" s="84">
        <f>IF(INDEX(lmic_raw_ub[],MATCH($A404,lmic_raw_ub[[setting]:[setting]],0), MATCH(AH$277, lmic_raw_ub[#Headers],0))=0, INDEX(regions_ub[], MATCH($D404, regions_ub[[setting]:[setting]],0), MATCH(AH$139, regions_ub[#Headers],0)),INDEX(lmic_raw_ub[],MATCH($A404,lmic_raw_ub[[setting]:[setting]],0), MATCH(AH$277, lmic_raw_ub[#Headers],0)))</f>
        <v>7.1501295849761711E-4</v>
      </c>
      <c r="AI404" s="84">
        <f>IF(INDEX(lmic_raw_ub[],MATCH($A404,lmic_raw_ub[[setting]:[setting]],0), MATCH(AI$277, lmic_raw_ub[#Headers],0))=0, INDEX(regions_ub[], MATCH($D404, regions_ub[[setting]:[setting]],0), MATCH(AI$139, regions_ub[#Headers],0)),INDEX(lmic_raw_ub[],MATCH($A404,lmic_raw_ub[[setting]:[setting]],0), MATCH(AI$277, lmic_raw_ub[#Headers],0)))</f>
        <v>8.927507998400117E-4</v>
      </c>
      <c r="AJ404" s="84">
        <f>IF(INDEX(lmic_raw_ub[],MATCH($A404,lmic_raw_ub[[setting]:[setting]],0), MATCH(AJ$277, lmic_raw_ub[#Headers],0))=0, INDEX(regions_ub[], MATCH($D404, regions_ub[[setting]:[setting]],0), MATCH(AJ$139, regions_ub[#Headers],0)),INDEX(lmic_raw_ub[],MATCH($A404,lmic_raw_ub[[setting]:[setting]],0), MATCH(AJ$277, lmic_raw_ub[#Headers],0)))</f>
        <v>1.1113320849251299E-3</v>
      </c>
      <c r="AK404" s="84">
        <f>IF(INDEX(lmic_raw_ub[],MATCH($A404,lmic_raw_ub[[setting]:[setting]],0), MATCH(AK$277, lmic_raw_ub[#Headers],0))=0, INDEX(regions_ub[], MATCH($D404, regions_ub[[setting]:[setting]],0), MATCH(AK$139, regions_ub[#Headers],0)),INDEX(lmic_raw_ub[],MATCH($A404,lmic_raw_ub[[setting]:[setting]],0), MATCH(AK$277, lmic_raw_ub[#Headers],0)))</f>
        <v>1.4275057565613705E-3</v>
      </c>
      <c r="AL404" s="84">
        <f>IF(INDEX(lmic_raw_ub[],MATCH($A404,lmic_raw_ub[[setting]:[setting]],0), MATCH(AL$277, lmic_raw_ub[#Headers],0))=0, INDEX(regions_ub[], MATCH($D404, regions_ub[[setting]:[setting]],0), MATCH(AL$139, regions_ub[#Headers],0)),INDEX(lmic_raw_ub[],MATCH($A404,lmic_raw_ub[[setting]:[setting]],0), MATCH(AL$277, lmic_raw_ub[#Headers],0)))</f>
        <v>2.009368370687911E-3</v>
      </c>
      <c r="AM404" s="84">
        <f>IF(INDEX(lmic_raw_ub[],MATCH($A404,lmic_raw_ub[[setting]:[setting]],0), MATCH(AM$277, lmic_raw_ub[#Headers],0))=0, INDEX(regions_ub[], MATCH($D404, regions_ub[[setting]:[setting]],0), MATCH(AM$139, regions_ub[#Headers],0)),INDEX(lmic_raw_ub[],MATCH($A404,lmic_raw_ub[[setting]:[setting]],0), MATCH(AM$277, lmic_raw_ub[#Headers],0)))</f>
        <v>2.94513734968114E-3</v>
      </c>
      <c r="AN404" s="84">
        <f>IF(INDEX(lmic_raw_ub[],MATCH($A404,lmic_raw_ub[[setting]:[setting]],0), MATCH(AN$277, lmic_raw_ub[#Headers],0))=0, INDEX(regions_ub[], MATCH($D404, regions_ub[[setting]:[setting]],0), MATCH(AN$139, regions_ub[#Headers],0)),INDEX(lmic_raw_ub[],MATCH($A404,lmic_raw_ub[[setting]:[setting]],0), MATCH(AN$277, lmic_raw_ub[#Headers],0)))</f>
        <v>4.6905477840367173E-3</v>
      </c>
      <c r="AO404" s="84">
        <f>IF(INDEX(lmic_raw_ub[],MATCH($A404,lmic_raw_ub[[setting]:[setting]],0), MATCH(AO$277, lmic_raw_ub[#Headers],0))=0, INDEX(regions_ub[], MATCH($D404, regions_ub[[setting]:[setting]],0), MATCH(AO$139, regions_ub[#Headers],0)),INDEX(lmic_raw_ub[],MATCH($A404,lmic_raw_ub[[setting]:[setting]],0), MATCH(AO$277, lmic_raw_ub[#Headers],0)))</f>
        <v>7.5068342983396156E-3</v>
      </c>
      <c r="AP404" s="84">
        <f>IF(INDEX(lmic_raw_ub[],MATCH($A404,lmic_raw_ub[[setting]:[setting]],0), MATCH(AP$277, lmic_raw_ub[#Headers],0))=0, INDEX(regions_ub[], MATCH($D404, regions_ub[[setting]:[setting]],0), MATCH(AP$139, regions_ub[#Headers],0)),INDEX(lmic_raw_ub[],MATCH($A404,lmic_raw_ub[[setting]:[setting]],0), MATCH(AP$277, lmic_raw_ub[#Headers],0)))</f>
        <v>1.2728981177810095E-2</v>
      </c>
      <c r="AQ404" s="84">
        <f>IF(INDEX(lmic_raw_ub[],MATCH($A404,lmic_raw_ub[[setting]:[setting]],0), MATCH(AQ$277, lmic_raw_ub[#Headers],0))=0, INDEX(regions_ub[], MATCH($D404, regions_ub[[setting]:[setting]],0), MATCH(AQ$139, regions_ub[#Headers],0)),INDEX(lmic_raw_ub[],MATCH($A404,lmic_raw_ub[[setting]:[setting]],0), MATCH(AQ$277, lmic_raw_ub[#Headers],0)))</f>
        <v>2.1402745908128597E-2</v>
      </c>
      <c r="AR404" s="84">
        <f>IF(INDEX(lmic_raw_ub[],MATCH($A404,lmic_raw_ub[[setting]:[setting]],0), MATCH(AR$277, lmic_raw_ub[#Headers],0))=0, INDEX(regions_ub[], MATCH($D404, regions_ub[[setting]:[setting]],0), MATCH(AR$139, regions_ub[#Headers],0)),INDEX(lmic_raw_ub[],MATCH($A404,lmic_raw_ub[[setting]:[setting]],0), MATCH(AR$277, lmic_raw_ub[#Headers],0)))</f>
        <v>3.6140267460888088E-2</v>
      </c>
      <c r="AS404" s="84">
        <f>IF(INDEX(lmic_raw_ub[],MATCH($A404,lmic_raw_ub[[setting]:[setting]],0), MATCH(AS$277, lmic_raw_ub[#Headers],0))=0, INDEX(regions_ub[], MATCH($D404, regions_ub[[setting]:[setting]],0), MATCH(AS$139, regions_ub[#Headers],0)),INDEX(lmic_raw_ub[],MATCH($A404,lmic_raw_ub[[setting]:[setting]],0), MATCH(AS$277, lmic_raw_ub[#Headers],0)))</f>
        <v>5.6558251600302104E-2</v>
      </c>
      <c r="AT404" s="84">
        <f>IF(INDEX(lmic_raw_ub[],MATCH($A404,lmic_raw_ub[[setting]:[setting]],0), MATCH(AT$277, lmic_raw_ub[#Headers],0))=0, INDEX(regions_ub[], MATCH($D404, regions_ub[[setting]:[setting]],0), MATCH(AT$139, regions_ub[#Headers],0)),INDEX(lmic_raw_ub[],MATCH($A404,lmic_raw_ub[[setting]:[setting]],0), MATCH(AT$277, lmic_raw_ub[#Headers],0)))</f>
        <v>8.0662699285328376E-2</v>
      </c>
      <c r="AU404" s="84">
        <f>IF(INDEX(lmic_raw_ub[],MATCH($A404,lmic_raw_ub[[setting]:[setting]],0), MATCH(AU$277, lmic_raw_ub[#Headers],0))=0, INDEX(regions_ub[], MATCH($D404, regions_ub[[setting]:[setting]],0), MATCH(AU$139, regions_ub[#Headers],0)),INDEX(lmic_raw_ub[],MATCH($A404,lmic_raw_ub[[setting]:[setting]],0), MATCH(AU$277, lmic_raw_ub[#Headers],0)))</f>
        <v>0.11119985765587861</v>
      </c>
      <c r="AV404" s="84">
        <f>IF(INDEX(lmic_raw_ub[],MATCH($A404,lmic_raw_ub[[setting]:[setting]],0), MATCH(AV$277, lmic_raw_ub[#Headers],0))=0, INDEX(regions_ub[], MATCH($D404, regions_ub[[setting]:[setting]],0), MATCH(AV$139, regions_ub[#Headers],0)),INDEX(lmic_raw_ub[],MATCH($A404,lmic_raw_ub[[setting]:[setting]],0), MATCH(AV$277, lmic_raw_ub[#Headers],0)))</f>
        <v>0.13871565315853587</v>
      </c>
      <c r="AW404" s="84">
        <f>IF(INDEX(lmic_raw_ub[],MATCH($A404,lmic_raw_ub[[setting]:[setting]],0), MATCH(AW$277, lmic_raw_ub[#Headers],0))=0, INDEX(regions_ub[], MATCH($D404, regions_ub[[setting]:[setting]],0), MATCH(AW$139, regions_ub[#Headers],0)),INDEX(lmic_raw_ub[],MATCH($A404,lmic_raw_ub[[setting]:[setting]],0), MATCH(AW$277, lmic_raw_ub[#Headers],0)))</f>
        <v>0.161835775952024</v>
      </c>
      <c r="AX404" s="84">
        <f>IF(INDEX(lmic_raw_ub[],MATCH($A404,lmic_raw_ub[[setting]:[setting]],0), MATCH(AX$277, lmic_raw_ub[#Headers],0))=0, INDEX(regions_ub[], MATCH($D404, regions_ub[[setting]:[setting]],0), MATCH(AX$139, regions_ub[#Headers],0)),INDEX(lmic_raw_ub[],MATCH($A404,lmic_raw_ub[[setting]:[setting]],0), MATCH(AX$277, lmic_raw_ub[#Headers],0)))</f>
        <v>79.367389611614101</v>
      </c>
      <c r="AY404" s="33" t="str">
        <f>IF(VLOOKUP(lmics_ub[[#This Row],[setting]],lmic_raw_ub[],11,FALSE)=0, "Yes", "No")</f>
        <v>No</v>
      </c>
    </row>
    <row r="405" spans="1:51" x14ac:dyDescent="0.25">
      <c r="A405" s="110" t="s">
        <v>117</v>
      </c>
      <c r="B405" s="104" t="s">
        <v>531</v>
      </c>
      <c r="C405" s="105">
        <v>800</v>
      </c>
      <c r="D405" s="84" t="s">
        <v>677</v>
      </c>
      <c r="E405" s="84" t="s">
        <v>597</v>
      </c>
      <c r="F405" s="84" t="s">
        <v>667</v>
      </c>
      <c r="G405" s="84" t="s">
        <v>674</v>
      </c>
      <c r="J405" s="84">
        <f>IF(INDEX(lmic_raw_ub[],MATCH($A405,lmic_raw_ub[[setting]:[setting]],0), MATCH(J$277, lmic_raw_ub[#Headers],0))=0, INDEX(regions_ub[], MATCH($D405, regions_ub[[setting]:[setting]],0), MATCH(J$139, regions_ub[#Headers],0)),INDEX(lmic_raw_ub[],MATCH($A405,lmic_raw_ub[[setting]:[setting]],0), MATCH(J$277, lmic_raw_ub[#Headers],0)))</f>
        <v>0.77070000000000016</v>
      </c>
      <c r="K405" s="84">
        <f>IF(INDEX(lmic_raw_ub[],MATCH($A405,lmic_raw_ub[[setting]:[setting]],0), MATCH(K$277, lmic_raw_ub[#Headers],0))=0, INDEX(regions_ub[], MATCH($D405, regions_ub[[setting]:[setting]],0), MATCH(K$139, regions_ub[#Headers],0)),INDEX(lmic_raw_ub[],MATCH($A405,lmic_raw_ub[[setting]:[setting]],0), MATCH(K$277, lmic_raw_ub[#Headers],0)))</f>
        <v>0.71433037619548323</v>
      </c>
      <c r="L405" s="84">
        <f>IF(INDEX(lmic_raw_ub[],MATCH($A405,lmic_raw_ub[[setting]:[setting]],0), MATCH(L$277, lmic_raw_ub[#Headers],0))=0, INDEX(regions_ub[], MATCH($D405, regions_ub[[setting]:[setting]],0), MATCH(L$139, regions_ub[#Headers],0)),INDEX(lmic_raw_ub[],MATCH($A405,lmic_raw_ub[[setting]:[setting]],0), MATCH(L$277, lmic_raw_ub[#Headers],0)))</f>
        <v>0.97650000000000015</v>
      </c>
      <c r="M405" s="84">
        <f>IF(INDEX(lmic_raw_ub[],MATCH($A405,lmic_raw_ub[[setting]:[setting]],0), MATCH(M$277, lmic_raw_ub[#Headers],0))=0, INDEX(regions_ub[], MATCH($D405, regions_ub[[setting]:[setting]],0), MATCH(M$139, regions_ub[#Headers],0)),INDEX(lmic_raw_ub[],MATCH($A405,lmic_raw_ub[[setting]:[setting]],0), MATCH(M$277, lmic_raw_ub[#Headers],0)))</f>
        <v>7.7499999999999999E-2</v>
      </c>
      <c r="N405" s="84">
        <f>IF(INDEX(lmic_raw_ub[],MATCH($A405,lmic_raw_ub[[setting]:[setting]],0), MATCH(N$277, lmic_raw_ub[#Headers],0))=0, INDEX(regions_ub[], MATCH($D405, regions_ub[[setting]:[setting]],0), MATCH(N$139, regions_ub[#Headers],0)),INDEX(lmic_raw_ub[],MATCH($A405,lmic_raw_ub[[setting]:[setting]],0), MATCH(N$277, lmic_raw_ub[#Headers],0)))</f>
        <v>0.39960000000000001</v>
      </c>
      <c r="O405" s="84">
        <f>IF(INDEX(lmic_raw_ub[],MATCH($A405,lmic_raw_ub[[setting]:[setting]],0), MATCH(O$277, lmic_raw_ub[#Headers],0))=0, INDEX(regions_ub[], MATCH($D405, regions_ub[[setting]:[setting]],0), MATCH(O$139, regions_ub[#Headers],0)),INDEX(lmic_raw_ub[],MATCH($A405,lmic_raw_ub[[setting]:[setting]],0), MATCH(O$277, lmic_raw_ub[#Headers],0)))</f>
        <v>0.74399999999999999</v>
      </c>
      <c r="P405" s="84">
        <f>IF(INDEX(lmic_raw_ub[],MATCH($A405,lmic_raw_ub[[setting]:[setting]],0), MATCH(P$277, lmic_raw_ub[#Headers],0))=0, INDEX(regions_ub[], MATCH($D405, regions_ub[[setting]:[setting]],0), MATCH(P$139, regions_ub[#Headers],0)),INDEX(lmic_raw_ub[],MATCH($A405,lmic_raw_ub[[setting]:[setting]],0), MATCH(P$277, lmic_raw_ub[#Headers],0)))</f>
        <v>0.13300000000000001</v>
      </c>
      <c r="Q405" s="84">
        <f>IF(INDEX(lmic_raw_ub[],MATCH($A405,lmic_raw_ub[[setting]:[setting]],0), MATCH(Q$277, lmic_raw_ub[#Headers],0))=0, INDEX(regions_ub[], MATCH($D405, regions_ub[[setting]:[setting]],0), MATCH(Q$139, regions_ub[#Headers],0)),INDEX(lmic_raw_ub[],MATCH($A405,lmic_raw_ub[[setting]:[setting]],0), MATCH(Q$277, lmic_raw_ub[#Headers],0)))</f>
        <v>2.9656524783678004</v>
      </c>
      <c r="R405" s="84">
        <f>IF(INDEX(lmic_raw_ub[],MATCH($A405,lmic_raw_ub[[setting]:[setting]],0), MATCH(R$277, lmic_raw_ub[#Headers],0))=0, INDEX(regions_ub[], MATCH($D405, regions_ub[[setting]:[setting]],0), MATCH(R$139, regions_ub[#Headers],0)),INDEX(lmic_raw_ub[],MATCH($A405,lmic_raw_ub[[setting]:[setting]],0), MATCH(R$277, lmic_raw_ub[#Headers],0)))</f>
        <v>31.416525000000004</v>
      </c>
      <c r="S405" s="84">
        <f>IF(INDEX(lmic_raw_ub[],MATCH($A405,lmic_raw_ub[[setting]:[setting]],0), MATCH(S$277, lmic_raw_ub[#Headers],0))=0, INDEX(regions_ub[], MATCH($D405, regions_ub[[setting]:[setting]],0), MATCH(S$139, regions_ub[#Headers],0)),INDEX(lmic_raw_ub[],MATCH($A405,lmic_raw_ub[[setting]:[setting]],0), MATCH(S$277, lmic_raw_ub[#Headers],0)))</f>
        <v>81.545625000000015</v>
      </c>
      <c r="T405" s="84">
        <f>IF(INDEX(lmic_raw_ub[],MATCH($A405,lmic_raw_ub[[setting]:[setting]],0), MATCH(T$277, lmic_raw_ub[#Headers],0))=0, INDEX(regions_ub[], MATCH($D405, regions_ub[[setting]:[setting]],0), MATCH(T$139, regions_ub[#Headers],0)),INDEX(lmic_raw_ub[],MATCH($A405,lmic_raw_ub[[setting]:[setting]],0), MATCH(T$277, lmic_raw_ub[#Headers],0)))</f>
        <v>81.545625000000015</v>
      </c>
      <c r="U405" s="84">
        <f>IF(INDEX(lmic_raw_ub[],MATCH($A405,lmic_raw_ub[[setting]:[setting]],0), MATCH(U$277, lmic_raw_ub[#Headers],0))=0, INDEX(regions_ub[], MATCH($D405, regions_ub[[setting]:[setting]],0), MATCH(U$139, regions_ub[#Headers],0)),INDEX(lmic_raw_ub[],MATCH($A405,lmic_raw_ub[[setting]:[setting]],0), MATCH(U$277, lmic_raw_ub[#Headers],0)))</f>
        <v>81.545625000000015</v>
      </c>
      <c r="V405" s="84">
        <f>IF(INDEX(lmic_raw_ub[],MATCH($A405,lmic_raw_ub[[setting]:[setting]],0), MATCH(V$277, lmic_raw_ub[#Headers],0))=0, INDEX(regions_ub[], MATCH($D405, regions_ub[[setting]:[setting]],0), MATCH(V$139, regions_ub[#Headers],0)),INDEX(lmic_raw_ub[],MATCH($A405,lmic_raw_ub[[setting]:[setting]],0), MATCH(V$277, lmic_raw_ub[#Headers],0)))</f>
        <v>4.807662152976123</v>
      </c>
      <c r="W405" s="84">
        <f>IF(INDEX(lmic_raw_ub[],MATCH($A405,lmic_raw_ub[[setting]:[setting]],0), MATCH(W$277, lmic_raw_ub[#Headers],0))=0, INDEX(regions_ub[], MATCH($D405, regions_ub[[setting]:[setting]],0), MATCH(W$139, regions_ub[#Headers],0)),INDEX(lmic_raw_ub[],MATCH($A405,lmic_raw_ub[[setting]:[setting]],0), MATCH(W$277, lmic_raw_ub[#Headers],0)))</f>
        <v>9.8777971529761235</v>
      </c>
      <c r="X405" s="84">
        <f>IF(INDEX(lmic_raw_ub[],MATCH($A405,lmic_raw_ub[[setting]:[setting]],0), MATCH(X$277, lmic_raw_ub[#Headers],0))=0, INDEX(regions_ub[], MATCH($D405, regions_ub[[setting]:[setting]],0), MATCH(X$139, regions_ub[#Headers],0)),INDEX(lmic_raw_ub[],MATCH($A405,lmic_raw_ub[[setting]:[setting]],0), MATCH(X$277, lmic_raw_ub[#Headers],0)))</f>
        <v>4.3112008108482502</v>
      </c>
      <c r="Y405" s="84">
        <f>IF(INDEX(lmic_raw_ub[],MATCH($A405,lmic_raw_ub[[setting]:[setting]],0), MATCH(Y$277, lmic_raw_ub[#Headers],0))=0, INDEX(regions_ub[], MATCH($D405, regions_ub[[setting]:[setting]],0), MATCH(Y$139, regions_ub[#Headers],0)),INDEX(lmic_raw_ub[],MATCH($A405,lmic_raw_ub[[setting]:[setting]],0), MATCH(Y$277, lmic_raw_ub[#Headers],0)))</f>
        <v>9.3813358108482507</v>
      </c>
      <c r="Z405" s="84">
        <f>IF(INDEX(lmic_raw_ub[],MATCH($A405,lmic_raw_ub[[setting]:[setting]],0), MATCH(Z$277, lmic_raw_ub[#Headers],0))=0, INDEX(regions_ub[], MATCH($D405, regions_ub[[setting]:[setting]],0), MATCH(Z$139, regions_ub[#Headers],0)),INDEX(lmic_raw_ub[],MATCH($A405,lmic_raw_ub[[setting]:[setting]],0), MATCH(Z$277, lmic_raw_ub[#Headers],0)))</f>
        <v>9.3743061789762141</v>
      </c>
      <c r="AA405" s="84">
        <f>IF(INDEX(lmic_raw_ub[],MATCH($A405,lmic_raw_ub[[setting]:[setting]],0), MATCH(AA$277, lmic_raw_ub[#Headers],0))=0, INDEX(regions_ub[], MATCH($D405, regions_ub[[setting]:[setting]],0), MATCH(AA$139, regions_ub[#Headers],0)),INDEX(lmic_raw_ub[],MATCH($A405,lmic_raw_ub[[setting]:[setting]],0), MATCH(AA$277, lmic_raw_ub[#Headers],0)))</f>
        <v>5.0764302766672609</v>
      </c>
      <c r="AB405" s="84">
        <f>IF(INDEX(lmic_raw_ub[],MATCH($A405,lmic_raw_ub[[setting]:[setting]],0), MATCH(AB$277, lmic_raw_ub[#Headers],0))=0, INDEX(regions_ub[], MATCH($D405, regions_ub[[setting]:[setting]],0), MATCH(AB$139, regions_ub[#Headers],0)),INDEX(lmic_raw_ub[],MATCH($A405,lmic_raw_ub[[setting]:[setting]],0), MATCH(AB$277, lmic_raw_ub[#Headers],0)))</f>
        <v>10.14656527666726</v>
      </c>
      <c r="AC405" s="84">
        <f>IF(INDEX(lmic_raw_ub[],MATCH($A405,lmic_raw_ub[[setting]:[setting]],0), MATCH(AC$277, lmic_raw_ub[#Headers],0))=0, INDEX(regions_ub[], MATCH($D405, regions_ub[[setting]:[setting]],0), MATCH(AC$139, regions_ub[#Headers],0)),INDEX(lmic_raw_ub[],MATCH($A405,lmic_raw_ub[[setting]:[setting]],0), MATCH(AC$277, lmic_raw_ub[#Headers],0)))</f>
        <v>4.8457269000000032E-2</v>
      </c>
      <c r="AD405" s="84">
        <f>IF(INDEX(lmic_raw_ub[],MATCH($A405,lmic_raw_ub[[setting]:[setting]],0), MATCH(AD$277, lmic_raw_ub[#Headers],0))=0, INDEX(regions_ub[], MATCH($D405, regions_ub[[setting]:[setting]],0), MATCH(AD$139, regions_ub[#Headers],0)),INDEX(lmic_raw_ub[],MATCH($A405,lmic_raw_ub[[setting]:[setting]],0), MATCH(AD$277, lmic_raw_ub[#Headers],0)))</f>
        <v>4.5850016945008249E-3</v>
      </c>
      <c r="AE405" s="84">
        <f>IF(INDEX(lmic_raw_ub[],MATCH($A405,lmic_raw_ub[[setting]:[setting]],0), MATCH(AE$277, lmic_raw_ub[#Headers],0))=0, INDEX(regions_ub[], MATCH($D405, regions_ub[[setting]:[setting]],0), MATCH(AE$139, regions_ub[#Headers],0)),INDEX(lmic_raw_ub[],MATCH($A405,lmic_raw_ub[[setting]:[setting]],0), MATCH(AE$277, lmic_raw_ub[#Headers],0)))</f>
        <v>1.5569906594037133E-3</v>
      </c>
      <c r="AF405" s="84">
        <f>IF(INDEX(lmic_raw_ub[],MATCH($A405,lmic_raw_ub[[setting]:[setting]],0), MATCH(AF$277, lmic_raw_ub[#Headers],0))=0, INDEX(regions_ub[], MATCH($D405, regions_ub[[setting]:[setting]],0), MATCH(AF$139, regions_ub[#Headers],0)),INDEX(lmic_raw_ub[],MATCH($A405,lmic_raw_ub[[setting]:[setting]],0), MATCH(AF$277, lmic_raw_ub[#Headers],0)))</f>
        <v>1.1681936256781929E-3</v>
      </c>
      <c r="AG405" s="84">
        <f>IF(INDEX(lmic_raw_ub[],MATCH($A405,lmic_raw_ub[[setting]:[setting]],0), MATCH(AG$277, lmic_raw_ub[#Headers],0))=0, INDEX(regions_ub[], MATCH($D405, regions_ub[[setting]:[setting]],0), MATCH(AG$139, regions_ub[#Headers],0)),INDEX(lmic_raw_ub[],MATCH($A405,lmic_raw_ub[[setting]:[setting]],0), MATCH(AG$277, lmic_raw_ub[#Headers],0)))</f>
        <v>1.9127903382406973E-3</v>
      </c>
      <c r="AH405" s="84">
        <f>IF(INDEX(lmic_raw_ub[],MATCH($A405,lmic_raw_ub[[setting]:[setting]],0), MATCH(AH$277, lmic_raw_ub[#Headers],0))=0, INDEX(regions_ub[], MATCH($D405, regions_ub[[setting]:[setting]],0), MATCH(AH$139, regions_ub[#Headers],0)),INDEX(lmic_raw_ub[],MATCH($A405,lmic_raw_ub[[setting]:[setting]],0), MATCH(AH$277, lmic_raw_ub[#Headers],0)))</f>
        <v>2.9451147206791205E-3</v>
      </c>
      <c r="AI405" s="84">
        <f>IF(INDEX(lmic_raw_ub[],MATCH($A405,lmic_raw_ub[[setting]:[setting]],0), MATCH(AI$277, lmic_raw_ub[#Headers],0))=0, INDEX(regions_ub[], MATCH($D405, regions_ub[[setting]:[setting]],0), MATCH(AI$139, regions_ub[#Headers],0)),INDEX(lmic_raw_ub[],MATCH($A405,lmic_raw_ub[[setting]:[setting]],0), MATCH(AI$277, lmic_raw_ub[#Headers],0)))</f>
        <v>3.8232157928085988E-3</v>
      </c>
      <c r="AJ405" s="84">
        <f>IF(INDEX(lmic_raw_ub[],MATCH($A405,lmic_raw_ub[[setting]:[setting]],0), MATCH(AJ$277, lmic_raw_ub[#Headers],0))=0, INDEX(regions_ub[], MATCH($D405, regions_ub[[setting]:[setting]],0), MATCH(AJ$139, regions_ub[#Headers],0)),INDEX(lmic_raw_ub[],MATCH($A405,lmic_raw_ub[[setting]:[setting]],0), MATCH(AJ$277, lmic_raw_ub[#Headers],0)))</f>
        <v>4.7679959666907055E-3</v>
      </c>
      <c r="AK405" s="84">
        <f>IF(INDEX(lmic_raw_ub[],MATCH($A405,lmic_raw_ub[[setting]:[setting]],0), MATCH(AK$277, lmic_raw_ub[#Headers],0))=0, INDEX(regions_ub[], MATCH($D405, regions_ub[[setting]:[setting]],0), MATCH(AK$139, regions_ub[#Headers],0)),INDEX(lmic_raw_ub[],MATCH($A405,lmic_raw_ub[[setting]:[setting]],0), MATCH(AK$277, lmic_raw_ub[#Headers],0)))</f>
        <v>6.0948373499709269E-3</v>
      </c>
      <c r="AL405" s="84">
        <f>IF(INDEX(lmic_raw_ub[],MATCH($A405,lmic_raw_ub[[setting]:[setting]],0), MATCH(AL$277, lmic_raw_ub[#Headers],0))=0, INDEX(regions_ub[], MATCH($D405, regions_ub[[setting]:[setting]],0), MATCH(AL$139, regions_ub[#Headers],0)),INDEX(lmic_raw_ub[],MATCH($A405,lmic_raw_ub[[setting]:[setting]],0), MATCH(AL$277, lmic_raw_ub[#Headers],0)))</f>
        <v>7.5221396335273544E-3</v>
      </c>
      <c r="AM405" s="84">
        <f>IF(INDEX(lmic_raw_ub[],MATCH($A405,lmic_raw_ub[[setting]:[setting]],0), MATCH(AM$277, lmic_raw_ub[#Headers],0))=0, INDEX(regions_ub[], MATCH($D405, regions_ub[[setting]:[setting]],0), MATCH(AM$139, regions_ub[#Headers],0)),INDEX(lmic_raw_ub[],MATCH($A405,lmic_raw_ub[[setting]:[setting]],0), MATCH(AM$277, lmic_raw_ub[#Headers],0)))</f>
        <v>9.2901428727684681E-3</v>
      </c>
      <c r="AN405" s="84">
        <f>IF(INDEX(lmic_raw_ub[],MATCH($A405,lmic_raw_ub[[setting]:[setting]],0), MATCH(AN$277, lmic_raw_ub[#Headers],0))=0, INDEX(regions_ub[], MATCH($D405, regions_ub[[setting]:[setting]],0), MATCH(AN$139, regions_ub[#Headers],0)),INDEX(lmic_raw_ub[],MATCH($A405,lmic_raw_ub[[setting]:[setting]],0), MATCH(AN$277, lmic_raw_ub[#Headers],0)))</f>
        <v>1.2449807698979494E-2</v>
      </c>
      <c r="AO405" s="84">
        <f>IF(INDEX(lmic_raw_ub[],MATCH($A405,lmic_raw_ub[[setting]:[setting]],0), MATCH(AO$277, lmic_raw_ub[#Headers],0))=0, INDEX(regions_ub[], MATCH($D405, regions_ub[[setting]:[setting]],0), MATCH(AO$139, regions_ub[#Headers],0)),INDEX(lmic_raw_ub[],MATCH($A405,lmic_raw_ub[[setting]:[setting]],0), MATCH(AO$277, lmic_raw_ub[#Headers],0)))</f>
        <v>1.6049447412876512E-2</v>
      </c>
      <c r="AP405" s="84">
        <f>IF(INDEX(lmic_raw_ub[],MATCH($A405,lmic_raw_ub[[setting]:[setting]],0), MATCH(AP$277, lmic_raw_ub[#Headers],0))=0, INDEX(regions_ub[], MATCH($D405, regions_ub[[setting]:[setting]],0), MATCH(AP$139, regions_ub[#Headers],0)),INDEX(lmic_raw_ub[],MATCH($A405,lmic_raw_ub[[setting]:[setting]],0), MATCH(AP$277, lmic_raw_ub[#Headers],0)))</f>
        <v>2.2907489107020011E-2</v>
      </c>
      <c r="AQ405" s="84">
        <f>IF(INDEX(lmic_raw_ub[],MATCH($A405,lmic_raw_ub[[setting]:[setting]],0), MATCH(AQ$277, lmic_raw_ub[#Headers],0))=0, INDEX(regions_ub[], MATCH($D405, regions_ub[[setting]:[setting]],0), MATCH(AQ$139, regions_ub[#Headers],0)),INDEX(lmic_raw_ub[],MATCH($A405,lmic_raw_ub[[setting]:[setting]],0), MATCH(AQ$277, lmic_raw_ub[#Headers],0)))</f>
        <v>3.3982377514585715E-2</v>
      </c>
      <c r="AR405" s="84">
        <f>IF(INDEX(lmic_raw_ub[],MATCH($A405,lmic_raw_ub[[setting]:[setting]],0), MATCH(AR$277, lmic_raw_ub[#Headers],0))=0, INDEX(regions_ub[], MATCH($D405, regions_ub[[setting]:[setting]],0), MATCH(AR$139, regions_ub[#Headers],0)),INDEX(lmic_raw_ub[],MATCH($A405,lmic_raw_ub[[setting]:[setting]],0), MATCH(AR$277, lmic_raw_ub[#Headers],0)))</f>
        <v>5.1220891420250783E-2</v>
      </c>
      <c r="AS405" s="84">
        <f>IF(INDEX(lmic_raw_ub[],MATCH($A405,lmic_raw_ub[[setting]:[setting]],0), MATCH(AS$277, lmic_raw_ub[#Headers],0))=0, INDEX(regions_ub[], MATCH($D405, regions_ub[[setting]:[setting]],0), MATCH(AS$139, regions_ub[#Headers],0)),INDEX(lmic_raw_ub[],MATCH($A405,lmic_raw_ub[[setting]:[setting]],0), MATCH(AS$277, lmic_raw_ub[#Headers],0)))</f>
        <v>7.6507650567858715E-2</v>
      </c>
      <c r="AT405" s="84">
        <f>IF(INDEX(lmic_raw_ub[],MATCH($A405,lmic_raw_ub[[setting]:[setting]],0), MATCH(AT$277, lmic_raw_ub[#Headers],0))=0, INDEX(regions_ub[], MATCH($D405, regions_ub[[setting]:[setting]],0), MATCH(AT$139, regions_ub[#Headers],0)),INDEX(lmic_raw_ub[],MATCH($A405,lmic_raw_ub[[setting]:[setting]],0), MATCH(AT$277, lmic_raw_ub[#Headers],0)))</f>
        <v>0.11268679073665458</v>
      </c>
      <c r="AU405" s="84">
        <f>IF(INDEX(lmic_raw_ub[],MATCH($A405,lmic_raw_ub[[setting]:[setting]],0), MATCH(AU$277, lmic_raw_ub[#Headers],0))=0, INDEX(regions_ub[], MATCH($D405, regions_ub[[setting]:[setting]],0), MATCH(AU$139, regions_ub[#Headers],0)),INDEX(lmic_raw_ub[],MATCH($A405,lmic_raw_ub[[setting]:[setting]],0), MATCH(AU$277, lmic_raw_ub[#Headers],0)))</f>
        <v>0.15416918264908602</v>
      </c>
      <c r="AV405" s="84">
        <f>IF(INDEX(lmic_raw_ub[],MATCH($A405,lmic_raw_ub[[setting]:[setting]],0), MATCH(AV$277, lmic_raw_ub[#Headers],0))=0, INDEX(regions_ub[], MATCH($D405, regions_ub[[setting]:[setting]],0), MATCH(AV$139, regions_ub[#Headers],0)),INDEX(lmic_raw_ub[],MATCH($A405,lmic_raw_ub[[setting]:[setting]],0), MATCH(AV$277, lmic_raw_ub[#Headers],0)))</f>
        <v>0.18755158761442361</v>
      </c>
      <c r="AW405" s="84">
        <f>IF(INDEX(lmic_raw_ub[],MATCH($A405,lmic_raw_ub[[setting]:[setting]],0), MATCH(AW$277, lmic_raw_ub[#Headers],0))=0, INDEX(regions_ub[], MATCH($D405, regions_ub[[setting]:[setting]],0), MATCH(AW$139, regions_ub[#Headers],0)),INDEX(lmic_raw_ub[],MATCH($A405,lmic_raw_ub[[setting]:[setting]],0), MATCH(AW$277, lmic_raw_ub[#Headers],0)))</f>
        <v>0.19840740152498701</v>
      </c>
      <c r="AX405" s="84">
        <f>IF(INDEX(lmic_raw_ub[],MATCH($A405,lmic_raw_ub[[setting]:[setting]],0), MATCH(AX$277, lmic_raw_ub[#Headers],0))=0, INDEX(regions_ub[], MATCH($D405, regions_ub[[setting]:[setting]],0), MATCH(AX$139, regions_ub[#Headers],0)),INDEX(lmic_raw_ub[],MATCH($A405,lmic_raw_ub[[setting]:[setting]],0), MATCH(AX$277, lmic_raw_ub[#Headers],0)))</f>
        <v>65.893799999999999</v>
      </c>
      <c r="AY405" s="33" t="str">
        <f>IF(VLOOKUP(lmics_ub[[#This Row],[setting]],lmic_raw_ub[],11,FALSE)=0, "Yes", "No")</f>
        <v>Yes</v>
      </c>
    </row>
    <row r="406" spans="1:51" x14ac:dyDescent="0.25">
      <c r="A406" s="109" t="s">
        <v>316</v>
      </c>
      <c r="B406" s="101" t="s">
        <v>532</v>
      </c>
      <c r="C406" s="102">
        <v>804</v>
      </c>
      <c r="D406" s="82" t="s">
        <v>675</v>
      </c>
      <c r="E406" s="82" t="s">
        <v>306</v>
      </c>
      <c r="F406" s="82" t="s">
        <v>663</v>
      </c>
      <c r="G406" s="82" t="s">
        <v>678</v>
      </c>
      <c r="J406" s="84">
        <f>IF(INDEX(lmic_raw_ub[],MATCH($A406,lmic_raw_ub[[setting]:[setting]],0), MATCH(J$277, lmic_raw_ub[#Headers],0))=0, INDEX(regions_ub[], MATCH($D406, regions_ub[[setting]:[setting]],0), MATCH(J$139, regions_ub[#Headers],0)),INDEX(lmic_raw_ub[],MATCH($A406,lmic_raw_ub[[setting]:[setting]],0), MATCH(J$277, lmic_raw_ub[#Headers],0)))</f>
        <v>0.99990000000000001</v>
      </c>
      <c r="K406" s="84">
        <f>IF(INDEX(lmic_raw_ub[],MATCH($A406,lmic_raw_ub[[setting]:[setting]],0), MATCH(K$277, lmic_raw_ub[#Headers],0))=0, INDEX(regions_ub[], MATCH($D406, regions_ub[[setting]:[setting]],0), MATCH(K$139, regions_ub[#Headers],0)),INDEX(lmic_raw_ub[],MATCH($A406,lmic_raw_ub[[setting]:[setting]],0), MATCH(K$277, lmic_raw_ub[#Headers],0)))</f>
        <v>0.63</v>
      </c>
      <c r="L406" s="84">
        <f>IF(INDEX(lmic_raw_ub[],MATCH($A406,lmic_raw_ub[[setting]:[setting]],0), MATCH(L$277, lmic_raw_ub[#Headers],0))=0, INDEX(regions_ub[], MATCH($D406, regions_ub[[setting]:[setting]],0), MATCH(L$139, regions_ub[#Headers],0)),INDEX(lmic_raw_ub[],MATCH($A406,lmic_raw_ub[[setting]:[setting]],0), MATCH(L$277, lmic_raw_ub[#Headers],0)))</f>
        <v>0.79800000000000004</v>
      </c>
      <c r="M406" s="84">
        <f>IF(INDEX(lmic_raw_ub[],MATCH($A406,lmic_raw_ub[[setting]:[setting]],0), MATCH(M$277, lmic_raw_ub[#Headers],0))=0, INDEX(regions_ub[], MATCH($D406, regions_ub[[setting]:[setting]],0), MATCH(M$139, regions_ub[#Headers],0)),INDEX(lmic_raw_ub[],MATCH($A406,lmic_raw_ub[[setting]:[setting]],0), MATCH(M$277, lmic_raw_ub[#Headers],0)))</f>
        <v>1.6799999999999999E-2</v>
      </c>
      <c r="N406" s="84">
        <f>IF(INDEX(lmic_raw_ub[],MATCH($A406,lmic_raw_ub[[setting]:[setting]],0), MATCH(N$277, lmic_raw_ub[#Headers],0))=0, INDEX(regions_ub[], MATCH($D406, regions_ub[[setting]:[setting]],0), MATCH(N$139, regions_ub[#Headers],0)),INDEX(lmic_raw_ub[],MATCH($A406,lmic_raw_ub[[setting]:[setting]],0), MATCH(N$277, lmic_raw_ub[#Headers],0)))</f>
        <v>0.42969999999999997</v>
      </c>
      <c r="O406" s="84">
        <f>IF(INDEX(lmic_raw_ub[],MATCH($A406,lmic_raw_ub[[setting]:[setting]],0), MATCH(O$277, lmic_raw_ub[#Headers],0))=0, INDEX(regions_ub[], MATCH($D406, regions_ub[[setting]:[setting]],0), MATCH(O$139, regions_ub[#Headers],0)),INDEX(lmic_raw_ub[],MATCH($A406,lmic_raw_ub[[setting]:[setting]],0), MATCH(O$277, lmic_raw_ub[#Headers],0)))</f>
        <v>0.9</v>
      </c>
      <c r="P406" s="84">
        <f>IF(INDEX(lmic_raw_ub[],MATCH($A406,lmic_raw_ub[[setting]:[setting]],0), MATCH(P$277, lmic_raw_ub[#Headers],0))=0, INDEX(regions_ub[], MATCH($D406, regions_ub[[setting]:[setting]],0), MATCH(P$139, regions_ub[#Headers],0)),INDEX(lmic_raw_ub[],MATCH($A406,lmic_raw_ub[[setting]:[setting]],0), MATCH(P$277, lmic_raw_ub[#Headers],0)))</f>
        <v>0.3</v>
      </c>
      <c r="Q406" s="84">
        <f>IF(INDEX(lmic_raw_ub[],MATCH($A406,lmic_raw_ub[[setting]:[setting]],0), MATCH(Q$277, lmic_raw_ub[#Headers],0))=0, INDEX(regions_ub[], MATCH($D406, regions_ub[[setting]:[setting]],0), MATCH(Q$139, regions_ub[#Headers],0)),INDEX(lmic_raw_ub[],MATCH($A406,lmic_raw_ub[[setting]:[setting]],0), MATCH(Q$277, lmic_raw_ub[#Headers],0)))</f>
        <v>6.6296282620558982</v>
      </c>
      <c r="R406" s="84">
        <f>IF(INDEX(lmic_raw_ub[],MATCH($A406,lmic_raw_ub[[setting]:[setting]],0), MATCH(R$277, lmic_raw_ub[#Headers],0))=0, INDEX(regions_ub[], MATCH($D406, regions_ub[[setting]:[setting]],0), MATCH(R$139, regions_ub[#Headers],0)),INDEX(lmic_raw_ub[],MATCH($A406,lmic_raw_ub[[setting]:[setting]],0), MATCH(R$277, lmic_raw_ub[#Headers],0)))</f>
        <v>46.76427000000001</v>
      </c>
      <c r="S406" s="84">
        <f>IF(INDEX(lmic_raw_ub[],MATCH($A406,lmic_raw_ub[[setting]:[setting]],0), MATCH(S$277, lmic_raw_ub[#Headers],0))=0, INDEX(regions_ub[], MATCH($D406, regions_ub[[setting]:[setting]],0), MATCH(S$139, regions_ub[#Headers],0)),INDEX(lmic_raw_ub[],MATCH($A406,lmic_raw_ub[[setting]:[setting]],0), MATCH(S$277, lmic_raw_ub[#Headers],0)))</f>
        <v>96.893370000000019</v>
      </c>
      <c r="T406" s="84">
        <f>IF(INDEX(lmic_raw_ub[],MATCH($A406,lmic_raw_ub[[setting]:[setting]],0), MATCH(T$277, lmic_raw_ub[#Headers],0))=0, INDEX(regions_ub[], MATCH($D406, regions_ub[[setting]:[setting]],0), MATCH(T$139, regions_ub[#Headers],0)),INDEX(lmic_raw_ub[],MATCH($A406,lmic_raw_ub[[setting]:[setting]],0), MATCH(T$277, lmic_raw_ub[#Headers],0)))</f>
        <v>96.893370000000019</v>
      </c>
      <c r="U406" s="84">
        <f>IF(INDEX(lmic_raw_ub[],MATCH($A406,lmic_raw_ub[[setting]:[setting]],0), MATCH(U$277, lmic_raw_ub[#Headers],0))=0, INDEX(regions_ub[], MATCH($D406, regions_ub[[setting]:[setting]],0), MATCH(U$139, regions_ub[#Headers],0)),INDEX(lmic_raw_ub[],MATCH($A406,lmic_raw_ub[[setting]:[setting]],0), MATCH(U$277, lmic_raw_ub[#Headers],0)))</f>
        <v>96.893370000000019</v>
      </c>
      <c r="V406" s="84">
        <f>IF(INDEX(lmic_raw_ub[],MATCH($A406,lmic_raw_ub[[setting]:[setting]],0), MATCH(V$277, lmic_raw_ub[#Headers],0))=0, INDEX(regions_ub[], MATCH($D406, regions_ub[[setting]:[setting]],0), MATCH(V$139, regions_ub[#Headers],0)),INDEX(lmic_raw_ub[],MATCH($A406,lmic_raw_ub[[setting]:[setting]],0), MATCH(V$277, lmic_raw_ub[#Headers],0)))</f>
        <v>3.3355459961433342</v>
      </c>
      <c r="W406" s="84">
        <f>IF(INDEX(lmic_raw_ub[],MATCH($A406,lmic_raw_ub[[setting]:[setting]],0), MATCH(W$277, lmic_raw_ub[#Headers],0))=0, INDEX(regions_ub[], MATCH($D406, regions_ub[[setting]:[setting]],0), MATCH(W$139, regions_ub[#Headers],0)),INDEX(lmic_raw_ub[],MATCH($A406,lmic_raw_ub[[setting]:[setting]],0), MATCH(W$277, lmic_raw_ub[#Headers],0)))</f>
        <v>7.6045309961433354</v>
      </c>
      <c r="X406" s="84">
        <f>IF(INDEX(lmic_raw_ub[],MATCH($A406,lmic_raw_ub[[setting]:[setting]],0), MATCH(X$277, lmic_raw_ub[#Headers],0))=0, INDEX(regions_ub[], MATCH($D406, regions_ub[[setting]:[setting]],0), MATCH(X$139, regions_ub[#Headers],0)),INDEX(lmic_raw_ub[],MATCH($A406,lmic_raw_ub[[setting]:[setting]],0), MATCH(X$277, lmic_raw_ub[#Headers],0)))</f>
        <v>2.8109822671387241</v>
      </c>
      <c r="Y406" s="84">
        <f>IF(INDEX(lmic_raw_ub[],MATCH($A406,lmic_raw_ub[[setting]:[setting]],0), MATCH(Y$277, lmic_raw_ub[#Headers],0))=0, INDEX(regions_ub[], MATCH($D406, regions_ub[[setting]:[setting]],0), MATCH(Y$139, regions_ub[#Headers],0)),INDEX(lmic_raw_ub[],MATCH($A406,lmic_raw_ub[[setting]:[setting]],0), MATCH(Y$277, lmic_raw_ub[#Headers],0)))</f>
        <v>7.0799672671387253</v>
      </c>
      <c r="Z406" s="84">
        <f>IF(INDEX(lmic_raw_ub[],MATCH($A406,lmic_raw_ub[[setting]:[setting]],0), MATCH(Z$277, lmic_raw_ub[#Headers],0))=0, INDEX(regions_ub[], MATCH($D406, regions_ub[[setting]:[setting]],0), MATCH(Z$139, regions_ub[#Headers],0)),INDEX(lmic_raw_ub[],MATCH($A406,lmic_raw_ub[[setting]:[setting]],0), MATCH(Z$277, lmic_raw_ub[#Headers],0)))</f>
        <v>7.0564889356466294</v>
      </c>
      <c r="AA406" s="84">
        <f>IF(INDEX(lmic_raw_ub[],MATCH($A406,lmic_raw_ub[[setting]:[setting]],0), MATCH(AA$277, lmic_raw_ub[#Headers],0))=0, INDEX(regions_ub[], MATCH($D406, regions_ub[[setting]:[setting]],0), MATCH(AA$139, regions_ub[#Headers],0)),INDEX(lmic_raw_ub[],MATCH($A406,lmic_raw_ub[[setting]:[setting]],0), MATCH(AA$277, lmic_raw_ub[#Headers],0)))</f>
        <v>3.6106931892482086</v>
      </c>
      <c r="AB406" s="84">
        <f>IF(INDEX(lmic_raw_ub[],MATCH($A406,lmic_raw_ub[[setting]:[setting]],0), MATCH(AB$277, lmic_raw_ub[#Headers],0))=0, INDEX(regions_ub[], MATCH($D406, regions_ub[[setting]:[setting]],0), MATCH(AB$139, regions_ub[#Headers],0)),INDEX(lmic_raw_ub[],MATCH($A406,lmic_raw_ub[[setting]:[setting]],0), MATCH(AB$277, lmic_raw_ub[#Headers],0)))</f>
        <v>7.8796781892482093</v>
      </c>
      <c r="AC406" s="84">
        <f>IF(INDEX(lmic_raw_ub[],MATCH($A406,lmic_raw_ub[[setting]:[setting]],0), MATCH(AC$277, lmic_raw_ub[#Headers],0))=0, INDEX(regions_ub[], MATCH($D406, regions_ub[[setting]:[setting]],0), MATCH(AC$139, regions_ub[#Headers],0)),INDEX(lmic_raw_ub[],MATCH($A406,lmic_raw_ub[[setting]:[setting]],0), MATCH(AC$277, lmic_raw_ub[#Headers],0)))</f>
        <v>7.5587609999999772E-3</v>
      </c>
      <c r="AD406" s="84">
        <f>IF(INDEX(lmic_raw_ub[],MATCH($A406,lmic_raw_ub[[setting]:[setting]],0), MATCH(AD$277, lmic_raw_ub[#Headers],0))=0, INDEX(regions_ub[], MATCH($D406, regions_ub[[setting]:[setting]],0), MATCH(AD$139, regions_ub[#Headers],0)),INDEX(lmic_raw_ub[],MATCH($A406,lmic_raw_ub[[setting]:[setting]],0), MATCH(AD$277, lmic_raw_ub[#Headers],0)))</f>
        <v>3.6335900608016778E-4</v>
      </c>
      <c r="AE406" s="84">
        <f>IF(INDEX(lmic_raw_ub[],MATCH($A406,lmic_raw_ub[[setting]:[setting]],0), MATCH(AE$277, lmic_raw_ub[#Headers],0))=0, INDEX(regions_ub[], MATCH($D406, regions_ub[[setting]:[setting]],0), MATCH(AE$139, regions_ub[#Headers],0)),INDEX(lmic_raw_ub[],MATCH($A406,lmic_raw_ub[[setting]:[setting]],0), MATCH(AE$277, lmic_raw_ub[#Headers],0)))</f>
        <v>2.1406751795683416E-4</v>
      </c>
      <c r="AF406" s="84">
        <f>IF(INDEX(lmic_raw_ub[],MATCH($A406,lmic_raw_ub[[setting]:[setting]],0), MATCH(AF$277, lmic_raw_ub[#Headers],0))=0, INDEX(regions_ub[], MATCH($D406, regions_ub[[setting]:[setting]],0), MATCH(AF$139, regions_ub[#Headers],0)),INDEX(lmic_raw_ub[],MATCH($A406,lmic_raw_ub[[setting]:[setting]],0), MATCH(AF$277, lmic_raw_ub[#Headers],0)))</f>
        <v>2.6244691512495612E-4</v>
      </c>
      <c r="AG406" s="84">
        <f>IF(INDEX(lmic_raw_ub[],MATCH($A406,lmic_raw_ub[[setting]:[setting]],0), MATCH(AG$277, lmic_raw_ub[#Headers],0))=0, INDEX(regions_ub[], MATCH($D406, regions_ub[[setting]:[setting]],0), MATCH(AG$139, regions_ub[#Headers],0)),INDEX(lmic_raw_ub[],MATCH($A406,lmic_raw_ub[[setting]:[setting]],0), MATCH(AG$277, lmic_raw_ub[#Headers],0)))</f>
        <v>5.1894394148387947E-4</v>
      </c>
      <c r="AH406" s="84">
        <f>IF(INDEX(lmic_raw_ub[],MATCH($A406,lmic_raw_ub[[setting]:[setting]],0), MATCH(AH$277, lmic_raw_ub[#Headers],0))=0, INDEX(regions_ub[], MATCH($D406, regions_ub[[setting]:[setting]],0), MATCH(AH$139, regions_ub[#Headers],0)),INDEX(lmic_raw_ub[],MATCH($A406,lmic_raw_ub[[setting]:[setting]],0), MATCH(AH$277, lmic_raw_ub[#Headers],0)))</f>
        <v>9.5950317314462158E-4</v>
      </c>
      <c r="AI406" s="84">
        <f>IF(INDEX(lmic_raw_ub[],MATCH($A406,lmic_raw_ub[[setting]:[setting]],0), MATCH(AI$277, lmic_raw_ub[#Headers],0))=0, INDEX(regions_ub[], MATCH($D406, regions_ub[[setting]:[setting]],0), MATCH(AI$139, regions_ub[#Headers],0)),INDEX(lmic_raw_ub[],MATCH($A406,lmic_raw_ub[[setting]:[setting]],0), MATCH(AI$277, lmic_raw_ub[#Headers],0)))</f>
        <v>1.5578740995004551E-3</v>
      </c>
      <c r="AJ406" s="84">
        <f>IF(INDEX(lmic_raw_ub[],MATCH($A406,lmic_raw_ub[[setting]:[setting]],0), MATCH(AJ$277, lmic_raw_ub[#Headers],0))=0, INDEX(regions_ub[], MATCH($D406, regions_ub[[setting]:[setting]],0), MATCH(AJ$139, regions_ub[#Headers],0)),INDEX(lmic_raw_ub[],MATCH($A406,lmic_raw_ub[[setting]:[setting]],0), MATCH(AJ$277, lmic_raw_ub[#Headers],0)))</f>
        <v>2.6644268412017525E-3</v>
      </c>
      <c r="AK406" s="84">
        <f>IF(INDEX(lmic_raw_ub[],MATCH($A406,lmic_raw_ub[[setting]:[setting]],0), MATCH(AK$277, lmic_raw_ub[#Headers],0))=0, INDEX(regions_ub[], MATCH($D406, regions_ub[[setting]:[setting]],0), MATCH(AK$139, regions_ub[#Headers],0)),INDEX(lmic_raw_ub[],MATCH($A406,lmic_raw_ub[[setting]:[setting]],0), MATCH(AK$277, lmic_raw_ub[#Headers],0)))</f>
        <v>3.6989977490243593E-3</v>
      </c>
      <c r="AL406" s="84">
        <f>IF(INDEX(lmic_raw_ub[],MATCH($A406,lmic_raw_ub[[setting]:[setting]],0), MATCH(AL$277, lmic_raw_ub[#Headers],0))=0, INDEX(regions_ub[], MATCH($D406, regions_ub[[setting]:[setting]],0), MATCH(AL$139, regions_ub[#Headers],0)),INDEX(lmic_raw_ub[],MATCH($A406,lmic_raw_ub[[setting]:[setting]],0), MATCH(AL$277, lmic_raw_ub[#Headers],0)))</f>
        <v>4.765431005740276E-3</v>
      </c>
      <c r="AM406" s="84">
        <f>IF(INDEX(lmic_raw_ub[],MATCH($A406,lmic_raw_ub[[setting]:[setting]],0), MATCH(AM$277, lmic_raw_ub[#Headers],0))=0, INDEX(regions_ub[], MATCH($D406, regions_ub[[setting]:[setting]],0), MATCH(AM$139, regions_ub[#Headers],0)),INDEX(lmic_raw_ub[],MATCH($A406,lmic_raw_ub[[setting]:[setting]],0), MATCH(AM$277, lmic_raw_ub[#Headers],0)))</f>
        <v>6.4904069111972572E-3</v>
      </c>
      <c r="AN406" s="84">
        <f>IF(INDEX(lmic_raw_ub[],MATCH($A406,lmic_raw_ub[[setting]:[setting]],0), MATCH(AN$277, lmic_raw_ub[#Headers],0))=0, INDEX(regions_ub[], MATCH($D406, regions_ub[[setting]:[setting]],0), MATCH(AN$139, regions_ub[#Headers],0)),INDEX(lmic_raw_ub[],MATCH($A406,lmic_raw_ub[[setting]:[setting]],0), MATCH(AN$277, lmic_raw_ub[#Headers],0)))</f>
        <v>9.172542854913859E-3</v>
      </c>
      <c r="AO406" s="84">
        <f>IF(INDEX(lmic_raw_ub[],MATCH($A406,lmic_raw_ub[[setting]:[setting]],0), MATCH(AO$277, lmic_raw_ub[#Headers],0))=0, INDEX(regions_ub[], MATCH($D406, regions_ub[[setting]:[setting]],0), MATCH(AO$139, regions_ub[#Headers],0)),INDEX(lmic_raw_ub[],MATCH($A406,lmic_raw_ub[[setting]:[setting]],0), MATCH(AO$277, lmic_raw_ub[#Headers],0)))</f>
        <v>1.325507340314265E-2</v>
      </c>
      <c r="AP406" s="84">
        <f>IF(INDEX(lmic_raw_ub[],MATCH($A406,lmic_raw_ub[[setting]:[setting]],0), MATCH(AP$277, lmic_raw_ub[#Headers],0))=0, INDEX(regions_ub[], MATCH($D406, regions_ub[[setting]:[setting]],0), MATCH(AP$139, regions_ub[#Headers],0)),INDEX(lmic_raw_ub[],MATCH($A406,lmic_raw_ub[[setting]:[setting]],0), MATCH(AP$277, lmic_raw_ub[#Headers],0)))</f>
        <v>1.9293725577545148E-2</v>
      </c>
      <c r="AQ406" s="84">
        <f>IF(INDEX(lmic_raw_ub[],MATCH($A406,lmic_raw_ub[[setting]:[setting]],0), MATCH(AQ$277, lmic_raw_ub[#Headers],0))=0, INDEX(regions_ub[], MATCH($D406, regions_ub[[setting]:[setting]],0), MATCH(AQ$139, regions_ub[#Headers],0)),INDEX(lmic_raw_ub[],MATCH($A406,lmic_raw_ub[[setting]:[setting]],0), MATCH(AQ$277, lmic_raw_ub[#Headers],0)))</f>
        <v>2.6331248262213926E-2</v>
      </c>
      <c r="AR406" s="84">
        <f>IF(INDEX(lmic_raw_ub[],MATCH($A406,lmic_raw_ub[[setting]:[setting]],0), MATCH(AR$277, lmic_raw_ub[#Headers],0))=0, INDEX(regions_ub[], MATCH($D406, regions_ub[[setting]:[setting]],0), MATCH(AR$139, regions_ub[#Headers],0)),INDEX(lmic_raw_ub[],MATCH($A406,lmic_raw_ub[[setting]:[setting]],0), MATCH(AR$277, lmic_raw_ub[#Headers],0)))</f>
        <v>4.0520347863023984E-2</v>
      </c>
      <c r="AS406" s="84">
        <f>IF(INDEX(lmic_raw_ub[],MATCH($A406,lmic_raw_ub[[setting]:[setting]],0), MATCH(AS$277, lmic_raw_ub[#Headers],0))=0, INDEX(regions_ub[], MATCH($D406, regions_ub[[setting]:[setting]],0), MATCH(AS$139, regions_ub[#Headers],0)),INDEX(lmic_raw_ub[],MATCH($A406,lmic_raw_ub[[setting]:[setting]],0), MATCH(AS$277, lmic_raw_ub[#Headers],0)))</f>
        <v>6.1354030649551729E-2</v>
      </c>
      <c r="AT406" s="84">
        <f>IF(INDEX(lmic_raw_ub[],MATCH($A406,lmic_raw_ub[[setting]:[setting]],0), MATCH(AT$277, lmic_raw_ub[#Headers],0))=0, INDEX(regions_ub[], MATCH($D406, regions_ub[[setting]:[setting]],0), MATCH(AT$139, regions_ub[#Headers],0)),INDEX(lmic_raw_ub[],MATCH($A406,lmic_raw_ub[[setting]:[setting]],0), MATCH(AT$277, lmic_raw_ub[#Headers],0)))</f>
        <v>8.9315477966005627E-2</v>
      </c>
      <c r="AU406" s="84">
        <f>IF(INDEX(lmic_raw_ub[],MATCH($A406,lmic_raw_ub[[setting]:[setting]],0), MATCH(AU$277, lmic_raw_ub[#Headers],0))=0, INDEX(regions_ub[], MATCH($D406, regions_ub[[setting]:[setting]],0), MATCH(AU$139, regions_ub[#Headers],0)),INDEX(lmic_raw_ub[],MATCH($A406,lmic_raw_ub[[setting]:[setting]],0), MATCH(AU$277, lmic_raw_ub[#Headers],0)))</f>
        <v>0.12288145145009466</v>
      </c>
      <c r="AV406" s="84">
        <f>IF(INDEX(lmic_raw_ub[],MATCH($A406,lmic_raw_ub[[setting]:[setting]],0), MATCH(AV$277, lmic_raw_ub[#Headers],0))=0, INDEX(regions_ub[], MATCH($D406, regions_ub[[setting]:[setting]],0), MATCH(AV$139, regions_ub[#Headers],0)),INDEX(lmic_raw_ub[],MATCH($A406,lmic_raw_ub[[setting]:[setting]],0), MATCH(AV$277, lmic_raw_ub[#Headers],0)))</f>
        <v>0.15710091034937113</v>
      </c>
      <c r="AW406" s="84">
        <f>IF(INDEX(lmic_raw_ub[],MATCH($A406,lmic_raw_ub[[setting]:[setting]],0), MATCH(AW$277, lmic_raw_ub[#Headers],0))=0, INDEX(regions_ub[], MATCH($D406, regions_ub[[setting]:[setting]],0), MATCH(AW$139, regions_ub[#Headers],0)),INDEX(lmic_raw_ub[],MATCH($A406,lmic_raw_ub[[setting]:[setting]],0), MATCH(AW$277, lmic_raw_ub[#Headers],0)))</f>
        <v>0.18230986599273061</v>
      </c>
      <c r="AX406" s="84">
        <f>IF(INDEX(lmic_raw_ub[],MATCH($A406,lmic_raw_ub[[setting]:[setting]],0), MATCH(AX$277, lmic_raw_ub[#Headers],0))=0, INDEX(regions_ub[], MATCH($D406, regions_ub[[setting]:[setting]],0), MATCH(AX$139, regions_ub[#Headers],0)),INDEX(lmic_raw_ub[],MATCH($A406,lmic_raw_ub[[setting]:[setting]],0), MATCH(AX$277, lmic_raw_ub[#Headers],0)))</f>
        <v>75.409950000000009</v>
      </c>
      <c r="AY406" s="33" t="str">
        <f>IF(VLOOKUP(lmics_ub[[#This Row],[setting]],lmic_raw_ub[],11,FALSE)=0, "Yes", "No")</f>
        <v>No</v>
      </c>
    </row>
    <row r="407" spans="1:51" x14ac:dyDescent="0.25">
      <c r="A407" s="110" t="s">
        <v>189</v>
      </c>
      <c r="B407" s="104" t="s">
        <v>536</v>
      </c>
      <c r="C407" s="105">
        <v>860</v>
      </c>
      <c r="D407" s="84" t="s">
        <v>675</v>
      </c>
      <c r="E407" s="84" t="s">
        <v>184</v>
      </c>
      <c r="F407" s="84" t="s">
        <v>663</v>
      </c>
      <c r="G407" s="84" t="s">
        <v>678</v>
      </c>
      <c r="J407" s="84">
        <f>IF(INDEX(lmic_raw_ub[],MATCH($A407,lmic_raw_ub[[setting]:[setting]],0), MATCH(J$277, lmic_raw_ub[#Headers],0))=0, INDEX(regions_ub[], MATCH($D407, regions_ub[[setting]:[setting]],0), MATCH(J$139, regions_ub[#Headers],0)),INDEX(lmic_raw_ub[],MATCH($A407,lmic_raw_ub[[setting]:[setting]],0), MATCH(J$277, lmic_raw_ub[#Headers],0)))</f>
        <v>0.99990000000000001</v>
      </c>
      <c r="K407" s="84">
        <f>IF(INDEX(lmic_raw_ub[],MATCH($A407,lmic_raw_ub[[setting]:[setting]],0), MATCH(K$277, lmic_raw_ub[#Headers],0))=0, INDEX(regions_ub[], MATCH($D407, regions_ub[[setting]:[setting]],0), MATCH(K$139, regions_ub[#Headers],0)),INDEX(lmic_raw_ub[],MATCH($A407,lmic_raw_ub[[setting]:[setting]],0), MATCH(K$277, lmic_raw_ub[#Headers],0)))</f>
        <v>0.99990000000000001</v>
      </c>
      <c r="L407" s="84">
        <f>IF(INDEX(lmic_raw_ub[],MATCH($A407,lmic_raw_ub[[setting]:[setting]],0), MATCH(L$277, lmic_raw_ub[#Headers],0))=0, INDEX(regions_ub[], MATCH($D407, regions_ub[[setting]:[setting]],0), MATCH(L$139, regions_ub[#Headers],0)),INDEX(lmic_raw_ub[],MATCH($A407,lmic_raw_ub[[setting]:[setting]],0), MATCH(L$277, lmic_raw_ub[#Headers],0)))</f>
        <v>0.99990000000000001</v>
      </c>
      <c r="M407" s="84">
        <f>IF(INDEX(lmic_raw_ub[],MATCH($A407,lmic_raw_ub[[setting]:[setting]],0), MATCH(M$277, lmic_raw_ub[#Headers],0))=0, INDEX(regions_ub[], MATCH($D407, regions_ub[[setting]:[setting]],0), MATCH(M$139, regions_ub[#Headers],0)),INDEX(lmic_raw_ub[],MATCH($A407,lmic_raw_ub[[setting]:[setting]],0), MATCH(M$277, lmic_raw_ub[#Headers],0)))</f>
        <v>6.4100000000000004E-2</v>
      </c>
      <c r="N407" s="84">
        <f>IF(INDEX(lmic_raw_ub[],MATCH($A407,lmic_raw_ub[[setting]:[setting]],0), MATCH(N$277, lmic_raw_ub[#Headers],0))=0, INDEX(regions_ub[], MATCH($D407, regions_ub[[setting]:[setting]],0), MATCH(N$139, regions_ub[#Headers],0)),INDEX(lmic_raw_ub[],MATCH($A407,lmic_raw_ub[[setting]:[setting]],0), MATCH(N$277, lmic_raw_ub[#Headers],0)))</f>
        <v>0.43079999999999996</v>
      </c>
      <c r="O407" s="84">
        <f>IF(INDEX(lmic_raw_ub[],MATCH($A407,lmic_raw_ub[[setting]:[setting]],0), MATCH(O$277, lmic_raw_ub[#Headers],0))=0, INDEX(regions_ub[], MATCH($D407, regions_ub[[setting]:[setting]],0), MATCH(O$139, regions_ub[#Headers],0)),INDEX(lmic_raw_ub[],MATCH($A407,lmic_raw_ub[[setting]:[setting]],0), MATCH(O$277, lmic_raw_ub[#Headers],0)))</f>
        <v>0.9</v>
      </c>
      <c r="P407" s="84">
        <f>IF(INDEX(lmic_raw_ub[],MATCH($A407,lmic_raw_ub[[setting]:[setting]],0), MATCH(P$277, lmic_raw_ub[#Headers],0))=0, INDEX(regions_ub[], MATCH($D407, regions_ub[[setting]:[setting]],0), MATCH(P$139, regions_ub[#Headers],0)),INDEX(lmic_raw_ub[],MATCH($A407,lmic_raw_ub[[setting]:[setting]],0), MATCH(P$277, lmic_raw_ub[#Headers],0)))</f>
        <v>0.3</v>
      </c>
      <c r="Q407" s="84">
        <f>IF(INDEX(lmic_raw_ub[],MATCH($A407,lmic_raw_ub[[setting]:[setting]],0), MATCH(Q$277, lmic_raw_ub[#Headers],0))=0, INDEX(regions_ub[], MATCH($D407, regions_ub[[setting]:[setting]],0), MATCH(Q$139, regions_ub[#Headers],0)),INDEX(lmic_raw_ub[],MATCH($A407,lmic_raw_ub[[setting]:[setting]],0), MATCH(Q$277, lmic_raw_ub[#Headers],0)))</f>
        <v>4.037427707609897</v>
      </c>
      <c r="R407" s="84">
        <f>IF(INDEX(lmic_raw_ub[],MATCH($A407,lmic_raw_ub[[setting]:[setting]],0), MATCH(R$277, lmic_raw_ub[#Headers],0))=0, INDEX(regions_ub[], MATCH($D407, regions_ub[[setting]:[setting]],0), MATCH(R$139, regions_ub[#Headers],0)),INDEX(lmic_raw_ub[],MATCH($A407,lmic_raw_ub[[setting]:[setting]],0), MATCH(R$277, lmic_raw_ub[#Headers],0)))</f>
        <v>46.76427000000001</v>
      </c>
      <c r="S407" s="84">
        <f>IF(INDEX(lmic_raw_ub[],MATCH($A407,lmic_raw_ub[[setting]:[setting]],0), MATCH(S$277, lmic_raw_ub[#Headers],0))=0, INDEX(regions_ub[], MATCH($D407, regions_ub[[setting]:[setting]],0), MATCH(S$139, regions_ub[#Headers],0)),INDEX(lmic_raw_ub[],MATCH($A407,lmic_raw_ub[[setting]:[setting]],0), MATCH(S$277, lmic_raw_ub[#Headers],0)))</f>
        <v>96.893370000000019</v>
      </c>
      <c r="T407" s="84">
        <f>IF(INDEX(lmic_raw_ub[],MATCH($A407,lmic_raw_ub[[setting]:[setting]],0), MATCH(T$277, lmic_raw_ub[#Headers],0))=0, INDEX(regions_ub[], MATCH($D407, regions_ub[[setting]:[setting]],0), MATCH(T$139, regions_ub[#Headers],0)),INDEX(lmic_raw_ub[],MATCH($A407,lmic_raw_ub[[setting]:[setting]],0), MATCH(T$277, lmic_raw_ub[#Headers],0)))</f>
        <v>96.893370000000019</v>
      </c>
      <c r="U407" s="84">
        <f>IF(INDEX(lmic_raw_ub[],MATCH($A407,lmic_raw_ub[[setting]:[setting]],0), MATCH(U$277, lmic_raw_ub[#Headers],0))=0, INDEX(regions_ub[], MATCH($D407, regions_ub[[setting]:[setting]],0), MATCH(U$139, regions_ub[#Headers],0)),INDEX(lmic_raw_ub[],MATCH($A407,lmic_raw_ub[[setting]:[setting]],0), MATCH(U$277, lmic_raw_ub[#Headers],0)))</f>
        <v>96.893370000000019</v>
      </c>
      <c r="V407" s="84">
        <f>IF(INDEX(lmic_raw_ub[],MATCH($A407,lmic_raw_ub[[setting]:[setting]],0), MATCH(V$277, lmic_raw_ub[#Headers],0))=0, INDEX(regions_ub[], MATCH($D407, regions_ub[[setting]:[setting]],0), MATCH(V$139, regions_ub[#Headers],0)),INDEX(lmic_raw_ub[],MATCH($A407,lmic_raw_ub[[setting]:[setting]],0), MATCH(V$277, lmic_raw_ub[#Headers],0)))</f>
        <v>6.6436328332326262</v>
      </c>
      <c r="W407" s="84">
        <f>IF(INDEX(lmic_raw_ub[],MATCH($A407,lmic_raw_ub[[setting]:[setting]],0), MATCH(W$277, lmic_raw_ub[#Headers],0))=0, INDEX(regions_ub[], MATCH($D407, regions_ub[[setting]:[setting]],0), MATCH(W$139, regions_ub[#Headers],0)),INDEX(lmic_raw_ub[],MATCH($A407,lmic_raw_ub[[setting]:[setting]],0), MATCH(W$277, lmic_raw_ub[#Headers],0)))</f>
        <v>10.912617833232627</v>
      </c>
      <c r="X407" s="84">
        <f>IF(INDEX(lmic_raw_ub[],MATCH($A407,lmic_raw_ub[[setting]:[setting]],0), MATCH(X$277, lmic_raw_ub[#Headers],0))=0, INDEX(regions_ub[], MATCH($D407, regions_ub[[setting]:[setting]],0), MATCH(X$139, regions_ub[#Headers],0)),INDEX(lmic_raw_ub[],MATCH($A407,lmic_raw_ub[[setting]:[setting]],0), MATCH(X$277, lmic_raw_ub[#Headers],0)))</f>
        <v>6.1413920947361298</v>
      </c>
      <c r="Y407" s="84">
        <f>IF(INDEX(lmic_raw_ub[],MATCH($A407,lmic_raw_ub[[setting]:[setting]],0), MATCH(Y$277, lmic_raw_ub[#Headers],0))=0, INDEX(regions_ub[], MATCH($D407, regions_ub[[setting]:[setting]],0), MATCH(Y$139, regions_ub[#Headers],0)),INDEX(lmic_raw_ub[],MATCH($A407,lmic_raw_ub[[setting]:[setting]],0), MATCH(Y$277, lmic_raw_ub[#Headers],0)))</f>
        <v>10.41037709473613</v>
      </c>
      <c r="Z407" s="84">
        <f>IF(INDEX(lmic_raw_ub[],MATCH($A407,lmic_raw_ub[[setting]:[setting]],0), MATCH(Z$277, lmic_raw_ub[#Headers],0))=0, INDEX(regions_ub[], MATCH($D407, regions_ub[[setting]:[setting]],0), MATCH(Z$139, regions_ub[#Headers],0)),INDEX(lmic_raw_ub[],MATCH($A407,lmic_raw_ub[[setting]:[setting]],0), MATCH(Z$277, lmic_raw_ub[#Headers],0)))</f>
        <v>10.39996160099566</v>
      </c>
      <c r="AA407" s="84">
        <f>IF(INDEX(lmic_raw_ub[],MATCH($A407,lmic_raw_ub[[setting]:[setting]],0), MATCH(AA$277, lmic_raw_ub[#Headers],0))=0, INDEX(regions_ub[], MATCH($D407, regions_ub[[setting]:[setting]],0), MATCH(AA$139, regions_ub[#Headers],0)),INDEX(lmic_raw_ub[],MATCH($A407,lmic_raw_ub[[setting]:[setting]],0), MATCH(AA$277, lmic_raw_ub[#Headers],0)))</f>
        <v>6.9137128444430198</v>
      </c>
      <c r="AB407" s="84">
        <f>IF(INDEX(lmic_raw_ub[],MATCH($A407,lmic_raw_ub[[setting]:[setting]],0), MATCH(AB$277, lmic_raw_ub[#Headers],0))=0, INDEX(regions_ub[], MATCH($D407, regions_ub[[setting]:[setting]],0), MATCH(AB$139, regions_ub[#Headers],0)),INDEX(lmic_raw_ub[],MATCH($A407,lmic_raw_ub[[setting]:[setting]],0), MATCH(AB$277, lmic_raw_ub[#Headers],0)))</f>
        <v>11.18269784444302</v>
      </c>
      <c r="AC407" s="84">
        <f>IF(INDEX(lmic_raw_ub[],MATCH($A407,lmic_raw_ub[[setting]:[setting]],0), MATCH(AC$277, lmic_raw_ub[#Headers],0))=0, INDEX(regions_ub[], MATCH($D407, regions_ub[[setting]:[setting]],0), MATCH(AC$139, regions_ub[#Headers],0)),INDEX(lmic_raw_ub[],MATCH($A407,lmic_raw_ub[[setting]:[setting]],0), MATCH(AC$277, lmic_raw_ub[#Headers],0)))</f>
        <v>2.1877243500000063E-2</v>
      </c>
      <c r="AD407" s="84">
        <f>IF(INDEX(lmic_raw_ub[],MATCH($A407,lmic_raw_ub[[setting]:[setting]],0), MATCH(AD$277, lmic_raw_ub[#Headers],0))=0, INDEX(regions_ub[], MATCH($D407, regions_ub[[setting]:[setting]],0), MATCH(AD$139, regions_ub[#Headers],0)),INDEX(lmic_raw_ub[],MATCH($A407,lmic_raw_ub[[setting]:[setting]],0), MATCH(AD$277, lmic_raw_ub[#Headers],0)))</f>
        <v>1.28330207692468E-3</v>
      </c>
      <c r="AE407" s="84">
        <f>IF(INDEX(lmic_raw_ub[],MATCH($A407,lmic_raw_ub[[setting]:[setting]],0), MATCH(AE$277, lmic_raw_ub[#Headers],0))=0, INDEX(regions_ub[], MATCH($D407, regions_ub[[setting]:[setting]],0), MATCH(AE$139, regions_ub[#Headers],0)),INDEX(lmic_raw_ub[],MATCH($A407,lmic_raw_ub[[setting]:[setting]],0), MATCH(AE$277, lmic_raw_ub[#Headers],0)))</f>
        <v>3.0197891860448415E-4</v>
      </c>
      <c r="AF407" s="84">
        <f>IF(INDEX(lmic_raw_ub[],MATCH($A407,lmic_raw_ub[[setting]:[setting]],0), MATCH(AF$277, lmic_raw_ub[#Headers],0))=0, INDEX(regions_ub[], MATCH($D407, regions_ub[[setting]:[setting]],0), MATCH(AF$139, regions_ub[#Headers],0)),INDEX(lmic_raw_ub[],MATCH($A407,lmic_raw_ub[[setting]:[setting]],0), MATCH(AF$277, lmic_raw_ub[#Headers],0)))</f>
        <v>3.2178260179301625E-4</v>
      </c>
      <c r="AG407" s="84">
        <f>IF(INDEX(lmic_raw_ub[],MATCH($A407,lmic_raw_ub[[setting]:[setting]],0), MATCH(AG$277, lmic_raw_ub[#Headers],0))=0, INDEX(regions_ub[], MATCH($D407, regions_ub[[setting]:[setting]],0), MATCH(AG$139, regions_ub[#Headers],0)),INDEX(lmic_raw_ub[],MATCH($A407,lmic_raw_ub[[setting]:[setting]],0), MATCH(AG$277, lmic_raw_ub[#Headers],0)))</f>
        <v>5.2969854683792249E-4</v>
      </c>
      <c r="AH407" s="84">
        <f>IF(INDEX(lmic_raw_ub[],MATCH($A407,lmic_raw_ub[[setting]:[setting]],0), MATCH(AH$277, lmic_raw_ub[#Headers],0))=0, INDEX(regions_ub[], MATCH($D407, regions_ub[[setting]:[setting]],0), MATCH(AH$139, regions_ub[#Headers],0)),INDEX(lmic_raw_ub[],MATCH($A407,lmic_raw_ub[[setting]:[setting]],0), MATCH(AH$277, lmic_raw_ub[#Headers],0)))</f>
        <v>7.6069254579039138E-4</v>
      </c>
      <c r="AI407" s="84">
        <f>IF(INDEX(lmic_raw_ub[],MATCH($A407,lmic_raw_ub[[setting]:[setting]],0), MATCH(AI$277, lmic_raw_ub[#Headers],0))=0, INDEX(regions_ub[], MATCH($D407, regions_ub[[setting]:[setting]],0), MATCH(AI$139, regions_ub[#Headers],0)),INDEX(lmic_raw_ub[],MATCH($A407,lmic_raw_ub[[setting]:[setting]],0), MATCH(AI$277, lmic_raw_ub[#Headers],0)))</f>
        <v>1.0221635391192995E-3</v>
      </c>
      <c r="AJ407" s="84">
        <f>IF(INDEX(lmic_raw_ub[],MATCH($A407,lmic_raw_ub[[setting]:[setting]],0), MATCH(AJ$277, lmic_raw_ub[#Headers],0))=0, INDEX(regions_ub[], MATCH($D407, regions_ub[[setting]:[setting]],0), MATCH(AJ$139, regions_ub[#Headers],0)),INDEX(lmic_raw_ub[],MATCH($A407,lmic_raw_ub[[setting]:[setting]],0), MATCH(AJ$277, lmic_raw_ub[#Headers],0)))</f>
        <v>1.3858585802657547E-3</v>
      </c>
      <c r="AK407" s="84">
        <f>IF(INDEX(lmic_raw_ub[],MATCH($A407,lmic_raw_ub[[setting]:[setting]],0), MATCH(AK$277, lmic_raw_ub[#Headers],0))=0, INDEX(regions_ub[], MATCH($D407, regions_ub[[setting]:[setting]],0), MATCH(AK$139, regions_ub[#Headers],0)),INDEX(lmic_raw_ub[],MATCH($A407,lmic_raw_ub[[setting]:[setting]],0), MATCH(AK$277, lmic_raw_ub[#Headers],0)))</f>
        <v>1.9324163783443747E-3</v>
      </c>
      <c r="AL407" s="84">
        <f>IF(INDEX(lmic_raw_ub[],MATCH($A407,lmic_raw_ub[[setting]:[setting]],0), MATCH(AL$277, lmic_raw_ub[#Headers],0))=0, INDEX(regions_ub[], MATCH($D407, regions_ub[[setting]:[setting]],0), MATCH(AL$139, regions_ub[#Headers],0)),INDEX(lmic_raw_ub[],MATCH($A407,lmic_raw_ub[[setting]:[setting]],0), MATCH(AL$277, lmic_raw_ub[#Headers],0)))</f>
        <v>2.6980597765028191E-3</v>
      </c>
      <c r="AM407" s="84">
        <f>IF(INDEX(lmic_raw_ub[],MATCH($A407,lmic_raw_ub[[setting]:[setting]],0), MATCH(AM$277, lmic_raw_ub[#Headers],0))=0, INDEX(regions_ub[], MATCH($D407, regions_ub[[setting]:[setting]],0), MATCH(AM$139, regions_ub[#Headers],0)),INDEX(lmic_raw_ub[],MATCH($A407,lmic_raw_ub[[setting]:[setting]],0), MATCH(AM$277, lmic_raw_ub[#Headers],0)))</f>
        <v>4.0914534639068662E-3</v>
      </c>
      <c r="AN407" s="84">
        <f>IF(INDEX(lmic_raw_ub[],MATCH($A407,lmic_raw_ub[[setting]:[setting]],0), MATCH(AN$277, lmic_raw_ub[#Headers],0))=0, INDEX(regions_ub[], MATCH($D407, regions_ub[[setting]:[setting]],0), MATCH(AN$139, regions_ub[#Headers],0)),INDEX(lmic_raw_ub[],MATCH($A407,lmic_raw_ub[[setting]:[setting]],0), MATCH(AN$277, lmic_raw_ub[#Headers],0)))</f>
        <v>6.5741174044034586E-3</v>
      </c>
      <c r="AO407" s="84">
        <f>IF(INDEX(lmic_raw_ub[],MATCH($A407,lmic_raw_ub[[setting]:[setting]],0), MATCH(AO$277, lmic_raw_ub[#Headers],0))=0, INDEX(regions_ub[], MATCH($D407, regions_ub[[setting]:[setting]],0), MATCH(AO$139, regions_ub[#Headers],0)),INDEX(lmic_raw_ub[],MATCH($A407,lmic_raw_ub[[setting]:[setting]],0), MATCH(AO$277, lmic_raw_ub[#Headers],0)))</f>
        <v>1.1123220787460213E-2</v>
      </c>
      <c r="AP407" s="84">
        <f>IF(INDEX(lmic_raw_ub[],MATCH($A407,lmic_raw_ub[[setting]:[setting]],0), MATCH(AP$277, lmic_raw_ub[#Headers],0))=0, INDEX(regions_ub[], MATCH($D407, regions_ub[[setting]:[setting]],0), MATCH(AP$139, regions_ub[#Headers],0)),INDEX(lmic_raw_ub[],MATCH($A407,lmic_raw_ub[[setting]:[setting]],0), MATCH(AP$277, lmic_raw_ub[#Headers],0)))</f>
        <v>1.9069401525738834E-2</v>
      </c>
      <c r="AQ407" s="84">
        <f>IF(INDEX(lmic_raw_ub[],MATCH($A407,lmic_raw_ub[[setting]:[setting]],0), MATCH(AQ$277, lmic_raw_ub[#Headers],0))=0, INDEX(regions_ub[], MATCH($D407, regions_ub[[setting]:[setting]],0), MATCH(AQ$139, regions_ub[#Headers],0)),INDEX(lmic_raw_ub[],MATCH($A407,lmic_raw_ub[[setting]:[setting]],0), MATCH(AQ$277, lmic_raw_ub[#Headers],0)))</f>
        <v>3.0046045635621597E-2</v>
      </c>
      <c r="AR407" s="84">
        <f>IF(INDEX(lmic_raw_ub[],MATCH($A407,lmic_raw_ub[[setting]:[setting]],0), MATCH(AR$277, lmic_raw_ub[#Headers],0))=0, INDEX(regions_ub[], MATCH($D407, regions_ub[[setting]:[setting]],0), MATCH(AR$139, regions_ub[#Headers],0)),INDEX(lmic_raw_ub[],MATCH($A407,lmic_raw_ub[[setting]:[setting]],0), MATCH(AR$277, lmic_raw_ub[#Headers],0)))</f>
        <v>4.6505185180203502E-2</v>
      </c>
      <c r="AS407" s="84">
        <f>IF(INDEX(lmic_raw_ub[],MATCH($A407,lmic_raw_ub[[setting]:[setting]],0), MATCH(AS$277, lmic_raw_ub[#Headers],0))=0, INDEX(regions_ub[], MATCH($D407, regions_ub[[setting]:[setting]],0), MATCH(AS$139, regions_ub[#Headers],0)),INDEX(lmic_raw_ub[],MATCH($A407,lmic_raw_ub[[setting]:[setting]],0), MATCH(AS$277, lmic_raw_ub[#Headers],0)))</f>
        <v>7.0284678775031403E-2</v>
      </c>
      <c r="AT407" s="84">
        <f>IF(INDEX(lmic_raw_ub[],MATCH($A407,lmic_raw_ub[[setting]:[setting]],0), MATCH(AT$277, lmic_raw_ub[#Headers],0))=0, INDEX(regions_ub[], MATCH($D407, regions_ub[[setting]:[setting]],0), MATCH(AT$139, regions_ub[#Headers],0)),INDEX(lmic_raw_ub[],MATCH($A407,lmic_raw_ub[[setting]:[setting]],0), MATCH(AT$277, lmic_raw_ub[#Headers],0)))</f>
        <v>0.10010965571174806</v>
      </c>
      <c r="AU407" s="84">
        <f>IF(INDEX(lmic_raw_ub[],MATCH($A407,lmic_raw_ub[[setting]:[setting]],0), MATCH(AU$277, lmic_raw_ub[#Headers],0))=0, INDEX(regions_ub[], MATCH($D407, regions_ub[[setting]:[setting]],0), MATCH(AU$139, regions_ub[#Headers],0)),INDEX(lmic_raw_ub[],MATCH($A407,lmic_raw_ub[[setting]:[setting]],0), MATCH(AU$277, lmic_raw_ub[#Headers],0)))</f>
        <v>0.13197893335385955</v>
      </c>
      <c r="AV407" s="84">
        <f>IF(INDEX(lmic_raw_ub[],MATCH($A407,lmic_raw_ub[[setting]:[setting]],0), MATCH(AV$277, lmic_raw_ub[#Headers],0))=0, INDEX(regions_ub[], MATCH($D407, regions_ub[[setting]:[setting]],0), MATCH(AV$139, regions_ub[#Headers],0)),INDEX(lmic_raw_ub[],MATCH($A407,lmic_raw_ub[[setting]:[setting]],0), MATCH(AV$277, lmic_raw_ub[#Headers],0)))</f>
        <v>0.16132483842943279</v>
      </c>
      <c r="AW407" s="84">
        <f>IF(INDEX(lmic_raw_ub[],MATCH($A407,lmic_raw_ub[[setting]:[setting]],0), MATCH(AW$277, lmic_raw_ub[#Headers],0))=0, INDEX(regions_ub[], MATCH($D407, regions_ub[[setting]:[setting]],0), MATCH(AW$139, regions_ub[#Headers],0)),INDEX(lmic_raw_ub[],MATCH($A407,lmic_raw_ub[[setting]:[setting]],0), MATCH(AW$277, lmic_raw_ub[#Headers],0)))</f>
        <v>0.18231767526799114</v>
      </c>
      <c r="AX407" s="84">
        <f>IF(INDEX(lmic_raw_ub[],MATCH($A407,lmic_raw_ub[[setting]:[setting]],0), MATCH(AX$277, lmic_raw_ub[#Headers],0))=0, INDEX(regions_ub[], MATCH($D407, regions_ub[[setting]:[setting]],0), MATCH(AX$139, regions_ub[#Headers],0)),INDEX(lmic_raw_ub[],MATCH($A407,lmic_raw_ub[[setting]:[setting]],0), MATCH(AX$277, lmic_raw_ub[#Headers],0)))</f>
        <v>75.108599999999996</v>
      </c>
      <c r="AY407" s="33" t="str">
        <f>IF(VLOOKUP(lmics_ub[[#This Row],[setting]],lmic_raw_ub[],11,FALSE)=0, "Yes", "No")</f>
        <v>No</v>
      </c>
    </row>
    <row r="408" spans="1:51" x14ac:dyDescent="0.25">
      <c r="A408" s="109" t="s">
        <v>285</v>
      </c>
      <c r="B408" s="101" t="s">
        <v>537</v>
      </c>
      <c r="C408" s="102">
        <v>548</v>
      </c>
      <c r="D408" s="82" t="s">
        <v>681</v>
      </c>
      <c r="E408" s="82" t="s">
        <v>98</v>
      </c>
      <c r="F408" s="82" t="s">
        <v>666</v>
      </c>
      <c r="G408" s="82" t="s">
        <v>678</v>
      </c>
      <c r="J408" s="84">
        <f>IF(INDEX(lmic_raw_ub[],MATCH($A408,lmic_raw_ub[[setting]:[setting]],0), MATCH(J$277, lmic_raw_ub[#Headers],0))=0, INDEX(regions_ub[], MATCH($D408, regions_ub[[setting]:[setting]],0), MATCH(J$139, regions_ub[#Headers],0)),INDEX(lmic_raw_ub[],MATCH($A408,lmic_raw_ub[[setting]:[setting]],0), MATCH(J$277, lmic_raw_ub[#Headers],0)))</f>
        <v>0.92925000000000002</v>
      </c>
      <c r="K408" s="84">
        <f>IF(INDEX(lmic_raw_ub[],MATCH($A408,lmic_raw_ub[[setting]:[setting]],0), MATCH(K$277, lmic_raw_ub[#Headers],0))=0, INDEX(regions_ub[], MATCH($D408, regions_ub[[setting]:[setting]],0), MATCH(K$139, regions_ub[#Headers],0)),INDEX(lmic_raw_ub[],MATCH($A408,lmic_raw_ub[[setting]:[setting]],0), MATCH(K$277, lmic_raw_ub[#Headers],0)))</f>
        <v>0.86099999999999999</v>
      </c>
      <c r="L408" s="84">
        <f>IF(INDEX(lmic_raw_ub[],MATCH($A408,lmic_raw_ub[[setting]:[setting]],0), MATCH(L$277, lmic_raw_ub[#Headers],0))=0, INDEX(regions_ub[], MATCH($D408, regions_ub[[setting]:[setting]],0), MATCH(L$139, regions_ub[#Headers],0)),INDEX(lmic_raw_ub[],MATCH($A408,lmic_raw_ub[[setting]:[setting]],0), MATCH(L$277, lmic_raw_ub[#Headers],0)))</f>
        <v>0.94500000000000006</v>
      </c>
      <c r="M408" s="84">
        <f>IF(INDEX(lmic_raw_ub[],MATCH($A408,lmic_raw_ub[[setting]:[setting]],0), MATCH(M$277, lmic_raw_ub[#Headers],0))=0, INDEX(regions_ub[], MATCH($D408, regions_ub[[setting]:[setting]],0), MATCH(M$139, regions_ub[#Headers],0)),INDEX(lmic_raw_ub[],MATCH($A408,lmic_raw_ub[[setting]:[setting]],0), MATCH(M$277, lmic_raw_ub[#Headers],0)))</f>
        <v>0.16219999999999998</v>
      </c>
      <c r="N408" s="84">
        <f>IF(INDEX(lmic_raw_ub[],MATCH($A408,lmic_raw_ub[[setting]:[setting]],0), MATCH(N$277, lmic_raw_ub[#Headers],0))=0, INDEX(regions_ub[], MATCH($D408, regions_ub[[setting]:[setting]],0), MATCH(N$139, regions_ub[#Headers],0)),INDEX(lmic_raw_ub[],MATCH($A408,lmic_raw_ub[[setting]:[setting]],0), MATCH(N$277, lmic_raw_ub[#Headers],0)))</f>
        <v>0.47889999999999999</v>
      </c>
      <c r="O408" s="84">
        <f>IF(INDEX(lmic_raw_ub[],MATCH($A408,lmic_raw_ub[[setting]:[setting]],0), MATCH(O$277, lmic_raw_ub[#Headers],0))=0, INDEX(regions_ub[], MATCH($D408, regions_ub[[setting]:[setting]],0), MATCH(O$139, regions_ub[#Headers],0)),INDEX(lmic_raw_ub[],MATCH($A408,lmic_raw_ub[[setting]:[setting]],0), MATCH(O$277, lmic_raw_ub[#Headers],0)))</f>
        <v>0.9</v>
      </c>
      <c r="P408" s="84">
        <f>IF(INDEX(lmic_raw_ub[],MATCH($A408,lmic_raw_ub[[setting]:[setting]],0), MATCH(P$277, lmic_raw_ub[#Headers],0))=0, INDEX(regions_ub[], MATCH($D408, regions_ub[[setting]:[setting]],0), MATCH(P$139, regions_ub[#Headers],0)),INDEX(lmic_raw_ub[],MATCH($A408,lmic_raw_ub[[setting]:[setting]],0), MATCH(P$277, lmic_raw_ub[#Headers],0)))</f>
        <v>0.3</v>
      </c>
      <c r="Q408" s="84">
        <f>IF(INDEX(lmic_raw_ub[],MATCH($A408,lmic_raw_ub[[setting]:[setting]],0), MATCH(Q$277, lmic_raw_ub[#Headers],0))=0, INDEX(regions_ub[], MATCH($D408, regions_ub[[setting]:[setting]],0), MATCH(Q$139, regions_ub[#Headers],0)),INDEX(lmic_raw_ub[],MATCH($A408,lmic_raw_ub[[setting]:[setting]],0), MATCH(Q$277, lmic_raw_ub[#Headers],0)))</f>
        <v>10.804566655033835</v>
      </c>
      <c r="R408" s="84">
        <f>IF(INDEX(lmic_raw_ub[],MATCH($A408,lmic_raw_ub[[setting]:[setting]],0), MATCH(R$277, lmic_raw_ub[#Headers],0))=0, INDEX(regions_ub[], MATCH($D408, regions_ub[[setting]:[setting]],0), MATCH(R$139, regions_ub[#Headers],0)),INDEX(lmic_raw_ub[],MATCH($A408,lmic_raw_ub[[setting]:[setting]],0), MATCH(R$277, lmic_raw_ub[#Headers],0)))</f>
        <v>76.738725000000002</v>
      </c>
      <c r="S408" s="84">
        <f>IF(INDEX(lmic_raw_ub[],MATCH($A408,lmic_raw_ub[[setting]:[setting]],0), MATCH(S$277, lmic_raw_ub[#Headers],0))=0, INDEX(regions_ub[], MATCH($D408, regions_ub[[setting]:[setting]],0), MATCH(S$139, regions_ub[#Headers],0)),INDEX(lmic_raw_ub[],MATCH($A408,lmic_raw_ub[[setting]:[setting]],0), MATCH(S$277, lmic_raw_ub[#Headers],0)))</f>
        <v>126.867825</v>
      </c>
      <c r="T408" s="84">
        <f>IF(INDEX(lmic_raw_ub[],MATCH($A408,lmic_raw_ub[[setting]:[setting]],0), MATCH(T$277, lmic_raw_ub[#Headers],0))=0, INDEX(regions_ub[], MATCH($D408, regions_ub[[setting]:[setting]],0), MATCH(T$139, regions_ub[#Headers],0)),INDEX(lmic_raw_ub[],MATCH($A408,lmic_raw_ub[[setting]:[setting]],0), MATCH(T$277, lmic_raw_ub[#Headers],0)))</f>
        <v>126.867825</v>
      </c>
      <c r="U408" s="84">
        <f>IF(INDEX(lmic_raw_ub[],MATCH($A408,lmic_raw_ub[[setting]:[setting]],0), MATCH(U$277, lmic_raw_ub[#Headers],0))=0, INDEX(regions_ub[], MATCH($D408, regions_ub[[setting]:[setting]],0), MATCH(U$139, regions_ub[#Headers],0)),INDEX(lmic_raw_ub[],MATCH($A408,lmic_raw_ub[[setting]:[setting]],0), MATCH(U$277, lmic_raw_ub[#Headers],0)))</f>
        <v>126.867825</v>
      </c>
      <c r="V408" s="84">
        <f>IF(INDEX(lmic_raw_ub[],MATCH($A408,lmic_raw_ub[[setting]:[setting]],0), MATCH(V$277, lmic_raw_ub[#Headers],0))=0, INDEX(regions_ub[], MATCH($D408, regions_ub[[setting]:[setting]],0), MATCH(V$139, regions_ub[#Headers],0)),INDEX(lmic_raw_ub[],MATCH($A408,lmic_raw_ub[[setting]:[setting]],0), MATCH(V$277, lmic_raw_ub[#Headers],0)))</f>
        <v>14.205766576764898</v>
      </c>
      <c r="W408" s="84">
        <f>IF(INDEX(lmic_raw_ub[],MATCH($A408,lmic_raw_ub[[setting]:[setting]],0), MATCH(W$277, lmic_raw_ub[#Headers],0))=0, INDEX(regions_ub[], MATCH($D408, regions_ub[[setting]:[setting]],0), MATCH(W$139, regions_ub[#Headers],0)),INDEX(lmic_raw_ub[],MATCH($A408,lmic_raw_ub[[setting]:[setting]],0), MATCH(W$277, lmic_raw_ub[#Headers],0)))</f>
        <v>14.869576576764898</v>
      </c>
      <c r="X408" s="84">
        <f>IF(INDEX(lmic_raw_ub[],MATCH($A408,lmic_raw_ub[[setting]:[setting]],0), MATCH(X$277, lmic_raw_ub[#Headers],0))=0, INDEX(regions_ub[], MATCH($D408, regions_ub[[setting]:[setting]],0), MATCH(X$139, regions_ub[#Headers],0)),INDEX(lmic_raw_ub[],MATCH($A408,lmic_raw_ub[[setting]:[setting]],0), MATCH(X$277, lmic_raw_ub[#Headers],0)))</f>
        <v>13.688782311558318</v>
      </c>
      <c r="Y408" s="84">
        <f>IF(INDEX(lmic_raw_ub[],MATCH($A408,lmic_raw_ub[[setting]:[setting]],0), MATCH(Y$277, lmic_raw_ub[#Headers],0))=0, INDEX(regions_ub[], MATCH($D408, regions_ub[[setting]:[setting]],0), MATCH(Y$139, regions_ub[#Headers],0)),INDEX(lmic_raw_ub[],MATCH($A408,lmic_raw_ub[[setting]:[setting]],0), MATCH(Y$277, lmic_raw_ub[#Headers],0)))</f>
        <v>14.352592311558318</v>
      </c>
      <c r="Z408" s="84">
        <f>IF(INDEX(lmic_raw_ub[],MATCH($A408,lmic_raw_ub[[setting]:[setting]],0), MATCH(Z$277, lmic_raw_ub[#Headers],0))=0, INDEX(regions_ub[], MATCH($D408, regions_ub[[setting]:[setting]],0), MATCH(Z$139, regions_ub[#Headers],0)),INDEX(lmic_raw_ub[],MATCH($A408,lmic_raw_ub[[setting]:[setting]],0), MATCH(Z$277, lmic_raw_ub[#Headers],0)))</f>
        <v>14.334386730521723</v>
      </c>
      <c r="AA408" s="84">
        <f>IF(INDEX(lmic_raw_ub[],MATCH($A408,lmic_raw_ub[[setting]:[setting]],0), MATCH(AA$277, lmic_raw_ub[#Headers],0))=0, INDEX(regions_ub[], MATCH($D408, regions_ub[[setting]:[setting]],0), MATCH(AA$139, regions_ub[#Headers],0)),INDEX(lmic_raw_ub[],MATCH($A408,lmic_raw_ub[[setting]:[setting]],0), MATCH(AA$277, lmic_raw_ub[#Headers],0)))</f>
        <v>14.479193278087399</v>
      </c>
      <c r="AB408" s="84">
        <f>IF(INDEX(lmic_raw_ub[],MATCH($A408,lmic_raw_ub[[setting]:[setting]],0), MATCH(AB$277, lmic_raw_ub[#Headers],0))=0, INDEX(regions_ub[], MATCH($D408, regions_ub[[setting]:[setting]],0), MATCH(AB$139, regions_ub[#Headers],0)),INDEX(lmic_raw_ub[],MATCH($A408,lmic_raw_ub[[setting]:[setting]],0), MATCH(AB$277, lmic_raw_ub[#Headers],0)))</f>
        <v>15.143003278087399</v>
      </c>
      <c r="AC408" s="84">
        <f>IF(INDEX(lmic_raw_ub[],MATCH($A408,lmic_raw_ub[[setting]:[setting]],0), MATCH(AC$277, lmic_raw_ub[#Headers],0))=0, INDEX(regions_ub[], MATCH($D408, regions_ub[[setting]:[setting]],0), MATCH(AC$139, regions_ub[#Headers],0)),INDEX(lmic_raw_ub[],MATCH($A408,lmic_raw_ub[[setting]:[setting]],0), MATCH(AC$277, lmic_raw_ub[#Headers],0)))</f>
        <v>2.3483879999999974E-2</v>
      </c>
      <c r="AD408" s="84">
        <f>IF(INDEX(lmic_raw_ub[],MATCH($A408,lmic_raw_ub[[setting]:[setting]],0), MATCH(AD$277, lmic_raw_ub[#Headers],0))=0, INDEX(regions_ub[], MATCH($D408, regions_ub[[setting]:[setting]],0), MATCH(AD$139, regions_ub[#Headers],0)),INDEX(lmic_raw_ub[],MATCH($A408,lmic_raw_ub[[setting]:[setting]],0), MATCH(AD$277, lmic_raw_ub[#Headers],0)))</f>
        <v>1.1475888890571087E-3</v>
      </c>
      <c r="AE408" s="84">
        <f>IF(INDEX(lmic_raw_ub[],MATCH($A408,lmic_raw_ub[[setting]:[setting]],0), MATCH(AE$277, lmic_raw_ub[#Headers],0))=0, INDEX(regions_ub[], MATCH($D408, regions_ub[[setting]:[setting]],0), MATCH(AE$139, regions_ub[#Headers],0)),INDEX(lmic_raw_ub[],MATCH($A408,lmic_raw_ub[[setting]:[setting]],0), MATCH(AE$277, lmic_raw_ub[#Headers],0)))</f>
        <v>4.4849142775387147E-4</v>
      </c>
      <c r="AF408" s="84">
        <f>IF(INDEX(lmic_raw_ub[],MATCH($A408,lmic_raw_ub[[setting]:[setting]],0), MATCH(AF$277, lmic_raw_ub[#Headers],0))=0, INDEX(regions_ub[], MATCH($D408, regions_ub[[setting]:[setting]],0), MATCH(AF$139, regions_ub[#Headers],0)),INDEX(lmic_raw_ub[],MATCH($A408,lmic_raw_ub[[setting]:[setting]],0), MATCH(AF$277, lmic_raw_ub[#Headers],0)))</f>
        <v>3.8132596001019055E-4</v>
      </c>
      <c r="AG408" s="84">
        <f>IF(INDEX(lmic_raw_ub[],MATCH($A408,lmic_raw_ub[[setting]:[setting]],0), MATCH(AG$277, lmic_raw_ub[#Headers],0))=0, INDEX(regions_ub[], MATCH($D408, regions_ub[[setting]:[setting]],0), MATCH(AG$139, regions_ub[#Headers],0)),INDEX(lmic_raw_ub[],MATCH($A408,lmic_raw_ub[[setting]:[setting]],0), MATCH(AG$277, lmic_raw_ub[#Headers],0)))</f>
        <v>7.6671433227939664E-4</v>
      </c>
      <c r="AH408" s="84">
        <f>IF(INDEX(lmic_raw_ub[],MATCH($A408,lmic_raw_ub[[setting]:[setting]],0), MATCH(AH$277, lmic_raw_ub[#Headers],0))=0, INDEX(regions_ub[], MATCH($D408, regions_ub[[setting]:[setting]],0), MATCH(AH$139, regions_ub[#Headers],0)),INDEX(lmic_raw_ub[],MATCH($A408,lmic_raw_ub[[setting]:[setting]],0), MATCH(AH$277, lmic_raw_ub[#Headers],0)))</f>
        <v>9.4943228584833551E-4</v>
      </c>
      <c r="AI408" s="84">
        <f>IF(INDEX(lmic_raw_ub[],MATCH($A408,lmic_raw_ub[[setting]:[setting]],0), MATCH(AI$277, lmic_raw_ub[#Headers],0))=0, INDEX(regions_ub[], MATCH($D408, regions_ub[[setting]:[setting]],0), MATCH(AI$139, regions_ub[#Headers],0)),INDEX(lmic_raw_ub[],MATCH($A408,lmic_raw_ub[[setting]:[setting]],0), MATCH(AI$277, lmic_raw_ub[#Headers],0)))</f>
        <v>9.7632293942751663E-4</v>
      </c>
      <c r="AJ408" s="84">
        <f>IF(INDEX(lmic_raw_ub[],MATCH($A408,lmic_raw_ub[[setting]:[setting]],0), MATCH(AJ$277, lmic_raw_ub[#Headers],0))=0, INDEX(regions_ub[], MATCH($D408, regions_ub[[setting]:[setting]],0), MATCH(AJ$139, regions_ub[#Headers],0)),INDEX(lmic_raw_ub[],MATCH($A408,lmic_raw_ub[[setting]:[setting]],0), MATCH(AJ$277, lmic_raw_ub[#Headers],0)))</f>
        <v>1.1836406543726545E-3</v>
      </c>
      <c r="AK408" s="84">
        <f>IF(INDEX(lmic_raw_ub[],MATCH($A408,lmic_raw_ub[[setting]:[setting]],0), MATCH(AK$277, lmic_raw_ub[#Headers],0))=0, INDEX(regions_ub[], MATCH($D408, regions_ub[[setting]:[setting]],0), MATCH(AK$139, regions_ub[#Headers],0)),INDEX(lmic_raw_ub[],MATCH($A408,lmic_raw_ub[[setting]:[setting]],0), MATCH(AK$277, lmic_raw_ub[#Headers],0)))</f>
        <v>1.6503023292688793E-3</v>
      </c>
      <c r="AL408" s="84">
        <f>IF(INDEX(lmic_raw_ub[],MATCH($A408,lmic_raw_ub[[setting]:[setting]],0), MATCH(AL$277, lmic_raw_ub[#Headers],0))=0, INDEX(regions_ub[], MATCH($D408, regions_ub[[setting]:[setting]],0), MATCH(AL$139, regions_ub[#Headers],0)),INDEX(lmic_raw_ub[],MATCH($A408,lmic_raw_ub[[setting]:[setting]],0), MATCH(AL$277, lmic_raw_ub[#Headers],0)))</f>
        <v>2.4687040006499948E-3</v>
      </c>
      <c r="AM408" s="84">
        <f>IF(INDEX(lmic_raw_ub[],MATCH($A408,lmic_raw_ub[[setting]:[setting]],0), MATCH(AM$277, lmic_raw_ub[#Headers],0))=0, INDEX(regions_ub[], MATCH($D408, regions_ub[[setting]:[setting]],0), MATCH(AM$139, regions_ub[#Headers],0)),INDEX(lmic_raw_ub[],MATCH($A408,lmic_raw_ub[[setting]:[setting]],0), MATCH(AM$277, lmic_raw_ub[#Headers],0)))</f>
        <v>3.9574648021714317E-3</v>
      </c>
      <c r="AN408" s="84">
        <f>IF(INDEX(lmic_raw_ub[],MATCH($A408,lmic_raw_ub[[setting]:[setting]],0), MATCH(AN$277, lmic_raw_ub[#Headers],0))=0, INDEX(regions_ub[], MATCH($D408, regions_ub[[setting]:[setting]],0), MATCH(AN$139, regions_ub[#Headers],0)),INDEX(lmic_raw_ub[],MATCH($A408,lmic_raw_ub[[setting]:[setting]],0), MATCH(AN$277, lmic_raw_ub[#Headers],0)))</f>
        <v>6.3713459430822838E-3</v>
      </c>
      <c r="AO408" s="84">
        <f>IF(INDEX(lmic_raw_ub[],MATCH($A408,lmic_raw_ub[[setting]:[setting]],0), MATCH(AO$277, lmic_raw_ub[#Headers],0))=0, INDEX(regions_ub[], MATCH($D408, regions_ub[[setting]:[setting]],0), MATCH(AO$139, regions_ub[#Headers],0)),INDEX(lmic_raw_ub[],MATCH($A408,lmic_raw_ub[[setting]:[setting]],0), MATCH(AO$277, lmic_raw_ub[#Headers],0)))</f>
        <v>1.0276826410823012E-2</v>
      </c>
      <c r="AP408" s="84">
        <f>IF(INDEX(lmic_raw_ub[],MATCH($A408,lmic_raw_ub[[setting]:[setting]],0), MATCH(AP$277, lmic_raw_ub[#Headers],0))=0, INDEX(regions_ub[], MATCH($D408, regions_ub[[setting]:[setting]],0), MATCH(AP$139, regions_ub[#Headers],0)),INDEX(lmic_raw_ub[],MATCH($A408,lmic_raw_ub[[setting]:[setting]],0), MATCH(AP$277, lmic_raw_ub[#Headers],0)))</f>
        <v>1.9164326645533449E-2</v>
      </c>
      <c r="AQ408" s="84">
        <f>IF(INDEX(lmic_raw_ub[],MATCH($A408,lmic_raw_ub[[setting]:[setting]],0), MATCH(AQ$277, lmic_raw_ub[#Headers],0))=0, INDEX(regions_ub[], MATCH($D408, regions_ub[[setting]:[setting]],0), MATCH(AQ$139, regions_ub[#Headers],0)),INDEX(lmic_raw_ub[],MATCH($A408,lmic_raw_ub[[setting]:[setting]],0), MATCH(AQ$277, lmic_raw_ub[#Headers],0)))</f>
        <v>3.4979579308843642E-2</v>
      </c>
      <c r="AR408" s="84">
        <f>IF(INDEX(lmic_raw_ub[],MATCH($A408,lmic_raw_ub[[setting]:[setting]],0), MATCH(AR$277, lmic_raw_ub[#Headers],0))=0, INDEX(regions_ub[], MATCH($D408, regions_ub[[setting]:[setting]],0), MATCH(AR$139, regions_ub[#Headers],0)),INDEX(lmic_raw_ub[],MATCH($A408,lmic_raw_ub[[setting]:[setting]],0), MATCH(AR$277, lmic_raw_ub[#Headers],0)))</f>
        <v>5.773178336416486E-2</v>
      </c>
      <c r="AS408" s="84">
        <f>IF(INDEX(lmic_raw_ub[],MATCH($A408,lmic_raw_ub[[setting]:[setting]],0), MATCH(AS$277, lmic_raw_ub[#Headers],0))=0, INDEX(regions_ub[], MATCH($D408, regions_ub[[setting]:[setting]],0), MATCH(AS$139, regions_ub[#Headers],0)),INDEX(lmic_raw_ub[],MATCH($A408,lmic_raw_ub[[setting]:[setting]],0), MATCH(AS$277, lmic_raw_ub[#Headers],0)))</f>
        <v>8.7350338836502478E-2</v>
      </c>
      <c r="AT408" s="84">
        <f>IF(INDEX(lmic_raw_ub[],MATCH($A408,lmic_raw_ub[[setting]:[setting]],0), MATCH(AT$277, lmic_raw_ub[#Headers],0))=0, INDEX(regions_ub[], MATCH($D408, regions_ub[[setting]:[setting]],0), MATCH(AT$139, regions_ub[#Headers],0)),INDEX(lmic_raw_ub[],MATCH($A408,lmic_raw_ub[[setting]:[setting]],0), MATCH(AT$277, lmic_raw_ub[#Headers],0)))</f>
        <v>0.12286219455095447</v>
      </c>
      <c r="AU408" s="84">
        <f>IF(INDEX(lmic_raw_ub[],MATCH($A408,lmic_raw_ub[[setting]:[setting]],0), MATCH(AU$277, lmic_raw_ub[#Headers],0))=0, INDEX(regions_ub[], MATCH($D408, regions_ub[[setting]:[setting]],0), MATCH(AU$139, regions_ub[#Headers],0)),INDEX(lmic_raw_ub[],MATCH($A408,lmic_raw_ub[[setting]:[setting]],0), MATCH(AU$277, lmic_raw_ub[#Headers],0)))</f>
        <v>0.1590518823819938</v>
      </c>
      <c r="AV408" s="84">
        <f>IF(INDEX(lmic_raw_ub[],MATCH($A408,lmic_raw_ub[[setting]:[setting]],0), MATCH(AV$277, lmic_raw_ub[#Headers],0))=0, INDEX(regions_ub[], MATCH($D408, regions_ub[[setting]:[setting]],0), MATCH(AV$139, regions_ub[#Headers],0)),INDEX(lmic_raw_ub[],MATCH($A408,lmic_raw_ub[[setting]:[setting]],0), MATCH(AV$277, lmic_raw_ub[#Headers],0)))</f>
        <v>0.18473558970313991</v>
      </c>
      <c r="AW408" s="84">
        <f>IF(INDEX(lmic_raw_ub[],MATCH($A408,lmic_raw_ub[[setting]:[setting]],0), MATCH(AW$277, lmic_raw_ub[#Headers],0))=0, INDEX(regions_ub[], MATCH($D408, regions_ub[[setting]:[setting]],0), MATCH(AW$139, regions_ub[#Headers],0)),INDEX(lmic_raw_ub[],MATCH($A408,lmic_raw_ub[[setting]:[setting]],0), MATCH(AW$277, lmic_raw_ub[#Headers],0)))</f>
        <v>0.19741181600978669</v>
      </c>
      <c r="AX408" s="84">
        <f>IF(INDEX(lmic_raw_ub[],MATCH($A408,lmic_raw_ub[[setting]:[setting]],0), MATCH(AX$277, lmic_raw_ub[#Headers],0))=0, INDEX(regions_ub[], MATCH($D408, regions_ub[[setting]:[setting]],0), MATCH(AX$139, regions_ub[#Headers],0)),INDEX(lmic_raw_ub[],MATCH($A408,lmic_raw_ub[[setting]:[setting]],0), MATCH(AX$277, lmic_raw_ub[#Headers],0)))</f>
        <v>73.759349999999998</v>
      </c>
      <c r="AY408" s="33" t="str">
        <f>IF(VLOOKUP(lmics_ub[[#This Row],[setting]],lmic_raw_ub[],11,FALSE)=0, "Yes", "No")</f>
        <v>No</v>
      </c>
    </row>
    <row r="409" spans="1:51" x14ac:dyDescent="0.25">
      <c r="A409" s="84" t="s">
        <v>275</v>
      </c>
      <c r="B409" s="104" t="s">
        <v>538</v>
      </c>
      <c r="C409" s="105">
        <v>862</v>
      </c>
      <c r="D409" s="84" t="s">
        <v>679</v>
      </c>
      <c r="E409" s="84" t="s">
        <v>604</v>
      </c>
      <c r="F409" s="84" t="s">
        <v>665</v>
      </c>
      <c r="G409" s="84" t="s">
        <v>676</v>
      </c>
      <c r="J409" s="84">
        <f>IF(INDEX(lmic_raw_ub[],MATCH($A409,lmic_raw_ub[[setting]:[setting]],0), MATCH(J$277, lmic_raw_ub[#Headers],0))=0, INDEX(regions_ub[], MATCH($D409, regions_ub[[setting]:[setting]],0), MATCH(J$139, regions_ub[#Headers],0)),INDEX(lmic_raw_ub[],MATCH($A409,lmic_raw_ub[[setting]:[setting]],0), MATCH(J$277, lmic_raw_ub[#Headers],0)))</f>
        <v>0.99990000000000001</v>
      </c>
      <c r="K409" s="84">
        <f>IF(INDEX(lmic_raw_ub[],MATCH($A409,lmic_raw_ub[[setting]:[setting]],0), MATCH(K$277, lmic_raw_ub[#Headers],0))=0, INDEX(regions_ub[], MATCH($D409, regions_ub[[setting]:[setting]],0), MATCH(K$139, regions_ub[#Headers],0)),INDEX(lmic_raw_ub[],MATCH($A409,lmic_raw_ub[[setting]:[setting]],0), MATCH(K$277, lmic_raw_ub[#Headers],0)))</f>
        <v>0.54600000000000004</v>
      </c>
      <c r="L409" s="84">
        <f>IF(INDEX(lmic_raw_ub[],MATCH($A409,lmic_raw_ub[[setting]:[setting]],0), MATCH(L$277, lmic_raw_ub[#Headers],0))=0, INDEX(regions_ub[], MATCH($D409, regions_ub[[setting]:[setting]],0), MATCH(L$139, regions_ub[#Headers],0)),INDEX(lmic_raw_ub[],MATCH($A409,lmic_raw_ub[[setting]:[setting]],0), MATCH(L$277, lmic_raw_ub[#Headers],0)))</f>
        <v>0.67200000000000004</v>
      </c>
      <c r="M409" s="84">
        <f>IF(INDEX(lmic_raw_ub[],MATCH($A409,lmic_raw_ub[[setting]:[setting]],0), MATCH(M$277, lmic_raw_ub[#Headers],0))=0, INDEX(regions_ub[], MATCH($D409, regions_ub[[setting]:[setting]],0), MATCH(M$139, regions_ub[#Headers],0)),INDEX(lmic_raw_ub[],MATCH($A409,lmic_raw_ub[[setting]:[setting]],0), MATCH(M$277, lmic_raw_ub[#Headers],0)))</f>
        <v>3.85E-2</v>
      </c>
      <c r="N409" s="84">
        <f>IF(INDEX(lmic_raw_ub[],MATCH($A409,lmic_raw_ub[[setting]:[setting]],0), MATCH(N$277, lmic_raw_ub[#Headers],0))=0, INDEX(regions_ub[], MATCH($D409, regions_ub[[setting]:[setting]],0), MATCH(N$139, regions_ub[#Headers],0)),INDEX(lmic_raw_ub[],MATCH($A409,lmic_raw_ub[[setting]:[setting]],0), MATCH(N$277, lmic_raw_ub[#Headers],0)))</f>
        <v>0.42950000000000005</v>
      </c>
      <c r="O409" s="84">
        <f>IF(INDEX(lmic_raw_ub[],MATCH($A409,lmic_raw_ub[[setting]:[setting]],0), MATCH(O$277, lmic_raw_ub[#Headers],0))=0, INDEX(regions_ub[], MATCH($D409, regions_ub[[setting]:[setting]],0), MATCH(O$139, regions_ub[#Headers],0)),INDEX(lmic_raw_ub[],MATCH($A409,lmic_raw_ub[[setting]:[setting]],0), MATCH(O$277, lmic_raw_ub[#Headers],0)))</f>
        <v>0.9</v>
      </c>
      <c r="P409" s="84">
        <f>IF(INDEX(lmic_raw_ub[],MATCH($A409,lmic_raw_ub[[setting]:[setting]],0), MATCH(P$277, lmic_raw_ub[#Headers],0))=0, INDEX(regions_ub[], MATCH($D409, regions_ub[[setting]:[setting]],0), MATCH(P$139, regions_ub[#Headers],0)),INDEX(lmic_raw_ub[],MATCH($A409,lmic_raw_ub[[setting]:[setting]],0), MATCH(P$277, lmic_raw_ub[#Headers],0)))</f>
        <v>0.3</v>
      </c>
      <c r="Q409" s="84">
        <f>IF(INDEX(lmic_raw_ub[],MATCH($A409,lmic_raw_ub[[setting]:[setting]],0), MATCH(Q$277, lmic_raw_ub[#Headers],0))=0, INDEX(regions_ub[], MATCH($D409, regions_ub[[setting]:[setting]],0), MATCH(Q$139, regions_ub[#Headers],0)),INDEX(lmic_raw_ub[],MATCH($A409,lmic_raw_ub[[setting]:[setting]],0), MATCH(Q$277, lmic_raw_ub[#Headers],0)))</f>
        <v>19.04228091699925</v>
      </c>
      <c r="R409" s="84">
        <f>IF(INDEX(lmic_raw_ub[],MATCH($A409,lmic_raw_ub[[setting]:[setting]],0), MATCH(R$277, lmic_raw_ub[#Headers],0))=0, INDEX(regions_ub[], MATCH($D409, regions_ub[[setting]:[setting]],0), MATCH(R$139, regions_ub[#Headers],0)),INDEX(lmic_raw_ub[],MATCH($A409,lmic_raw_ub[[setting]:[setting]],0), MATCH(R$277, lmic_raw_ub[#Headers],0)))</f>
        <v>91.228094999999996</v>
      </c>
      <c r="S409" s="84">
        <f>IF(INDEX(lmic_raw_ub[],MATCH($A409,lmic_raw_ub[[setting]:[setting]],0), MATCH(S$277, lmic_raw_ub[#Headers],0))=0, INDEX(regions_ub[], MATCH($D409, regions_ub[[setting]:[setting]],0), MATCH(S$139, regions_ub[#Headers],0)),INDEX(lmic_raw_ub[],MATCH($A409,lmic_raw_ub[[setting]:[setting]],0), MATCH(S$277, lmic_raw_ub[#Headers],0)))</f>
        <v>141.35719500000002</v>
      </c>
      <c r="T409" s="84">
        <f>IF(INDEX(lmic_raw_ub[],MATCH($A409,lmic_raw_ub[[setting]:[setting]],0), MATCH(T$277, lmic_raw_ub[#Headers],0))=0, INDEX(regions_ub[], MATCH($D409, regions_ub[[setting]:[setting]],0), MATCH(T$139, regions_ub[#Headers],0)),INDEX(lmic_raw_ub[],MATCH($A409,lmic_raw_ub[[setting]:[setting]],0), MATCH(T$277, lmic_raw_ub[#Headers],0)))</f>
        <v>141.35719500000002</v>
      </c>
      <c r="U409" s="84">
        <f>IF(INDEX(lmic_raw_ub[],MATCH($A409,lmic_raw_ub[[setting]:[setting]],0), MATCH(U$277, lmic_raw_ub[#Headers],0))=0, INDEX(regions_ub[], MATCH($D409, regions_ub[[setting]:[setting]],0), MATCH(U$139, regions_ub[#Headers],0)),INDEX(lmic_raw_ub[],MATCH($A409,lmic_raw_ub[[setting]:[setting]],0), MATCH(U$277, lmic_raw_ub[#Headers],0)))</f>
        <v>141.35719500000002</v>
      </c>
      <c r="V409" s="84">
        <f>IF(INDEX(lmic_raw_ub[],MATCH($A409,lmic_raw_ub[[setting]:[setting]],0), MATCH(V$277, lmic_raw_ub[#Headers],0))=0, INDEX(regions_ub[], MATCH($D409, regions_ub[[setting]:[setting]],0), MATCH(V$139, regions_ub[#Headers],0)),INDEX(lmic_raw_ub[],MATCH($A409,lmic_raw_ub[[setting]:[setting]],0), MATCH(V$277, lmic_raw_ub[#Headers],0)))</f>
        <v>7.756706143632516</v>
      </c>
      <c r="W409" s="84">
        <f>IF(INDEX(lmic_raw_ub[],MATCH($A409,lmic_raw_ub[[setting]:[setting]],0), MATCH(W$277, lmic_raw_ub[#Headers],0))=0, INDEX(regions_ub[], MATCH($D409, regions_ub[[setting]:[setting]],0), MATCH(W$139, regions_ub[#Headers],0)),INDEX(lmic_raw_ub[],MATCH($A409,lmic_raw_ub[[setting]:[setting]],0), MATCH(W$277, lmic_raw_ub[#Headers],0)))</f>
        <v>7.7795961436325163</v>
      </c>
      <c r="X409" s="84">
        <f>IF(INDEX(lmic_raw_ub[],MATCH($A409,lmic_raw_ub[[setting]:[setting]],0), MATCH(X$277, lmic_raw_ub[#Headers],0))=0, INDEX(regions_ub[], MATCH($D409, regions_ub[[setting]:[setting]],0), MATCH(X$139, regions_ub[#Headers],0)),INDEX(lmic_raw_ub[],MATCH($A409,lmic_raw_ub[[setting]:[setting]],0), MATCH(X$277, lmic_raw_ub[#Headers],0)))</f>
        <v>7.1709118249840031</v>
      </c>
      <c r="Y409" s="84">
        <f>IF(INDEX(lmic_raw_ub[],MATCH($A409,lmic_raw_ub[[setting]:[setting]],0), MATCH(Y$277, lmic_raw_ub[#Headers],0))=0, INDEX(regions_ub[], MATCH($D409, regions_ub[[setting]:[setting]],0), MATCH(Y$139, regions_ub[#Headers],0)),INDEX(lmic_raw_ub[],MATCH($A409,lmic_raw_ub[[setting]:[setting]],0), MATCH(Y$277, lmic_raw_ub[#Headers],0)))</f>
        <v>7.1938018249840034</v>
      </c>
      <c r="Z409" s="84">
        <f>IF(INDEX(lmic_raw_ub[],MATCH($A409,lmic_raw_ub[[setting]:[setting]],0), MATCH(Z$277, lmic_raw_ub[#Headers],0))=0, INDEX(regions_ub[], MATCH($D409, regions_ub[[setting]:[setting]],0), MATCH(Z$139, regions_ub[#Headers],0)),INDEX(lmic_raw_ub[],MATCH($A409,lmic_raw_ub[[setting]:[setting]],0), MATCH(Z$277, lmic_raw_ub[#Headers],0)))</f>
        <v>7.1325061656389668</v>
      </c>
      <c r="AA409" s="84">
        <f>IF(INDEX(lmic_raw_ub[],MATCH($A409,lmic_raw_ub[[setting]:[setting]],0), MATCH(AA$277, lmic_raw_ub[#Headers],0))=0, INDEX(regions_ub[], MATCH($D409, regions_ub[[setting]:[setting]],0), MATCH(AA$139, regions_ub[#Headers],0)),INDEX(lmic_raw_ub[],MATCH($A409,lmic_raw_ub[[setting]:[setting]],0), MATCH(AA$277, lmic_raw_ub[#Headers],0)))</f>
        <v>8.045752304938766</v>
      </c>
      <c r="AB409" s="84">
        <f>IF(INDEX(lmic_raw_ub[],MATCH($A409,lmic_raw_ub[[setting]:[setting]],0), MATCH(AB$277, lmic_raw_ub[#Headers],0))=0, INDEX(regions_ub[], MATCH($D409, regions_ub[[setting]:[setting]],0), MATCH(AB$139, regions_ub[#Headers],0)),INDEX(lmic_raw_ub[],MATCH($A409,lmic_raw_ub[[setting]:[setting]],0), MATCH(AB$277, lmic_raw_ub[#Headers],0)))</f>
        <v>8.0686423049387663</v>
      </c>
      <c r="AC409" s="84">
        <f>IF(INDEX(lmic_raw_ub[],MATCH($A409,lmic_raw_ub[[setting]:[setting]],0), MATCH(AC$277, lmic_raw_ub[#Headers],0))=0, INDEX(regions_ub[], MATCH($D409, regions_ub[[setting]:[setting]],0), MATCH(AC$139, regions_ub[#Headers],0)),INDEX(lmic_raw_ub[],MATCH($A409,lmic_raw_ub[[setting]:[setting]],0), MATCH(AC$277, lmic_raw_ub[#Headers],0)))</f>
        <v>2.6984989499999959E-2</v>
      </c>
      <c r="AD409" s="84">
        <f>IF(INDEX(lmic_raw_ub[],MATCH($A409,lmic_raw_ub[[setting]:[setting]],0), MATCH(AD$277, lmic_raw_ub[#Headers],0))=0, INDEX(regions_ub[], MATCH($D409, regions_ub[[setting]:[setting]],0), MATCH(AD$139, regions_ub[#Headers],0)),INDEX(lmic_raw_ub[],MATCH($A409,lmic_raw_ub[[setting]:[setting]],0), MATCH(AD$277, lmic_raw_ub[#Headers],0)))</f>
        <v>1.3883213446749358E-3</v>
      </c>
      <c r="AE409" s="84">
        <f>IF(INDEX(lmic_raw_ub[],MATCH($A409,lmic_raw_ub[[setting]:[setting]],0), MATCH(AE$277, lmic_raw_ub[#Headers],0))=0, INDEX(regions_ub[], MATCH($D409, regions_ub[[setting]:[setting]],0), MATCH(AE$139, regions_ub[#Headers],0)),INDEX(lmic_raw_ub[],MATCH($A409,lmic_raw_ub[[setting]:[setting]],0), MATCH(AE$277, lmic_raw_ub[#Headers],0)))</f>
        <v>2.5277215659804547E-4</v>
      </c>
      <c r="AF409" s="84">
        <f>IF(INDEX(lmic_raw_ub[],MATCH($A409,lmic_raw_ub[[setting]:[setting]],0), MATCH(AF$277, lmic_raw_ub[#Headers],0))=0, INDEX(regions_ub[], MATCH($D409, regions_ub[[setting]:[setting]],0), MATCH(AF$139, regions_ub[#Headers],0)),INDEX(lmic_raw_ub[],MATCH($A409,lmic_raw_ub[[setting]:[setting]],0), MATCH(AF$277, lmic_raw_ub[#Headers],0)))</f>
        <v>3.6449616678762257E-4</v>
      </c>
      <c r="AG409" s="84">
        <f>IF(INDEX(lmic_raw_ub[],MATCH($A409,lmic_raw_ub[[setting]:[setting]],0), MATCH(AG$277, lmic_raw_ub[#Headers],0))=0, INDEX(regions_ub[], MATCH($D409, regions_ub[[setting]:[setting]],0), MATCH(AG$139, regions_ub[#Headers],0)),INDEX(lmic_raw_ub[],MATCH($A409,lmic_raw_ub[[setting]:[setting]],0), MATCH(AG$277, lmic_raw_ub[#Headers],0)))</f>
        <v>1.4893889677768432E-3</v>
      </c>
      <c r="AH409" s="84">
        <f>IF(INDEX(lmic_raw_ub[],MATCH($A409,lmic_raw_ub[[setting]:[setting]],0), MATCH(AH$277, lmic_raw_ub[#Headers],0))=0, INDEX(regions_ub[], MATCH($D409, regions_ub[[setting]:[setting]],0), MATCH(AH$139, regions_ub[#Headers],0)),INDEX(lmic_raw_ub[],MATCH($A409,lmic_raw_ub[[setting]:[setting]],0), MATCH(AH$277, lmic_raw_ub[#Headers],0)))</f>
        <v>2.3134936536522532E-3</v>
      </c>
      <c r="AI409" s="84">
        <f>IF(INDEX(lmic_raw_ub[],MATCH($A409,lmic_raw_ub[[setting]:[setting]],0), MATCH(AI$277, lmic_raw_ub[#Headers],0))=0, INDEX(regions_ub[], MATCH($D409, regions_ub[[setting]:[setting]],0), MATCH(AI$139, regions_ub[#Headers],0)),INDEX(lmic_raw_ub[],MATCH($A409,lmic_raw_ub[[setting]:[setting]],0), MATCH(AI$277, lmic_raw_ub[#Headers],0)))</f>
        <v>2.2736846578139511E-3</v>
      </c>
      <c r="AJ409" s="84">
        <f>IF(INDEX(lmic_raw_ub[],MATCH($A409,lmic_raw_ub[[setting]:[setting]],0), MATCH(AJ$277, lmic_raw_ub[#Headers],0))=0, INDEX(regions_ub[], MATCH($D409, regions_ub[[setting]:[setting]],0), MATCH(AJ$139, regions_ub[#Headers],0)),INDEX(lmic_raw_ub[],MATCH($A409,lmic_raw_ub[[setting]:[setting]],0), MATCH(AJ$277, lmic_raw_ub[#Headers],0)))</f>
        <v>2.2349944572452023E-3</v>
      </c>
      <c r="AK409" s="84">
        <f>IF(INDEX(lmic_raw_ub[],MATCH($A409,lmic_raw_ub[[setting]:[setting]],0), MATCH(AK$277, lmic_raw_ub[#Headers],0))=0, INDEX(regions_ub[], MATCH($D409, regions_ub[[setting]:[setting]],0), MATCH(AK$139, regions_ub[#Headers],0)),INDEX(lmic_raw_ub[],MATCH($A409,lmic_raw_ub[[setting]:[setting]],0), MATCH(AK$277, lmic_raw_ub[#Headers],0)))</f>
        <v>2.2015242130621181E-3</v>
      </c>
      <c r="AL409" s="84">
        <f>IF(INDEX(lmic_raw_ub[],MATCH($A409,lmic_raw_ub[[setting]:[setting]],0), MATCH(AL$277, lmic_raw_ub[#Headers],0))=0, INDEX(regions_ub[], MATCH($D409, regions_ub[[setting]:[setting]],0), MATCH(AL$139, regions_ub[#Headers],0)),INDEX(lmic_raw_ub[],MATCH($A409,lmic_raw_ub[[setting]:[setting]],0), MATCH(AL$277, lmic_raw_ub[#Headers],0)))</f>
        <v>2.7814923091249743E-3</v>
      </c>
      <c r="AM409" s="84">
        <f>IF(INDEX(lmic_raw_ub[],MATCH($A409,lmic_raw_ub[[setting]:[setting]],0), MATCH(AM$277, lmic_raw_ub[#Headers],0))=0, INDEX(regions_ub[], MATCH($D409, regions_ub[[setting]:[setting]],0), MATCH(AM$139, regions_ub[#Headers],0)),INDEX(lmic_raw_ub[],MATCH($A409,lmic_raw_ub[[setting]:[setting]],0), MATCH(AM$277, lmic_raw_ub[#Headers],0)))</f>
        <v>4.139106126120254E-3</v>
      </c>
      <c r="AN409" s="84">
        <f>IF(INDEX(lmic_raw_ub[],MATCH($A409,lmic_raw_ub[[setting]:[setting]],0), MATCH(AN$277, lmic_raw_ub[#Headers],0))=0, INDEX(regions_ub[], MATCH($D409, regions_ub[[setting]:[setting]],0), MATCH(AN$139, regions_ub[#Headers],0)),INDEX(lmic_raw_ub[],MATCH($A409,lmic_raw_ub[[setting]:[setting]],0), MATCH(AN$277, lmic_raw_ub[#Headers],0)))</f>
        <v>6.6394174321236926E-3</v>
      </c>
      <c r="AO409" s="84">
        <f>IF(INDEX(lmic_raw_ub[],MATCH($A409,lmic_raw_ub[[setting]:[setting]],0), MATCH(AO$277, lmic_raw_ub[#Headers],0))=0, INDEX(regions_ub[], MATCH($D409, regions_ub[[setting]:[setting]],0), MATCH(AO$139, regions_ub[#Headers],0)),INDEX(lmic_raw_ub[],MATCH($A409,lmic_raw_ub[[setting]:[setting]],0), MATCH(AO$277, lmic_raw_ub[#Headers],0)))</f>
        <v>1.0052942165228285E-2</v>
      </c>
      <c r="AP409" s="84">
        <f>IF(INDEX(lmic_raw_ub[],MATCH($A409,lmic_raw_ub[[setting]:[setting]],0), MATCH(AP$277, lmic_raw_ub[#Headers],0))=0, INDEX(regions_ub[], MATCH($D409, regions_ub[[setting]:[setting]],0), MATCH(AP$139, regions_ub[#Headers],0)),INDEX(lmic_raw_ub[],MATCH($A409,lmic_raw_ub[[setting]:[setting]],0), MATCH(AP$277, lmic_raw_ub[#Headers],0)))</f>
        <v>1.5652901168800082E-2</v>
      </c>
      <c r="AQ409" s="84">
        <f>IF(INDEX(lmic_raw_ub[],MATCH($A409,lmic_raw_ub[[setting]:[setting]],0), MATCH(AQ$277, lmic_raw_ub[#Headers],0))=0, INDEX(regions_ub[], MATCH($D409, regions_ub[[setting]:[setting]],0), MATCH(AQ$139, regions_ub[#Headers],0)),INDEX(lmic_raw_ub[],MATCH($A409,lmic_raw_ub[[setting]:[setting]],0), MATCH(AQ$277, lmic_raw_ub[#Headers],0)))</f>
        <v>2.5841211753761834E-2</v>
      </c>
      <c r="AR409" s="84">
        <f>IF(INDEX(lmic_raw_ub[],MATCH($A409,lmic_raw_ub[[setting]:[setting]],0), MATCH(AR$277, lmic_raw_ub[#Headers],0))=0, INDEX(regions_ub[], MATCH($D409, regions_ub[[setting]:[setting]],0), MATCH(AR$139, regions_ub[#Headers],0)),INDEX(lmic_raw_ub[],MATCH($A409,lmic_raw_ub[[setting]:[setting]],0), MATCH(AR$277, lmic_raw_ub[#Headers],0)))</f>
        <v>3.8230438413946848E-2</v>
      </c>
      <c r="AS409" s="84">
        <f>IF(INDEX(lmic_raw_ub[],MATCH($A409,lmic_raw_ub[[setting]:[setting]],0), MATCH(AS$277, lmic_raw_ub[#Headers],0))=0, INDEX(regions_ub[], MATCH($D409, regions_ub[[setting]:[setting]],0), MATCH(AS$139, regions_ub[#Headers],0)),INDEX(lmic_raw_ub[],MATCH($A409,lmic_raw_ub[[setting]:[setting]],0), MATCH(AS$277, lmic_raw_ub[#Headers],0)))</f>
        <v>5.482934204375603E-2</v>
      </c>
      <c r="AT409" s="84">
        <f>IF(INDEX(lmic_raw_ub[],MATCH($A409,lmic_raw_ub[[setting]:[setting]],0), MATCH(AT$277, lmic_raw_ub[#Headers],0))=0, INDEX(regions_ub[], MATCH($D409, regions_ub[[setting]:[setting]],0), MATCH(AT$139, regions_ub[#Headers],0)),INDEX(lmic_raw_ub[],MATCH($A409,lmic_raw_ub[[setting]:[setting]],0), MATCH(AT$277, lmic_raw_ub[#Headers],0)))</f>
        <v>6.9253792457248289E-2</v>
      </c>
      <c r="AU409" s="84">
        <f>IF(INDEX(lmic_raw_ub[],MATCH($A409,lmic_raw_ub[[setting]:[setting]],0), MATCH(AU$277, lmic_raw_ub[#Headers],0))=0, INDEX(regions_ub[], MATCH($D409, regions_ub[[setting]:[setting]],0), MATCH(AU$139, regions_ub[#Headers],0)),INDEX(lmic_raw_ub[],MATCH($A409,lmic_raw_ub[[setting]:[setting]],0), MATCH(AU$277, lmic_raw_ub[#Headers],0)))</f>
        <v>9.7030815266185511E-2</v>
      </c>
      <c r="AV409" s="84">
        <f>IF(INDEX(lmic_raw_ub[],MATCH($A409,lmic_raw_ub[[setting]:[setting]],0), MATCH(AV$277, lmic_raw_ub[#Headers],0))=0, INDEX(regions_ub[], MATCH($D409, regions_ub[[setting]:[setting]],0), MATCH(AV$139, regions_ub[#Headers],0)),INDEX(lmic_raw_ub[],MATCH($A409,lmic_raw_ub[[setting]:[setting]],0), MATCH(AV$277, lmic_raw_ub[#Headers],0)))</f>
        <v>0.11907144081338644</v>
      </c>
      <c r="AW409" s="84">
        <f>IF(INDEX(lmic_raw_ub[],MATCH($A409,lmic_raw_ub[[setting]:[setting]],0), MATCH(AW$277, lmic_raw_ub[#Headers],0))=0, INDEX(regions_ub[], MATCH($D409, regions_ub[[setting]:[setting]],0), MATCH(AW$139, regions_ub[#Headers],0)),INDEX(lmic_raw_ub[],MATCH($A409,lmic_raw_ub[[setting]:[setting]],0), MATCH(AW$277, lmic_raw_ub[#Headers],0)))</f>
        <v>0.15244534008934382</v>
      </c>
      <c r="AX409" s="84">
        <f>IF(INDEX(lmic_raw_ub[],MATCH($A409,lmic_raw_ub[[setting]:[setting]],0), MATCH(AX$277, lmic_raw_ub[#Headers],0))=0, INDEX(regions_ub[], MATCH($D409, regions_ub[[setting]:[setting]],0), MATCH(AX$139, regions_ub[#Headers],0)),INDEX(lmic_raw_ub[],MATCH($A409,lmic_raw_ub[[setting]:[setting]],0), MATCH(AX$277, lmic_raw_ub[#Headers],0)))</f>
        <v>75.732300000000009</v>
      </c>
      <c r="AY409" s="33" t="str">
        <f>IF(VLOOKUP(lmics_ub[[#This Row],[setting]],lmic_raw_ub[],11,FALSE)=0, "Yes", "No")</f>
        <v>No</v>
      </c>
    </row>
    <row r="410" spans="1:51" x14ac:dyDescent="0.25">
      <c r="A410" s="109" t="s">
        <v>221</v>
      </c>
      <c r="B410" s="101" t="s">
        <v>539</v>
      </c>
      <c r="C410" s="102">
        <v>704</v>
      </c>
      <c r="D410" s="82" t="s">
        <v>681</v>
      </c>
      <c r="E410" s="82" t="s">
        <v>598</v>
      </c>
      <c r="F410" s="82" t="s">
        <v>666</v>
      </c>
      <c r="G410" s="82" t="s">
        <v>678</v>
      </c>
      <c r="J410" s="84">
        <f>IF(INDEX(lmic_raw_ub[],MATCH($A410,lmic_raw_ub[[setting]:[setting]],0), MATCH(J$277, lmic_raw_ub[#Headers],0))=0, INDEX(regions_ub[], MATCH($D410, regions_ub[[setting]:[setting]],0), MATCH(J$139, regions_ub[#Headers],0)),INDEX(lmic_raw_ub[],MATCH($A410,lmic_raw_ub[[setting]:[setting]],0), MATCH(J$277, lmic_raw_ub[#Headers],0)))</f>
        <v>0.98280000000000001</v>
      </c>
      <c r="K410" s="84">
        <f>IF(INDEX(lmic_raw_ub[],MATCH($A410,lmic_raw_ub[[setting]:[setting]],0), MATCH(K$277, lmic_raw_ub[#Headers],0))=0, INDEX(regions_ub[], MATCH($D410, regions_ub[[setting]:[setting]],0), MATCH(K$139, regions_ub[#Headers],0)),INDEX(lmic_raw_ub[],MATCH($A410,lmic_raw_ub[[setting]:[setting]],0), MATCH(K$277, lmic_raw_ub[#Headers],0)))</f>
        <v>0.82950000000000013</v>
      </c>
      <c r="L410" s="84">
        <f>IF(INDEX(lmic_raw_ub[],MATCH($A410,lmic_raw_ub[[setting]:[setting]],0), MATCH(L$277, lmic_raw_ub[#Headers],0))=0, INDEX(regions_ub[], MATCH($D410, regions_ub[[setting]:[setting]],0), MATCH(L$139, regions_ub[#Headers],0)),INDEX(lmic_raw_ub[],MATCH($A410,lmic_raw_ub[[setting]:[setting]],0), MATCH(L$277, lmic_raw_ub[#Headers],0)))</f>
        <v>0.93450000000000011</v>
      </c>
      <c r="M410" s="84">
        <f>IF(INDEX(lmic_raw_ub[],MATCH($A410,lmic_raw_ub[[setting]:[setting]],0), MATCH(M$277, lmic_raw_ub[#Headers],0))=0, INDEX(regions_ub[], MATCH($D410, regions_ub[[setting]:[setting]],0), MATCH(M$139, regions_ub[#Headers],0)),INDEX(lmic_raw_ub[],MATCH($A410,lmic_raw_ub[[setting]:[setting]],0), MATCH(M$277, lmic_raw_ub[#Headers],0)))</f>
        <v>7.8399999999999997E-2</v>
      </c>
      <c r="N410" s="84">
        <f>IF(INDEX(lmic_raw_ub[],MATCH($A410,lmic_raw_ub[[setting]:[setting]],0), MATCH(N$277, lmic_raw_ub[#Headers],0))=0, INDEX(regions_ub[], MATCH($D410, regions_ub[[setting]:[setting]],0), MATCH(N$139, regions_ub[#Headers],0)),INDEX(lmic_raw_ub[],MATCH($A410,lmic_raw_ub[[setting]:[setting]],0), MATCH(N$277, lmic_raw_ub[#Headers],0)))</f>
        <v>0.47729999999999995</v>
      </c>
      <c r="O410" s="84">
        <f>IF(INDEX(lmic_raw_ub[],MATCH($A410,lmic_raw_ub[[setting]:[setting]],0), MATCH(O$277, lmic_raw_ub[#Headers],0))=0, INDEX(regions_ub[], MATCH($D410, regions_ub[[setting]:[setting]],0), MATCH(O$139, regions_ub[#Headers],0)),INDEX(lmic_raw_ub[],MATCH($A410,lmic_raw_ub[[setting]:[setting]],0), MATCH(O$277, lmic_raw_ub[#Headers],0)))</f>
        <v>0.9</v>
      </c>
      <c r="P410" s="84">
        <f>IF(INDEX(lmic_raw_ub[],MATCH($A410,lmic_raw_ub[[setting]:[setting]],0), MATCH(P$277, lmic_raw_ub[#Headers],0))=0, INDEX(regions_ub[], MATCH($D410, regions_ub[[setting]:[setting]],0), MATCH(P$139, regions_ub[#Headers],0)),INDEX(lmic_raw_ub[],MATCH($A410,lmic_raw_ub[[setting]:[setting]],0), MATCH(P$277, lmic_raw_ub[#Headers],0)))</f>
        <v>0.3</v>
      </c>
      <c r="Q410" s="84">
        <f>IF(INDEX(lmic_raw_ub[],MATCH($A410,lmic_raw_ub[[setting]:[setting]],0), MATCH(Q$277, lmic_raw_ub[#Headers],0))=0, INDEX(regions_ub[], MATCH($D410, regions_ub[[setting]:[setting]],0), MATCH(Q$139, regions_ub[#Headers],0)),INDEX(lmic_raw_ub[],MATCH($A410,lmic_raw_ub[[setting]:[setting]],0), MATCH(Q$277, lmic_raw_ub[#Headers],0)))</f>
        <v>3.8131026596289934</v>
      </c>
      <c r="R410" s="84">
        <f>IF(INDEX(lmic_raw_ub[],MATCH($A410,lmic_raw_ub[[setting]:[setting]],0), MATCH(R$277, lmic_raw_ub[#Headers],0))=0, INDEX(regions_ub[], MATCH($D410, regions_ub[[setting]:[setting]],0), MATCH(R$139, regions_ub[#Headers],0)),INDEX(lmic_raw_ub[],MATCH($A410,lmic_raw_ub[[setting]:[setting]],0), MATCH(R$277, lmic_raw_ub[#Headers],0)))</f>
        <v>76.738725000000002</v>
      </c>
      <c r="S410" s="84">
        <f>IF(INDEX(lmic_raw_ub[],MATCH($A410,lmic_raw_ub[[setting]:[setting]],0), MATCH(S$277, lmic_raw_ub[#Headers],0))=0, INDEX(regions_ub[], MATCH($D410, regions_ub[[setting]:[setting]],0), MATCH(S$139, regions_ub[#Headers],0)),INDEX(lmic_raw_ub[],MATCH($A410,lmic_raw_ub[[setting]:[setting]],0), MATCH(S$277, lmic_raw_ub[#Headers],0)))</f>
        <v>126.867825</v>
      </c>
      <c r="T410" s="84">
        <f>IF(INDEX(lmic_raw_ub[],MATCH($A410,lmic_raw_ub[[setting]:[setting]],0), MATCH(T$277, lmic_raw_ub[#Headers],0))=0, INDEX(regions_ub[], MATCH($D410, regions_ub[[setting]:[setting]],0), MATCH(T$139, regions_ub[#Headers],0)),INDEX(lmic_raw_ub[],MATCH($A410,lmic_raw_ub[[setting]:[setting]],0), MATCH(T$277, lmic_raw_ub[#Headers],0)))</f>
        <v>126.867825</v>
      </c>
      <c r="U410" s="84">
        <f>IF(INDEX(lmic_raw_ub[],MATCH($A410,lmic_raw_ub[[setting]:[setting]],0), MATCH(U$277, lmic_raw_ub[#Headers],0))=0, INDEX(regions_ub[], MATCH($D410, regions_ub[[setting]:[setting]],0), MATCH(U$139, regions_ub[#Headers],0)),INDEX(lmic_raw_ub[],MATCH($A410,lmic_raw_ub[[setting]:[setting]],0), MATCH(U$277, lmic_raw_ub[#Headers],0)))</f>
        <v>126.867825</v>
      </c>
      <c r="V410" s="84">
        <f>IF(INDEX(lmic_raw_ub[],MATCH($A410,lmic_raw_ub[[setting]:[setting]],0), MATCH(V$277, lmic_raw_ub[#Headers],0))=0, INDEX(regions_ub[], MATCH($D410, regions_ub[[setting]:[setting]],0), MATCH(V$139, regions_ub[#Headers],0)),INDEX(lmic_raw_ub[],MATCH($A410,lmic_raw_ub[[setting]:[setting]],0), MATCH(V$277, lmic_raw_ub[#Headers],0)))</f>
        <v>3.7658081658335361</v>
      </c>
      <c r="W410" s="84">
        <f>IF(INDEX(lmic_raw_ub[],MATCH($A410,lmic_raw_ub[[setting]:[setting]],0), MATCH(W$277, lmic_raw_ub[#Headers],0))=0, INDEX(regions_ub[], MATCH($D410, regions_ub[[setting]:[setting]],0), MATCH(W$139, regions_ub[#Headers],0)),INDEX(lmic_raw_ub[],MATCH($A410,lmic_raw_ub[[setting]:[setting]],0), MATCH(W$277, lmic_raw_ub[#Headers],0)))</f>
        <v>4.4296181658335358</v>
      </c>
      <c r="X410" s="84">
        <f>IF(INDEX(lmic_raw_ub[],MATCH($A410,lmic_raw_ub[[setting]:[setting]],0), MATCH(X$277, lmic_raw_ub[#Headers],0))=0, INDEX(regions_ub[], MATCH($D410, regions_ub[[setting]:[setting]],0), MATCH(X$139, regions_ub[#Headers],0)),INDEX(lmic_raw_ub[],MATCH($A410,lmic_raw_ub[[setting]:[setting]],0), MATCH(X$277, lmic_raw_ub[#Headers],0)))</f>
        <v>3.2515443441030225</v>
      </c>
      <c r="Y410" s="84">
        <f>IF(INDEX(lmic_raw_ub[],MATCH($A410,lmic_raw_ub[[setting]:[setting]],0), MATCH(Y$277, lmic_raw_ub[#Headers],0))=0, INDEX(regions_ub[], MATCH($D410, regions_ub[[setting]:[setting]],0), MATCH(Y$139, regions_ub[#Headers],0)),INDEX(lmic_raw_ub[],MATCH($A410,lmic_raw_ub[[setting]:[setting]],0), MATCH(Y$277, lmic_raw_ub[#Headers],0)))</f>
        <v>3.9153543441030223</v>
      </c>
      <c r="Z410" s="84">
        <f>IF(INDEX(lmic_raw_ub[],MATCH($A410,lmic_raw_ub[[setting]:[setting]],0), MATCH(Z$277, lmic_raw_ub[#Headers],0))=0, INDEX(regions_ub[], MATCH($D410, regions_ub[[setting]:[setting]],0), MATCH(Z$139, regions_ub[#Headers],0)),INDEX(lmic_raw_ub[],MATCH($A410,lmic_raw_ub[[setting]:[setting]],0), MATCH(Z$277, lmic_raw_ub[#Headers],0)))</f>
        <v>3.8975231558252386</v>
      </c>
      <c r="AA410" s="84">
        <f>IF(INDEX(lmic_raw_ub[],MATCH($A410,lmic_raw_ub[[setting]:[setting]],0), MATCH(AA$277, lmic_raw_ub[#Headers],0))=0, INDEX(regions_ub[], MATCH($D410, regions_ub[[setting]:[setting]],0), MATCH(AA$139, regions_ub[#Headers],0)),INDEX(lmic_raw_ub[],MATCH($A410,lmic_raw_ub[[setting]:[setting]],0), MATCH(AA$277, lmic_raw_ub[#Headers],0)))</f>
        <v>4.0386173431768055</v>
      </c>
      <c r="AB410" s="84">
        <f>IF(INDEX(lmic_raw_ub[],MATCH($A410,lmic_raw_ub[[setting]:[setting]],0), MATCH(AB$277, lmic_raw_ub[#Headers],0))=0, INDEX(regions_ub[], MATCH($D410, regions_ub[[setting]:[setting]],0), MATCH(AB$139, regions_ub[#Headers],0)),INDEX(lmic_raw_ub[],MATCH($A410,lmic_raw_ub[[setting]:[setting]],0), MATCH(AB$277, lmic_raw_ub[#Headers],0)))</f>
        <v>4.7024273431768053</v>
      </c>
      <c r="AC410" s="84">
        <f>IF(INDEX(lmic_raw_ub[],MATCH($A410,lmic_raw_ub[[setting]:[setting]],0), MATCH(AC$277, lmic_raw_ub[#Headers],0))=0, INDEX(regions_ub[], MATCH($D410, regions_ub[[setting]:[setting]],0), MATCH(AC$139, regions_ub[#Headers],0)),INDEX(lmic_raw_ub[],MATCH($A410,lmic_raw_ub[[setting]:[setting]],0), MATCH(AC$277, lmic_raw_ub[#Headers],0)))</f>
        <v>1.7555989499999963E-2</v>
      </c>
      <c r="AD410" s="84">
        <f>IF(INDEX(lmic_raw_ub[],MATCH($A410,lmic_raw_ub[[setting]:[setting]],0), MATCH(AD$277, lmic_raw_ub[#Headers],0))=0, INDEX(regions_ub[], MATCH($D410, regions_ub[[setting]:[setting]],0), MATCH(AD$139, regions_ub[#Headers],0)),INDEX(lmic_raw_ub[],MATCH($A410,lmic_raw_ub[[setting]:[setting]],0), MATCH(AD$277, lmic_raw_ub[#Headers],0)))</f>
        <v>1.1277077625121204E-3</v>
      </c>
      <c r="AE410" s="84">
        <f>IF(INDEX(lmic_raw_ub[],MATCH($A410,lmic_raw_ub[[setting]:[setting]],0), MATCH(AE$277, lmic_raw_ub[#Headers],0))=0, INDEX(regions_ub[], MATCH($D410, regions_ub[[setting]:[setting]],0), MATCH(AE$139, regions_ub[#Headers],0)),INDEX(lmic_raw_ub[],MATCH($A410,lmic_raw_ub[[setting]:[setting]],0), MATCH(AE$277, lmic_raw_ub[#Headers],0)))</f>
        <v>5.4585304999110241E-4</v>
      </c>
      <c r="AF410" s="84">
        <f>IF(INDEX(lmic_raw_ub[],MATCH($A410,lmic_raw_ub[[setting]:[setting]],0), MATCH(AF$277, lmic_raw_ub[#Headers],0))=0, INDEX(regions_ub[], MATCH($D410, regions_ub[[setting]:[setting]],0), MATCH(AF$139, regions_ub[#Headers],0)),INDEX(lmic_raw_ub[],MATCH($A410,lmic_raw_ub[[setting]:[setting]],0), MATCH(AF$277, lmic_raw_ub[#Headers],0)))</f>
        <v>4.874698025659766E-4</v>
      </c>
      <c r="AG410" s="84">
        <f>IF(INDEX(lmic_raw_ub[],MATCH($A410,lmic_raw_ub[[setting]:[setting]],0), MATCH(AG$277, lmic_raw_ub[#Headers],0))=0, INDEX(regions_ub[], MATCH($D410, regions_ub[[setting]:[setting]],0), MATCH(AG$139, regions_ub[#Headers],0)),INDEX(lmic_raw_ub[],MATCH($A410,lmic_raw_ub[[setting]:[setting]],0), MATCH(AG$277, lmic_raw_ub[#Headers],0)))</f>
        <v>7.8444655646340124E-4</v>
      </c>
      <c r="AH410" s="84">
        <f>IF(INDEX(lmic_raw_ub[],MATCH($A410,lmic_raw_ub[[setting]:[setting]],0), MATCH(AH$277, lmic_raw_ub[#Headers],0))=0, INDEX(regions_ub[], MATCH($D410, regions_ub[[setting]:[setting]],0), MATCH(AH$139, regions_ub[#Headers],0)),INDEX(lmic_raw_ub[],MATCH($A410,lmic_raw_ub[[setting]:[setting]],0), MATCH(AH$277, lmic_raw_ub[#Headers],0)))</f>
        <v>1.1497257576290603E-3</v>
      </c>
      <c r="AI410" s="84">
        <f>IF(INDEX(lmic_raw_ub[],MATCH($A410,lmic_raw_ub[[setting]:[setting]],0), MATCH(AI$277, lmic_raw_ub[#Headers],0))=0, INDEX(regions_ub[], MATCH($D410, regions_ub[[setting]:[setting]],0), MATCH(AI$139, regions_ub[#Headers],0)),INDEX(lmic_raw_ub[],MATCH($A410,lmic_raw_ub[[setting]:[setting]],0), MATCH(AI$277, lmic_raw_ub[#Headers],0)))</f>
        <v>1.4152865966354953E-3</v>
      </c>
      <c r="AJ410" s="84">
        <f>IF(INDEX(lmic_raw_ub[],MATCH($A410,lmic_raw_ub[[setting]:[setting]],0), MATCH(AJ$277, lmic_raw_ub[#Headers],0))=0, INDEX(regions_ub[], MATCH($D410, regions_ub[[setting]:[setting]],0), MATCH(AJ$139, regions_ub[#Headers],0)),INDEX(lmic_raw_ub[],MATCH($A410,lmic_raw_ub[[setting]:[setting]],0), MATCH(AJ$277, lmic_raw_ub[#Headers],0)))</f>
        <v>1.6527697619942089E-3</v>
      </c>
      <c r="AK410" s="84">
        <f>IF(INDEX(lmic_raw_ub[],MATCH($A410,lmic_raw_ub[[setting]:[setting]],0), MATCH(AK$277, lmic_raw_ub[#Headers],0))=0, INDEX(regions_ub[], MATCH($D410, regions_ub[[setting]:[setting]],0), MATCH(AK$139, regions_ub[#Headers],0)),INDEX(lmic_raw_ub[],MATCH($A410,lmic_raw_ub[[setting]:[setting]],0), MATCH(AK$277, lmic_raw_ub[#Headers],0)))</f>
        <v>2.0442492352793079E-3</v>
      </c>
      <c r="AL410" s="84">
        <f>IF(INDEX(lmic_raw_ub[],MATCH($A410,lmic_raw_ub[[setting]:[setting]],0), MATCH(AL$277, lmic_raw_ub[#Headers],0))=0, INDEX(regions_ub[], MATCH($D410, regions_ub[[setting]:[setting]],0), MATCH(AL$139, regions_ub[#Headers],0)),INDEX(lmic_raw_ub[],MATCH($A410,lmic_raw_ub[[setting]:[setting]],0), MATCH(AL$277, lmic_raw_ub[#Headers],0)))</f>
        <v>2.8838862470943459E-3</v>
      </c>
      <c r="AM410" s="84">
        <f>IF(INDEX(lmic_raw_ub[],MATCH($A410,lmic_raw_ub[[setting]:[setting]],0), MATCH(AM$277, lmic_raw_ub[#Headers],0))=0, INDEX(regions_ub[], MATCH($D410, regions_ub[[setting]:[setting]],0), MATCH(AM$139, regions_ub[#Headers],0)),INDEX(lmic_raw_ub[],MATCH($A410,lmic_raw_ub[[setting]:[setting]],0), MATCH(AM$277, lmic_raw_ub[#Headers],0)))</f>
        <v>4.039019072107704E-3</v>
      </c>
      <c r="AN410" s="84">
        <f>IF(INDEX(lmic_raw_ub[],MATCH($A410,lmic_raw_ub[[setting]:[setting]],0), MATCH(AN$277, lmic_raw_ub[#Headers],0))=0, INDEX(regions_ub[], MATCH($D410, regions_ub[[setting]:[setting]],0), MATCH(AN$139, regions_ub[#Headers],0)),INDEX(lmic_raw_ub[],MATCH($A410,lmic_raw_ub[[setting]:[setting]],0), MATCH(AN$277, lmic_raw_ub[#Headers],0)))</f>
        <v>6.401463328232701E-3</v>
      </c>
      <c r="AO410" s="84">
        <f>IF(INDEX(lmic_raw_ub[],MATCH($A410,lmic_raw_ub[[setting]:[setting]],0), MATCH(AO$277, lmic_raw_ub[#Headers],0))=0, INDEX(regions_ub[], MATCH($D410, regions_ub[[setting]:[setting]],0), MATCH(AO$139, regions_ub[#Headers],0)),INDEX(lmic_raw_ub[],MATCH($A410,lmic_raw_ub[[setting]:[setting]],0), MATCH(AO$277, lmic_raw_ub[#Headers],0)))</f>
        <v>9.5479030414599396E-3</v>
      </c>
      <c r="AP410" s="84">
        <f>IF(INDEX(lmic_raw_ub[],MATCH($A410,lmic_raw_ub[[setting]:[setting]],0), MATCH(AP$277, lmic_raw_ub[#Headers],0))=0, INDEX(regions_ub[], MATCH($D410, regions_ub[[setting]:[setting]],0), MATCH(AP$139, regions_ub[#Headers],0)),INDEX(lmic_raw_ub[],MATCH($A410,lmic_raw_ub[[setting]:[setting]],0), MATCH(AP$277, lmic_raw_ub[#Headers],0)))</f>
        <v>1.2988579382568506E-2</v>
      </c>
      <c r="AQ410" s="84">
        <f>IF(INDEX(lmic_raw_ub[],MATCH($A410,lmic_raw_ub[[setting]:[setting]],0), MATCH(AQ$277, lmic_raw_ub[#Headers],0))=0, INDEX(regions_ub[], MATCH($D410, regions_ub[[setting]:[setting]],0), MATCH(AQ$139, regions_ub[#Headers],0)),INDEX(lmic_raw_ub[],MATCH($A410,lmic_raw_ub[[setting]:[setting]],0), MATCH(AQ$277, lmic_raw_ub[#Headers],0)))</f>
        <v>2.0649897284755848E-2</v>
      </c>
      <c r="AR410" s="84">
        <f>IF(INDEX(lmic_raw_ub[],MATCH($A410,lmic_raw_ub[[setting]:[setting]],0), MATCH(AR$277, lmic_raw_ub[#Headers],0))=0, INDEX(regions_ub[], MATCH($D410, regions_ub[[setting]:[setting]],0), MATCH(AR$139, regions_ub[#Headers],0)),INDEX(lmic_raw_ub[],MATCH($A410,lmic_raw_ub[[setting]:[setting]],0), MATCH(AR$277, lmic_raw_ub[#Headers],0)))</f>
        <v>3.0001753421643147E-2</v>
      </c>
      <c r="AS410" s="84">
        <f>IF(INDEX(lmic_raw_ub[],MATCH($A410,lmic_raw_ub[[setting]:[setting]],0), MATCH(AS$277, lmic_raw_ub[#Headers],0))=0, INDEX(regions_ub[], MATCH($D410, regions_ub[[setting]:[setting]],0), MATCH(AS$139, regions_ub[#Headers],0)),INDEX(lmic_raw_ub[],MATCH($A410,lmic_raw_ub[[setting]:[setting]],0), MATCH(AS$277, lmic_raw_ub[#Headers],0)))</f>
        <v>4.3426064325704075E-2</v>
      </c>
      <c r="AT410" s="84">
        <f>IF(INDEX(lmic_raw_ub[],MATCH($A410,lmic_raw_ub[[setting]:[setting]],0), MATCH(AT$277, lmic_raw_ub[#Headers],0))=0, INDEX(regions_ub[], MATCH($D410, regions_ub[[setting]:[setting]],0), MATCH(AT$139, regions_ub[#Headers],0)),INDEX(lmic_raw_ub[],MATCH($A410,lmic_raw_ub[[setting]:[setting]],0), MATCH(AT$277, lmic_raw_ub[#Headers],0)))</f>
        <v>6.1747027140450224E-2</v>
      </c>
      <c r="AU410" s="84">
        <f>IF(INDEX(lmic_raw_ub[],MATCH($A410,lmic_raw_ub[[setting]:[setting]],0), MATCH(AU$277, lmic_raw_ub[#Headers],0))=0, INDEX(regions_ub[], MATCH($D410, regions_ub[[setting]:[setting]],0), MATCH(AU$139, regions_ub[#Headers],0)),INDEX(lmic_raw_ub[],MATCH($A410,lmic_raw_ub[[setting]:[setting]],0), MATCH(AU$277, lmic_raw_ub[#Headers],0)))</f>
        <v>8.5324750023104093E-2</v>
      </c>
      <c r="AV410" s="84">
        <f>IF(INDEX(lmic_raw_ub[],MATCH($A410,lmic_raw_ub[[setting]:[setting]],0), MATCH(AV$277, lmic_raw_ub[#Headers],0))=0, INDEX(regions_ub[], MATCH($D410, regions_ub[[setting]:[setting]],0), MATCH(AV$139, regions_ub[#Headers],0)),INDEX(lmic_raw_ub[],MATCH($A410,lmic_raw_ub[[setting]:[setting]],0), MATCH(AV$277, lmic_raw_ub[#Headers],0)))</f>
        <v>0.11290104873381888</v>
      </c>
      <c r="AW410" s="84">
        <f>IF(INDEX(lmic_raw_ub[],MATCH($A410,lmic_raw_ub[[setting]:[setting]],0), MATCH(AW$277, lmic_raw_ub[#Headers],0))=0, INDEX(regions_ub[], MATCH($D410, regions_ub[[setting]:[setting]],0), MATCH(AW$139, regions_ub[#Headers],0)),INDEX(lmic_raw_ub[],MATCH($A410,lmic_raw_ub[[setting]:[setting]],0), MATCH(AW$277, lmic_raw_ub[#Headers],0)))</f>
        <v>0.14169286492612571</v>
      </c>
      <c r="AX410" s="84">
        <f>IF(INDEX(lmic_raw_ub[],MATCH($A410,lmic_raw_ub[[setting]:[setting]],0), MATCH(AX$277, lmic_raw_ub[#Headers],0))=0, INDEX(regions_ub[], MATCH($D410, regions_ub[[setting]:[setting]],0), MATCH(AX$139, regions_ub[#Headers],0)),INDEX(lmic_raw_ub[],MATCH($A410,lmic_raw_ub[[setting]:[setting]],0), MATCH(AX$277, lmic_raw_ub[#Headers],0)))</f>
        <v>79.037700000000001</v>
      </c>
      <c r="AY410" s="33" t="str">
        <f>IF(VLOOKUP(lmics_ub[[#This Row],[setting]],lmic_raw_ub[],11,FALSE)=0, "Yes", "No")</f>
        <v>No</v>
      </c>
    </row>
    <row r="411" spans="1:51" x14ac:dyDescent="0.25">
      <c r="A411" s="110" t="s">
        <v>182</v>
      </c>
      <c r="B411" s="104" t="s">
        <v>540</v>
      </c>
      <c r="C411" s="105">
        <v>887</v>
      </c>
      <c r="D411" s="84" t="s">
        <v>673</v>
      </c>
      <c r="E411" s="84" t="s">
        <v>579</v>
      </c>
      <c r="F411" s="84" t="s">
        <v>579</v>
      </c>
      <c r="G411" s="84" t="s">
        <v>674</v>
      </c>
      <c r="J411" s="84">
        <f>IF(INDEX(lmic_raw_ub[],MATCH($A411,lmic_raw_ub[[setting]:[setting]],0), MATCH(J$277, lmic_raw_ub[#Headers],0))=0, INDEX(regions_ub[], MATCH($D411, regions_ub[[setting]:[setting]],0), MATCH(J$139, regions_ub[#Headers],0)),INDEX(lmic_raw_ub[],MATCH($A411,lmic_raw_ub[[setting]:[setting]],0), MATCH(J$277, lmic_raw_ub[#Headers],0)))</f>
        <v>0.31290000000000001</v>
      </c>
      <c r="K411" s="84">
        <f>IF(INDEX(lmic_raw_ub[],MATCH($A411,lmic_raw_ub[[setting]:[setting]],0), MATCH(K$277, lmic_raw_ub[#Headers],0))=0, INDEX(regions_ub[], MATCH($D411, regions_ub[[setting]:[setting]],0), MATCH(K$139, regions_ub[#Headers],0)),INDEX(lmic_raw_ub[],MATCH($A411,lmic_raw_ub[[setting]:[setting]],0), MATCH(K$277, lmic_raw_ub[#Headers],0)))</f>
        <v>0.74462879341111321</v>
      </c>
      <c r="L411" s="84">
        <f>IF(INDEX(lmic_raw_ub[],MATCH($A411,lmic_raw_ub[[setting]:[setting]],0), MATCH(L$277, lmic_raw_ub[#Headers],0))=0, INDEX(regions_ub[], MATCH($D411, regions_ub[[setting]:[setting]],0), MATCH(L$139, regions_ub[#Headers],0)),INDEX(lmic_raw_ub[],MATCH($A411,lmic_raw_ub[[setting]:[setting]],0), MATCH(L$277, lmic_raw_ub[#Headers],0)))</f>
        <v>0.76649999999999996</v>
      </c>
      <c r="M411" s="84">
        <f>IF(INDEX(lmic_raw_ub[],MATCH($A411,lmic_raw_ub[[setting]:[setting]],0), MATCH(M$277, lmic_raw_ub[#Headers],0))=0, INDEX(regions_ub[], MATCH($D411, regions_ub[[setting]:[setting]],0), MATCH(M$139, regions_ub[#Headers],0)),INDEX(lmic_raw_ub[],MATCH($A411,lmic_raw_ub[[setting]:[setting]],0), MATCH(M$277, lmic_raw_ub[#Headers],0)))</f>
        <v>6.2300000000000001E-2</v>
      </c>
      <c r="N411" s="84">
        <f>IF(INDEX(lmic_raw_ub[],MATCH($A411,lmic_raw_ub[[setting]:[setting]],0), MATCH(N$277, lmic_raw_ub[#Headers],0))=0, INDEX(regions_ub[], MATCH($D411, regions_ub[[setting]:[setting]],0), MATCH(N$139, regions_ub[#Headers],0)),INDEX(lmic_raw_ub[],MATCH($A411,lmic_raw_ub[[setting]:[setting]],0), MATCH(N$277, lmic_raw_ub[#Headers],0)))</f>
        <v>0.37619999999999998</v>
      </c>
      <c r="O411" s="84">
        <f>IF(INDEX(lmic_raw_ub[],MATCH($A411,lmic_raw_ub[[setting]:[setting]],0), MATCH(O$277, lmic_raw_ub[#Headers],0))=0, INDEX(regions_ub[], MATCH($D411, regions_ub[[setting]:[setting]],0), MATCH(O$139, regions_ub[#Headers],0)),INDEX(lmic_raw_ub[],MATCH($A411,lmic_raw_ub[[setting]:[setting]],0), MATCH(O$277, lmic_raw_ub[#Headers],0)))</f>
        <v>0.9</v>
      </c>
      <c r="P411" s="84">
        <f>IF(INDEX(lmic_raw_ub[],MATCH($A411,lmic_raw_ub[[setting]:[setting]],0), MATCH(P$277, lmic_raw_ub[#Headers],0))=0, INDEX(regions_ub[], MATCH($D411, regions_ub[[setting]:[setting]],0), MATCH(P$139, regions_ub[#Headers],0)),INDEX(lmic_raw_ub[],MATCH($A411,lmic_raw_ub[[setting]:[setting]],0), MATCH(P$277, lmic_raw_ub[#Headers],0)))</f>
        <v>0.3</v>
      </c>
      <c r="Q411" s="84">
        <f>IF(INDEX(lmic_raw_ub[],MATCH($A411,lmic_raw_ub[[setting]:[setting]],0), MATCH(Q$277, lmic_raw_ub[#Headers],0))=0, INDEX(regions_ub[], MATCH($D411, regions_ub[[setting]:[setting]],0), MATCH(Q$139, regions_ub[#Headers],0)),INDEX(lmic_raw_ub[],MATCH($A411,lmic_raw_ub[[setting]:[setting]],0), MATCH(Q$277, lmic_raw_ub[#Headers],0)))</f>
        <v>4.6107028302277628</v>
      </c>
      <c r="R411" s="84">
        <f>IF(INDEX(lmic_raw_ub[],MATCH($A411,lmic_raw_ub[[setting]:[setting]],0), MATCH(R$277, lmic_raw_ub[#Headers],0))=0, INDEX(regions_ub[], MATCH($D411, regions_ub[[setting]:[setting]],0), MATCH(R$139, regions_ub[#Headers],0)),INDEX(lmic_raw_ub[],MATCH($A411,lmic_raw_ub[[setting]:[setting]],0), MATCH(R$277, lmic_raw_ub[#Headers],0)))</f>
        <v>48.652695000000001</v>
      </c>
      <c r="S411" s="84">
        <f>IF(INDEX(lmic_raw_ub[],MATCH($A411,lmic_raw_ub[[setting]:[setting]],0), MATCH(S$277, lmic_raw_ub[#Headers],0))=0, INDEX(regions_ub[], MATCH($D411, regions_ub[[setting]:[setting]],0), MATCH(S$139, regions_ub[#Headers],0)),INDEX(lmic_raw_ub[],MATCH($A411,lmic_raw_ub[[setting]:[setting]],0), MATCH(S$277, lmic_raw_ub[#Headers],0)))</f>
        <v>98.781795000000017</v>
      </c>
      <c r="T411" s="84">
        <f>IF(INDEX(lmic_raw_ub[],MATCH($A411,lmic_raw_ub[[setting]:[setting]],0), MATCH(T$277, lmic_raw_ub[#Headers],0))=0, INDEX(regions_ub[], MATCH($D411, regions_ub[[setting]:[setting]],0), MATCH(T$139, regions_ub[#Headers],0)),INDEX(lmic_raw_ub[],MATCH($A411,lmic_raw_ub[[setting]:[setting]],0), MATCH(T$277, lmic_raw_ub[#Headers],0)))</f>
        <v>98.781795000000017</v>
      </c>
      <c r="U411" s="84">
        <f>IF(INDEX(lmic_raw_ub[],MATCH($A411,lmic_raw_ub[[setting]:[setting]],0), MATCH(U$277, lmic_raw_ub[#Headers],0))=0, INDEX(regions_ub[], MATCH($D411, regions_ub[[setting]:[setting]],0), MATCH(U$139, regions_ub[#Headers],0)),INDEX(lmic_raw_ub[],MATCH($A411,lmic_raw_ub[[setting]:[setting]],0), MATCH(U$277, lmic_raw_ub[#Headers],0)))</f>
        <v>98.781795000000017</v>
      </c>
      <c r="V411" s="84">
        <f>IF(INDEX(lmic_raw_ub[],MATCH($A411,lmic_raw_ub[[setting]:[setting]],0), MATCH(V$277, lmic_raw_ub[#Headers],0))=0, INDEX(regions_ub[], MATCH($D411, regions_ub[[setting]:[setting]],0), MATCH(V$139, regions_ub[#Headers],0)),INDEX(lmic_raw_ub[],MATCH($A411,lmic_raw_ub[[setting]:[setting]],0), MATCH(V$277, lmic_raw_ub[#Headers],0)))</f>
        <v>2.9855342583903552</v>
      </c>
      <c r="W411" s="84">
        <f>IF(INDEX(lmic_raw_ub[],MATCH($A411,lmic_raw_ub[[setting]:[setting]],0), MATCH(W$277, lmic_raw_ub[#Headers],0))=0, INDEX(regions_ub[], MATCH($D411, regions_ub[[setting]:[setting]],0), MATCH(W$139, regions_ub[#Headers],0)),INDEX(lmic_raw_ub[],MATCH($A411,lmic_raw_ub[[setting]:[setting]],0), MATCH(W$277, lmic_raw_ub[#Headers],0)))</f>
        <v>3.4891142583903552</v>
      </c>
      <c r="X411" s="84">
        <f>IF(INDEX(lmic_raw_ub[],MATCH($A411,lmic_raw_ub[[setting]:[setting]],0), MATCH(X$277, lmic_raw_ub[#Headers],0))=0, INDEX(regions_ub[], MATCH($D411, regions_ub[[setting]:[setting]],0), MATCH(X$139, regions_ub[#Headers],0)),INDEX(lmic_raw_ub[],MATCH($A411,lmic_raw_ub[[setting]:[setting]],0), MATCH(X$277, lmic_raw_ub[#Headers],0)))</f>
        <v>2.488636406117799</v>
      </c>
      <c r="Y411" s="84">
        <f>IF(INDEX(lmic_raw_ub[],MATCH($A411,lmic_raw_ub[[setting]:[setting]],0), MATCH(Y$277, lmic_raw_ub[#Headers],0))=0, INDEX(regions_ub[], MATCH($D411, regions_ub[[setting]:[setting]],0), MATCH(Y$139, regions_ub[#Headers],0)),INDEX(lmic_raw_ub[],MATCH($A411,lmic_raw_ub[[setting]:[setting]],0), MATCH(Y$277, lmic_raw_ub[#Headers],0)))</f>
        <v>2.9922164061177989</v>
      </c>
      <c r="Z411" s="84">
        <f>IF(INDEX(lmic_raw_ub[],MATCH($A411,lmic_raw_ub[[setting]:[setting]],0), MATCH(Z$277, lmic_raw_ub[#Headers],0))=0, INDEX(regions_ub[], MATCH($D411, regions_ub[[setting]:[setting]],0), MATCH(Z$139, regions_ub[#Headers],0)),INDEX(lmic_raw_ub[],MATCH($A411,lmic_raw_ub[[setting]:[setting]],0), MATCH(Z$277, lmic_raw_ub[#Headers],0)))</f>
        <v>2.9844227086800057</v>
      </c>
      <c r="AA411" s="84">
        <f>IF(INDEX(lmic_raw_ub[],MATCH($A411,lmic_raw_ub[[setting]:[setting]],0), MATCH(AA$277, lmic_raw_ub[#Headers],0))=0, INDEX(regions_ub[], MATCH($D411, regions_ub[[setting]:[setting]],0), MATCH(AA$139, regions_ub[#Headers],0)),INDEX(lmic_raw_ub[],MATCH($A411,lmic_raw_ub[[setting]:[setting]],0), MATCH(AA$277, lmic_raw_ub[#Headers],0)))</f>
        <v>3.2544014672063586</v>
      </c>
      <c r="AB411" s="84">
        <f>IF(INDEX(lmic_raw_ub[],MATCH($A411,lmic_raw_ub[[setting]:[setting]],0), MATCH(AB$277, lmic_raw_ub[#Headers],0))=0, INDEX(regions_ub[], MATCH($D411, regions_ub[[setting]:[setting]],0), MATCH(AB$139, regions_ub[#Headers],0)),INDEX(lmic_raw_ub[],MATCH($A411,lmic_raw_ub[[setting]:[setting]],0), MATCH(AB$277, lmic_raw_ub[#Headers],0)))</f>
        <v>3.7579814672063585</v>
      </c>
      <c r="AC411" s="84">
        <f>IF(INDEX(lmic_raw_ub[],MATCH($A411,lmic_raw_ub[[setting]:[setting]],0), MATCH(AC$277, lmic_raw_ub[#Headers],0))=0, INDEX(regions_ub[], MATCH($D411, regions_ub[[setting]:[setting]],0), MATCH(AC$139, regions_ub[#Headers],0)),INDEX(lmic_raw_ub[],MATCH($A411,lmic_raw_ub[[setting]:[setting]],0), MATCH(AC$277, lmic_raw_ub[#Headers],0)))</f>
        <v>4.5406010999999975E-2</v>
      </c>
      <c r="AD411" s="84">
        <f>IF(INDEX(lmic_raw_ub[],MATCH($A411,lmic_raw_ub[[setting]:[setting]],0), MATCH(AD$277, lmic_raw_ub[#Headers],0))=0, INDEX(regions_ub[], MATCH($D411, regions_ub[[setting]:[setting]],0), MATCH(AD$139, regions_ub[#Headers],0)),INDEX(lmic_raw_ub[],MATCH($A411,lmic_raw_ub[[setting]:[setting]],0), MATCH(AD$277, lmic_raw_ub[#Headers],0)))</f>
        <v>3.347256011453192E-3</v>
      </c>
      <c r="AE411" s="84">
        <f>IF(INDEX(lmic_raw_ub[],MATCH($A411,lmic_raw_ub[[setting]:[setting]],0), MATCH(AE$277, lmic_raw_ub[#Headers],0))=0, INDEX(regions_ub[], MATCH($D411, regions_ub[[setting]:[setting]],0), MATCH(AE$139, regions_ub[#Headers],0)),INDEX(lmic_raw_ub[],MATCH($A411,lmic_raw_ub[[setting]:[setting]],0), MATCH(AE$277, lmic_raw_ub[#Headers],0)))</f>
        <v>1.1292859614539642E-3</v>
      </c>
      <c r="AF411" s="84">
        <f>IF(INDEX(lmic_raw_ub[],MATCH($A411,lmic_raw_ub[[setting]:[setting]],0), MATCH(AF$277, lmic_raw_ub[#Headers],0))=0, INDEX(regions_ub[], MATCH($D411, regions_ub[[setting]:[setting]],0), MATCH(AF$139, regions_ub[#Headers],0)),INDEX(lmic_raw_ub[],MATCH($A411,lmic_raw_ub[[setting]:[setting]],0), MATCH(AF$277, lmic_raw_ub[#Headers],0)))</f>
        <v>8.7131256840576208E-4</v>
      </c>
      <c r="AG411" s="84">
        <f>IF(INDEX(lmic_raw_ub[],MATCH($A411,lmic_raw_ub[[setting]:[setting]],0), MATCH(AG$277, lmic_raw_ub[#Headers],0))=0, INDEX(regions_ub[], MATCH($D411, regions_ub[[setting]:[setting]],0), MATCH(AG$139, regions_ub[#Headers],0)),INDEX(lmic_raw_ub[],MATCH($A411,lmic_raw_ub[[setting]:[setting]],0), MATCH(AG$277, lmic_raw_ub[#Headers],0)))</f>
        <v>1.5187187447479047E-3</v>
      </c>
      <c r="AH411" s="84">
        <f>IF(INDEX(lmic_raw_ub[],MATCH($A411,lmic_raw_ub[[setting]:[setting]],0), MATCH(AH$277, lmic_raw_ub[#Headers],0))=0, INDEX(regions_ub[], MATCH($D411, regions_ub[[setting]:[setting]],0), MATCH(AH$139, regions_ub[#Headers],0)),INDEX(lmic_raw_ub[],MATCH($A411,lmic_raw_ub[[setting]:[setting]],0), MATCH(AH$277, lmic_raw_ub[#Headers],0)))</f>
        <v>1.9811154382844E-3</v>
      </c>
      <c r="AI411" s="84">
        <f>IF(INDEX(lmic_raw_ub[],MATCH($A411,lmic_raw_ub[[setting]:[setting]],0), MATCH(AI$277, lmic_raw_ub[#Headers],0))=0, INDEX(regions_ub[], MATCH($D411, regions_ub[[setting]:[setting]],0), MATCH(AI$139, regions_ub[#Headers],0)),INDEX(lmic_raw_ub[],MATCH($A411,lmic_raw_ub[[setting]:[setting]],0), MATCH(AI$277, lmic_raw_ub[#Headers],0)))</f>
        <v>2.119861374978028E-3</v>
      </c>
      <c r="AJ411" s="84">
        <f>IF(INDEX(lmic_raw_ub[],MATCH($A411,lmic_raw_ub[[setting]:[setting]],0), MATCH(AJ$277, lmic_raw_ub[#Headers],0))=0, INDEX(regions_ub[], MATCH($D411, regions_ub[[setting]:[setting]],0), MATCH(AJ$139, regions_ub[#Headers],0)),INDEX(lmic_raw_ub[],MATCH($A411,lmic_raw_ub[[setting]:[setting]],0), MATCH(AJ$277, lmic_raw_ub[#Headers],0)))</f>
        <v>2.4765908595544956E-3</v>
      </c>
      <c r="AK411" s="84">
        <f>IF(INDEX(lmic_raw_ub[],MATCH($A411,lmic_raw_ub[[setting]:[setting]],0), MATCH(AK$277, lmic_raw_ub[#Headers],0))=0, INDEX(regions_ub[], MATCH($D411, regions_ub[[setting]:[setting]],0), MATCH(AK$139, regions_ub[#Headers],0)),INDEX(lmic_raw_ub[],MATCH($A411,lmic_raw_ub[[setting]:[setting]],0), MATCH(AK$277, lmic_raw_ub[#Headers],0)))</f>
        <v>3.2068201581841658E-3</v>
      </c>
      <c r="AL411" s="84">
        <f>IF(INDEX(lmic_raw_ub[],MATCH($A411,lmic_raw_ub[[setting]:[setting]],0), MATCH(AL$277, lmic_raw_ub[#Headers],0))=0, INDEX(regions_ub[], MATCH($D411, regions_ub[[setting]:[setting]],0), MATCH(AL$139, regions_ub[#Headers],0)),INDEX(lmic_raw_ub[],MATCH($A411,lmic_raw_ub[[setting]:[setting]],0), MATCH(AL$277, lmic_raw_ub[#Headers],0)))</f>
        <v>4.3638524337208853E-3</v>
      </c>
      <c r="AM411" s="84">
        <f>IF(INDEX(lmic_raw_ub[],MATCH($A411,lmic_raw_ub[[setting]:[setting]],0), MATCH(AM$277, lmic_raw_ub[#Headers],0))=0, INDEX(regions_ub[], MATCH($D411, regions_ub[[setting]:[setting]],0), MATCH(AM$139, regions_ub[#Headers],0)),INDEX(lmic_raw_ub[],MATCH($A411,lmic_raw_ub[[setting]:[setting]],0), MATCH(AM$277, lmic_raw_ub[#Headers],0)))</f>
        <v>6.2920317160002235E-3</v>
      </c>
      <c r="AN411" s="84">
        <f>IF(INDEX(lmic_raw_ub[],MATCH($A411,lmic_raw_ub[[setting]:[setting]],0), MATCH(AN$277, lmic_raw_ub[#Headers],0))=0, INDEX(regions_ub[], MATCH($D411, regions_ub[[setting]:[setting]],0), MATCH(AN$139, regions_ub[#Headers],0)),INDEX(lmic_raw_ub[],MATCH($A411,lmic_raw_ub[[setting]:[setting]],0), MATCH(AN$277, lmic_raw_ub[#Headers],0)))</f>
        <v>9.3096492234302861E-3</v>
      </c>
      <c r="AO411" s="84">
        <f>IF(INDEX(lmic_raw_ub[],MATCH($A411,lmic_raw_ub[[setting]:[setting]],0), MATCH(AO$277, lmic_raw_ub[#Headers],0))=0, INDEX(regions_ub[], MATCH($D411, regions_ub[[setting]:[setting]],0), MATCH(AO$139, regions_ub[#Headers],0)),INDEX(lmic_raw_ub[],MATCH($A411,lmic_raw_ub[[setting]:[setting]],0), MATCH(AO$277, lmic_raw_ub[#Headers],0)))</f>
        <v>1.4017605949179675E-2</v>
      </c>
      <c r="AP411" s="84">
        <f>IF(INDEX(lmic_raw_ub[],MATCH($A411,lmic_raw_ub[[setting]:[setting]],0), MATCH(AP$277, lmic_raw_ub[#Headers],0))=0, INDEX(regions_ub[], MATCH($D411, regions_ub[[setting]:[setting]],0), MATCH(AP$139, regions_ub[#Headers],0)),INDEX(lmic_raw_ub[],MATCH($A411,lmic_raw_ub[[setting]:[setting]],0), MATCH(AP$277, lmic_raw_ub[#Headers],0)))</f>
        <v>2.1755200098322686E-2</v>
      </c>
      <c r="AQ411" s="84">
        <f>IF(INDEX(lmic_raw_ub[],MATCH($A411,lmic_raw_ub[[setting]:[setting]],0), MATCH(AQ$277, lmic_raw_ub[#Headers],0))=0, INDEX(regions_ub[], MATCH($D411, regions_ub[[setting]:[setting]],0), MATCH(AQ$139, regions_ub[#Headers],0)),INDEX(lmic_raw_ub[],MATCH($A411,lmic_raw_ub[[setting]:[setting]],0), MATCH(AQ$277, lmic_raw_ub[#Headers],0)))</f>
        <v>3.3528400661258104E-2</v>
      </c>
      <c r="AR411" s="84">
        <f>IF(INDEX(lmic_raw_ub[],MATCH($A411,lmic_raw_ub[[setting]:[setting]],0), MATCH(AR$277, lmic_raw_ub[#Headers],0))=0, INDEX(regions_ub[], MATCH($D411, regions_ub[[setting]:[setting]],0), MATCH(AR$139, regions_ub[#Headers],0)),INDEX(lmic_raw_ub[],MATCH($A411,lmic_raw_ub[[setting]:[setting]],0), MATCH(AR$277, lmic_raw_ub[#Headers],0)))</f>
        <v>5.1744389067047425E-2</v>
      </c>
      <c r="AS411" s="84">
        <f>IF(INDEX(lmic_raw_ub[],MATCH($A411,lmic_raw_ub[[setting]:[setting]],0), MATCH(AS$277, lmic_raw_ub[#Headers],0))=0, INDEX(regions_ub[], MATCH($D411, regions_ub[[setting]:[setting]],0), MATCH(AS$139, regions_ub[#Headers],0)),INDEX(lmic_raw_ub[],MATCH($A411,lmic_raw_ub[[setting]:[setting]],0), MATCH(AS$277, lmic_raw_ub[#Headers],0)))</f>
        <v>7.7597925490319297E-2</v>
      </c>
      <c r="AT411" s="84">
        <f>IF(INDEX(lmic_raw_ub[],MATCH($A411,lmic_raw_ub[[setting]:[setting]],0), MATCH(AT$277, lmic_raw_ub[#Headers],0))=0, INDEX(regions_ub[], MATCH($D411, regions_ub[[setting]:[setting]],0), MATCH(AT$139, regions_ub[#Headers],0)),INDEX(lmic_raw_ub[],MATCH($A411,lmic_raw_ub[[setting]:[setting]],0), MATCH(AT$277, lmic_raw_ub[#Headers],0)))</f>
        <v>0.10891047860095539</v>
      </c>
      <c r="AU411" s="84">
        <f>IF(INDEX(lmic_raw_ub[],MATCH($A411,lmic_raw_ub[[setting]:[setting]],0), MATCH(AU$277, lmic_raw_ub[#Headers],0))=0, INDEX(regions_ub[], MATCH($D411, regions_ub[[setting]:[setting]],0), MATCH(AU$139, regions_ub[#Headers],0)),INDEX(lmic_raw_ub[],MATCH($A411,lmic_raw_ub[[setting]:[setting]],0), MATCH(AU$277, lmic_raw_ub[#Headers],0)))</f>
        <v>0.13941799403161187</v>
      </c>
      <c r="AV411" s="84">
        <f>IF(INDEX(lmic_raw_ub[],MATCH($A411,lmic_raw_ub[[setting]:[setting]],0), MATCH(AV$277, lmic_raw_ub[#Headers],0))=0, INDEX(regions_ub[], MATCH($D411, regions_ub[[setting]:[setting]],0), MATCH(AV$139, regions_ub[#Headers],0)),INDEX(lmic_raw_ub[],MATCH($A411,lmic_raw_ub[[setting]:[setting]],0), MATCH(AV$277, lmic_raw_ub[#Headers],0)))</f>
        <v>0.16625819893907501</v>
      </c>
      <c r="AW411" s="84">
        <f>IF(INDEX(lmic_raw_ub[],MATCH($A411,lmic_raw_ub[[setting]:[setting]],0), MATCH(AW$277, lmic_raw_ub[#Headers],0))=0, INDEX(regions_ub[], MATCH($D411, regions_ub[[setting]:[setting]],0), MATCH(AW$139, regions_ub[#Headers],0)),INDEX(lmic_raw_ub[],MATCH($A411,lmic_raw_ub[[setting]:[setting]],0), MATCH(AW$277, lmic_raw_ub[#Headers],0)))</f>
        <v>0.18606622088570426</v>
      </c>
      <c r="AX411" s="84">
        <f>IF(INDEX(lmic_raw_ub[],MATCH($A411,lmic_raw_ub[[setting]:[setting]],0), MATCH(AX$277, lmic_raw_ub[#Headers],0))=0, INDEX(regions_ub[], MATCH($D411, regions_ub[[setting]:[setting]],0), MATCH(AX$139, regions_ub[#Headers],0)),INDEX(lmic_raw_ub[],MATCH($A411,lmic_raw_ub[[setting]:[setting]],0), MATCH(AX$277, lmic_raw_ub[#Headers],0)))</f>
        <v>69.334650000000011</v>
      </c>
      <c r="AY411" s="33" t="str">
        <f>IF(VLOOKUP(lmics_ub[[#This Row],[setting]],lmic_raw_ub[],11,FALSE)=0, "Yes", "No")</f>
        <v>Yes</v>
      </c>
    </row>
    <row r="412" spans="1:51" x14ac:dyDescent="0.25">
      <c r="A412" s="109" t="s">
        <v>119</v>
      </c>
      <c r="B412" s="101" t="s">
        <v>541</v>
      </c>
      <c r="C412" s="102">
        <v>894</v>
      </c>
      <c r="D412" s="82" t="s">
        <v>677</v>
      </c>
      <c r="E412" s="82" t="s">
        <v>597</v>
      </c>
      <c r="F412" s="82" t="s">
        <v>667</v>
      </c>
      <c r="G412" s="82" t="s">
        <v>678</v>
      </c>
      <c r="J412" s="84">
        <f>IF(INDEX(lmic_raw_ub[],MATCH($A412,lmic_raw_ub[[setting]:[setting]],0), MATCH(J$277, lmic_raw_ub[#Headers],0))=0, INDEX(regions_ub[], MATCH($D412, regions_ub[[setting]:[setting]],0), MATCH(J$139, regions_ub[#Headers],0)),INDEX(lmic_raw_ub[],MATCH($A412,lmic_raw_ub[[setting]:[setting]],0), MATCH(J$277, lmic_raw_ub[#Headers],0)))</f>
        <v>0.87990000000000002</v>
      </c>
      <c r="K412" s="84">
        <f>IF(INDEX(lmic_raw_ub[],MATCH($A412,lmic_raw_ub[[setting]:[setting]],0), MATCH(K$277, lmic_raw_ub[#Headers],0))=0, INDEX(regions_ub[], MATCH($D412, regions_ub[[setting]:[setting]],0), MATCH(K$139, regions_ub[#Headers],0)),INDEX(lmic_raw_ub[],MATCH($A412,lmic_raw_ub[[setting]:[setting]],0), MATCH(K$277, lmic_raw_ub[#Headers],0)))</f>
        <v>0.98699999999999999</v>
      </c>
      <c r="L412" s="84">
        <f>IF(INDEX(lmic_raw_ub[],MATCH($A412,lmic_raw_ub[[setting]:[setting]],0), MATCH(L$277, lmic_raw_ub[#Headers],0))=0, INDEX(regions_ub[], MATCH($D412, regions_ub[[setting]:[setting]],0), MATCH(L$139, regions_ub[#Headers],0)),INDEX(lmic_raw_ub[],MATCH($A412,lmic_raw_ub[[setting]:[setting]],0), MATCH(L$277, lmic_raw_ub[#Headers],0)))</f>
        <v>0.92400000000000004</v>
      </c>
      <c r="M412" s="84">
        <f>IF(INDEX(lmic_raw_ub[],MATCH($A412,lmic_raw_ub[[setting]:[setting]],0), MATCH(M$277, lmic_raw_ub[#Headers],0))=0, INDEX(regions_ub[], MATCH($D412, regions_ub[[setting]:[setting]],0), MATCH(M$139, regions_ub[#Headers],0)),INDEX(lmic_raw_ub[],MATCH($A412,lmic_raw_ub[[setting]:[setting]],0), MATCH(M$277, lmic_raw_ub[#Headers],0)))</f>
        <v>5.5E-2</v>
      </c>
      <c r="N412" s="84">
        <f>IF(INDEX(lmic_raw_ub[],MATCH($A412,lmic_raw_ub[[setting]:[setting]],0), MATCH(N$277, lmic_raw_ub[#Headers],0))=0, INDEX(regions_ub[], MATCH($D412, regions_ub[[setting]:[setting]],0), MATCH(N$139, regions_ub[#Headers],0)),INDEX(lmic_raw_ub[],MATCH($A412,lmic_raw_ub[[setting]:[setting]],0), MATCH(N$277, lmic_raw_ub[#Headers],0)))</f>
        <v>0.39960000000000001</v>
      </c>
      <c r="O412" s="84">
        <f>IF(INDEX(lmic_raw_ub[],MATCH($A412,lmic_raw_ub[[setting]:[setting]],0), MATCH(O$277, lmic_raw_ub[#Headers],0))=0, INDEX(regions_ub[], MATCH($D412, regions_ub[[setting]:[setting]],0), MATCH(O$139, regions_ub[#Headers],0)),INDEX(lmic_raw_ub[],MATCH($A412,lmic_raw_ub[[setting]:[setting]],0), MATCH(O$277, lmic_raw_ub[#Headers],0)))</f>
        <v>0.74399999999999999</v>
      </c>
      <c r="P412" s="84">
        <f>IF(INDEX(lmic_raw_ub[],MATCH($A412,lmic_raw_ub[[setting]:[setting]],0), MATCH(P$277, lmic_raw_ub[#Headers],0))=0, INDEX(regions_ub[], MATCH($D412, regions_ub[[setting]:[setting]],0), MATCH(P$139, regions_ub[#Headers],0)),INDEX(lmic_raw_ub[],MATCH($A412,lmic_raw_ub[[setting]:[setting]],0), MATCH(P$277, lmic_raw_ub[#Headers],0)))</f>
        <v>0.13300000000000001</v>
      </c>
      <c r="Q412" s="84">
        <f>IF(INDEX(lmic_raw_ub[],MATCH($A412,lmic_raw_ub[[setting]:[setting]],0), MATCH(Q$277, lmic_raw_ub[#Headers],0))=0, INDEX(regions_ub[], MATCH($D412, regions_ub[[setting]:[setting]],0), MATCH(Q$139, regions_ub[#Headers],0)),INDEX(lmic_raw_ub[],MATCH($A412,lmic_raw_ub[[setting]:[setting]],0), MATCH(Q$277, lmic_raw_ub[#Headers],0)))</f>
        <v>3.4267650769952147</v>
      </c>
      <c r="R412" s="84">
        <f>IF(INDEX(lmic_raw_ub[],MATCH($A412,lmic_raw_ub[[setting]:[setting]],0), MATCH(R$277, lmic_raw_ub[#Headers],0))=0, INDEX(regions_ub[], MATCH($D412, regions_ub[[setting]:[setting]],0), MATCH(R$139, regions_ub[#Headers],0)),INDEX(lmic_raw_ub[],MATCH($A412,lmic_raw_ub[[setting]:[setting]],0), MATCH(R$277, lmic_raw_ub[#Headers],0)))</f>
        <v>31.416525000000004</v>
      </c>
      <c r="S412" s="84">
        <f>IF(INDEX(lmic_raw_ub[],MATCH($A412,lmic_raw_ub[[setting]:[setting]],0), MATCH(S$277, lmic_raw_ub[#Headers],0))=0, INDEX(regions_ub[], MATCH($D412, regions_ub[[setting]:[setting]],0), MATCH(S$139, regions_ub[#Headers],0)),INDEX(lmic_raw_ub[],MATCH($A412,lmic_raw_ub[[setting]:[setting]],0), MATCH(S$277, lmic_raw_ub[#Headers],0)))</f>
        <v>81.545625000000015</v>
      </c>
      <c r="T412" s="84">
        <f>IF(INDEX(lmic_raw_ub[],MATCH($A412,lmic_raw_ub[[setting]:[setting]],0), MATCH(T$277, lmic_raw_ub[#Headers],0))=0, INDEX(regions_ub[], MATCH($D412, regions_ub[[setting]:[setting]],0), MATCH(T$139, regions_ub[#Headers],0)),INDEX(lmic_raw_ub[],MATCH($A412,lmic_raw_ub[[setting]:[setting]],0), MATCH(T$277, lmic_raw_ub[#Headers],0)))</f>
        <v>81.545625000000015</v>
      </c>
      <c r="U412" s="84">
        <f>IF(INDEX(lmic_raw_ub[],MATCH($A412,lmic_raw_ub[[setting]:[setting]],0), MATCH(U$277, lmic_raw_ub[#Headers],0))=0, INDEX(regions_ub[], MATCH($D412, regions_ub[[setting]:[setting]],0), MATCH(U$139, regions_ub[#Headers],0)),INDEX(lmic_raw_ub[],MATCH($A412,lmic_raw_ub[[setting]:[setting]],0), MATCH(U$277, lmic_raw_ub[#Headers],0)))</f>
        <v>81.545625000000015</v>
      </c>
      <c r="V412" s="84">
        <f>IF(INDEX(lmic_raw_ub[],MATCH($A412,lmic_raw_ub[[setting]:[setting]],0), MATCH(V$277, lmic_raw_ub[#Headers],0))=0, INDEX(regions_ub[], MATCH($D412, regions_ub[[setting]:[setting]],0), MATCH(V$139, regions_ub[#Headers],0)),INDEX(lmic_raw_ub[],MATCH($A412,lmic_raw_ub[[setting]:[setting]],0), MATCH(V$277, lmic_raw_ub[#Headers],0)))</f>
        <v>5.6671375270902633</v>
      </c>
      <c r="W412" s="84">
        <f>IF(INDEX(lmic_raw_ub[],MATCH($A412,lmic_raw_ub[[setting]:[setting]],0), MATCH(W$277, lmic_raw_ub[#Headers],0))=0, INDEX(regions_ub[], MATCH($D412, regions_ub[[setting]:[setting]],0), MATCH(W$139, regions_ub[#Headers],0)),INDEX(lmic_raw_ub[],MATCH($A412,lmic_raw_ub[[setting]:[setting]],0), MATCH(W$277, lmic_raw_ub[#Headers],0)))</f>
        <v>10.737272527090264</v>
      </c>
      <c r="X412" s="84">
        <f>IF(INDEX(lmic_raw_ub[],MATCH($A412,lmic_raw_ub[[setting]:[setting]],0), MATCH(X$277, lmic_raw_ub[#Headers],0))=0, INDEX(regions_ub[], MATCH($D412, regions_ub[[setting]:[setting]],0), MATCH(X$139, regions_ub[#Headers],0)),INDEX(lmic_raw_ub[],MATCH($A412,lmic_raw_ub[[setting]:[setting]],0), MATCH(X$277, lmic_raw_ub[#Headers],0)))</f>
        <v>5.1686216781287682</v>
      </c>
      <c r="Y412" s="84">
        <f>IF(INDEX(lmic_raw_ub[],MATCH($A412,lmic_raw_ub[[setting]:[setting]],0), MATCH(Y$277, lmic_raw_ub[#Headers],0))=0, INDEX(regions_ub[], MATCH($D412, regions_ub[[setting]:[setting]],0), MATCH(Y$139, regions_ub[#Headers],0)),INDEX(lmic_raw_ub[],MATCH($A412,lmic_raw_ub[[setting]:[setting]],0), MATCH(Y$277, lmic_raw_ub[#Headers],0)))</f>
        <v>10.23875667812877</v>
      </c>
      <c r="Z412" s="84">
        <f>IF(INDEX(lmic_raw_ub[],MATCH($A412,lmic_raw_ub[[setting]:[setting]],0), MATCH(Z$277, lmic_raw_ub[#Headers],0))=0, INDEX(regions_ub[], MATCH($D412, regions_ub[[setting]:[setting]],0), MATCH(Z$139, regions_ub[#Headers],0)),INDEX(lmic_raw_ub[],MATCH($A412,lmic_raw_ub[[setting]:[setting]],0), MATCH(Z$277, lmic_raw_ub[#Headers],0)))</f>
        <v>10.229802135211152</v>
      </c>
      <c r="AA412" s="84">
        <f>IF(INDEX(lmic_raw_ub[],MATCH($A412,lmic_raw_ub[[setting]:[setting]],0), MATCH(AA$277, lmic_raw_ub[#Headers],0))=0, INDEX(regions_ub[], MATCH($D412, regions_ub[[setting]:[setting]],0), MATCH(AA$139, regions_ub[#Headers],0)),INDEX(lmic_raw_ub[],MATCH($A412,lmic_raw_ub[[setting]:[setting]],0), MATCH(AA$277, lmic_raw_ub[#Headers],0)))</f>
        <v>5.9363720112282961</v>
      </c>
      <c r="AB412" s="84">
        <f>IF(INDEX(lmic_raw_ub[],MATCH($A412,lmic_raw_ub[[setting]:[setting]],0), MATCH(AB$277, lmic_raw_ub[#Headers],0))=0, INDEX(regions_ub[], MATCH($D412, regions_ub[[setting]:[setting]],0), MATCH(AB$139, regions_ub[#Headers],0)),INDEX(lmic_raw_ub[],MATCH($A412,lmic_raw_ub[[setting]:[setting]],0), MATCH(AB$277, lmic_raw_ub[#Headers],0)))</f>
        <v>11.006507011228297</v>
      </c>
      <c r="AC412" s="84">
        <f>IF(INDEX(lmic_raw_ub[],MATCH($A412,lmic_raw_ub[[setting]:[setting]],0), MATCH(AC$277, lmic_raw_ub[#Headers],0))=0, INDEX(regions_ub[], MATCH($D412, regions_ub[[setting]:[setting]],0), MATCH(AC$139, regions_ub[#Headers],0)),INDEX(lmic_raw_ub[],MATCH($A412,lmic_raw_ub[[setting]:[setting]],0), MATCH(AC$277, lmic_raw_ub[#Headers],0)))</f>
        <v>4.7902963500000055E-2</v>
      </c>
      <c r="AD412" s="84">
        <f>IF(INDEX(lmic_raw_ub[],MATCH($A412,lmic_raw_ub[[setting]:[setting]],0), MATCH(AD$277, lmic_raw_ub[#Headers],0))=0, INDEX(regions_ub[], MATCH($D412, regions_ub[[setting]:[setting]],0), MATCH(AD$139, regions_ub[#Headers],0)),INDEX(lmic_raw_ub[],MATCH($A412,lmic_raw_ub[[setting]:[setting]],0), MATCH(AD$277, lmic_raw_ub[#Headers],0)))</f>
        <v>4.1563883332070639E-3</v>
      </c>
      <c r="AE412" s="84">
        <f>IF(INDEX(lmic_raw_ub[],MATCH($A412,lmic_raw_ub[[setting]:[setting]],0), MATCH(AE$277, lmic_raw_ub[#Headers],0))=0, INDEX(regions_ub[], MATCH($D412, regions_ub[[setting]:[setting]],0), MATCH(AE$139, regions_ub[#Headers],0)),INDEX(lmic_raw_ub[],MATCH($A412,lmic_raw_ub[[setting]:[setting]],0), MATCH(AE$277, lmic_raw_ub[#Headers],0)))</f>
        <v>1.2162725166093582E-3</v>
      </c>
      <c r="AF412" s="84">
        <f>IF(INDEX(lmic_raw_ub[],MATCH($A412,lmic_raw_ub[[setting]:[setting]],0), MATCH(AF$277, lmic_raw_ub[#Headers],0))=0, INDEX(regions_ub[], MATCH($D412, regions_ub[[setting]:[setting]],0), MATCH(AF$139, regions_ub[#Headers],0)),INDEX(lmic_raw_ub[],MATCH($A412,lmic_raw_ub[[setting]:[setting]],0), MATCH(AF$277, lmic_raw_ub[#Headers],0)))</f>
        <v>9.6044038667478465E-4</v>
      </c>
      <c r="AG412" s="84">
        <f>IF(INDEX(lmic_raw_ub[],MATCH($A412,lmic_raw_ub[[setting]:[setting]],0), MATCH(AG$277, lmic_raw_ub[#Headers],0))=0, INDEX(regions_ub[], MATCH($D412, regions_ub[[setting]:[setting]],0), MATCH(AG$139, regions_ub[#Headers],0)),INDEX(lmic_raw_ub[],MATCH($A412,lmic_raw_ub[[setting]:[setting]],0), MATCH(AG$277, lmic_raw_ub[#Headers],0)))</f>
        <v>1.6080246032367858E-3</v>
      </c>
      <c r="AH412" s="84">
        <f>IF(INDEX(lmic_raw_ub[],MATCH($A412,lmic_raw_ub[[setting]:[setting]],0), MATCH(AH$277, lmic_raw_ub[#Headers],0))=0, INDEX(regions_ub[], MATCH($D412, regions_ub[[setting]:[setting]],0), MATCH(AH$139, regions_ub[#Headers],0)),INDEX(lmic_raw_ub[],MATCH($A412,lmic_raw_ub[[setting]:[setting]],0), MATCH(AH$277, lmic_raw_ub[#Headers],0)))</f>
        <v>2.5978783243606912E-3</v>
      </c>
      <c r="AI412" s="84">
        <f>IF(INDEX(lmic_raw_ub[],MATCH($A412,lmic_raw_ub[[setting]:[setting]],0), MATCH(AI$277, lmic_raw_ub[#Headers],0))=0, INDEX(regions_ub[], MATCH($D412, regions_ub[[setting]:[setting]],0), MATCH(AI$139, regions_ub[#Headers],0)),INDEX(lmic_raw_ub[],MATCH($A412,lmic_raw_ub[[setting]:[setting]],0), MATCH(AI$277, lmic_raw_ub[#Headers],0)))</f>
        <v>3.665656396073204E-3</v>
      </c>
      <c r="AJ412" s="84">
        <f>IF(INDEX(lmic_raw_ub[],MATCH($A412,lmic_raw_ub[[setting]:[setting]],0), MATCH(AJ$277, lmic_raw_ub[#Headers],0))=0, INDEX(regions_ub[], MATCH($D412, regions_ub[[setting]:[setting]],0), MATCH(AJ$139, regions_ub[#Headers],0)),INDEX(lmic_raw_ub[],MATCH($A412,lmic_raw_ub[[setting]:[setting]],0), MATCH(AJ$277, lmic_raw_ub[#Headers],0)))</f>
        <v>4.831000643798984E-3</v>
      </c>
      <c r="AK412" s="84">
        <f>IF(INDEX(lmic_raw_ub[],MATCH($A412,lmic_raw_ub[[setting]:[setting]],0), MATCH(AK$277, lmic_raw_ub[#Headers],0))=0, INDEX(regions_ub[], MATCH($D412, regions_ub[[setting]:[setting]],0), MATCH(AK$139, regions_ub[#Headers],0)),INDEX(lmic_raw_ub[],MATCH($A412,lmic_raw_ub[[setting]:[setting]],0), MATCH(AK$277, lmic_raw_ub[#Headers],0)))</f>
        <v>6.4803604670840877E-3</v>
      </c>
      <c r="AL412" s="84">
        <f>IF(INDEX(lmic_raw_ub[],MATCH($A412,lmic_raw_ub[[setting]:[setting]],0), MATCH(AL$277, lmic_raw_ub[#Headers],0))=0, INDEX(regions_ub[], MATCH($D412, regions_ub[[setting]:[setting]],0), MATCH(AL$139, regions_ub[#Headers],0)),INDEX(lmic_raw_ub[],MATCH($A412,lmic_raw_ub[[setting]:[setting]],0), MATCH(AL$277, lmic_raw_ub[#Headers],0)))</f>
        <v>7.9812097043491272E-3</v>
      </c>
      <c r="AM412" s="84">
        <f>IF(INDEX(lmic_raw_ub[],MATCH($A412,lmic_raw_ub[[setting]:[setting]],0), MATCH(AM$277, lmic_raw_ub[#Headers],0))=0, INDEX(regions_ub[], MATCH($D412, regions_ub[[setting]:[setting]],0), MATCH(AM$139, regions_ub[#Headers],0)),INDEX(lmic_raw_ub[],MATCH($A412,lmic_raw_ub[[setting]:[setting]],0), MATCH(AM$277, lmic_raw_ub[#Headers],0)))</f>
        <v>9.8134732253991816E-3</v>
      </c>
      <c r="AN412" s="84">
        <f>IF(INDEX(lmic_raw_ub[],MATCH($A412,lmic_raw_ub[[setting]:[setting]],0), MATCH(AN$277, lmic_raw_ub[#Headers],0))=0, INDEX(regions_ub[], MATCH($D412, regions_ub[[setting]:[setting]],0), MATCH(AN$139, regions_ub[#Headers],0)),INDEX(lmic_raw_ub[],MATCH($A412,lmic_raw_ub[[setting]:[setting]],0), MATCH(AN$277, lmic_raw_ub[#Headers],0)))</f>
        <v>1.2767336760323159E-2</v>
      </c>
      <c r="AO412" s="84">
        <f>IF(INDEX(lmic_raw_ub[],MATCH($A412,lmic_raw_ub[[setting]:[setting]],0), MATCH(AO$277, lmic_raw_ub[#Headers],0))=0, INDEX(regions_ub[], MATCH($D412, regions_ub[[setting]:[setting]],0), MATCH(AO$139, regions_ub[#Headers],0)),INDEX(lmic_raw_ub[],MATCH($A412,lmic_raw_ub[[setting]:[setting]],0), MATCH(AO$277, lmic_raw_ub[#Headers],0)))</f>
        <v>1.6161431599754885E-2</v>
      </c>
      <c r="AP412" s="84">
        <f>IF(INDEX(lmic_raw_ub[],MATCH($A412,lmic_raw_ub[[setting]:[setting]],0), MATCH(AP$277, lmic_raw_ub[#Headers],0))=0, INDEX(regions_ub[], MATCH($D412, regions_ub[[setting]:[setting]],0), MATCH(AP$139, regions_ub[#Headers],0)),INDEX(lmic_raw_ub[],MATCH($A412,lmic_raw_ub[[setting]:[setting]],0), MATCH(AP$277, lmic_raw_ub[#Headers],0)))</f>
        <v>2.2462416534988174E-2</v>
      </c>
      <c r="AQ412" s="84">
        <f>IF(INDEX(lmic_raw_ub[],MATCH($A412,lmic_raw_ub[[setting]:[setting]],0), MATCH(AQ$277, lmic_raw_ub[#Headers],0))=0, INDEX(regions_ub[], MATCH($D412, regions_ub[[setting]:[setting]],0), MATCH(AQ$139, regions_ub[#Headers],0)),INDEX(lmic_raw_ub[],MATCH($A412,lmic_raw_ub[[setting]:[setting]],0), MATCH(AQ$277, lmic_raw_ub[#Headers],0)))</f>
        <v>3.2701010090938114E-2</v>
      </c>
      <c r="AR412" s="84">
        <f>IF(INDEX(lmic_raw_ub[],MATCH($A412,lmic_raw_ub[[setting]:[setting]],0), MATCH(AR$277, lmic_raw_ub[#Headers],0))=0, INDEX(regions_ub[], MATCH($D412, regions_ub[[setting]:[setting]],0), MATCH(AR$139, regions_ub[#Headers],0)),INDEX(lmic_raw_ub[],MATCH($A412,lmic_raw_ub[[setting]:[setting]],0), MATCH(AR$277, lmic_raw_ub[#Headers],0)))</f>
        <v>4.8633387651919449E-2</v>
      </c>
      <c r="AS412" s="84">
        <f>IF(INDEX(lmic_raw_ub[],MATCH($A412,lmic_raw_ub[[setting]:[setting]],0), MATCH(AS$277, lmic_raw_ub[#Headers],0))=0, INDEX(regions_ub[], MATCH($D412, regions_ub[[setting]:[setting]],0), MATCH(AS$139, regions_ub[#Headers],0)),INDEX(lmic_raw_ub[],MATCH($A412,lmic_raw_ub[[setting]:[setting]],0), MATCH(AS$277, lmic_raw_ub[#Headers],0)))</f>
        <v>7.212319643116144E-2</v>
      </c>
      <c r="AT412" s="84">
        <f>IF(INDEX(lmic_raw_ub[],MATCH($A412,lmic_raw_ub[[setting]:[setting]],0), MATCH(AT$277, lmic_raw_ub[#Headers],0))=0, INDEX(regions_ub[], MATCH($D412, regions_ub[[setting]:[setting]],0), MATCH(AT$139, regions_ub[#Headers],0)),INDEX(lmic_raw_ub[],MATCH($A412,lmic_raw_ub[[setting]:[setting]],0), MATCH(AT$277, lmic_raw_ub[#Headers],0)))</f>
        <v>0.10697583772761352</v>
      </c>
      <c r="AU412" s="84">
        <f>IF(INDEX(lmic_raw_ub[],MATCH($A412,lmic_raw_ub[[setting]:[setting]],0), MATCH(AU$277, lmic_raw_ub[#Headers],0))=0, INDEX(regions_ub[], MATCH($D412, regions_ub[[setting]:[setting]],0), MATCH(AU$139, regions_ub[#Headers],0)),INDEX(lmic_raw_ub[],MATCH($A412,lmic_raw_ub[[setting]:[setting]],0), MATCH(AU$277, lmic_raw_ub[#Headers],0)))</f>
        <v>0.14857624820114851</v>
      </c>
      <c r="AV412" s="84">
        <f>IF(INDEX(lmic_raw_ub[],MATCH($A412,lmic_raw_ub[[setting]:[setting]],0), MATCH(AV$277, lmic_raw_ub[#Headers],0))=0, INDEX(regions_ub[], MATCH($D412, regions_ub[[setting]:[setting]],0), MATCH(AV$139, regions_ub[#Headers],0)),INDEX(lmic_raw_ub[],MATCH($A412,lmic_raw_ub[[setting]:[setting]],0), MATCH(AV$277, lmic_raw_ub[#Headers],0)))</f>
        <v>0.18356804813222444</v>
      </c>
      <c r="AW412" s="84">
        <f>IF(INDEX(lmic_raw_ub[],MATCH($A412,lmic_raw_ub[[setting]:[setting]],0), MATCH(AW$277, lmic_raw_ub[#Headers],0))=0, INDEX(regions_ub[], MATCH($D412, regions_ub[[setting]:[setting]],0), MATCH(AW$139, regions_ub[#Headers],0)),INDEX(lmic_raw_ub[],MATCH($A412,lmic_raw_ub[[setting]:[setting]],0), MATCH(AW$277, lmic_raw_ub[#Headers],0)))</f>
        <v>0.19681796912795563</v>
      </c>
      <c r="AX412" s="84">
        <f>IF(INDEX(lmic_raw_ub[],MATCH($A412,lmic_raw_ub[[setting]:[setting]],0), MATCH(AX$277, lmic_raw_ub[#Headers],0))=0, INDEX(regions_ub[], MATCH($D412, regions_ub[[setting]:[setting]],0), MATCH(AX$139, regions_ub[#Headers],0)),INDEX(lmic_raw_ub[],MATCH($A412,lmic_raw_ub[[setting]:[setting]],0), MATCH(AX$277, lmic_raw_ub[#Headers],0)))</f>
        <v>66.420900000000003</v>
      </c>
      <c r="AY412" s="33" t="str">
        <f>IF(VLOOKUP(lmics_ub[[#This Row],[setting]],lmic_raw_ub[],11,FALSE)=0, "Yes", "No")</f>
        <v>No</v>
      </c>
    </row>
    <row r="413" spans="1:51" x14ac:dyDescent="0.25">
      <c r="A413" s="111" t="s">
        <v>120</v>
      </c>
      <c r="B413" s="104" t="s">
        <v>542</v>
      </c>
      <c r="C413" s="105">
        <v>716</v>
      </c>
      <c r="D413" s="84" t="s">
        <v>677</v>
      </c>
      <c r="E413" s="84" t="s">
        <v>594</v>
      </c>
      <c r="F413" s="84" t="s">
        <v>667</v>
      </c>
      <c r="G413" s="84" t="s">
        <v>678</v>
      </c>
      <c r="J413" s="84">
        <f>IF(INDEX(lmic_raw_ub[],MATCH($A413,lmic_raw_ub[[setting]:[setting]],0), MATCH(J$277, lmic_raw_ub[#Headers],0))=0, INDEX(regions_ub[], MATCH($D413, regions_ub[[setting]:[setting]],0), MATCH(J$139, regions_ub[#Headers],0)),INDEX(lmic_raw_ub[],MATCH($A413,lmic_raw_ub[[setting]:[setting]],0), MATCH(J$277, lmic_raw_ub[#Headers],0)))</f>
        <v>0.89775000000000005</v>
      </c>
      <c r="K413" s="84">
        <f>IF(INDEX(lmic_raw_ub[],MATCH($A413,lmic_raw_ub[[setting]:[setting]],0), MATCH(K$277, lmic_raw_ub[#Headers],0))=0, INDEX(regions_ub[], MATCH($D413, regions_ub[[setting]:[setting]],0), MATCH(K$139, regions_ub[#Headers],0)),INDEX(lmic_raw_ub[],MATCH($A413,lmic_raw_ub[[setting]:[setting]],0), MATCH(K$277, lmic_raw_ub[#Headers],0)))</f>
        <v>0.71433037619548323</v>
      </c>
      <c r="L413" s="84">
        <f>IF(INDEX(lmic_raw_ub[],MATCH($A413,lmic_raw_ub[[setting]:[setting]],0), MATCH(L$277, lmic_raw_ub[#Headers],0))=0, INDEX(regions_ub[], MATCH($D413, regions_ub[[setting]:[setting]],0), MATCH(L$139, regions_ub[#Headers],0)),INDEX(lmic_raw_ub[],MATCH($A413,lmic_raw_ub[[setting]:[setting]],0), MATCH(L$277, lmic_raw_ub[#Headers],0)))</f>
        <v>0.94500000000000006</v>
      </c>
      <c r="M413" s="84">
        <f>IF(INDEX(lmic_raw_ub[],MATCH($A413,lmic_raw_ub[[setting]:[setting]],0), MATCH(M$277, lmic_raw_ub[#Headers],0))=0, INDEX(regions_ub[], MATCH($D413, regions_ub[[setting]:[setting]],0), MATCH(M$139, regions_ub[#Headers],0)),INDEX(lmic_raw_ub[],MATCH($A413,lmic_raw_ub[[setting]:[setting]],0), MATCH(M$277, lmic_raw_ub[#Headers],0)))</f>
        <v>0.12300000000000001</v>
      </c>
      <c r="N413" s="84">
        <f>IF(INDEX(lmic_raw_ub[],MATCH($A413,lmic_raw_ub[[setting]:[setting]],0), MATCH(N$277, lmic_raw_ub[#Headers],0))=0, INDEX(regions_ub[], MATCH($D413, regions_ub[[setting]:[setting]],0), MATCH(N$139, regions_ub[#Headers],0)),INDEX(lmic_raw_ub[],MATCH($A413,lmic_raw_ub[[setting]:[setting]],0), MATCH(N$277, lmic_raw_ub[#Headers],0)))</f>
        <v>0.3679</v>
      </c>
      <c r="O413" s="84">
        <f>IF(INDEX(lmic_raw_ub[],MATCH($A413,lmic_raw_ub[[setting]:[setting]],0), MATCH(O$277, lmic_raw_ub[#Headers],0))=0, INDEX(regions_ub[], MATCH($D413, regions_ub[[setting]:[setting]],0), MATCH(O$139, regions_ub[#Headers],0)),INDEX(lmic_raw_ub[],MATCH($A413,lmic_raw_ub[[setting]:[setting]],0), MATCH(O$277, lmic_raw_ub[#Headers],0)))</f>
        <v>0.74399999999999999</v>
      </c>
      <c r="P413" s="84">
        <f>IF(INDEX(lmic_raw_ub[],MATCH($A413,lmic_raw_ub[[setting]:[setting]],0), MATCH(P$277, lmic_raw_ub[#Headers],0))=0, INDEX(regions_ub[], MATCH($D413, regions_ub[[setting]:[setting]],0), MATCH(P$139, regions_ub[#Headers],0)),INDEX(lmic_raw_ub[],MATCH($A413,lmic_raw_ub[[setting]:[setting]],0), MATCH(P$277, lmic_raw_ub[#Headers],0)))</f>
        <v>0.13300000000000001</v>
      </c>
      <c r="Q413" s="84">
        <f>IF(INDEX(lmic_raw_ub[],MATCH($A413,lmic_raw_ub[[setting]:[setting]],0), MATCH(Q$277, lmic_raw_ub[#Headers],0))=0, INDEX(regions_ub[], MATCH($D413, regions_ub[[setting]:[setting]],0), MATCH(Q$139, regions_ub[#Headers],0)),INDEX(lmic_raw_ub[],MATCH($A413,lmic_raw_ub[[setting]:[setting]],0), MATCH(Q$277, lmic_raw_ub[#Headers],0)))</f>
        <v>4.8907647106941052</v>
      </c>
      <c r="R413" s="84">
        <f>IF(INDEX(lmic_raw_ub[],MATCH($A413,lmic_raw_ub[[setting]:[setting]],0), MATCH(R$277, lmic_raw_ub[#Headers],0))=0, INDEX(regions_ub[], MATCH($D413, regions_ub[[setting]:[setting]],0), MATCH(R$139, regions_ub[#Headers],0)),INDEX(lmic_raw_ub[],MATCH($A413,lmic_raw_ub[[setting]:[setting]],0), MATCH(R$277, lmic_raw_ub[#Headers],0)))</f>
        <v>31.416525000000004</v>
      </c>
      <c r="S413" s="84">
        <f>IF(INDEX(lmic_raw_ub[],MATCH($A413,lmic_raw_ub[[setting]:[setting]],0), MATCH(S$277, lmic_raw_ub[#Headers],0))=0, INDEX(regions_ub[], MATCH($D413, regions_ub[[setting]:[setting]],0), MATCH(S$139, regions_ub[#Headers],0)),INDEX(lmic_raw_ub[],MATCH($A413,lmic_raw_ub[[setting]:[setting]],0), MATCH(S$277, lmic_raw_ub[#Headers],0)))</f>
        <v>81.545625000000015</v>
      </c>
      <c r="T413" s="84">
        <f>IF(INDEX(lmic_raw_ub[],MATCH($A413,lmic_raw_ub[[setting]:[setting]],0), MATCH(T$277, lmic_raw_ub[#Headers],0))=0, INDEX(regions_ub[], MATCH($D413, regions_ub[[setting]:[setting]],0), MATCH(T$139, regions_ub[#Headers],0)),INDEX(lmic_raw_ub[],MATCH($A413,lmic_raw_ub[[setting]:[setting]],0), MATCH(T$277, lmic_raw_ub[#Headers],0)))</f>
        <v>81.545625000000015</v>
      </c>
      <c r="U413" s="84">
        <f>IF(INDEX(lmic_raw_ub[],MATCH($A413,lmic_raw_ub[[setting]:[setting]],0), MATCH(U$277, lmic_raw_ub[#Headers],0))=0, INDEX(regions_ub[], MATCH($D413, regions_ub[[setting]:[setting]],0), MATCH(U$139, regions_ub[#Headers],0)),INDEX(lmic_raw_ub[],MATCH($A413,lmic_raw_ub[[setting]:[setting]],0), MATCH(U$277, lmic_raw_ub[#Headers],0)))</f>
        <v>81.545625000000015</v>
      </c>
      <c r="V413" s="84">
        <f>IF(INDEX(lmic_raw_ub[],MATCH($A413,lmic_raw_ub[[setting]:[setting]],0), MATCH(V$277, lmic_raw_ub[#Headers],0))=0, INDEX(regions_ub[], MATCH($D413, regions_ub[[setting]:[setting]],0), MATCH(V$139, regions_ub[#Headers],0)),INDEX(lmic_raw_ub[],MATCH($A413,lmic_raw_ub[[setting]:[setting]],0), MATCH(V$277, lmic_raw_ub[#Headers],0)))</f>
        <v>6.2659061248811003</v>
      </c>
      <c r="W413" s="84">
        <f>IF(INDEX(lmic_raw_ub[],MATCH($A413,lmic_raw_ub[[setting]:[setting]],0), MATCH(W$277, lmic_raw_ub[#Headers],0))=0, INDEX(regions_ub[], MATCH($D413, regions_ub[[setting]:[setting]],0), MATCH(W$139, regions_ub[#Headers],0)),INDEX(lmic_raw_ub[],MATCH($A413,lmic_raw_ub[[setting]:[setting]],0), MATCH(W$277, lmic_raw_ub[#Headers],0)))</f>
        <v>11.336041124881101</v>
      </c>
      <c r="X413" s="84">
        <f>IF(INDEX(lmic_raw_ub[],MATCH($A413,lmic_raw_ub[[setting]:[setting]],0), MATCH(X$277, lmic_raw_ub[#Headers],0))=0, INDEX(regions_ub[], MATCH($D413, regions_ub[[setting]:[setting]],0), MATCH(X$139, regions_ub[#Headers],0)),INDEX(lmic_raw_ub[],MATCH($A413,lmic_raw_ub[[setting]:[setting]],0), MATCH(X$277, lmic_raw_ub[#Headers],0)))</f>
        <v>5.7667757264983752</v>
      </c>
      <c r="Y413" s="84">
        <f>IF(INDEX(lmic_raw_ub[],MATCH($A413,lmic_raw_ub[[setting]:[setting]],0), MATCH(Y$277, lmic_raw_ub[#Headers],0))=0, INDEX(regions_ub[], MATCH($D413, regions_ub[[setting]:[setting]],0), MATCH(Y$139, regions_ub[#Headers],0)),INDEX(lmic_raw_ub[],MATCH($A413,lmic_raw_ub[[setting]:[setting]],0), MATCH(Y$277, lmic_raw_ub[#Headers],0)))</f>
        <v>10.836910726498376</v>
      </c>
      <c r="Z413" s="84">
        <f>IF(INDEX(lmic_raw_ub[],MATCH($A413,lmic_raw_ub[[setting]:[setting]],0), MATCH(Z$277, lmic_raw_ub[#Headers],0))=0, INDEX(regions_ub[], MATCH($D413, regions_ub[[setting]:[setting]],0), MATCH(Z$139, regions_ub[#Headers],0)),INDEX(lmic_raw_ub[],MATCH($A413,lmic_raw_ub[[setting]:[setting]],0), MATCH(Z$277, lmic_raw_ub[#Headers],0)))</f>
        <v>10.828379340075411</v>
      </c>
      <c r="AA413" s="84">
        <f>IF(INDEX(lmic_raw_ub[],MATCH($A413,lmic_raw_ub[[setting]:[setting]],0), MATCH(AA$277, lmic_raw_ub[#Headers],0))=0, INDEX(regions_ub[], MATCH($D413, regions_ub[[setting]:[setting]],0), MATCH(AA$139, regions_ub[#Headers],0)),INDEX(lmic_raw_ub[],MATCH($A413,lmic_raw_ub[[setting]:[setting]],0), MATCH(AA$277, lmic_raw_ub[#Headers],0)))</f>
        <v>6.5352801079675098</v>
      </c>
      <c r="AB413" s="84">
        <f>IF(INDEX(lmic_raw_ub[],MATCH($A413,lmic_raw_ub[[setting]:[setting]],0), MATCH(AB$277, lmic_raw_ub[#Headers],0))=0, INDEX(regions_ub[], MATCH($D413, regions_ub[[setting]:[setting]],0), MATCH(AB$139, regions_ub[#Headers],0)),INDEX(lmic_raw_ub[],MATCH($A413,lmic_raw_ub[[setting]:[setting]],0), MATCH(AB$277, lmic_raw_ub[#Headers],0)))</f>
        <v>11.605415107967509</v>
      </c>
      <c r="AC413" s="84">
        <f>IF(INDEX(lmic_raw_ub[],MATCH($A413,lmic_raw_ub[[setting]:[setting]],0), MATCH(AC$277, lmic_raw_ub[#Headers],0))=0, INDEX(regions_ub[], MATCH($D413, regions_ub[[setting]:[setting]],0), MATCH(AC$139, regions_ub[#Headers],0)),INDEX(lmic_raw_ub[],MATCH($A413,lmic_raw_ub[[setting]:[setting]],0), MATCH(AC$277, lmic_raw_ub[#Headers],0)))</f>
        <v>4.0694335499999984E-2</v>
      </c>
      <c r="AD413" s="84">
        <f>IF(INDEX(lmic_raw_ub[],MATCH($A413,lmic_raw_ub[[setting]:[setting]],0), MATCH(AD$277, lmic_raw_ub[#Headers],0))=0, INDEX(regions_ub[], MATCH($D413, regions_ub[[setting]:[setting]],0), MATCH(AD$139, regions_ub[#Headers],0)),INDEX(lmic_raw_ub[],MATCH($A413,lmic_raw_ub[[setting]:[setting]],0), MATCH(AD$277, lmic_raw_ub[#Headers],0)))</f>
        <v>3.4153140272502576E-3</v>
      </c>
      <c r="AE413" s="84">
        <f>IF(INDEX(lmic_raw_ub[],MATCH($A413,lmic_raw_ub[[setting]:[setting]],0), MATCH(AE$277, lmic_raw_ub[#Headers],0))=0, INDEX(regions_ub[], MATCH($D413, regions_ub[[setting]:[setting]],0), MATCH(AE$139, regions_ub[#Headers],0)),INDEX(lmic_raw_ub[],MATCH($A413,lmic_raw_ub[[setting]:[setting]],0), MATCH(AE$277, lmic_raw_ub[#Headers],0)))</f>
        <v>1.117044847686055E-3</v>
      </c>
      <c r="AF413" s="84">
        <f>IF(INDEX(lmic_raw_ub[],MATCH($A413,lmic_raw_ub[[setting]:[setting]],0), MATCH(AF$277, lmic_raw_ub[#Headers],0))=0, INDEX(regions_ub[], MATCH($D413, regions_ub[[setting]:[setting]],0), MATCH(AF$139, regions_ub[#Headers],0)),INDEX(lmic_raw_ub[],MATCH($A413,lmic_raw_ub[[setting]:[setting]],0), MATCH(AF$277, lmic_raw_ub[#Headers],0)))</f>
        <v>9.5613165266355887E-4</v>
      </c>
      <c r="AG413" s="84">
        <f>IF(INDEX(lmic_raw_ub[],MATCH($A413,lmic_raw_ub[[setting]:[setting]],0), MATCH(AG$277, lmic_raw_ub[#Headers],0))=0, INDEX(regions_ub[], MATCH($D413, regions_ub[[setting]:[setting]],0), MATCH(AG$139, regions_ub[#Headers],0)),INDEX(lmic_raw_ub[],MATCH($A413,lmic_raw_ub[[setting]:[setting]],0), MATCH(AG$277, lmic_raw_ub[#Headers],0)))</f>
        <v>1.6491993916800314E-3</v>
      </c>
      <c r="AH413" s="84">
        <f>IF(INDEX(lmic_raw_ub[],MATCH($A413,lmic_raw_ub[[setting]:[setting]],0), MATCH(AH$277, lmic_raw_ub[#Headers],0))=0, INDEX(regions_ub[], MATCH($D413, regions_ub[[setting]:[setting]],0), MATCH(AH$139, regions_ub[#Headers],0)),INDEX(lmic_raw_ub[],MATCH($A413,lmic_raw_ub[[setting]:[setting]],0), MATCH(AH$277, lmic_raw_ub[#Headers],0)))</f>
        <v>2.9770805330429557E-3</v>
      </c>
      <c r="AI413" s="84">
        <f>IF(INDEX(lmic_raw_ub[],MATCH($A413,lmic_raw_ub[[setting]:[setting]],0), MATCH(AI$277, lmic_raw_ub[#Headers],0))=0, INDEX(regions_ub[], MATCH($D413, regions_ub[[setting]:[setting]],0), MATCH(AI$139, regions_ub[#Headers],0)),INDEX(lmic_raw_ub[],MATCH($A413,lmic_raw_ub[[setting]:[setting]],0), MATCH(AI$277, lmic_raw_ub[#Headers],0)))</f>
        <v>5.0626004267897923E-3</v>
      </c>
      <c r="AJ413" s="84">
        <f>IF(INDEX(lmic_raw_ub[],MATCH($A413,lmic_raw_ub[[setting]:[setting]],0), MATCH(AJ$277, lmic_raw_ub[#Headers],0))=0, INDEX(regions_ub[], MATCH($D413, regions_ub[[setting]:[setting]],0), MATCH(AJ$139, regions_ub[#Headers],0)),INDEX(lmic_raw_ub[],MATCH($A413,lmic_raw_ub[[setting]:[setting]],0), MATCH(AJ$277, lmic_raw_ub[#Headers],0)))</f>
        <v>7.2376284898557318E-3</v>
      </c>
      <c r="AK413" s="84">
        <f>IF(INDEX(lmic_raw_ub[],MATCH($A413,lmic_raw_ub[[setting]:[setting]],0), MATCH(AK$277, lmic_raw_ub[#Headers],0))=0, INDEX(regions_ub[], MATCH($D413, regions_ub[[setting]:[setting]],0), MATCH(AK$139, regions_ub[#Headers],0)),INDEX(lmic_raw_ub[],MATCH($A413,lmic_raw_ub[[setting]:[setting]],0), MATCH(AK$277, lmic_raw_ub[#Headers],0)))</f>
        <v>1.0170639135713937E-2</v>
      </c>
      <c r="AL413" s="84">
        <f>IF(INDEX(lmic_raw_ub[],MATCH($A413,lmic_raw_ub[[setting]:[setting]],0), MATCH(AL$277, lmic_raw_ub[#Headers],0))=0, INDEX(regions_ub[], MATCH($D413, regions_ub[[setting]:[setting]],0), MATCH(AL$139, regions_ub[#Headers],0)),INDEX(lmic_raw_ub[],MATCH($A413,lmic_raw_ub[[setting]:[setting]],0), MATCH(AL$277, lmic_raw_ub[#Headers],0)))</f>
        <v>1.1889598769615768E-2</v>
      </c>
      <c r="AM413" s="84">
        <f>IF(INDEX(lmic_raw_ub[],MATCH($A413,lmic_raw_ub[[setting]:[setting]],0), MATCH(AM$277, lmic_raw_ub[#Headers],0))=0, INDEX(regions_ub[], MATCH($D413, regions_ub[[setting]:[setting]],0), MATCH(AM$139, regions_ub[#Headers],0)),INDEX(lmic_raw_ub[],MATCH($A413,lmic_raw_ub[[setting]:[setting]],0), MATCH(AM$277, lmic_raw_ub[#Headers],0)))</f>
        <v>1.4071127098060921E-2</v>
      </c>
      <c r="AN413" s="84">
        <f>IF(INDEX(lmic_raw_ub[],MATCH($A413,lmic_raw_ub[[setting]:[setting]],0), MATCH(AN$277, lmic_raw_ub[#Headers],0))=0, INDEX(regions_ub[], MATCH($D413, regions_ub[[setting]:[setting]],0), MATCH(AN$139, regions_ub[#Headers],0)),INDEX(lmic_raw_ub[],MATCH($A413,lmic_raw_ub[[setting]:[setting]],0), MATCH(AN$277, lmic_raw_ub[#Headers],0)))</f>
        <v>1.6832883461750433E-2</v>
      </c>
      <c r="AO413" s="84">
        <f>IF(INDEX(lmic_raw_ub[],MATCH($A413,lmic_raw_ub[[setting]:[setting]],0), MATCH(AO$277, lmic_raw_ub[#Headers],0))=0, INDEX(regions_ub[], MATCH($D413, regions_ub[[setting]:[setting]],0), MATCH(AO$139, regions_ub[#Headers],0)),INDEX(lmic_raw_ub[],MATCH($A413,lmic_raw_ub[[setting]:[setting]],0), MATCH(AO$277, lmic_raw_ub[#Headers],0)))</f>
        <v>2.0115487474898493E-2</v>
      </c>
      <c r="AP413" s="84">
        <f>IF(INDEX(lmic_raw_ub[],MATCH($A413,lmic_raw_ub[[setting]:[setting]],0), MATCH(AP$277, lmic_raw_ub[#Headers],0))=0, INDEX(regions_ub[], MATCH($D413, regions_ub[[setting]:[setting]],0), MATCH(AP$139, regions_ub[#Headers],0)),INDEX(lmic_raw_ub[],MATCH($A413,lmic_raw_ub[[setting]:[setting]],0), MATCH(AP$277, lmic_raw_ub[#Headers],0)))</f>
        <v>2.6085660181725343E-2</v>
      </c>
      <c r="AQ413" s="84">
        <f>IF(INDEX(lmic_raw_ub[],MATCH($A413,lmic_raw_ub[[setting]:[setting]],0), MATCH(AQ$277, lmic_raw_ub[#Headers],0))=0, INDEX(regions_ub[], MATCH($D413, regions_ub[[setting]:[setting]],0), MATCH(AQ$139, regions_ub[#Headers],0)),INDEX(lmic_raw_ub[],MATCH($A413,lmic_raw_ub[[setting]:[setting]],0), MATCH(AQ$277, lmic_raw_ub[#Headers],0)))</f>
        <v>3.6099539516954861E-2</v>
      </c>
      <c r="AR413" s="84">
        <f>IF(INDEX(lmic_raw_ub[],MATCH($A413,lmic_raw_ub[[setting]:[setting]],0), MATCH(AR$277, lmic_raw_ub[#Headers],0))=0, INDEX(regions_ub[], MATCH($D413, regions_ub[[setting]:[setting]],0), MATCH(AR$139, regions_ub[#Headers],0)),INDEX(lmic_raw_ub[],MATCH($A413,lmic_raw_ub[[setting]:[setting]],0), MATCH(AR$277, lmic_raw_ub[#Headers],0)))</f>
        <v>5.1740890280052597E-2</v>
      </c>
      <c r="AS413" s="84">
        <f>IF(INDEX(lmic_raw_ub[],MATCH($A413,lmic_raw_ub[[setting]:[setting]],0), MATCH(AS$277, lmic_raw_ub[#Headers],0))=0, INDEX(regions_ub[], MATCH($D413, regions_ub[[setting]:[setting]],0), MATCH(AS$139, regions_ub[#Headers],0)),INDEX(lmic_raw_ub[],MATCH($A413,lmic_raw_ub[[setting]:[setting]],0), MATCH(AS$277, lmic_raw_ub[#Headers],0)))</f>
        <v>7.4551802772280434E-2</v>
      </c>
      <c r="AT413" s="84">
        <f>IF(INDEX(lmic_raw_ub[],MATCH($A413,lmic_raw_ub[[setting]:[setting]],0), MATCH(AT$277, lmic_raw_ub[#Headers],0))=0, INDEX(regions_ub[], MATCH($D413, regions_ub[[setting]:[setting]],0), MATCH(AT$139, regions_ub[#Headers],0)),INDEX(lmic_raw_ub[],MATCH($A413,lmic_raw_ub[[setting]:[setting]],0), MATCH(AT$277, lmic_raw_ub[#Headers],0)))</f>
        <v>0.10912206247114017</v>
      </c>
      <c r="AU413" s="84">
        <f>IF(INDEX(lmic_raw_ub[],MATCH($A413,lmic_raw_ub[[setting]:[setting]],0), MATCH(AU$277, lmic_raw_ub[#Headers],0))=0, INDEX(regions_ub[], MATCH($D413, regions_ub[[setting]:[setting]],0), MATCH(AU$139, regions_ub[#Headers],0)),INDEX(lmic_raw_ub[],MATCH($A413,lmic_raw_ub[[setting]:[setting]],0), MATCH(AU$277, lmic_raw_ub[#Headers],0)))</f>
        <v>0.15018365279891288</v>
      </c>
      <c r="AV413" s="84">
        <f>IF(INDEX(lmic_raw_ub[],MATCH($A413,lmic_raw_ub[[setting]:[setting]],0), MATCH(AV$277, lmic_raw_ub[#Headers],0))=0, INDEX(regions_ub[], MATCH($D413, regions_ub[[setting]:[setting]],0), MATCH(AV$139, regions_ub[#Headers],0)),INDEX(lmic_raw_ub[],MATCH($A413,lmic_raw_ub[[setting]:[setting]],0), MATCH(AV$277, lmic_raw_ub[#Headers],0)))</f>
        <v>0.18241863022463142</v>
      </c>
      <c r="AW413" s="84">
        <f>IF(INDEX(lmic_raw_ub[],MATCH($A413,lmic_raw_ub[[setting]:[setting]],0), MATCH(AW$277, lmic_raw_ub[#Headers],0))=0, INDEX(regions_ub[], MATCH($D413, regions_ub[[setting]:[setting]],0), MATCH(AW$139, regions_ub[#Headers],0)),INDEX(lmic_raw_ub[],MATCH($A413,lmic_raw_ub[[setting]:[setting]],0), MATCH(AW$277, lmic_raw_ub[#Headers],0)))</f>
        <v>0.19487425423675447</v>
      </c>
      <c r="AX413" s="84">
        <f>IF(INDEX(lmic_raw_ub[],MATCH($A413,lmic_raw_ub[[setting]:[setting]],0), MATCH(AX$277, lmic_raw_ub[#Headers],0))=0, INDEX(regions_ub[], MATCH($D413, regions_ub[[setting]:[setting]],0), MATCH(AX$139, regions_ub[#Headers],0)),INDEX(lmic_raw_ub[],MATCH($A413,lmic_raw_ub[[setting]:[setting]],0), MATCH(AX$277, lmic_raw_ub[#Headers],0)))</f>
        <v>63.874650000000003</v>
      </c>
      <c r="AY413" s="33" t="str">
        <f>IF(VLOOKUP(lmics_ub[[#This Row],[setting]],lmic_raw_ub[],11,FALSE)=0, "Yes", "No")</f>
        <v>Yes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6"/>
  <sheetViews>
    <sheetView topLeftCell="O1" workbookViewId="0">
      <selection activeCell="AX19" sqref="AX19:AX26"/>
    </sheetView>
  </sheetViews>
  <sheetFormatPr defaultRowHeight="15" x14ac:dyDescent="0.25"/>
  <cols>
    <col min="1" max="1" width="19.42578125" customWidth="1"/>
    <col min="4" max="4" width="12.85546875" customWidth="1"/>
    <col min="5" max="5" width="12.42578125" customWidth="1"/>
    <col min="6" max="6" width="11.7109375" customWidth="1"/>
    <col min="7" max="7" width="10.28515625" customWidth="1"/>
    <col min="8" max="8" width="14.85546875" bestFit="1" customWidth="1"/>
    <col min="9" max="9" width="20.42578125" customWidth="1"/>
    <col min="10" max="10" width="10.42578125" customWidth="1"/>
    <col min="11" max="11" width="9.140625" customWidth="1"/>
    <col min="12" max="12" width="11.140625" customWidth="1"/>
    <col min="13" max="13" width="11.42578125" customWidth="1"/>
    <col min="14" max="14" width="10.85546875" customWidth="1"/>
    <col min="25" max="25" width="9.7109375" customWidth="1"/>
    <col min="26" max="26" width="9" customWidth="1"/>
    <col min="32" max="48" width="9.5703125" customWidth="1"/>
    <col min="51" max="51" width="12.85546875" customWidth="1"/>
  </cols>
  <sheetData>
    <row r="1" spans="1:51" x14ac:dyDescent="0.25">
      <c r="A1" s="79" t="s">
        <v>668</v>
      </c>
      <c r="B1" s="80" t="s">
        <v>571</v>
      </c>
      <c r="C1" s="80" t="s">
        <v>669</v>
      </c>
      <c r="D1" s="80" t="s">
        <v>670</v>
      </c>
      <c r="E1" s="80" t="s">
        <v>575</v>
      </c>
      <c r="F1" s="80" t="s">
        <v>671</v>
      </c>
      <c r="G1" s="80" t="s">
        <v>672</v>
      </c>
      <c r="H1" s="80" t="s">
        <v>685</v>
      </c>
      <c r="I1" s="80" t="s">
        <v>686</v>
      </c>
      <c r="J1" s="80" t="s">
        <v>687</v>
      </c>
      <c r="K1" s="80" t="s">
        <v>688</v>
      </c>
      <c r="L1" s="80" t="s">
        <v>689</v>
      </c>
      <c r="M1" s="80" t="s">
        <v>690</v>
      </c>
      <c r="N1" s="80" t="s">
        <v>691</v>
      </c>
      <c r="O1" s="80" t="s">
        <v>657</v>
      </c>
      <c r="P1" s="80" t="s">
        <v>660</v>
      </c>
      <c r="Q1" s="80" t="s">
        <v>692</v>
      </c>
      <c r="R1" s="80" t="s">
        <v>693</v>
      </c>
      <c r="S1" s="80" t="s">
        <v>694</v>
      </c>
      <c r="T1" s="80" t="s">
        <v>695</v>
      </c>
      <c r="U1" s="80" t="s">
        <v>696</v>
      </c>
      <c r="V1" s="80" t="s">
        <v>697</v>
      </c>
      <c r="W1" s="80" t="s">
        <v>698</v>
      </c>
      <c r="X1" s="80" t="s">
        <v>699</v>
      </c>
      <c r="Y1" s="80" t="s">
        <v>700</v>
      </c>
      <c r="Z1" s="80" t="s">
        <v>701</v>
      </c>
      <c r="AA1" s="80" t="s">
        <v>702</v>
      </c>
      <c r="AB1" s="80" t="s">
        <v>703</v>
      </c>
      <c r="AC1" s="80" t="s">
        <v>544</v>
      </c>
      <c r="AD1" s="80" t="s">
        <v>545</v>
      </c>
      <c r="AE1" s="80" t="s">
        <v>546</v>
      </c>
      <c r="AF1" s="80" t="s">
        <v>547</v>
      </c>
      <c r="AG1" s="80" t="s">
        <v>548</v>
      </c>
      <c r="AH1" s="80" t="s">
        <v>549</v>
      </c>
      <c r="AI1" s="80" t="s">
        <v>550</v>
      </c>
      <c r="AJ1" s="80" t="s">
        <v>551</v>
      </c>
      <c r="AK1" s="80" t="s">
        <v>552</v>
      </c>
      <c r="AL1" s="80" t="s">
        <v>553</v>
      </c>
      <c r="AM1" s="80" t="s">
        <v>554</v>
      </c>
      <c r="AN1" s="80" t="s">
        <v>555</v>
      </c>
      <c r="AO1" s="80" t="s">
        <v>556</v>
      </c>
      <c r="AP1" s="80" t="s">
        <v>557</v>
      </c>
      <c r="AQ1" s="80" t="s">
        <v>558</v>
      </c>
      <c r="AR1" s="80" t="s">
        <v>559</v>
      </c>
      <c r="AS1" s="80" t="s">
        <v>560</v>
      </c>
      <c r="AT1" s="80" t="s">
        <v>561</v>
      </c>
      <c r="AU1" s="80" t="s">
        <v>562</v>
      </c>
      <c r="AV1" s="80" t="s">
        <v>563</v>
      </c>
      <c r="AW1" s="80" t="s">
        <v>564</v>
      </c>
      <c r="AX1" s="85" t="s">
        <v>704</v>
      </c>
      <c r="AY1" s="108" t="s">
        <v>725</v>
      </c>
    </row>
    <row r="2" spans="1:51" x14ac:dyDescent="0.25">
      <c r="A2" t="s">
        <v>677</v>
      </c>
      <c r="H2" s="117">
        <f>SUMPRODUCT((lmic_raw[[who_region]:[who_region]]=$A2)*lmic_raw[pop]*(LEN(lmic_raw[bd_cov])&gt;interactive!$C$6))</f>
        <v>106186512</v>
      </c>
      <c r="I2" s="117">
        <f>SUMPRODUCT((lmic_raw[[who_region]:[who_region]]=$A2)*lmic_raw[births]*(LEN(lmic_raw[bd_cov])&gt;interactive!$C$6))</f>
        <v>3289799.2959500002</v>
      </c>
      <c r="J2">
        <f>SUMPRODUCT((lmic_raw[[who_region]:[who_region]]=$A2)*lmic_raw[fac_birth]*lmic_raw[births]*(LEN(lmic_raw[fac_birth])&gt;1)*(LEN(lmic_raw[bd_cov])&gt;interactive!$C$6))/SUMPRODUCT((lmic_raw[[who_region]:[who_region]]=$A2)*lmic_raw[births]*(LEN(lmic_raw[fac_birth])&gt;1)*(LEN(lmic_raw[bd_cov])&gt;interactive!$C$6))</f>
        <v>0.83777486835848203</v>
      </c>
      <c r="K2" s="33">
        <f>SUMPRODUCT((lmic_raw[[who_region]:[who_region]]=$A2)*lmic_raw[bd_cov]*lmic_raw[births]*(LEN(lmic_raw[bd_cov])&gt;interactive!$C$6))/SUMPRODUCT((lmic_raw[[who_region]:[who_region]]=$A2)*lmic_raw[births]*(LEN(lmic_raw[bd_cov])&gt;interactive!$C$6))</f>
        <v>0.69252604416320784</v>
      </c>
      <c r="L2" s="33">
        <f>SUMPRODUCT((lmic_raw[[who_region]:[who_region]]=$A2)*lmic_raw[hbv3_cov]*lmic_raw[births]*(LEN(lmic_raw[hbv3_cov])&gt;1)*(LEN(lmic_raw[bd_cov])&gt;interactive!$C$6))/SUMPRODUCT((lmic_raw[[who_region]:[who_region]]=$A2)*lmic_raw[births]*(LEN(lmic_raw[hbv3_cov])&gt;1)*(LEN(lmic_raw[bd_cov])&gt;interactive!$C$6))</f>
        <v>0.88729620360421668</v>
      </c>
      <c r="M2" s="33">
        <f>SUMPRODUCT((lmic_raw[[who_region]:[who_region]]=$A2)*lmic_raw[hbv_prev]*lmic_raw[pop]*(LEN(lmic_raw[hbv_prev])&gt;1)*(LEN(lmic_raw[bd_cov])&gt;interactive!$C$6))/SUMPRODUCT((lmic_raw[[who_region]:[who_region]]=$A2)*lmic_raw[pop]*(LEN(lmic_raw[hbv_prev])&gt;1)*(LEN(lmic_raw[bd_cov])&gt;interactive!$C$6))</f>
        <v>4.2042782699181228E-2</v>
      </c>
      <c r="N2" s="33">
        <f>SUMPRODUCT((lmic_raw[[who_region]:[who_region]]=$A2)*lmic_raw[hbe_prev]*lmic_raw[pop]*(LEN(lmic_raw[hbe_prev])&gt;1)*(LEN(lmic_raw[bd_cov])&gt;interactive!$C$6))/SUMPRODUCT((lmic_raw[[who_region]:[who_region]]=$A2)*lmic_raw[pop]*(LEN(lmic_raw[hbe_prev])&gt;1)*(LEN(lmic_raw[bd_cov])&gt;interactive!$C$6))</f>
        <v>0.27035763621551229</v>
      </c>
      <c r="O2" s="33">
        <f>SUMPRODUCT((lmic_raw[[who_region]:[who_region]]=$A2)*lmic_raw[epos]*lmic_raw[pop]*(LEN(lmic_raw[epos])&gt;1)*(LEN(lmic_raw[bd_cov])&gt;interactive!$C$6))/SUMPRODUCT((lmic_raw[[who_region]:[who_region]]=$A2)*lmic_raw[pop]*(LEN(lmic_raw[epos])&gt;1)*(LEN(lmic_raw[bd_cov])&gt;interactive!$C$6))</f>
        <v>0.5520716003365852</v>
      </c>
      <c r="P2" s="33">
        <f>SUMPRODUCT((lmic_raw[[who_region]:[who_region]]=$A2)*lmic_raw[eneg]*lmic_raw[pop]*(LEN(lmic_raw[eneg])&gt;1)*(LEN(lmic_raw[bd_cov])&gt;interactive!$C$6))/SUMPRODUCT((lmic_raw[[who_region]:[who_region]]=$A2)*lmic_raw[pop]*(LEN(lmic_raw[eneg])&gt;1)*(LEN(lmic_raw[bd_cov])&gt;interactive!$C$6))</f>
        <v>9.9491830318336458E-2</v>
      </c>
      <c r="Q2" s="33">
        <f>SUMPRODUCT((lmic_raw[[who_region]:[who_region]]=$A2)*lmic_raw[c_diag]*lmic_raw[births]*(LEN(lmic_raw[c_diag])&gt;1)*(LEN(lmic_raw[bd_cov])&gt;interactive!$C$6))/SUMPRODUCT((lmic_raw[[who_region]:[who_region]]=$A2)*lmic_raw[births]*(LEN(lmic_raw[c_diag])&gt;1)*(LEN(lmic_raw[bd_cov])&gt;interactive!$C$6))</f>
        <v>4.6578711530420058</v>
      </c>
      <c r="R2" s="33">
        <f>SUMPRODUCT((lmic_raw[[who_region]:[who_region]]=$A2)*lmic_raw[c_C]*lmic_raw[births]*(LEN(lmic_raw[c_C])&gt;1)*(LEN(lmic_raw[bd_cov])&gt;interactive!$C$6))/SUMPRODUCT((lmic_raw[[who_region]:[who_region]]=$A2)*lmic_raw[births]*(LEN(lmic_raw[c_C])&gt;1)*(LEN(lmic_raw[bd_cov])&gt;interactive!$C$6))</f>
        <v>35.224544026471641</v>
      </c>
      <c r="S2" s="33">
        <f>SUMPRODUCT((lmic_raw[[who_region]:[who_region]]=$A2)*lmic_raw[c_CC]*lmic_raw[births]*(LEN(lmic_raw[c_CC])&gt;1)*(LEN(lmic_raw[bd_cov])&gt;interactive!$C$6))/SUMPRODUCT((lmic_raw[[who_region]:[who_region]]=$A2)*lmic_raw[births]*(LEN(lmic_raw[c_CC])&gt;1)*(LEN(lmic_raw[bd_cov])&gt;interactive!$C$6))</f>
        <v>82.966544026471652</v>
      </c>
      <c r="T2" s="33">
        <f>SUMPRODUCT((lmic_raw[[who_region]:[who_region]]=$A2)*lmic_raw[c_DC]*lmic_raw[births]*(LEN(lmic_raw[c_DC])&gt;1)*(LEN(lmic_raw[bd_cov])&gt;interactive!$C$6))/SUMPRODUCT((lmic_raw[[who_region]:[who_region]]=$A2)*lmic_raw[births]*(LEN(lmic_raw[c_DC])&gt;1)*(LEN(lmic_raw[bd_cov])&gt;interactive!$C$6))</f>
        <v>82.966544026471652</v>
      </c>
      <c r="U2" s="33">
        <f>SUMPRODUCT((lmic_raw[[who_region]:[who_region]]=$A2)*lmic_raw[c_HCC]*lmic_raw[births]*(LEN(lmic_raw[c_HCC])&gt;1)*(LEN(lmic_raw[bd_cov])&gt;interactive!$C$6))/SUMPRODUCT((lmic_raw[[who_region]:[who_region]]=$A2)*lmic_raw[births]*(LEN(lmic_raw[c_HCC])&gt;1)*(LEN(lmic_raw[bd_cov])&gt;interactive!$C$6))</f>
        <v>82.966544026471652</v>
      </c>
      <c r="V2" s="33">
        <f>SUMPRODUCT((lmic_raw[[who_region]:[who_region]]=$A2)*lmic_raw[bl1_f]*lmic_raw[births]*(LEN(lmic_raw[bl1_f])&gt;1)*(LEN(lmic_raw[bd_cov])&gt;interactive!$C$6))/SUMPRODUCT((lmic_raw[[who_region]:[who_region]]=$A2)*lmic_raw[births]*(LEN(lmic_raw[bl1_f])&gt;1)*(LEN(lmic_raw[bd_cov])&gt;interactive!$C$6))</f>
        <v>2.8764133329942272</v>
      </c>
      <c r="W2" s="33">
        <f>SUMPRODUCT((lmic_raw[[who_region]:[who_region]]=$A2)*lmic_raw[bl1_c]*lmic_raw[births]*(LEN(lmic_raw[bl1_c])&gt;1)*(LEN(lmic_raw[bd_cov])&gt;interactive!$C$6))/SUMPRODUCT((lmic_raw[[who_region]:[who_region]]=$A2)*lmic_raw[births]*(LEN(lmic_raw[bl1_c])&gt;1)*(LEN(lmic_raw[bd_cov])&gt;interactive!$C$6))</f>
        <v>6.300867838205698</v>
      </c>
      <c r="X2" s="33">
        <f>SUMPRODUCT((lmic_raw[[who_region]:[who_region]]=$A2)*lmic_raw[map_f]*lmic_raw[births]*(LEN(lmic_raw[map_f])&gt;1)*(LEN(lmic_raw[bd_cov])&gt;interactive!$C$6))/SUMPRODUCT((lmic_raw[[who_region]:[who_region]]=$A2)*lmic_raw[births]*(LEN(lmic_raw[map_f])&gt;1)*(LEN(lmic_raw[bd_cov])&gt;interactive!$C$6))</f>
        <v>2.4470786664302042</v>
      </c>
      <c r="Y2" s="33">
        <f>SUMPRODUCT((lmic_raw[[who_region]:[who_region]]=$A2)*lmic_raw[map_cq]*lmic_raw[births]*(LEN(lmic_raw[map_cq])&gt;1)*(LEN(lmic_raw[bd_cov])&gt;interactive!$C$6))/SUMPRODUCT((lmic_raw[[who_region]:[who_region]]=$A2)*lmic_raw[births]*(LEN(lmic_raw[map_cq])&gt;1)*(LEN(lmic_raw[bd_cov])&gt;interactive!$C$6))</f>
        <v>5.8715331716416745</v>
      </c>
      <c r="Z2" s="33">
        <f>SUMPRODUCT((lmic_raw[[who_region]:[who_region]]=$A2)*lmic_raw[map_cl]*lmic_raw[births]*(LEN(lmic_raw[map_cl])&gt;1)*(LEN(lmic_raw[bd_cov])&gt;interactive!$C$6))/SUMPRODUCT((lmic_raw[[who_region]:[who_region]]=$A2)*lmic_raw[births]*(LEN(lmic_raw[map_cl])&gt;1)*(LEN(lmic_raw[bd_cov])&gt;interactive!$C$6))</f>
        <v>5.8668395295753806</v>
      </c>
      <c r="AA2" s="33">
        <f>SUMPRODUCT((lmic_raw[[who_region]:[who_region]]=$A2)*lmic_raw[ctc_f]*lmic_raw[births]*(LEN(lmic_raw[ctc_f])&gt;1)*(LEN(lmic_raw[bd_cov])&gt;interactive!$C$6))/SUMPRODUCT((lmic_raw[[who_region]:[who_region]]=$A2)*lmic_raw[births]*(LEN(lmic_raw[ctc_f])&gt;1)*(LEN(lmic_raw[bd_cov])&gt;interactive!$C$6))</f>
        <v>3.1193995444324445</v>
      </c>
      <c r="AB2" s="33">
        <f>SUMPRODUCT((lmic_raw[[who_region]:[who_region]]=$A2)*lmic_raw[ctc_c]*lmic_raw[births]*(LEN(lmic_raw[ctc_c])&gt;1)*(LEN(lmic_raw[bd_cov])&gt;interactive!$C$6))/SUMPRODUCT((lmic_raw[[who_region]:[who_region]]=$A2)*lmic_raw[births]*(LEN(lmic_raw[ctc_c])&gt;1)*(LEN(lmic_raw[bd_cov])&gt;interactive!$C$6))</f>
        <v>6.5438540496439153</v>
      </c>
      <c r="AC2" s="33">
        <f>SUMPRODUCT((lmic_raw[[who_region]:[who_region]]=$A2)*lmic_raw[m_01]*lmic_raw[births]*(LEN(lmic_raw[m_01])&gt;1)*(LEN(lmic_raw[bd_cov])&gt;interactive!$C$6))/SUMPRODUCT((lmic_raw[[who_region]:[who_region]]=$A2)*lmic_raw[births]*(LEN(lmic_raw[m_01])&gt;1)*(LEN(lmic_raw[bd_cov])&gt;interactive!$C$6))</f>
        <v>3.9294259816152262E-2</v>
      </c>
      <c r="AD2" s="33">
        <f>SUMPRODUCT((lmic_raw[[who_region]:[who_region]]=$A2)*lmic_raw[m_14]*lmic_raw[births]*(LEN(lmic_raw[m_14])&gt;1)*(LEN(lmic_raw[bd_cov])&gt;interactive!$C$6))/SUMPRODUCT((lmic_raw[[who_region]:[who_region]]=$A2)*lmic_raw[births]*(LEN(lmic_raw[m_14])&gt;1)*(LEN(lmic_raw[bd_cov])&gt;interactive!$C$6))</f>
        <v>3.6475722436542925E-3</v>
      </c>
      <c r="AE2" s="33">
        <f>SUMPRODUCT((lmic_raw[[who_region]:[who_region]]=$A2)*lmic_raw[m_59]*lmic_raw[births]*(LEN(lmic_raw[m_59])&gt;1)*(LEN(lmic_raw[bd_cov])&gt;interactive!$C$6))/SUMPRODUCT((lmic_raw[[who_region]:[who_region]]=$A2)*lmic_raw[births]*(LEN(lmic_raw[m_59])&gt;1)*(LEN(lmic_raw[bd_cov])&gt;interactive!$C$6))</f>
        <v>1.3391725619768683E-3</v>
      </c>
      <c r="AF2" s="33">
        <f>SUMPRODUCT((lmic_raw[[who_region]:[who_region]]=$A2)*lmic_raw[m_1014]*lmic_raw[births]*(LEN(lmic_raw[m_1014])&gt;1)*(LEN(lmic_raw[bd_cov])&gt;interactive!$C$6))/SUMPRODUCT((lmic_raw[[who_region]:[who_region]]=$A2)*lmic_raw[births]*(LEN(lmic_raw[m_1014])&gt;1)*(LEN(lmic_raw[bd_cov])&gt;interactive!$C$6))</f>
        <v>1.0025786997578904E-3</v>
      </c>
      <c r="AG2" s="33">
        <f>SUMPRODUCT((lmic_raw[[who_region]:[who_region]]=$A2)*lmic_raw[m_1519]*lmic_raw[births]*(LEN(lmic_raw[m_1519])&gt;1)*(LEN(lmic_raw[bd_cov])&gt;interactive!$C$6))/SUMPRODUCT((lmic_raw[[who_region]:[who_region]]=$A2)*lmic_raw[births]*(LEN(lmic_raw[m_1519])&gt;1)*(LEN(lmic_raw[bd_cov])&gt;interactive!$C$6))</f>
        <v>1.5351520506777646E-3</v>
      </c>
      <c r="AH2" s="33">
        <f>SUMPRODUCT((lmic_raw[[who_region]:[who_region]]=$A2)*lmic_raw[m_2024]*lmic_raw[births]*(LEN(lmic_raw[m_2024])&gt;1)*(LEN(lmic_raw[bd_cov])&gt;interactive!$C$6))/SUMPRODUCT((lmic_raw[[who_region]:[who_region]]=$A2)*lmic_raw[births]*(LEN(lmic_raw[m_2024])&gt;1)*(LEN(lmic_raw[bd_cov])&gt;interactive!$C$6))</f>
        <v>2.2781180477742385E-3</v>
      </c>
      <c r="AI2" s="33">
        <f>SUMPRODUCT((lmic_raw[[who_region]:[who_region]]=$A2)*lmic_raw[m_2529]*lmic_raw[births]*(LEN(lmic_raw[m_2529])&gt;1)*(LEN(lmic_raw[bd_cov])&gt;interactive!$C$6))/SUMPRODUCT((lmic_raw[[who_region]:[who_region]]=$A2)*lmic_raw[births]*(LEN(lmic_raw[m_2529])&gt;1)*(LEN(lmic_raw[bd_cov])&gt;interactive!$C$6))</f>
        <v>2.8940352079112634E-3</v>
      </c>
      <c r="AJ2" s="33">
        <f>SUMPRODUCT((lmic_raw[[who_region]:[who_region]]=$A2)*lmic_raw[m_3034]*lmic_raw[births]*(LEN(lmic_raw[m_3034])&gt;1)*(LEN(lmic_raw[bd_cov])&gt;interactive!$C$6))/SUMPRODUCT((lmic_raw[[who_region]:[who_region]]=$A2)*lmic_raw[births]*(LEN(lmic_raw[m_3034])&gt;1)*(LEN(lmic_raw[bd_cov])&gt;interactive!$C$6))</f>
        <v>3.5867133880108657E-3</v>
      </c>
      <c r="AK2" s="33">
        <f>SUMPRODUCT((lmic_raw[[who_region]:[who_region]]=$A2)*lmic_raw[m_3539]*lmic_raw[births]*(LEN(lmic_raw[m_3539])&gt;1)*(LEN(lmic_raw[bd_cov])&gt;interactive!$C$6))/SUMPRODUCT((lmic_raw[[who_region]:[who_region]]=$A2)*lmic_raw[births]*(LEN(lmic_raw[m_3539])&gt;1)*(LEN(lmic_raw[bd_cov])&gt;interactive!$C$6))</f>
        <v>4.5934848724484114E-3</v>
      </c>
      <c r="AL2" s="33">
        <f>SUMPRODUCT((lmic_raw[[who_region]:[who_region]]=$A2)*lmic_raw[m_4044]*lmic_raw[births]*(LEN(lmic_raw[m_4044])&gt;1)*(LEN(lmic_raw[bd_cov])&gt;interactive!$C$6))/SUMPRODUCT((lmic_raw[[who_region]:[who_region]]=$A2)*lmic_raw[births]*(LEN(lmic_raw[m_4044])&gt;1)*(LEN(lmic_raw[bd_cov])&gt;interactive!$C$6))</f>
        <v>5.7179031020498736E-3</v>
      </c>
      <c r="AM2" s="33">
        <f>SUMPRODUCT((lmic_raw[[who_region]:[who_region]]=$A2)*lmic_raw[m_4549]*lmic_raw[births]*(LEN(lmic_raw[m_4549])&gt;1)*(LEN(lmic_raw[bd_cov])&gt;interactive!$C$6))/SUMPRODUCT((lmic_raw[[who_region]:[who_region]]=$A2)*lmic_raw[births]*(LEN(lmic_raw[m_4549])&gt;1)*(LEN(lmic_raw[bd_cov])&gt;interactive!$C$6))</f>
        <v>7.1727315726294325E-3</v>
      </c>
      <c r="AN2" s="33">
        <f>SUMPRODUCT((lmic_raw[[who_region]:[who_region]]=$A2)*lmic_raw[m_5054]*lmic_raw[births]*(LEN(lmic_raw[m_5054])&gt;1)*(LEN(lmic_raw[bd_cov])&gt;interactive!$C$6))/SUMPRODUCT((lmic_raw[[who_region]:[who_region]]=$A2)*lmic_raw[births]*(LEN(lmic_raw[m_5054])&gt;1)*(LEN(lmic_raw[bd_cov])&gt;interactive!$C$6))</f>
        <v>9.6573158154862008E-3</v>
      </c>
      <c r="AO2" s="33">
        <f>SUMPRODUCT((lmic_raw[[who_region]:[who_region]]=$A2)*lmic_raw[m_5559]*lmic_raw[births]*(LEN(lmic_raw[m_5559])&gt;1)*(LEN(lmic_raw[bd_cov])&gt;interactive!$C$6))/SUMPRODUCT((lmic_raw[[who_region]:[who_region]]=$A2)*lmic_raw[births]*(LEN(lmic_raw[m_5559])&gt;1)*(LEN(lmic_raw[bd_cov])&gt;interactive!$C$6))</f>
        <v>1.2859798511378313E-2</v>
      </c>
      <c r="AP2" s="33">
        <f>SUMPRODUCT((lmic_raw[[who_region]:[who_region]]=$A2)*lmic_raw[m_6064]*lmic_raw[births]*(LEN(lmic_raw[m_6064])&gt;1)*(LEN(lmic_raw[bd_cov])&gt;interactive!$C$6))/SUMPRODUCT((lmic_raw[[who_region]:[who_region]]=$A2)*lmic_raw[births]*(LEN(lmic_raw[m_6064])&gt;1)*(LEN(lmic_raw[bd_cov])&gt;interactive!$C$6))</f>
        <v>1.871493986678479E-2</v>
      </c>
      <c r="AQ2" s="33">
        <f>SUMPRODUCT((lmic_raw[[who_region]:[who_region]]=$A2)*lmic_raw[m_6569]*lmic_raw[births]*(LEN(lmic_raw[m_6569])&gt;1)*(LEN(lmic_raw[bd_cov])&gt;interactive!$C$6))/SUMPRODUCT((lmic_raw[[who_region]:[who_region]]=$A2)*lmic_raw[births]*(LEN(lmic_raw[m_6569])&gt;1)*(LEN(lmic_raw[bd_cov])&gt;interactive!$C$6))</f>
        <v>2.7821340901397828E-2</v>
      </c>
      <c r="AR2" s="33">
        <f>SUMPRODUCT((lmic_raw[[who_region]:[who_region]]=$A2)*lmic_raw[m_7074]*lmic_raw[births]*(LEN(lmic_raw[m_7074])&gt;1)*(LEN(lmic_raw[bd_cov])&gt;interactive!$C$6))/SUMPRODUCT((lmic_raw[[who_region]:[who_region]]=$A2)*lmic_raw[births]*(LEN(lmic_raw[m_7074])&gt;1)*(LEN(lmic_raw[bd_cov])&gt;interactive!$C$6))</f>
        <v>4.2747422651237932E-2</v>
      </c>
      <c r="AS2" s="33">
        <f>SUMPRODUCT((lmic_raw[[who_region]:[who_region]]=$A2)*lmic_raw[m_7079]*lmic_raw[births]*(LEN(lmic_raw[m_7079])&gt;1)*(LEN(lmic_raw[bd_cov])&gt;interactive!$C$6))/SUMPRODUCT((lmic_raw[[who_region]:[who_region]]=$A2)*lmic_raw[births]*(LEN(lmic_raw[m_7079])&gt;1)*(LEN(lmic_raw[bd_cov])&gt;interactive!$C$6))</f>
        <v>6.5405597884300282E-2</v>
      </c>
      <c r="AT2" s="33">
        <f>SUMPRODUCT((lmic_raw[[who_region]:[who_region]]=$A2)*lmic_raw[m_8084]*lmic_raw[births]*(LEN(lmic_raw[m_8084])&gt;1)*(LEN(lmic_raw[bd_cov])&gt;interactive!$C$6))/SUMPRODUCT((lmic_raw[[who_region]:[who_region]]=$A2)*lmic_raw[births]*(LEN(lmic_raw[m_8084])&gt;1)*(LEN(lmic_raw[bd_cov])&gt;interactive!$C$6))</f>
        <v>9.7646042834445168E-2</v>
      </c>
      <c r="AU2" s="33">
        <f>SUMPRODUCT((lmic_raw[[who_region]:[who_region]]=$A2)*lmic_raw[m_8589]*lmic_raw[births]*(LEN(lmic_raw[m_8589])&gt;1)*(LEN(lmic_raw[bd_cov])&gt;interactive!$C$6))/SUMPRODUCT((lmic_raw[[who_region]:[who_region]]=$A2)*lmic_raw[births]*(LEN(lmic_raw[m_8589])&gt;1)*(LEN(lmic_raw[bd_cov])&gt;interactive!$C$6))</f>
        <v>0.13387371209164278</v>
      </c>
      <c r="AV2" s="33">
        <f>SUMPRODUCT((lmic_raw[[who_region]:[who_region]]=$A2)*lmic_raw[m_9094]*lmic_raw[births]*(LEN(lmic_raw[m_9094])&gt;1)*(LEN(lmic_raw[bd_cov])&gt;interactive!$C$6))/SUMPRODUCT((lmic_raw[[who_region]:[who_region]]=$A2)*lmic_raw[births]*(LEN(lmic_raw[m_9094])&gt;1)*(LEN(lmic_raw[bd_cov])&gt;interactive!$C$6))</f>
        <v>0.16404006848375105</v>
      </c>
      <c r="AW2" s="33">
        <f>SUMPRODUCT((lmic_raw[[who_region]:[who_region]]=$A2)*lmic_raw[m_95+]*lmic_raw[births]*(LEN(lmic_raw[m_95+])&gt;1)*(LEN(lmic_raw[bd_cov])&gt;interactive!$C$6))/SUMPRODUCT((lmic_raw[[who_region]:[who_region]]=$A2)*lmic_raw[births]*(LEN(lmic_raw[m_95+])&gt;1)*(LEN(lmic_raw[bd_cov])&gt;interactive!$C$6))</f>
        <v>0.1798460549478289</v>
      </c>
      <c r="AX2" s="33">
        <f>SUMPRODUCT((lmic_raw[[who_region]:[who_region]]=$A2)*lmic_raw[av_life]*lmic_raw[births]*(LEN(lmic_raw[av_life])&gt;1)*(LEN(lmic_raw[bd_cov])&gt;interactive!$C$6))/SUMPRODUCT((lmic_raw[[who_region]:[who_region]]=$A2)*lmic_raw[births]*(LEN(lmic_raw[av_life])&gt;1)*(LEN(lmic_raw[bd_cov])&gt;interactive!$C$6))</f>
        <v>66.64435138869969</v>
      </c>
      <c r="AY2" s="33"/>
    </row>
    <row r="3" spans="1:51" x14ac:dyDescent="0.25">
      <c r="A3" t="s">
        <v>679</v>
      </c>
      <c r="H3" s="117">
        <f>SUMPRODUCT((lmic_raw[[who_region]:[who_region]]=$A3)*lmic_raw[pop]*(LEN(lmic_raw[bd_cov])&gt;interactive!$C$6))</f>
        <v>446919640</v>
      </c>
      <c r="I3" s="117">
        <f>SUMPRODUCT((lmic_raw[[who_region]:[who_region]]=$A3)*lmic_raw[births]*(LEN(lmic_raw[bd_cov])&gt;interactive!$C$6))</f>
        <v>7130822.7323150011</v>
      </c>
      <c r="J3" s="33">
        <f>SUMPRODUCT((lmic_raw[[who_region]:[who_region]]=$A3)*lmic_raw[fac_birth]*lmic_raw[births]*(LEN(lmic_raw[fac_birth])&gt;1)*(LEN(lmic_raw[bd_cov])&gt;interactive!$C$6))/SUMPRODUCT((lmic_raw[[who_region]:[who_region]]=$A3)*lmic_raw[births]*(LEN(lmic_raw[fac_birth])&gt;1)*(LEN(lmic_raw[bd_cov])&gt;interactive!$C$6))</f>
        <v>0.95521543039667178</v>
      </c>
      <c r="K3" s="33">
        <f>SUMPRODUCT((lmic_raw[[who_region]:[who_region]]=$A3)*lmic_raw[bd_cov]*lmic_raw[births]*(LEN(lmic_raw[bd_cov])&gt;interactive!$C$6))/SUMPRODUCT((lmic_raw[[who_region]:[who_region]]=$A3)*lmic_raw[births]*(LEN(lmic_raw[bd_cov])&gt;interactive!$C$6))</f>
        <v>0.74567750031159119</v>
      </c>
      <c r="L3" s="33">
        <f>SUMPRODUCT((lmic_raw[[who_region]:[who_region]]=$A3)*lmic_raw[hbv3_cov]*lmic_raw[births]*(LEN(lmic_raw[hbv3_cov])&gt;1)*(LEN(lmic_raw[bd_cov])&gt;interactive!$C$6))/SUMPRODUCT((lmic_raw[[who_region]:[who_region]]=$A3)*lmic_raw[births]*(LEN(lmic_raw[hbv3_cov])&gt;1)*(LEN(lmic_raw[bd_cov])&gt;interactive!$C$6))</f>
        <v>0.82983207434668738</v>
      </c>
      <c r="M3" s="33">
        <f>SUMPRODUCT((lmic_raw[[who_region]:[who_region]]=$A3)*lmic_raw[hbv_prev]*lmic_raw[pop]*(LEN(lmic_raw[hbv_prev])&gt;1)*(LEN(lmic_raw[bd_cov])&gt;interactive!$C$6))/SUMPRODUCT((lmic_raw[[who_region]:[who_region]]=$A3)*lmic_raw[pop]*(LEN(lmic_raw[hbv_prev])&gt;1)*(LEN(lmic_raw[bd_cov])&gt;interactive!$C$6))</f>
        <v>8.8515639015103471E-3</v>
      </c>
      <c r="N3" s="33">
        <f>SUMPRODUCT((lmic_raw[[who_region]:[who_region]]=$A3)*lmic_raw[hbe_prev]*lmic_raw[pop]*(LEN(lmic_raw[hbe_prev])&gt;1)*(LEN(lmic_raw[bd_cov])&gt;interactive!$C$6))/SUMPRODUCT((lmic_raw[[who_region]:[who_region]]=$A3)*lmic_raw[pop]*(LEN(lmic_raw[hbe_prev])&gt;1)*(LEN(lmic_raw[bd_cov])&gt;interactive!$C$6))</f>
        <v>0.31079232131491918</v>
      </c>
      <c r="O3" s="33">
        <f>SUMPRODUCT((lmic_raw[[who_region]:[who_region]]=$A3)*lmic_raw[epos]*lmic_raw[pop]*(LEN(lmic_raw[epos])&gt;1)*(LEN(lmic_raw[bd_cov])&gt;interactive!$C$6))/SUMPRODUCT((lmic_raw[[who_region]:[who_region]]=$A3)*lmic_raw[pop]*(LEN(lmic_raw[epos])&gt;1)*(LEN(lmic_raw[bd_cov])&gt;interactive!$C$6))</f>
        <v>0.8</v>
      </c>
      <c r="P3" s="33">
        <f>SUMPRODUCT((lmic_raw[[who_region]:[who_region]]=$A3)*lmic_raw[eneg]*lmic_raw[pop]*(LEN(lmic_raw[eneg])&gt;1)*(LEN(lmic_raw[bd_cov])&gt;interactive!$C$6))/SUMPRODUCT((lmic_raw[[who_region]:[who_region]]=$A3)*lmic_raw[pop]*(LEN(lmic_raw[eneg])&gt;1)*(LEN(lmic_raw[bd_cov])&gt;interactive!$C$6))</f>
        <v>0.17499999999999999</v>
      </c>
      <c r="Q3" s="33">
        <f>SUMPRODUCT((lmic_raw[[who_region]:[who_region]]=$A3)*lmic_raw[c_diag]*lmic_raw[births]*(LEN(lmic_raw[c_diag])&gt;1)*(LEN(lmic_raw[bd_cov])&gt;interactive!$C$6))/SUMPRODUCT((lmic_raw[[who_region]:[who_region]]=$A3)*lmic_raw[births]*(LEN(lmic_raw[c_diag])&gt;1)*(LEN(lmic_raw[bd_cov])&gt;interactive!$C$6))</f>
        <v>9.6840699904272629</v>
      </c>
      <c r="R3" s="33">
        <f>SUMPRODUCT((lmic_raw[[who_region]:[who_region]]=$A3)*lmic_raw[c_C]*lmic_raw[births]*(LEN(lmic_raw[c_C])&gt;1)*(LEN(lmic_raw[bd_cov])&gt;interactive!$C$6))/SUMPRODUCT((lmic_raw[[who_region]:[who_region]]=$A3)*lmic_raw[births]*(LEN(lmic_raw[c_C])&gt;1)*(LEN(lmic_raw[bd_cov])&gt;interactive!$C$6))</f>
        <v>86.883900000000011</v>
      </c>
      <c r="S3" s="33">
        <f>SUMPRODUCT((lmic_raw[[who_region]:[who_region]]=$A3)*lmic_raw[c_CC]*lmic_raw[births]*(LEN(lmic_raw[c_CC])&gt;1)*(LEN(lmic_raw[bd_cov])&gt;interactive!$C$6))/SUMPRODUCT((lmic_raw[[who_region]:[who_region]]=$A3)*lmic_raw[births]*(LEN(lmic_raw[c_CC])&gt;1)*(LEN(lmic_raw[bd_cov])&gt;interactive!$C$6))</f>
        <v>134.62589999999994</v>
      </c>
      <c r="T3" s="33">
        <f>SUMPRODUCT((lmic_raw[[who_region]:[who_region]]=$A3)*lmic_raw[c_DC]*lmic_raw[births]*(LEN(lmic_raw[c_DC])&gt;1)*(LEN(lmic_raw[bd_cov])&gt;interactive!$C$6))/SUMPRODUCT((lmic_raw[[who_region]:[who_region]]=$A3)*lmic_raw[births]*(LEN(lmic_raw[c_DC])&gt;1)*(LEN(lmic_raw[bd_cov])&gt;interactive!$C$6))</f>
        <v>134.62589999999994</v>
      </c>
      <c r="U3" s="33">
        <f>SUMPRODUCT((lmic_raw[[who_region]:[who_region]]=$A3)*lmic_raw[c_HCC]*lmic_raw[births]*(LEN(lmic_raw[c_HCC])&gt;1)*(LEN(lmic_raw[bd_cov])&gt;interactive!$C$6))/SUMPRODUCT((lmic_raw[[who_region]:[who_region]]=$A3)*lmic_raw[births]*(LEN(lmic_raw[c_HCC])&gt;1)*(LEN(lmic_raw[bd_cov])&gt;interactive!$C$6))</f>
        <v>134.62589999999994</v>
      </c>
      <c r="V3" s="33">
        <f>SUMPRODUCT((lmic_raw[[who_region]:[who_region]]=$A3)*lmic_raw[bl1_f]*lmic_raw[births]*(LEN(lmic_raw[bl1_f])&gt;1)*(LEN(lmic_raw[bd_cov])&gt;interactive!$C$6))/SUMPRODUCT((lmic_raw[[who_region]:[who_region]]=$A3)*lmic_raw[births]*(LEN(lmic_raw[bl1_f])&gt;1)*(LEN(lmic_raw[bd_cov])&gt;interactive!$C$6))</f>
        <v>3.1450420380584942</v>
      </c>
      <c r="W3" s="33">
        <f>SUMPRODUCT((lmic_raw[[who_region]:[who_region]]=$A3)*lmic_raw[bl1_c]*lmic_raw[births]*(LEN(lmic_raw[bl1_c])&gt;1)*(LEN(lmic_raw[bd_cov])&gt;interactive!$C$6))/SUMPRODUCT((lmic_raw[[who_region]:[who_region]]=$A3)*lmic_raw[births]*(LEN(lmic_raw[bl1_c])&gt;1)*(LEN(lmic_raw[bd_cov])&gt;interactive!$C$6))</f>
        <v>3.1650420380584938</v>
      </c>
      <c r="X3" s="33">
        <f>SUMPRODUCT((lmic_raw[[who_region]:[who_region]]=$A3)*lmic_raw[map_f]*lmic_raw[births]*(LEN(lmic_raw[map_f])&gt;1)*(LEN(lmic_raw[bd_cov])&gt;interactive!$C$6))/SUMPRODUCT((lmic_raw[[who_region]:[who_region]]=$A3)*lmic_raw[births]*(LEN(lmic_raw[map_f])&gt;1)*(LEN(lmic_raw[bd_cov])&gt;interactive!$C$6))</f>
        <v>2.7000077901494879</v>
      </c>
      <c r="Y3" s="33">
        <f>SUMPRODUCT((lmic_raw[[who_region]:[who_region]]=$A3)*lmic_raw[map_cq]*lmic_raw[births]*(LEN(lmic_raw[map_cq])&gt;1)*(LEN(lmic_raw[bd_cov])&gt;interactive!$C$6))/SUMPRODUCT((lmic_raw[[who_region]:[who_region]]=$A3)*lmic_raw[births]*(LEN(lmic_raw[map_cq])&gt;1)*(LEN(lmic_raw[bd_cov])&gt;interactive!$C$6))</f>
        <v>2.7200077901494892</v>
      </c>
      <c r="Z3" s="33">
        <f>SUMPRODUCT((lmic_raw[[who_region]:[who_region]]=$A3)*lmic_raw[map_cl]*lmic_raw[births]*(LEN(lmic_raw[map_cl])&gt;1)*(LEN(lmic_raw[bd_cov])&gt;interactive!$C$6))/SUMPRODUCT((lmic_raw[[who_region]:[who_region]]=$A3)*lmic_raw[births]*(LEN(lmic_raw[map_cl])&gt;1)*(LEN(lmic_raw[bd_cov])&gt;interactive!$C$6))</f>
        <v>2.7090070021077524</v>
      </c>
      <c r="AA3" s="33">
        <f>SUMPRODUCT((lmic_raw[[who_region]:[who_region]]=$A3)*lmic_raw[ctc_f]*lmic_raw[births]*(LEN(lmic_raw[ctc_f])&gt;1)*(LEN(lmic_raw[bd_cov])&gt;interactive!$C$6))/SUMPRODUCT((lmic_raw[[who_region]:[who_region]]=$A3)*lmic_raw[births]*(LEN(lmic_raw[ctc_f])&gt;1)*(LEN(lmic_raw[bd_cov])&gt;interactive!$C$6))</f>
        <v>3.3936874009117641</v>
      </c>
      <c r="AB3" s="33">
        <f>SUMPRODUCT((lmic_raw[[who_region]:[who_region]]=$A3)*lmic_raw[ctc_c]*lmic_raw[births]*(LEN(lmic_raw[ctc_c])&gt;1)*(LEN(lmic_raw[bd_cov])&gt;interactive!$C$6))/SUMPRODUCT((lmic_raw[[who_region]:[who_region]]=$A3)*lmic_raw[births]*(LEN(lmic_raw[ctc_c])&gt;1)*(LEN(lmic_raw[bd_cov])&gt;interactive!$C$6))</f>
        <v>3.413687400911765</v>
      </c>
      <c r="AC3" s="33">
        <f>SUMPRODUCT((lmic_raw[[who_region]:[who_region]]=$A3)*lmic_raw[m_01]*lmic_raw[births]*(LEN(lmic_raw[m_01])&gt;1)*(LEN(lmic_raw[bd_cov])&gt;interactive!$C$6))/SUMPRODUCT((lmic_raw[[who_region]:[who_region]]=$A3)*lmic_raw[births]*(LEN(lmic_raw[m_01])&gt;1)*(LEN(lmic_raw[bd_cov])&gt;interactive!$C$6))</f>
        <v>1.4351282017845461E-2</v>
      </c>
      <c r="AD3" s="33">
        <f>SUMPRODUCT((lmic_raw[[who_region]:[who_region]]=$A3)*lmic_raw[m_14]*lmic_raw[births]*(LEN(lmic_raw[m_14])&gt;1)*(LEN(lmic_raw[bd_cov])&gt;interactive!$C$6))/SUMPRODUCT((lmic_raw[[who_region]:[who_region]]=$A3)*lmic_raw[births]*(LEN(lmic_raw[m_14])&gt;1)*(LEN(lmic_raw[bd_cov])&gt;interactive!$C$6))</f>
        <v>7.1261960310398131E-4</v>
      </c>
      <c r="AE3" s="33">
        <f>SUMPRODUCT((lmic_raw[[who_region]:[who_region]]=$A3)*lmic_raw[m_59]*lmic_raw[births]*(LEN(lmic_raw[m_59])&gt;1)*(LEN(lmic_raw[bd_cov])&gt;interactive!$C$6))/SUMPRODUCT((lmic_raw[[who_region]:[who_region]]=$A3)*lmic_raw[births]*(LEN(lmic_raw[m_59])&gt;1)*(LEN(lmic_raw[bd_cov])&gt;interactive!$C$6))</f>
        <v>3.0280094065261156E-4</v>
      </c>
      <c r="AF3" s="33">
        <f>SUMPRODUCT((lmic_raw[[who_region]:[who_region]]=$A3)*lmic_raw[m_1014]*lmic_raw[births]*(LEN(lmic_raw[m_1014])&gt;1)*(LEN(lmic_raw[bd_cov])&gt;interactive!$C$6))/SUMPRODUCT((lmic_raw[[who_region]:[who_region]]=$A3)*lmic_raw[births]*(LEN(lmic_raw[m_1014])&gt;1)*(LEN(lmic_raw[bd_cov])&gt;interactive!$C$6))</f>
        <v>3.5082559939342094E-4</v>
      </c>
      <c r="AG3" s="33">
        <f>SUMPRODUCT((lmic_raw[[who_region]:[who_region]]=$A3)*lmic_raw[m_1519]*lmic_raw[births]*(LEN(lmic_raw[m_1519])&gt;1)*(LEN(lmic_raw[bd_cov])&gt;interactive!$C$6))/SUMPRODUCT((lmic_raw[[who_region]:[who_region]]=$A3)*lmic_raw[births]*(LEN(lmic_raw[m_1519])&gt;1)*(LEN(lmic_raw[bd_cov])&gt;interactive!$C$6))</f>
        <v>1.0140068086305751E-3</v>
      </c>
      <c r="AH3" s="33">
        <f>SUMPRODUCT((lmic_raw[[who_region]:[who_region]]=$A3)*lmic_raw[m_2024]*lmic_raw[births]*(LEN(lmic_raw[m_2024])&gt;1)*(LEN(lmic_raw[bd_cov])&gt;interactive!$C$6))/SUMPRODUCT((lmic_raw[[who_region]:[who_region]]=$A3)*lmic_raw[births]*(LEN(lmic_raw[m_2024])&gt;1)*(LEN(lmic_raw[bd_cov])&gt;interactive!$C$6))</f>
        <v>1.5945852699702822E-3</v>
      </c>
      <c r="AI3" s="33">
        <f>SUMPRODUCT((lmic_raw[[who_region]:[who_region]]=$A3)*lmic_raw[m_2529]*lmic_raw[births]*(LEN(lmic_raw[m_2529])&gt;1)*(LEN(lmic_raw[bd_cov])&gt;interactive!$C$6))/SUMPRODUCT((lmic_raw[[who_region]:[who_region]]=$A3)*lmic_raw[births]*(LEN(lmic_raw[m_2529])&gt;1)*(LEN(lmic_raw[bd_cov])&gt;interactive!$C$6))</f>
        <v>1.6937422713185289E-3</v>
      </c>
      <c r="AJ3" s="33">
        <f>SUMPRODUCT((lmic_raw[[who_region]:[who_region]]=$A3)*lmic_raw[m_3034]*lmic_raw[births]*(LEN(lmic_raw[m_3034])&gt;1)*(LEN(lmic_raw[bd_cov])&gt;interactive!$C$6))/SUMPRODUCT((lmic_raw[[who_region]:[who_region]]=$A3)*lmic_raw[births]*(LEN(lmic_raw[m_3034])&gt;1)*(LEN(lmic_raw[bd_cov])&gt;interactive!$C$6))</f>
        <v>1.8773680724283087E-3</v>
      </c>
      <c r="AK3" s="33">
        <f>SUMPRODUCT((lmic_raw[[who_region]:[who_region]]=$A3)*lmic_raw[m_3539]*lmic_raw[births]*(LEN(lmic_raw[m_3539])&gt;1)*(LEN(lmic_raw[bd_cov])&gt;interactive!$C$6))/SUMPRODUCT((lmic_raw[[who_region]:[who_region]]=$A3)*lmic_raw[births]*(LEN(lmic_raw[m_3539])&gt;1)*(LEN(lmic_raw[bd_cov])&gt;interactive!$C$6))</f>
        <v>2.2033147268002554E-3</v>
      </c>
      <c r="AL3" s="33">
        <f>SUMPRODUCT((lmic_raw[[who_region]:[who_region]]=$A3)*lmic_raw[m_4044]*lmic_raw[births]*(LEN(lmic_raw[m_4044])&gt;1)*(LEN(lmic_raw[bd_cov])&gt;interactive!$C$6))/SUMPRODUCT((lmic_raw[[who_region]:[who_region]]=$A3)*lmic_raw[births]*(LEN(lmic_raw[m_4044])&gt;1)*(LEN(lmic_raw[bd_cov])&gt;interactive!$C$6))</f>
        <v>2.7717723171032421E-3</v>
      </c>
      <c r="AM3" s="33">
        <f>SUMPRODUCT((lmic_raw[[who_region]:[who_region]]=$A3)*lmic_raw[m_4549]*lmic_raw[births]*(LEN(lmic_raw[m_4549])&gt;1)*(LEN(lmic_raw[bd_cov])&gt;interactive!$C$6))/SUMPRODUCT((lmic_raw[[who_region]:[who_region]]=$A3)*lmic_raw[births]*(LEN(lmic_raw[m_4549])&gt;1)*(LEN(lmic_raw[bd_cov])&gt;interactive!$C$6))</f>
        <v>3.8607236334442809E-3</v>
      </c>
      <c r="AN3" s="33">
        <f>SUMPRODUCT((lmic_raw[[who_region]:[who_region]]=$A3)*lmic_raw[m_5054]*lmic_raw[births]*(LEN(lmic_raw[m_5054])&gt;1)*(LEN(lmic_raw[bd_cov])&gt;interactive!$C$6))/SUMPRODUCT((lmic_raw[[who_region]:[who_region]]=$A3)*lmic_raw[births]*(LEN(lmic_raw[m_5054])&gt;1)*(LEN(lmic_raw[bd_cov])&gt;interactive!$C$6))</f>
        <v>5.5881776752890076E-3</v>
      </c>
      <c r="AO3" s="33">
        <f>SUMPRODUCT((lmic_raw[[who_region]:[who_region]]=$A3)*lmic_raw[m_5559]*lmic_raw[births]*(LEN(lmic_raw[m_5559])&gt;1)*(LEN(lmic_raw[bd_cov])&gt;interactive!$C$6))/SUMPRODUCT((lmic_raw[[who_region]:[who_region]]=$A3)*lmic_raw[births]*(LEN(lmic_raw[m_5559])&gt;1)*(LEN(lmic_raw[bd_cov])&gt;interactive!$C$6))</f>
        <v>8.0998565384454609E-3</v>
      </c>
      <c r="AP3" s="33">
        <f>SUMPRODUCT((lmic_raw[[who_region]:[who_region]]=$A3)*lmic_raw[m_6064]*lmic_raw[births]*(LEN(lmic_raw[m_6064])&gt;1)*(LEN(lmic_raw[bd_cov])&gt;interactive!$C$6))/SUMPRODUCT((lmic_raw[[who_region]:[who_region]]=$A3)*lmic_raw[births]*(LEN(lmic_raw[m_6064])&gt;1)*(LEN(lmic_raw[bd_cov])&gt;interactive!$C$6))</f>
        <v>1.2115945316779996E-2</v>
      </c>
      <c r="AQ3" s="33">
        <f>SUMPRODUCT((lmic_raw[[who_region]:[who_region]]=$A3)*lmic_raw[m_6569]*lmic_raw[births]*(LEN(lmic_raw[m_6569])&gt;1)*(LEN(lmic_raw[bd_cov])&gt;interactive!$C$6))/SUMPRODUCT((lmic_raw[[who_region]:[who_region]]=$A3)*lmic_raw[births]*(LEN(lmic_raw[m_6569])&gt;1)*(LEN(lmic_raw[bd_cov])&gt;interactive!$C$6))</f>
        <v>1.8106724270742128E-2</v>
      </c>
      <c r="AR3" s="33">
        <f>SUMPRODUCT((lmic_raw[[who_region]:[who_region]]=$A3)*lmic_raw[m_7074]*lmic_raw[births]*(LEN(lmic_raw[m_7074])&gt;1)*(LEN(lmic_raw[bd_cov])&gt;interactive!$C$6))/SUMPRODUCT((lmic_raw[[who_region]:[who_region]]=$A3)*lmic_raw[births]*(LEN(lmic_raw[m_7074])&gt;1)*(LEN(lmic_raw[bd_cov])&gt;interactive!$C$6))</f>
        <v>2.6696748903507962E-2</v>
      </c>
      <c r="AS3" s="33">
        <f>SUMPRODUCT((lmic_raw[[who_region]:[who_region]]=$A3)*lmic_raw[m_7079]*lmic_raw[births]*(LEN(lmic_raw[m_7079])&gt;1)*(LEN(lmic_raw[bd_cov])&gt;interactive!$C$6))/SUMPRODUCT((lmic_raw[[who_region]:[who_region]]=$A3)*lmic_raw[births]*(LEN(lmic_raw[m_7079])&gt;1)*(LEN(lmic_raw[bd_cov])&gt;interactive!$C$6))</f>
        <v>4.0338027867231424E-2</v>
      </c>
      <c r="AT3" s="33">
        <f>SUMPRODUCT((lmic_raw[[who_region]:[who_region]]=$A3)*lmic_raw[m_8084]*lmic_raw[births]*(LEN(lmic_raw[m_8084])&gt;1)*(LEN(lmic_raw[bd_cov])&gt;interactive!$C$6))/SUMPRODUCT((lmic_raw[[who_region]:[who_region]]=$A3)*lmic_raw[births]*(LEN(lmic_raw[m_8084])&gt;1)*(LEN(lmic_raw[bd_cov])&gt;interactive!$C$6))</f>
        <v>5.9853931332413249E-2</v>
      </c>
      <c r="AU3" s="33">
        <f>SUMPRODUCT((lmic_raw[[who_region]:[who_region]]=$A3)*lmic_raw[m_8589]*lmic_raw[births]*(LEN(lmic_raw[m_8589])&gt;1)*(LEN(lmic_raw[bd_cov])&gt;interactive!$C$6))/SUMPRODUCT((lmic_raw[[who_region]:[who_region]]=$A3)*lmic_raw[births]*(LEN(lmic_raw[m_8589])&gt;1)*(LEN(lmic_raw[bd_cov])&gt;interactive!$C$6))</f>
        <v>8.625565132386423E-2</v>
      </c>
      <c r="AV3" s="33">
        <f>SUMPRODUCT((lmic_raw[[who_region]:[who_region]]=$A3)*lmic_raw[m_9094]*lmic_raw[births]*(LEN(lmic_raw[m_9094])&gt;1)*(LEN(lmic_raw[bd_cov])&gt;interactive!$C$6))/SUMPRODUCT((lmic_raw[[who_region]:[who_region]]=$A3)*lmic_raw[births]*(LEN(lmic_raw[m_9094])&gt;1)*(LEN(lmic_raw[bd_cov])&gt;interactive!$C$6))</f>
        <v>0.11241533992072789</v>
      </c>
      <c r="AW3" s="33">
        <f>SUMPRODUCT((lmic_raw[[who_region]:[who_region]]=$A3)*lmic_raw[m_95+]*lmic_raw[births]*(LEN(lmic_raw[m_95+])&gt;1)*(LEN(lmic_raw[bd_cov])&gt;interactive!$C$6))/SUMPRODUCT((lmic_raw[[who_region]:[who_region]]=$A3)*lmic_raw[births]*(LEN(lmic_raw[m_95+])&gt;1)*(LEN(lmic_raw[bd_cov])&gt;interactive!$C$6))</f>
        <v>0.14473739186704065</v>
      </c>
      <c r="AX3" s="33">
        <f>SUMPRODUCT((lmic_raw[[who_region]:[who_region]]=$A3)*lmic_raw[av_life]*lmic_raw[births]*(LEN(lmic_raw[av_life])&gt;1)*(LEN(lmic_raw[bd_cov])&gt;interactive!$C$6))/SUMPRODUCT((lmic_raw[[who_region]:[who_region]]=$A3)*lmic_raw[births]*(LEN(lmic_raw[av_life])&gt;1)*(LEN(lmic_raw[bd_cov])&gt;interactive!$C$6))</f>
        <v>75.563983493182889</v>
      </c>
    </row>
    <row r="4" spans="1:51" x14ac:dyDescent="0.25">
      <c r="A4" t="s">
        <v>673</v>
      </c>
      <c r="H4" s="117">
        <f>SUMPRODUCT((lmic_raw[[who_region]:[who_region]]=$A4)*lmic_raw[pop]*(LEN(lmic_raw[bd_cov])&gt;interactive!$C$6))</f>
        <v>321630690</v>
      </c>
      <c r="I4" s="117">
        <f>SUMPRODUCT((lmic_raw[[who_region]:[who_region]]=$A4)*lmic_raw[births]*(LEN(lmic_raw[bd_cov])&gt;interactive!$C$6))</f>
        <v>7832741.3908510003</v>
      </c>
      <c r="J4" s="33">
        <f>SUMPRODUCT((lmic_raw[[who_region]:[who_region]]=$A4)*lmic_raw[fac_birth]*lmic_raw[births]*(LEN(lmic_raw[fac_birth])&gt;1)*(LEN(lmic_raw[bd_cov])&gt;interactive!$C$6))/SUMPRODUCT((lmic_raw[[who_region]:[who_region]]=$A4)*lmic_raw[births]*(LEN(lmic_raw[fac_birth])&gt;1)*(LEN(lmic_raw[bd_cov])&gt;interactive!$C$6))</f>
        <v>0.84302211486287448</v>
      </c>
      <c r="K4" s="33">
        <f>SUMPRODUCT((lmic_raw[[who_region]:[who_region]]=$A4)*lmic_raw[bd_cov]*lmic_raw[births]*(LEN(lmic_raw[bd_cov])&gt;interactive!$C$6))/SUMPRODUCT((lmic_raw[[who_region]:[who_region]]=$A4)*lmic_raw[births]*(LEN(lmic_raw[bd_cov])&gt;interactive!$C$6))</f>
        <v>0.70987607132960939</v>
      </c>
      <c r="L4" s="33">
        <f>SUMPRODUCT((lmic_raw[[who_region]:[who_region]]=$A4)*lmic_raw[hbv3_cov]*lmic_raw[births]*(LEN(lmic_raw[hbv3_cov])&gt;1)*(LEN(lmic_raw[bd_cov])&gt;interactive!$C$6))/SUMPRODUCT((lmic_raw[[who_region]:[who_region]]=$A4)*lmic_raw[births]*(LEN(lmic_raw[hbv3_cov])&gt;1)*(LEN(lmic_raw[bd_cov])&gt;interactive!$C$6))</f>
        <v>0.89665554549806814</v>
      </c>
      <c r="M4" s="33">
        <f>SUMPRODUCT((lmic_raw[[who_region]:[who_region]]=$A4)*lmic_raw[hbv_prev]*lmic_raw[pop]*(LEN(lmic_raw[hbv_prev])&gt;1)*(LEN(lmic_raw[bd_cov])&gt;interactive!$C$6))/SUMPRODUCT((lmic_raw[[who_region]:[who_region]]=$A4)*lmic_raw[pop]*(LEN(lmic_raw[hbv_prev])&gt;1)*(LEN(lmic_raw[bd_cov])&gt;interactive!$C$6))</f>
        <v>1.2067164398750481E-2</v>
      </c>
      <c r="N4" s="33">
        <f>SUMPRODUCT((lmic_raw[[who_region]:[who_region]]=$A4)*lmic_raw[hbe_prev]*lmic_raw[pop]*(LEN(lmic_raw[hbe_prev])&gt;1)*(LEN(lmic_raw[bd_cov])&gt;interactive!$C$6))/SUMPRODUCT((lmic_raw[[who_region]:[who_region]]=$A4)*lmic_raw[pop]*(LEN(lmic_raw[hbe_prev])&gt;1)*(LEN(lmic_raw[bd_cov])&gt;interactive!$C$6))</f>
        <v>0.26177494054478984</v>
      </c>
      <c r="O4" s="33">
        <f>SUMPRODUCT((lmic_raw[[who_region]:[who_region]]=$A4)*lmic_raw[epos]*lmic_raw[pop]*(LEN(lmic_raw[epos])&gt;1)*(LEN(lmic_raw[bd_cov])&gt;interactive!$C$6))/SUMPRODUCT((lmic_raw[[who_region]:[who_region]]=$A4)*lmic_raw[pop]*(LEN(lmic_raw[epos])&gt;1)*(LEN(lmic_raw[bd_cov])&gt;interactive!$C$6))</f>
        <v>0.79873776576171895</v>
      </c>
      <c r="P4" s="33">
        <f>SUMPRODUCT((lmic_raw[[who_region]:[who_region]]=$A4)*lmic_raw[eneg]*lmic_raw[pop]*(LEN(lmic_raw[eneg])&gt;1)*(LEN(lmic_raw[bd_cov])&gt;interactive!$C$6))/SUMPRODUCT((lmic_raw[[who_region]:[who_region]]=$A4)*lmic_raw[pop]*(LEN(lmic_raw[eneg])&gt;1)*(LEN(lmic_raw[bd_cov])&gt;interactive!$C$6))</f>
        <v>0.17461557854133883</v>
      </c>
      <c r="Q4" s="33">
        <f>SUMPRODUCT((lmic_raw[[who_region]:[who_region]]=$A4)*lmic_raw[c_diag]*lmic_raw[births]*(LEN(lmic_raw[c_diag])&gt;1)*(LEN(lmic_raw[bd_cov])&gt;interactive!$C$6))/SUMPRODUCT((lmic_raw[[who_region]:[who_region]]=$A4)*lmic_raw[births]*(LEN(lmic_raw[c_diag])&gt;1)*(LEN(lmic_raw[bd_cov])&gt;interactive!$C$6))</f>
        <v>6.5594837976176033</v>
      </c>
      <c r="R4" s="33">
        <f>SUMPRODUCT((lmic_raw[[who_region]:[who_region]]=$A4)*lmic_raw[c_C]*lmic_raw[births]*(LEN(lmic_raw[c_C])&gt;1)*(LEN(lmic_raw[bd_cov])&gt;interactive!$C$6))/SUMPRODUCT((lmic_raw[[who_region]:[who_region]]=$A4)*lmic_raw[births]*(LEN(lmic_raw[c_C])&gt;1)*(LEN(lmic_raw[bd_cov])&gt;interactive!$C$6))</f>
        <v>46.291635178209084</v>
      </c>
      <c r="S4" s="33">
        <f>SUMPRODUCT((lmic_raw[[who_region]:[who_region]]=$A4)*lmic_raw[c_CC]*lmic_raw[births]*(LEN(lmic_raw[c_CC])&gt;1)*(LEN(lmic_raw[bd_cov])&gt;interactive!$C$6))/SUMPRODUCT((lmic_raw[[who_region]:[who_region]]=$A4)*lmic_raw[births]*(LEN(lmic_raw[c_CC])&gt;1)*(LEN(lmic_raw[bd_cov])&gt;interactive!$C$6))</f>
        <v>94.03363517820911</v>
      </c>
      <c r="T4" s="33">
        <f>SUMPRODUCT((lmic_raw[[who_region]:[who_region]]=$A4)*lmic_raw[c_DC]*lmic_raw[births]*(LEN(lmic_raw[c_DC])&gt;1)*(LEN(lmic_raw[bd_cov])&gt;interactive!$C$6))/SUMPRODUCT((lmic_raw[[who_region]:[who_region]]=$A4)*lmic_raw[births]*(LEN(lmic_raw[c_DC])&gt;1)*(LEN(lmic_raw[bd_cov])&gt;interactive!$C$6))</f>
        <v>94.03363517820911</v>
      </c>
      <c r="U4" s="33">
        <f>SUMPRODUCT((lmic_raw[[who_region]:[who_region]]=$A4)*lmic_raw[c_HCC]*lmic_raw[births]*(LEN(lmic_raw[c_HCC])&gt;1)*(LEN(lmic_raw[bd_cov])&gt;interactive!$C$6))/SUMPRODUCT((lmic_raw[[who_region]:[who_region]]=$A4)*lmic_raw[births]*(LEN(lmic_raw[c_HCC])&gt;1)*(LEN(lmic_raw[bd_cov])&gt;interactive!$C$6))</f>
        <v>94.03363517820911</v>
      </c>
      <c r="V4" s="33">
        <f>SUMPRODUCT((lmic_raw[[who_region]:[who_region]]=$A4)*lmic_raw[bl1_f]*lmic_raw[births]*(LEN(lmic_raw[bl1_f])&gt;1)*(LEN(lmic_raw[bd_cov])&gt;interactive!$C$6))/SUMPRODUCT((lmic_raw[[who_region]:[who_region]]=$A4)*lmic_raw[births]*(LEN(lmic_raw[bl1_f])&gt;1)*(LEN(lmic_raw[bd_cov])&gt;interactive!$C$6))</f>
        <v>2.8658383416138018</v>
      </c>
      <c r="W4" s="33">
        <f>SUMPRODUCT((lmic_raw[[who_region]:[who_region]]=$A4)*lmic_raw[bl1_c]*lmic_raw[births]*(LEN(lmic_raw[bl1_c])&gt;1)*(LEN(lmic_raw[bd_cov])&gt;interactive!$C$6))/SUMPRODUCT((lmic_raw[[who_region]:[who_region]]=$A4)*lmic_raw[births]*(LEN(lmic_raw[bl1_c])&gt;1)*(LEN(lmic_raw[bd_cov])&gt;interactive!$C$6))</f>
        <v>3.3575683009684618</v>
      </c>
      <c r="X4" s="33">
        <f>SUMPRODUCT((lmic_raw[[who_region]:[who_region]]=$A4)*lmic_raw[map_f]*lmic_raw[births]*(LEN(lmic_raw[map_f])&gt;1)*(LEN(lmic_raw[bd_cov])&gt;interactive!$C$6))/SUMPRODUCT((lmic_raw[[who_region]:[who_region]]=$A4)*lmic_raw[births]*(LEN(lmic_raw[map_f])&gt;1)*(LEN(lmic_raw[bd_cov])&gt;interactive!$C$6))</f>
        <v>2.4783457640886586</v>
      </c>
      <c r="Y4" s="33">
        <f>SUMPRODUCT((lmic_raw[[who_region]:[who_region]]=$A4)*lmic_raw[map_cq]*lmic_raw[births]*(LEN(lmic_raw[map_cq])&gt;1)*(LEN(lmic_raw[bd_cov])&gt;interactive!$C$6))/SUMPRODUCT((lmic_raw[[who_region]:[who_region]]=$A4)*lmic_raw[births]*(LEN(lmic_raw[map_cq])&gt;1)*(LEN(lmic_raw[bd_cov])&gt;interactive!$C$6))</f>
        <v>2.9236955174045107</v>
      </c>
      <c r="Z4" s="33">
        <f>SUMPRODUCT((lmic_raw[[who_region]:[who_region]]=$A4)*lmic_raw[map_cl]*lmic_raw[births]*(LEN(lmic_raw[map_cl])&gt;1)*(LEN(lmic_raw[bd_cov])&gt;interactive!$C$6))/SUMPRODUCT((lmic_raw[[who_region]:[who_region]]=$A4)*lmic_raw[births]*(LEN(lmic_raw[map_cl])&gt;1)*(LEN(lmic_raw[bd_cov])&gt;interactive!$C$6))</f>
        <v>2.917131938174109</v>
      </c>
      <c r="AA4" s="33">
        <f>SUMPRODUCT((lmic_raw[[who_region]:[who_region]]=$A4)*lmic_raw[ctc_f]*lmic_raw[births]*(LEN(lmic_raw[ctc_f])&gt;1)*(LEN(lmic_raw[bd_cov])&gt;interactive!$C$6))/SUMPRODUCT((lmic_raw[[who_region]:[who_region]]=$A4)*lmic_raw[births]*(LEN(lmic_raw[ctc_f])&gt;1)*(LEN(lmic_raw[bd_cov])&gt;interactive!$C$6))</f>
        <v>3.1104603859240871</v>
      </c>
      <c r="AB4" s="33">
        <f>SUMPRODUCT((lmic_raw[[who_region]:[who_region]]=$A4)*lmic_raw[ctc_c]*lmic_raw[births]*(LEN(lmic_raw[ctc_c])&gt;1)*(LEN(lmic_raw[bd_cov])&gt;interactive!$C$6))/SUMPRODUCT((lmic_raw[[who_region]:[who_region]]=$A4)*lmic_raw[births]*(LEN(lmic_raw[ctc_c])&gt;1)*(LEN(lmic_raw[bd_cov])&gt;interactive!$C$6))</f>
        <v>3.6021903452787476</v>
      </c>
      <c r="AC4" s="33">
        <f>SUMPRODUCT((lmic_raw[[who_region]:[who_region]]=$A4)*lmic_raw[m_01]*lmic_raw[births]*(LEN(lmic_raw[m_01])&gt;1)*(LEN(lmic_raw[bd_cov])&gt;interactive!$C$6))/SUMPRODUCT((lmic_raw[[who_region]:[who_region]]=$A4)*lmic_raw[births]*(LEN(lmic_raw[m_01])&gt;1)*(LEN(lmic_raw[bd_cov])&gt;interactive!$C$6))</f>
        <v>2.2334148338685519E-2</v>
      </c>
      <c r="AD4" s="33">
        <f>SUMPRODUCT((lmic_raw[[who_region]:[who_region]]=$A4)*lmic_raw[m_14]*lmic_raw[births]*(LEN(lmic_raw[m_14])&gt;1)*(LEN(lmic_raw[bd_cov])&gt;interactive!$C$6))/SUMPRODUCT((lmic_raw[[who_region]:[who_region]]=$A4)*lmic_raw[births]*(LEN(lmic_raw[m_14])&gt;1)*(LEN(lmic_raw[bd_cov])&gt;interactive!$C$6))</f>
        <v>1.4357590285456023E-3</v>
      </c>
      <c r="AE4" s="33">
        <f>SUMPRODUCT((lmic_raw[[who_region]:[who_region]]=$A4)*lmic_raw[m_59]*lmic_raw[births]*(LEN(lmic_raw[m_59])&gt;1)*(LEN(lmic_raw[bd_cov])&gt;interactive!$C$6))/SUMPRODUCT((lmic_raw[[who_region]:[who_region]]=$A4)*lmic_raw[births]*(LEN(lmic_raw[m_59])&gt;1)*(LEN(lmic_raw[bd_cov])&gt;interactive!$C$6))</f>
        <v>5.37735321325597E-4</v>
      </c>
      <c r="AF4" s="33">
        <f>SUMPRODUCT((lmic_raw[[who_region]:[who_region]]=$A4)*lmic_raw[m_1014]*lmic_raw[births]*(LEN(lmic_raw[m_1014])&gt;1)*(LEN(lmic_raw[bd_cov])&gt;interactive!$C$6))/SUMPRODUCT((lmic_raw[[who_region]:[who_region]]=$A4)*lmic_raw[births]*(LEN(lmic_raw[m_1014])&gt;1)*(LEN(lmic_raw[bd_cov])&gt;interactive!$C$6))</f>
        <v>4.4325506758312978E-4</v>
      </c>
      <c r="AG4" s="33">
        <f>SUMPRODUCT((lmic_raw[[who_region]:[who_region]]=$A4)*lmic_raw[m_1519]*lmic_raw[births]*(LEN(lmic_raw[m_1519])&gt;1)*(LEN(lmic_raw[bd_cov])&gt;interactive!$C$6))/SUMPRODUCT((lmic_raw[[who_region]:[who_region]]=$A4)*lmic_raw[births]*(LEN(lmic_raw[m_1519])&gt;1)*(LEN(lmic_raw[bd_cov])&gt;interactive!$C$6))</f>
        <v>7.3211337130290276E-4</v>
      </c>
      <c r="AH4" s="33">
        <f>SUMPRODUCT((lmic_raw[[who_region]:[who_region]]=$A4)*lmic_raw[m_2024]*lmic_raw[births]*(LEN(lmic_raw[m_2024])&gt;1)*(LEN(lmic_raw[bd_cov])&gt;interactive!$C$6))/SUMPRODUCT((lmic_raw[[who_region]:[who_region]]=$A4)*lmic_raw[births]*(LEN(lmic_raw[m_2024])&gt;1)*(LEN(lmic_raw[bd_cov])&gt;interactive!$C$6))</f>
        <v>1.0762311420183209E-3</v>
      </c>
      <c r="AI4" s="33">
        <f>SUMPRODUCT((lmic_raw[[who_region]:[who_region]]=$A4)*lmic_raw[m_2529]*lmic_raw[births]*(LEN(lmic_raw[m_2529])&gt;1)*(LEN(lmic_raw[bd_cov])&gt;interactive!$C$6))/SUMPRODUCT((lmic_raw[[who_region]:[who_region]]=$A4)*lmic_raw[births]*(LEN(lmic_raw[m_2529])&gt;1)*(LEN(lmic_raw[bd_cov])&gt;interactive!$C$6))</f>
        <v>1.1603079280697486E-3</v>
      </c>
      <c r="AJ4" s="33">
        <f>SUMPRODUCT((lmic_raw[[who_region]:[who_region]]=$A4)*lmic_raw[m_3034]*lmic_raw[births]*(LEN(lmic_raw[m_3034])&gt;1)*(LEN(lmic_raw[bd_cov])&gt;interactive!$C$6))/SUMPRODUCT((lmic_raw[[who_region]:[who_region]]=$A4)*lmic_raw[births]*(LEN(lmic_raw[m_3034])&gt;1)*(LEN(lmic_raw[bd_cov])&gt;interactive!$C$6))</f>
        <v>1.3755879723754613E-3</v>
      </c>
      <c r="AK4" s="33">
        <f>SUMPRODUCT((lmic_raw[[who_region]:[who_region]]=$A4)*lmic_raw[m_3539]*lmic_raw[births]*(LEN(lmic_raw[m_3539])&gt;1)*(LEN(lmic_raw[bd_cov])&gt;interactive!$C$6))/SUMPRODUCT((lmic_raw[[who_region]:[who_region]]=$A4)*lmic_raw[births]*(LEN(lmic_raw[m_3539])&gt;1)*(LEN(lmic_raw[bd_cov])&gt;interactive!$C$6))</f>
        <v>1.6906582777905319E-3</v>
      </c>
      <c r="AL4" s="33">
        <f>SUMPRODUCT((lmic_raw[[who_region]:[who_region]]=$A4)*lmic_raw[m_4044]*lmic_raw[births]*(LEN(lmic_raw[m_4044])&gt;1)*(LEN(lmic_raw[bd_cov])&gt;interactive!$C$6))/SUMPRODUCT((lmic_raw[[who_region]:[who_region]]=$A4)*lmic_raw[births]*(LEN(lmic_raw[m_4044])&gt;1)*(LEN(lmic_raw[bd_cov])&gt;interactive!$C$6))</f>
        <v>2.3806774271847952E-3</v>
      </c>
      <c r="AM4" s="33">
        <f>SUMPRODUCT((lmic_raw[[who_region]:[who_region]]=$A4)*lmic_raw[m_4549]*lmic_raw[births]*(LEN(lmic_raw[m_4549])&gt;1)*(LEN(lmic_raw[bd_cov])&gt;interactive!$C$6))/SUMPRODUCT((lmic_raw[[who_region]:[who_region]]=$A4)*lmic_raw[births]*(LEN(lmic_raw[m_4549])&gt;1)*(LEN(lmic_raw[bd_cov])&gt;interactive!$C$6))</f>
        <v>3.9711525705621266E-3</v>
      </c>
      <c r="AN4" s="33">
        <f>SUMPRODUCT((lmic_raw[[who_region]:[who_region]]=$A4)*lmic_raw[m_5054]*lmic_raw[births]*(LEN(lmic_raw[m_5054])&gt;1)*(LEN(lmic_raw[bd_cov])&gt;interactive!$C$6))/SUMPRODUCT((lmic_raw[[who_region]:[who_region]]=$A4)*lmic_raw[births]*(LEN(lmic_raw[m_5054])&gt;1)*(LEN(lmic_raw[bd_cov])&gt;interactive!$C$6))</f>
        <v>6.5990859102757551E-3</v>
      </c>
      <c r="AO4" s="33">
        <f>SUMPRODUCT((lmic_raw[[who_region]:[who_region]]=$A4)*lmic_raw[m_5559]*lmic_raw[births]*(LEN(lmic_raw[m_5559])&gt;1)*(LEN(lmic_raw[bd_cov])&gt;interactive!$C$6))/SUMPRODUCT((lmic_raw[[who_region]:[who_region]]=$A4)*lmic_raw[births]*(LEN(lmic_raw[m_5559])&gt;1)*(LEN(lmic_raw[bd_cov])&gt;interactive!$C$6))</f>
        <v>9.6126748429964139E-3</v>
      </c>
      <c r="AP4" s="33">
        <f>SUMPRODUCT((lmic_raw[[who_region]:[who_region]]=$A4)*lmic_raw[m_6064]*lmic_raw[births]*(LEN(lmic_raw[m_6064])&gt;1)*(LEN(lmic_raw[bd_cov])&gt;interactive!$C$6))/SUMPRODUCT((lmic_raw[[who_region]:[who_region]]=$A4)*lmic_raw[births]*(LEN(lmic_raw[m_6064])&gt;1)*(LEN(lmic_raw[bd_cov])&gt;interactive!$C$6))</f>
        <v>1.5419102250953767E-2</v>
      </c>
      <c r="AQ4" s="33">
        <f>SUMPRODUCT((lmic_raw[[who_region]:[who_region]]=$A4)*lmic_raw[m_6569]*lmic_raw[births]*(LEN(lmic_raw[m_6569])&gt;1)*(LEN(lmic_raw[bd_cov])&gt;interactive!$C$6))/SUMPRODUCT((lmic_raw[[who_region]:[who_region]]=$A4)*lmic_raw[births]*(LEN(lmic_raw[m_6569])&gt;1)*(LEN(lmic_raw[bd_cov])&gt;interactive!$C$6))</f>
        <v>2.442921451231974E-2</v>
      </c>
      <c r="AR4" s="33">
        <f>SUMPRODUCT((lmic_raw[[who_region]:[who_region]]=$A4)*lmic_raw[m_7074]*lmic_raw[births]*(LEN(lmic_raw[m_7074])&gt;1)*(LEN(lmic_raw[bd_cov])&gt;interactive!$C$6))/SUMPRODUCT((lmic_raw[[who_region]:[who_region]]=$A4)*lmic_raw[births]*(LEN(lmic_raw[m_7074])&gt;1)*(LEN(lmic_raw[bd_cov])&gt;interactive!$C$6))</f>
        <v>4.0147839323599249E-2</v>
      </c>
      <c r="AS4" s="33">
        <f>SUMPRODUCT((lmic_raw[[who_region]:[who_region]]=$A4)*lmic_raw[m_7079]*lmic_raw[births]*(LEN(lmic_raw[m_7079])&gt;1)*(LEN(lmic_raw[bd_cov])&gt;interactive!$C$6))/SUMPRODUCT((lmic_raw[[who_region]:[who_region]]=$A4)*lmic_raw[births]*(LEN(lmic_raw[m_7079])&gt;1)*(LEN(lmic_raw[bd_cov])&gt;interactive!$C$6))</f>
        <v>6.4721967534931563E-2</v>
      </c>
      <c r="AT4" s="33">
        <f>SUMPRODUCT((lmic_raw[[who_region]:[who_region]]=$A4)*lmic_raw[m_8084]*lmic_raw[births]*(LEN(lmic_raw[m_8084])&gt;1)*(LEN(lmic_raw[bd_cov])&gt;interactive!$C$6))/SUMPRODUCT((lmic_raw[[who_region]:[who_region]]=$A4)*lmic_raw[births]*(LEN(lmic_raw[m_8084])&gt;1)*(LEN(lmic_raw[bd_cov])&gt;interactive!$C$6))</f>
        <v>9.5070776915168978E-2</v>
      </c>
      <c r="AU4" s="33">
        <f>SUMPRODUCT((lmic_raw[[who_region]:[who_region]]=$A4)*lmic_raw[m_8589]*lmic_raw[births]*(LEN(lmic_raw[m_8589])&gt;1)*(LEN(lmic_raw[bd_cov])&gt;interactive!$C$6))/SUMPRODUCT((lmic_raw[[who_region]:[who_region]]=$A4)*lmic_raw[births]*(LEN(lmic_raw[m_8589])&gt;1)*(LEN(lmic_raw[bd_cov])&gt;interactive!$C$6))</f>
        <v>0.12842504925489368</v>
      </c>
      <c r="AV4" s="33">
        <f>SUMPRODUCT((lmic_raw[[who_region]:[who_region]]=$A4)*lmic_raw[m_9094]*lmic_raw[births]*(LEN(lmic_raw[m_9094])&gt;1)*(LEN(lmic_raw[bd_cov])&gt;interactive!$C$6))/SUMPRODUCT((lmic_raw[[who_region]:[who_region]]=$A4)*lmic_raw[births]*(LEN(lmic_raw[m_9094])&gt;1)*(LEN(lmic_raw[bd_cov])&gt;interactive!$C$6))</f>
        <v>0.15680280484715731</v>
      </c>
      <c r="AW4" s="33">
        <f>SUMPRODUCT((lmic_raw[[who_region]:[who_region]]=$A4)*lmic_raw[m_95+]*lmic_raw[births]*(LEN(lmic_raw[m_95+])&gt;1)*(LEN(lmic_raw[bd_cov])&gt;interactive!$C$6))/SUMPRODUCT((lmic_raw[[who_region]:[who_region]]=$A4)*lmic_raw[births]*(LEN(lmic_raw[m_95+])&gt;1)*(LEN(lmic_raw[bd_cov])&gt;interactive!$C$6))</f>
        <v>0.1763272266335599</v>
      </c>
      <c r="AX4" s="33">
        <f>SUMPRODUCT((lmic_raw[[who_region]:[who_region]]=$A4)*lmic_raw[av_life]*lmic_raw[births]*(LEN(lmic_raw[av_life])&gt;1)*(LEN(lmic_raw[bd_cov])&gt;interactive!$C$6))/SUMPRODUCT((lmic_raw[[who_region]:[who_region]]=$A4)*lmic_raw[births]*(LEN(lmic_raw[av_life])&gt;1)*(LEN(lmic_raw[bd_cov])&gt;interactive!$C$6))</f>
        <v>71.945826909667062</v>
      </c>
    </row>
    <row r="5" spans="1:51" x14ac:dyDescent="0.25">
      <c r="A5" t="s">
        <v>675</v>
      </c>
      <c r="H5" s="117">
        <f>SUMPRODUCT((lmic_raw[[who_region]:[who_region]]=$A5)*lmic_raw[pop]*(LEN(lmic_raw[bd_cov])&gt;interactive!$C$6))</f>
        <v>271234511</v>
      </c>
      <c r="I5" s="117">
        <f>SUMPRODUCT((lmic_raw[[who_region]:[who_region]]=$A5)*lmic_raw[births]*(LEN(lmic_raw[bd_cov])&gt;interactive!$C$6))</f>
        <v>4294758.7904279996</v>
      </c>
      <c r="J5" s="33">
        <f>SUMPRODUCT((lmic_raw[[who_region]:[who_region]]=$A5)*lmic_raw[fac_birth]*lmic_raw[births]*(LEN(lmic_raw[fac_birth])&gt;1)*(LEN(lmic_raw[bd_cov])&gt;interactive!$C$6))/SUMPRODUCT((lmic_raw[[who_region]:[who_region]]=$A5)*lmic_raw[births]*(LEN(lmic_raw[fac_birth])&gt;1)*(LEN(lmic_raw[bd_cov])&gt;interactive!$C$6))</f>
        <v>0.97590647454456658</v>
      </c>
      <c r="K5" s="33">
        <f>SUMPRODUCT((lmic_raw[[who_region]:[who_region]]=$A5)*lmic_raw[bd_cov]*lmic_raw[births]*(LEN(lmic_raw[bd_cov])&gt;interactive!$C$6))/SUMPRODUCT((lmic_raw[[who_region]:[who_region]]=$A5)*lmic_raw[births]*(LEN(lmic_raw[bd_cov])&gt;interactive!$C$6))</f>
        <v>0.94232220105184217</v>
      </c>
      <c r="L5" s="33">
        <f>SUMPRODUCT((lmic_raw[[who_region]:[who_region]]=$A5)*lmic_raw[hbv3_cov]*lmic_raw[births]*(LEN(lmic_raw[hbv3_cov])&gt;1)*(LEN(lmic_raw[bd_cov])&gt;interactive!$C$6))/SUMPRODUCT((lmic_raw[[who_region]:[who_region]]=$A5)*lmic_raw[births]*(LEN(lmic_raw[hbv3_cov])&gt;1)*(LEN(lmic_raw[bd_cov])&gt;interactive!$C$6))</f>
        <v>0.94598462194477007</v>
      </c>
      <c r="M5" s="33">
        <f>SUMPRODUCT((lmic_raw[[who_region]:[who_region]]=$A5)*lmic_raw[hbv_prev]*lmic_raw[pop]*(LEN(lmic_raw[hbv_prev])&gt;1)*(LEN(lmic_raw[bd_cov])&gt;interactive!$C$6))/SUMPRODUCT((lmic_raw[[who_region]:[who_region]]=$A5)*lmic_raw[pop]*(LEN(lmic_raw[hbv_prev])&gt;1)*(LEN(lmic_raw[bd_cov])&gt;interactive!$C$6))</f>
        <v>2.8203200130015905E-2</v>
      </c>
      <c r="N5" s="33">
        <f>SUMPRODUCT((lmic_raw[[who_region]:[who_region]]=$A5)*lmic_raw[hbe_prev]*lmic_raw[pop]*(LEN(lmic_raw[hbe_prev])&gt;1)*(LEN(lmic_raw[bd_cov])&gt;interactive!$C$6))/SUMPRODUCT((lmic_raw[[who_region]:[who_region]]=$A5)*lmic_raw[pop]*(LEN(lmic_raw[hbe_prev])&gt;1)*(LEN(lmic_raw[bd_cov])&gt;interactive!$C$6))</f>
        <v>0.28641686673663058</v>
      </c>
      <c r="O5" s="33">
        <f>SUMPRODUCT((lmic_raw[[who_region]:[who_region]]=$A5)*lmic_raw[epos]*lmic_raw[pop]*(LEN(lmic_raw[epos])&gt;1)*(LEN(lmic_raw[bd_cov])&gt;interactive!$C$6))/SUMPRODUCT((lmic_raw[[who_region]:[who_region]]=$A5)*lmic_raw[pop]*(LEN(lmic_raw[epos])&gt;1)*(LEN(lmic_raw[bd_cov])&gt;interactive!$C$6))</f>
        <v>0.8</v>
      </c>
      <c r="P5" s="33">
        <f>SUMPRODUCT((lmic_raw[[who_region]:[who_region]]=$A5)*lmic_raw[eneg]*lmic_raw[pop]*(LEN(lmic_raw[eneg])&gt;1)*(LEN(lmic_raw[bd_cov])&gt;interactive!$C$6))/SUMPRODUCT((lmic_raw[[who_region]:[who_region]]=$A5)*lmic_raw[pop]*(LEN(lmic_raw[eneg])&gt;1)*(LEN(lmic_raw[bd_cov])&gt;interactive!$C$6))</f>
        <v>0.17499999999999999</v>
      </c>
      <c r="Q5" s="33">
        <f>SUMPRODUCT((lmic_raw[[who_region]:[who_region]]=$A5)*lmic_raw[c_diag]*lmic_raw[births]*(LEN(lmic_raw[c_diag])&gt;1)*(LEN(lmic_raw[bd_cov])&gt;interactive!$C$6))/SUMPRODUCT((lmic_raw[[who_region]:[who_region]]=$A5)*lmic_raw[births]*(LEN(lmic_raw[c_diag])&gt;1)*(LEN(lmic_raw[bd_cov])&gt;interactive!$C$6))</f>
        <v>10.329323479947563</v>
      </c>
      <c r="R5" s="33">
        <f>SUMPRODUCT((lmic_raw[[who_region]:[who_region]]=$A5)*lmic_raw[c_C]*lmic_raw[births]*(LEN(lmic_raw[c_C])&gt;1)*(LEN(lmic_raw[bd_cov])&gt;interactive!$C$6))/SUMPRODUCT((lmic_raw[[who_region]:[who_region]]=$A5)*lmic_raw[births]*(LEN(lmic_raw[c_C])&gt;1)*(LEN(lmic_raw[bd_cov])&gt;interactive!$C$6))</f>
        <v>45.102653861280537</v>
      </c>
      <c r="S5" s="33">
        <f>SUMPRODUCT((lmic_raw[[who_region]:[who_region]]=$A5)*lmic_raw[c_CC]*lmic_raw[births]*(LEN(lmic_raw[c_CC])&gt;1)*(LEN(lmic_raw[bd_cov])&gt;interactive!$C$6))/SUMPRODUCT((lmic_raw[[who_region]:[who_region]]=$A5)*lmic_raw[births]*(LEN(lmic_raw[c_CC])&gt;1)*(LEN(lmic_raw[bd_cov])&gt;interactive!$C$6))</f>
        <v>92.844653861280534</v>
      </c>
      <c r="T5" s="33">
        <f>SUMPRODUCT((lmic_raw[[who_region]:[who_region]]=$A5)*lmic_raw[c_DC]*lmic_raw[births]*(LEN(lmic_raw[c_DC])&gt;1)*(LEN(lmic_raw[bd_cov])&gt;interactive!$C$6))/SUMPRODUCT((lmic_raw[[who_region]:[who_region]]=$A5)*lmic_raw[births]*(LEN(lmic_raw[c_DC])&gt;1)*(LEN(lmic_raw[bd_cov])&gt;interactive!$C$6))</f>
        <v>92.844653861280534</v>
      </c>
      <c r="U5" s="33">
        <f>SUMPRODUCT((lmic_raw[[who_region]:[who_region]]=$A5)*lmic_raw[c_HCC]*lmic_raw[births]*(LEN(lmic_raw[c_HCC])&gt;1)*(LEN(lmic_raw[bd_cov])&gt;interactive!$C$6))/SUMPRODUCT((lmic_raw[[who_region]:[who_region]]=$A5)*lmic_raw[births]*(LEN(lmic_raw[c_HCC])&gt;1)*(LEN(lmic_raw[bd_cov])&gt;interactive!$C$6))</f>
        <v>92.844653861280534</v>
      </c>
      <c r="V5" s="33">
        <f>SUMPRODUCT((lmic_raw[[who_region]:[who_region]]=$A5)*lmic_raw[bl1_f]*lmic_raw[births]*(LEN(lmic_raw[bl1_f])&gt;1)*(LEN(lmic_raw[bd_cov])&gt;interactive!$C$6))/SUMPRODUCT((lmic_raw[[who_region]:[who_region]]=$A5)*lmic_raw[births]*(LEN(lmic_raw[bl1_f])&gt;1)*(LEN(lmic_raw[bd_cov])&gt;interactive!$C$6))</f>
        <v>4.1998205716638726</v>
      </c>
      <c r="W5" s="33">
        <f>SUMPRODUCT((lmic_raw[[who_region]:[who_region]]=$A5)*lmic_raw[bl1_c]*lmic_raw[births]*(LEN(lmic_raw[bl1_c])&gt;1)*(LEN(lmic_raw[bd_cov])&gt;interactive!$C$6))/SUMPRODUCT((lmic_raw[[who_region]:[who_region]]=$A5)*lmic_raw[births]*(LEN(lmic_raw[bl1_c])&gt;1)*(LEN(lmic_raw[bd_cov])&gt;interactive!$C$6))</f>
        <v>7.1415128919323729</v>
      </c>
      <c r="X5" s="33">
        <f>SUMPRODUCT((lmic_raw[[who_region]:[who_region]]=$A5)*lmic_raw[map_f]*lmic_raw[births]*(LEN(lmic_raw[map_f])&gt;1)*(LEN(lmic_raw[bd_cov])&gt;interactive!$C$6))/SUMPRODUCT((lmic_raw[[who_region]:[who_region]]=$A5)*lmic_raw[births]*(LEN(lmic_raw[map_f])&gt;1)*(LEN(lmic_raw[bd_cov])&gt;interactive!$C$6))</f>
        <v>3.7598616272218806</v>
      </c>
      <c r="Y5" s="33">
        <f>SUMPRODUCT((lmic_raw[[who_region]:[who_region]]=$A5)*lmic_raw[map_cq]*lmic_raw[births]*(LEN(lmic_raw[map_cq])&gt;1)*(LEN(lmic_raw[bd_cov])&gt;interactive!$C$6))/SUMPRODUCT((lmic_raw[[who_region]:[who_region]]=$A5)*lmic_raw[births]*(LEN(lmic_raw[map_cq])&gt;1)*(LEN(lmic_raw[bd_cov])&gt;interactive!$C$6))</f>
        <v>6.7015539474903827</v>
      </c>
      <c r="Z5" s="33">
        <f>SUMPRODUCT((lmic_raw[[who_region]:[who_region]]=$A5)*lmic_raw[map_cl]*lmic_raw[births]*(LEN(lmic_raw[map_cl])&gt;1)*(LEN(lmic_raw[bd_cov])&gt;interactive!$C$6))/SUMPRODUCT((lmic_raw[[who_region]:[who_region]]=$A5)*lmic_raw[births]*(LEN(lmic_raw[map_cl])&gt;1)*(LEN(lmic_raw[bd_cov])&gt;interactive!$C$6))</f>
        <v>6.6926669822844085</v>
      </c>
      <c r="AA5" s="33">
        <f>SUMPRODUCT((lmic_raw[[who_region]:[who_region]]=$A5)*lmic_raw[ctc_f]*lmic_raw[births]*(LEN(lmic_raw[ctc_f])&gt;1)*(LEN(lmic_raw[bd_cov])&gt;interactive!$C$6))/SUMPRODUCT((lmic_raw[[who_region]:[who_region]]=$A5)*lmic_raw[births]*(LEN(lmic_raw[ctc_f])&gt;1)*(LEN(lmic_raw[bd_cov])&gt;interactive!$C$6))</f>
        <v>4.4466364646627534</v>
      </c>
      <c r="AB5" s="33">
        <f>SUMPRODUCT((lmic_raw[[who_region]:[who_region]]=$A5)*lmic_raw[ctc_c]*lmic_raw[births]*(LEN(lmic_raw[ctc_c])&gt;1)*(LEN(lmic_raw[bd_cov])&gt;interactive!$C$6))/SUMPRODUCT((lmic_raw[[who_region]:[who_region]]=$A5)*lmic_raw[births]*(LEN(lmic_raw[ctc_c])&gt;1)*(LEN(lmic_raw[bd_cov])&gt;interactive!$C$6))</f>
        <v>7.3883287849312556</v>
      </c>
      <c r="AC5" s="33">
        <f>SUMPRODUCT((lmic_raw[[who_region]:[who_region]]=$A5)*lmic_raw[m_01]*lmic_raw[births]*(LEN(lmic_raw[m_01])&gt;1)*(LEN(lmic_raw[bd_cov])&gt;interactive!$C$6))/SUMPRODUCT((lmic_raw[[who_region]:[who_region]]=$A5)*lmic_raw[births]*(LEN(lmic_raw[m_01])&gt;1)*(LEN(lmic_raw[bd_cov])&gt;interactive!$C$6))</f>
        <v>1.3554012924340495E-2</v>
      </c>
      <c r="AD5" s="33">
        <f>SUMPRODUCT((lmic_raw[[who_region]:[who_region]]=$A5)*lmic_raw[m_14]*lmic_raw[births]*(LEN(lmic_raw[m_14])&gt;1)*(LEN(lmic_raw[bd_cov])&gt;interactive!$C$6))/SUMPRODUCT((lmic_raw[[who_region]:[who_region]]=$A5)*lmic_raw[births]*(LEN(lmic_raw[m_14])&gt;1)*(LEN(lmic_raw[bd_cov])&gt;interactive!$C$6))</f>
        <v>8.7813112177848648E-4</v>
      </c>
      <c r="AE5" s="33">
        <f>SUMPRODUCT((lmic_raw[[who_region]:[who_region]]=$A5)*lmic_raw[m_59]*lmic_raw[births]*(LEN(lmic_raw[m_59])&gt;1)*(LEN(lmic_raw[bd_cov])&gt;interactive!$C$6))/SUMPRODUCT((lmic_raw[[who_region]:[who_region]]=$A5)*lmic_raw[births]*(LEN(lmic_raw[m_59])&gt;1)*(LEN(lmic_raw[bd_cov])&gt;interactive!$C$6))</f>
        <v>3.8330558069046708E-4</v>
      </c>
      <c r="AF5" s="33">
        <f>SUMPRODUCT((lmic_raw[[who_region]:[who_region]]=$A5)*lmic_raw[m_1014]*lmic_raw[births]*(LEN(lmic_raw[m_1014])&gt;1)*(LEN(lmic_raw[bd_cov])&gt;interactive!$C$6))/SUMPRODUCT((lmic_raw[[who_region]:[who_region]]=$A5)*lmic_raw[births]*(LEN(lmic_raw[m_1014])&gt;1)*(LEN(lmic_raw[bd_cov])&gt;interactive!$C$6))</f>
        <v>3.658237286606219E-4</v>
      </c>
      <c r="AG5" s="33">
        <f>SUMPRODUCT((lmic_raw[[who_region]:[who_region]]=$A5)*lmic_raw[m_1519]*lmic_raw[births]*(LEN(lmic_raw[m_1519])&gt;1)*(LEN(lmic_raw[bd_cov])&gt;interactive!$C$6))/SUMPRODUCT((lmic_raw[[who_region]:[who_region]]=$A5)*lmic_raw[births]*(LEN(lmic_raw[m_1519])&gt;1)*(LEN(lmic_raw[bd_cov])&gt;interactive!$C$6))</f>
        <v>5.6211962896149685E-4</v>
      </c>
      <c r="AH5" s="33">
        <f>SUMPRODUCT((lmic_raw[[who_region]:[who_region]]=$A5)*lmic_raw[m_2024]*lmic_raw[births]*(LEN(lmic_raw[m_2024])&gt;1)*(LEN(lmic_raw[bd_cov])&gt;interactive!$C$6))/SUMPRODUCT((lmic_raw[[who_region]:[who_region]]=$A5)*lmic_raw[births]*(LEN(lmic_raw[m_2024])&gt;1)*(LEN(lmic_raw[bd_cov])&gt;interactive!$C$6))</f>
        <v>8.078298573764637E-4</v>
      </c>
      <c r="AI5" s="33">
        <f>SUMPRODUCT((lmic_raw[[who_region]:[who_region]]=$A5)*lmic_raw[m_2529]*lmic_raw[births]*(LEN(lmic_raw[m_2529])&gt;1)*(LEN(lmic_raw[bd_cov])&gt;interactive!$C$6))/SUMPRODUCT((lmic_raw[[who_region]:[who_region]]=$A5)*lmic_raw[births]*(LEN(lmic_raw[m_2529])&gt;1)*(LEN(lmic_raw[bd_cov])&gt;interactive!$C$6))</f>
        <v>1.0649824505710704E-3</v>
      </c>
      <c r="AJ5" s="33">
        <f>SUMPRODUCT((lmic_raw[[who_region]:[who_region]]=$A5)*lmic_raw[m_3034]*lmic_raw[births]*(LEN(lmic_raw[m_3034])&gt;1)*(LEN(lmic_raw[bd_cov])&gt;interactive!$C$6))/SUMPRODUCT((lmic_raw[[who_region]:[who_region]]=$A5)*lmic_raw[births]*(LEN(lmic_raw[m_3034])&gt;1)*(LEN(lmic_raw[bd_cov])&gt;interactive!$C$6))</f>
        <v>1.4659148739980569E-3</v>
      </c>
      <c r="AK5" s="33">
        <f>SUMPRODUCT((lmic_raw[[who_region]:[who_region]]=$A5)*lmic_raw[m_3539]*lmic_raw[births]*(LEN(lmic_raw[m_3539])&gt;1)*(LEN(lmic_raw[bd_cov])&gt;interactive!$C$6))/SUMPRODUCT((lmic_raw[[who_region]:[who_region]]=$A5)*lmic_raw[births]*(LEN(lmic_raw[m_3539])&gt;1)*(LEN(lmic_raw[bd_cov])&gt;interactive!$C$6))</f>
        <v>2.0271210341876798E-3</v>
      </c>
      <c r="AL5" s="33">
        <f>SUMPRODUCT((lmic_raw[[who_region]:[who_region]]=$A5)*lmic_raw[m_4044]*lmic_raw[births]*(LEN(lmic_raw[m_4044])&gt;1)*(LEN(lmic_raw[bd_cov])&gt;interactive!$C$6))/SUMPRODUCT((lmic_raw[[who_region]:[who_region]]=$A5)*lmic_raw[births]*(LEN(lmic_raw[m_4044])&gt;1)*(LEN(lmic_raw[bd_cov])&gt;interactive!$C$6))</f>
        <v>2.7540253152652724E-3</v>
      </c>
      <c r="AM5" s="33">
        <f>SUMPRODUCT((lmic_raw[[who_region]:[who_region]]=$A5)*lmic_raw[m_4549]*lmic_raw[births]*(LEN(lmic_raw[m_4549])&gt;1)*(LEN(lmic_raw[bd_cov])&gt;interactive!$C$6))/SUMPRODUCT((lmic_raw[[who_region]:[who_region]]=$A5)*lmic_raw[births]*(LEN(lmic_raw[m_4549])&gt;1)*(LEN(lmic_raw[bd_cov])&gt;interactive!$C$6))</f>
        <v>3.9024726069137204E-3</v>
      </c>
      <c r="AN5" s="33">
        <f>SUMPRODUCT((lmic_raw[[who_region]:[who_region]]=$A5)*lmic_raw[m_5054]*lmic_raw[births]*(LEN(lmic_raw[m_5054])&gt;1)*(LEN(lmic_raw[bd_cov])&gt;interactive!$C$6))/SUMPRODUCT((lmic_raw[[who_region]:[who_region]]=$A5)*lmic_raw[births]*(LEN(lmic_raw[m_5054])&gt;1)*(LEN(lmic_raw[bd_cov])&gt;interactive!$C$6))</f>
        <v>5.8422689474391535E-3</v>
      </c>
      <c r="AO5" s="33">
        <f>SUMPRODUCT((lmic_raw[[who_region]:[who_region]]=$A5)*lmic_raw[m_5559]*lmic_raw[births]*(LEN(lmic_raw[m_5559])&gt;1)*(LEN(lmic_raw[bd_cov])&gt;interactive!$C$6))/SUMPRODUCT((lmic_raw[[who_region]:[who_region]]=$A5)*lmic_raw[births]*(LEN(lmic_raw[m_5559])&gt;1)*(LEN(lmic_raw[bd_cov])&gt;interactive!$C$6))</f>
        <v>9.0882666980592833E-3</v>
      </c>
      <c r="AP5" s="33">
        <f>SUMPRODUCT((lmic_raw[[who_region]:[who_region]]=$A5)*lmic_raw[m_6064]*lmic_raw[births]*(LEN(lmic_raw[m_6064])&gt;1)*(LEN(lmic_raw[bd_cov])&gt;interactive!$C$6))/SUMPRODUCT((lmic_raw[[who_region]:[who_region]]=$A5)*lmic_raw[births]*(LEN(lmic_raw[m_6064])&gt;1)*(LEN(lmic_raw[bd_cov])&gt;interactive!$C$6))</f>
        <v>1.439624872815466E-2</v>
      </c>
      <c r="AQ5" s="33">
        <f>SUMPRODUCT((lmic_raw[[who_region]:[who_region]]=$A5)*lmic_raw[m_6569]*lmic_raw[births]*(LEN(lmic_raw[m_6569])&gt;1)*(LEN(lmic_raw[bd_cov])&gt;interactive!$C$6))/SUMPRODUCT((lmic_raw[[who_region]:[who_region]]=$A5)*lmic_raw[births]*(LEN(lmic_raw[m_6569])&gt;1)*(LEN(lmic_raw[bd_cov])&gt;interactive!$C$6))</f>
        <v>2.1625545488613635E-2</v>
      </c>
      <c r="AR5" s="33">
        <f>SUMPRODUCT((lmic_raw[[who_region]:[who_region]]=$A5)*lmic_raw[m_7074]*lmic_raw[births]*(LEN(lmic_raw[m_7074])&gt;1)*(LEN(lmic_raw[bd_cov])&gt;interactive!$C$6))/SUMPRODUCT((lmic_raw[[who_region]:[who_region]]=$A5)*lmic_raw[births]*(LEN(lmic_raw[m_7074])&gt;1)*(LEN(lmic_raw[bd_cov])&gt;interactive!$C$6))</f>
        <v>3.4870273731661565E-2</v>
      </c>
      <c r="AS5" s="33">
        <f>SUMPRODUCT((lmic_raw[[who_region]:[who_region]]=$A5)*lmic_raw[m_7079]*lmic_raw[births]*(LEN(lmic_raw[m_7079])&gt;1)*(LEN(lmic_raw[bd_cov])&gt;interactive!$C$6))/SUMPRODUCT((lmic_raw[[who_region]:[who_region]]=$A5)*lmic_raw[births]*(LEN(lmic_raw[m_7079])&gt;1)*(LEN(lmic_raw[bd_cov])&gt;interactive!$C$6))</f>
        <v>5.5095561688561862E-2</v>
      </c>
      <c r="AT5" s="33">
        <f>SUMPRODUCT((lmic_raw[[who_region]:[who_region]]=$A5)*lmic_raw[m_8084]*lmic_raw[births]*(LEN(lmic_raw[m_8084])&gt;1)*(LEN(lmic_raw[bd_cov])&gt;interactive!$C$6))/SUMPRODUCT((lmic_raw[[who_region]:[who_region]]=$A5)*lmic_raw[births]*(LEN(lmic_raw[m_8084])&gt;1)*(LEN(lmic_raw[bd_cov])&gt;interactive!$C$6))</f>
        <v>8.31462922171049E-2</v>
      </c>
      <c r="AU5" s="33">
        <f>SUMPRODUCT((lmic_raw[[who_region]:[who_region]]=$A5)*lmic_raw[m_8589]*lmic_raw[births]*(LEN(lmic_raw[m_8589])&gt;1)*(LEN(lmic_raw[bd_cov])&gt;interactive!$C$6))/SUMPRODUCT((lmic_raw[[who_region]:[who_region]]=$A5)*lmic_raw[births]*(LEN(lmic_raw[m_8589])&gt;1)*(LEN(lmic_raw[bd_cov])&gt;interactive!$C$6))</f>
        <v>0.11576904302529573</v>
      </c>
      <c r="AV5" s="33">
        <f>SUMPRODUCT((lmic_raw[[who_region]:[who_region]]=$A5)*lmic_raw[m_9094]*lmic_raw[births]*(LEN(lmic_raw[m_9094])&gt;1)*(LEN(lmic_raw[bd_cov])&gt;interactive!$C$6))/SUMPRODUCT((lmic_raw[[who_region]:[who_region]]=$A5)*lmic_raw[births]*(LEN(lmic_raw[m_9094])&gt;1)*(LEN(lmic_raw[bd_cov])&gt;interactive!$C$6))</f>
        <v>0.14748408204275781</v>
      </c>
      <c r="AW5" s="33">
        <f>SUMPRODUCT((lmic_raw[[who_region]:[who_region]]=$A5)*lmic_raw[m_95+]*lmic_raw[births]*(LEN(lmic_raw[m_95+])&gt;1)*(LEN(lmic_raw[bd_cov])&gt;interactive!$C$6))/SUMPRODUCT((lmic_raw[[who_region]:[who_region]]=$A5)*lmic_raw[births]*(LEN(lmic_raw[m_95+])&gt;1)*(LEN(lmic_raw[bd_cov])&gt;interactive!$C$6))</f>
        <v>0.17151727954256682</v>
      </c>
      <c r="AX5" s="33">
        <f>SUMPRODUCT((lmic_raw[[who_region]:[who_region]]=$A5)*lmic_raw[av_life]*lmic_raw[births]*(LEN(lmic_raw[av_life])&gt;1)*(LEN(lmic_raw[bd_cov])&gt;interactive!$C$6))/SUMPRODUCT((lmic_raw[[who_region]:[who_region]]=$A5)*lmic_raw[births]*(LEN(lmic_raw[av_life])&gt;1)*(LEN(lmic_raw[bd_cov])&gt;interactive!$C$6))</f>
        <v>73.932774252717266</v>
      </c>
    </row>
    <row r="6" spans="1:51" x14ac:dyDescent="0.25">
      <c r="A6" t="s">
        <v>680</v>
      </c>
      <c r="H6" s="117">
        <f>SUMPRODUCT((lmic_raw[[who_region]:[who_region]]=$A6)*lmic_raw[pop]*(LEN(lmic_raw[bd_cov])&gt;interactive!$C$6))</f>
        <v>1788967655</v>
      </c>
      <c r="I6" s="117">
        <f>SUMPRODUCT((lmic_raw[[who_region]:[who_region]]=$A6)*lmic_raw[births]*(LEN(lmic_raw[bd_cov])&gt;interactive!$C$6))</f>
        <v>31651772.773041993</v>
      </c>
      <c r="J6" s="33">
        <f>SUMPRODUCT((lmic_raw[[who_region]:[who_region]]=$A6)*lmic_raw[fac_birth]*lmic_raw[births]*(LEN(lmic_raw[fac_birth])&gt;1)*(LEN(lmic_raw[bd_cov])&gt;interactive!$C$6))/SUMPRODUCT((lmic_raw[[who_region]:[who_region]]=$A6)*lmic_raw[births]*(LEN(lmic_raw[fac_birth])&gt;1)*(LEN(lmic_raw[bd_cov])&gt;interactive!$C$6))</f>
        <v>0.78220704586803946</v>
      </c>
      <c r="K6" s="33">
        <f>SUMPRODUCT((lmic_raw[[who_region]:[who_region]]=$A6)*lmic_raw[bd_cov]*lmic_raw[births]*(LEN(lmic_raw[bd_cov])&gt;interactive!$C$6))/SUMPRODUCT((lmic_raw[[who_region]:[who_region]]=$A6)*lmic_raw[births]*(LEN(lmic_raw[bd_cov])&gt;interactive!$C$6))</f>
        <v>0.60684066530483005</v>
      </c>
      <c r="L6" s="33">
        <f>SUMPRODUCT((lmic_raw[[who_region]:[who_region]]=$A6)*lmic_raw[hbv3_cov]*lmic_raw[births]*(LEN(lmic_raw[hbv3_cov])&gt;1)*(LEN(lmic_raw[bd_cov])&gt;interactive!$C$6))/SUMPRODUCT((lmic_raw[[who_region]:[who_region]]=$A6)*lmic_raw[births]*(LEN(lmic_raw[hbv3_cov])&gt;1)*(LEN(lmic_raw[bd_cov])&gt;interactive!$C$6))</f>
        <v>0.90236494869599149</v>
      </c>
      <c r="M6" s="33">
        <f>SUMPRODUCT((lmic_raw[[who_region]:[who_region]]=$A6)*lmic_raw[hbv_prev]*lmic_raw[pop]*(LEN(lmic_raw[hbv_prev])&gt;1)*(LEN(lmic_raw[bd_cov])&gt;interactive!$C$6))/SUMPRODUCT((lmic_raw[[who_region]:[who_region]]=$A6)*lmic_raw[pop]*(LEN(lmic_raw[hbv_prev])&gt;1)*(LEN(lmic_raw[bd_cov])&gt;interactive!$C$6))</f>
        <v>1.8739077517307041E-2</v>
      </c>
      <c r="N6" s="33">
        <f>SUMPRODUCT((lmic_raw[[who_region]:[who_region]]=$A6)*lmic_raw[hbe_prev]*lmic_raw[pop]*(LEN(lmic_raw[hbe_prev])&gt;1)*(LEN(lmic_raw[bd_cov])&gt;interactive!$C$6))/SUMPRODUCT((lmic_raw[[who_region]:[who_region]]=$A6)*lmic_raw[pop]*(LEN(lmic_raw[hbe_prev])&gt;1)*(LEN(lmic_raw[bd_cov])&gt;interactive!$C$6))</f>
        <v>0.28249413310975219</v>
      </c>
      <c r="O6" s="33">
        <f>SUMPRODUCT((lmic_raw[[who_region]:[who_region]]=$A6)*lmic_raw[epos]*lmic_raw[pop]*(LEN(lmic_raw[epos])&gt;1)*(LEN(lmic_raw[bd_cov])&gt;interactive!$C$6))/SUMPRODUCT((lmic_raw[[who_region]:[who_region]]=$A6)*lmic_raw[pop]*(LEN(lmic_raw[epos])&gt;1)*(LEN(lmic_raw[bd_cov])&gt;interactive!$C$6))</f>
        <v>0.79999999999999982</v>
      </c>
      <c r="P6" s="33">
        <f>SUMPRODUCT((lmic_raw[[who_region]:[who_region]]=$A6)*lmic_raw[eneg]*lmic_raw[pop]*(LEN(lmic_raw[eneg])&gt;1)*(LEN(lmic_raw[bd_cov])&gt;interactive!$C$6))/SUMPRODUCT((lmic_raw[[who_region]:[who_region]]=$A6)*lmic_raw[pop]*(LEN(lmic_raw[eneg])&gt;1)*(LEN(lmic_raw[bd_cov])&gt;interactive!$C$6))</f>
        <v>0.17499999999999999</v>
      </c>
      <c r="Q6" s="33">
        <f>SUMPRODUCT((lmic_raw[[who_region]:[who_region]]=$A6)*lmic_raw[c_diag]*lmic_raw[births]*(LEN(lmic_raw[c_diag])&gt;1)*(LEN(lmic_raw[bd_cov])&gt;interactive!$C$6))/SUMPRODUCT((lmic_raw[[who_region]:[who_region]]=$A6)*lmic_raw[births]*(LEN(lmic_raw[c_diag])&gt;1)*(LEN(lmic_raw[bd_cov])&gt;interactive!$C$6))</f>
        <v>4.0664290368569871</v>
      </c>
      <c r="R6" s="33">
        <f>SUMPRODUCT((lmic_raw[[who_region]:[who_region]]=$A6)*lmic_raw[c_C]*lmic_raw[births]*(LEN(lmic_raw[c_C])&gt;1)*(LEN(lmic_raw[bd_cov])&gt;interactive!$C$6))/SUMPRODUCT((lmic_raw[[who_region]:[who_region]]=$A6)*lmic_raw[births]*(LEN(lmic_raw[c_C])&gt;1)*(LEN(lmic_raw[bd_cov])&gt;interactive!$C$6))</f>
        <v>51.925333381580252</v>
      </c>
      <c r="S6" s="33">
        <f>SUMPRODUCT((lmic_raw[[who_region]:[who_region]]=$A6)*lmic_raw[c_CC]*lmic_raw[births]*(LEN(lmic_raw[c_CC])&gt;1)*(LEN(lmic_raw[bd_cov])&gt;interactive!$C$6))/SUMPRODUCT((lmic_raw[[who_region]:[who_region]]=$A6)*lmic_raw[births]*(LEN(lmic_raw[c_CC])&gt;1)*(LEN(lmic_raw[bd_cov])&gt;interactive!$C$6))</f>
        <v>99.667333381580264</v>
      </c>
      <c r="T6" s="33">
        <f>SUMPRODUCT((lmic_raw[[who_region]:[who_region]]=$A6)*lmic_raw[c_DC]*lmic_raw[births]*(LEN(lmic_raw[c_DC])&gt;1)*(LEN(lmic_raw[bd_cov])&gt;interactive!$C$6))/SUMPRODUCT((lmic_raw[[who_region]:[who_region]]=$A6)*lmic_raw[births]*(LEN(lmic_raw[c_DC])&gt;1)*(LEN(lmic_raw[bd_cov])&gt;interactive!$C$6))</f>
        <v>99.667333381580264</v>
      </c>
      <c r="U6" s="33">
        <f>SUMPRODUCT((lmic_raw[[who_region]:[who_region]]=$A6)*lmic_raw[c_HCC]*lmic_raw[births]*(LEN(lmic_raw[c_HCC])&gt;1)*(LEN(lmic_raw[bd_cov])&gt;interactive!$C$6))/SUMPRODUCT((lmic_raw[[who_region]:[who_region]]=$A6)*lmic_raw[births]*(LEN(lmic_raw[c_HCC])&gt;1)*(LEN(lmic_raw[bd_cov])&gt;interactive!$C$6))</f>
        <v>99.667333381580264</v>
      </c>
      <c r="V6" s="33">
        <f>SUMPRODUCT((lmic_raw[[who_region]:[who_region]]=$A6)*lmic_raw[bl1_f]*lmic_raw[births]*(LEN(lmic_raw[bl1_f])&gt;1)*(LEN(lmic_raw[bd_cov])&gt;interactive!$C$6))/SUMPRODUCT((lmic_raw[[who_region]:[who_region]]=$A6)*lmic_raw[births]*(LEN(lmic_raw[bl1_f])&gt;1)*(LEN(lmic_raw[bd_cov])&gt;interactive!$C$6))</f>
        <v>1.6780007677683488</v>
      </c>
      <c r="W6" s="33">
        <f>SUMPRODUCT((lmic_raw[[who_region]:[who_region]]=$A6)*lmic_raw[bl1_c]*lmic_raw[births]*(LEN(lmic_raw[bl1_c])&gt;1)*(LEN(lmic_raw[bd_cov])&gt;interactive!$C$6))/SUMPRODUCT((lmic_raw[[who_region]:[who_region]]=$A6)*lmic_raw[births]*(LEN(lmic_raw[bl1_c])&gt;1)*(LEN(lmic_raw[bd_cov])&gt;interactive!$C$6))</f>
        <v>3.7245999910610945</v>
      </c>
      <c r="X6" s="33">
        <f>SUMPRODUCT((lmic_raw[[who_region]:[who_region]]=$A6)*lmic_raw[map_f]*lmic_raw[births]*(LEN(lmic_raw[map_f])&gt;1)*(LEN(lmic_raw[bd_cov])&gt;interactive!$C$6))/SUMPRODUCT((lmic_raw[[who_region]:[who_region]]=$A6)*lmic_raw[births]*(LEN(lmic_raw[map_f])&gt;1)*(LEN(lmic_raw[bd_cov])&gt;interactive!$C$6))</f>
        <v>1.2457848523011696</v>
      </c>
      <c r="Y6" s="33">
        <f>SUMPRODUCT((lmic_raw[[who_region]:[who_region]]=$A6)*lmic_raw[map_cq]*lmic_raw[births]*(LEN(lmic_raw[map_cq])&gt;1)*(LEN(lmic_raw[bd_cov])&gt;interactive!$C$6))/SUMPRODUCT((lmic_raw[[who_region]:[who_region]]=$A6)*lmic_raw[births]*(LEN(lmic_raw[map_cq])&gt;1)*(LEN(lmic_raw[bd_cov])&gt;interactive!$C$6))</f>
        <v>3.2923840755939162</v>
      </c>
      <c r="Z6" s="33">
        <f>SUMPRODUCT((lmic_raw[[who_region]:[who_region]]=$A6)*lmic_raw[map_cl]*lmic_raw[births]*(LEN(lmic_raw[map_cl])&gt;1)*(LEN(lmic_raw[bd_cov])&gt;interactive!$C$6))/SUMPRODUCT((lmic_raw[[who_region]:[who_region]]=$A6)*lmic_raw[births]*(LEN(lmic_raw[map_cl])&gt;1)*(LEN(lmic_raw[bd_cov])&gt;interactive!$C$6))</f>
        <v>3.2865704890261047</v>
      </c>
      <c r="AA6" s="33">
        <f>SUMPRODUCT((lmic_raw[[who_region]:[who_region]]=$A6)*lmic_raw[ctc_f]*lmic_raw[births]*(LEN(lmic_raw[ctc_f])&gt;1)*(LEN(lmic_raw[bd_cov])&gt;interactive!$C$6))/SUMPRODUCT((lmic_raw[[who_region]:[who_region]]=$A6)*lmic_raw[births]*(LEN(lmic_raw[ctc_f])&gt;1)*(LEN(lmic_raw[bd_cov])&gt;interactive!$C$6))</f>
        <v>1.9220255689274715</v>
      </c>
      <c r="AB6" s="33">
        <f>SUMPRODUCT((lmic_raw[[who_region]:[who_region]]=$A6)*lmic_raw[ctc_c]*lmic_raw[births]*(LEN(lmic_raw[ctc_c])&gt;1)*(LEN(lmic_raw[bd_cov])&gt;interactive!$C$6))/SUMPRODUCT((lmic_raw[[who_region]:[who_region]]=$A6)*lmic_raw[births]*(LEN(lmic_raw[ctc_c])&gt;1)*(LEN(lmic_raw[bd_cov])&gt;interactive!$C$6))</f>
        <v>3.9686247922202171</v>
      </c>
      <c r="AC6" s="33">
        <f>SUMPRODUCT((lmic_raw[[who_region]:[who_region]]=$A6)*lmic_raw[m_01]*lmic_raw[births]*(LEN(lmic_raw[m_01])&gt;1)*(LEN(lmic_raw[bd_cov])&gt;interactive!$C$6))/SUMPRODUCT((lmic_raw[[who_region]:[who_region]]=$A6)*lmic_raw[births]*(LEN(lmic_raw[m_01])&gt;1)*(LEN(lmic_raw[bd_cov])&gt;interactive!$C$6))</f>
        <v>2.9392996473921684E-2</v>
      </c>
      <c r="AD6" s="33">
        <f>SUMPRODUCT((lmic_raw[[who_region]:[who_region]]=$A6)*lmic_raw[m_14]*lmic_raw[births]*(LEN(lmic_raw[m_14])&gt;1)*(LEN(lmic_raw[bd_cov])&gt;interactive!$C$6))/SUMPRODUCT((lmic_raw[[who_region]:[who_region]]=$A6)*lmic_raw[births]*(LEN(lmic_raw[m_14])&gt;1)*(LEN(lmic_raw[bd_cov])&gt;interactive!$C$6))</f>
        <v>1.8245760019631086E-3</v>
      </c>
      <c r="AE6" s="33">
        <f>SUMPRODUCT((lmic_raw[[who_region]:[who_region]]=$A6)*lmic_raw[m_59]*lmic_raw[births]*(LEN(lmic_raw[m_59])&gt;1)*(LEN(lmic_raw[bd_cov])&gt;interactive!$C$6))/SUMPRODUCT((lmic_raw[[who_region]:[who_region]]=$A6)*lmic_raw[births]*(LEN(lmic_raw[m_59])&gt;1)*(LEN(lmic_raw[bd_cov])&gt;interactive!$C$6))</f>
        <v>6.8243618465054076E-4</v>
      </c>
      <c r="AF6" s="33">
        <f>SUMPRODUCT((lmic_raw[[who_region]:[who_region]]=$A6)*lmic_raw[m_1014]*lmic_raw[births]*(LEN(lmic_raw[m_1014])&gt;1)*(LEN(lmic_raw[bd_cov])&gt;interactive!$C$6))/SUMPRODUCT((lmic_raw[[who_region]:[who_region]]=$A6)*lmic_raw[births]*(LEN(lmic_raw[m_1014])&gt;1)*(LEN(lmic_raw[bd_cov])&gt;interactive!$C$6))</f>
        <v>5.8131330194186579E-4</v>
      </c>
      <c r="AG6" s="33">
        <f>SUMPRODUCT((lmic_raw[[who_region]:[who_region]]=$A6)*lmic_raw[m_1519]*lmic_raw[births]*(LEN(lmic_raw[m_1519])&gt;1)*(LEN(lmic_raw[bd_cov])&gt;interactive!$C$6))/SUMPRODUCT((lmic_raw[[who_region]:[who_region]]=$A6)*lmic_raw[births]*(LEN(lmic_raw[m_1519])&gt;1)*(LEN(lmic_raw[bd_cov])&gt;interactive!$C$6))</f>
        <v>9.6116121834817091E-4</v>
      </c>
      <c r="AH6" s="33">
        <f>SUMPRODUCT((lmic_raw[[who_region]:[who_region]]=$A6)*lmic_raw[m_2024]*lmic_raw[births]*(LEN(lmic_raw[m_2024])&gt;1)*(LEN(lmic_raw[bd_cov])&gt;interactive!$C$6))/SUMPRODUCT((lmic_raw[[who_region]:[who_region]]=$A6)*lmic_raw[births]*(LEN(lmic_raw[m_2024])&gt;1)*(LEN(lmic_raw[bd_cov])&gt;interactive!$C$6))</f>
        <v>1.3604457795738626E-3</v>
      </c>
      <c r="AI6" s="33">
        <f>SUMPRODUCT((lmic_raw[[who_region]:[who_region]]=$A6)*lmic_raw[m_2529]*lmic_raw[births]*(LEN(lmic_raw[m_2529])&gt;1)*(LEN(lmic_raw[bd_cov])&gt;interactive!$C$6))/SUMPRODUCT((lmic_raw[[who_region]:[who_region]]=$A6)*lmic_raw[births]*(LEN(lmic_raw[m_2529])&gt;1)*(LEN(lmic_raw[bd_cov])&gt;interactive!$C$6))</f>
        <v>1.5224097563450408E-3</v>
      </c>
      <c r="AJ6" s="33">
        <f>SUMPRODUCT((lmic_raw[[who_region]:[who_region]]=$A6)*lmic_raw[m_3034]*lmic_raw[births]*(LEN(lmic_raw[m_3034])&gt;1)*(LEN(lmic_raw[bd_cov])&gt;interactive!$C$6))/SUMPRODUCT((lmic_raw[[who_region]:[who_region]]=$A6)*lmic_raw[births]*(LEN(lmic_raw[m_3034])&gt;1)*(LEN(lmic_raw[bd_cov])&gt;interactive!$C$6))</f>
        <v>1.9184207342762415E-3</v>
      </c>
      <c r="AK6" s="33">
        <f>SUMPRODUCT((lmic_raw[[who_region]:[who_region]]=$A6)*lmic_raw[m_3539]*lmic_raw[births]*(LEN(lmic_raw[m_3539])&gt;1)*(LEN(lmic_raw[bd_cov])&gt;interactive!$C$6))/SUMPRODUCT((lmic_raw[[who_region]:[who_region]]=$A6)*lmic_raw[births]*(LEN(lmic_raw[m_3539])&gt;1)*(LEN(lmic_raw[bd_cov])&gt;interactive!$C$6))</f>
        <v>2.6379348298252022E-3</v>
      </c>
      <c r="AL6" s="33">
        <f>SUMPRODUCT((lmic_raw[[who_region]:[who_region]]=$A6)*lmic_raw[m_4044]*lmic_raw[births]*(LEN(lmic_raw[m_4044])&gt;1)*(LEN(lmic_raw[bd_cov])&gt;interactive!$C$6))/SUMPRODUCT((lmic_raw[[who_region]:[who_region]]=$A6)*lmic_raw[births]*(LEN(lmic_raw[m_4044])&gt;1)*(LEN(lmic_raw[bd_cov])&gt;interactive!$C$6))</f>
        <v>3.5753661134056685E-3</v>
      </c>
      <c r="AM6" s="33">
        <f>SUMPRODUCT((lmic_raw[[who_region]:[who_region]]=$A6)*lmic_raw[m_4549]*lmic_raw[births]*(LEN(lmic_raw[m_4549])&gt;1)*(LEN(lmic_raw[bd_cov])&gt;interactive!$C$6))/SUMPRODUCT((lmic_raw[[who_region]:[who_region]]=$A6)*lmic_raw[births]*(LEN(lmic_raw[m_4549])&gt;1)*(LEN(lmic_raw[bd_cov])&gt;interactive!$C$6))</f>
        <v>5.1668919337889245E-3</v>
      </c>
      <c r="AN6" s="33">
        <f>SUMPRODUCT((lmic_raw[[who_region]:[who_region]]=$A6)*lmic_raw[m_5054]*lmic_raw[births]*(LEN(lmic_raw[m_5054])&gt;1)*(LEN(lmic_raw[bd_cov])&gt;interactive!$C$6))/SUMPRODUCT((lmic_raw[[who_region]:[who_region]]=$A6)*lmic_raw[births]*(LEN(lmic_raw[m_5054])&gt;1)*(LEN(lmic_raw[bd_cov])&gt;interactive!$C$6))</f>
        <v>8.1699168567664522E-3</v>
      </c>
      <c r="AO6" s="33">
        <f>SUMPRODUCT((lmic_raw[[who_region]:[who_region]]=$A6)*lmic_raw[m_5559]*lmic_raw[births]*(LEN(lmic_raw[m_5559])&gt;1)*(LEN(lmic_raw[bd_cov])&gt;interactive!$C$6))/SUMPRODUCT((lmic_raw[[who_region]:[who_region]]=$A6)*lmic_raw[births]*(LEN(lmic_raw[m_5559])&gt;1)*(LEN(lmic_raw[bd_cov])&gt;interactive!$C$6))</f>
        <v>1.2222550958419188E-2</v>
      </c>
      <c r="AP6" s="33">
        <f>SUMPRODUCT((lmic_raw[[who_region]:[who_region]]=$A6)*lmic_raw[m_6064]*lmic_raw[births]*(LEN(lmic_raw[m_6064])&gt;1)*(LEN(lmic_raw[bd_cov])&gt;interactive!$C$6))/SUMPRODUCT((lmic_raw[[who_region]:[who_region]]=$A6)*lmic_raw[births]*(LEN(lmic_raw[m_6064])&gt;1)*(LEN(lmic_raw[bd_cov])&gt;interactive!$C$6))</f>
        <v>1.8227969312842707E-2</v>
      </c>
      <c r="AQ6" s="33">
        <f>SUMPRODUCT((lmic_raw[[who_region]:[who_region]]=$A6)*lmic_raw[m_6569]*lmic_raw[births]*(LEN(lmic_raw[m_6569])&gt;1)*(LEN(lmic_raw[bd_cov])&gt;interactive!$C$6))/SUMPRODUCT((lmic_raw[[who_region]:[who_region]]=$A6)*lmic_raw[births]*(LEN(lmic_raw[m_6569])&gt;1)*(LEN(lmic_raw[bd_cov])&gt;interactive!$C$6))</f>
        <v>2.7370810719362693E-2</v>
      </c>
      <c r="AR6" s="33">
        <f>SUMPRODUCT((lmic_raw[[who_region]:[who_region]]=$A6)*lmic_raw[m_7074]*lmic_raw[births]*(LEN(lmic_raw[m_7074])&gt;1)*(LEN(lmic_raw[bd_cov])&gt;interactive!$C$6))/SUMPRODUCT((lmic_raw[[who_region]:[who_region]]=$A6)*lmic_raw[births]*(LEN(lmic_raw[m_7074])&gt;1)*(LEN(lmic_raw[bd_cov])&gt;interactive!$C$6))</f>
        <v>4.1994558518337201E-2</v>
      </c>
      <c r="AS6" s="33">
        <f>SUMPRODUCT((lmic_raw[[who_region]:[who_region]]=$A6)*lmic_raw[m_7079]*lmic_raw[births]*(LEN(lmic_raw[m_7079])&gt;1)*(LEN(lmic_raw[bd_cov])&gt;interactive!$C$6))/SUMPRODUCT((lmic_raw[[who_region]:[who_region]]=$A6)*lmic_raw[births]*(LEN(lmic_raw[m_7079])&gt;1)*(LEN(lmic_raw[bd_cov])&gt;interactive!$C$6))</f>
        <v>6.0553323100474475E-2</v>
      </c>
      <c r="AT6" s="33">
        <f>SUMPRODUCT((lmic_raw[[who_region]:[who_region]]=$A6)*lmic_raw[m_8084]*lmic_raw[births]*(LEN(lmic_raw[m_8084])&gt;1)*(LEN(lmic_raw[bd_cov])&gt;interactive!$C$6))/SUMPRODUCT((lmic_raw[[who_region]:[who_region]]=$A6)*lmic_raw[births]*(LEN(lmic_raw[m_8084])&gt;1)*(LEN(lmic_raw[bd_cov])&gt;interactive!$C$6))</f>
        <v>8.6888775437342941E-2</v>
      </c>
      <c r="AU6" s="33">
        <f>SUMPRODUCT((lmic_raw[[who_region]:[who_region]]=$A6)*lmic_raw[m_8589]*lmic_raw[births]*(LEN(lmic_raw[m_8589])&gt;1)*(LEN(lmic_raw[bd_cov])&gt;interactive!$C$6))/SUMPRODUCT((lmic_raw[[who_region]:[who_region]]=$A6)*lmic_raw[births]*(LEN(lmic_raw[m_8589])&gt;1)*(LEN(lmic_raw[bd_cov])&gt;interactive!$C$6))</f>
        <v>0.11696298054456747</v>
      </c>
      <c r="AV6" s="33">
        <f>SUMPRODUCT((lmic_raw[[who_region]:[who_region]]=$A6)*lmic_raw[m_9094]*lmic_raw[births]*(LEN(lmic_raw[m_9094])&gt;1)*(LEN(lmic_raw[bd_cov])&gt;interactive!$C$6))/SUMPRODUCT((lmic_raw[[who_region]:[who_region]]=$A6)*lmic_raw[births]*(LEN(lmic_raw[m_9094])&gt;1)*(LEN(lmic_raw[bd_cov])&gt;interactive!$C$6))</f>
        <v>0.14449919426319574</v>
      </c>
      <c r="AW6" s="33">
        <f>SUMPRODUCT((lmic_raw[[who_region]:[who_region]]=$A6)*lmic_raw[m_95+]*lmic_raw[births]*(LEN(lmic_raw[m_95+])&gt;1)*(LEN(lmic_raw[bd_cov])&gt;interactive!$C$6))/SUMPRODUCT((lmic_raw[[who_region]:[who_region]]=$A6)*lmic_raw[births]*(LEN(lmic_raw[m_95+])&gt;1)*(LEN(lmic_raw[bd_cov])&gt;interactive!$C$6))</f>
        <v>0.14536189463936658</v>
      </c>
      <c r="AX6" s="33">
        <f>SUMPRODUCT((lmic_raw[[who_region]:[who_region]]=$A6)*lmic_raw[av_life]*lmic_raw[births]*(LEN(lmic_raw[av_life])&gt;1)*(LEN(lmic_raw[bd_cov])&gt;interactive!$C$6))/SUMPRODUCT((lmic_raw[[who_region]:[who_region]]=$A6)*lmic_raw[births]*(LEN(lmic_raw[av_life])&gt;1)*(LEN(lmic_raw[bd_cov])&gt;interactive!$C$6))</f>
        <v>69.73602344597316</v>
      </c>
    </row>
    <row r="7" spans="1:51" x14ac:dyDescent="0.25">
      <c r="A7" t="s">
        <v>681</v>
      </c>
      <c r="H7" s="117">
        <f>SUMPRODUCT((lmic_raw[[who_region]:[who_region]]=$A7)*lmic_raw[pop]*(LEN(lmic_raw[bd_cov])&gt;interactive!$C$6))</f>
        <v>1708443371</v>
      </c>
      <c r="I7" s="117">
        <f>SUMPRODUCT((lmic_raw[[who_region]:[who_region]]=$A7)*lmic_raw[births]*(LEN(lmic_raw[bd_cov])&gt;interactive!$C$6))</f>
        <v>22430841.415479999</v>
      </c>
      <c r="J7" s="33">
        <f>SUMPRODUCT((lmic_raw[[who_region]:[who_region]]=$A7)*lmic_raw[fac_birth]*lmic_raw[births]*(LEN(lmic_raw[fac_birth])&gt;1)*(LEN(lmic_raw[bd_cov])&gt;interactive!$C$6))/SUMPRODUCT((lmic_raw[[who_region]:[who_region]]=$A7)*lmic_raw[births]*(LEN(lmic_raw[fac_birth])&gt;1)*(LEN(lmic_raw[bd_cov])&gt;interactive!$C$6))</f>
        <v>0.96150420695097139</v>
      </c>
      <c r="K7" s="33">
        <f>SUMPRODUCT((lmic_raw[[who_region]:[who_region]]=$A7)*lmic_raw[bd_cov]*lmic_raw[births]*(LEN(lmic_raw[bd_cov])&gt;interactive!$C$6))/SUMPRODUCT((lmic_raw[[who_region]:[who_region]]=$A7)*lmic_raw[births]*(LEN(lmic_raw[bd_cov])&gt;interactive!$C$6))</f>
        <v>0.89034755768400475</v>
      </c>
      <c r="L7" s="33">
        <f>SUMPRODUCT((lmic_raw[[who_region]:[who_region]]=$A7)*lmic_raw[hbv3_cov]*lmic_raw[births]*(LEN(lmic_raw[hbv3_cov])&gt;1)*(LEN(lmic_raw[bd_cov])&gt;interactive!$C$6))/SUMPRODUCT((lmic_raw[[who_region]:[who_region]]=$A7)*lmic_raw[births]*(LEN(lmic_raw[hbv3_cov])&gt;1)*(LEN(lmic_raw[bd_cov])&gt;interactive!$C$6))</f>
        <v>0.93791797581746394</v>
      </c>
      <c r="M7" s="33">
        <f>SUMPRODUCT((lmic_raw[[who_region]:[who_region]]=$A7)*lmic_raw[hbv_prev]*lmic_raw[pop]*(LEN(lmic_raw[hbv_prev])&gt;1)*(LEN(lmic_raw[bd_cov])&gt;interactive!$C$6))/SUMPRODUCT((lmic_raw[[who_region]:[who_region]]=$A7)*lmic_raw[pop]*(LEN(lmic_raw[hbv_prev])&gt;1)*(LEN(lmic_raw[bd_cov])&gt;interactive!$C$6))</f>
        <v>6.7360672805993768E-2</v>
      </c>
      <c r="N7" s="33">
        <f>SUMPRODUCT((lmic_raw[[who_region]:[who_region]]=$A7)*lmic_raw[hbe_prev]*lmic_raw[pop]*(LEN(lmic_raw[hbe_prev])&gt;1)*(LEN(lmic_raw[bd_cov])&gt;interactive!$C$6))/SUMPRODUCT((lmic_raw[[who_region]:[who_region]]=$A7)*lmic_raw[pop]*(LEN(lmic_raw[hbe_prev])&gt;1)*(LEN(lmic_raw[bd_cov])&gt;interactive!$C$6))</f>
        <v>0.33321530304356067</v>
      </c>
      <c r="O7" s="33">
        <f>SUMPRODUCT((lmic_raw[[who_region]:[who_region]]=$A7)*lmic_raw[epos]*lmic_raw[pop]*(LEN(lmic_raw[epos])&gt;1)*(LEN(lmic_raw[bd_cov])&gt;interactive!$C$6))/SUMPRODUCT((lmic_raw[[who_region]:[who_region]]=$A7)*lmic_raw[pop]*(LEN(lmic_raw[epos])&gt;1)*(LEN(lmic_raw[bd_cov])&gt;interactive!$C$6))</f>
        <v>0.79999999999999993</v>
      </c>
      <c r="P7" s="33">
        <f>SUMPRODUCT((lmic_raw[[who_region]:[who_region]]=$A7)*lmic_raw[eneg]*lmic_raw[pop]*(LEN(lmic_raw[eneg])&gt;1)*(LEN(lmic_raw[bd_cov])&gt;interactive!$C$6))/SUMPRODUCT((lmic_raw[[who_region]:[who_region]]=$A7)*lmic_raw[pop]*(LEN(lmic_raw[eneg])&gt;1)*(LEN(lmic_raw[bd_cov])&gt;interactive!$C$6))</f>
        <v>0.17500000000000002</v>
      </c>
      <c r="Q7" s="33">
        <f>SUMPRODUCT((lmic_raw[[who_region]:[who_region]]=$A7)*lmic_raw[c_diag]*lmic_raw[births]*(LEN(lmic_raw[c_diag])&gt;1)*(LEN(lmic_raw[bd_cov])&gt;interactive!$C$6))/SUMPRODUCT((lmic_raw[[who_region]:[who_region]]=$A7)*lmic_raw[births]*(LEN(lmic_raw[c_diag])&gt;1)*(LEN(lmic_raw[bd_cov])&gt;interactive!$C$6))</f>
        <v>7.3584077095565021</v>
      </c>
      <c r="R7" s="33">
        <f>SUMPRODUCT((lmic_raw[[who_region]:[who_region]]=$A7)*lmic_raw[c_C]*lmic_raw[births]*(LEN(lmic_raw[c_C])&gt;1)*(LEN(lmic_raw[bd_cov])&gt;interactive!$C$6))/SUMPRODUCT((lmic_raw[[who_region]:[who_region]]=$A7)*lmic_raw[births]*(LEN(lmic_raw[c_C])&gt;1)*(LEN(lmic_raw[bd_cov])&gt;interactive!$C$6))</f>
        <v>72.984180011147103</v>
      </c>
      <c r="S7" s="33">
        <f>SUMPRODUCT((lmic_raw[[who_region]:[who_region]]=$A7)*lmic_raw[c_CC]*lmic_raw[births]*(LEN(lmic_raw[c_CC])&gt;1)*(LEN(lmic_raw[bd_cov])&gt;interactive!$C$6))/SUMPRODUCT((lmic_raw[[who_region]:[who_region]]=$A7)*lmic_raw[births]*(LEN(lmic_raw[c_CC])&gt;1)*(LEN(lmic_raw[bd_cov])&gt;interactive!$C$6))</f>
        <v>120.72618001114709</v>
      </c>
      <c r="T7" s="33">
        <f>SUMPRODUCT((lmic_raw[[who_region]:[who_region]]=$A7)*lmic_raw[c_DC]*lmic_raw[births]*(LEN(lmic_raw[c_DC])&gt;1)*(LEN(lmic_raw[bd_cov])&gt;interactive!$C$6))/SUMPRODUCT((lmic_raw[[who_region]:[who_region]]=$A7)*lmic_raw[births]*(LEN(lmic_raw[c_DC])&gt;1)*(LEN(lmic_raw[bd_cov])&gt;interactive!$C$6))</f>
        <v>120.72618001114709</v>
      </c>
      <c r="U7" s="33">
        <f>SUMPRODUCT((lmic_raw[[who_region]:[who_region]]=$A7)*lmic_raw[c_HCC]*lmic_raw[births]*(LEN(lmic_raw[c_HCC])&gt;1)*(LEN(lmic_raw[bd_cov])&gt;interactive!$C$6))/SUMPRODUCT((lmic_raw[[who_region]:[who_region]]=$A7)*lmic_raw[births]*(LEN(lmic_raw[c_HCC])&gt;1)*(LEN(lmic_raw[bd_cov])&gt;interactive!$C$6))</f>
        <v>120.72618001114709</v>
      </c>
      <c r="V7" s="33">
        <f>SUMPRODUCT((lmic_raw[[who_region]:[who_region]]=$A7)*lmic_raw[bl1_f]*lmic_raw[births]*(LEN(lmic_raw[bl1_f])&gt;1)*(LEN(lmic_raw[bd_cov])&gt;interactive!$C$6))/SUMPRODUCT((lmic_raw[[who_region]:[who_region]]=$A7)*lmic_raw[births]*(LEN(lmic_raw[bl1_f])&gt;1)*(LEN(lmic_raw[bd_cov])&gt;interactive!$C$6))</f>
        <v>2.5797426210164498</v>
      </c>
      <c r="W7" s="33">
        <f>SUMPRODUCT((lmic_raw[[who_region]:[who_region]]=$A7)*lmic_raw[bl1_c]*lmic_raw[births]*(LEN(lmic_raw[bl1_c])&gt;1)*(LEN(lmic_raw[bd_cov])&gt;interactive!$C$6))/SUMPRODUCT((lmic_raw[[who_region]:[who_region]]=$A7)*lmic_raw[births]*(LEN(lmic_raw[bl1_c])&gt;1)*(LEN(lmic_raw[bd_cov])&gt;interactive!$C$6))</f>
        <v>3.2218314413048192</v>
      </c>
      <c r="X7" s="33">
        <f>SUMPRODUCT((lmic_raw[[who_region]:[who_region]]=$A7)*lmic_raw[map_f]*lmic_raw[births]*(LEN(lmic_raw[map_f])&gt;1)*(LEN(lmic_raw[bd_cov])&gt;interactive!$C$6))/SUMPRODUCT((lmic_raw[[who_region]:[who_region]]=$A7)*lmic_raw[births]*(LEN(lmic_raw[map_f])&gt;1)*(LEN(lmic_raw[bd_cov])&gt;interactive!$C$6))</f>
        <v>2.1321550200260941</v>
      </c>
      <c r="Y7" s="33">
        <f>SUMPRODUCT((lmic_raw[[who_region]:[who_region]]=$A7)*lmic_raw[map_cq]*lmic_raw[births]*(LEN(lmic_raw[map_cq])&gt;1)*(LEN(lmic_raw[bd_cov])&gt;interactive!$C$6))/SUMPRODUCT((lmic_raw[[who_region]:[who_region]]=$A7)*lmic_raw[births]*(LEN(lmic_raw[map_cq])&gt;1)*(LEN(lmic_raw[bd_cov])&gt;interactive!$C$6))</f>
        <v>2.7742438403144623</v>
      </c>
      <c r="Z7" s="33">
        <f>SUMPRODUCT((lmic_raw[[who_region]:[who_region]]=$A7)*lmic_raw[map_cl]*lmic_raw[births]*(LEN(lmic_raw[map_cl])&gt;1)*(LEN(lmic_raw[bd_cov])&gt;interactive!$C$6))/SUMPRODUCT((lmic_raw[[who_region]:[who_region]]=$A7)*lmic_raw[births]*(LEN(lmic_raw[map_cl])&gt;1)*(LEN(lmic_raw[bd_cov])&gt;interactive!$C$6))</f>
        <v>2.7621900383622102</v>
      </c>
      <c r="AA7" s="33">
        <f>SUMPRODUCT((lmic_raw[[who_region]:[who_region]]=$A7)*lmic_raw[ctc_f]*lmic_raw[births]*(LEN(lmic_raw[ctc_f])&gt;1)*(LEN(lmic_raw[bd_cov])&gt;interactive!$C$6))/SUMPRODUCT((lmic_raw[[who_region]:[who_region]]=$A7)*lmic_raw[births]*(LEN(lmic_raw[ctc_f])&gt;1)*(LEN(lmic_raw[bd_cov])&gt;interactive!$C$6))</f>
        <v>2.829308378585091</v>
      </c>
      <c r="AB7" s="33">
        <f>SUMPRODUCT((lmic_raw[[who_region]:[who_region]]=$A7)*lmic_raw[ctc_c]*lmic_raw[births]*(LEN(lmic_raw[ctc_c])&gt;1)*(LEN(lmic_raw[bd_cov])&gt;interactive!$C$6))/SUMPRODUCT((lmic_raw[[who_region]:[who_region]]=$A7)*lmic_raw[births]*(LEN(lmic_raw[ctc_c])&gt;1)*(LEN(lmic_raw[bd_cov])&gt;interactive!$C$6))</f>
        <v>3.4713971988734604</v>
      </c>
      <c r="AC7" s="33">
        <f>SUMPRODUCT((lmic_raw[[who_region]:[who_region]]=$A7)*lmic_raw[m_01]*lmic_raw[births]*(LEN(lmic_raw[m_01])&gt;1)*(LEN(lmic_raw[bd_cov])&gt;interactive!$C$6))/SUMPRODUCT((lmic_raw[[who_region]:[who_region]]=$A7)*lmic_raw[births]*(LEN(lmic_raw[m_01])&gt;1)*(LEN(lmic_raw[bd_cov])&gt;interactive!$C$6))</f>
        <v>1.2113043019348933E-2</v>
      </c>
      <c r="AD7" s="33">
        <f>SUMPRODUCT((lmic_raw[[who_region]:[who_region]]=$A7)*lmic_raw[m_14]*lmic_raw[births]*(LEN(lmic_raw[m_14])&gt;1)*(LEN(lmic_raw[bd_cov])&gt;interactive!$C$6))/SUMPRODUCT((lmic_raw[[who_region]:[who_region]]=$A7)*lmic_raw[births]*(LEN(lmic_raw[m_14])&gt;1)*(LEN(lmic_raw[bd_cov])&gt;interactive!$C$6))</f>
        <v>6.7609930209456214E-4</v>
      </c>
      <c r="AE7" s="33">
        <f>SUMPRODUCT((lmic_raw[[who_region]:[who_region]]=$A7)*lmic_raw[m_59]*lmic_raw[births]*(LEN(lmic_raw[m_59])&gt;1)*(LEN(lmic_raw[bd_cov])&gt;interactive!$C$6))/SUMPRODUCT((lmic_raw[[who_region]:[who_region]]=$A7)*lmic_raw[births]*(LEN(lmic_raw[m_59])&gt;1)*(LEN(lmic_raw[bd_cov])&gt;interactive!$C$6))</f>
        <v>3.9081483963144945E-4</v>
      </c>
      <c r="AF7" s="33">
        <f>SUMPRODUCT((lmic_raw[[who_region]:[who_region]]=$A7)*lmic_raw[m_1014]*lmic_raw[births]*(LEN(lmic_raw[m_1014])&gt;1)*(LEN(lmic_raw[bd_cov])&gt;interactive!$C$6))/SUMPRODUCT((lmic_raw[[who_region]:[who_region]]=$A7)*lmic_raw[births]*(LEN(lmic_raw[m_1014])&gt;1)*(LEN(lmic_raw[bd_cov])&gt;interactive!$C$6))</f>
        <v>3.0782172099554035E-4</v>
      </c>
      <c r="AG7" s="33">
        <f>SUMPRODUCT((lmic_raw[[who_region]:[who_region]]=$A7)*lmic_raw[m_1519]*lmic_raw[births]*(LEN(lmic_raw[m_1519])&gt;1)*(LEN(lmic_raw[bd_cov])&gt;interactive!$C$6))/SUMPRODUCT((lmic_raw[[who_region]:[who_region]]=$A7)*lmic_raw[births]*(LEN(lmic_raw[m_1519])&gt;1)*(LEN(lmic_raw[bd_cov])&gt;interactive!$C$6))</f>
        <v>4.8944350359139937E-4</v>
      </c>
      <c r="AH7" s="33">
        <f>SUMPRODUCT((lmic_raw[[who_region]:[who_region]]=$A7)*lmic_raw[m_2024]*lmic_raw[births]*(LEN(lmic_raw[m_2024])&gt;1)*(LEN(lmic_raw[bd_cov])&gt;interactive!$C$6))/SUMPRODUCT((lmic_raw[[who_region]:[who_region]]=$A7)*lmic_raw[births]*(LEN(lmic_raw[m_2024])&gt;1)*(LEN(lmic_raw[bd_cov])&gt;interactive!$C$6))</f>
        <v>6.8096472237868307E-4</v>
      </c>
      <c r="AI7" s="33">
        <f>SUMPRODUCT((lmic_raw[[who_region]:[who_region]]=$A7)*lmic_raw[m_2529]*lmic_raw[births]*(LEN(lmic_raw[m_2529])&gt;1)*(LEN(lmic_raw[bd_cov])&gt;interactive!$C$6))/SUMPRODUCT((lmic_raw[[who_region]:[who_region]]=$A7)*lmic_raw[births]*(LEN(lmic_raw[m_2529])&gt;1)*(LEN(lmic_raw[bd_cov])&gt;interactive!$C$6))</f>
        <v>8.5023885699048749E-4</v>
      </c>
      <c r="AJ7" s="33">
        <f>SUMPRODUCT((lmic_raw[[who_region]:[who_region]]=$A7)*lmic_raw[m_3034]*lmic_raw[births]*(LEN(lmic_raw[m_3034])&gt;1)*(LEN(lmic_raw[bd_cov])&gt;interactive!$C$6))/SUMPRODUCT((lmic_raw[[who_region]:[who_region]]=$A7)*lmic_raw[births]*(LEN(lmic_raw[m_3034])&gt;1)*(LEN(lmic_raw[bd_cov])&gt;interactive!$C$6))</f>
        <v>1.0584115094525045E-3</v>
      </c>
      <c r="AK7" s="33">
        <f>SUMPRODUCT((lmic_raw[[who_region]:[who_region]]=$A7)*lmic_raw[m_3539]*lmic_raw[births]*(LEN(lmic_raw[m_3539])&gt;1)*(LEN(lmic_raw[bd_cov])&gt;interactive!$C$6))/SUMPRODUCT((lmic_raw[[who_region]:[who_region]]=$A7)*lmic_raw[births]*(LEN(lmic_raw[m_3539])&gt;1)*(LEN(lmic_raw[bd_cov])&gt;interactive!$C$6))</f>
        <v>1.3595292919632098E-3</v>
      </c>
      <c r="AL7" s="33">
        <f>SUMPRODUCT((lmic_raw[[who_region]:[who_region]]=$A7)*lmic_raw[m_4044]*lmic_raw[births]*(LEN(lmic_raw[m_4044])&gt;1)*(LEN(lmic_raw[bd_cov])&gt;interactive!$C$6))/SUMPRODUCT((lmic_raw[[who_region]:[who_region]]=$A7)*lmic_raw[births]*(LEN(lmic_raw[m_4044])&gt;1)*(LEN(lmic_raw[bd_cov])&gt;interactive!$C$6))</f>
        <v>1.913684162559916E-3</v>
      </c>
      <c r="AM7" s="33">
        <f>SUMPRODUCT((lmic_raw[[who_region]:[who_region]]=$A7)*lmic_raw[m_4549]*lmic_raw[births]*(LEN(lmic_raw[m_4549])&gt;1)*(LEN(lmic_raw[bd_cov])&gt;interactive!$C$6))/SUMPRODUCT((lmic_raw[[who_region]:[who_region]]=$A7)*lmic_raw[births]*(LEN(lmic_raw[m_4549])&gt;1)*(LEN(lmic_raw[bd_cov])&gt;interactive!$C$6))</f>
        <v>2.8048927139820382E-3</v>
      </c>
      <c r="AN7" s="33">
        <f>SUMPRODUCT((lmic_raw[[who_region]:[who_region]]=$A7)*lmic_raw[m_5054]*lmic_raw[births]*(LEN(lmic_raw[m_5054])&gt;1)*(LEN(lmic_raw[bd_cov])&gt;interactive!$C$6))/SUMPRODUCT((lmic_raw[[who_region]:[who_region]]=$A7)*lmic_raw[births]*(LEN(lmic_raw[m_5054])&gt;1)*(LEN(lmic_raw[bd_cov])&gt;interactive!$C$6))</f>
        <v>4.4671883657492542E-3</v>
      </c>
      <c r="AO7" s="33">
        <f>SUMPRODUCT((lmic_raw[[who_region]:[who_region]]=$A7)*lmic_raw[m_5559]*lmic_raw[births]*(LEN(lmic_raw[m_5559])&gt;1)*(LEN(lmic_raw[bd_cov])&gt;interactive!$C$6))/SUMPRODUCT((lmic_raw[[who_region]:[who_region]]=$A7)*lmic_raw[births]*(LEN(lmic_raw[m_5559])&gt;1)*(LEN(lmic_raw[bd_cov])&gt;interactive!$C$6))</f>
        <v>7.1493659984186823E-3</v>
      </c>
      <c r="AP7" s="33">
        <f>SUMPRODUCT((lmic_raw[[who_region]:[who_region]]=$A7)*lmic_raw[m_6064]*lmic_raw[births]*(LEN(lmic_raw[m_6064])&gt;1)*(LEN(lmic_raw[bd_cov])&gt;interactive!$C$6))/SUMPRODUCT((lmic_raw[[who_region]:[who_region]]=$A7)*lmic_raw[births]*(LEN(lmic_raw[m_6064])&gt;1)*(LEN(lmic_raw[bd_cov])&gt;interactive!$C$6))</f>
        <v>1.2122839216961992E-2</v>
      </c>
      <c r="AQ7" s="33">
        <f>SUMPRODUCT((lmic_raw[[who_region]:[who_region]]=$A7)*lmic_raw[m_6569]*lmic_raw[births]*(LEN(lmic_raw[m_6569])&gt;1)*(LEN(lmic_raw[bd_cov])&gt;interactive!$C$6))/SUMPRODUCT((lmic_raw[[who_region]:[who_region]]=$A7)*lmic_raw[births]*(LEN(lmic_raw[m_6569])&gt;1)*(LEN(lmic_raw[bd_cov])&gt;interactive!$C$6))</f>
        <v>2.0383567531551045E-2</v>
      </c>
      <c r="AR7" s="33">
        <f>SUMPRODUCT((lmic_raw[[who_region]:[who_region]]=$A7)*lmic_raw[m_7074]*lmic_raw[births]*(LEN(lmic_raw[m_7074])&gt;1)*(LEN(lmic_raw[bd_cov])&gt;interactive!$C$6))/SUMPRODUCT((lmic_raw[[who_region]:[who_region]]=$A7)*lmic_raw[births]*(LEN(lmic_raw[m_7074])&gt;1)*(LEN(lmic_raw[bd_cov])&gt;interactive!$C$6))</f>
        <v>3.4419302343702933E-2</v>
      </c>
      <c r="AS7" s="33">
        <f>SUMPRODUCT((lmic_raw[[who_region]:[who_region]]=$A7)*lmic_raw[m_7079]*lmic_raw[births]*(LEN(lmic_raw[m_7079])&gt;1)*(LEN(lmic_raw[bd_cov])&gt;interactive!$C$6))/SUMPRODUCT((lmic_raw[[who_region]:[who_region]]=$A7)*lmic_raw[births]*(LEN(lmic_raw[m_7079])&gt;1)*(LEN(lmic_raw[bd_cov])&gt;interactive!$C$6))</f>
        <v>5.3865001524097247E-2</v>
      </c>
      <c r="AT7" s="33">
        <f>SUMPRODUCT((lmic_raw[[who_region]:[who_region]]=$A7)*lmic_raw[m_8084]*lmic_raw[births]*(LEN(lmic_raw[m_8084])&gt;1)*(LEN(lmic_raw[bd_cov])&gt;interactive!$C$6))/SUMPRODUCT((lmic_raw[[who_region]:[who_region]]=$A7)*lmic_raw[births]*(LEN(lmic_raw[m_8084])&gt;1)*(LEN(lmic_raw[bd_cov])&gt;interactive!$C$6))</f>
        <v>7.6821618366979399E-2</v>
      </c>
      <c r="AU7" s="33">
        <f>SUMPRODUCT((lmic_raw[[who_region]:[who_region]]=$A7)*lmic_raw[m_8589]*lmic_raw[births]*(LEN(lmic_raw[m_8589])&gt;1)*(LEN(lmic_raw[bd_cov])&gt;interactive!$C$6))/SUMPRODUCT((lmic_raw[[who_region]:[who_region]]=$A7)*lmic_raw[births]*(LEN(lmic_raw[m_8589])&gt;1)*(LEN(lmic_raw[bd_cov])&gt;interactive!$C$6))</f>
        <v>0.10590462633893205</v>
      </c>
      <c r="AV7" s="33">
        <f>SUMPRODUCT((lmic_raw[[who_region]:[who_region]]=$A7)*lmic_raw[m_9094]*lmic_raw[births]*(LEN(lmic_raw[m_9094])&gt;1)*(LEN(lmic_raw[bd_cov])&gt;interactive!$C$6))/SUMPRODUCT((lmic_raw[[who_region]:[who_region]]=$A7)*lmic_raw[births]*(LEN(lmic_raw[m_9094])&gt;1)*(LEN(lmic_raw[bd_cov])&gt;interactive!$C$6))</f>
        <v>0.13211014586527225</v>
      </c>
      <c r="AW7" s="33">
        <f>SUMPRODUCT((lmic_raw[[who_region]:[who_region]]=$A7)*lmic_raw[m_95+]*lmic_raw[births]*(LEN(lmic_raw[m_95+])&gt;1)*(LEN(lmic_raw[bd_cov])&gt;interactive!$C$6))/SUMPRODUCT((lmic_raw[[who_region]:[who_region]]=$A7)*lmic_raw[births]*(LEN(lmic_raw[m_95+])&gt;1)*(LEN(lmic_raw[bd_cov])&gt;interactive!$C$6))</f>
        <v>0.15412931043049904</v>
      </c>
      <c r="AX7" s="33">
        <f>SUMPRODUCT((lmic_raw[[who_region]:[who_region]]=$A7)*lmic_raw[av_life]*lmic_raw[births]*(LEN(lmic_raw[av_life])&gt;1)*(LEN(lmic_raw[bd_cov])&gt;interactive!$C$6))/SUMPRODUCT((lmic_raw[[who_region]:[who_region]]=$A7)*lmic_raw[births]*(LEN(lmic_raw[av_life])&gt;1)*(LEN(lmic_raw[bd_cov])&gt;interactive!$C$6))</f>
        <v>75.587990106299117</v>
      </c>
    </row>
    <row r="8" spans="1:51" x14ac:dyDescent="0.25">
      <c r="A8" t="s">
        <v>705</v>
      </c>
      <c r="H8" s="117">
        <f>SUMPRODUCT(lmic_raw[pop]*(LEN(lmic_raw[bd_cov])&gt;interactive!$C$6))</f>
        <v>4643382379</v>
      </c>
      <c r="I8" s="117">
        <f>SUMPRODUCT(lmic_raw[births]*(LEN(lmic_raw[bd_cov])&gt;interactive!$C$6))</f>
        <v>76630736.398066014</v>
      </c>
      <c r="J8" s="33">
        <f>SUMPRODUCT(lmic_raw[fac_birth]*lmic_raw[births]*(LEN(lmic_raw[fac_birth])&gt;1)*(LEN(lmic_raw[bd_cov])&gt;interactive!$C$6))/SUMPRODUCT(lmic_raw[births]*(LEN(lmic_raw[fac_birth])&gt;1)*(LEN(lmic_raw[bd_cov])&gt;interactive!$C$6))</f>
        <v>0.87024170073761586</v>
      </c>
      <c r="K8" s="33">
        <f>SUMPRODUCT(lmic_raw[bd_cov]*lmic_raw[births]*(LEN(lmic_raw[bd_cov])&gt;interactive!$C$6))/SUMPRODUCT(lmic_raw[births]*(LEN(lmic_raw[bd_cov])&gt;interactive!$C$6))</f>
        <v>0.735758500756581</v>
      </c>
      <c r="L8" s="33">
        <f>SUMPRODUCT(lmic_raw[hbv3_cov]*lmic_raw[births]*(LEN(lmic_raw[hbv3_cov])&gt;1)*(LEN(lmic_raw[bd_cov])&gt;interactive!$C$6))/SUMPRODUCT(lmic_raw[births]*(LEN(lmic_raw[hbv3_cov])&gt;1)*(LEN(lmic_raw[bd_cov])&gt;interactive!$C$6))</f>
        <v>0.90723646384618173</v>
      </c>
      <c r="M8" s="33">
        <f>SUMPRODUCT(lmic_raw[hbv_prev]*lmic_raw[pop]*(LEN(lmic_raw[hbv_prev])&gt;1)*(LEN(lmic_raw[bd_cov])&gt;interactive!$C$6))/SUMPRODUCT(lmic_raw[pop]*(LEN(lmic_raw[hbv_prev])&gt;1)*(LEN(lmic_raw[bd_cov])&gt;interactive!$C$6))</f>
        <v>3.6326431073561045E-2</v>
      </c>
      <c r="N8" s="33">
        <f>SUMPRODUCT(lmic_raw[hbe_prev]*lmic_raw[pop]*(LEN(lmic_raw[hbe_prev])&gt;1)*(LEN(lmic_raw[bd_cov])&gt;interactive!$C$6))/SUMPRODUCT(lmic_raw[pop]*(LEN(lmic_raw[hbe_prev])&gt;1)*(LEN(lmic_raw[bd_cov])&gt;interactive!$C$6))</f>
        <v>0.30244057483059539</v>
      </c>
      <c r="O8" s="33">
        <f>SUMPRODUCT(lmic_raw[epos]*lmic_raw[pop]*(LEN(lmic_raw[epos])&gt;1)*(LEN(lmic_raw[bd_cov])&gt;interactive!$C$6))/SUMPRODUCT(lmic_raw[pop]*(LEN(lmic_raw[epos])&gt;1)*(LEN(lmic_raw[bd_cov])&gt;interactive!$C$6))</f>
        <v>0.79424285508428083</v>
      </c>
      <c r="P8" s="33">
        <f>SUMPRODUCT(lmic_raw[eneg]*lmic_raw[pop]*(LEN(lmic_raw[eneg])&gt;1)*(LEN(lmic_raw[bd_cov])&gt;interactive!$C$6))/SUMPRODUCT(lmic_raw[pop]*(LEN(lmic_raw[eneg])&gt;1)*(LEN(lmic_raw[bd_cov])&gt;interactive!$C$6))</f>
        <v>0.17324662492974496</v>
      </c>
      <c r="Q8" s="33">
        <f>SUMPRODUCT(lmic_raw[c_diag]*lmic_raw[births]*(LEN(lmic_raw[c_diag])&gt;1)*(LEN(lmic_raw[bd_cov])&gt;interactive!$C$6))/SUMPRODUCT(lmic_raw[births]*(LEN(lmic_raw[c_diag])&gt;1)*(LEN(lmic_raw[bd_cov])&gt;interactive!$C$6))</f>
        <v>6.1439261675930394</v>
      </c>
      <c r="R8" s="33">
        <f>SUMPRODUCT(lmic_raw[c_C]*lmic_raw[births]*(LEN(lmic_raw[c_C])&gt;1)*(LEN(lmic_raw[bd_cov])&gt;interactive!$C$6))/SUMPRODUCT(lmic_raw[births]*(LEN(lmic_raw[c_C])&gt;1)*(LEN(lmic_raw[bd_cov])&gt;interactive!$C$6))</f>
        <v>59.667392371894778</v>
      </c>
      <c r="S8" s="33">
        <f>SUMPRODUCT(lmic_raw[c_CC]*lmic_raw[births]*(LEN(lmic_raw[c_CC])&gt;1)*(LEN(lmic_raw[bd_cov])&gt;interactive!$C$6))/SUMPRODUCT(lmic_raw[births]*(LEN(lmic_raw[c_CC])&gt;1)*(LEN(lmic_raw[bd_cov])&gt;interactive!$C$6))</f>
        <v>107.40939237189475</v>
      </c>
      <c r="T8" s="33">
        <f>SUMPRODUCT(lmic_raw[c_DC]*lmic_raw[births]*(LEN(lmic_raw[c_DC])&gt;1)*(LEN(lmic_raw[bd_cov])&gt;interactive!$C$6))/SUMPRODUCT(lmic_raw[births]*(LEN(lmic_raw[c_DC])&gt;1)*(LEN(lmic_raw[bd_cov])&gt;interactive!$C$6))</f>
        <v>107.40939237189475</v>
      </c>
      <c r="U8" s="33">
        <f>SUMPRODUCT(lmic_raw[c_HCC]*lmic_raw[births]*(LEN(lmic_raw[c_HCC])&gt;1)*(LEN(lmic_raw[bd_cov])&gt;interactive!$C$6))/SUMPRODUCT(lmic_raw[births]*(LEN(lmic_raw[c_HCC])&gt;1)*(LEN(lmic_raw[bd_cov])&gt;interactive!$C$6))</f>
        <v>107.40939237189475</v>
      </c>
      <c r="V8" s="33">
        <f>SUMPRODUCT(lmic_raw[bl1_f]*lmic_raw[births]*(LEN(lmic_raw[bl1_f])&gt;1)*(LEN(lmic_raw[bd_cov])&gt;interactive!$C$6))/SUMPRODUCT(lmic_raw[births]*(LEN(lmic_raw[bl1_f])&gt;1)*(LEN(lmic_raw[bd_cov])&gt;interactive!$C$6))</f>
        <v>2.3926645102269331</v>
      </c>
      <c r="W8" s="33">
        <f>SUMPRODUCT(lmic_raw[bl1_c]*lmic_raw[births]*(LEN(lmic_raw[bl1_c])&gt;1)*(LEN(lmic_raw[bd_cov])&gt;interactive!$C$6))/SUMPRODUCT(lmic_raw[births]*(LEN(lmic_raw[bl1_c])&gt;1)*(LEN(lmic_raw[bd_cov])&gt;interactive!$C$6))</f>
        <v>3.7899487872740196</v>
      </c>
      <c r="X8" s="33">
        <f>SUMPRODUCT(lmic_raw[map_f]*lmic_raw[births]*(LEN(lmic_raw[map_f])&gt;1)*(LEN(lmic_raw[bd_cov])&gt;interactive!$C$6))/SUMPRODUCT(lmic_raw[births]*(LEN(lmic_raw[map_f])&gt;1)*(LEN(lmic_raw[bd_cov])&gt;interactive!$C$6))</f>
        <v>1.9580220848420329</v>
      </c>
      <c r="Y8" s="33">
        <f>SUMPRODUCT(lmic_raw[map_cq]*lmic_raw[births]*(LEN(lmic_raw[map_cq])&gt;1)*(LEN(lmic_raw[bd_cov])&gt;interactive!$C$6))/SUMPRODUCT(lmic_raw[births]*(LEN(lmic_raw[map_cq])&gt;1)*(LEN(lmic_raw[bd_cov])&gt;interactive!$C$6))</f>
        <v>3.3515609537316893</v>
      </c>
      <c r="Z8" s="33">
        <f>SUMPRODUCT(lmic_raw[map_cl]*lmic_raw[births]*(LEN(lmic_raw[map_cl])&gt;1)*(LEN(lmic_raw[bd_cov])&gt;interactive!$C$6))/SUMPRODUCT(lmic_raw[births]*(LEN(lmic_raw[map_cl])&gt;1)*(LEN(lmic_raw[bd_cov])&gt;interactive!$C$6))</f>
        <v>3.3432372539798396</v>
      </c>
      <c r="AA8" s="33">
        <f>SUMPRODUCT(lmic_raw[ctc_f]*lmic_raw[births]*(LEN(lmic_raw[ctc_f])&gt;1)*(LEN(lmic_raw[bd_cov])&gt;interactive!$C$6))/SUMPRODUCT(lmic_raw[births]*(LEN(lmic_raw[ctc_f])&gt;1)*(LEN(lmic_raw[bd_cov])&gt;interactive!$C$6))</f>
        <v>2.6389140725526818</v>
      </c>
      <c r="AB8" s="33">
        <f>SUMPRODUCT(lmic_raw[ctc_c]*lmic_raw[births]*(LEN(lmic_raw[ctc_c])&gt;1)*(LEN(lmic_raw[bd_cov])&gt;interactive!$C$6))/SUMPRODUCT(lmic_raw[births]*(LEN(lmic_raw[ctc_c])&gt;1)*(LEN(lmic_raw[bd_cov])&gt;interactive!$C$6))</f>
        <v>4.0361983495997675</v>
      </c>
      <c r="AC8" s="33">
        <f>SUMPRODUCT(lmic_raw[m_01]*lmic_raw[births]*(LEN(lmic_raw[m_01])&gt;1)*(LEN(lmic_raw[bd_cov])&gt;interactive!$C$6))/SUMPRODUCT(lmic_raw[births]*(LEN(lmic_raw[m_01])&gt;1)*(LEN(lmic_raw[bd_cov])&gt;interactive!$C$6))</f>
        <v>2.1751446064022493E-2</v>
      </c>
      <c r="AD8" s="33">
        <f>SUMPRODUCT(lmic_raw[m_14]*lmic_raw[births]*(LEN(lmic_raw[m_14])&gt;1)*(LEN(lmic_raw[bd_cov])&gt;interactive!$C$6))/SUMPRODUCT(lmic_raw[births]*(LEN(lmic_raw[m_14])&gt;1)*(LEN(lmic_raw[bd_cov])&gt;interactive!$C$6))</f>
        <v>1.3704328018310347E-3</v>
      </c>
      <c r="AE8" s="33">
        <f>SUMPRODUCT(lmic_raw[m_59]*lmic_raw[births]*(LEN(lmic_raw[m_59])&gt;1)*(LEN(lmic_raw[bd_cov])&gt;interactive!$C$6))/SUMPRODUCT(lmic_raw[births]*(LEN(lmic_raw[m_59])&gt;1)*(LEN(lmic_raw[bd_cov])&gt;interactive!$C$6))</f>
        <v>5.5839455725621636E-4</v>
      </c>
      <c r="AF8" s="33">
        <f>SUMPRODUCT(lmic_raw[m_1014]*lmic_raw[births]*(LEN(lmic_raw[m_1014])&gt;1)*(LEN(lmic_raw[bd_cov])&gt;interactive!$C$6))/SUMPRODUCT(lmic_raw[births]*(LEN(lmic_raw[m_1014])&gt;1)*(LEN(lmic_raw[bd_cov])&gt;interactive!$C$6))</f>
        <v>4.7171342687351658E-4</v>
      </c>
      <c r="AG8" s="33">
        <f>SUMPRODUCT(lmic_raw[m_1519]*lmic_raw[births]*(LEN(lmic_raw[m_1519])&gt;1)*(LEN(lmic_raw[bd_cov])&gt;interactive!$C$6))/SUMPRODUCT(lmic_raw[births]*(LEN(lmic_raw[m_1519])&gt;1)*(LEN(lmic_raw[bd_cov])&gt;interactive!$C$6))</f>
        <v>8.0687304519494907E-4</v>
      </c>
      <c r="AH8" s="33">
        <f>SUMPRODUCT(lmic_raw[m_2024]*lmic_raw[births]*(LEN(lmic_raw[m_2024])&gt;1)*(LEN(lmic_raw[bd_cov])&gt;interactive!$C$6))/SUMPRODUCT(lmic_raw[births]*(LEN(lmic_raw[m_2024])&gt;1)*(LEN(lmic_raw[bd_cov])&gt;interactive!$C$6))</f>
        <v>1.1627234410663014E-3</v>
      </c>
      <c r="AI8" s="33">
        <f>SUMPRODUCT(lmic_raw[m_2529]*lmic_raw[births]*(LEN(lmic_raw[m_2529])&gt;1)*(LEN(lmic_raw[bd_cov])&gt;interactive!$C$6))/SUMPRODUCT(lmic_raw[births]*(LEN(lmic_raw[m_2529])&gt;1)*(LEN(lmic_raw[bd_cov])&gt;interactive!$C$6))</f>
        <v>1.3378458811001222E-3</v>
      </c>
      <c r="AJ8" s="33">
        <f>SUMPRODUCT(lmic_raw[m_3034]*lmic_raw[births]*(LEN(lmic_raw[m_3034])&gt;1)*(LEN(lmic_raw[bd_cov])&gt;interactive!$C$6))/SUMPRODUCT(lmic_raw[births]*(LEN(lmic_raw[m_3034])&gt;1)*(LEN(lmic_raw[bd_cov])&gt;interactive!$C$6))</f>
        <v>1.6536539482918671E-3</v>
      </c>
      <c r="AK8" s="33">
        <f>SUMPRODUCT(lmic_raw[m_3539]*lmic_raw[births]*(LEN(lmic_raw[m_3539])&gt;1)*(LEN(lmic_raw[bd_cov])&gt;interactive!$C$6))/SUMPRODUCT(lmic_raw[births]*(LEN(lmic_raw[m_3539])&gt;1)*(LEN(lmic_raw[bd_cov])&gt;interactive!$C$6))</f>
        <v>2.1762031869478858E-3</v>
      </c>
      <c r="AL8" s="33">
        <f>SUMPRODUCT(lmic_raw[m_4044]*lmic_raw[births]*(LEN(lmic_raw[m_4044])&gt;1)*(LEN(lmic_raw[bd_cov])&gt;interactive!$C$6))/SUMPRODUCT(lmic_raw[births]*(LEN(lmic_raw[m_4044])&gt;1)*(LEN(lmic_raw[bd_cov])&gt;interactive!$C$6))</f>
        <v>2.9380573754062235E-3</v>
      </c>
      <c r="AM8" s="33">
        <f>SUMPRODUCT(lmic_raw[m_4549]*lmic_raw[births]*(LEN(lmic_raw[m_4549])&gt;1)*(LEN(lmic_raw[bd_cov])&gt;interactive!$C$6))/SUMPRODUCT(lmic_raw[births]*(LEN(lmic_raw[m_4549])&gt;1)*(LEN(lmic_raw[bd_cov])&gt;interactive!$C$6))</f>
        <v>4.2470305651046399E-3</v>
      </c>
      <c r="AN8" s="33">
        <f>SUMPRODUCT(lmic_raw[m_5054]*lmic_raw[births]*(LEN(lmic_raw[m_5054])&gt;1)*(LEN(lmic_raw[bd_cov])&gt;interactive!$C$6))/SUMPRODUCT(lmic_raw[births]*(LEN(lmic_raw[m_5054])&gt;1)*(LEN(lmic_raw[bd_cov])&gt;interactive!$C$6))</f>
        <v>6.6187512717657253E-3</v>
      </c>
      <c r="AO8" s="33">
        <f>SUMPRODUCT(lmic_raw[m_5559]*lmic_raw[births]*(LEN(lmic_raw[m_5559])&gt;1)*(LEN(lmic_raw[bd_cov])&gt;interactive!$C$6))/SUMPRODUCT(lmic_raw[births]*(LEN(lmic_raw[m_5559])&gt;1)*(LEN(lmic_raw[bd_cov])&gt;interactive!$C$6))</f>
        <v>9.9389589720851861E-3</v>
      </c>
      <c r="AP8" s="33">
        <f>SUMPRODUCT(lmic_raw[m_6064]*lmic_raw[births]*(LEN(lmic_raw[m_6064])&gt;1)*(LEN(lmic_raw[bd_cov])&gt;interactive!$C$6))/SUMPRODUCT(lmic_raw[births]*(LEN(lmic_raw[m_6064])&gt;1)*(LEN(lmic_raw[bd_cov])&gt;interactive!$C$6))</f>
        <v>1.5391348492350208E-2</v>
      </c>
      <c r="AQ8" s="33">
        <f>SUMPRODUCT(lmic_raw[m_6569]*lmic_raw[births]*(LEN(lmic_raw[m_6569])&gt;1)*(LEN(lmic_raw[bd_cov])&gt;interactive!$C$6))/SUMPRODUCT(lmic_raw[births]*(LEN(lmic_raw[m_6569])&gt;1)*(LEN(lmic_raw[bd_cov])&gt;interactive!$C$6))</f>
        <v>2.3860328830109571E-2</v>
      </c>
      <c r="AR8" s="33">
        <f>SUMPRODUCT(lmic_raw[m_7074]*lmic_raw[births]*(LEN(lmic_raw[m_7074])&gt;1)*(LEN(lmic_raw[bd_cov])&gt;interactive!$C$6))/SUMPRODUCT(lmic_raw[births]*(LEN(lmic_raw[m_7074])&gt;1)*(LEN(lmic_raw[bd_cov])&gt;interactive!$C$6))</f>
        <v>3.7798154811370159E-2</v>
      </c>
      <c r="AS8" s="33">
        <f>SUMPRODUCT(lmic_raw[m_7079]*lmic_raw[births]*(LEN(lmic_raw[m_7079])&gt;1)*(LEN(lmic_raw[bd_cov])&gt;interactive!$C$6))/SUMPRODUCT(lmic_raw[births]*(LEN(lmic_raw[m_7079])&gt;1)*(LEN(lmic_raw[bd_cov])&gt;interactive!$C$6))</f>
        <v>5.7043245817047207E-2</v>
      </c>
      <c r="AT8" s="33">
        <f>SUMPRODUCT(lmic_raw[m_8084]*lmic_raw[births]*(LEN(lmic_raw[m_8084])&gt;1)*(LEN(lmic_raw[bd_cov])&gt;interactive!$C$6))/SUMPRODUCT(lmic_raw[births]*(LEN(lmic_raw[m_8084])&gt;1)*(LEN(lmic_raw[bd_cov])&gt;interactive!$C$6))</f>
        <v>8.2515077291055311E-2</v>
      </c>
      <c r="AU8" s="33">
        <f>SUMPRODUCT(lmic_raw[m_8589]*lmic_raw[births]*(LEN(lmic_raw[m_8589])&gt;1)*(LEN(lmic_raw[bd_cov])&gt;interactive!$C$6))/SUMPRODUCT(lmic_raw[births]*(LEN(lmic_raw[m_8589])&gt;1)*(LEN(lmic_raw[bd_cov])&gt;interactive!$C$6))</f>
        <v>0.11269975286353452</v>
      </c>
      <c r="AV8" s="33">
        <f>SUMPRODUCT(lmic_raw[m_9094]*lmic_raw[births]*(LEN(lmic_raw[m_9094])&gt;1)*(LEN(lmic_raw[bd_cov])&gt;interactive!$C$6))/SUMPRODUCT(lmic_raw[births]*(LEN(lmic_raw[m_9094])&gt;1)*(LEN(lmic_raw[bd_cov])&gt;interactive!$C$6))</f>
        <v>0.14015154593172402</v>
      </c>
      <c r="AW8" s="33">
        <f>SUMPRODUCT(lmic_raw[m_95+]*lmic_raw[births]*(LEN(lmic_raw[m_95+])&gt;1)*(LEN(lmic_raw[bd_cov])&gt;interactive!$C$6))/SUMPRODUCT(lmic_raw[births]*(LEN(lmic_raw[m_95+])&gt;1)*(LEN(lmic_raw[bd_cov])&gt;interactive!$C$6))</f>
        <v>0.15398161355075785</v>
      </c>
      <c r="AX8" s="33">
        <f>SUMPRODUCT(lmic_raw[av_life]*lmic_raw[births]*(LEN(lmic_raw[av_life])&gt;1)*(LEN(lmic_raw[bd_cov])&gt;interactive!$C$6))/SUMPRODUCT(lmic_raw[births]*(LEN(lmic_raw[av_life])&gt;1)*(LEN(lmic_raw[bd_cov])&gt;interactive!$C$6))</f>
        <v>72.319510975703977</v>
      </c>
    </row>
    <row r="10" spans="1:51" x14ac:dyDescent="0.25">
      <c r="A10" s="79" t="s">
        <v>668</v>
      </c>
      <c r="B10" s="80" t="s">
        <v>571</v>
      </c>
      <c r="C10" s="80" t="s">
        <v>669</v>
      </c>
      <c r="D10" s="80" t="s">
        <v>670</v>
      </c>
      <c r="E10" s="80" t="s">
        <v>575</v>
      </c>
      <c r="F10" s="80" t="s">
        <v>671</v>
      </c>
      <c r="G10" s="80" t="s">
        <v>672</v>
      </c>
      <c r="H10" s="80" t="s">
        <v>685</v>
      </c>
      <c r="I10" s="80" t="s">
        <v>686</v>
      </c>
      <c r="J10" s="80" t="s">
        <v>687</v>
      </c>
      <c r="K10" s="80" t="s">
        <v>688</v>
      </c>
      <c r="L10" s="80" t="s">
        <v>689</v>
      </c>
      <c r="M10" s="80" t="s">
        <v>690</v>
      </c>
      <c r="N10" s="80" t="s">
        <v>691</v>
      </c>
      <c r="O10" s="80" t="s">
        <v>657</v>
      </c>
      <c r="P10" s="80" t="s">
        <v>660</v>
      </c>
      <c r="Q10" s="80" t="s">
        <v>692</v>
      </c>
      <c r="R10" s="80" t="s">
        <v>693</v>
      </c>
      <c r="S10" s="80" t="s">
        <v>694</v>
      </c>
      <c r="T10" s="80" t="s">
        <v>695</v>
      </c>
      <c r="U10" s="80" t="s">
        <v>696</v>
      </c>
      <c r="V10" s="80" t="s">
        <v>697</v>
      </c>
      <c r="W10" s="80" t="s">
        <v>698</v>
      </c>
      <c r="X10" s="80" t="s">
        <v>699</v>
      </c>
      <c r="Y10" s="80" t="s">
        <v>700</v>
      </c>
      <c r="Z10" s="80" t="s">
        <v>701</v>
      </c>
      <c r="AA10" s="80" t="s">
        <v>702</v>
      </c>
      <c r="AB10" s="80" t="s">
        <v>703</v>
      </c>
      <c r="AC10" s="80" t="s">
        <v>544</v>
      </c>
      <c r="AD10" s="80" t="s">
        <v>545</v>
      </c>
      <c r="AE10" s="80" t="s">
        <v>546</v>
      </c>
      <c r="AF10" s="80" t="s">
        <v>547</v>
      </c>
      <c r="AG10" s="80" t="s">
        <v>548</v>
      </c>
      <c r="AH10" s="80" t="s">
        <v>549</v>
      </c>
      <c r="AI10" s="80" t="s">
        <v>550</v>
      </c>
      <c r="AJ10" s="80" t="s">
        <v>551</v>
      </c>
      <c r="AK10" s="80" t="s">
        <v>552</v>
      </c>
      <c r="AL10" s="80" t="s">
        <v>553</v>
      </c>
      <c r="AM10" s="80" t="s">
        <v>554</v>
      </c>
      <c r="AN10" s="80" t="s">
        <v>555</v>
      </c>
      <c r="AO10" s="80" t="s">
        <v>556</v>
      </c>
      <c r="AP10" s="80" t="s">
        <v>557</v>
      </c>
      <c r="AQ10" s="80" t="s">
        <v>558</v>
      </c>
      <c r="AR10" s="80" t="s">
        <v>559</v>
      </c>
      <c r="AS10" s="80" t="s">
        <v>560</v>
      </c>
      <c r="AT10" s="80" t="s">
        <v>561</v>
      </c>
      <c r="AU10" s="80" t="s">
        <v>562</v>
      </c>
      <c r="AV10" s="80" t="s">
        <v>563</v>
      </c>
      <c r="AW10" s="80" t="s">
        <v>564</v>
      </c>
      <c r="AX10" s="85" t="s">
        <v>704</v>
      </c>
      <c r="AY10" s="108" t="s">
        <v>725</v>
      </c>
    </row>
    <row r="11" spans="1:51" x14ac:dyDescent="0.25">
      <c r="A11" s="33" t="s">
        <v>677</v>
      </c>
      <c r="J11" s="33">
        <f>SUMPRODUCT((lmic_raw_lb[[who_region]:[who_region]]=$A11)*lmic_raw_lb[fac_birth]*lmic_raw_lb[births]*(LEN(lmic_raw_lb[fac_birth])&gt;1)*(LEN(lmic_raw_lb[bd_cov])&gt;interactive!$C$6))/SUMPRODUCT((lmic_raw_lb[[who_region]:[who_region]]=$A11)*lmic_raw_lb[births]*(LEN(lmic_raw_lb[fac_birth])&gt;1)*(LEN(lmic_raw_lb[bd_cov])&gt;interactive!$C$6))</f>
        <v>0.79588612494055788</v>
      </c>
      <c r="K11" s="33">
        <f>SUMPRODUCT((lmic_raw_lb[[who_region]:[who_region]]=$A11)*lmic_raw_lb[bd_cov]*lmic_raw_lb[births]*(LEN(lmic_raw_lb[bd_cov])&gt;interactive!$C$6))/SUMPRODUCT((lmic_raw_lb[[who_region]:[who_region]]=$A11)*lmic_raw_lb[births]*(LEN(lmic_raw_lb[bd_cov])&gt;interactive!$C$6))</f>
        <v>0.65789974195504752</v>
      </c>
      <c r="L11" s="33">
        <f>SUMPRODUCT((lmic_raw_lb[[who_region]:[who_region]]=$A11)*lmic_raw_lb[hbv3_cov]*lmic_raw_lb[births]*(LEN(lmic_raw_lb[hbv3_cov])&gt;1)*(LEN(lmic_raw_lb[bd_cov])&gt;interactive!$C$6))/SUMPRODUCT((lmic_raw_lb[[who_region]:[who_region]]=$A11)*lmic_raw_lb[births]*(LEN(lmic_raw_lb[hbv3_cov])&gt;1)*(LEN(lmic_raw_lb[bd_cov])&gt;interactive!$C$6))</f>
        <v>0.8429313934240058</v>
      </c>
      <c r="M11" s="33">
        <f>SUMPRODUCT((lmic_raw_lb[[who_region]:[who_region]]=$A11)*lmic_raw_lb[hbv_prev]*lmic_raw_lb[pop]*(LEN(lmic_raw_lb[hbv_prev])&gt;1)*(LEN(lmic_raw_lb[bd_cov])&gt;interactive!$C$6))/SUMPRODUCT((lmic_raw_lb[[who_region]:[who_region]]=$A11)*lmic_raw_lb[pop]*(LEN(lmic_raw_lb[hbv_prev])&gt;1)*(LEN(lmic_raw_lb[bd_cov])&gt;interactive!$C$6))</f>
        <v>3.1838453976150941E-2</v>
      </c>
      <c r="N11" s="33">
        <f>SUMPRODUCT((lmic_raw_lb[[who_region]:[who_region]]=$A11)*lmic_raw_lb[hbe_prev]*lmic_raw_lb[pop]*(LEN(lmic_raw_lb[hbe_prev])&gt;1)*(LEN(lmic_raw_lb[bd_cov])&gt;interactive!$C$6))/SUMPRODUCT((lmic_raw_lb[[who_region]:[who_region]]=$A11)*lmic_raw_lb[pop]*(LEN(lmic_raw_lb[hbe_prev])&gt;1)*(LEN(lmic_raw_lb[bd_cov])&gt;interactive!$C$6))</f>
        <v>0.15289671770506069</v>
      </c>
      <c r="O11" s="33">
        <f>SUMPRODUCT((lmic_raw_lb[[who_region]:[who_region]]=$A11)*lmic_raw_lb[epos]*lmic_raw_lb[pop]*(LEN(lmic_raw_lb[epos])&gt;1)*(LEN(lmic_raw_lb[bd_cov])&gt;interactive!$C$6))/SUMPRODUCT((lmic_raw_lb[[who_region]:[who_region]]=$A11)*lmic_raw_lb[pop]*(LEN(lmic_raw_lb[epos])&gt;1)*(LEN(lmic_raw_lb[bd_cov])&gt;interactive!$C$6))</f>
        <v>0.32543191417757461</v>
      </c>
      <c r="P11" s="33">
        <f>SUMPRODUCT((lmic_raw_lb[[who_region]:[who_region]]=$A11)*lmic_raw_lb[eneg]*lmic_raw_lb[pop]*(LEN(lmic_raw_lb[eneg])&gt;1)*(LEN(lmic_raw_lb[bd_cov])&gt;interactive!$C$6))/SUMPRODUCT((lmic_raw_lb[[who_region]:[who_region]]=$A11)*lmic_raw_lb[pop]*(LEN(lmic_raw_lb[eneg])&gt;1)*(LEN(lmic_raw_lb[bd_cov])&gt;interactive!$C$6))</f>
        <v>2.0866926658255812E-2</v>
      </c>
      <c r="Q11" s="33">
        <f>SUMPRODUCT((lmic_raw_lb[[who_region]:[who_region]]=$A11)*lmic_raw_lb[c_diag]*lmic_raw_lb[births]*(LEN(lmic_raw_lb[c_diag])&gt;1)*(LEN(lmic_raw_lb[bd_cov])&gt;interactive!$C$6))/SUMPRODUCT((lmic_raw_lb[[who_region]:[who_region]]=$A11)*lmic_raw_lb[births]*(LEN(lmic_raw_lb[c_diag])&gt;1)*(LEN(lmic_raw_lb[bd_cov])&gt;interactive!$C$6))</f>
        <v>4.4249775953899046</v>
      </c>
      <c r="R11" s="33">
        <f>SUMPRODUCT((lmic_raw_lb[[who_region]:[who_region]]=$A11)*lmic_raw_lb[c_C]*lmic_raw_lb[births]*(LEN(lmic_raw_lb[c_C])&gt;1)*(LEN(lmic_raw_lb[bd_cov])&gt;interactive!$C$6))/SUMPRODUCT((lmic_raw_lb[[who_region]:[who_region]]=$A11)*lmic_raw_lb[births]*(LEN(lmic_raw_lb[c_C])&gt;1)*(LEN(lmic_raw_lb[bd_cov])&gt;interactive!$C$6))</f>
        <v>33.463316825148055</v>
      </c>
      <c r="S11" s="33">
        <f>SUMPRODUCT((lmic_raw_lb[[who_region]:[who_region]]=$A11)*lmic_raw_lb[c_CC]*lmic_raw_lb[births]*(LEN(lmic_raw_lb[c_CC])&gt;1)*(LEN(lmic_raw_lb[bd_cov])&gt;interactive!$C$6))/SUMPRODUCT((lmic_raw_lb[[who_region]:[who_region]]=$A11)*lmic_raw_lb[births]*(LEN(lmic_raw_lb[c_CC])&gt;1)*(LEN(lmic_raw_lb[bd_cov])&gt;interactive!$C$6))</f>
        <v>78.818216825148056</v>
      </c>
      <c r="T11" s="33">
        <f>SUMPRODUCT((lmic_raw_lb[[who_region]:[who_region]]=$A11)*lmic_raw_lb[c_DC]*lmic_raw_lb[births]*(LEN(lmic_raw_lb[c_DC])&gt;1)*(LEN(lmic_raw_lb[bd_cov])&gt;interactive!$C$6))/SUMPRODUCT((lmic_raw_lb[[who_region]:[who_region]]=$A11)*lmic_raw_lb[births]*(LEN(lmic_raw_lb[c_DC])&gt;1)*(LEN(lmic_raw_lb[bd_cov])&gt;interactive!$C$6))</f>
        <v>78.818216825148056</v>
      </c>
      <c r="U11" s="33">
        <f>SUMPRODUCT((lmic_raw_lb[[who_region]:[who_region]]=$A11)*lmic_raw_lb[c_HCC]*lmic_raw_lb[births]*(LEN(lmic_raw_lb[c_HCC])&gt;1)*(LEN(lmic_raw_lb[bd_cov])&gt;interactive!$C$6))/SUMPRODUCT((lmic_raw_lb[[who_region]:[who_region]]=$A11)*lmic_raw_lb[births]*(LEN(lmic_raw_lb[c_HCC])&gt;1)*(LEN(lmic_raw_lb[bd_cov])&gt;interactive!$C$6))</f>
        <v>78.818216825148056</v>
      </c>
      <c r="V11" s="33">
        <f>SUMPRODUCT((lmic_raw_lb[[who_region]:[who_region]]=$A11)*lmic_raw_lb[bl1_f]*lmic_raw_lb[births]*(LEN(lmic_raw_lb[bl1_f])&gt;1)*(LEN(lmic_raw_lb[bd_cov])&gt;interactive!$C$6))/SUMPRODUCT((lmic_raw_lb[[who_region]:[who_region]]=$A11)*lmic_raw_lb[births]*(LEN(lmic_raw_lb[bl1_f])&gt;1)*(LEN(lmic_raw_lb[bd_cov])&gt;interactive!$C$6))</f>
        <v>1.2381563728713176</v>
      </c>
      <c r="W11" s="33">
        <f>SUMPRODUCT((lmic_raw_lb[[who_region]:[who_region]]=$A11)*lmic_raw_lb[bl1_c]*lmic_raw_lb[births]*(LEN(lmic_raw_lb[bl1_c])&gt;1)*(LEN(lmic_raw_lb[bd_cov])&gt;interactive!$C$6))/SUMPRODUCT((lmic_raw_lb[[who_region]:[who_region]]=$A11)*lmic_raw_lb[births]*(LEN(lmic_raw_lb[bl1_c])&gt;1)*(LEN(lmic_raw_lb[bd_cov])&gt;interactive!$C$6))</f>
        <v>4.4904294152125699</v>
      </c>
      <c r="X11" s="33">
        <f>SUMPRODUCT((lmic_raw_lb[[who_region]:[who_region]]=$A11)*lmic_raw_lb[map_f]*lmic_raw_lb[births]*(LEN(lmic_raw_lb[map_f])&gt;1)*(LEN(lmic_raw_lb[bd_cov])&gt;interactive!$C$6))/SUMPRODUCT((lmic_raw_lb[[who_region]:[who_region]]=$A11)*lmic_raw_lb[births]*(LEN(lmic_raw_lb[map_f])&gt;1)*(LEN(lmic_raw_lb[bd_cov])&gt;interactive!$C$6))</f>
        <v>0.87149055109202767</v>
      </c>
      <c r="Y11" s="33">
        <f>SUMPRODUCT((lmic_raw_lb[[who_region]:[who_region]]=$A11)*lmic_raw_lb[map_cq]*lmic_raw_lb[births]*(LEN(lmic_raw_lb[map_cq])&gt;1)*(LEN(lmic_raw_lb[bd_cov])&gt;interactive!$C$6))/SUMPRODUCT((lmic_raw_lb[[who_region]:[who_region]]=$A11)*lmic_raw_lb[births]*(LEN(lmic_raw_lb[map_cq])&gt;1)*(LEN(lmic_raw_lb[bd_cov])&gt;interactive!$C$6))</f>
        <v>4.1237635934332797</v>
      </c>
      <c r="Z11" s="33">
        <f>SUMPRODUCT((lmic_raw_lb[[who_region]:[who_region]]=$A11)*lmic_raw_lb[map_cl]*lmic_raw_lb[births]*(LEN(lmic_raw_lb[map_cl])&gt;1)*(LEN(lmic_raw_lb[bd_cov])&gt;interactive!$C$6))/SUMPRODUCT((lmic_raw_lb[[who_region]:[who_region]]=$A11)*lmic_raw_lb[births]*(LEN(lmic_raw_lb[map_cl])&gt;1)*(LEN(lmic_raw_lb[bd_cov])&gt;interactive!$C$6))</f>
        <v>4.1206756710212442</v>
      </c>
      <c r="AA11" s="33">
        <f>SUMPRODUCT((lmic_raw_lb[[who_region]:[who_region]]=$A11)*lmic_raw_lb[ctc_f]*lmic_raw_lb[births]*(LEN(lmic_raw_lb[ctc_f])&gt;1)*(LEN(lmic_raw_lb[bd_cov])&gt;interactive!$C$6))/SUMPRODUCT((lmic_raw_lb[[who_region]:[who_region]]=$A11)*lmic_raw_lb[births]*(LEN(lmic_raw_lb[ctc_f])&gt;1)*(LEN(lmic_raw_lb[bd_cov])&gt;interactive!$C$6))</f>
        <v>1.4499403995837972</v>
      </c>
      <c r="AB11" s="33">
        <f>SUMPRODUCT((lmic_raw_lb[[who_region]:[who_region]]=$A11)*lmic_raw_lb[ctc_c]*lmic_raw_lb[births]*(LEN(lmic_raw_lb[ctc_c])&gt;1)*(LEN(lmic_raw_lb[bd_cov])&gt;interactive!$C$6))/SUMPRODUCT((lmic_raw_lb[[who_region]:[who_region]]=$A11)*lmic_raw_lb[births]*(LEN(lmic_raw_lb[ctc_c])&gt;1)*(LEN(lmic_raw_lb[bd_cov])&gt;interactive!$C$6))</f>
        <v>4.702213441925049</v>
      </c>
      <c r="AC11" s="33">
        <f>SUMPRODUCT((lmic_raw_lb[[who_region]:[who_region]]=$A11)*lmic_raw_lb[m_01]*lmic_raw_lb[births]*(LEN(lmic_raw_lb[m_01])&gt;1)*(LEN(lmic_raw_lb[bd_cov])&gt;interactive!$C$6))/SUMPRODUCT((lmic_raw_lb[[who_region]:[who_region]]=$A11)*lmic_raw_lb[births]*(LEN(lmic_raw_lb[m_01])&gt;1)*(LEN(lmic_raw_lb[bd_cov])&gt;interactive!$C$6))</f>
        <v>3.7329546825344645E-2</v>
      </c>
      <c r="AD11" s="33">
        <f>SUMPRODUCT((lmic_raw_lb[[who_region]:[who_region]]=$A11)*lmic_raw_lb[m_14]*lmic_raw_lb[births]*(LEN(lmic_raw_lb[m_14])&gt;1)*(LEN(lmic_raw_lb[bd_cov])&gt;interactive!$C$6))/SUMPRODUCT((lmic_raw_lb[[who_region]:[who_region]]=$A11)*lmic_raw_lb[births]*(LEN(lmic_raw_lb[m_14])&gt;1)*(LEN(lmic_raw_lb[bd_cov])&gt;interactive!$C$6))</f>
        <v>3.4651936314715769E-3</v>
      </c>
      <c r="AE11" s="33">
        <f>SUMPRODUCT((lmic_raw_lb[[who_region]:[who_region]]=$A11)*lmic_raw_lb[m_59]*lmic_raw_lb[births]*(LEN(lmic_raw_lb[m_59])&gt;1)*(LEN(lmic_raw_lb[bd_cov])&gt;interactive!$C$6))/SUMPRODUCT((lmic_raw_lb[[who_region]:[who_region]]=$A11)*lmic_raw_lb[births]*(LEN(lmic_raw_lb[m_59])&gt;1)*(LEN(lmic_raw_lb[bd_cov])&gt;interactive!$C$6))</f>
        <v>1.2722139338780252E-3</v>
      </c>
      <c r="AF11" s="33">
        <f>SUMPRODUCT((lmic_raw_lb[[who_region]:[who_region]]=$A11)*lmic_raw_lb[m_1014]*lmic_raw_lb[births]*(LEN(lmic_raw_lb[m_1014])&gt;1)*(LEN(lmic_raw_lb[bd_cov])&gt;interactive!$C$6))/SUMPRODUCT((lmic_raw_lb[[who_region]:[who_region]]=$A11)*lmic_raw_lb[births]*(LEN(lmic_raw_lb[m_1014])&gt;1)*(LEN(lmic_raw_lb[bd_cov])&gt;interactive!$C$6))</f>
        <v>9.5244976476999588E-4</v>
      </c>
      <c r="AG11" s="33">
        <f>SUMPRODUCT((lmic_raw_lb[[who_region]:[who_region]]=$A11)*lmic_raw_lb[m_1519]*lmic_raw_lb[births]*(LEN(lmic_raw_lb[m_1519])&gt;1)*(LEN(lmic_raw_lb[bd_cov])&gt;interactive!$C$6))/SUMPRODUCT((lmic_raw_lb[[who_region]:[who_region]]=$A11)*lmic_raw_lb[births]*(LEN(lmic_raw_lb[m_1519])&gt;1)*(LEN(lmic_raw_lb[bd_cov])&gt;interactive!$C$6))</f>
        <v>1.4583944481438766E-3</v>
      </c>
      <c r="AH11" s="33">
        <f>SUMPRODUCT((lmic_raw_lb[[who_region]:[who_region]]=$A11)*lmic_raw_lb[m_2024]*lmic_raw_lb[births]*(LEN(lmic_raw_lb[m_2024])&gt;1)*(LEN(lmic_raw_lb[bd_cov])&gt;interactive!$C$6))/SUMPRODUCT((lmic_raw_lb[[who_region]:[who_region]]=$A11)*lmic_raw_lb[births]*(LEN(lmic_raw_lb[m_2024])&gt;1)*(LEN(lmic_raw_lb[bd_cov])&gt;interactive!$C$6))</f>
        <v>2.1642121453855265E-3</v>
      </c>
      <c r="AI11" s="33">
        <f>SUMPRODUCT((lmic_raw_lb[[who_region]:[who_region]]=$A11)*lmic_raw_lb[m_2529]*lmic_raw_lb[births]*(LEN(lmic_raw_lb[m_2529])&gt;1)*(LEN(lmic_raw_lb[bd_cov])&gt;interactive!$C$6))/SUMPRODUCT((lmic_raw_lb[[who_region]:[who_region]]=$A11)*lmic_raw_lb[births]*(LEN(lmic_raw_lb[m_2529])&gt;1)*(LEN(lmic_raw_lb[bd_cov])&gt;interactive!$C$6))</f>
        <v>2.7493334475157004E-3</v>
      </c>
      <c r="AJ11" s="33">
        <f>SUMPRODUCT((lmic_raw_lb[[who_region]:[who_region]]=$A11)*lmic_raw_lb[m_3034]*lmic_raw_lb[births]*(LEN(lmic_raw_lb[m_3034])&gt;1)*(LEN(lmic_raw_lb[bd_cov])&gt;interactive!$C$6))/SUMPRODUCT((lmic_raw_lb[[who_region]:[who_region]]=$A11)*lmic_raw_lb[births]*(LEN(lmic_raw_lb[m_3034])&gt;1)*(LEN(lmic_raw_lb[bd_cov])&gt;interactive!$C$6))</f>
        <v>3.4073777186103224E-3</v>
      </c>
      <c r="AK11" s="33">
        <f>SUMPRODUCT((lmic_raw_lb[[who_region]:[who_region]]=$A11)*lmic_raw_lb[m_3539]*lmic_raw_lb[births]*(LEN(lmic_raw_lb[m_3539])&gt;1)*(LEN(lmic_raw_lb[bd_cov])&gt;interactive!$C$6))/SUMPRODUCT((lmic_raw_lb[[who_region]:[who_region]]=$A11)*lmic_raw_lb[births]*(LEN(lmic_raw_lb[m_3539])&gt;1)*(LEN(lmic_raw_lb[bd_cov])&gt;interactive!$C$6))</f>
        <v>4.3638106288259905E-3</v>
      </c>
      <c r="AL11" s="33">
        <f>SUMPRODUCT((lmic_raw_lb[[who_region]:[who_region]]=$A11)*lmic_raw_lb[m_4044]*lmic_raw_lb[births]*(LEN(lmic_raw_lb[m_4044])&gt;1)*(LEN(lmic_raw_lb[bd_cov])&gt;interactive!$C$6))/SUMPRODUCT((lmic_raw_lb[[who_region]:[who_region]]=$A11)*lmic_raw_lb[births]*(LEN(lmic_raw_lb[m_4044])&gt;1)*(LEN(lmic_raw_lb[bd_cov])&gt;interactive!$C$6))</f>
        <v>5.432007946947379E-3</v>
      </c>
      <c r="AM11" s="33">
        <f>SUMPRODUCT((lmic_raw_lb[[who_region]:[who_region]]=$A11)*lmic_raw_lb[m_4549]*lmic_raw_lb[births]*(LEN(lmic_raw_lb[m_4549])&gt;1)*(LEN(lmic_raw_lb[bd_cov])&gt;interactive!$C$6))/SUMPRODUCT((lmic_raw_lb[[who_region]:[who_region]]=$A11)*lmic_raw_lb[births]*(LEN(lmic_raw_lb[m_4549])&gt;1)*(LEN(lmic_raw_lb[bd_cov])&gt;interactive!$C$6))</f>
        <v>6.8140949939979618E-3</v>
      </c>
      <c r="AN11" s="33">
        <f>SUMPRODUCT((lmic_raw_lb[[who_region]:[who_region]]=$A11)*lmic_raw_lb[m_5054]*lmic_raw_lb[births]*(LEN(lmic_raw_lb[m_5054])&gt;1)*(LEN(lmic_raw_lb[bd_cov])&gt;interactive!$C$6))/SUMPRODUCT((lmic_raw_lb[[who_region]:[who_region]]=$A11)*lmic_raw_lb[births]*(LEN(lmic_raw_lb[m_5054])&gt;1)*(LEN(lmic_raw_lb[bd_cov])&gt;interactive!$C$6))</f>
        <v>9.1744500247118894E-3</v>
      </c>
      <c r="AO11" s="33">
        <f>SUMPRODUCT((lmic_raw_lb[[who_region]:[who_region]]=$A11)*lmic_raw_lb[m_5559]*lmic_raw_lb[births]*(LEN(lmic_raw_lb[m_5559])&gt;1)*(LEN(lmic_raw_lb[bd_cov])&gt;interactive!$C$6))/SUMPRODUCT((lmic_raw_lb[[who_region]:[who_region]]=$A11)*lmic_raw_lb[births]*(LEN(lmic_raw_lb[m_5559])&gt;1)*(LEN(lmic_raw_lb[bd_cov])&gt;interactive!$C$6))</f>
        <v>1.2216808585809397E-2</v>
      </c>
      <c r="AP11" s="33">
        <f>SUMPRODUCT((lmic_raw_lb[[who_region]:[who_region]]=$A11)*lmic_raw_lb[m_6064]*lmic_raw_lb[births]*(LEN(lmic_raw_lb[m_6064])&gt;1)*(LEN(lmic_raw_lb[bd_cov])&gt;interactive!$C$6))/SUMPRODUCT((lmic_raw_lb[[who_region]:[who_region]]=$A11)*lmic_raw_lb[births]*(LEN(lmic_raw_lb[m_6064])&gt;1)*(LEN(lmic_raw_lb[bd_cov])&gt;interactive!$C$6))</f>
        <v>1.7779192873445548E-2</v>
      </c>
      <c r="AQ11" s="33">
        <f>SUMPRODUCT((lmic_raw_lb[[who_region]:[who_region]]=$A11)*lmic_raw_lb[m_6569]*lmic_raw_lb[births]*(LEN(lmic_raw_lb[m_6569])&gt;1)*(LEN(lmic_raw_lb[bd_cov])&gt;interactive!$C$6))/SUMPRODUCT((lmic_raw_lb[[who_region]:[who_region]]=$A11)*lmic_raw_lb[births]*(LEN(lmic_raw_lb[m_6569])&gt;1)*(LEN(lmic_raw_lb[bd_cov])&gt;interactive!$C$6))</f>
        <v>2.6430273856327936E-2</v>
      </c>
      <c r="AR11" s="33">
        <f>SUMPRODUCT((lmic_raw_lb[[who_region]:[who_region]]=$A11)*lmic_raw_lb[m_7074]*lmic_raw_lb[births]*(LEN(lmic_raw_lb[m_7074])&gt;1)*(LEN(lmic_raw_lb[bd_cov])&gt;interactive!$C$6))/SUMPRODUCT((lmic_raw_lb[[who_region]:[who_region]]=$A11)*lmic_raw_lb[births]*(LEN(lmic_raw_lb[m_7074])&gt;1)*(LEN(lmic_raw_lb[bd_cov])&gt;interactive!$C$6))</f>
        <v>4.0610051518676027E-2</v>
      </c>
      <c r="AS11" s="33">
        <f>SUMPRODUCT((lmic_raw_lb[[who_region]:[who_region]]=$A11)*lmic_raw_lb[m_7079]*lmic_raw_lb[births]*(LEN(lmic_raw_lb[m_7079])&gt;1)*(LEN(lmic_raw_lb[bd_cov])&gt;interactive!$C$6))/SUMPRODUCT((lmic_raw_lb[[who_region]:[who_region]]=$A11)*lmic_raw_lb[births]*(LEN(lmic_raw_lb[m_7079])&gt;1)*(LEN(lmic_raw_lb[bd_cov])&gt;interactive!$C$6))</f>
        <v>6.2135317990085273E-2</v>
      </c>
      <c r="AT11" s="33">
        <f>SUMPRODUCT((lmic_raw_lb[[who_region]:[who_region]]=$A11)*lmic_raw_lb[m_8084]*lmic_raw_lb[births]*(LEN(lmic_raw_lb[m_8084])&gt;1)*(LEN(lmic_raw_lb[bd_cov])&gt;interactive!$C$6))/SUMPRODUCT((lmic_raw_lb[[who_region]:[who_region]]=$A11)*lmic_raw_lb[births]*(LEN(lmic_raw_lb[m_8084])&gt;1)*(LEN(lmic_raw_lb[bd_cov])&gt;interactive!$C$6))</f>
        <v>9.276374069272289E-2</v>
      </c>
      <c r="AU11" s="33">
        <f>SUMPRODUCT((lmic_raw_lb[[who_region]:[who_region]]=$A11)*lmic_raw_lb[m_8589]*lmic_raw_lb[births]*(LEN(lmic_raw_lb[m_8589])&gt;1)*(LEN(lmic_raw_lb[bd_cov])&gt;interactive!$C$6))/SUMPRODUCT((lmic_raw_lb[[who_region]:[who_region]]=$A11)*lmic_raw_lb[births]*(LEN(lmic_raw_lb[m_8589])&gt;1)*(LEN(lmic_raw_lb[bd_cov])&gt;interactive!$C$6))</f>
        <v>0.12718002648706064</v>
      </c>
      <c r="AV11" s="33">
        <f>SUMPRODUCT((lmic_raw_lb[[who_region]:[who_region]]=$A11)*lmic_raw_lb[m_9094]*lmic_raw_lb[births]*(LEN(lmic_raw_lb[m_9094])&gt;1)*(LEN(lmic_raw_lb[bd_cov])&gt;interactive!$C$6))/SUMPRODUCT((lmic_raw_lb[[who_region]:[who_region]]=$A11)*lmic_raw_lb[births]*(LEN(lmic_raw_lb[m_9094])&gt;1)*(LEN(lmic_raw_lb[bd_cov])&gt;interactive!$C$6))</f>
        <v>0.15583806505956349</v>
      </c>
      <c r="AW11" s="33">
        <f>SUMPRODUCT((lmic_raw_lb[[who_region]:[who_region]]=$A11)*lmic_raw_lb[m_95+]*lmic_raw_lb[births]*(LEN(lmic_raw_lb[m_95+])&gt;1)*(LEN(lmic_raw_lb[bd_cov])&gt;interactive!$C$6))/SUMPRODUCT((lmic_raw_lb[[who_region]:[who_region]]=$A11)*lmic_raw_lb[births]*(LEN(lmic_raw_lb[m_95+])&gt;1)*(LEN(lmic_raw_lb[bd_cov])&gt;interactive!$C$6))</f>
        <v>0.17085375220043747</v>
      </c>
      <c r="AX11" s="33">
        <f>SUMPRODUCT((lmic_raw_lb[[who_region]:[who_region]]=$A11)*lmic_raw_lb[av_life]*lmic_raw_lb[births]*(LEN(lmic_raw_lb[av_life])&gt;1)*(LEN(lmic_raw_lb[bd_cov])&gt;interactive!$C$6))/SUMPRODUCT((lmic_raw_lb[[who_region]:[who_region]]=$A11)*lmic_raw_lb[births]*(LEN(lmic_raw_lb[av_life])&gt;1)*(LEN(lmic_raw_lb[bd_cov])&gt;interactive!$C$6))</f>
        <v>63.312133819264695</v>
      </c>
    </row>
    <row r="12" spans="1:51" x14ac:dyDescent="0.25">
      <c r="A12" s="33" t="s">
        <v>679</v>
      </c>
      <c r="J12" s="33">
        <f>SUMPRODUCT((lmic_raw_lb[[who_region]:[who_region]]=$A12)*lmic_raw_lb[fac_birth]*lmic_raw_lb[births]*(LEN(lmic_raw_lb[fac_birth])&gt;1)*(LEN(lmic_raw_lb[bd_cov])&gt;interactive!$C$6))/SUMPRODUCT((lmic_raw_lb[[who_region]:[who_region]]=$A12)*lmic_raw_lb[births]*(LEN(lmic_raw_lb[fac_birth])&gt;1)*(LEN(lmic_raw_lb[bd_cov])&gt;interactive!$C$6))</f>
        <v>0.90745465887683818</v>
      </c>
      <c r="K12" s="33">
        <f>SUMPRODUCT((lmic_raw_lb[[who_region]:[who_region]]=$A12)*lmic_raw_lb[bd_cov]*lmic_raw_lb[births]*(LEN(lmic_raw_lb[bd_cov])&gt;interactive!$C$6))/SUMPRODUCT((lmic_raw_lb[[who_region]:[who_region]]=$A12)*lmic_raw_lb[births]*(LEN(lmic_raw_lb[bd_cov])&gt;interactive!$C$6))</f>
        <v>0.70839362529601158</v>
      </c>
      <c r="L12" s="33">
        <f>SUMPRODUCT((lmic_raw_lb[[who_region]:[who_region]]=$A12)*lmic_raw_lb[hbv3_cov]*lmic_raw_lb[births]*(LEN(lmic_raw_lb[hbv3_cov])&gt;1)*(LEN(lmic_raw_lb[bd_cov])&gt;interactive!$C$6))/SUMPRODUCT((lmic_raw_lb[[who_region]:[who_region]]=$A12)*lmic_raw_lb[births]*(LEN(lmic_raw_lb[hbv3_cov])&gt;1)*(LEN(lmic_raw_lb[bd_cov])&gt;interactive!$C$6))</f>
        <v>0.78834047062935297</v>
      </c>
      <c r="M12" s="33">
        <f>SUMPRODUCT((lmic_raw_lb[[who_region]:[who_region]]=$A12)*lmic_raw_lb[hbv_prev]*lmic_raw_lb[pop]*(LEN(lmic_raw_lb[hbv_prev])&gt;1)*(LEN(lmic_raw_lb[bd_cov])&gt;interactive!$C$6))/SUMPRODUCT((lmic_raw_lb[[who_region]:[who_region]]=$A12)*lmic_raw_lb[pop]*(LEN(lmic_raw_lb[hbv_prev])&gt;1)*(LEN(lmic_raw_lb[bd_cov])&gt;interactive!$C$6))</f>
        <v>5.6434334534951293E-3</v>
      </c>
      <c r="N12" s="33">
        <f>SUMPRODUCT((lmic_raw_lb[[who_region]:[who_region]]=$A12)*lmic_raw_lb[hbe_prev]*lmic_raw_lb[pop]*(LEN(lmic_raw_lb[hbe_prev])&gt;1)*(LEN(lmic_raw_lb[bd_cov])&gt;interactive!$C$6))/SUMPRODUCT((lmic_raw_lb[[who_region]:[who_region]]=$A12)*lmic_raw_lb[pop]*(LEN(lmic_raw_lb[hbe_prev])&gt;1)*(LEN(lmic_raw_lb[bd_cov])&gt;interactive!$C$6))</f>
        <v>0.16805676851376106</v>
      </c>
      <c r="O12" s="33">
        <f>SUMPRODUCT((lmic_raw_lb[[who_region]:[who_region]]=$A12)*lmic_raw_lb[epos]*lmic_raw_lb[pop]*(LEN(lmic_raw_lb[epos])&gt;1)*(LEN(lmic_raw_lb[bd_cov])&gt;interactive!$C$6))/SUMPRODUCT((lmic_raw_lb[[who_region]:[who_region]]=$A12)*lmic_raw_lb[pop]*(LEN(lmic_raw_lb[epos])&gt;1)*(LEN(lmic_raw_lb[bd_cov])&gt;interactive!$C$6))</f>
        <v>0.7</v>
      </c>
      <c r="P12" s="33">
        <f>SUMPRODUCT((lmic_raw_lb[[who_region]:[who_region]]=$A12)*lmic_raw_lb[eneg]*lmic_raw_lb[pop]*(LEN(lmic_raw_lb[eneg])&gt;1)*(LEN(lmic_raw_lb[bd_cov])&gt;interactive!$C$6))/SUMPRODUCT((lmic_raw_lb[[who_region]:[who_region]]=$A12)*lmic_raw_lb[pop]*(LEN(lmic_raw_lb[eneg])&gt;1)*(LEN(lmic_raw_lb[bd_cov])&gt;interactive!$C$6))</f>
        <v>0.05</v>
      </c>
      <c r="Q12" s="33">
        <f>SUMPRODUCT((lmic_raw_lb[[who_region]:[who_region]]=$A12)*lmic_raw_lb[c_diag]*lmic_raw_lb[births]*(LEN(lmic_raw_lb[c_diag])&gt;1)*(LEN(lmic_raw_lb[bd_cov])&gt;interactive!$C$6))/SUMPRODUCT((lmic_raw_lb[[who_region]:[who_region]]=$A12)*lmic_raw_lb[births]*(LEN(lmic_raw_lb[c_diag])&gt;1)*(LEN(lmic_raw_lb[bd_cov])&gt;interactive!$C$6))</f>
        <v>9.1998664909058991</v>
      </c>
      <c r="R12" s="33">
        <f>SUMPRODUCT((lmic_raw_lb[[who_region]:[who_region]]=$A12)*lmic_raw_lb[c_C]*lmic_raw_lb[births]*(LEN(lmic_raw_lb[c_C])&gt;1)*(LEN(lmic_raw_lb[bd_cov])&gt;interactive!$C$6))/SUMPRODUCT((lmic_raw_lb[[who_region]:[who_region]]=$A12)*lmic_raw_lb[births]*(LEN(lmic_raw_lb[c_C])&gt;1)*(LEN(lmic_raw_lb[bd_cov])&gt;interactive!$C$6))</f>
        <v>82.539704999999969</v>
      </c>
      <c r="S12" s="33">
        <f>SUMPRODUCT((lmic_raw_lb[[who_region]:[who_region]]=$A12)*lmic_raw_lb[c_CC]*lmic_raw_lb[births]*(LEN(lmic_raw_lb[c_CC])&gt;1)*(LEN(lmic_raw_lb[bd_cov])&gt;interactive!$C$6))/SUMPRODUCT((lmic_raw_lb[[who_region]:[who_region]]=$A12)*lmic_raw_lb[births]*(LEN(lmic_raw_lb[c_CC])&gt;1)*(LEN(lmic_raw_lb[bd_cov])&gt;interactive!$C$6))</f>
        <v>127.89460499999994</v>
      </c>
      <c r="T12" s="33">
        <f>SUMPRODUCT((lmic_raw_lb[[who_region]:[who_region]]=$A12)*lmic_raw_lb[c_DC]*lmic_raw_lb[births]*(LEN(lmic_raw_lb[c_DC])&gt;1)*(LEN(lmic_raw_lb[bd_cov])&gt;interactive!$C$6))/SUMPRODUCT((lmic_raw_lb[[who_region]:[who_region]]=$A12)*lmic_raw_lb[births]*(LEN(lmic_raw_lb[c_DC])&gt;1)*(LEN(lmic_raw_lb[bd_cov])&gt;interactive!$C$6))</f>
        <v>127.89460499999994</v>
      </c>
      <c r="U12" s="33">
        <f>SUMPRODUCT((lmic_raw_lb[[who_region]:[who_region]]=$A12)*lmic_raw_lb[c_HCC]*lmic_raw_lb[births]*(LEN(lmic_raw_lb[c_HCC])&gt;1)*(LEN(lmic_raw_lb[bd_cov])&gt;interactive!$C$6))/SUMPRODUCT((lmic_raw_lb[[who_region]:[who_region]]=$A12)*lmic_raw_lb[births]*(LEN(lmic_raw_lb[c_HCC])&gt;1)*(LEN(lmic_raw_lb[bd_cov])&gt;interactive!$C$6))</f>
        <v>127.89460499999994</v>
      </c>
      <c r="V12" s="33">
        <f>SUMPRODUCT((lmic_raw_lb[[who_region]:[who_region]]=$A12)*lmic_raw_lb[bl1_f]*lmic_raw_lb[births]*(LEN(lmic_raw_lb[bl1_f])&gt;1)*(LEN(lmic_raw_lb[bd_cov])&gt;interactive!$C$6))/SUMPRODUCT((lmic_raw_lb[[who_region]:[who_region]]=$A12)*lmic_raw_lb[births]*(LEN(lmic_raw_lb[bl1_f])&gt;1)*(LEN(lmic_raw_lb[bd_cov])&gt;interactive!$C$6))</f>
        <v>1.2226998265511604</v>
      </c>
      <c r="W12" s="33">
        <f>SUMPRODUCT((lmic_raw_lb[[who_region]:[who_region]]=$A12)*lmic_raw_lb[bl1_c]*lmic_raw_lb[births]*(LEN(lmic_raw_lb[bl1_c])&gt;1)*(LEN(lmic_raw_lb[bd_cov])&gt;interactive!$C$6))/SUMPRODUCT((lmic_raw_lb[[who_region]:[who_region]]=$A12)*lmic_raw_lb[births]*(LEN(lmic_raw_lb[bl1_c])&gt;1)*(LEN(lmic_raw_lb[bd_cov])&gt;interactive!$C$6))</f>
        <v>1.2434098265511606</v>
      </c>
      <c r="X12" s="33">
        <f>SUMPRODUCT((lmic_raw_lb[[who_region]:[who_region]]=$A12)*lmic_raw_lb[map_f]*lmic_raw_lb[births]*(LEN(lmic_raw_lb[map_f])&gt;1)*(LEN(lmic_raw_lb[bd_cov])&gt;interactive!$C$6))/SUMPRODUCT((lmic_raw_lb[[who_region]:[who_region]]=$A12)*lmic_raw_lb[births]*(LEN(lmic_raw_lb[map_f])&gt;1)*(LEN(lmic_raw_lb[bd_cov])&gt;interactive!$C$6))</f>
        <v>0.84964464027100539</v>
      </c>
      <c r="Y12" s="33">
        <f>SUMPRODUCT((lmic_raw_lb[[who_region]:[who_region]]=$A12)*lmic_raw_lb[map_cq]*lmic_raw_lb[births]*(LEN(lmic_raw_lb[map_cq])&gt;1)*(LEN(lmic_raw_lb[bd_cov])&gt;interactive!$C$6))/SUMPRODUCT((lmic_raw_lb[[who_region]:[who_region]]=$A12)*lmic_raw_lb[births]*(LEN(lmic_raw_lb[map_cq])&gt;1)*(LEN(lmic_raw_lb[bd_cov])&gt;interactive!$C$6))</f>
        <v>0.87035464027100529</v>
      </c>
      <c r="Z12" s="33">
        <f>SUMPRODUCT((lmic_raw_lb[[who_region]:[who_region]]=$A12)*lmic_raw_lb[map_cl]*lmic_raw_lb[births]*(LEN(lmic_raw_lb[map_cl])&gt;1)*(LEN(lmic_raw_lb[bd_cov])&gt;interactive!$C$6))/SUMPRODUCT((lmic_raw_lb[[who_region]:[who_region]]=$A12)*lmic_raw_lb[births]*(LEN(lmic_raw_lb[map_cl])&gt;1)*(LEN(lmic_raw_lb[bd_cov])&gt;interactive!$C$6))</f>
        <v>0.86311727971723196</v>
      </c>
      <c r="AA12" s="33">
        <f>SUMPRODUCT((lmic_raw_lb[[who_region]:[who_region]]=$A12)*lmic_raw_lb[ctc_f]*lmic_raw_lb[births]*(LEN(lmic_raw_lb[ctc_f])&gt;1)*(LEN(lmic_raw_lb[bd_cov])&gt;interactive!$C$6))/SUMPRODUCT((lmic_raw_lb[[who_region]:[who_region]]=$A12)*lmic_raw_lb[births]*(LEN(lmic_raw_lb[ctc_f])&gt;1)*(LEN(lmic_raw_lb[bd_cov])&gt;interactive!$C$6))</f>
        <v>1.4372221523354394</v>
      </c>
      <c r="AB12" s="33">
        <f>SUMPRODUCT((lmic_raw_lb[[who_region]:[who_region]]=$A12)*lmic_raw_lb[ctc_c]*lmic_raw_lb[births]*(LEN(lmic_raw_lb[ctc_c])&gt;1)*(LEN(lmic_raw_lb[bd_cov])&gt;interactive!$C$6))/SUMPRODUCT((lmic_raw_lb[[who_region]:[who_region]]=$A12)*lmic_raw_lb[births]*(LEN(lmic_raw_lb[ctc_c])&gt;1)*(LEN(lmic_raw_lb[bd_cov])&gt;interactive!$C$6))</f>
        <v>1.4579321523354392</v>
      </c>
      <c r="AC12" s="33">
        <f>SUMPRODUCT((lmic_raw_lb[[who_region]:[who_region]]=$A12)*lmic_raw_lb[m_01]*lmic_raw_lb[births]*(LEN(lmic_raw_lb[m_01])&gt;1)*(LEN(lmic_raw_lb[bd_cov])&gt;interactive!$C$6))/SUMPRODUCT((lmic_raw_lb[[who_region]:[who_region]]=$A12)*lmic_raw_lb[births]*(LEN(lmic_raw_lb[m_01])&gt;1)*(LEN(lmic_raw_lb[bd_cov])&gt;interactive!$C$6))</f>
        <v>1.3633717916953185E-2</v>
      </c>
      <c r="AD12" s="33">
        <f>SUMPRODUCT((lmic_raw_lb[[who_region]:[who_region]]=$A12)*lmic_raw_lb[m_14]*lmic_raw_lb[births]*(LEN(lmic_raw_lb[m_14])&gt;1)*(LEN(lmic_raw_lb[bd_cov])&gt;interactive!$C$6))/SUMPRODUCT((lmic_raw_lb[[who_region]:[who_region]]=$A12)*lmic_raw_lb[births]*(LEN(lmic_raw_lb[m_14])&gt;1)*(LEN(lmic_raw_lb[bd_cov])&gt;interactive!$C$6))</f>
        <v>6.7698862294878219E-4</v>
      </c>
      <c r="AE12" s="33">
        <f>SUMPRODUCT((lmic_raw_lb[[who_region]:[who_region]]=$A12)*lmic_raw_lb[m_59]*lmic_raw_lb[births]*(LEN(lmic_raw_lb[m_59])&gt;1)*(LEN(lmic_raw_lb[bd_cov])&gt;interactive!$C$6))/SUMPRODUCT((lmic_raw_lb[[who_region]:[who_region]]=$A12)*lmic_raw_lb[births]*(LEN(lmic_raw_lb[m_59])&gt;1)*(LEN(lmic_raw_lb[bd_cov])&gt;interactive!$C$6))</f>
        <v>2.8766089361998098E-4</v>
      </c>
      <c r="AF12" s="33">
        <f>SUMPRODUCT((lmic_raw_lb[[who_region]:[who_region]]=$A12)*lmic_raw_lb[m_1014]*lmic_raw_lb[births]*(LEN(lmic_raw_lb[m_1014])&gt;1)*(LEN(lmic_raw_lb[bd_cov])&gt;interactive!$C$6))/SUMPRODUCT((lmic_raw_lb[[who_region]:[who_region]]=$A12)*lmic_raw_lb[births]*(LEN(lmic_raw_lb[m_1014])&gt;1)*(LEN(lmic_raw_lb[bd_cov])&gt;interactive!$C$6))</f>
        <v>3.3328431942374992E-4</v>
      </c>
      <c r="AG12" s="33">
        <f>SUMPRODUCT((lmic_raw_lb[[who_region]:[who_region]]=$A12)*lmic_raw_lb[m_1519]*lmic_raw_lb[births]*(LEN(lmic_raw_lb[m_1519])&gt;1)*(LEN(lmic_raw_lb[bd_cov])&gt;interactive!$C$6))/SUMPRODUCT((lmic_raw_lb[[who_region]:[who_region]]=$A12)*lmic_raw_lb[births]*(LEN(lmic_raw_lb[m_1519])&gt;1)*(LEN(lmic_raw_lb[bd_cov])&gt;interactive!$C$6))</f>
        <v>9.6330646819904608E-4</v>
      </c>
      <c r="AH12" s="33">
        <f>SUMPRODUCT((lmic_raw_lb[[who_region]:[who_region]]=$A12)*lmic_raw_lb[m_2024]*lmic_raw_lb[births]*(LEN(lmic_raw_lb[m_2024])&gt;1)*(LEN(lmic_raw_lb[bd_cov])&gt;interactive!$C$6))/SUMPRODUCT((lmic_raw_lb[[who_region]:[who_region]]=$A12)*lmic_raw_lb[births]*(LEN(lmic_raw_lb[m_2024])&gt;1)*(LEN(lmic_raw_lb[bd_cov])&gt;interactive!$C$6))</f>
        <v>1.514856006471768E-3</v>
      </c>
      <c r="AI12" s="33">
        <f>SUMPRODUCT((lmic_raw_lb[[who_region]:[who_region]]=$A12)*lmic_raw_lb[m_2529]*lmic_raw_lb[births]*(LEN(lmic_raw_lb[m_2529])&gt;1)*(LEN(lmic_raw_lb[bd_cov])&gt;interactive!$C$6))/SUMPRODUCT((lmic_raw_lb[[who_region]:[who_region]]=$A12)*lmic_raw_lb[births]*(LEN(lmic_raw_lb[m_2529])&gt;1)*(LEN(lmic_raw_lb[bd_cov])&gt;interactive!$C$6))</f>
        <v>1.6090551577526016E-3</v>
      </c>
      <c r="AJ12" s="33">
        <f>SUMPRODUCT((lmic_raw_lb[[who_region]:[who_region]]=$A12)*lmic_raw_lb[m_3034]*lmic_raw_lb[births]*(LEN(lmic_raw_lb[m_3034])&gt;1)*(LEN(lmic_raw_lb[bd_cov])&gt;interactive!$C$6))/SUMPRODUCT((lmic_raw_lb[[who_region]:[who_region]]=$A12)*lmic_raw_lb[births]*(LEN(lmic_raw_lb[m_3034])&gt;1)*(LEN(lmic_raw_lb[bd_cov])&gt;interactive!$C$6))</f>
        <v>1.7834996688068936E-3</v>
      </c>
      <c r="AK12" s="33">
        <f>SUMPRODUCT((lmic_raw_lb[[who_region]:[who_region]]=$A12)*lmic_raw_lb[m_3539]*lmic_raw_lb[births]*(LEN(lmic_raw_lb[m_3539])&gt;1)*(LEN(lmic_raw_lb[bd_cov])&gt;interactive!$C$6))/SUMPRODUCT((lmic_raw_lb[[who_region]:[who_region]]=$A12)*lmic_raw_lb[births]*(LEN(lmic_raw_lb[m_3539])&gt;1)*(LEN(lmic_raw_lb[bd_cov])&gt;interactive!$C$6))</f>
        <v>2.0931489904602424E-3</v>
      </c>
      <c r="AL12" s="33">
        <f>SUMPRODUCT((lmic_raw_lb[[who_region]:[who_region]]=$A12)*lmic_raw_lb[m_4044]*lmic_raw_lb[births]*(LEN(lmic_raw_lb[m_4044])&gt;1)*(LEN(lmic_raw_lb[bd_cov])&gt;interactive!$C$6))/SUMPRODUCT((lmic_raw_lb[[who_region]:[who_region]]=$A12)*lmic_raw_lb[births]*(LEN(lmic_raw_lb[m_4044])&gt;1)*(LEN(lmic_raw_lb[bd_cov])&gt;interactive!$C$6))</f>
        <v>2.6331837012480803E-3</v>
      </c>
      <c r="AM12" s="33">
        <f>SUMPRODUCT((lmic_raw_lb[[who_region]:[who_region]]=$A12)*lmic_raw_lb[m_4549]*lmic_raw_lb[births]*(LEN(lmic_raw_lb[m_4549])&gt;1)*(LEN(lmic_raw_lb[bd_cov])&gt;interactive!$C$6))/SUMPRODUCT((lmic_raw_lb[[who_region]:[who_region]]=$A12)*lmic_raw_lb[births]*(LEN(lmic_raw_lb[m_4549])&gt;1)*(LEN(lmic_raw_lb[bd_cov])&gt;interactive!$C$6))</f>
        <v>3.6676874517720666E-3</v>
      </c>
      <c r="AN12" s="33">
        <f>SUMPRODUCT((lmic_raw_lb[[who_region]:[who_region]]=$A12)*lmic_raw_lb[m_5054]*lmic_raw_lb[births]*(LEN(lmic_raw_lb[m_5054])&gt;1)*(LEN(lmic_raw_lb[bd_cov])&gt;interactive!$C$6))/SUMPRODUCT((lmic_raw_lb[[who_region]:[who_region]]=$A12)*lmic_raw_lb[births]*(LEN(lmic_raw_lb[m_5054])&gt;1)*(LEN(lmic_raw_lb[bd_cov])&gt;interactive!$C$6))</f>
        <v>5.308768791524557E-3</v>
      </c>
      <c r="AO12" s="33">
        <f>SUMPRODUCT((lmic_raw_lb[[who_region]:[who_region]]=$A12)*lmic_raw_lb[m_5559]*lmic_raw_lb[births]*(LEN(lmic_raw_lb[m_5559])&gt;1)*(LEN(lmic_raw_lb[bd_cov])&gt;interactive!$C$6))/SUMPRODUCT((lmic_raw_lb[[who_region]:[who_region]]=$A12)*lmic_raw_lb[births]*(LEN(lmic_raw_lb[m_5559])&gt;1)*(LEN(lmic_raw_lb[bd_cov])&gt;interactive!$C$6))</f>
        <v>7.6948637115231856E-3</v>
      </c>
      <c r="AP12" s="33">
        <f>SUMPRODUCT((lmic_raw_lb[[who_region]:[who_region]]=$A12)*lmic_raw_lb[m_6064]*lmic_raw_lb[births]*(LEN(lmic_raw_lb[m_6064])&gt;1)*(LEN(lmic_raw_lb[bd_cov])&gt;interactive!$C$6))/SUMPRODUCT((lmic_raw_lb[[who_region]:[who_region]]=$A12)*lmic_raw_lb[births]*(LEN(lmic_raw_lb[m_6064])&gt;1)*(LEN(lmic_raw_lb[bd_cov])&gt;interactive!$C$6))</f>
        <v>1.1510148050940998E-2</v>
      </c>
      <c r="AQ12" s="33">
        <f>SUMPRODUCT((lmic_raw_lb[[who_region]:[who_region]]=$A12)*lmic_raw_lb[m_6569]*lmic_raw_lb[births]*(LEN(lmic_raw_lb[m_6569])&gt;1)*(LEN(lmic_raw_lb[bd_cov])&gt;interactive!$C$6))/SUMPRODUCT((lmic_raw_lb[[who_region]:[who_region]]=$A12)*lmic_raw_lb[births]*(LEN(lmic_raw_lb[m_6569])&gt;1)*(LEN(lmic_raw_lb[bd_cov])&gt;interactive!$C$6))</f>
        <v>1.720138805720502E-2</v>
      </c>
      <c r="AR12" s="33">
        <f>SUMPRODUCT((lmic_raw_lb[[who_region]:[who_region]]=$A12)*lmic_raw_lb[m_7074]*lmic_raw_lb[births]*(LEN(lmic_raw_lb[m_7074])&gt;1)*(LEN(lmic_raw_lb[bd_cov])&gt;interactive!$C$6))/SUMPRODUCT((lmic_raw_lb[[who_region]:[who_region]]=$A12)*lmic_raw_lb[births]*(LEN(lmic_raw_lb[m_7074])&gt;1)*(LEN(lmic_raw_lb[bd_cov])&gt;interactive!$C$6))</f>
        <v>2.5361911458332567E-2</v>
      </c>
      <c r="AS12" s="33">
        <f>SUMPRODUCT((lmic_raw_lb[[who_region]:[who_region]]=$A12)*lmic_raw_lb[m_7079]*lmic_raw_lb[births]*(LEN(lmic_raw_lb[m_7079])&gt;1)*(LEN(lmic_raw_lb[bd_cov])&gt;interactive!$C$6))/SUMPRODUCT((lmic_raw_lb[[who_region]:[who_region]]=$A12)*lmic_raw_lb[births]*(LEN(lmic_raw_lb[m_7079])&gt;1)*(LEN(lmic_raw_lb[bd_cov])&gt;interactive!$C$6))</f>
        <v>3.8321126473869843E-2</v>
      </c>
      <c r="AT12" s="33">
        <f>SUMPRODUCT((lmic_raw_lb[[who_region]:[who_region]]=$A12)*lmic_raw_lb[m_8084]*lmic_raw_lb[births]*(LEN(lmic_raw_lb[m_8084])&gt;1)*(LEN(lmic_raw_lb[bd_cov])&gt;interactive!$C$6))/SUMPRODUCT((lmic_raw_lb[[who_region]:[who_region]]=$A12)*lmic_raw_lb[births]*(LEN(lmic_raw_lb[m_8084])&gt;1)*(LEN(lmic_raw_lb[bd_cov])&gt;interactive!$C$6))</f>
        <v>5.6861234765792579E-2</v>
      </c>
      <c r="AU12" s="33">
        <f>SUMPRODUCT((lmic_raw_lb[[who_region]:[who_region]]=$A12)*lmic_raw_lb[m_8589]*lmic_raw_lb[births]*(LEN(lmic_raw_lb[m_8589])&gt;1)*(LEN(lmic_raw_lb[bd_cov])&gt;interactive!$C$6))/SUMPRODUCT((lmic_raw_lb[[who_region]:[who_region]]=$A12)*lmic_raw_lb[births]*(LEN(lmic_raw_lb[m_8589])&gt;1)*(LEN(lmic_raw_lb[bd_cov])&gt;interactive!$C$6))</f>
        <v>8.1942868757671011E-2</v>
      </c>
      <c r="AV12" s="33">
        <f>SUMPRODUCT((lmic_raw_lb[[who_region]:[who_region]]=$A12)*lmic_raw_lb[m_9094]*lmic_raw_lb[births]*(LEN(lmic_raw_lb[m_9094])&gt;1)*(LEN(lmic_raw_lb[bd_cov])&gt;interactive!$C$6))/SUMPRODUCT((lmic_raw_lb[[who_region]:[who_region]]=$A12)*lmic_raw_lb[births]*(LEN(lmic_raw_lb[m_9094])&gt;1)*(LEN(lmic_raw_lb[bd_cov])&gt;interactive!$C$6))</f>
        <v>0.10679457292469145</v>
      </c>
      <c r="AW12" s="33">
        <f>SUMPRODUCT((lmic_raw_lb[[who_region]:[who_region]]=$A12)*lmic_raw_lb[m_95+]*lmic_raw_lb[births]*(LEN(lmic_raw_lb[m_95+])&gt;1)*(LEN(lmic_raw_lb[bd_cov])&gt;interactive!$C$6))/SUMPRODUCT((lmic_raw_lb[[who_region]:[who_region]]=$A12)*lmic_raw_lb[births]*(LEN(lmic_raw_lb[m_95+])&gt;1)*(LEN(lmic_raw_lb[bd_cov])&gt;interactive!$C$6))</f>
        <v>0.13750052227368864</v>
      </c>
      <c r="AX12" s="33">
        <f>SUMPRODUCT((lmic_raw_lb[[who_region]:[who_region]]=$A12)*lmic_raw_lb[av_life]*lmic_raw_lb[births]*(LEN(lmic_raw_lb[av_life])&gt;1)*(LEN(lmic_raw_lb[bd_cov])&gt;interactive!$C$6))/SUMPRODUCT((lmic_raw_lb[[who_region]:[who_region]]=$A12)*lmic_raw_lb[births]*(LEN(lmic_raw_lb[av_life])&gt;1)*(LEN(lmic_raw_lb[bd_cov])&gt;interactive!$C$6))</f>
        <v>71.785784318523724</v>
      </c>
    </row>
    <row r="13" spans="1:51" x14ac:dyDescent="0.25">
      <c r="A13" s="33" t="s">
        <v>673</v>
      </c>
      <c r="J13" s="33">
        <f>SUMPRODUCT((lmic_raw_lb[[who_region]:[who_region]]=$A13)*lmic_raw_lb[fac_birth]*lmic_raw_lb[births]*(LEN(lmic_raw_lb[fac_birth])&gt;1)*(LEN(lmic_raw_lb[bd_cov])&gt;interactive!$C$6))/SUMPRODUCT((lmic_raw_lb[[who_region]:[who_region]]=$A13)*lmic_raw_lb[births]*(LEN(lmic_raw_lb[fac_birth])&gt;1)*(LEN(lmic_raw_lb[bd_cov])&gt;interactive!$C$6))</f>
        <v>0.80087100911973086</v>
      </c>
      <c r="K13" s="33">
        <f>SUMPRODUCT((lmic_raw_lb[[who_region]:[who_region]]=$A13)*lmic_raw_lb[bd_cov]*lmic_raw_lb[births]*(LEN(lmic_raw_lb[bd_cov])&gt;interactive!$C$6))/SUMPRODUCT((lmic_raw_lb[[who_region]:[who_region]]=$A13)*lmic_raw_lb[births]*(LEN(lmic_raw_lb[bd_cov])&gt;interactive!$C$6))</f>
        <v>0.67438226776312915</v>
      </c>
      <c r="L13" s="33">
        <f>SUMPRODUCT((lmic_raw_lb[[who_region]:[who_region]]=$A13)*lmic_raw_lb[hbv3_cov]*lmic_raw_lb[births]*(LEN(lmic_raw_lb[hbv3_cov])&gt;1)*(LEN(lmic_raw_lb[bd_cov])&gt;interactive!$C$6))/SUMPRODUCT((lmic_raw_lb[[who_region]:[who_region]]=$A13)*lmic_raw_lb[births]*(LEN(lmic_raw_lb[hbv3_cov])&gt;1)*(LEN(lmic_raw_lb[bd_cov])&gt;interactive!$C$6))</f>
        <v>0.85182276822316472</v>
      </c>
      <c r="M13" s="33">
        <f>SUMPRODUCT((lmic_raw_lb[[who_region]:[who_region]]=$A13)*lmic_raw_lb[hbv_prev]*lmic_raw_lb[pop]*(LEN(lmic_raw_lb[hbv_prev])&gt;1)*(LEN(lmic_raw_lb[bd_cov])&gt;interactive!$C$6))/SUMPRODUCT((lmic_raw_lb[[who_region]:[who_region]]=$A13)*lmic_raw_lb[pop]*(LEN(lmic_raw_lb[hbv_prev])&gt;1)*(LEN(lmic_raw_lb[bd_cov])&gt;interactive!$C$6))</f>
        <v>9.3667766580783646E-3</v>
      </c>
      <c r="N13" s="33">
        <f>SUMPRODUCT((lmic_raw_lb[[who_region]:[who_region]]=$A13)*lmic_raw_lb[hbe_prev]*lmic_raw_lb[pop]*(LEN(lmic_raw_lb[hbe_prev])&gt;1)*(LEN(lmic_raw_lb[bd_cov])&gt;interactive!$C$6))/SUMPRODUCT((lmic_raw_lb[[who_region]:[who_region]]=$A13)*lmic_raw_lb[pop]*(LEN(lmic_raw_lb[hbe_prev])&gt;1)*(LEN(lmic_raw_lb[bd_cov])&gt;interactive!$C$6))</f>
        <v>0.14981783244482347</v>
      </c>
      <c r="O13" s="33">
        <f>SUMPRODUCT((lmic_raw_lb[[who_region]:[who_region]]=$A13)*lmic_raw_lb[epos]*lmic_raw_lb[pop]*(LEN(lmic_raw_lb[epos])&gt;1)*(LEN(lmic_raw_lb[bd_cov])&gt;interactive!$C$6))/SUMPRODUCT((lmic_raw_lb[[who_region]:[who_region]]=$A13)*lmic_raw_lb[pop]*(LEN(lmic_raw_lb[epos])&gt;1)*(LEN(lmic_raw_lb[bd_cov])&gt;interactive!$C$6))</f>
        <v>0.69809302740979107</v>
      </c>
      <c r="P13" s="33">
        <f>SUMPRODUCT((lmic_raw_lb[[who_region]:[who_region]]=$A13)*lmic_raw_lb[eneg]*lmic_raw_lb[pop]*(LEN(lmic_raw_lb[eneg])&gt;1)*(LEN(lmic_raw_lb[bd_cov])&gt;interactive!$C$6))/SUMPRODUCT((lmic_raw_lb[[who_region]:[who_region]]=$A13)*lmic_raw_lb[pop]*(LEN(lmic_raw_lb[eneg])&gt;1)*(LEN(lmic_raw_lb[bd_cov])&gt;interactive!$C$6))</f>
        <v>4.9851679909650413E-2</v>
      </c>
      <c r="Q13" s="33">
        <f>SUMPRODUCT((lmic_raw_lb[[who_region]:[who_region]]=$A13)*lmic_raw_lb[c_diag]*lmic_raw_lb[births]*(LEN(lmic_raw_lb[c_diag])&gt;1)*(LEN(lmic_raw_lb[bd_cov])&gt;interactive!$C$6))/SUMPRODUCT((lmic_raw_lb[[who_region]:[who_region]]=$A13)*lmic_raw_lb[births]*(LEN(lmic_raw_lb[c_diag])&gt;1)*(LEN(lmic_raw_lb[bd_cov])&gt;interactive!$C$6))</f>
        <v>6.2315096077367231</v>
      </c>
      <c r="R13" s="33">
        <f>SUMPRODUCT((lmic_raw_lb[[who_region]:[who_region]]=$A13)*lmic_raw_lb[c_C]*lmic_raw_lb[births]*(LEN(lmic_raw_lb[c_C])&gt;1)*(LEN(lmic_raw_lb[bd_cov])&gt;interactive!$C$6))/SUMPRODUCT((lmic_raw_lb[[who_region]:[who_region]]=$A13)*lmic_raw_lb[births]*(LEN(lmic_raw_lb[c_C])&gt;1)*(LEN(lmic_raw_lb[bd_cov])&gt;interactive!$C$6))</f>
        <v>43.97705341929862</v>
      </c>
      <c r="S13" s="33">
        <f>SUMPRODUCT((lmic_raw_lb[[who_region]:[who_region]]=$A13)*lmic_raw_lb[c_CC]*lmic_raw_lb[births]*(LEN(lmic_raw_lb[c_CC])&gt;1)*(LEN(lmic_raw_lb[bd_cov])&gt;interactive!$C$6))/SUMPRODUCT((lmic_raw_lb[[who_region]:[who_region]]=$A13)*lmic_raw_lb[births]*(LEN(lmic_raw_lb[c_CC])&gt;1)*(LEN(lmic_raw_lb[bd_cov])&gt;interactive!$C$6))</f>
        <v>89.331953419298642</v>
      </c>
      <c r="T13" s="33">
        <f>SUMPRODUCT((lmic_raw_lb[[who_region]:[who_region]]=$A13)*lmic_raw_lb[c_DC]*lmic_raw_lb[births]*(LEN(lmic_raw_lb[c_DC])&gt;1)*(LEN(lmic_raw_lb[bd_cov])&gt;interactive!$C$6))/SUMPRODUCT((lmic_raw_lb[[who_region]:[who_region]]=$A13)*lmic_raw_lb[births]*(LEN(lmic_raw_lb[c_DC])&gt;1)*(LEN(lmic_raw_lb[bd_cov])&gt;interactive!$C$6))</f>
        <v>89.331953419298642</v>
      </c>
      <c r="U13" s="33">
        <f>SUMPRODUCT((lmic_raw_lb[[who_region]:[who_region]]=$A13)*lmic_raw_lb[c_HCC]*lmic_raw_lb[births]*(LEN(lmic_raw_lb[c_HCC])&gt;1)*(LEN(lmic_raw_lb[bd_cov])&gt;interactive!$C$6))/SUMPRODUCT((lmic_raw_lb[[who_region]:[who_region]]=$A13)*lmic_raw_lb[births]*(LEN(lmic_raw_lb[c_HCC])&gt;1)*(LEN(lmic_raw_lb[bd_cov])&gt;interactive!$C$6))</f>
        <v>89.331953419298642</v>
      </c>
      <c r="V13" s="33">
        <f>SUMPRODUCT((lmic_raw_lb[[who_region]:[who_region]]=$A13)*lmic_raw_lb[bl1_f]*lmic_raw_lb[births]*(LEN(lmic_raw_lb[bl1_f])&gt;1)*(LEN(lmic_raw_lb[bd_cov])&gt;interactive!$C$6))/SUMPRODUCT((lmic_raw_lb[[who_region]:[who_region]]=$A13)*lmic_raw_lb[births]*(LEN(lmic_raw_lb[bl1_f])&gt;1)*(LEN(lmic_raw_lb[bd_cov])&gt;interactive!$C$6))</f>
        <v>1.2548087124188483</v>
      </c>
      <c r="W13" s="33">
        <f>SUMPRODUCT((lmic_raw_lb[[who_region]:[who_region]]=$A13)*lmic_raw_lb[bl1_c]*lmic_raw_lb[births]*(LEN(lmic_raw_lb[bl1_c])&gt;1)*(LEN(lmic_raw_lb[bd_cov])&gt;interactive!$C$6))/SUMPRODUCT((lmic_raw_lb[[who_region]:[who_region]]=$A13)*lmic_raw_lb[births]*(LEN(lmic_raw_lb[bl1_c])&gt;1)*(LEN(lmic_raw_lb[bd_cov])&gt;interactive!$C$6))</f>
        <v>1.7215698682620406</v>
      </c>
      <c r="X13" s="33">
        <f>SUMPRODUCT((lmic_raw_lb[[who_region]:[who_region]]=$A13)*lmic_raw_lb[map_f]*lmic_raw_lb[births]*(LEN(lmic_raw_lb[map_f])&gt;1)*(LEN(lmic_raw_lb[bd_cov])&gt;interactive!$C$6))/SUMPRODUCT((lmic_raw_lb[[who_region]:[who_region]]=$A13)*lmic_raw_lb[births]*(LEN(lmic_raw_lb[map_f])&gt;1)*(LEN(lmic_raw_lb[bd_cov])&gt;interactive!$C$6))</f>
        <v>0.90319860280556907</v>
      </c>
      <c r="Y13" s="33">
        <f>SUMPRODUCT((lmic_raw_lb[[who_region]:[who_region]]=$A13)*lmic_raw_lb[map_cq]*lmic_raw_lb[births]*(LEN(lmic_raw_lb[map_cq])&gt;1)*(LEN(lmic_raw_lb[bd_cov])&gt;interactive!$C$6))/SUMPRODUCT((lmic_raw_lb[[who_region]:[who_region]]=$A13)*lmic_raw_lb[births]*(LEN(lmic_raw_lb[map_cq])&gt;1)*(LEN(lmic_raw_lb[bd_cov])&gt;interactive!$C$6))</f>
        <v>1.3530571384013843</v>
      </c>
      <c r="Z13" s="33">
        <f>SUMPRODUCT((lmic_raw_lb[[who_region]:[who_region]]=$A13)*lmic_raw_lb[map_cl]*lmic_raw_lb[births]*(LEN(lmic_raw_lb[map_cl])&gt;1)*(LEN(lmic_raw_lb[bd_cov])&gt;interactive!$C$6))/SUMPRODUCT((lmic_raw_lb[[who_region]:[who_region]]=$A13)*lmic_raw_lb[births]*(LEN(lmic_raw_lb[map_cl])&gt;1)*(LEN(lmic_raw_lb[bd_cov])&gt;interactive!$C$6))</f>
        <v>1.3487389941708565</v>
      </c>
      <c r="AA13" s="33">
        <f>SUMPRODUCT((lmic_raw_lb[[who_region]:[who_region]]=$A13)*lmic_raw_lb[ctc_f]*lmic_raw_lb[births]*(LEN(lmic_raw_lb[ctc_f])&gt;1)*(LEN(lmic_raw_lb[bd_cov])&gt;interactive!$C$6))/SUMPRODUCT((lmic_raw_lb[[who_region]:[who_region]]=$A13)*lmic_raw_lb[births]*(LEN(lmic_raw_lb[ctc_f])&gt;1)*(LEN(lmic_raw_lb[bd_cov])&gt;interactive!$C$6))</f>
        <v>1.4673842711661989</v>
      </c>
      <c r="AB13" s="33">
        <f>SUMPRODUCT((lmic_raw_lb[[who_region]:[who_region]]=$A13)*lmic_raw_lb[ctc_c]*lmic_raw_lb[births]*(LEN(lmic_raw_lb[ctc_c])&gt;1)*(LEN(lmic_raw_lb[bd_cov])&gt;interactive!$C$6))/SUMPRODUCT((lmic_raw_lb[[who_region]:[who_region]]=$A13)*lmic_raw_lb[births]*(LEN(lmic_raw_lb[ctc_c])&gt;1)*(LEN(lmic_raw_lb[bd_cov])&gt;interactive!$C$6))</f>
        <v>1.9341454270093916</v>
      </c>
      <c r="AC13" s="33">
        <f>SUMPRODUCT((lmic_raw_lb[[who_region]:[who_region]]=$A13)*lmic_raw_lb[m_01]*lmic_raw_lb[births]*(LEN(lmic_raw_lb[m_01])&gt;1)*(LEN(lmic_raw_lb[bd_cov])&gt;interactive!$C$6))/SUMPRODUCT((lmic_raw_lb[[who_region]:[who_region]]=$A13)*lmic_raw_lb[births]*(LEN(lmic_raw_lb[m_01])&gt;1)*(LEN(lmic_raw_lb[bd_cov])&gt;interactive!$C$6))</f>
        <v>2.1217440921751238E-2</v>
      </c>
      <c r="AD13" s="33">
        <f>SUMPRODUCT((lmic_raw_lb[[who_region]:[who_region]]=$A13)*lmic_raw_lb[m_14]*lmic_raw_lb[births]*(LEN(lmic_raw_lb[m_14])&gt;1)*(LEN(lmic_raw_lb[bd_cov])&gt;interactive!$C$6))/SUMPRODUCT((lmic_raw_lb[[who_region]:[who_region]]=$A13)*lmic_raw_lb[births]*(LEN(lmic_raw_lb[m_14])&gt;1)*(LEN(lmic_raw_lb[bd_cov])&gt;interactive!$C$6))</f>
        <v>1.3639710771183226E-3</v>
      </c>
      <c r="AE13" s="33">
        <f>SUMPRODUCT((lmic_raw_lb[[who_region]:[who_region]]=$A13)*lmic_raw_lb[m_59]*lmic_raw_lb[births]*(LEN(lmic_raw_lb[m_59])&gt;1)*(LEN(lmic_raw_lb[bd_cov])&gt;interactive!$C$6))/SUMPRODUCT((lmic_raw_lb[[who_region]:[who_region]]=$A13)*lmic_raw_lb[births]*(LEN(lmic_raw_lb[m_59])&gt;1)*(LEN(lmic_raw_lb[bd_cov])&gt;interactive!$C$6))</f>
        <v>5.1084855525931709E-4</v>
      </c>
      <c r="AF13" s="33">
        <f>SUMPRODUCT((lmic_raw_lb[[who_region]:[who_region]]=$A13)*lmic_raw_lb[m_1014]*lmic_raw_lb[births]*(LEN(lmic_raw_lb[m_1014])&gt;1)*(LEN(lmic_raw_lb[bd_cov])&gt;interactive!$C$6))/SUMPRODUCT((lmic_raw_lb[[who_region]:[who_region]]=$A13)*lmic_raw_lb[births]*(LEN(lmic_raw_lb[m_1014])&gt;1)*(LEN(lmic_raw_lb[bd_cov])&gt;interactive!$C$6))</f>
        <v>4.210923142039732E-4</v>
      </c>
      <c r="AG13" s="33">
        <f>SUMPRODUCT((lmic_raw_lb[[who_region]:[who_region]]=$A13)*lmic_raw_lb[m_1519]*lmic_raw_lb[births]*(LEN(lmic_raw_lb[m_1519])&gt;1)*(LEN(lmic_raw_lb[bd_cov])&gt;interactive!$C$6))/SUMPRODUCT((lmic_raw_lb[[who_region]:[who_region]]=$A13)*lmic_raw_lb[births]*(LEN(lmic_raw_lb[m_1519])&gt;1)*(LEN(lmic_raw_lb[bd_cov])&gt;interactive!$C$6))</f>
        <v>6.9550770273775746E-4</v>
      </c>
      <c r="AH13" s="33">
        <f>SUMPRODUCT((lmic_raw_lb[[who_region]:[who_region]]=$A13)*lmic_raw_lb[m_2024]*lmic_raw_lb[births]*(LEN(lmic_raw_lb[m_2024])&gt;1)*(LEN(lmic_raw_lb[bd_cov])&gt;interactive!$C$6))/SUMPRODUCT((lmic_raw_lb[[who_region]:[who_region]]=$A13)*lmic_raw_lb[births]*(LEN(lmic_raw_lb[m_2024])&gt;1)*(LEN(lmic_raw_lb[bd_cov])&gt;interactive!$C$6))</f>
        <v>1.0224195849174048E-3</v>
      </c>
      <c r="AI13" s="33">
        <f>SUMPRODUCT((lmic_raw_lb[[who_region]:[who_region]]=$A13)*lmic_raw_lb[m_2529]*lmic_raw_lb[births]*(LEN(lmic_raw_lb[m_2529])&gt;1)*(LEN(lmic_raw_lb[bd_cov])&gt;interactive!$C$6))/SUMPRODUCT((lmic_raw_lb[[who_region]:[who_region]]=$A13)*lmic_raw_lb[births]*(LEN(lmic_raw_lb[m_2529])&gt;1)*(LEN(lmic_raw_lb[bd_cov])&gt;interactive!$C$6))</f>
        <v>1.1022925316662613E-3</v>
      </c>
      <c r="AJ13" s="33">
        <f>SUMPRODUCT((lmic_raw_lb[[who_region]:[who_region]]=$A13)*lmic_raw_lb[m_3034]*lmic_raw_lb[births]*(LEN(lmic_raw_lb[m_3034])&gt;1)*(LEN(lmic_raw_lb[bd_cov])&gt;interactive!$C$6))/SUMPRODUCT((lmic_raw_lb[[who_region]:[who_region]]=$A13)*lmic_raw_lb[births]*(LEN(lmic_raw_lb[m_3034])&gt;1)*(LEN(lmic_raw_lb[bd_cov])&gt;interactive!$C$6))</f>
        <v>1.3068085737566884E-3</v>
      </c>
      <c r="AK13" s="33">
        <f>SUMPRODUCT((lmic_raw_lb[[who_region]:[who_region]]=$A13)*lmic_raw_lb[m_3539]*lmic_raw_lb[births]*(LEN(lmic_raw_lb[m_3539])&gt;1)*(LEN(lmic_raw_lb[bd_cov])&gt;interactive!$C$6))/SUMPRODUCT((lmic_raw_lb[[who_region]:[who_region]]=$A13)*lmic_raw_lb[births]*(LEN(lmic_raw_lb[m_3539])&gt;1)*(LEN(lmic_raw_lb[bd_cov])&gt;interactive!$C$6))</f>
        <v>1.6061253639010056E-3</v>
      </c>
      <c r="AL13" s="33">
        <f>SUMPRODUCT((lmic_raw_lb[[who_region]:[who_region]]=$A13)*lmic_raw_lb[m_4044]*lmic_raw_lb[births]*(LEN(lmic_raw_lb[m_4044])&gt;1)*(LEN(lmic_raw_lb[bd_cov])&gt;interactive!$C$6))/SUMPRODUCT((lmic_raw_lb[[who_region]:[who_region]]=$A13)*lmic_raw_lb[births]*(LEN(lmic_raw_lb[m_4044])&gt;1)*(LEN(lmic_raw_lb[bd_cov])&gt;interactive!$C$6))</f>
        <v>2.261643555825556E-3</v>
      </c>
      <c r="AM13" s="33">
        <f>SUMPRODUCT((lmic_raw_lb[[who_region]:[who_region]]=$A13)*lmic_raw_lb[m_4549]*lmic_raw_lb[births]*(LEN(lmic_raw_lb[m_4549])&gt;1)*(LEN(lmic_raw_lb[bd_cov])&gt;interactive!$C$6))/SUMPRODUCT((lmic_raw_lb[[who_region]:[who_region]]=$A13)*lmic_raw_lb[births]*(LEN(lmic_raw_lb[m_4549])&gt;1)*(LEN(lmic_raw_lb[bd_cov])&gt;interactive!$C$6))</f>
        <v>3.7725949420340204E-3</v>
      </c>
      <c r="AN13" s="33">
        <f>SUMPRODUCT((lmic_raw_lb[[who_region]:[who_region]]=$A13)*lmic_raw_lb[m_5054]*lmic_raw_lb[births]*(LEN(lmic_raw_lb[m_5054])&gt;1)*(LEN(lmic_raw_lb[bd_cov])&gt;interactive!$C$6))/SUMPRODUCT((lmic_raw_lb[[who_region]:[who_region]]=$A13)*lmic_raw_lb[births]*(LEN(lmic_raw_lb[m_5054])&gt;1)*(LEN(lmic_raw_lb[bd_cov])&gt;interactive!$C$6))</f>
        <v>6.269131614761966E-3</v>
      </c>
      <c r="AO13" s="33">
        <f>SUMPRODUCT((lmic_raw_lb[[who_region]:[who_region]]=$A13)*lmic_raw_lb[m_5559]*lmic_raw_lb[births]*(LEN(lmic_raw_lb[m_5559])&gt;1)*(LEN(lmic_raw_lb[bd_cov])&gt;interactive!$C$6))/SUMPRODUCT((lmic_raw_lb[[who_region]:[who_region]]=$A13)*lmic_raw_lb[births]*(LEN(lmic_raw_lb[m_5559])&gt;1)*(LEN(lmic_raw_lb[bd_cov])&gt;interactive!$C$6))</f>
        <v>9.1320411008465885E-3</v>
      </c>
      <c r="AP13" s="33">
        <f>SUMPRODUCT((lmic_raw_lb[[who_region]:[who_region]]=$A13)*lmic_raw_lb[m_6064]*lmic_raw_lb[births]*(LEN(lmic_raw_lb[m_6064])&gt;1)*(LEN(lmic_raw_lb[bd_cov])&gt;interactive!$C$6))/SUMPRODUCT((lmic_raw_lb[[who_region]:[who_region]]=$A13)*lmic_raw_lb[births]*(LEN(lmic_raw_lb[m_6064])&gt;1)*(LEN(lmic_raw_lb[bd_cov])&gt;interactive!$C$6))</f>
        <v>1.4648147138406075E-2</v>
      </c>
      <c r="AQ13" s="33">
        <f>SUMPRODUCT((lmic_raw_lb[[who_region]:[who_region]]=$A13)*lmic_raw_lb[m_6569]*lmic_raw_lb[births]*(LEN(lmic_raw_lb[m_6569])&gt;1)*(LEN(lmic_raw_lb[bd_cov])&gt;interactive!$C$6))/SUMPRODUCT((lmic_raw_lb[[who_region]:[who_region]]=$A13)*lmic_raw_lb[births]*(LEN(lmic_raw_lb[m_6569])&gt;1)*(LEN(lmic_raw_lb[bd_cov])&gt;interactive!$C$6))</f>
        <v>2.3207753786703745E-2</v>
      </c>
      <c r="AR13" s="33">
        <f>SUMPRODUCT((lmic_raw_lb[[who_region]:[who_region]]=$A13)*lmic_raw_lb[m_7074]*lmic_raw_lb[births]*(LEN(lmic_raw_lb[m_7074])&gt;1)*(LEN(lmic_raw_lb[bd_cov])&gt;interactive!$C$6))/SUMPRODUCT((lmic_raw_lb[[who_region]:[who_region]]=$A13)*lmic_raw_lb[births]*(LEN(lmic_raw_lb[m_7074])&gt;1)*(LEN(lmic_raw_lb[bd_cov])&gt;interactive!$C$6))</f>
        <v>3.8140447357419283E-2</v>
      </c>
      <c r="AS13" s="33">
        <f>SUMPRODUCT((lmic_raw_lb[[who_region]:[who_region]]=$A13)*lmic_raw_lb[m_7079]*lmic_raw_lb[births]*(LEN(lmic_raw_lb[m_7079])&gt;1)*(LEN(lmic_raw_lb[bd_cov])&gt;interactive!$C$6))/SUMPRODUCT((lmic_raw_lb[[who_region]:[who_region]]=$A13)*lmic_raw_lb[births]*(LEN(lmic_raw_lb[m_7079])&gt;1)*(LEN(lmic_raw_lb[bd_cov])&gt;interactive!$C$6))</f>
        <v>6.1485869158184991E-2</v>
      </c>
      <c r="AT13" s="33">
        <f>SUMPRODUCT((lmic_raw_lb[[who_region]:[who_region]]=$A13)*lmic_raw_lb[m_8084]*lmic_raw_lb[births]*(LEN(lmic_raw_lb[m_8084])&gt;1)*(LEN(lmic_raw_lb[bd_cov])&gt;interactive!$C$6))/SUMPRODUCT((lmic_raw_lb[[who_region]:[who_region]]=$A13)*lmic_raw_lb[births]*(LEN(lmic_raw_lb[m_8084])&gt;1)*(LEN(lmic_raw_lb[bd_cov])&gt;interactive!$C$6))</f>
        <v>9.0317238069410527E-2</v>
      </c>
      <c r="AU13" s="33">
        <f>SUMPRODUCT((lmic_raw_lb[[who_region]:[who_region]]=$A13)*lmic_raw_lb[m_8589]*lmic_raw_lb[births]*(LEN(lmic_raw_lb[m_8589])&gt;1)*(LEN(lmic_raw_lb[bd_cov])&gt;interactive!$C$6))/SUMPRODUCT((lmic_raw_lb[[who_region]:[who_region]]=$A13)*lmic_raw_lb[births]*(LEN(lmic_raw_lb[m_8589])&gt;1)*(LEN(lmic_raw_lb[bd_cov])&gt;interactive!$C$6))</f>
        <v>0.12200379679214898</v>
      </c>
      <c r="AV13" s="33">
        <f>SUMPRODUCT((lmic_raw_lb[[who_region]:[who_region]]=$A13)*lmic_raw_lb[m_9094]*lmic_raw_lb[births]*(LEN(lmic_raw_lb[m_9094])&gt;1)*(LEN(lmic_raw_lb[bd_cov])&gt;interactive!$C$6))/SUMPRODUCT((lmic_raw_lb[[who_region]:[who_region]]=$A13)*lmic_raw_lb[births]*(LEN(lmic_raw_lb[m_9094])&gt;1)*(LEN(lmic_raw_lb[bd_cov])&gt;interactive!$C$6))</f>
        <v>0.14896266460479946</v>
      </c>
      <c r="AW13" s="33">
        <f>SUMPRODUCT((lmic_raw_lb[[who_region]:[who_region]]=$A13)*lmic_raw_lb[m_95+]*lmic_raw_lb[births]*(LEN(lmic_raw_lb[m_95+])&gt;1)*(LEN(lmic_raw_lb[bd_cov])&gt;interactive!$C$6))/SUMPRODUCT((lmic_raw_lb[[who_region]:[who_region]]=$A13)*lmic_raw_lb[births]*(LEN(lmic_raw_lb[m_95+])&gt;1)*(LEN(lmic_raw_lb[bd_cov])&gt;interactive!$C$6))</f>
        <v>0.16751086530188194</v>
      </c>
      <c r="AX13" s="33">
        <f>SUMPRODUCT((lmic_raw_lb[[who_region]:[who_region]]=$A13)*lmic_raw_lb[av_life]*lmic_raw_lb[births]*(LEN(lmic_raw_lb[av_life])&gt;1)*(LEN(lmic_raw_lb[bd_cov])&gt;interactive!$C$6))/SUMPRODUCT((lmic_raw_lb[[who_region]:[who_region]]=$A13)*lmic_raw_lb[births]*(LEN(lmic_raw_lb[av_life])&gt;1)*(LEN(lmic_raw_lb[bd_cov])&gt;interactive!$C$6))</f>
        <v>68.348535564183706</v>
      </c>
    </row>
    <row r="14" spans="1:51" x14ac:dyDescent="0.25">
      <c r="A14" s="33" t="s">
        <v>675</v>
      </c>
      <c r="J14" s="33">
        <f>SUMPRODUCT((lmic_raw_lb[[who_region]:[who_region]]=$A14)*lmic_raw_lb[fac_birth]*lmic_raw_lb[births]*(LEN(lmic_raw_lb[fac_birth])&gt;1)*(LEN(lmic_raw_lb[bd_cov])&gt;interactive!$C$6))/SUMPRODUCT((lmic_raw_lb[[who_region]:[who_region]]=$A14)*lmic_raw_lb[births]*(LEN(lmic_raw_lb[fac_birth])&gt;1)*(LEN(lmic_raw_lb[bd_cov])&gt;interactive!$C$6))</f>
        <v>0.92711115081733819</v>
      </c>
      <c r="K14" s="33">
        <f>SUMPRODUCT((lmic_raw_lb[[who_region]:[who_region]]=$A14)*lmic_raw_lb[bd_cov]*lmic_raw_lb[births]*(LEN(lmic_raw_lb[bd_cov])&gt;interactive!$C$6))/SUMPRODUCT((lmic_raw_lb[[who_region]:[who_region]]=$A14)*lmic_raw_lb[births]*(LEN(lmic_raw_lb[bd_cov])&gt;interactive!$C$6))</f>
        <v>0.89520609099924997</v>
      </c>
      <c r="L14" s="33">
        <f>SUMPRODUCT((lmic_raw_lb[[who_region]:[who_region]]=$A14)*lmic_raw_lb[hbv3_cov]*lmic_raw_lb[births]*(LEN(lmic_raw_lb[hbv3_cov])&gt;1)*(LEN(lmic_raw_lb[bd_cov])&gt;interactive!$C$6))/SUMPRODUCT((lmic_raw_lb[[who_region]:[who_region]]=$A14)*lmic_raw_lb[births]*(LEN(lmic_raw_lb[hbv3_cov])&gt;1)*(LEN(lmic_raw_lb[bd_cov])&gt;interactive!$C$6))</f>
        <v>0.89868539084753163</v>
      </c>
      <c r="M14" s="33">
        <f>SUMPRODUCT((lmic_raw_lb[[who_region]:[who_region]]=$A14)*lmic_raw_lb[hbv_prev]*lmic_raw_lb[pop]*(LEN(lmic_raw_lb[hbv_prev])&gt;1)*(LEN(lmic_raw_lb[bd_cov])&gt;interactive!$C$6))/SUMPRODUCT((lmic_raw_lb[[who_region]:[who_region]]=$A14)*lmic_raw_lb[pop]*(LEN(lmic_raw_lb[hbv_prev])&gt;1)*(LEN(lmic_raw_lb[bd_cov])&gt;interactive!$C$6))</f>
        <v>2.0017784054035807E-2</v>
      </c>
      <c r="N14" s="33">
        <f>SUMPRODUCT((lmic_raw_lb[[who_region]:[who_region]]=$A14)*lmic_raw_lb[hbe_prev]*lmic_raw_lb[pop]*(LEN(lmic_raw_lb[hbe_prev])&gt;1)*(LEN(lmic_raw_lb[bd_cov])&gt;interactive!$C$6))/SUMPRODUCT((lmic_raw_lb[[who_region]:[who_region]]=$A14)*lmic_raw_lb[pop]*(LEN(lmic_raw_lb[hbe_prev])&gt;1)*(LEN(lmic_raw_lb[bd_cov])&gt;interactive!$C$6))</f>
        <v>0.15910218010126298</v>
      </c>
      <c r="O14" s="33">
        <f>SUMPRODUCT((lmic_raw_lb[[who_region]:[who_region]]=$A14)*lmic_raw_lb[epos]*lmic_raw_lb[pop]*(LEN(lmic_raw_lb[epos])&gt;1)*(LEN(lmic_raw_lb[bd_cov])&gt;interactive!$C$6))/SUMPRODUCT((lmic_raw_lb[[who_region]:[who_region]]=$A14)*lmic_raw_lb[pop]*(LEN(lmic_raw_lb[epos])&gt;1)*(LEN(lmic_raw_lb[bd_cov])&gt;interactive!$C$6))</f>
        <v>0.7</v>
      </c>
      <c r="P14" s="33">
        <f>SUMPRODUCT((lmic_raw_lb[[who_region]:[who_region]]=$A14)*lmic_raw_lb[eneg]*lmic_raw_lb[pop]*(LEN(lmic_raw_lb[eneg])&gt;1)*(LEN(lmic_raw_lb[bd_cov])&gt;interactive!$C$6))/SUMPRODUCT((lmic_raw_lb[[who_region]:[who_region]]=$A14)*lmic_raw_lb[pop]*(LEN(lmic_raw_lb[eneg])&gt;1)*(LEN(lmic_raw_lb[bd_cov])&gt;interactive!$C$6))</f>
        <v>0.05</v>
      </c>
      <c r="Q14" s="33">
        <f>SUMPRODUCT((lmic_raw_lb[[who_region]:[who_region]]=$A14)*lmic_raw_lb[c_diag]*lmic_raw_lb[births]*(LEN(lmic_raw_lb[c_diag])&gt;1)*(LEN(lmic_raw_lb[bd_cov])&gt;interactive!$C$6))/SUMPRODUCT((lmic_raw_lb[[who_region]:[who_region]]=$A14)*lmic_raw_lb[births]*(LEN(lmic_raw_lb[c_diag])&gt;1)*(LEN(lmic_raw_lb[bd_cov])&gt;interactive!$C$6))</f>
        <v>9.8128573059501871</v>
      </c>
      <c r="R14" s="33">
        <f>SUMPRODUCT((lmic_raw_lb[[who_region]:[who_region]]=$A14)*lmic_raw_lb[c_C]*lmic_raw_lb[births]*(LEN(lmic_raw_lb[c_C])&gt;1)*(LEN(lmic_raw_lb[bd_cov])&gt;interactive!$C$6))/SUMPRODUCT((lmic_raw_lb[[who_region]:[who_region]]=$A14)*lmic_raw_lb[births]*(LEN(lmic_raw_lb[c_C])&gt;1)*(LEN(lmic_raw_lb[bd_cov])&gt;interactive!$C$6))</f>
        <v>42.84752116821651</v>
      </c>
      <c r="S14" s="33">
        <f>SUMPRODUCT((lmic_raw_lb[[who_region]:[who_region]]=$A14)*lmic_raw_lb[c_CC]*lmic_raw_lb[births]*(LEN(lmic_raw_lb[c_CC])&gt;1)*(LEN(lmic_raw_lb[bd_cov])&gt;interactive!$C$6))/SUMPRODUCT((lmic_raw_lb[[who_region]:[who_region]]=$A14)*lmic_raw_lb[births]*(LEN(lmic_raw_lb[c_CC])&gt;1)*(LEN(lmic_raw_lb[bd_cov])&gt;interactive!$C$6))</f>
        <v>88.202421168216517</v>
      </c>
      <c r="T14" s="33">
        <f>SUMPRODUCT((lmic_raw_lb[[who_region]:[who_region]]=$A14)*lmic_raw_lb[c_DC]*lmic_raw_lb[births]*(LEN(lmic_raw_lb[c_DC])&gt;1)*(LEN(lmic_raw_lb[bd_cov])&gt;interactive!$C$6))/SUMPRODUCT((lmic_raw_lb[[who_region]:[who_region]]=$A14)*lmic_raw_lb[births]*(LEN(lmic_raw_lb[c_DC])&gt;1)*(LEN(lmic_raw_lb[bd_cov])&gt;interactive!$C$6))</f>
        <v>88.202421168216517</v>
      </c>
      <c r="U14" s="33">
        <f>SUMPRODUCT((lmic_raw_lb[[who_region]:[who_region]]=$A14)*lmic_raw_lb[c_HCC]*lmic_raw_lb[births]*(LEN(lmic_raw_lb[c_HCC])&gt;1)*(LEN(lmic_raw_lb[bd_cov])&gt;interactive!$C$6))/SUMPRODUCT((lmic_raw_lb[[who_region]:[who_region]]=$A14)*lmic_raw_lb[births]*(LEN(lmic_raw_lb[c_HCC])&gt;1)*(LEN(lmic_raw_lb[bd_cov])&gt;interactive!$C$6))</f>
        <v>88.202421168216517</v>
      </c>
      <c r="V14" s="33">
        <f>SUMPRODUCT((lmic_raw_lb[[who_region]:[who_region]]=$A14)*lmic_raw_lb[bl1_f]*lmic_raw_lb[births]*(LEN(lmic_raw_lb[bl1_f])&gt;1)*(LEN(lmic_raw_lb[bd_cov])&gt;interactive!$C$6))/SUMPRODUCT((lmic_raw_lb[[who_region]:[who_region]]=$A14)*lmic_raw_lb[births]*(LEN(lmic_raw_lb[bl1_f])&gt;1)*(LEN(lmic_raw_lb[bd_cov])&gt;interactive!$C$6))</f>
        <v>1.6585369194268593</v>
      </c>
      <c r="W14" s="33">
        <f>SUMPRODUCT((lmic_raw_lb[[who_region]:[who_region]]=$A14)*lmic_raw_lb[bl1_c]*lmic_raw_lb[births]*(LEN(lmic_raw_lb[bl1_c])&gt;1)*(LEN(lmic_raw_lb[bd_cov])&gt;interactive!$C$6))/SUMPRODUCT((lmic_raw_lb[[who_region]:[who_region]]=$A14)*lmic_raw_lb[births]*(LEN(lmic_raw_lb[bl1_c])&gt;1)*(LEN(lmic_raw_lb[bd_cov])&gt;interactive!$C$6))</f>
        <v>4.4502240749224402</v>
      </c>
      <c r="X14" s="33">
        <f>SUMPRODUCT((lmic_raw_lb[[who_region]:[who_region]]=$A14)*lmic_raw_lb[map_f]*lmic_raw_lb[births]*(LEN(lmic_raw_lb[map_f])&gt;1)*(LEN(lmic_raw_lb[bd_cov])&gt;interactive!$C$6))/SUMPRODUCT((lmic_raw_lb[[who_region]:[who_region]]=$A14)*lmic_raw_lb[births]*(LEN(lmic_raw_lb[map_f])&gt;1)*(LEN(lmic_raw_lb[bd_cov])&gt;interactive!$C$6))</f>
        <v>1.2875472636274654</v>
      </c>
      <c r="Y14" s="33">
        <f>SUMPRODUCT((lmic_raw_lb[[who_region]:[who_region]]=$A14)*lmic_raw_lb[map_cq]*lmic_raw_lb[births]*(LEN(lmic_raw_lb[map_cq])&gt;1)*(LEN(lmic_raw_lb[bd_cov])&gt;interactive!$C$6))/SUMPRODUCT((lmic_raw_lb[[who_region]:[who_region]]=$A14)*lmic_raw_lb[births]*(LEN(lmic_raw_lb[map_cq])&gt;1)*(LEN(lmic_raw_lb[bd_cov])&gt;interactive!$C$6))</f>
        <v>4.0792344191230461</v>
      </c>
      <c r="Z14" s="33">
        <f>SUMPRODUCT((lmic_raw_lb[[who_region]:[who_region]]=$A14)*lmic_raw_lb[map_cl]*lmic_raw_lb[births]*(LEN(lmic_raw_lb[map_cl])&gt;1)*(LEN(lmic_raw_lb[bd_cov])&gt;interactive!$C$6))/SUMPRODUCT((lmic_raw_lb[[who_region]:[who_region]]=$A14)*lmic_raw_lb[births]*(LEN(lmic_raw_lb[map_cl])&gt;1)*(LEN(lmic_raw_lb[bd_cov])&gt;interactive!$C$6))</f>
        <v>4.0733877314875366</v>
      </c>
      <c r="AA14" s="33">
        <f>SUMPRODUCT((lmic_raw_lb[[who_region]:[who_region]]=$A14)*lmic_raw_lb[ctc_f]*lmic_raw_lb[births]*(LEN(lmic_raw_lb[ctc_f])&gt;1)*(LEN(lmic_raw_lb[bd_cov])&gt;interactive!$C$6))/SUMPRODUCT((lmic_raw_lb[[who_region]:[who_region]]=$A14)*lmic_raw_lb[births]*(LEN(lmic_raw_lb[ctc_f])&gt;1)*(LEN(lmic_raw_lb[bd_cov])&gt;interactive!$C$6))</f>
        <v>1.8721740178622395</v>
      </c>
      <c r="AB14" s="33">
        <f>SUMPRODUCT((lmic_raw_lb[[who_region]:[who_region]]=$A14)*lmic_raw_lb[ctc_c]*lmic_raw_lb[births]*(LEN(lmic_raw_lb[ctc_c])&gt;1)*(LEN(lmic_raw_lb[bd_cov])&gt;interactive!$C$6))/SUMPRODUCT((lmic_raw_lb[[who_region]:[who_region]]=$A14)*lmic_raw_lb[births]*(LEN(lmic_raw_lb[ctc_c])&gt;1)*(LEN(lmic_raw_lb[bd_cov])&gt;interactive!$C$6))</f>
        <v>4.6638611733578204</v>
      </c>
      <c r="AC14" s="33">
        <f>SUMPRODUCT((lmic_raw_lb[[who_region]:[who_region]]=$A14)*lmic_raw_lb[m_01]*lmic_raw_lb[births]*(LEN(lmic_raw_lb[m_01])&gt;1)*(LEN(lmic_raw_lb[bd_cov])&gt;interactive!$C$6))/SUMPRODUCT((lmic_raw_lb[[who_region]:[who_region]]=$A14)*lmic_raw_lb[births]*(LEN(lmic_raw_lb[m_01])&gt;1)*(LEN(lmic_raw_lb[bd_cov])&gt;interactive!$C$6))</f>
        <v>1.287631227812347E-2</v>
      </c>
      <c r="AD14" s="33">
        <f>SUMPRODUCT((lmic_raw_lb[[who_region]:[who_region]]=$A14)*lmic_raw_lb[m_14]*lmic_raw_lb[births]*(LEN(lmic_raw_lb[m_14])&gt;1)*(LEN(lmic_raw_lb[bd_cov])&gt;interactive!$C$6))/SUMPRODUCT((lmic_raw_lb[[who_region]:[who_region]]=$A14)*lmic_raw_lb[births]*(LEN(lmic_raw_lb[m_14])&gt;1)*(LEN(lmic_raw_lb[bd_cov])&gt;interactive!$C$6))</f>
        <v>8.342245656895622E-4</v>
      </c>
      <c r="AE14" s="33">
        <f>SUMPRODUCT((lmic_raw_lb[[who_region]:[who_region]]=$A14)*lmic_raw_lb[m_59]*lmic_raw_lb[births]*(LEN(lmic_raw_lb[m_59])&gt;1)*(LEN(lmic_raw_lb[bd_cov])&gt;interactive!$C$6))/SUMPRODUCT((lmic_raw_lb[[who_region]:[who_region]]=$A14)*lmic_raw_lb[births]*(LEN(lmic_raw_lb[m_59])&gt;1)*(LEN(lmic_raw_lb[bd_cov])&gt;interactive!$C$6))</f>
        <v>3.6414030165594382E-4</v>
      </c>
      <c r="AF14" s="33">
        <f>SUMPRODUCT((lmic_raw_lb[[who_region]:[who_region]]=$A14)*lmic_raw_lb[m_1014]*lmic_raw_lb[births]*(LEN(lmic_raw_lb[m_1014])&gt;1)*(LEN(lmic_raw_lb[bd_cov])&gt;interactive!$C$6))/SUMPRODUCT((lmic_raw_lb[[who_region]:[who_region]]=$A14)*lmic_raw_lb[births]*(LEN(lmic_raw_lb[m_1014])&gt;1)*(LEN(lmic_raw_lb[bd_cov])&gt;interactive!$C$6))</f>
        <v>3.475325422275908E-4</v>
      </c>
      <c r="AG14" s="33">
        <f>SUMPRODUCT((lmic_raw_lb[[who_region]:[who_region]]=$A14)*lmic_raw_lb[m_1519]*lmic_raw_lb[births]*(LEN(lmic_raw_lb[m_1519])&gt;1)*(LEN(lmic_raw_lb[bd_cov])&gt;interactive!$C$6))/SUMPRODUCT((lmic_raw_lb[[who_region]:[who_region]]=$A14)*lmic_raw_lb[births]*(LEN(lmic_raw_lb[m_1519])&gt;1)*(LEN(lmic_raw_lb[bd_cov])&gt;interactive!$C$6))</f>
        <v>5.3401364751342196E-4</v>
      </c>
      <c r="AH14" s="33">
        <f>SUMPRODUCT((lmic_raw_lb[[who_region]:[who_region]]=$A14)*lmic_raw_lb[m_2024]*lmic_raw_lb[births]*(LEN(lmic_raw_lb[m_2024])&gt;1)*(LEN(lmic_raw_lb[bd_cov])&gt;interactive!$C$6))/SUMPRODUCT((lmic_raw_lb[[who_region]:[who_region]]=$A14)*lmic_raw_lb[births]*(LEN(lmic_raw_lb[m_2024])&gt;1)*(LEN(lmic_raw_lb[bd_cov])&gt;interactive!$C$6))</f>
        <v>7.674383645076405E-4</v>
      </c>
      <c r="AI14" s="33">
        <f>SUMPRODUCT((lmic_raw_lb[[who_region]:[who_region]]=$A14)*lmic_raw_lb[m_2529]*lmic_raw_lb[births]*(LEN(lmic_raw_lb[m_2529])&gt;1)*(LEN(lmic_raw_lb[bd_cov])&gt;interactive!$C$6))/SUMPRODUCT((lmic_raw_lb[[who_region]:[who_region]]=$A14)*lmic_raw_lb[births]*(LEN(lmic_raw_lb[m_2529])&gt;1)*(LEN(lmic_raw_lb[bd_cov])&gt;interactive!$C$6))</f>
        <v>1.0117333280425164E-3</v>
      </c>
      <c r="AJ14" s="33">
        <f>SUMPRODUCT((lmic_raw_lb[[who_region]:[who_region]]=$A14)*lmic_raw_lb[m_3034]*lmic_raw_lb[births]*(LEN(lmic_raw_lb[m_3034])&gt;1)*(LEN(lmic_raw_lb[bd_cov])&gt;interactive!$C$6))/SUMPRODUCT((lmic_raw_lb[[who_region]:[who_region]]=$A14)*lmic_raw_lb[births]*(LEN(lmic_raw_lb[m_3034])&gt;1)*(LEN(lmic_raw_lb[bd_cov])&gt;interactive!$C$6))</f>
        <v>1.3926191302981541E-3</v>
      </c>
      <c r="AK14" s="33">
        <f>SUMPRODUCT((lmic_raw_lb[[who_region]:[who_region]]=$A14)*lmic_raw_lb[m_3539]*lmic_raw_lb[births]*(LEN(lmic_raw_lb[m_3539])&gt;1)*(LEN(lmic_raw_lb[bd_cov])&gt;interactive!$C$6))/SUMPRODUCT((lmic_raw_lb[[who_region]:[who_region]]=$A14)*lmic_raw_lb[births]*(LEN(lmic_raw_lb[m_3539])&gt;1)*(LEN(lmic_raw_lb[bd_cov])&gt;interactive!$C$6))</f>
        <v>1.9257649824782957E-3</v>
      </c>
      <c r="AL14" s="33">
        <f>SUMPRODUCT((lmic_raw_lb[[who_region]:[who_region]]=$A14)*lmic_raw_lb[m_4044]*lmic_raw_lb[births]*(LEN(lmic_raw_lb[m_4044])&gt;1)*(LEN(lmic_raw_lb[bd_cov])&gt;interactive!$C$6))/SUMPRODUCT((lmic_raw_lb[[who_region]:[who_region]]=$A14)*lmic_raw_lb[births]*(LEN(lmic_raw_lb[m_4044])&gt;1)*(LEN(lmic_raw_lb[bd_cov])&gt;interactive!$C$6))</f>
        <v>2.6163240495020094E-3</v>
      </c>
      <c r="AM14" s="33">
        <f>SUMPRODUCT((lmic_raw_lb[[who_region]:[who_region]]=$A14)*lmic_raw_lb[m_4549]*lmic_raw_lb[births]*(LEN(lmic_raw_lb[m_4549])&gt;1)*(LEN(lmic_raw_lb[bd_cov])&gt;interactive!$C$6))/SUMPRODUCT((lmic_raw_lb[[who_region]:[who_region]]=$A14)*lmic_raw_lb[births]*(LEN(lmic_raw_lb[m_4549])&gt;1)*(LEN(lmic_raw_lb[bd_cov])&gt;interactive!$C$6))</f>
        <v>3.707348976568034E-3</v>
      </c>
      <c r="AN14" s="33">
        <f>SUMPRODUCT((lmic_raw_lb[[who_region]:[who_region]]=$A14)*lmic_raw_lb[m_5054]*lmic_raw_lb[births]*(LEN(lmic_raw_lb[m_5054])&gt;1)*(LEN(lmic_raw_lb[bd_cov])&gt;interactive!$C$6))/SUMPRODUCT((lmic_raw_lb[[who_region]:[who_region]]=$A14)*lmic_raw_lb[births]*(LEN(lmic_raw_lb[m_5054])&gt;1)*(LEN(lmic_raw_lb[bd_cov])&gt;interactive!$C$6))</f>
        <v>5.5501555000671936E-3</v>
      </c>
      <c r="AO14" s="33">
        <f>SUMPRODUCT((lmic_raw_lb[[who_region]:[who_region]]=$A14)*lmic_raw_lb[m_5559]*lmic_raw_lb[births]*(LEN(lmic_raw_lb[m_5559])&gt;1)*(LEN(lmic_raw_lb[bd_cov])&gt;interactive!$C$6))/SUMPRODUCT((lmic_raw_lb[[who_region]:[who_region]]=$A14)*lmic_raw_lb[births]*(LEN(lmic_raw_lb[m_5559])&gt;1)*(LEN(lmic_raw_lb[bd_cov])&gt;interactive!$C$6))</f>
        <v>8.6338533631563196E-3</v>
      </c>
      <c r="AP14" s="33">
        <f>SUMPRODUCT((lmic_raw_lb[[who_region]:[who_region]]=$A14)*lmic_raw_lb[m_6064]*lmic_raw_lb[births]*(LEN(lmic_raw_lb[m_6064])&gt;1)*(LEN(lmic_raw_lb[bd_cov])&gt;interactive!$C$6))/SUMPRODUCT((lmic_raw_lb[[who_region]:[who_region]]=$A14)*lmic_raw_lb[births]*(LEN(lmic_raw_lb[m_6064])&gt;1)*(LEN(lmic_raw_lb[bd_cov])&gt;interactive!$C$6))</f>
        <v>1.3676436291746927E-2</v>
      </c>
      <c r="AQ14" s="33">
        <f>SUMPRODUCT((lmic_raw_lb[[who_region]:[who_region]]=$A14)*lmic_raw_lb[m_6569]*lmic_raw_lb[births]*(LEN(lmic_raw_lb[m_6569])&gt;1)*(LEN(lmic_raw_lb[bd_cov])&gt;interactive!$C$6))/SUMPRODUCT((lmic_raw_lb[[who_region]:[who_region]]=$A14)*lmic_raw_lb[births]*(LEN(lmic_raw_lb[m_6569])&gt;1)*(LEN(lmic_raw_lb[bd_cov])&gt;interactive!$C$6))</f>
        <v>2.0544268214182947E-2</v>
      </c>
      <c r="AR14" s="33">
        <f>SUMPRODUCT((lmic_raw_lb[[who_region]:[who_region]]=$A14)*lmic_raw_lb[m_7074]*lmic_raw_lb[births]*(LEN(lmic_raw_lb[m_7074])&gt;1)*(LEN(lmic_raw_lb[bd_cov])&gt;interactive!$C$6))/SUMPRODUCT((lmic_raw_lb[[who_region]:[who_region]]=$A14)*lmic_raw_lb[births]*(LEN(lmic_raw_lb[m_7074])&gt;1)*(LEN(lmic_raw_lb[bd_cov])&gt;interactive!$C$6))</f>
        <v>3.3126760045078481E-2</v>
      </c>
      <c r="AS14" s="33">
        <f>SUMPRODUCT((lmic_raw_lb[[who_region]:[who_region]]=$A14)*lmic_raw_lb[m_7079]*lmic_raw_lb[births]*(LEN(lmic_raw_lb[m_7079])&gt;1)*(LEN(lmic_raw_lb[bd_cov])&gt;interactive!$C$6))/SUMPRODUCT((lmic_raw_lb[[who_region]:[who_region]]=$A14)*lmic_raw_lb[births]*(LEN(lmic_raw_lb[m_7079])&gt;1)*(LEN(lmic_raw_lb[bd_cov])&gt;interactive!$C$6))</f>
        <v>5.2340783604133773E-2</v>
      </c>
      <c r="AT14" s="33">
        <f>SUMPRODUCT((lmic_raw_lb[[who_region]:[who_region]]=$A14)*lmic_raw_lb[m_8084]*lmic_raw_lb[births]*(LEN(lmic_raw_lb[m_8084])&gt;1)*(LEN(lmic_raw_lb[bd_cov])&gt;interactive!$C$6))/SUMPRODUCT((lmic_raw_lb[[who_region]:[who_region]]=$A14)*lmic_raw_lb[births]*(LEN(lmic_raw_lb[m_8084])&gt;1)*(LEN(lmic_raw_lb[bd_cov])&gt;interactive!$C$6))</f>
        <v>7.8988977606249636E-2</v>
      </c>
      <c r="AU14" s="33">
        <f>SUMPRODUCT((lmic_raw_lb[[who_region]:[who_region]]=$A14)*lmic_raw_lb[m_8589]*lmic_raw_lb[births]*(LEN(lmic_raw_lb[m_8589])&gt;1)*(LEN(lmic_raw_lb[bd_cov])&gt;interactive!$C$6))/SUMPRODUCT((lmic_raw_lb[[who_region]:[who_region]]=$A14)*lmic_raw_lb[births]*(LEN(lmic_raw_lb[m_8589])&gt;1)*(LEN(lmic_raw_lb[bd_cov])&gt;interactive!$C$6))</f>
        <v>0.10998059087403096</v>
      </c>
      <c r="AV14" s="33">
        <f>SUMPRODUCT((lmic_raw_lb[[who_region]:[who_region]]=$A14)*lmic_raw_lb[m_9094]*lmic_raw_lb[births]*(LEN(lmic_raw_lb[m_9094])&gt;1)*(LEN(lmic_raw_lb[bd_cov])&gt;interactive!$C$6))/SUMPRODUCT((lmic_raw_lb[[who_region]:[who_region]]=$A14)*lmic_raw_lb[births]*(LEN(lmic_raw_lb[m_9094])&gt;1)*(LEN(lmic_raw_lb[bd_cov])&gt;interactive!$C$6))</f>
        <v>0.14010987794061994</v>
      </c>
      <c r="AW14" s="33">
        <f>SUMPRODUCT((lmic_raw_lb[[who_region]:[who_region]]=$A14)*lmic_raw_lb[m_95+]*lmic_raw_lb[births]*(LEN(lmic_raw_lb[m_95+])&gt;1)*(LEN(lmic_raw_lb[bd_cov])&gt;interactive!$C$6))/SUMPRODUCT((lmic_raw_lb[[who_region]:[who_region]]=$A14)*lmic_raw_lb[births]*(LEN(lmic_raw_lb[m_95+])&gt;1)*(LEN(lmic_raw_lb[bd_cov])&gt;interactive!$C$6))</f>
        <v>0.16294141556543845</v>
      </c>
      <c r="AX14" s="33">
        <f>SUMPRODUCT((lmic_raw_lb[[who_region]:[who_region]]=$A14)*lmic_raw_lb[av_life]*lmic_raw_lb[births]*(LEN(lmic_raw_lb[av_life])&gt;1)*(LEN(lmic_raw_lb[bd_cov])&gt;interactive!$C$6))/SUMPRODUCT((lmic_raw_lb[[who_region]:[who_region]]=$A14)*lmic_raw_lb[births]*(LEN(lmic_raw_lb[av_life])&gt;1)*(LEN(lmic_raw_lb[bd_cov])&gt;interactive!$C$6))</f>
        <v>70.236135540081392</v>
      </c>
    </row>
    <row r="15" spans="1:51" x14ac:dyDescent="0.25">
      <c r="A15" s="33" t="s">
        <v>680</v>
      </c>
      <c r="J15" s="33">
        <f>SUMPRODUCT((lmic_raw_lb[[who_region]:[who_region]]=$A15)*lmic_raw_lb[fac_birth]*lmic_raw_lb[births]*(LEN(lmic_raw_lb[fac_birth])&gt;1)*(LEN(lmic_raw_lb[bd_cov])&gt;interactive!$C$6))/SUMPRODUCT((lmic_raw_lb[[who_region]:[who_region]]=$A15)*lmic_raw_lb[births]*(LEN(lmic_raw_lb[fac_birth])&gt;1)*(LEN(lmic_raw_lb[bd_cov])&gt;interactive!$C$6))</f>
        <v>0.74309669357463726</v>
      </c>
      <c r="K15" s="33">
        <f>SUMPRODUCT((lmic_raw_lb[[who_region]:[who_region]]=$A15)*lmic_raw_lb[bd_cov]*lmic_raw_lb[births]*(LEN(lmic_raw_lb[bd_cov])&gt;interactive!$C$6))/SUMPRODUCT((lmic_raw_lb[[who_region]:[who_region]]=$A15)*lmic_raw_lb[births]*(LEN(lmic_raw_lb[bd_cov])&gt;interactive!$C$6))</f>
        <v>0.57649863203958862</v>
      </c>
      <c r="L15" s="33">
        <f>SUMPRODUCT((lmic_raw_lb[[who_region]:[who_region]]=$A15)*lmic_raw_lb[hbv3_cov]*lmic_raw_lb[births]*(LEN(lmic_raw_lb[hbv3_cov])&gt;1)*(LEN(lmic_raw_lb[bd_cov])&gt;interactive!$C$6))/SUMPRODUCT((lmic_raw_lb[[who_region]:[who_region]]=$A15)*lmic_raw_lb[births]*(LEN(lmic_raw_lb[hbv3_cov])&gt;1)*(LEN(lmic_raw_lb[bd_cov])&gt;interactive!$C$6))</f>
        <v>0.85724670126119196</v>
      </c>
      <c r="M15" s="33">
        <f>SUMPRODUCT((lmic_raw_lb[[who_region]:[who_region]]=$A15)*lmic_raw_lb[hbv_prev]*lmic_raw_lb[pop]*(LEN(lmic_raw_lb[hbv_prev])&gt;1)*(LEN(lmic_raw_lb[bd_cov])&gt;interactive!$C$6))/SUMPRODUCT((lmic_raw_lb[[who_region]:[who_region]]=$A15)*lmic_raw_lb[pop]*(LEN(lmic_raw_lb[hbv_prev])&gt;1)*(LEN(lmic_raw_lb[bd_cov])&gt;interactive!$C$6))</f>
        <v>1.3435717538280481E-2</v>
      </c>
      <c r="N15" s="33">
        <f>SUMPRODUCT((lmic_raw_lb[[who_region]:[who_region]]=$A15)*lmic_raw_lb[hbe_prev]*lmic_raw_lb[pop]*(LEN(lmic_raw_lb[hbe_prev])&gt;1)*(LEN(lmic_raw_lb[bd_cov])&gt;interactive!$C$6))/SUMPRODUCT((lmic_raw_lb[[who_region]:[who_region]]=$A15)*lmic_raw_lb[pop]*(LEN(lmic_raw_lb[hbe_prev])&gt;1)*(LEN(lmic_raw_lb[bd_cov])&gt;interactive!$C$6))</f>
        <v>0.15596915812879805</v>
      </c>
      <c r="O15" s="33">
        <f>SUMPRODUCT((lmic_raw_lb[[who_region]:[who_region]]=$A15)*lmic_raw_lb[epos]*lmic_raw_lb[pop]*(LEN(lmic_raw_lb[epos])&gt;1)*(LEN(lmic_raw_lb[bd_cov])&gt;interactive!$C$6))/SUMPRODUCT((lmic_raw_lb[[who_region]:[who_region]]=$A15)*lmic_raw_lb[pop]*(LEN(lmic_raw_lb[epos])&gt;1)*(LEN(lmic_raw_lb[bd_cov])&gt;interactive!$C$6))</f>
        <v>0.7</v>
      </c>
      <c r="P15" s="33">
        <f>SUMPRODUCT((lmic_raw_lb[[who_region]:[who_region]]=$A15)*lmic_raw_lb[eneg]*lmic_raw_lb[pop]*(LEN(lmic_raw_lb[eneg])&gt;1)*(LEN(lmic_raw_lb[bd_cov])&gt;interactive!$C$6))/SUMPRODUCT((lmic_raw_lb[[who_region]:[who_region]]=$A15)*lmic_raw_lb[pop]*(LEN(lmic_raw_lb[eneg])&gt;1)*(LEN(lmic_raw_lb[bd_cov])&gt;interactive!$C$6))</f>
        <v>4.9999999999999989E-2</v>
      </c>
      <c r="Q15" s="33">
        <f>SUMPRODUCT((lmic_raw_lb[[who_region]:[who_region]]=$A15)*lmic_raw_lb[c_diag]*lmic_raw_lb[births]*(LEN(lmic_raw_lb[c_diag])&gt;1)*(LEN(lmic_raw_lb[bd_cov])&gt;interactive!$C$6))/SUMPRODUCT((lmic_raw_lb[[who_region]:[who_region]]=$A15)*lmic_raw_lb[births]*(LEN(lmic_raw_lb[c_diag])&gt;1)*(LEN(lmic_raw_lb[bd_cov])&gt;interactive!$C$6))</f>
        <v>3.8631075850141383</v>
      </c>
      <c r="R15" s="33">
        <f>SUMPRODUCT((lmic_raw_lb[[who_region]:[who_region]]=$A15)*lmic_raw_lb[c_C]*lmic_raw_lb[births]*(LEN(lmic_raw_lb[c_C])&gt;1)*(LEN(lmic_raw_lb[bd_cov])&gt;interactive!$C$6))/SUMPRODUCT((lmic_raw_lb[[who_region]:[who_region]]=$A15)*lmic_raw_lb[births]*(LEN(lmic_raw_lb[c_C])&gt;1)*(LEN(lmic_raw_lb[bd_cov])&gt;interactive!$C$6))</f>
        <v>49.329066712501238</v>
      </c>
      <c r="S15" s="33">
        <f>SUMPRODUCT((lmic_raw_lb[[who_region]:[who_region]]=$A15)*lmic_raw_lb[c_CC]*lmic_raw_lb[births]*(LEN(lmic_raw_lb[c_CC])&gt;1)*(LEN(lmic_raw_lb[bd_cov])&gt;interactive!$C$6))/SUMPRODUCT((lmic_raw_lb[[who_region]:[who_region]]=$A15)*lmic_raw_lb[births]*(LEN(lmic_raw_lb[c_CC])&gt;1)*(LEN(lmic_raw_lb[bd_cov])&gt;interactive!$C$6))</f>
        <v>94.68396671250126</v>
      </c>
      <c r="T15" s="33">
        <f>SUMPRODUCT((lmic_raw_lb[[who_region]:[who_region]]=$A15)*lmic_raw_lb[c_DC]*lmic_raw_lb[births]*(LEN(lmic_raw_lb[c_DC])&gt;1)*(LEN(lmic_raw_lb[bd_cov])&gt;interactive!$C$6))/SUMPRODUCT((lmic_raw_lb[[who_region]:[who_region]]=$A15)*lmic_raw_lb[births]*(LEN(lmic_raw_lb[c_DC])&gt;1)*(LEN(lmic_raw_lb[bd_cov])&gt;interactive!$C$6))</f>
        <v>94.68396671250126</v>
      </c>
      <c r="U15" s="33">
        <f>SUMPRODUCT((lmic_raw_lb[[who_region]:[who_region]]=$A15)*lmic_raw_lb[c_HCC]*lmic_raw_lb[births]*(LEN(lmic_raw_lb[c_HCC])&gt;1)*(LEN(lmic_raw_lb[bd_cov])&gt;interactive!$C$6))/SUMPRODUCT((lmic_raw_lb[[who_region]:[who_region]]=$A15)*lmic_raw_lb[births]*(LEN(lmic_raw_lb[c_HCC])&gt;1)*(LEN(lmic_raw_lb[bd_cov])&gt;interactive!$C$6))</f>
        <v>94.68396671250126</v>
      </c>
      <c r="V15" s="33">
        <f>SUMPRODUCT((lmic_raw_lb[[who_region]:[who_region]]=$A15)*lmic_raw_lb[bl1_f]*lmic_raw_lb[births]*(LEN(lmic_raw_lb[bl1_f])&gt;1)*(LEN(lmic_raw_lb[bd_cov])&gt;interactive!$C$6))/SUMPRODUCT((lmic_raw_lb[[who_region]:[who_region]]=$A15)*lmic_raw_lb[births]*(LEN(lmic_raw_lb[bl1_f])&gt;1)*(LEN(lmic_raw_lb[bd_cov])&gt;interactive!$C$6))</f>
        <v>0.68549557599131417</v>
      </c>
      <c r="W15" s="33">
        <f>SUMPRODUCT((lmic_raw_lb[[who_region]:[who_region]]=$A15)*lmic_raw_lb[bl1_c]*lmic_raw_lb[births]*(LEN(lmic_raw_lb[bl1_c])&gt;1)*(LEN(lmic_raw_lb[bd_cov])&gt;interactive!$C$6))/SUMPRODUCT((lmic_raw_lb[[who_region]:[who_region]]=$A15)*lmic_raw_lb[births]*(LEN(lmic_raw_lb[bl1_c])&gt;1)*(LEN(lmic_raw_lb[bd_cov])&gt;interactive!$C$6))</f>
        <v>2.6302280840663004</v>
      </c>
      <c r="X15" s="33">
        <f>SUMPRODUCT((lmic_raw_lb[[who_region]:[who_region]]=$A15)*lmic_raw_lb[map_f]*lmic_raw_lb[births]*(LEN(lmic_raw_lb[map_f])&gt;1)*(LEN(lmic_raw_lb[bd_cov])&gt;interactive!$C$6))/SUMPRODUCT((lmic_raw_lb[[who_region]:[who_region]]=$A15)*lmic_raw_lb[births]*(LEN(lmic_raw_lb[map_f])&gt;1)*(LEN(lmic_raw_lb[bd_cov])&gt;interactive!$C$6))</f>
        <v>0.31765715291422802</v>
      </c>
      <c r="Y15" s="33">
        <f>SUMPRODUCT((lmic_raw_lb[[who_region]:[who_region]]=$A15)*lmic_raw_lb[map_cq]*lmic_raw_lb[births]*(LEN(lmic_raw_lb[map_cq])&gt;1)*(LEN(lmic_raw_lb[bd_cov])&gt;interactive!$C$6))/SUMPRODUCT((lmic_raw_lb[[who_region]:[who_region]]=$A15)*lmic_raw_lb[births]*(LEN(lmic_raw_lb[map_cq])&gt;1)*(LEN(lmic_raw_lb[bd_cov])&gt;interactive!$C$6))</f>
        <v>2.2623896609892147</v>
      </c>
      <c r="Z15" s="33">
        <f>SUMPRODUCT((lmic_raw_lb[[who_region]:[who_region]]=$A15)*lmic_raw_lb[map_cl]*lmic_raw_lb[births]*(LEN(lmic_raw_lb[map_cl])&gt;1)*(LEN(lmic_raw_lb[bd_cov])&gt;interactive!$C$6))/SUMPRODUCT((lmic_raw_lb[[who_region]:[who_region]]=$A15)*lmic_raw_lb[births]*(LEN(lmic_raw_lb[map_cl])&gt;1)*(LEN(lmic_raw_lb[bd_cov])&gt;interactive!$C$6))</f>
        <v>2.258564932984076</v>
      </c>
      <c r="AA15" s="33">
        <f>SUMPRODUCT((lmic_raw_lb[[who_region]:[who_region]]=$A15)*lmic_raw_lb[ctc_f]*lmic_raw_lb[births]*(LEN(lmic_raw_lb[ctc_f])&gt;1)*(LEN(lmic_raw_lb[bd_cov])&gt;interactive!$C$6))/SUMPRODUCT((lmic_raw_lb[[who_region]:[who_region]]=$A15)*lmic_raw_lb[births]*(LEN(lmic_raw_lb[ctc_f])&gt;1)*(LEN(lmic_raw_lb[bd_cov])&gt;interactive!$C$6))</f>
        <v>0.89778214611713469</v>
      </c>
      <c r="AB15" s="33">
        <f>SUMPRODUCT((lmic_raw_lb[[who_region]:[who_region]]=$A15)*lmic_raw_lb[ctc_c]*lmic_raw_lb[births]*(LEN(lmic_raw_lb[ctc_c])&gt;1)*(LEN(lmic_raw_lb[bd_cov])&gt;interactive!$C$6))/SUMPRODUCT((lmic_raw_lb[[who_region]:[who_region]]=$A15)*lmic_raw_lb[births]*(LEN(lmic_raw_lb[ctc_c])&gt;1)*(LEN(lmic_raw_lb[bd_cov])&gt;interactive!$C$6))</f>
        <v>2.84251465419212</v>
      </c>
      <c r="AC15" s="33">
        <f>SUMPRODUCT((lmic_raw_lb[[who_region]:[who_region]]=$A15)*lmic_raw_lb[m_01]*lmic_raw_lb[births]*(LEN(lmic_raw_lb[m_01])&gt;1)*(LEN(lmic_raw_lb[bd_cov])&gt;interactive!$C$6))/SUMPRODUCT((lmic_raw_lb[[who_region]:[who_region]]=$A15)*lmic_raw_lb[births]*(LEN(lmic_raw_lb[m_01])&gt;1)*(LEN(lmic_raw_lb[bd_cov])&gt;interactive!$C$6))</f>
        <v>2.7923346650225601E-2</v>
      </c>
      <c r="AD15" s="33">
        <f>SUMPRODUCT((lmic_raw_lb[[who_region]:[who_region]]=$A15)*lmic_raw_lb[m_14]*lmic_raw_lb[births]*(LEN(lmic_raw_lb[m_14])&gt;1)*(LEN(lmic_raw_lb[bd_cov])&gt;interactive!$C$6))/SUMPRODUCT((lmic_raw_lb[[who_region]:[who_region]]=$A15)*lmic_raw_lb[births]*(LEN(lmic_raw_lb[m_14])&gt;1)*(LEN(lmic_raw_lb[bd_cov])&gt;interactive!$C$6))</f>
        <v>1.733347201864953E-3</v>
      </c>
      <c r="AE15" s="33">
        <f>SUMPRODUCT((lmic_raw_lb[[who_region]:[who_region]]=$A15)*lmic_raw_lb[m_59]*lmic_raw_lb[births]*(LEN(lmic_raw_lb[m_59])&gt;1)*(LEN(lmic_raw_lb[bd_cov])&gt;interactive!$C$6))/SUMPRODUCT((lmic_raw_lb[[who_region]:[who_region]]=$A15)*lmic_raw_lb[births]*(LEN(lmic_raw_lb[m_59])&gt;1)*(LEN(lmic_raw_lb[bd_cov])&gt;interactive!$C$6))</f>
        <v>6.4831437541801361E-4</v>
      </c>
      <c r="AF15" s="33">
        <f>SUMPRODUCT((lmic_raw_lb[[who_region]:[who_region]]=$A15)*lmic_raw_lb[m_1014]*lmic_raw_lb[births]*(LEN(lmic_raw_lb[m_1014])&gt;1)*(LEN(lmic_raw_lb[bd_cov])&gt;interactive!$C$6))/SUMPRODUCT((lmic_raw_lb[[who_region]:[who_region]]=$A15)*lmic_raw_lb[births]*(LEN(lmic_raw_lb[m_1014])&gt;1)*(LEN(lmic_raw_lb[bd_cov])&gt;interactive!$C$6))</f>
        <v>5.5224763684477262E-4</v>
      </c>
      <c r="AG15" s="33">
        <f>SUMPRODUCT((lmic_raw_lb[[who_region]:[who_region]]=$A15)*lmic_raw_lb[m_1519]*lmic_raw_lb[births]*(LEN(lmic_raw_lb[m_1519])&gt;1)*(LEN(lmic_raw_lb[bd_cov])&gt;interactive!$C$6))/SUMPRODUCT((lmic_raw_lb[[who_region]:[who_region]]=$A15)*lmic_raw_lb[births]*(LEN(lmic_raw_lb[m_1519])&gt;1)*(LEN(lmic_raw_lb[bd_cov])&gt;interactive!$C$6))</f>
        <v>9.1310315743076196E-4</v>
      </c>
      <c r="AH15" s="33">
        <f>SUMPRODUCT((lmic_raw_lb[[who_region]:[who_region]]=$A15)*lmic_raw_lb[m_2024]*lmic_raw_lb[births]*(LEN(lmic_raw_lb[m_2024])&gt;1)*(LEN(lmic_raw_lb[bd_cov])&gt;interactive!$C$6))/SUMPRODUCT((lmic_raw_lb[[who_region]:[who_region]]=$A15)*lmic_raw_lb[births]*(LEN(lmic_raw_lb[m_2024])&gt;1)*(LEN(lmic_raw_lb[bd_cov])&gt;interactive!$C$6))</f>
        <v>1.2924234905951689E-3</v>
      </c>
      <c r="AI15" s="33">
        <f>SUMPRODUCT((lmic_raw_lb[[who_region]:[who_region]]=$A15)*lmic_raw_lb[m_2529]*lmic_raw_lb[births]*(LEN(lmic_raw_lb[m_2529])&gt;1)*(LEN(lmic_raw_lb[bd_cov])&gt;interactive!$C$6))/SUMPRODUCT((lmic_raw_lb[[who_region]:[who_region]]=$A15)*lmic_raw_lb[births]*(LEN(lmic_raw_lb[m_2529])&gt;1)*(LEN(lmic_raw_lb[bd_cov])&gt;interactive!$C$6))</f>
        <v>1.4462892685277885E-3</v>
      </c>
      <c r="AJ15" s="33">
        <f>SUMPRODUCT((lmic_raw_lb[[who_region]:[who_region]]=$A15)*lmic_raw_lb[m_3034]*lmic_raw_lb[births]*(LEN(lmic_raw_lb[m_3034])&gt;1)*(LEN(lmic_raw_lb[bd_cov])&gt;interactive!$C$6))/SUMPRODUCT((lmic_raw_lb[[who_region]:[who_region]]=$A15)*lmic_raw_lb[births]*(LEN(lmic_raw_lb[m_3034])&gt;1)*(LEN(lmic_raw_lb[bd_cov])&gt;interactive!$C$6))</f>
        <v>1.8224996975624295E-3</v>
      </c>
      <c r="AK15" s="33">
        <f>SUMPRODUCT((lmic_raw_lb[[who_region]:[who_region]]=$A15)*lmic_raw_lb[m_3539]*lmic_raw_lb[births]*(LEN(lmic_raw_lb[m_3539])&gt;1)*(LEN(lmic_raw_lb[bd_cov])&gt;interactive!$C$6))/SUMPRODUCT((lmic_raw_lb[[who_region]:[who_region]]=$A15)*lmic_raw_lb[births]*(LEN(lmic_raw_lb[m_3539])&gt;1)*(LEN(lmic_raw_lb[bd_cov])&gt;interactive!$C$6))</f>
        <v>2.5060380883339417E-3</v>
      </c>
      <c r="AL15" s="33">
        <f>SUMPRODUCT((lmic_raw_lb[[who_region]:[who_region]]=$A15)*lmic_raw_lb[m_4044]*lmic_raw_lb[births]*(LEN(lmic_raw_lb[m_4044])&gt;1)*(LEN(lmic_raw_lb[bd_cov])&gt;interactive!$C$6))/SUMPRODUCT((lmic_raw_lb[[who_region]:[who_region]]=$A15)*lmic_raw_lb[births]*(LEN(lmic_raw_lb[m_4044])&gt;1)*(LEN(lmic_raw_lb[bd_cov])&gt;interactive!$C$6))</f>
        <v>3.396597807735385E-3</v>
      </c>
      <c r="AM15" s="33">
        <f>SUMPRODUCT((lmic_raw_lb[[who_region]:[who_region]]=$A15)*lmic_raw_lb[m_4549]*lmic_raw_lb[births]*(LEN(lmic_raw_lb[m_4549])&gt;1)*(LEN(lmic_raw_lb[bd_cov])&gt;interactive!$C$6))/SUMPRODUCT((lmic_raw_lb[[who_region]:[who_region]]=$A15)*lmic_raw_lb[births]*(LEN(lmic_raw_lb[m_4549])&gt;1)*(LEN(lmic_raw_lb[bd_cov])&gt;interactive!$C$6))</f>
        <v>4.908547337099476E-3</v>
      </c>
      <c r="AN15" s="33">
        <f>SUMPRODUCT((lmic_raw_lb[[who_region]:[who_region]]=$A15)*lmic_raw_lb[m_5054]*lmic_raw_lb[births]*(LEN(lmic_raw_lb[m_5054])&gt;1)*(LEN(lmic_raw_lb[bd_cov])&gt;interactive!$C$6))/SUMPRODUCT((lmic_raw_lb[[who_region]:[who_region]]=$A15)*lmic_raw_lb[births]*(LEN(lmic_raw_lb[m_5054])&gt;1)*(LEN(lmic_raw_lb[bd_cov])&gt;interactive!$C$6))</f>
        <v>7.7614210139281287E-3</v>
      </c>
      <c r="AO15" s="33">
        <f>SUMPRODUCT((lmic_raw_lb[[who_region]:[who_region]]=$A15)*lmic_raw_lb[m_5559]*lmic_raw_lb[births]*(LEN(lmic_raw_lb[m_5559])&gt;1)*(LEN(lmic_raw_lb[bd_cov])&gt;interactive!$C$6))/SUMPRODUCT((lmic_raw_lb[[who_region]:[who_region]]=$A15)*lmic_raw_lb[births]*(LEN(lmic_raw_lb[m_5559])&gt;1)*(LEN(lmic_raw_lb[bd_cov])&gt;interactive!$C$6))</f>
        <v>1.1611423410498227E-2</v>
      </c>
      <c r="AP15" s="33">
        <f>SUMPRODUCT((lmic_raw_lb[[who_region]:[who_region]]=$A15)*lmic_raw_lb[m_6064]*lmic_raw_lb[births]*(LEN(lmic_raw_lb[m_6064])&gt;1)*(LEN(lmic_raw_lb[bd_cov])&gt;interactive!$C$6))/SUMPRODUCT((lmic_raw_lb[[who_region]:[who_region]]=$A15)*lmic_raw_lb[births]*(LEN(lmic_raw_lb[m_6064])&gt;1)*(LEN(lmic_raw_lb[bd_cov])&gt;interactive!$C$6))</f>
        <v>1.731657084720057E-2</v>
      </c>
      <c r="AQ15" s="33">
        <f>SUMPRODUCT((lmic_raw_lb[[who_region]:[who_region]]=$A15)*lmic_raw_lb[m_6569]*lmic_raw_lb[births]*(LEN(lmic_raw_lb[m_6569])&gt;1)*(LEN(lmic_raw_lb[bd_cov])&gt;interactive!$C$6))/SUMPRODUCT((lmic_raw_lb[[who_region]:[who_region]]=$A15)*lmic_raw_lb[births]*(LEN(lmic_raw_lb[m_6569])&gt;1)*(LEN(lmic_raw_lb[bd_cov])&gt;interactive!$C$6))</f>
        <v>2.6002270183394561E-2</v>
      </c>
      <c r="AR15" s="33">
        <f>SUMPRODUCT((lmic_raw_lb[[who_region]:[who_region]]=$A15)*lmic_raw_lb[m_7074]*lmic_raw_lb[births]*(LEN(lmic_raw_lb[m_7074])&gt;1)*(LEN(lmic_raw_lb[bd_cov])&gt;interactive!$C$6))/SUMPRODUCT((lmic_raw_lb[[who_region]:[who_region]]=$A15)*lmic_raw_lb[births]*(LEN(lmic_raw_lb[m_7074])&gt;1)*(LEN(lmic_raw_lb[bd_cov])&gt;interactive!$C$6))</f>
        <v>3.9894830592420341E-2</v>
      </c>
      <c r="AS15" s="33">
        <f>SUMPRODUCT((lmic_raw_lb[[who_region]:[who_region]]=$A15)*lmic_raw_lb[m_7079]*lmic_raw_lb[births]*(LEN(lmic_raw_lb[m_7079])&gt;1)*(LEN(lmic_raw_lb[bd_cov])&gt;interactive!$C$6))/SUMPRODUCT((lmic_raw_lb[[who_region]:[who_region]]=$A15)*lmic_raw_lb[births]*(LEN(lmic_raw_lb[m_7079])&gt;1)*(LEN(lmic_raw_lb[bd_cov])&gt;interactive!$C$6))</f>
        <v>5.7525656945450754E-2</v>
      </c>
      <c r="AT15" s="33">
        <f>SUMPRODUCT((lmic_raw_lb[[who_region]:[who_region]]=$A15)*lmic_raw_lb[m_8084]*lmic_raw_lb[births]*(LEN(lmic_raw_lb[m_8084])&gt;1)*(LEN(lmic_raw_lb[bd_cov])&gt;interactive!$C$6))/SUMPRODUCT((lmic_raw_lb[[who_region]:[who_region]]=$A15)*lmic_raw_lb[births]*(LEN(lmic_raw_lb[m_8084])&gt;1)*(LEN(lmic_raw_lb[bd_cov])&gt;interactive!$C$6))</f>
        <v>8.2544336665475754E-2</v>
      </c>
      <c r="AU15" s="33">
        <f>SUMPRODUCT((lmic_raw_lb[[who_region]:[who_region]]=$A15)*lmic_raw_lb[m_8589]*lmic_raw_lb[births]*(LEN(lmic_raw_lb[m_8589])&gt;1)*(LEN(lmic_raw_lb[bd_cov])&gt;interactive!$C$6))/SUMPRODUCT((lmic_raw_lb[[who_region]:[who_region]]=$A15)*lmic_raw_lb[births]*(LEN(lmic_raw_lb[m_8589])&gt;1)*(LEN(lmic_raw_lb[bd_cov])&gt;interactive!$C$6))</f>
        <v>0.11111483151733907</v>
      </c>
      <c r="AV15" s="33">
        <f>SUMPRODUCT((lmic_raw_lb[[who_region]:[who_region]]=$A15)*lmic_raw_lb[m_9094]*lmic_raw_lb[births]*(LEN(lmic_raw_lb[m_9094])&gt;1)*(LEN(lmic_raw_lb[bd_cov])&gt;interactive!$C$6))/SUMPRODUCT((lmic_raw_lb[[who_region]:[who_region]]=$A15)*lmic_raw_lb[births]*(LEN(lmic_raw_lb[m_9094])&gt;1)*(LEN(lmic_raw_lb[bd_cov])&gt;interactive!$C$6))</f>
        <v>0.13727423455003596</v>
      </c>
      <c r="AW15" s="33">
        <f>SUMPRODUCT((lmic_raw_lb[[who_region]:[who_region]]=$A15)*lmic_raw_lb[m_95+]*lmic_raw_lb[births]*(LEN(lmic_raw_lb[m_95+])&gt;1)*(LEN(lmic_raw_lb[bd_cov])&gt;interactive!$C$6))/SUMPRODUCT((lmic_raw_lb[[who_region]:[who_region]]=$A15)*lmic_raw_lb[births]*(LEN(lmic_raw_lb[m_95+])&gt;1)*(LEN(lmic_raw_lb[bd_cov])&gt;interactive!$C$6))</f>
        <v>0.13809379990739826</v>
      </c>
      <c r="AX15" s="33">
        <f>SUMPRODUCT((lmic_raw_lb[[who_region]:[who_region]]=$A15)*lmic_raw_lb[av_life]*lmic_raw_lb[births]*(LEN(lmic_raw_lb[av_life])&gt;1)*(LEN(lmic_raw_lb[bd_cov])&gt;interactive!$C$6))/SUMPRODUCT((lmic_raw_lb[[who_region]:[who_region]]=$A15)*lmic_raw_lb[births]*(LEN(lmic_raw_lb[av_life])&gt;1)*(LEN(lmic_raw_lb[bd_cov])&gt;interactive!$C$6))</f>
        <v>66.249222273674491</v>
      </c>
    </row>
    <row r="16" spans="1:51" x14ac:dyDescent="0.25">
      <c r="A16" s="33" t="s">
        <v>681</v>
      </c>
      <c r="J16" s="33">
        <f>SUMPRODUCT((lmic_raw_lb[[who_region]:[who_region]]=$A16)*lmic_raw_lb[fac_birth]*lmic_raw_lb[births]*(LEN(lmic_raw_lb[fac_birth])&gt;1)*(LEN(lmic_raw_lb[bd_cov])&gt;interactive!$C$6))/SUMPRODUCT((lmic_raw_lb[[who_region]:[who_region]]=$A16)*lmic_raw_lb[births]*(LEN(lmic_raw_lb[fac_birth])&gt;1)*(LEN(lmic_raw_lb[bd_cov])&gt;interactive!$C$6))</f>
        <v>0.91342899660342236</v>
      </c>
      <c r="K16" s="33">
        <f>SUMPRODUCT((lmic_raw_lb[[who_region]:[who_region]]=$A16)*lmic_raw_lb[bd_cov]*lmic_raw_lb[births]*(LEN(lmic_raw_lb[bd_cov])&gt;interactive!$C$6))/SUMPRODUCT((lmic_raw_lb[[who_region]:[who_region]]=$A16)*lmic_raw_lb[births]*(LEN(lmic_raw_lb[bd_cov])&gt;interactive!$C$6))</f>
        <v>0.8458301797998049</v>
      </c>
      <c r="L16" s="33">
        <f>SUMPRODUCT((lmic_raw_lb[[who_region]:[who_region]]=$A16)*lmic_raw_lb[hbv3_cov]*lmic_raw_lb[births]*(LEN(lmic_raw_lb[hbv3_cov])&gt;1)*(LEN(lmic_raw_lb[bd_cov])&gt;interactive!$C$6))/SUMPRODUCT((lmic_raw_lb[[who_region]:[who_region]]=$A16)*lmic_raw_lb[births]*(LEN(lmic_raw_lb[hbv3_cov])&gt;1)*(LEN(lmic_raw_lb[bd_cov])&gt;interactive!$C$6))</f>
        <v>0.89102207702659075</v>
      </c>
      <c r="M16" s="33">
        <f>SUMPRODUCT((lmic_raw_lb[[who_region]:[who_region]]=$A16)*lmic_raw_lb[hbv_prev]*lmic_raw_lb[pop]*(LEN(lmic_raw_lb[hbv_prev])&gt;1)*(LEN(lmic_raw_lb[bd_cov])&gt;interactive!$C$6))/SUMPRODUCT((lmic_raw_lb[[who_region]:[who_region]]=$A16)*lmic_raw_lb[pop]*(LEN(lmic_raw_lb[hbv_prev])&gt;1)*(LEN(lmic_raw_lb[bd_cov])&gt;interactive!$C$6))</f>
        <v>5.4719556623513056E-2</v>
      </c>
      <c r="N16" s="33">
        <f>SUMPRODUCT((lmic_raw_lb[[who_region]:[who_region]]=$A16)*lmic_raw_lb[hbe_prev]*lmic_raw_lb[pop]*(LEN(lmic_raw_lb[hbe_prev])&gt;1)*(LEN(lmic_raw_lb[bd_cov])&gt;interactive!$C$6))/SUMPRODUCT((lmic_raw_lb[[who_region]:[who_region]]=$A16)*lmic_raw_lb[pop]*(LEN(lmic_raw_lb[hbe_prev])&gt;1)*(LEN(lmic_raw_lb[bd_cov])&gt;interactive!$C$6))</f>
        <v>0.18307877472872686</v>
      </c>
      <c r="O16" s="33">
        <f>SUMPRODUCT((lmic_raw_lb[[who_region]:[who_region]]=$A16)*lmic_raw_lb[epos]*lmic_raw_lb[pop]*(LEN(lmic_raw_lb[epos])&gt;1)*(LEN(lmic_raw_lb[bd_cov])&gt;interactive!$C$6))/SUMPRODUCT((lmic_raw_lb[[who_region]:[who_region]]=$A16)*lmic_raw_lb[pop]*(LEN(lmic_raw_lb[epos])&gt;1)*(LEN(lmic_raw_lb[bd_cov])&gt;interactive!$C$6))</f>
        <v>0.70000000000000007</v>
      </c>
      <c r="P16" s="33">
        <f>SUMPRODUCT((lmic_raw_lb[[who_region]:[who_region]]=$A16)*lmic_raw_lb[eneg]*lmic_raw_lb[pop]*(LEN(lmic_raw_lb[eneg])&gt;1)*(LEN(lmic_raw_lb[bd_cov])&gt;interactive!$C$6))/SUMPRODUCT((lmic_raw_lb[[who_region]:[who_region]]=$A16)*lmic_raw_lb[pop]*(LEN(lmic_raw_lb[eneg])&gt;1)*(LEN(lmic_raw_lb[bd_cov])&gt;interactive!$C$6))</f>
        <v>4.9999999999999996E-2</v>
      </c>
      <c r="Q16" s="33">
        <f>SUMPRODUCT((lmic_raw_lb[[who_region]:[who_region]]=$A16)*lmic_raw_lb[c_diag]*lmic_raw_lb[births]*(LEN(lmic_raw_lb[c_diag])&gt;1)*(LEN(lmic_raw_lb[bd_cov])&gt;interactive!$C$6))/SUMPRODUCT((lmic_raw_lb[[who_region]:[who_region]]=$A16)*lmic_raw_lb[births]*(LEN(lmic_raw_lb[c_diag])&gt;1)*(LEN(lmic_raw_lb[bd_cov])&gt;interactive!$C$6))</f>
        <v>6.9904873240786767</v>
      </c>
      <c r="R16" s="33">
        <f>SUMPRODUCT((lmic_raw_lb[[who_region]:[who_region]]=$A16)*lmic_raw_lb[c_C]*lmic_raw_lb[births]*(LEN(lmic_raw_lb[c_C])&gt;1)*(LEN(lmic_raw_lb[bd_cov])&gt;interactive!$C$6))/SUMPRODUCT((lmic_raw_lb[[who_region]:[who_region]]=$A16)*lmic_raw_lb[births]*(LEN(lmic_raw_lb[c_C])&gt;1)*(LEN(lmic_raw_lb[bd_cov])&gt;interactive!$C$6))</f>
        <v>69.334971010589712</v>
      </c>
      <c r="S16" s="33">
        <f>SUMPRODUCT((lmic_raw_lb[[who_region]:[who_region]]=$A16)*lmic_raw_lb[c_CC]*lmic_raw_lb[births]*(LEN(lmic_raw_lb[c_CC])&gt;1)*(LEN(lmic_raw_lb[bd_cov])&gt;interactive!$C$6))/SUMPRODUCT((lmic_raw_lb[[who_region]:[who_region]]=$A16)*lmic_raw_lb[births]*(LEN(lmic_raw_lb[c_CC])&gt;1)*(LEN(lmic_raw_lb[bd_cov])&gt;interactive!$C$6))</f>
        <v>114.68987101058974</v>
      </c>
      <c r="T16" s="33">
        <f>SUMPRODUCT((lmic_raw_lb[[who_region]:[who_region]]=$A16)*lmic_raw_lb[c_DC]*lmic_raw_lb[births]*(LEN(lmic_raw_lb[c_DC])&gt;1)*(LEN(lmic_raw_lb[bd_cov])&gt;interactive!$C$6))/SUMPRODUCT((lmic_raw_lb[[who_region]:[who_region]]=$A16)*lmic_raw_lb[births]*(LEN(lmic_raw_lb[c_DC])&gt;1)*(LEN(lmic_raw_lb[bd_cov])&gt;interactive!$C$6))</f>
        <v>114.68987101058974</v>
      </c>
      <c r="U16" s="33">
        <f>SUMPRODUCT((lmic_raw_lb[[who_region]:[who_region]]=$A16)*lmic_raw_lb[c_HCC]*lmic_raw_lb[births]*(LEN(lmic_raw_lb[c_HCC])&gt;1)*(LEN(lmic_raw_lb[bd_cov])&gt;interactive!$C$6))/SUMPRODUCT((lmic_raw_lb[[who_region]:[who_region]]=$A16)*lmic_raw_lb[births]*(LEN(lmic_raw_lb[c_HCC])&gt;1)*(LEN(lmic_raw_lb[bd_cov])&gt;interactive!$C$6))</f>
        <v>114.68987101058974</v>
      </c>
      <c r="V16" s="33">
        <f>SUMPRODUCT((lmic_raw_lb[[who_region]:[who_region]]=$A16)*lmic_raw_lb[bl1_f]*lmic_raw_lb[births]*(LEN(lmic_raw_lb[bl1_f])&gt;1)*(LEN(lmic_raw_lb[bd_cov])&gt;interactive!$C$6))/SUMPRODUCT((lmic_raw_lb[[who_region]:[who_region]]=$A16)*lmic_raw_lb[births]*(LEN(lmic_raw_lb[bl1_f])&gt;1)*(LEN(lmic_raw_lb[bd_cov])&gt;interactive!$C$6))</f>
        <v>0.95796149623592863</v>
      </c>
      <c r="W16" s="33">
        <f>SUMPRODUCT((lmic_raw_lb[[who_region]:[who_region]]=$A16)*lmic_raw_lb[bl1_c]*lmic_raw_lb[births]*(LEN(lmic_raw_lb[bl1_c])&gt;1)*(LEN(lmic_raw_lb[bd_cov])&gt;interactive!$C$6))/SUMPRODUCT((lmic_raw_lb[[who_region]:[who_region]]=$A16)*lmic_raw_lb[births]*(LEN(lmic_raw_lb[bl1_c])&gt;1)*(LEN(lmic_raw_lb[bd_cov])&gt;interactive!$C$6))</f>
        <v>1.5700141753746233</v>
      </c>
      <c r="X16" s="33">
        <f>SUMPRODUCT((lmic_raw_lb[[who_region]:[who_region]]=$A16)*lmic_raw_lb[map_f]*lmic_raw_lb[births]*(LEN(lmic_raw_lb[map_f])&gt;1)*(LEN(lmic_raw_lb[bd_cov])&gt;interactive!$C$6))/SUMPRODUCT((lmic_raw_lb[[who_region]:[who_region]]=$A16)*lmic_raw_lb[births]*(LEN(lmic_raw_lb[map_f])&gt;1)*(LEN(lmic_raw_lb[bd_cov])&gt;interactive!$C$6))</f>
        <v>0.58386715463196825</v>
      </c>
      <c r="Y16" s="33">
        <f>SUMPRODUCT((lmic_raw_lb[[who_region]:[who_region]]=$A16)*lmic_raw_lb[map_cq]*lmic_raw_lb[births]*(LEN(lmic_raw_lb[map_cq])&gt;1)*(LEN(lmic_raw_lb[bd_cov])&gt;interactive!$C$6))/SUMPRODUCT((lmic_raw_lb[[who_region]:[who_region]]=$A16)*lmic_raw_lb[births]*(LEN(lmic_raw_lb[map_cq])&gt;1)*(LEN(lmic_raw_lb[bd_cov])&gt;interactive!$C$6))</f>
        <v>1.1959198337706629</v>
      </c>
      <c r="Z16" s="33">
        <f>SUMPRODUCT((lmic_raw_lb[[who_region]:[who_region]]=$A16)*lmic_raw_lb[map_cl]*lmic_raw_lb[births]*(LEN(lmic_raw_lb[map_cl])&gt;1)*(LEN(lmic_raw_lb[bd_cov])&gt;interactive!$C$6))/SUMPRODUCT((lmic_raw_lb[[who_region]:[who_region]]=$A16)*lmic_raw_lb[births]*(LEN(lmic_raw_lb[map_cl])&gt;1)*(LEN(lmic_raw_lb[bd_cov])&gt;interactive!$C$6))</f>
        <v>1.1879897009073386</v>
      </c>
      <c r="AA16" s="33">
        <f>SUMPRODUCT((lmic_raw_lb[[who_region]:[who_region]]=$A16)*lmic_raw_lb[ctc_f]*lmic_raw_lb[births]*(LEN(lmic_raw_lb[ctc_f])&gt;1)*(LEN(lmic_raw_lb[bd_cov])&gt;interactive!$C$6))/SUMPRODUCT((lmic_raw_lb[[who_region]:[who_region]]=$A16)*lmic_raw_lb[births]*(LEN(lmic_raw_lb[ctc_f])&gt;1)*(LEN(lmic_raw_lb[bd_cov])&gt;interactive!$C$6))</f>
        <v>1.1729291743018384</v>
      </c>
      <c r="AB16" s="33">
        <f>SUMPRODUCT((lmic_raw_lb[[who_region]:[who_region]]=$A16)*lmic_raw_lb[ctc_c]*lmic_raw_lb[births]*(LEN(lmic_raw_lb[ctc_c])&gt;1)*(LEN(lmic_raw_lb[bd_cov])&gt;interactive!$C$6))/SUMPRODUCT((lmic_raw_lb[[who_region]:[who_region]]=$A16)*lmic_raw_lb[births]*(LEN(lmic_raw_lb[ctc_c])&gt;1)*(LEN(lmic_raw_lb[bd_cov])&gt;interactive!$C$6))</f>
        <v>1.7849818534405326</v>
      </c>
      <c r="AC16" s="33">
        <f>SUMPRODUCT((lmic_raw_lb[[who_region]:[who_region]]=$A16)*lmic_raw_lb[m_01]*lmic_raw_lb[births]*(LEN(lmic_raw_lb[m_01])&gt;1)*(LEN(lmic_raw_lb[bd_cov])&gt;interactive!$C$6))/SUMPRODUCT((lmic_raw_lb[[who_region]:[who_region]]=$A16)*lmic_raw_lb[births]*(LEN(lmic_raw_lb[m_01])&gt;1)*(LEN(lmic_raw_lb[bd_cov])&gt;interactive!$C$6))</f>
        <v>1.1507390868381481E-2</v>
      </c>
      <c r="AD16" s="33">
        <f>SUMPRODUCT((lmic_raw_lb[[who_region]:[who_region]]=$A16)*lmic_raw_lb[m_14]*lmic_raw_lb[births]*(LEN(lmic_raw_lb[m_14])&gt;1)*(LEN(lmic_raw_lb[bd_cov])&gt;interactive!$C$6))/SUMPRODUCT((lmic_raw_lb[[who_region]:[who_region]]=$A16)*lmic_raw_lb[births]*(LEN(lmic_raw_lb[m_14])&gt;1)*(LEN(lmic_raw_lb[bd_cov])&gt;interactive!$C$6))</f>
        <v>6.4229433698983389E-4</v>
      </c>
      <c r="AE16" s="33">
        <f>SUMPRODUCT((lmic_raw_lb[[who_region]:[who_region]]=$A16)*lmic_raw_lb[m_59]*lmic_raw_lb[births]*(LEN(lmic_raw_lb[m_59])&gt;1)*(LEN(lmic_raw_lb[bd_cov])&gt;interactive!$C$6))/SUMPRODUCT((lmic_raw_lb[[who_region]:[who_region]]=$A16)*lmic_raw_lb[births]*(LEN(lmic_raw_lb[m_59])&gt;1)*(LEN(lmic_raw_lb[bd_cov])&gt;interactive!$C$6))</f>
        <v>3.71274097649877E-4</v>
      </c>
      <c r="AF16" s="33">
        <f>SUMPRODUCT((lmic_raw_lb[[who_region]:[who_region]]=$A16)*lmic_raw_lb[m_1014]*lmic_raw_lb[births]*(LEN(lmic_raw_lb[m_1014])&gt;1)*(LEN(lmic_raw_lb[bd_cov])&gt;interactive!$C$6))/SUMPRODUCT((lmic_raw_lb[[who_region]:[who_region]]=$A16)*lmic_raw_lb[births]*(LEN(lmic_raw_lb[m_1014])&gt;1)*(LEN(lmic_raw_lb[bd_cov])&gt;interactive!$C$6))</f>
        <v>2.9243063494576338E-4</v>
      </c>
      <c r="AG16" s="33">
        <f>SUMPRODUCT((lmic_raw_lb[[who_region]:[who_region]]=$A16)*lmic_raw_lb[m_1519]*lmic_raw_lb[births]*(LEN(lmic_raw_lb[m_1519])&gt;1)*(LEN(lmic_raw_lb[bd_cov])&gt;interactive!$C$6))/SUMPRODUCT((lmic_raw_lb[[who_region]:[who_region]]=$A16)*lmic_raw_lb[births]*(LEN(lmic_raw_lb[m_1519])&gt;1)*(LEN(lmic_raw_lb[bd_cov])&gt;interactive!$C$6))</f>
        <v>4.6497132841182947E-4</v>
      </c>
      <c r="AH16" s="33">
        <f>SUMPRODUCT((lmic_raw_lb[[who_region]:[who_region]]=$A16)*lmic_raw_lb[m_2024]*lmic_raw_lb[births]*(LEN(lmic_raw_lb[m_2024])&gt;1)*(LEN(lmic_raw_lb[bd_cov])&gt;interactive!$C$6))/SUMPRODUCT((lmic_raw_lb[[who_region]:[who_region]]=$A16)*lmic_raw_lb[births]*(LEN(lmic_raw_lb[m_2024])&gt;1)*(LEN(lmic_raw_lb[bd_cov])&gt;interactive!$C$6))</f>
        <v>6.469164862597487E-4</v>
      </c>
      <c r="AI16" s="33">
        <f>SUMPRODUCT((lmic_raw_lb[[who_region]:[who_region]]=$A16)*lmic_raw_lb[m_2529]*lmic_raw_lb[births]*(LEN(lmic_raw_lb[m_2529])&gt;1)*(LEN(lmic_raw_lb[bd_cov])&gt;interactive!$C$6))/SUMPRODUCT((lmic_raw_lb[[who_region]:[who_region]]=$A16)*lmic_raw_lb[births]*(LEN(lmic_raw_lb[m_2529])&gt;1)*(LEN(lmic_raw_lb[bd_cov])&gt;interactive!$C$6))</f>
        <v>8.0772691414096294E-4</v>
      </c>
      <c r="AJ16" s="33">
        <f>SUMPRODUCT((lmic_raw_lb[[who_region]:[who_region]]=$A16)*lmic_raw_lb[m_3034]*lmic_raw_lb[births]*(LEN(lmic_raw_lb[m_3034])&gt;1)*(LEN(lmic_raw_lb[bd_cov])&gt;interactive!$C$6))/SUMPRODUCT((lmic_raw_lb[[who_region]:[who_region]]=$A16)*lmic_raw_lb[births]*(LEN(lmic_raw_lb[m_3034])&gt;1)*(LEN(lmic_raw_lb[bd_cov])&gt;interactive!$C$6))</f>
        <v>1.0054909339798793E-3</v>
      </c>
      <c r="AK16" s="33">
        <f>SUMPRODUCT((lmic_raw_lb[[who_region]:[who_region]]=$A16)*lmic_raw_lb[m_3539]*lmic_raw_lb[births]*(LEN(lmic_raw_lb[m_3539])&gt;1)*(LEN(lmic_raw_lb[bd_cov])&gt;interactive!$C$6))/SUMPRODUCT((lmic_raw_lb[[who_region]:[who_region]]=$A16)*lmic_raw_lb[births]*(LEN(lmic_raw_lb[m_3539])&gt;1)*(LEN(lmic_raw_lb[bd_cov])&gt;interactive!$C$6))</f>
        <v>1.2915528273650496E-3</v>
      </c>
      <c r="AL16" s="33">
        <f>SUMPRODUCT((lmic_raw_lb[[who_region]:[who_region]]=$A16)*lmic_raw_lb[m_4044]*lmic_raw_lb[births]*(LEN(lmic_raw_lb[m_4044])&gt;1)*(LEN(lmic_raw_lb[bd_cov])&gt;interactive!$C$6))/SUMPRODUCT((lmic_raw_lb[[who_region]:[who_region]]=$A16)*lmic_raw_lb[births]*(LEN(lmic_raw_lb[m_4044])&gt;1)*(LEN(lmic_raw_lb[bd_cov])&gt;interactive!$C$6))</f>
        <v>1.8179999544319203E-3</v>
      </c>
      <c r="AM16" s="33">
        <f>SUMPRODUCT((lmic_raw_lb[[who_region]:[who_region]]=$A16)*lmic_raw_lb[m_4549]*lmic_raw_lb[births]*(LEN(lmic_raw_lb[m_4549])&gt;1)*(LEN(lmic_raw_lb[bd_cov])&gt;interactive!$C$6))/SUMPRODUCT((lmic_raw_lb[[who_region]:[who_region]]=$A16)*lmic_raw_lb[births]*(LEN(lmic_raw_lb[m_4549])&gt;1)*(LEN(lmic_raw_lb[bd_cov])&gt;interactive!$C$6))</f>
        <v>2.6646480782829374E-3</v>
      </c>
      <c r="AN16" s="33">
        <f>SUMPRODUCT((lmic_raw_lb[[who_region]:[who_region]]=$A16)*lmic_raw_lb[m_5054]*lmic_raw_lb[births]*(LEN(lmic_raw_lb[m_5054])&gt;1)*(LEN(lmic_raw_lb[bd_cov])&gt;interactive!$C$6))/SUMPRODUCT((lmic_raw_lb[[who_region]:[who_region]]=$A16)*lmic_raw_lb[births]*(LEN(lmic_raw_lb[m_5054])&gt;1)*(LEN(lmic_raw_lb[bd_cov])&gt;interactive!$C$6))</f>
        <v>4.2438289474617894E-3</v>
      </c>
      <c r="AO16" s="33">
        <f>SUMPRODUCT((lmic_raw_lb[[who_region]:[who_region]]=$A16)*lmic_raw_lb[m_5559]*lmic_raw_lb[births]*(LEN(lmic_raw_lb[m_5559])&gt;1)*(LEN(lmic_raw_lb[bd_cov])&gt;interactive!$C$6))/SUMPRODUCT((lmic_raw_lb[[who_region]:[who_region]]=$A16)*lmic_raw_lb[births]*(LEN(lmic_raw_lb[m_5559])&gt;1)*(LEN(lmic_raw_lb[bd_cov])&gt;interactive!$C$6))</f>
        <v>6.7918976984977465E-3</v>
      </c>
      <c r="AP16" s="33">
        <f>SUMPRODUCT((lmic_raw_lb[[who_region]:[who_region]]=$A16)*lmic_raw_lb[m_6064]*lmic_raw_lb[births]*(LEN(lmic_raw_lb[m_6064])&gt;1)*(LEN(lmic_raw_lb[bd_cov])&gt;interactive!$C$6))/SUMPRODUCT((lmic_raw_lb[[who_region]:[who_region]]=$A16)*lmic_raw_lb[births]*(LEN(lmic_raw_lb[m_6064])&gt;1)*(LEN(lmic_raw_lb[bd_cov])&gt;interactive!$C$6))</f>
        <v>1.1516697256113893E-2</v>
      </c>
      <c r="AQ16" s="33">
        <f>SUMPRODUCT((lmic_raw_lb[[who_region]:[who_region]]=$A16)*lmic_raw_lb[m_6569]*lmic_raw_lb[births]*(LEN(lmic_raw_lb[m_6569])&gt;1)*(LEN(lmic_raw_lb[bd_cov])&gt;interactive!$C$6))/SUMPRODUCT((lmic_raw_lb[[who_region]:[who_region]]=$A16)*lmic_raw_lb[births]*(LEN(lmic_raw_lb[m_6569])&gt;1)*(LEN(lmic_raw_lb[bd_cov])&gt;interactive!$C$6))</f>
        <v>1.9364389154973488E-2</v>
      </c>
      <c r="AR16" s="33">
        <f>SUMPRODUCT((lmic_raw_lb[[who_region]:[who_region]]=$A16)*lmic_raw_lb[m_7074]*lmic_raw_lb[births]*(LEN(lmic_raw_lb[m_7074])&gt;1)*(LEN(lmic_raw_lb[bd_cov])&gt;interactive!$C$6))/SUMPRODUCT((lmic_raw_lb[[who_region]:[who_region]]=$A16)*lmic_raw_lb[births]*(LEN(lmic_raw_lb[m_7074])&gt;1)*(LEN(lmic_raw_lb[bd_cov])&gt;interactive!$C$6))</f>
        <v>3.2698337226517778E-2</v>
      </c>
      <c r="AS16" s="33">
        <f>SUMPRODUCT((lmic_raw_lb[[who_region]:[who_region]]=$A16)*lmic_raw_lb[m_7079]*lmic_raw_lb[births]*(LEN(lmic_raw_lb[m_7079])&gt;1)*(LEN(lmic_raw_lb[bd_cov])&gt;interactive!$C$6))/SUMPRODUCT((lmic_raw_lb[[who_region]:[who_region]]=$A16)*lmic_raw_lb[births]*(LEN(lmic_raw_lb[m_7079])&gt;1)*(LEN(lmic_raw_lb[bd_cov])&gt;interactive!$C$6))</f>
        <v>5.1171751447892391E-2</v>
      </c>
      <c r="AT16" s="33">
        <f>SUMPRODUCT((lmic_raw_lb[[who_region]:[who_region]]=$A16)*lmic_raw_lb[m_8084]*lmic_raw_lb[births]*(LEN(lmic_raw_lb[m_8084])&gt;1)*(LEN(lmic_raw_lb[bd_cov])&gt;interactive!$C$6))/SUMPRODUCT((lmic_raw_lb[[who_region]:[who_region]]=$A16)*lmic_raw_lb[births]*(LEN(lmic_raw_lb[m_8084])&gt;1)*(LEN(lmic_raw_lb[bd_cov])&gt;interactive!$C$6))</f>
        <v>7.2980537448630436E-2</v>
      </c>
      <c r="AU16" s="33">
        <f>SUMPRODUCT((lmic_raw_lb[[who_region]:[who_region]]=$A16)*lmic_raw_lb[m_8589]*lmic_raw_lb[births]*(LEN(lmic_raw_lb[m_8589])&gt;1)*(LEN(lmic_raw_lb[bd_cov])&gt;interactive!$C$6))/SUMPRODUCT((lmic_raw_lb[[who_region]:[who_region]]=$A16)*lmic_raw_lb[births]*(LEN(lmic_raw_lb[m_8589])&gt;1)*(LEN(lmic_raw_lb[bd_cov])&gt;interactive!$C$6))</f>
        <v>0.10060939502198542</v>
      </c>
      <c r="AV16" s="33">
        <f>SUMPRODUCT((lmic_raw_lb[[who_region]:[who_region]]=$A16)*lmic_raw_lb[m_9094]*lmic_raw_lb[births]*(LEN(lmic_raw_lb[m_9094])&gt;1)*(LEN(lmic_raw_lb[bd_cov])&gt;interactive!$C$6))/SUMPRODUCT((lmic_raw_lb[[who_region]:[who_region]]=$A16)*lmic_raw_lb[births]*(LEN(lmic_raw_lb[m_9094])&gt;1)*(LEN(lmic_raw_lb[bd_cov])&gt;interactive!$C$6))</f>
        <v>0.12550463857200858</v>
      </c>
      <c r="AW16" s="33">
        <f>SUMPRODUCT((lmic_raw_lb[[who_region]:[who_region]]=$A16)*lmic_raw_lb[m_95+]*lmic_raw_lb[births]*(LEN(lmic_raw_lb[m_95+])&gt;1)*(LEN(lmic_raw_lb[bd_cov])&gt;interactive!$C$6))/SUMPRODUCT((lmic_raw_lb[[who_region]:[who_region]]=$A16)*lmic_raw_lb[births]*(LEN(lmic_raw_lb[m_95+])&gt;1)*(LEN(lmic_raw_lb[bd_cov])&gt;interactive!$C$6))</f>
        <v>0.14642284490897409</v>
      </c>
      <c r="AX16" s="33">
        <f>SUMPRODUCT((lmic_raw_lb[[who_region]:[who_region]]=$A16)*lmic_raw_lb[av_life]*lmic_raw_lb[births]*(LEN(lmic_raw_lb[av_life])&gt;1)*(LEN(lmic_raw_lb[bd_cov])&gt;interactive!$C$6))/SUMPRODUCT((lmic_raw_lb[[who_region]:[who_region]]=$A16)*lmic_raw_lb[births]*(LEN(lmic_raw_lb[av_life])&gt;1)*(LEN(lmic_raw_lb[bd_cov])&gt;interactive!$C$6))</f>
        <v>71.808590600984175</v>
      </c>
    </row>
    <row r="17" spans="1:51" x14ac:dyDescent="0.25">
      <c r="A17" s="33" t="s">
        <v>705</v>
      </c>
      <c r="J17" s="33">
        <f>SUMPRODUCT(lmic_raw_lb[fac_birth]*lmic_raw_lb[births]*(LEN(lmic_raw_lb[fac_birth])&gt;1)*(LEN(lmic_raw_lb[bd_cov])&gt;interactive!$C$6))/SUMPRODUCT(lmic_raw_lb[births]*(LEN(lmic_raw_lb[fac_birth])&gt;1)*(LEN(lmic_raw_lb[bd_cov])&gt;interactive!$C$6))</f>
        <v>0.82672961570073533</v>
      </c>
      <c r="K17" s="33">
        <f>SUMPRODUCT(lmic_raw_lb[bd_cov]*lmic_raw_lb[births]*(LEN(lmic_raw_lb[bd_cov])&gt;interactive!$C$6))/SUMPRODUCT(lmic_raw_lb[births]*(LEN(lmic_raw_lb[bd_cov])&gt;interactive!$C$6))</f>
        <v>0.69897057571875199</v>
      </c>
      <c r="L17" s="33">
        <f>SUMPRODUCT(lmic_raw_lb[hbv3_cov]*lmic_raw_lb[births]*(LEN(lmic_raw_lb[hbv3_cov])&gt;1)*(LEN(lmic_raw_lb[bd_cov])&gt;interactive!$C$6))/SUMPRODUCT(lmic_raw_lb[births]*(LEN(lmic_raw_lb[hbv3_cov])&gt;1)*(LEN(lmic_raw_lb[bd_cov])&gt;interactive!$C$6))</f>
        <v>0.86187464065387254</v>
      </c>
      <c r="M17" s="33">
        <f>SUMPRODUCT(lmic_raw_lb[hbv_prev]*lmic_raw_lb[pop]*(LEN(lmic_raw_lb[hbv_prev])&gt;1)*(LEN(lmic_raw_lb[bd_cov])&gt;interactive!$C$6))/SUMPRODUCT(lmic_raw_lb[pop]*(LEN(lmic_raw_lb[hbv_prev])&gt;1)*(LEN(lmic_raw_lb[bd_cov])&gt;interactive!$C$6))</f>
        <v>2.8419233602555508E-2</v>
      </c>
      <c r="N17" s="33">
        <f>SUMPRODUCT(lmic_raw_lb[hbe_prev]*lmic_raw_lb[pop]*(LEN(lmic_raw_lb[hbe_prev])&gt;1)*(LEN(lmic_raw_lb[bd_cov])&gt;interactive!$C$6))/SUMPRODUCT(lmic_raw_lb[pop]*(LEN(lmic_raw_lb[hbe_prev])&gt;1)*(LEN(lmic_raw_lb[bd_cov])&gt;interactive!$C$6))</f>
        <v>0.16681227778164548</v>
      </c>
      <c r="O17" s="33">
        <f>SUMPRODUCT(lmic_raw_lb[epos]*lmic_raw_lb[pop]*(LEN(lmic_raw_lb[epos])&gt;1)*(LEN(lmic_raw_lb[bd_cov])&gt;interactive!$C$6))/SUMPRODUCT(lmic_raw_lb[pop]*(LEN(lmic_raw_lb[epos])&gt;1)*(LEN(lmic_raw_lb[bd_cov])&gt;interactive!$C$6))</f>
        <v>0.69130215516330185</v>
      </c>
      <c r="P17" s="33">
        <f>SUMPRODUCT(lmic_raw_lb[eneg]*lmic_raw_lb[pop]*(LEN(lmic_raw_lb[eneg])&gt;1)*(LEN(lmic_raw_lb[bd_cov])&gt;interactive!$C$6))/SUMPRODUCT(lmic_raw_lb[pop]*(LEN(lmic_raw_lb[eneg])&gt;1)*(LEN(lmic_raw_lb[bd_cov])&gt;interactive!$C$6))</f>
        <v>4.9323500957145716E-2</v>
      </c>
      <c r="Q17" s="33">
        <f>SUMPRODUCT(lmic_raw_lb[c_diag]*lmic_raw_lb[births]*(LEN(lmic_raw_lb[c_diag])&gt;1)*(LEN(lmic_raw_lb[bd_cov])&gt;interactive!$C$6))/SUMPRODUCT(lmic_raw_lb[births]*(LEN(lmic_raw_lb[c_diag])&gt;1)*(LEN(lmic_raw_lb[bd_cov])&gt;interactive!$C$6))</f>
        <v>5.8367298592133894</v>
      </c>
      <c r="R17" s="33">
        <f>SUMPRODUCT(lmic_raw_lb[c_C]*lmic_raw_lb[births]*(LEN(lmic_raw_lb[c_C])&gt;1)*(LEN(lmic_raw_lb[bd_cov])&gt;interactive!$C$6))/SUMPRODUCT(lmic_raw_lb[births]*(LEN(lmic_raw_lb[c_C])&gt;1)*(LEN(lmic_raw_lb[bd_cov])&gt;interactive!$C$6))</f>
        <v>56.684022753300027</v>
      </c>
      <c r="S17" s="33">
        <f>SUMPRODUCT(lmic_raw_lb[c_CC]*lmic_raw_lb[births]*(LEN(lmic_raw_lb[c_CC])&gt;1)*(LEN(lmic_raw_lb[bd_cov])&gt;interactive!$C$6))/SUMPRODUCT(lmic_raw_lb[births]*(LEN(lmic_raw_lb[c_CC])&gt;1)*(LEN(lmic_raw_lb[bd_cov])&gt;interactive!$C$6))</f>
        <v>102.03892275330003</v>
      </c>
      <c r="T17" s="33">
        <f>SUMPRODUCT(lmic_raw_lb[c_DC]*lmic_raw_lb[births]*(LEN(lmic_raw_lb[c_DC])&gt;1)*(LEN(lmic_raw_lb[bd_cov])&gt;interactive!$C$6))/SUMPRODUCT(lmic_raw_lb[births]*(LEN(lmic_raw_lb[c_DC])&gt;1)*(LEN(lmic_raw_lb[bd_cov])&gt;interactive!$C$6))</f>
        <v>102.03892275330003</v>
      </c>
      <c r="U17" s="33">
        <f>SUMPRODUCT(lmic_raw_lb[c_HCC]*lmic_raw_lb[births]*(LEN(lmic_raw_lb[c_HCC])&gt;1)*(LEN(lmic_raw_lb[bd_cov])&gt;interactive!$C$6))/SUMPRODUCT(lmic_raw_lb[births]*(LEN(lmic_raw_lb[c_HCC])&gt;1)*(LEN(lmic_raw_lb[bd_cov])&gt;interactive!$C$6))</f>
        <v>102.03892275330003</v>
      </c>
      <c r="V17" s="33">
        <f>SUMPRODUCT(lmic_raw_lb[bl1_f]*lmic_raw_lb[births]*(LEN(lmic_raw_lb[bl1_f])&gt;1)*(LEN(lmic_raw_lb[bd_cov])&gt;interactive!$C$6))/SUMPRODUCT(lmic_raw_lb[births]*(LEN(lmic_raw_lb[bl1_f])&gt;1)*(LEN(lmic_raw_lb[bd_cov])&gt;interactive!$C$6))</f>
        <v>0.95169100383701122</v>
      </c>
      <c r="W17" s="33">
        <f>SUMPRODUCT(lmic_raw_lb[bl1_c]*lmic_raw_lb[births]*(LEN(lmic_raw_lb[bl1_c])&gt;1)*(LEN(lmic_raw_lb[bd_cov])&gt;interactive!$C$6))/SUMPRODUCT(lmic_raw_lb[births]*(LEN(lmic_raw_lb[bl1_c])&gt;1)*(LEN(lmic_raw_lb[bd_cov])&gt;interactive!$C$6))</f>
        <v>2.2798230314982719</v>
      </c>
      <c r="X17" s="33">
        <f>SUMPRODUCT(lmic_raw_lb[map_f]*lmic_raw_lb[births]*(LEN(lmic_raw_lb[map_f])&gt;1)*(LEN(lmic_raw_lb[bd_cov])&gt;interactive!$C$6))/SUMPRODUCT(lmic_raw_lb[births]*(LEN(lmic_raw_lb[map_f])&gt;1)*(LEN(lmic_raw_lb[bd_cov])&gt;interactive!$C$6))</f>
        <v>0.5824549041692948</v>
      </c>
      <c r="Y17" s="33">
        <f>SUMPRODUCT(lmic_raw_lb[map_cq]*lmic_raw_lb[births]*(LEN(lmic_raw_lb[map_cq])&gt;1)*(LEN(lmic_raw_lb[bd_cov])&gt;interactive!$C$6))/SUMPRODUCT(lmic_raw_lb[births]*(LEN(lmic_raw_lb[map_cq])&gt;1)*(LEN(lmic_raw_lb[bd_cov])&gt;interactive!$C$6))</f>
        <v>1.909472781297576</v>
      </c>
      <c r="Z17" s="33">
        <f>SUMPRODUCT(lmic_raw_lb[map_cl]*lmic_raw_lb[births]*(LEN(lmic_raw_lb[map_cl])&gt;1)*(LEN(lmic_raw_lb[bd_cov])&gt;interactive!$C$6))/SUMPRODUCT(lmic_raw_lb[births]*(LEN(lmic_raw_lb[map_cl])&gt;1)*(LEN(lmic_raw_lb[bd_cov])&gt;interactive!$C$6))</f>
        <v>1.9039966630397811</v>
      </c>
      <c r="AA17" s="33">
        <f>SUMPRODUCT(lmic_raw_lb[ctc_f]*lmic_raw_lb[births]*(LEN(lmic_raw_lb[ctc_f])&gt;1)*(LEN(lmic_raw_lb[bd_cov])&gt;interactive!$C$6))/SUMPRODUCT(lmic_raw_lb[births]*(LEN(lmic_raw_lb[ctc_f])&gt;1)*(LEN(lmic_raw_lb[bd_cov])&gt;interactive!$C$6))</f>
        <v>1.1650540713015205</v>
      </c>
      <c r="AB17" s="33">
        <f>SUMPRODUCT(lmic_raw_lb[ctc_c]*lmic_raw_lb[births]*(LEN(lmic_raw_lb[ctc_c])&gt;1)*(LEN(lmic_raw_lb[bd_cov])&gt;interactive!$C$6))/SUMPRODUCT(lmic_raw_lb[births]*(LEN(lmic_raw_lb[ctc_c])&gt;1)*(LEN(lmic_raw_lb[bd_cov])&gt;interactive!$C$6))</f>
        <v>2.4931860989627794</v>
      </c>
      <c r="AC17" s="33">
        <f>SUMPRODUCT(lmic_raw_lb[m_01]*lmic_raw_lb[births]*(LEN(lmic_raw_lb[m_01])&gt;1)*(LEN(lmic_raw_lb[bd_cov])&gt;interactive!$C$6))/SUMPRODUCT(lmic_raw_lb[births]*(LEN(lmic_raw_lb[m_01])&gt;1)*(LEN(lmic_raw_lb[bd_cov])&gt;interactive!$C$6))</f>
        <v>2.0663873760821357E-2</v>
      </c>
      <c r="AD17" s="33">
        <f>SUMPRODUCT(lmic_raw_lb[m_14]*lmic_raw_lb[births]*(LEN(lmic_raw_lb[m_14])&gt;1)*(LEN(lmic_raw_lb[bd_cov])&gt;interactive!$C$6))/SUMPRODUCT(lmic_raw_lb[births]*(LEN(lmic_raw_lb[m_14])&gt;1)*(LEN(lmic_raw_lb[bd_cov])&gt;interactive!$C$6))</f>
        <v>1.3019111617394823E-3</v>
      </c>
      <c r="AE17" s="33">
        <f>SUMPRODUCT(lmic_raw_lb[m_59]*lmic_raw_lb[births]*(LEN(lmic_raw_lb[m_59])&gt;1)*(LEN(lmic_raw_lb[bd_cov])&gt;interactive!$C$6))/SUMPRODUCT(lmic_raw_lb[births]*(LEN(lmic_raw_lb[m_59])&gt;1)*(LEN(lmic_raw_lb[bd_cov])&gt;interactive!$C$6))</f>
        <v>5.3047482939340559E-4</v>
      </c>
      <c r="AF17" s="33">
        <f>SUMPRODUCT(lmic_raw_lb[m_1014]*lmic_raw_lb[births]*(LEN(lmic_raw_lb[m_1014])&gt;1)*(LEN(lmic_raw_lb[bd_cov])&gt;interactive!$C$6))/SUMPRODUCT(lmic_raw_lb[births]*(LEN(lmic_raw_lb[m_1014])&gt;1)*(LEN(lmic_raw_lb[bd_cov])&gt;interactive!$C$6))</f>
        <v>4.4812775552984099E-4</v>
      </c>
      <c r="AG17" s="33">
        <f>SUMPRODUCT(lmic_raw_lb[m_1519]*lmic_raw_lb[births]*(LEN(lmic_raw_lb[m_1519])&gt;1)*(LEN(lmic_raw_lb[bd_cov])&gt;interactive!$C$6))/SUMPRODUCT(lmic_raw_lb[births]*(LEN(lmic_raw_lb[m_1519])&gt;1)*(LEN(lmic_raw_lb[bd_cov])&gt;interactive!$C$6))</f>
        <v>7.6652939293520158E-4</v>
      </c>
      <c r="AH17" s="33">
        <f>SUMPRODUCT(lmic_raw_lb[m_2024]*lmic_raw_lb[births]*(LEN(lmic_raw_lb[m_2024])&gt;1)*(LEN(lmic_raw_lb[bd_cov])&gt;interactive!$C$6))/SUMPRODUCT(lmic_raw_lb[births]*(LEN(lmic_raw_lb[m_2024])&gt;1)*(LEN(lmic_raw_lb[bd_cov])&gt;interactive!$C$6))</f>
        <v>1.1045872690129859E-3</v>
      </c>
      <c r="AI17" s="33">
        <f>SUMPRODUCT(lmic_raw_lb[m_2529]*lmic_raw_lb[births]*(LEN(lmic_raw_lb[m_2529])&gt;1)*(LEN(lmic_raw_lb[bd_cov])&gt;interactive!$C$6))/SUMPRODUCT(lmic_raw_lb[births]*(LEN(lmic_raw_lb[m_2529])&gt;1)*(LEN(lmic_raw_lb[bd_cov])&gt;interactive!$C$6))</f>
        <v>1.2709535870451159E-3</v>
      </c>
      <c r="AJ17" s="33">
        <f>SUMPRODUCT(lmic_raw_lb[m_3034]*lmic_raw_lb[births]*(LEN(lmic_raw_lb[m_3034])&gt;1)*(LEN(lmic_raw_lb[bd_cov])&gt;interactive!$C$6))/SUMPRODUCT(lmic_raw_lb[births]*(LEN(lmic_raw_lb[m_3034])&gt;1)*(LEN(lmic_raw_lb[bd_cov])&gt;interactive!$C$6))</f>
        <v>1.5709712508772732E-3</v>
      </c>
      <c r="AK17" s="33">
        <f>SUMPRODUCT(lmic_raw_lb[m_3539]*lmic_raw_lb[births]*(LEN(lmic_raw_lb[m_3539])&gt;1)*(LEN(lmic_raw_lb[bd_cov])&gt;interactive!$C$6))/SUMPRODUCT(lmic_raw_lb[births]*(LEN(lmic_raw_lb[m_3539])&gt;1)*(LEN(lmic_raw_lb[bd_cov])&gt;interactive!$C$6))</f>
        <v>2.0673930276004912E-3</v>
      </c>
      <c r="AL17" s="33">
        <f>SUMPRODUCT(lmic_raw_lb[m_4044]*lmic_raw_lb[births]*(LEN(lmic_raw_lb[m_4044])&gt;1)*(LEN(lmic_raw_lb[bd_cov])&gt;interactive!$C$6))/SUMPRODUCT(lmic_raw_lb[births]*(LEN(lmic_raw_lb[m_4044])&gt;1)*(LEN(lmic_raw_lb[bd_cov])&gt;interactive!$C$6))</f>
        <v>2.7911545066359117E-3</v>
      </c>
      <c r="AM17" s="33">
        <f>SUMPRODUCT(lmic_raw_lb[m_4549]*lmic_raw_lb[births]*(LEN(lmic_raw_lb[m_4549])&gt;1)*(LEN(lmic_raw_lb[bd_cov])&gt;interactive!$C$6))/SUMPRODUCT(lmic_raw_lb[births]*(LEN(lmic_raw_lb[m_4549])&gt;1)*(LEN(lmic_raw_lb[bd_cov])&gt;interactive!$C$6))</f>
        <v>4.0346790368494083E-3</v>
      </c>
      <c r="AN17" s="33">
        <f>SUMPRODUCT(lmic_raw_lb[m_5054]*lmic_raw_lb[births]*(LEN(lmic_raw_lb[m_5054])&gt;1)*(LEN(lmic_raw_lb[bd_cov])&gt;interactive!$C$6))/SUMPRODUCT(lmic_raw_lb[births]*(LEN(lmic_raw_lb[m_5054])&gt;1)*(LEN(lmic_raw_lb[bd_cov])&gt;interactive!$C$6))</f>
        <v>6.2878137081774357E-3</v>
      </c>
      <c r="AO17" s="33">
        <f>SUMPRODUCT(lmic_raw_lb[m_5559]*lmic_raw_lb[births]*(LEN(lmic_raw_lb[m_5559])&gt;1)*(LEN(lmic_raw_lb[bd_cov])&gt;interactive!$C$6))/SUMPRODUCT(lmic_raw_lb[births]*(LEN(lmic_raw_lb[m_5559])&gt;1)*(LEN(lmic_raw_lb[bd_cov])&gt;interactive!$C$6))</f>
        <v>9.4420110234809326E-3</v>
      </c>
      <c r="AP17" s="33">
        <f>SUMPRODUCT(lmic_raw_lb[m_6064]*lmic_raw_lb[births]*(LEN(lmic_raw_lb[m_6064])&gt;1)*(LEN(lmic_raw_lb[bd_cov])&gt;interactive!$C$6))/SUMPRODUCT(lmic_raw_lb[births]*(LEN(lmic_raw_lb[m_6064])&gt;1)*(LEN(lmic_raw_lb[bd_cov])&gt;interactive!$C$6))</f>
        <v>1.4621781067732688E-2</v>
      </c>
      <c r="AQ17" s="33">
        <f>SUMPRODUCT(lmic_raw_lb[m_6569]*lmic_raw_lb[births]*(LEN(lmic_raw_lb[m_6569])&gt;1)*(LEN(lmic_raw_lb[bd_cov])&gt;interactive!$C$6))/SUMPRODUCT(lmic_raw_lb[births]*(LEN(lmic_raw_lb[m_6569])&gt;1)*(LEN(lmic_raw_lb[bd_cov])&gt;interactive!$C$6))</f>
        <v>2.2667312388604099E-2</v>
      </c>
      <c r="AR17" s="33">
        <f>SUMPRODUCT(lmic_raw_lb[m_7074]*lmic_raw_lb[births]*(LEN(lmic_raw_lb[m_7074])&gt;1)*(LEN(lmic_raw_lb[bd_cov])&gt;interactive!$C$6))/SUMPRODUCT(lmic_raw_lb[births]*(LEN(lmic_raw_lb[m_7074])&gt;1)*(LEN(lmic_raw_lb[bd_cov])&gt;interactive!$C$6))</f>
        <v>3.5908247070801654E-2</v>
      </c>
      <c r="AS17" s="33">
        <f>SUMPRODUCT(lmic_raw_lb[m_7079]*lmic_raw_lb[births]*(LEN(lmic_raw_lb[m_7079])&gt;1)*(LEN(lmic_raw_lb[bd_cov])&gt;interactive!$C$6))/SUMPRODUCT(lmic_raw_lb[births]*(LEN(lmic_raw_lb[m_7079])&gt;1)*(LEN(lmic_raw_lb[bd_cov])&gt;interactive!$C$6))</f>
        <v>5.4191083526194873E-2</v>
      </c>
      <c r="AT17" s="33">
        <f>SUMPRODUCT(lmic_raw_lb[m_8084]*lmic_raw_lb[births]*(LEN(lmic_raw_lb[m_8084])&gt;1)*(LEN(lmic_raw_lb[bd_cov])&gt;interactive!$C$6))/SUMPRODUCT(lmic_raw_lb[births]*(LEN(lmic_raw_lb[m_8084])&gt;1)*(LEN(lmic_raw_lb[bd_cov])&gt;interactive!$C$6))</f>
        <v>7.8389323426502538E-2</v>
      </c>
      <c r="AU17" s="33">
        <f>SUMPRODUCT(lmic_raw_lb[m_8589]*lmic_raw_lb[births]*(LEN(lmic_raw_lb[m_8589])&gt;1)*(LEN(lmic_raw_lb[bd_cov])&gt;interactive!$C$6))/SUMPRODUCT(lmic_raw_lb[births]*(LEN(lmic_raw_lb[m_8589])&gt;1)*(LEN(lmic_raw_lb[bd_cov])&gt;interactive!$C$6))</f>
        <v>0.10706476522035777</v>
      </c>
      <c r="AV17" s="33">
        <f>SUMPRODUCT(lmic_raw_lb[m_9094]*lmic_raw_lb[births]*(LEN(lmic_raw_lb[m_9094])&gt;1)*(LEN(lmic_raw_lb[bd_cov])&gt;interactive!$C$6))/SUMPRODUCT(lmic_raw_lb[births]*(LEN(lmic_raw_lb[m_9094])&gt;1)*(LEN(lmic_raw_lb[bd_cov])&gt;interactive!$C$6))</f>
        <v>0.13314396863513775</v>
      </c>
      <c r="AW17" s="33">
        <f>SUMPRODUCT(lmic_raw_lb[m_95+]*lmic_raw_lb[births]*(LEN(lmic_raw_lb[m_95+])&gt;1)*(LEN(lmic_raw_lb[bd_cov])&gt;interactive!$C$6))/SUMPRODUCT(lmic_raw_lb[births]*(LEN(lmic_raw_lb[m_95+])&gt;1)*(LEN(lmic_raw_lb[bd_cov])&gt;interactive!$C$6))</f>
        <v>0.14628253287321993</v>
      </c>
      <c r="AX17" s="33">
        <f>SUMPRODUCT(lmic_raw_lb[av_life]*lmic_raw_lb[births]*(LEN(lmic_raw_lb[av_life])&gt;1)*(LEN(lmic_raw_lb[bd_cov])&gt;interactive!$C$6))/SUMPRODUCT(lmic_raw_lb[births]*(LEN(lmic_raw_lb[av_life])&gt;1)*(LEN(lmic_raw_lb[bd_cov])&gt;interactive!$C$6))</f>
        <v>68.703535426918819</v>
      </c>
    </row>
    <row r="19" spans="1:51" x14ac:dyDescent="0.25">
      <c r="A19" s="79" t="s">
        <v>668</v>
      </c>
      <c r="B19" s="80" t="s">
        <v>571</v>
      </c>
      <c r="C19" s="80" t="s">
        <v>669</v>
      </c>
      <c r="D19" s="80" t="s">
        <v>670</v>
      </c>
      <c r="E19" s="80" t="s">
        <v>575</v>
      </c>
      <c r="F19" s="80" t="s">
        <v>671</v>
      </c>
      <c r="G19" s="80" t="s">
        <v>672</v>
      </c>
      <c r="H19" s="80" t="s">
        <v>685</v>
      </c>
      <c r="I19" s="80" t="s">
        <v>686</v>
      </c>
      <c r="J19" s="80" t="s">
        <v>687</v>
      </c>
      <c r="K19" s="80" t="s">
        <v>688</v>
      </c>
      <c r="L19" s="80" t="s">
        <v>689</v>
      </c>
      <c r="M19" s="80" t="s">
        <v>690</v>
      </c>
      <c r="N19" s="80" t="s">
        <v>691</v>
      </c>
      <c r="O19" s="80" t="s">
        <v>657</v>
      </c>
      <c r="P19" s="80" t="s">
        <v>660</v>
      </c>
      <c r="Q19" s="80" t="s">
        <v>692</v>
      </c>
      <c r="R19" s="80" t="s">
        <v>693</v>
      </c>
      <c r="S19" s="80" t="s">
        <v>694</v>
      </c>
      <c r="T19" s="80" t="s">
        <v>695</v>
      </c>
      <c r="U19" s="80" t="s">
        <v>696</v>
      </c>
      <c r="V19" s="80" t="s">
        <v>697</v>
      </c>
      <c r="W19" s="80" t="s">
        <v>698</v>
      </c>
      <c r="X19" s="80" t="s">
        <v>699</v>
      </c>
      <c r="Y19" s="80" t="s">
        <v>700</v>
      </c>
      <c r="Z19" s="80" t="s">
        <v>701</v>
      </c>
      <c r="AA19" s="80" t="s">
        <v>702</v>
      </c>
      <c r="AB19" s="80" t="s">
        <v>703</v>
      </c>
      <c r="AC19" s="80" t="s">
        <v>544</v>
      </c>
      <c r="AD19" s="80" t="s">
        <v>545</v>
      </c>
      <c r="AE19" s="80" t="s">
        <v>546</v>
      </c>
      <c r="AF19" s="80" t="s">
        <v>547</v>
      </c>
      <c r="AG19" s="80" t="s">
        <v>548</v>
      </c>
      <c r="AH19" s="80" t="s">
        <v>549</v>
      </c>
      <c r="AI19" s="80" t="s">
        <v>550</v>
      </c>
      <c r="AJ19" s="80" t="s">
        <v>551</v>
      </c>
      <c r="AK19" s="80" t="s">
        <v>552</v>
      </c>
      <c r="AL19" s="80" t="s">
        <v>553</v>
      </c>
      <c r="AM19" s="80" t="s">
        <v>554</v>
      </c>
      <c r="AN19" s="80" t="s">
        <v>555</v>
      </c>
      <c r="AO19" s="80" t="s">
        <v>556</v>
      </c>
      <c r="AP19" s="80" t="s">
        <v>557</v>
      </c>
      <c r="AQ19" s="80" t="s">
        <v>558</v>
      </c>
      <c r="AR19" s="80" t="s">
        <v>559</v>
      </c>
      <c r="AS19" s="80" t="s">
        <v>560</v>
      </c>
      <c r="AT19" s="80" t="s">
        <v>561</v>
      </c>
      <c r="AU19" s="80" t="s">
        <v>562</v>
      </c>
      <c r="AV19" s="80" t="s">
        <v>563</v>
      </c>
      <c r="AW19" s="80" t="s">
        <v>564</v>
      </c>
      <c r="AX19" s="85" t="s">
        <v>704</v>
      </c>
      <c r="AY19" s="108" t="s">
        <v>725</v>
      </c>
    </row>
    <row r="20" spans="1:51" x14ac:dyDescent="0.25">
      <c r="A20" s="33" t="s">
        <v>677</v>
      </c>
      <c r="J20" s="33">
        <f>SUMPRODUCT((lmic_raw_ub[[who_region]:[who_region]]=$A20)*lmic_raw_ub[fac_birth]*lmic_raw_ub[births]*(LEN(lmic_raw_ub[fac_birth])&gt;1)*(LEN(lmic_raw_ub[bd_cov])&gt;interactive!$C$6))/SUMPRODUCT((lmic_raw_ub[[who_region]:[who_region]]=$A20)*lmic_raw_ub[births]*(LEN(lmic_raw_ub[fac_birth])&gt;1)*(LEN(lmic_raw_ub[bd_cov])&gt;interactive!$C$6))</f>
        <v>0.87433223231341517</v>
      </c>
      <c r="K20" s="33">
        <f>SUMPRODUCT((lmic_raw_ub[[who_region]:[who_region]]=$A20)*lmic_raw_ub[bd_cov]*lmic_raw_ub[births]*(LEN(lmic_raw_ub[bd_cov])&gt;interactive!$C$6))/SUMPRODUCT((lmic_raw_ub[[who_region]:[who_region]]=$A20)*lmic_raw_ub[births]*(LEN(lmic_raw_ub[bd_cov])&gt;interactive!$C$6))</f>
        <v>0.71433037619548323</v>
      </c>
      <c r="L20" s="33">
        <f>SUMPRODUCT((lmic_raw_ub[[who_region]:[who_region]]=$A20)*lmic_raw_ub[hbv3_cov]*lmic_raw_ub[births]*(LEN(lmic_raw_ub[hbv3_cov])&gt;1)*(LEN(lmic_raw_ub[bd_cov])&gt;interactive!$C$6))/SUMPRODUCT((lmic_raw_ub[[who_region]:[who_region]]=$A20)*lmic_raw_ub[births]*(LEN(lmic_raw_ub[hbv3_cov])&gt;1)*(LEN(lmic_raw_ub[bd_cov])&gt;interactive!$C$6))</f>
        <v>0.93159979575436036</v>
      </c>
      <c r="M20" s="33">
        <f>SUMPRODUCT((lmic_raw_ub[[who_region]:[who_region]]=$A20)*lmic_raw_ub[hbv_prev]*lmic_raw_ub[pop]*(LEN(lmic_raw_ub[hbv_prev])&gt;1)*(LEN(lmic_raw_ub[bd_cov])&gt;interactive!$C$6))/SUMPRODUCT((lmic_raw_ub[[who_region]:[who_region]]=$A20)*lmic_raw_ub[pop]*(LEN(lmic_raw_ub[hbv_prev])&gt;1)*(LEN(lmic_raw_ub[bd_cov])&gt;interactive!$C$6))</f>
        <v>5.5107995561620861E-2</v>
      </c>
      <c r="N20" s="33">
        <f>SUMPRODUCT((lmic_raw_ub[[who_region]:[who_region]]=$A20)*lmic_raw_ub[hbe_prev]*lmic_raw_ub[pop]*(LEN(lmic_raw_ub[hbe_prev])&gt;1)*(LEN(lmic_raw_ub[bd_cov])&gt;interactive!$C$6))/SUMPRODUCT((lmic_raw_ub[[who_region]:[who_region]]=$A20)*lmic_raw_ub[pop]*(LEN(lmic_raw_ub[hbe_prev])&gt;1)*(LEN(lmic_raw_ub[bd_cov])&gt;interactive!$C$6))</f>
        <v>0.39380532477309171</v>
      </c>
      <c r="O20" s="33">
        <f>SUMPRODUCT((lmic_raw_ub[[who_region]:[who_region]]=$A20)*lmic_raw_ub[epos]*lmic_raw_ub[pop]*(LEN(lmic_raw_ub[epos])&gt;1)*(LEN(lmic_raw_ub[bd_cov])&gt;interactive!$C$6))/SUMPRODUCT((lmic_raw_ub[[who_region]:[who_region]]=$A20)*lmic_raw_ub[pop]*(LEN(lmic_raw_ub[epos])&gt;1)*(LEN(lmic_raw_ub[bd_cov])&gt;interactive!$C$6))</f>
        <v>0.80724980732016127</v>
      </c>
      <c r="P20" s="33">
        <f>SUMPRODUCT((lmic_raw_ub[[who_region]:[who_region]]=$A20)*lmic_raw_ub[eneg]*lmic_raw_ub[pop]*(LEN(lmic_raw_ub[eneg])&gt;1)*(LEN(lmic_raw_ub[bd_cov])&gt;interactive!$C$6))/SUMPRODUCT((lmic_raw_ub[[who_region]:[who_region]]=$A20)*lmic_raw_ub[pop]*(LEN(lmic_raw_ub[eneg])&gt;1)*(LEN(lmic_raw_ub[bd_cov])&gt;interactive!$C$6))</f>
        <v>0.20070972963119835</v>
      </c>
      <c r="Q20" s="33">
        <f>SUMPRODUCT((lmic_raw_ub[[who_region]:[who_region]]=$A20)*lmic_raw_ub[c_diag]*lmic_raw_ub[births]*(LEN(lmic_raw_ub[c_diag])&gt;1)*(LEN(lmic_raw_ub[bd_cov])&gt;interactive!$C$6))/SUMPRODUCT((lmic_raw_ub[[who_region]:[who_region]]=$A20)*lmic_raw_ub[births]*(LEN(lmic_raw_ub[c_diag])&gt;1)*(LEN(lmic_raw_ub[bd_cov])&gt;interactive!$C$6))</f>
        <v>4.8907647106941052</v>
      </c>
      <c r="R20" s="33">
        <f>SUMPRODUCT((lmic_raw_ub[[who_region]:[who_region]]=$A20)*lmic_raw_ub[c_C]*lmic_raw_ub[births]*(LEN(lmic_raw_ub[c_C])&gt;1)*(LEN(lmic_raw_ub[bd_cov])&gt;interactive!$C$6))/SUMPRODUCT((lmic_raw_ub[[who_region]:[who_region]]=$A20)*lmic_raw_ub[births]*(LEN(lmic_raw_ub[c_C])&gt;1)*(LEN(lmic_raw_ub[bd_cov])&gt;interactive!$C$6))</f>
        <v>36.985771227795226</v>
      </c>
      <c r="S20" s="33">
        <f>SUMPRODUCT((lmic_raw_ub[[who_region]:[who_region]]=$A20)*lmic_raw_ub[c_CC]*lmic_raw_ub[births]*(LEN(lmic_raw_ub[c_CC])&gt;1)*(LEN(lmic_raw_ub[bd_cov])&gt;interactive!$C$6))/SUMPRODUCT((lmic_raw_ub[[who_region]:[who_region]]=$A20)*lmic_raw_ub[births]*(LEN(lmic_raw_ub[c_CC])&gt;1)*(LEN(lmic_raw_ub[bd_cov])&gt;interactive!$C$6))</f>
        <v>87.114871227795234</v>
      </c>
      <c r="T20" s="33">
        <f>SUMPRODUCT((lmic_raw_ub[[who_region]:[who_region]]=$A20)*lmic_raw_ub[c_DC]*lmic_raw_ub[births]*(LEN(lmic_raw_ub[c_DC])&gt;1)*(LEN(lmic_raw_ub[bd_cov])&gt;interactive!$C$6))/SUMPRODUCT((lmic_raw_ub[[who_region]:[who_region]]=$A20)*lmic_raw_ub[births]*(LEN(lmic_raw_ub[c_DC])&gt;1)*(LEN(lmic_raw_ub[bd_cov])&gt;interactive!$C$6))</f>
        <v>87.114871227795234</v>
      </c>
      <c r="U20" s="33">
        <f>SUMPRODUCT((lmic_raw_ub[[who_region]:[who_region]]=$A20)*lmic_raw_ub[c_HCC]*lmic_raw_ub[births]*(LEN(lmic_raw_ub[c_HCC])&gt;1)*(LEN(lmic_raw_ub[bd_cov])&gt;interactive!$C$6))/SUMPRODUCT((lmic_raw_ub[[who_region]:[who_region]]=$A20)*lmic_raw_ub[births]*(LEN(lmic_raw_ub[c_HCC])&gt;1)*(LEN(lmic_raw_ub[bd_cov])&gt;interactive!$C$6))</f>
        <v>87.114871227795234</v>
      </c>
      <c r="V20" s="33">
        <f>SUMPRODUCT((lmic_raw_ub[[who_region]:[who_region]]=$A20)*lmic_raw_ub[bl1_f]*lmic_raw_ub[births]*(LEN(lmic_raw_ub[bl1_f])&gt;1)*(LEN(lmic_raw_ub[bd_cov])&gt;interactive!$C$6))/SUMPRODUCT((lmic_raw_ub[[who_region]:[who_region]]=$A20)*lmic_raw_ub[births]*(LEN(lmic_raw_ub[bl1_f])&gt;1)*(LEN(lmic_raw_ub[bd_cov])&gt;interactive!$C$6))</f>
        <v>5.8763609131509655</v>
      </c>
      <c r="W20" s="33">
        <f>SUMPRODUCT((lmic_raw_ub[[who_region]:[who_region]]=$A20)*lmic_raw_ub[bl1_c]*lmic_raw_ub[births]*(LEN(lmic_raw_ub[bl1_c])&gt;1)*(LEN(lmic_raw_ub[bd_cov])&gt;interactive!$C$6))/SUMPRODUCT((lmic_raw_ub[[who_region]:[who_region]]=$A20)*lmic_raw_ub[births]*(LEN(lmic_raw_ub[bl1_c])&gt;1)*(LEN(lmic_raw_ub[bd_cov])&gt;interactive!$C$6))</f>
        <v>9.4709784862649808</v>
      </c>
      <c r="X20" s="33">
        <f>SUMPRODUCT((lmic_raw_ub[[who_region]:[who_region]]=$A20)*lmic_raw_ub[map_f]*lmic_raw_ub[births]*(LEN(lmic_raw_ub[map_f])&gt;1)*(LEN(lmic_raw_ub[bd_cov])&gt;interactive!$C$6))/SUMPRODUCT((lmic_raw_ub[[who_region]:[who_region]]=$A20)*lmic_raw_ub[births]*(LEN(lmic_raw_ub[map_f])&gt;1)*(LEN(lmic_raw_ub[bd_cov])&gt;interactive!$C$6))</f>
        <v>5.3713947584272965</v>
      </c>
      <c r="Y20" s="33">
        <f>SUMPRODUCT((lmic_raw_ub[[who_region]:[who_region]]=$A20)*lmic_raw_ub[map_cq]*lmic_raw_ub[births]*(LEN(lmic_raw_ub[map_cq])&gt;1)*(LEN(lmic_raw_ub[bd_cov])&gt;interactive!$C$6))/SUMPRODUCT((lmic_raw_ub[[who_region]:[who_region]]=$A20)*lmic_raw_ub[births]*(LEN(lmic_raw_ub[map_cq])&gt;1)*(LEN(lmic_raw_ub[bd_cov])&gt;interactive!$C$6))</f>
        <v>8.9660123315413127</v>
      </c>
      <c r="Z20" s="33">
        <f>SUMPRODUCT((lmic_raw_ub[[who_region]:[who_region]]=$A20)*lmic_raw_ub[map_cl]*lmic_raw_ub[births]*(LEN(lmic_raw_ub[map_cl])&gt;1)*(LEN(lmic_raw_ub[bd_cov])&gt;interactive!$C$6))/SUMPRODUCT((lmic_raw_ub[[who_region]:[who_region]]=$A20)*lmic_raw_ub[births]*(LEN(lmic_raw_ub[map_cl])&gt;1)*(LEN(lmic_raw_ub[bd_cov])&gt;interactive!$C$6))</f>
        <v>8.9536606418931708</v>
      </c>
      <c r="AA20" s="33">
        <f>SUMPRODUCT((lmic_raw_ub[[who_region]:[who_region]]=$A20)*lmic_raw_ub[ctc_f]*lmic_raw_ub[births]*(LEN(lmic_raw_ub[ctc_f])&gt;1)*(LEN(lmic_raw_ub[bd_cov])&gt;interactive!$C$6))/SUMPRODUCT((lmic_raw_ub[[who_region]:[who_region]]=$A20)*lmic_raw_ub[births]*(LEN(lmic_raw_ub[ctc_f])&gt;1)*(LEN(lmic_raw_ub[bd_cov])&gt;interactive!$C$6))</f>
        <v>6.1470595771245833</v>
      </c>
      <c r="AB20" s="33">
        <f>SUMPRODUCT((lmic_raw_ub[[who_region]:[who_region]]=$A20)*lmic_raw_ub[ctc_c]*lmic_raw_ub[births]*(LEN(lmic_raw_ub[ctc_c])&gt;1)*(LEN(lmic_raw_ub[bd_cov])&gt;interactive!$C$6))/SUMPRODUCT((lmic_raw_ub[[who_region]:[who_region]]=$A20)*lmic_raw_ub[births]*(LEN(lmic_raw_ub[ctc_c])&gt;1)*(LEN(lmic_raw_ub[bd_cov])&gt;interactive!$C$6))</f>
        <v>9.7416771502385977</v>
      </c>
      <c r="AC20" s="33">
        <f>SUMPRODUCT((lmic_raw_ub[[who_region]:[who_region]]=$A20)*lmic_raw_ub[m_01]*lmic_raw_ub[births]*(LEN(lmic_raw_ub[m_01])&gt;1)*(LEN(lmic_raw_ub[bd_cov])&gt;interactive!$C$6))/SUMPRODUCT((lmic_raw_ub[[who_region]:[who_region]]=$A20)*lmic_raw_ub[births]*(LEN(lmic_raw_ub[m_01])&gt;1)*(LEN(lmic_raw_ub[bd_cov])&gt;interactive!$C$6))</f>
        <v>4.1258972806959879E-2</v>
      </c>
      <c r="AD20" s="33">
        <f>SUMPRODUCT((lmic_raw_ub[[who_region]:[who_region]]=$A20)*lmic_raw_ub[m_14]*lmic_raw_ub[births]*(LEN(lmic_raw_ub[m_14])&gt;1)*(LEN(lmic_raw_ub[bd_cov])&gt;interactive!$C$6))/SUMPRODUCT((lmic_raw_ub[[who_region]:[who_region]]=$A20)*lmic_raw_ub[births]*(LEN(lmic_raw_ub[m_14])&gt;1)*(LEN(lmic_raw_ub[bd_cov])&gt;interactive!$C$6))</f>
        <v>3.8299508558370071E-3</v>
      </c>
      <c r="AE20" s="33">
        <f>SUMPRODUCT((lmic_raw_ub[[who_region]:[who_region]]=$A20)*lmic_raw_ub[m_59]*lmic_raw_ub[births]*(LEN(lmic_raw_ub[m_59])&gt;1)*(LEN(lmic_raw_ub[bd_cov])&gt;interactive!$C$6))/SUMPRODUCT((lmic_raw_ub[[who_region]:[who_region]]=$A20)*lmic_raw_ub[births]*(LEN(lmic_raw_ub[m_59])&gt;1)*(LEN(lmic_raw_ub[bd_cov])&gt;interactive!$C$6))</f>
        <v>1.4061311900757122E-3</v>
      </c>
      <c r="AF20" s="33">
        <f>SUMPRODUCT((lmic_raw_ub[[who_region]:[who_region]]=$A20)*lmic_raw_ub[m_1014]*lmic_raw_ub[births]*(LEN(lmic_raw_ub[m_1014])&gt;1)*(LEN(lmic_raw_ub[bd_cov])&gt;interactive!$C$6))/SUMPRODUCT((lmic_raw_ub[[who_region]:[who_region]]=$A20)*lmic_raw_ub[births]*(LEN(lmic_raw_ub[m_1014])&gt;1)*(LEN(lmic_raw_ub[bd_cov])&gt;interactive!$C$6))</f>
        <v>1.052707634745785E-3</v>
      </c>
      <c r="AG20" s="33">
        <f>SUMPRODUCT((lmic_raw_ub[[who_region]:[who_region]]=$A20)*lmic_raw_ub[m_1519]*lmic_raw_ub[births]*(LEN(lmic_raw_ub[m_1519])&gt;1)*(LEN(lmic_raw_ub[bd_cov])&gt;interactive!$C$6))/SUMPRODUCT((lmic_raw_ub[[who_region]:[who_region]]=$A20)*lmic_raw_ub[births]*(LEN(lmic_raw_ub[m_1519])&gt;1)*(LEN(lmic_raw_ub[bd_cov])&gt;interactive!$C$6))</f>
        <v>1.6119096532116531E-3</v>
      </c>
      <c r="AH20" s="33">
        <f>SUMPRODUCT((lmic_raw_ub[[who_region]:[who_region]]=$A20)*lmic_raw_ub[m_2024]*lmic_raw_ub[births]*(LEN(lmic_raw_ub[m_2024])&gt;1)*(LEN(lmic_raw_ub[bd_cov])&gt;interactive!$C$6))/SUMPRODUCT((lmic_raw_ub[[who_region]:[who_region]]=$A20)*lmic_raw_ub[births]*(LEN(lmic_raw_ub[m_2024])&gt;1)*(LEN(lmic_raw_ub[bd_cov])&gt;interactive!$C$6))</f>
        <v>2.3920239501629506E-3</v>
      </c>
      <c r="AI20" s="33">
        <f>SUMPRODUCT((lmic_raw_ub[[who_region]:[who_region]]=$A20)*lmic_raw_ub[m_2529]*lmic_raw_ub[births]*(LEN(lmic_raw_ub[m_2529])&gt;1)*(LEN(lmic_raw_ub[bd_cov])&gt;interactive!$C$6))/SUMPRODUCT((lmic_raw_ub[[who_region]:[who_region]]=$A20)*lmic_raw_ub[births]*(LEN(lmic_raw_ub[m_2529])&gt;1)*(LEN(lmic_raw_ub[bd_cov])&gt;interactive!$C$6))</f>
        <v>3.0387369683068264E-3</v>
      </c>
      <c r="AJ20" s="33">
        <f>SUMPRODUCT((lmic_raw_ub[[who_region]:[who_region]]=$A20)*lmic_raw_ub[m_3034]*lmic_raw_ub[births]*(LEN(lmic_raw_ub[m_3034])&gt;1)*(LEN(lmic_raw_ub[bd_cov])&gt;interactive!$C$6))/SUMPRODUCT((lmic_raw_ub[[who_region]:[who_region]]=$A20)*lmic_raw_ub[births]*(LEN(lmic_raw_ub[m_3034])&gt;1)*(LEN(lmic_raw_ub[bd_cov])&gt;interactive!$C$6))</f>
        <v>3.7660490574114086E-3</v>
      </c>
      <c r="AK20" s="33">
        <f>SUMPRODUCT((lmic_raw_ub[[who_region]:[who_region]]=$A20)*lmic_raw_ub[m_3539]*lmic_raw_ub[births]*(LEN(lmic_raw_ub[m_3539])&gt;1)*(LEN(lmic_raw_ub[bd_cov])&gt;interactive!$C$6))/SUMPRODUCT((lmic_raw_ub[[who_region]:[who_region]]=$A20)*lmic_raw_ub[births]*(LEN(lmic_raw_ub[m_3539])&gt;1)*(LEN(lmic_raw_ub[bd_cov])&gt;interactive!$C$6))</f>
        <v>4.8231591160708314E-3</v>
      </c>
      <c r="AL20" s="33">
        <f>SUMPRODUCT((lmic_raw_ub[[who_region]:[who_region]]=$A20)*lmic_raw_ub[m_4044]*lmic_raw_ub[births]*(LEN(lmic_raw_ub[m_4044])&gt;1)*(LEN(lmic_raw_ub[bd_cov])&gt;interactive!$C$6))/SUMPRODUCT((lmic_raw_ub[[who_region]:[who_region]]=$A20)*lmic_raw_ub[births]*(LEN(lmic_raw_ub[m_4044])&gt;1)*(LEN(lmic_raw_ub[bd_cov])&gt;interactive!$C$6))</f>
        <v>6.0037982571523665E-3</v>
      </c>
      <c r="AM20" s="33">
        <f>SUMPRODUCT((lmic_raw_ub[[who_region]:[who_region]]=$A20)*lmic_raw_ub[m_4549]*lmic_raw_ub[births]*(LEN(lmic_raw_ub[m_4549])&gt;1)*(LEN(lmic_raw_ub[bd_cov])&gt;interactive!$C$6))/SUMPRODUCT((lmic_raw_ub[[who_region]:[who_region]]=$A20)*lmic_raw_ub[births]*(LEN(lmic_raw_ub[m_4549])&gt;1)*(LEN(lmic_raw_ub[bd_cov])&gt;interactive!$C$6))</f>
        <v>7.5313681512609058E-3</v>
      </c>
      <c r="AN20" s="33">
        <f>SUMPRODUCT((lmic_raw_ub[[who_region]:[who_region]]=$A20)*lmic_raw_ub[m_5054]*lmic_raw_ub[births]*(LEN(lmic_raw_ub[m_5054])&gt;1)*(LEN(lmic_raw_ub[bd_cov])&gt;interactive!$C$6))/SUMPRODUCT((lmic_raw_ub[[who_region]:[who_region]]=$A20)*lmic_raw_ub[births]*(LEN(lmic_raw_ub[m_5054])&gt;1)*(LEN(lmic_raw_ub[bd_cov])&gt;interactive!$C$6))</f>
        <v>1.0140181606260507E-2</v>
      </c>
      <c r="AO20" s="33">
        <f>SUMPRODUCT((lmic_raw_ub[[who_region]:[who_region]]=$A20)*lmic_raw_ub[m_5559]*lmic_raw_ub[births]*(LEN(lmic_raw_ub[m_5559])&gt;1)*(LEN(lmic_raw_ub[bd_cov])&gt;interactive!$C$6))/SUMPRODUCT((lmic_raw_ub[[who_region]:[who_region]]=$A20)*lmic_raw_ub[births]*(LEN(lmic_raw_ub[m_5559])&gt;1)*(LEN(lmic_raw_ub[bd_cov])&gt;interactive!$C$6))</f>
        <v>1.3502788436947228E-2</v>
      </c>
      <c r="AP20" s="33">
        <f>SUMPRODUCT((lmic_raw_ub[[who_region]:[who_region]]=$A20)*lmic_raw_ub[m_6064]*lmic_raw_ub[births]*(LEN(lmic_raw_ub[m_6064])&gt;1)*(LEN(lmic_raw_ub[bd_cov])&gt;interactive!$C$6))/SUMPRODUCT((lmic_raw_ub[[who_region]:[who_region]]=$A20)*lmic_raw_ub[births]*(LEN(lmic_raw_ub[m_6064])&gt;1)*(LEN(lmic_raw_ub[bd_cov])&gt;interactive!$C$6))</f>
        <v>1.9650686860124032E-2</v>
      </c>
      <c r="AQ20" s="33">
        <f>SUMPRODUCT((lmic_raw_ub[[who_region]:[who_region]]=$A20)*lmic_raw_ub[m_6569]*lmic_raw_ub[births]*(LEN(lmic_raw_ub[m_6569])&gt;1)*(LEN(lmic_raw_ub[bd_cov])&gt;interactive!$C$6))/SUMPRODUCT((lmic_raw_ub[[who_region]:[who_region]]=$A20)*lmic_raw_ub[births]*(LEN(lmic_raw_ub[m_6569])&gt;1)*(LEN(lmic_raw_ub[bd_cov])&gt;interactive!$C$6))</f>
        <v>2.9212407946467726E-2</v>
      </c>
      <c r="AR20" s="33">
        <f>SUMPRODUCT((lmic_raw_ub[[who_region]:[who_region]]=$A20)*lmic_raw_ub[m_7074]*lmic_raw_ub[births]*(LEN(lmic_raw_ub[m_7074])&gt;1)*(LEN(lmic_raw_ub[bd_cov])&gt;interactive!$C$6))/SUMPRODUCT((lmic_raw_ub[[who_region]:[who_region]]=$A20)*lmic_raw_ub[births]*(LEN(lmic_raw_ub[m_7074])&gt;1)*(LEN(lmic_raw_ub[bd_cov])&gt;interactive!$C$6))</f>
        <v>4.4884793783799823E-2</v>
      </c>
      <c r="AS20" s="33">
        <f>SUMPRODUCT((lmic_raw_ub[[who_region]:[who_region]]=$A20)*lmic_raw_ub[m_7079]*lmic_raw_ub[births]*(LEN(lmic_raw_ub[m_7079])&gt;1)*(LEN(lmic_raw_ub[bd_cov])&gt;interactive!$C$6))/SUMPRODUCT((lmic_raw_ub[[who_region]:[who_region]]=$A20)*lmic_raw_ub[births]*(LEN(lmic_raw_ub[m_7079])&gt;1)*(LEN(lmic_raw_ub[bd_cov])&gt;interactive!$C$6))</f>
        <v>6.8675877778515304E-2</v>
      </c>
      <c r="AT20" s="33">
        <f>SUMPRODUCT((lmic_raw_ub[[who_region]:[who_region]]=$A20)*lmic_raw_ub[m_8084]*lmic_raw_ub[births]*(LEN(lmic_raw_ub[m_8084])&gt;1)*(LEN(lmic_raw_ub[bd_cov])&gt;interactive!$C$6))/SUMPRODUCT((lmic_raw_ub[[who_region]:[who_region]]=$A20)*lmic_raw_ub[births]*(LEN(lmic_raw_ub[m_8084])&gt;1)*(LEN(lmic_raw_ub[bd_cov])&gt;interactive!$C$6))</f>
        <v>0.10252834497616742</v>
      </c>
      <c r="AU20" s="33">
        <f>SUMPRODUCT((lmic_raw_ub[[who_region]:[who_region]]=$A20)*lmic_raw_ub[m_8589]*lmic_raw_ub[births]*(LEN(lmic_raw_ub[m_8589])&gt;1)*(LEN(lmic_raw_ub[bd_cov])&gt;interactive!$C$6))/SUMPRODUCT((lmic_raw_ub[[who_region]:[who_region]]=$A20)*lmic_raw_ub[births]*(LEN(lmic_raw_ub[m_8589])&gt;1)*(LEN(lmic_raw_ub[bd_cov])&gt;interactive!$C$6))</f>
        <v>0.14056739769622492</v>
      </c>
      <c r="AV20" s="33">
        <f>SUMPRODUCT((lmic_raw_ub[[who_region]:[who_region]]=$A20)*lmic_raw_ub[m_9094]*lmic_raw_ub[births]*(LEN(lmic_raw_ub[m_9094])&gt;1)*(LEN(lmic_raw_ub[bd_cov])&gt;interactive!$C$6))/SUMPRODUCT((lmic_raw_ub[[who_region]:[who_region]]=$A20)*lmic_raw_ub[births]*(LEN(lmic_raw_ub[m_9094])&gt;1)*(LEN(lmic_raw_ub[bd_cov])&gt;interactive!$C$6))</f>
        <v>0.17224207190793864</v>
      </c>
      <c r="AW20" s="33">
        <f>SUMPRODUCT((lmic_raw_ub[[who_region]:[who_region]]=$A20)*lmic_raw_ub[m_95+]*lmic_raw_ub[births]*(LEN(lmic_raw_ub[m_95+])&gt;1)*(LEN(lmic_raw_ub[bd_cov])&gt;interactive!$C$6))/SUMPRODUCT((lmic_raw_ub[[who_region]:[who_region]]=$A20)*lmic_raw_ub[births]*(LEN(lmic_raw_ub[m_95+])&gt;1)*(LEN(lmic_raw_ub[bd_cov])&gt;interactive!$C$6))</f>
        <v>0.18883835769522037</v>
      </c>
      <c r="AX20" s="33">
        <f>SUMPRODUCT((lmic_raw_ub[[who_region]:[who_region]]=$A20)*lmic_raw_ub[av_life]*lmic_raw_ub[births]*(LEN(lmic_raw_ub[av_life])&gt;1)*(LEN(lmic_raw_ub[bd_cov])&gt;interactive!$C$6))/SUMPRODUCT((lmic_raw_ub[[who_region]:[who_region]]=$A20)*lmic_raw_ub[births]*(LEN(lmic_raw_ub[av_life])&gt;1)*(LEN(lmic_raw_ub[bd_cov])&gt;interactive!$C$6))</f>
        <v>69.976568958134692</v>
      </c>
    </row>
    <row r="21" spans="1:51" x14ac:dyDescent="0.25">
      <c r="A21" s="33" t="s">
        <v>679</v>
      </c>
      <c r="J21" s="33">
        <f>SUMPRODUCT((lmic_raw_ub[[who_region]:[who_region]]=$A21)*lmic_raw_ub[fac_birth]*lmic_raw_ub[births]*(LEN(lmic_raw_ub[fac_birth])&gt;1)*(LEN(lmic_raw_ub[bd_cov])&gt;interactive!$C$6))/SUMPRODUCT((lmic_raw_ub[[who_region]:[who_region]]=$A21)*lmic_raw_ub[births]*(LEN(lmic_raw_ub[fac_birth])&gt;1)*(LEN(lmic_raw_ub[bd_cov])&gt;interactive!$C$6))</f>
        <v>0.97190446634167316</v>
      </c>
      <c r="K21" s="33">
        <f>SUMPRODUCT((lmic_raw_ub[[who_region]:[who_region]]=$A21)*lmic_raw_ub[bd_cov]*lmic_raw_ub[births]*(LEN(lmic_raw_ub[bd_cov])&gt;interactive!$C$6))/SUMPRODUCT((lmic_raw_ub[[who_region]:[who_region]]=$A21)*lmic_raw_ub[births]*(LEN(lmic_raw_ub[bd_cov])&gt;interactive!$C$6))</f>
        <v>0.78230516513860726</v>
      </c>
      <c r="L21" s="33">
        <f>SUMPRODUCT((lmic_raw_ub[[who_region]:[who_region]]=$A21)*lmic_raw_ub[hbv3_cov]*lmic_raw_ub[births]*(LEN(lmic_raw_ub[hbv3_cov])&gt;1)*(LEN(lmic_raw_ub[bd_cov])&gt;interactive!$C$6))/SUMPRODUCT((lmic_raw_ub[[who_region]:[who_region]]=$A21)*lmic_raw_ub[births]*(LEN(lmic_raw_ub[hbv3_cov])&gt;1)*(LEN(lmic_raw_ub[bd_cov])&gt;interactive!$C$6))</f>
        <v>0.87034777173412614</v>
      </c>
      <c r="M21" s="33">
        <f>SUMPRODUCT((lmic_raw_ub[[who_region]:[who_region]]=$A21)*lmic_raw_ub[hbv_prev]*lmic_raw_ub[pop]*(LEN(lmic_raw_ub[hbv_prev])&gt;1)*(LEN(lmic_raw_ub[bd_cov])&gt;interactive!$C$6))/SUMPRODUCT((lmic_raw_ub[[who_region]:[who_region]]=$A21)*lmic_raw_ub[pop]*(LEN(lmic_raw_ub[hbv_prev])&gt;1)*(LEN(lmic_raw_ub[bd_cov])&gt;interactive!$C$6))</f>
        <v>2.4506014090139343E-2</v>
      </c>
      <c r="N21" s="33">
        <f>SUMPRODUCT((lmic_raw_ub[[who_region]:[who_region]]=$A21)*lmic_raw_ub[hbe_prev]*lmic_raw_ub[pop]*(LEN(lmic_raw_ub[hbe_prev])&gt;1)*(LEN(lmic_raw_ub[bd_cov])&gt;interactive!$C$6))/SUMPRODUCT((lmic_raw_ub[[who_region]:[who_region]]=$A21)*lmic_raw_ub[pop]*(LEN(lmic_raw_ub[hbe_prev])&gt;1)*(LEN(lmic_raw_ub[bd_cov])&gt;interactive!$C$6))</f>
        <v>0.43402338236319343</v>
      </c>
      <c r="O21" s="33">
        <f>SUMPRODUCT((lmic_raw_ub[[who_region]:[who_region]]=$A21)*lmic_raw_ub[epos]*lmic_raw_ub[pop]*(LEN(lmic_raw_ub[epos])&gt;1)*(LEN(lmic_raw_ub[bd_cov])&gt;interactive!$C$6))/SUMPRODUCT((lmic_raw_ub[[who_region]:[who_region]]=$A21)*lmic_raw_ub[pop]*(LEN(lmic_raw_ub[epos])&gt;1)*(LEN(lmic_raw_ub[bd_cov])&gt;interactive!$C$6))</f>
        <v>0.9</v>
      </c>
      <c r="P21" s="33">
        <f>SUMPRODUCT((lmic_raw_ub[[who_region]:[who_region]]=$A21)*lmic_raw_ub[eneg]*lmic_raw_ub[pop]*(LEN(lmic_raw_ub[eneg])&gt;1)*(LEN(lmic_raw_ub[bd_cov])&gt;interactive!$C$6))/SUMPRODUCT((lmic_raw_ub[[who_region]:[who_region]]=$A21)*lmic_raw_ub[pop]*(LEN(lmic_raw_ub[eneg])&gt;1)*(LEN(lmic_raw_ub[bd_cov])&gt;interactive!$C$6))</f>
        <v>0.3</v>
      </c>
      <c r="Q21" s="33">
        <f>SUMPRODUCT((lmic_raw_ub[[who_region]:[who_region]]=$A21)*lmic_raw_ub[c_diag]*lmic_raw_ub[births]*(LEN(lmic_raw_ub[c_diag])&gt;1)*(LEN(lmic_raw_ub[bd_cov])&gt;interactive!$C$6))/SUMPRODUCT((lmic_raw_ub[[who_region]:[who_region]]=$A21)*lmic_raw_ub[births]*(LEN(lmic_raw_ub[c_diag])&gt;1)*(LEN(lmic_raw_ub[bd_cov])&gt;interactive!$C$6))</f>
        <v>10.168273489948627</v>
      </c>
      <c r="R21" s="33">
        <f>SUMPRODUCT((lmic_raw_ub[[who_region]:[who_region]]=$A21)*lmic_raw_ub[c_C]*lmic_raw_ub[births]*(LEN(lmic_raw_ub[c_C])&gt;1)*(LEN(lmic_raw_ub[bd_cov])&gt;interactive!$C$6))/SUMPRODUCT((lmic_raw_ub[[who_region]:[who_region]]=$A21)*lmic_raw_ub[births]*(LEN(lmic_raw_ub[c_C])&gt;1)*(LEN(lmic_raw_ub[bd_cov])&gt;interactive!$C$6))</f>
        <v>91.228094999999982</v>
      </c>
      <c r="S21" s="33">
        <f>SUMPRODUCT((lmic_raw_ub[[who_region]:[who_region]]=$A21)*lmic_raw_ub[c_CC]*lmic_raw_ub[births]*(LEN(lmic_raw_ub[c_CC])&gt;1)*(LEN(lmic_raw_ub[bd_cov])&gt;interactive!$C$6))/SUMPRODUCT((lmic_raw_ub[[who_region]:[who_region]]=$A21)*lmic_raw_ub[births]*(LEN(lmic_raw_ub[c_CC])&gt;1)*(LEN(lmic_raw_ub[bd_cov])&gt;interactive!$C$6))</f>
        <v>141.35719499999996</v>
      </c>
      <c r="T21" s="33">
        <f>SUMPRODUCT((lmic_raw_ub[[who_region]:[who_region]]=$A21)*lmic_raw_ub[c_DC]*lmic_raw_ub[births]*(LEN(lmic_raw_ub[c_DC])&gt;1)*(LEN(lmic_raw_ub[bd_cov])&gt;interactive!$C$6))/SUMPRODUCT((lmic_raw_ub[[who_region]:[who_region]]=$A21)*lmic_raw_ub[births]*(LEN(lmic_raw_ub[c_DC])&gt;1)*(LEN(lmic_raw_ub[bd_cov])&gt;interactive!$C$6))</f>
        <v>141.35719499999996</v>
      </c>
      <c r="U21" s="33">
        <f>SUMPRODUCT((lmic_raw_ub[[who_region]:[who_region]]=$A21)*lmic_raw_ub[c_HCC]*lmic_raw_ub[births]*(LEN(lmic_raw_ub[c_HCC])&gt;1)*(LEN(lmic_raw_ub[bd_cov])&gt;interactive!$C$6))/SUMPRODUCT((lmic_raw_ub[[who_region]:[who_region]]=$A21)*lmic_raw_ub[births]*(LEN(lmic_raw_ub[c_HCC])&gt;1)*(LEN(lmic_raw_ub[bd_cov])&gt;interactive!$C$6))</f>
        <v>141.35719499999996</v>
      </c>
      <c r="V21" s="33">
        <f>SUMPRODUCT((lmic_raw_ub[[who_region]:[who_region]]=$A21)*lmic_raw_ub[bl1_f]*lmic_raw_ub[births]*(LEN(lmic_raw_ub[bl1_f])&gt;1)*(LEN(lmic_raw_ub[bd_cov])&gt;interactive!$C$6))/SUMPRODUCT((lmic_raw_ub[[who_region]:[who_region]]=$A21)*lmic_raw_ub[births]*(LEN(lmic_raw_ub[bl1_f])&gt;1)*(LEN(lmic_raw_ub[bd_cov])&gt;interactive!$C$6))</f>
        <v>7.3584185189049851</v>
      </c>
      <c r="W21" s="33">
        <f>SUMPRODUCT((lmic_raw_ub[[who_region]:[who_region]]=$A21)*lmic_raw_ub[bl1_c]*lmic_raw_ub[births]*(LEN(lmic_raw_ub[bl1_c])&gt;1)*(LEN(lmic_raw_ub[bd_cov])&gt;interactive!$C$6))/SUMPRODUCT((lmic_raw_ub[[who_region]:[who_region]]=$A21)*lmic_raw_ub[births]*(LEN(lmic_raw_ub[bl1_c])&gt;1)*(LEN(lmic_raw_ub[bd_cov])&gt;interactive!$C$6))</f>
        <v>7.3813085189049836</v>
      </c>
      <c r="X21" s="33">
        <f>SUMPRODUCT((lmic_raw_ub[[who_region]:[who_region]]=$A21)*lmic_raw_ub[map_f]*lmic_raw_ub[births]*(LEN(lmic_raw_ub[map_f])&gt;1)*(LEN(lmic_raw_ub[bd_cov])&gt;interactive!$C$6))/SUMPRODUCT((lmic_raw_ub[[who_region]:[who_region]]=$A21)*lmic_raw_ub[births]*(LEN(lmic_raw_ub[map_f])&gt;1)*(LEN(lmic_raw_ub[bd_cov])&gt;interactive!$C$6))</f>
        <v>6.8236961809344274</v>
      </c>
      <c r="Y21" s="33">
        <f>SUMPRODUCT((lmic_raw_ub[[who_region]:[who_region]]=$A21)*lmic_raw_ub[map_cq]*lmic_raw_ub[births]*(LEN(lmic_raw_ub[map_cq])&gt;1)*(LEN(lmic_raw_ub[bd_cov])&gt;interactive!$C$6))/SUMPRODUCT((lmic_raw_ub[[who_region]:[who_region]]=$A21)*lmic_raw_ub[births]*(LEN(lmic_raw_ub[map_cq])&gt;1)*(LEN(lmic_raw_ub[bd_cov])&gt;interactive!$C$6))</f>
        <v>6.8465861809344286</v>
      </c>
      <c r="Z21" s="33">
        <f>SUMPRODUCT((lmic_raw_ub[[who_region]:[who_region]]=$A21)*lmic_raw_ub[map_cl]*lmic_raw_ub[births]*(LEN(lmic_raw_ub[map_cl])&gt;1)*(LEN(lmic_raw_ub[bd_cov])&gt;interactive!$C$6))/SUMPRODUCT((lmic_raw_ub[[who_region]:[who_region]]=$A21)*lmic_raw_ub[births]*(LEN(lmic_raw_ub[map_cl])&gt;1)*(LEN(lmic_raw_ub[bd_cov])&gt;interactive!$C$6))</f>
        <v>6.8176367387193357</v>
      </c>
      <c r="AA21" s="33">
        <f>SUMPRODUCT((lmic_raw_ub[[who_region]:[who_region]]=$A21)*lmic_raw_ub[ctc_f]*lmic_raw_ub[births]*(LEN(lmic_raw_ub[ctc_f])&gt;1)*(LEN(lmic_raw_ub[bd_cov])&gt;interactive!$C$6))/SUMPRODUCT((lmic_raw_ub[[who_region]:[who_region]]=$A21)*lmic_raw_ub[births]*(LEN(lmic_raw_ub[ctc_f])&gt;1)*(LEN(lmic_raw_ub[bd_cov])&gt;interactive!$C$6))</f>
        <v>7.6358716539223748</v>
      </c>
      <c r="AB21" s="33">
        <f>SUMPRODUCT((lmic_raw_ub[[who_region]:[who_region]]=$A21)*lmic_raw_ub[ctc_c]*lmic_raw_ub[births]*(LEN(lmic_raw_ub[ctc_c])&gt;1)*(LEN(lmic_raw_ub[bd_cov])&gt;interactive!$C$6))/SUMPRODUCT((lmic_raw_ub[[who_region]:[who_region]]=$A21)*lmic_raw_ub[births]*(LEN(lmic_raw_ub[ctc_c])&gt;1)*(LEN(lmic_raw_ub[bd_cov])&gt;interactive!$C$6))</f>
        <v>7.6587616539223751</v>
      </c>
      <c r="AC21" s="33">
        <f>SUMPRODUCT((lmic_raw_ub[[who_region]:[who_region]]=$A21)*lmic_raw_ub[m_01]*lmic_raw_ub[births]*(LEN(lmic_raw_ub[m_01])&gt;1)*(LEN(lmic_raw_ub[bd_cov])&gt;interactive!$C$6))/SUMPRODUCT((lmic_raw_ub[[who_region]:[who_region]]=$A21)*lmic_raw_ub[births]*(LEN(lmic_raw_ub[m_01])&gt;1)*(LEN(lmic_raw_ub[bd_cov])&gt;interactive!$C$6))</f>
        <v>1.5068846118737734E-2</v>
      </c>
      <c r="AD21" s="33">
        <f>SUMPRODUCT((lmic_raw_ub[[who_region]:[who_region]]=$A21)*lmic_raw_ub[m_14]*lmic_raw_ub[births]*(LEN(lmic_raw_ub[m_14])&gt;1)*(LEN(lmic_raw_ub[bd_cov])&gt;interactive!$C$6))/SUMPRODUCT((lmic_raw_ub[[who_region]:[who_region]]=$A21)*lmic_raw_ub[births]*(LEN(lmic_raw_ub[m_14])&gt;1)*(LEN(lmic_raw_ub[bd_cov])&gt;interactive!$C$6))</f>
        <v>7.4825058325918032E-4</v>
      </c>
      <c r="AE21" s="33">
        <f>SUMPRODUCT((lmic_raw_ub[[who_region]:[who_region]]=$A21)*lmic_raw_ub[m_59]*lmic_raw_ub[births]*(LEN(lmic_raw_ub[m_59])&gt;1)*(LEN(lmic_raw_ub[bd_cov])&gt;interactive!$C$6))/SUMPRODUCT((lmic_raw_ub[[who_region]:[who_region]]=$A21)*lmic_raw_ub[births]*(LEN(lmic_raw_ub[m_59])&gt;1)*(LEN(lmic_raw_ub[bd_cov])&gt;interactive!$C$6))</f>
        <v>3.1794098768524214E-4</v>
      </c>
      <c r="AF21" s="33">
        <f>SUMPRODUCT((lmic_raw_ub[[who_region]:[who_region]]=$A21)*lmic_raw_ub[m_1014]*lmic_raw_ub[births]*(LEN(lmic_raw_ub[m_1014])&gt;1)*(LEN(lmic_raw_ub[bd_cov])&gt;interactive!$C$6))/SUMPRODUCT((lmic_raw_ub[[who_region]:[who_region]]=$A21)*lmic_raw_ub[births]*(LEN(lmic_raw_ub[m_1014])&gt;1)*(LEN(lmic_raw_ub[bd_cov])&gt;interactive!$C$6))</f>
        <v>3.6836687936309202E-4</v>
      </c>
      <c r="AG21" s="33">
        <f>SUMPRODUCT((lmic_raw_ub[[who_region]:[who_region]]=$A21)*lmic_raw_ub[m_1519]*lmic_raw_ub[births]*(LEN(lmic_raw_ub[m_1519])&gt;1)*(LEN(lmic_raw_ub[bd_cov])&gt;interactive!$C$6))/SUMPRODUCT((lmic_raw_ub[[who_region]:[who_region]]=$A21)*lmic_raw_ub[births]*(LEN(lmic_raw_ub[m_1519])&gt;1)*(LEN(lmic_raw_ub[bd_cov])&gt;interactive!$C$6))</f>
        <v>1.0647071490621038E-3</v>
      </c>
      <c r="AH21" s="33">
        <f>SUMPRODUCT((lmic_raw_ub[[who_region]:[who_region]]=$A21)*lmic_raw_ub[m_2024]*lmic_raw_ub[births]*(LEN(lmic_raw_ub[m_2024])&gt;1)*(LEN(lmic_raw_ub[bd_cov])&gt;interactive!$C$6))/SUMPRODUCT((lmic_raw_ub[[who_region]:[who_region]]=$A21)*lmic_raw_ub[births]*(LEN(lmic_raw_ub[m_2024])&gt;1)*(LEN(lmic_raw_ub[bd_cov])&gt;interactive!$C$6))</f>
        <v>1.6743145334687961E-3</v>
      </c>
      <c r="AI21" s="33">
        <f>SUMPRODUCT((lmic_raw_ub[[who_region]:[who_region]]=$A21)*lmic_raw_ub[m_2529]*lmic_raw_ub[births]*(LEN(lmic_raw_ub[m_2529])&gt;1)*(LEN(lmic_raw_ub[bd_cov])&gt;interactive!$C$6))/SUMPRODUCT((lmic_raw_ub[[who_region]:[who_region]]=$A21)*lmic_raw_ub[births]*(LEN(lmic_raw_ub[m_2529])&gt;1)*(LEN(lmic_raw_ub[bd_cov])&gt;interactive!$C$6))</f>
        <v>1.7784293848844546E-3</v>
      </c>
      <c r="AJ21" s="33">
        <f>SUMPRODUCT((lmic_raw_ub[[who_region]:[who_region]]=$A21)*lmic_raw_ub[m_3034]*lmic_raw_ub[births]*(LEN(lmic_raw_ub[m_3034])&gt;1)*(LEN(lmic_raw_ub[bd_cov])&gt;interactive!$C$6))/SUMPRODUCT((lmic_raw_ub[[who_region]:[who_region]]=$A21)*lmic_raw_ub[births]*(LEN(lmic_raw_ub[m_3034])&gt;1)*(LEN(lmic_raw_ub[bd_cov])&gt;interactive!$C$6))</f>
        <v>1.9712364760497243E-3</v>
      </c>
      <c r="AK21" s="33">
        <f>SUMPRODUCT((lmic_raw_ub[[who_region]:[who_region]]=$A21)*lmic_raw_ub[m_3539]*lmic_raw_ub[births]*(LEN(lmic_raw_ub[m_3539])&gt;1)*(LEN(lmic_raw_ub[bd_cov])&gt;interactive!$C$6))/SUMPRODUCT((lmic_raw_ub[[who_region]:[who_region]]=$A21)*lmic_raw_ub[births]*(LEN(lmic_raw_ub[m_3539])&gt;1)*(LEN(lmic_raw_ub[bd_cov])&gt;interactive!$C$6))</f>
        <v>2.3134804631402685E-3</v>
      </c>
      <c r="AL21" s="33">
        <f>SUMPRODUCT((lmic_raw_ub[[who_region]:[who_region]]=$A21)*lmic_raw_ub[m_4044]*lmic_raw_ub[births]*(LEN(lmic_raw_ub[m_4044])&gt;1)*(LEN(lmic_raw_ub[bd_cov])&gt;interactive!$C$6))/SUMPRODUCT((lmic_raw_ub[[who_region]:[who_region]]=$A21)*lmic_raw_ub[births]*(LEN(lmic_raw_ub[m_4044])&gt;1)*(LEN(lmic_raw_ub[bd_cov])&gt;interactive!$C$6))</f>
        <v>2.910360932958404E-3</v>
      </c>
      <c r="AM21" s="33">
        <f>SUMPRODUCT((lmic_raw_ub[[who_region]:[who_region]]=$A21)*lmic_raw_ub[m_4549]*lmic_raw_ub[births]*(LEN(lmic_raw_ub[m_4549])&gt;1)*(LEN(lmic_raw_ub[bd_cov])&gt;interactive!$C$6))/SUMPRODUCT((lmic_raw_ub[[who_region]:[who_region]]=$A21)*lmic_raw_ub[births]*(LEN(lmic_raw_ub[m_4549])&gt;1)*(LEN(lmic_raw_ub[bd_cov])&gt;interactive!$C$6))</f>
        <v>4.0537598151164957E-3</v>
      </c>
      <c r="AN21" s="33">
        <f>SUMPRODUCT((lmic_raw_ub[[who_region]:[who_region]]=$A21)*lmic_raw_ub[m_5054]*lmic_raw_ub[births]*(LEN(lmic_raw_ub[m_5054])&gt;1)*(LEN(lmic_raw_ub[bd_cov])&gt;interactive!$C$6))/SUMPRODUCT((lmic_raw_ub[[who_region]:[who_region]]=$A21)*lmic_raw_ub[births]*(LEN(lmic_raw_ub[m_5054])&gt;1)*(LEN(lmic_raw_ub[bd_cov])&gt;interactive!$C$6))</f>
        <v>5.8675865590534599E-3</v>
      </c>
      <c r="AO21" s="33">
        <f>SUMPRODUCT((lmic_raw_ub[[who_region]:[who_region]]=$A21)*lmic_raw_ub[m_5559]*lmic_raw_ub[births]*(LEN(lmic_raw_ub[m_5559])&gt;1)*(LEN(lmic_raw_ub[bd_cov])&gt;interactive!$C$6))/SUMPRODUCT((lmic_raw_ub[[who_region]:[who_region]]=$A21)*lmic_raw_ub[births]*(LEN(lmic_raw_ub[m_5559])&gt;1)*(LEN(lmic_raw_ub[bd_cov])&gt;interactive!$C$6))</f>
        <v>8.5048493653677344E-3</v>
      </c>
      <c r="AP21" s="33">
        <f>SUMPRODUCT((lmic_raw_ub[[who_region]:[who_region]]=$A21)*lmic_raw_ub[m_6064]*lmic_raw_ub[births]*(LEN(lmic_raw_ub[m_6064])&gt;1)*(LEN(lmic_raw_ub[bd_cov])&gt;interactive!$C$6))/SUMPRODUCT((lmic_raw_ub[[who_region]:[who_region]]=$A21)*lmic_raw_ub[births]*(LEN(lmic_raw_ub[m_6064])&gt;1)*(LEN(lmic_raw_ub[bd_cov])&gt;interactive!$C$6))</f>
        <v>1.2721742582618999E-2</v>
      </c>
      <c r="AQ21" s="33">
        <f>SUMPRODUCT((lmic_raw_ub[[who_region]:[who_region]]=$A21)*lmic_raw_ub[m_6569]*lmic_raw_ub[births]*(LEN(lmic_raw_ub[m_6569])&gt;1)*(LEN(lmic_raw_ub[bd_cov])&gt;interactive!$C$6))/SUMPRODUCT((lmic_raw_ub[[who_region]:[who_region]]=$A21)*lmic_raw_ub[births]*(LEN(lmic_raw_ub[m_6569])&gt;1)*(LEN(lmic_raw_ub[bd_cov])&gt;interactive!$C$6))</f>
        <v>1.9012060484279232E-2</v>
      </c>
      <c r="AR21" s="33">
        <f>SUMPRODUCT((lmic_raw_ub[[who_region]:[who_region]]=$A21)*lmic_raw_ub[m_7074]*lmic_raw_ub[births]*(LEN(lmic_raw_ub[m_7074])&gt;1)*(LEN(lmic_raw_ub[bd_cov])&gt;interactive!$C$6))/SUMPRODUCT((lmic_raw_ub[[who_region]:[who_region]]=$A21)*lmic_raw_ub[births]*(LEN(lmic_raw_ub[m_7074])&gt;1)*(LEN(lmic_raw_ub[bd_cov])&gt;interactive!$C$6))</f>
        <v>2.8031586348683368E-2</v>
      </c>
      <c r="AS21" s="33">
        <f>SUMPRODUCT((lmic_raw_ub[[who_region]:[who_region]]=$A21)*lmic_raw_ub[m_7079]*lmic_raw_ub[births]*(LEN(lmic_raw_ub[m_7079])&gt;1)*(LEN(lmic_raw_ub[bd_cov])&gt;interactive!$C$6))/SUMPRODUCT((lmic_raw_ub[[who_region]:[who_region]]=$A21)*lmic_raw_ub[births]*(LEN(lmic_raw_ub[m_7079])&gt;1)*(LEN(lmic_raw_ub[bd_cov])&gt;interactive!$C$6))</f>
        <v>4.2354929260592977E-2</v>
      </c>
      <c r="AT21" s="33">
        <f>SUMPRODUCT((lmic_raw_ub[[who_region]:[who_region]]=$A21)*lmic_raw_ub[m_8084]*lmic_raw_ub[births]*(LEN(lmic_raw_ub[m_8084])&gt;1)*(LEN(lmic_raw_ub[bd_cov])&gt;interactive!$C$6))/SUMPRODUCT((lmic_raw_ub[[who_region]:[who_region]]=$A21)*lmic_raw_ub[births]*(LEN(lmic_raw_ub[m_8084])&gt;1)*(LEN(lmic_raw_ub[bd_cov])&gt;interactive!$C$6))</f>
        <v>6.2846627899033905E-2</v>
      </c>
      <c r="AU21" s="33">
        <f>SUMPRODUCT((lmic_raw_ub[[who_region]:[who_region]]=$A21)*lmic_raw_ub[m_8589]*lmic_raw_ub[births]*(LEN(lmic_raw_ub[m_8589])&gt;1)*(LEN(lmic_raw_ub[bd_cov])&gt;interactive!$C$6))/SUMPRODUCT((lmic_raw_ub[[who_region]:[who_region]]=$A21)*lmic_raw_ub[births]*(LEN(lmic_raw_ub[m_8589])&gt;1)*(LEN(lmic_raw_ub[bd_cov])&gt;interactive!$C$6))</f>
        <v>9.0568433890057462E-2</v>
      </c>
      <c r="AV21" s="33">
        <f>SUMPRODUCT((lmic_raw_ub[[who_region]:[who_region]]=$A21)*lmic_raw_ub[m_9094]*lmic_raw_ub[births]*(LEN(lmic_raw_ub[m_9094])&gt;1)*(LEN(lmic_raw_ub[bd_cov])&gt;interactive!$C$6))/SUMPRODUCT((lmic_raw_ub[[who_region]:[who_region]]=$A21)*lmic_raw_ub[births]*(LEN(lmic_raw_ub[m_9094])&gt;1)*(LEN(lmic_raw_ub[bd_cov])&gt;interactive!$C$6))</f>
        <v>0.11803610691676426</v>
      </c>
      <c r="AW21" s="33">
        <f>SUMPRODUCT((lmic_raw_ub[[who_region]:[who_region]]=$A21)*lmic_raw_ub[m_95+]*lmic_raw_ub[births]*(LEN(lmic_raw_ub[m_95+])&gt;1)*(LEN(lmic_raw_ub[bd_cov])&gt;interactive!$C$6))/SUMPRODUCT((lmic_raw_ub[[who_region]:[who_region]]=$A21)*lmic_raw_ub[births]*(LEN(lmic_raw_ub[m_95+])&gt;1)*(LEN(lmic_raw_ub[bd_cov])&gt;interactive!$C$6))</f>
        <v>0.15197426146039272</v>
      </c>
      <c r="AX21" s="33">
        <f>SUMPRODUCT((lmic_raw_ub[[who_region]:[who_region]]=$A21)*lmic_raw_ub[av_life]*lmic_raw_ub[births]*(LEN(lmic_raw_ub[av_life])&gt;1)*(LEN(lmic_raw_ub[bd_cov])&gt;interactive!$C$6))/SUMPRODUCT((lmic_raw_ub[[who_region]:[who_region]]=$A21)*lmic_raw_ub[births]*(LEN(lmic_raw_ub[av_life])&gt;1)*(LEN(lmic_raw_ub[bd_cov])&gt;interactive!$C$6))</f>
        <v>79.342182667842025</v>
      </c>
    </row>
    <row r="22" spans="1:51" x14ac:dyDescent="0.25">
      <c r="A22" s="33" t="s">
        <v>673</v>
      </c>
      <c r="J22" s="33">
        <f>SUMPRODUCT((lmic_raw_ub[[who_region]:[who_region]]=$A22)*lmic_raw_ub[fac_birth]*lmic_raw_ub[births]*(LEN(lmic_raw_ub[fac_birth])&gt;1)*(LEN(lmic_raw_ub[bd_cov])&gt;interactive!$C$6))/SUMPRODUCT((lmic_raw_ub[[who_region]:[who_region]]=$A22)*lmic_raw_ub[births]*(LEN(lmic_raw_ub[fac_birth])&gt;1)*(LEN(lmic_raw_ub[bd_cov])&gt;interactive!$C$6))</f>
        <v>0.88222561871840999</v>
      </c>
      <c r="K22" s="33">
        <f>SUMPRODUCT((lmic_raw_ub[[who_region]:[who_region]]=$A22)*lmic_raw_ub[bd_cov]*lmic_raw_ub[births]*(LEN(lmic_raw_ub[bd_cov])&gt;interactive!$C$6))/SUMPRODUCT((lmic_raw_ub[[who_region]:[who_region]]=$A22)*lmic_raw_ub[births]*(LEN(lmic_raw_ub[bd_cov])&gt;interactive!$C$6))</f>
        <v>0.74462879341111321</v>
      </c>
      <c r="L22" s="33">
        <f>SUMPRODUCT((lmic_raw_ub[[who_region]:[who_region]]=$A22)*lmic_raw_ub[hbv3_cov]*lmic_raw_ub[births]*(LEN(lmic_raw_ub[hbv3_cov])&gt;1)*(LEN(lmic_raw_ub[bd_cov])&gt;interactive!$C$6))/SUMPRODUCT((lmic_raw_ub[[who_region]:[who_region]]=$A22)*lmic_raw_ub[births]*(LEN(lmic_raw_ub[hbv3_cov])&gt;1)*(LEN(lmic_raw_ub[bd_cov])&gt;interactive!$C$6))</f>
        <v>0.9292288212205001</v>
      </c>
      <c r="M22" s="33">
        <f>SUMPRODUCT((lmic_raw_ub[[who_region]:[who_region]]=$A22)*lmic_raw_ub[hbv_prev]*lmic_raw_ub[pop]*(LEN(lmic_raw_ub[hbv_prev])&gt;1)*(LEN(lmic_raw_ub[bd_cov])&gt;interactive!$C$6))/SUMPRODUCT((lmic_raw_ub[[who_region]:[who_region]]=$A22)*lmic_raw_ub[pop]*(LEN(lmic_raw_ub[hbv_prev])&gt;1)*(LEN(lmic_raw_ub[bd_cov])&gt;interactive!$C$6))</f>
        <v>1.5844081499976813E-2</v>
      </c>
      <c r="N22" s="33">
        <f>SUMPRODUCT((lmic_raw_ub[[who_region]:[who_region]]=$A22)*lmic_raw_ub[hbe_prev]*lmic_raw_ub[pop]*(LEN(lmic_raw_ub[hbe_prev])&gt;1)*(LEN(lmic_raw_ub[bd_cov])&gt;interactive!$C$6))/SUMPRODUCT((lmic_raw_ub[[who_region]:[who_region]]=$A22)*lmic_raw_ub[pop]*(LEN(lmic_raw_ub[hbe_prev])&gt;1)*(LEN(lmic_raw_ub[bd_cov])&gt;interactive!$C$6))</f>
        <v>0.3762719446911843</v>
      </c>
      <c r="O22" s="33">
        <f>SUMPRODUCT((lmic_raw_ub[[who_region]:[who_region]]=$A22)*lmic_raw_ub[epos]*lmic_raw_ub[pop]*(LEN(lmic_raw_ub[epos])&gt;1)*(LEN(lmic_raw_ub[bd_cov])&gt;interactive!$C$6))/SUMPRODUCT((lmic_raw_ub[[who_region]:[who_region]]=$A22)*lmic_raw_ub[pop]*(LEN(lmic_raw_ub[epos])&gt;1)*(LEN(lmic_raw_ub[bd_cov])&gt;interactive!$C$6))</f>
        <v>0.89952779726337673</v>
      </c>
      <c r="P22" s="33">
        <f>SUMPRODUCT((lmic_raw_ub[[who_region]:[who_region]]=$A22)*lmic_raw_ub[eneg]*lmic_raw_ub[pop]*(LEN(lmic_raw_ub[eneg])&gt;1)*(LEN(lmic_raw_ub[bd_cov])&gt;interactive!$C$6))/SUMPRODUCT((lmic_raw_ub[[who_region]:[who_region]]=$A22)*lmic_raw_ub[pop]*(LEN(lmic_raw_ub[eneg])&gt;1)*(LEN(lmic_raw_ub[bd_cov])&gt;interactive!$C$6))</f>
        <v>0.2994945009165636</v>
      </c>
      <c r="Q22" s="33">
        <f>SUMPRODUCT((lmic_raw_ub[[who_region]:[who_region]]=$A22)*lmic_raw_ub[c_diag]*lmic_raw_ub[births]*(LEN(lmic_raw_ub[c_diag])&gt;1)*(LEN(lmic_raw_ub[bd_cov])&gt;interactive!$C$6))/SUMPRODUCT((lmic_raw_ub[[who_region]:[who_region]]=$A22)*lmic_raw_ub[births]*(LEN(lmic_raw_ub[c_diag])&gt;1)*(LEN(lmic_raw_ub[bd_cov])&gt;interactive!$C$6))</f>
        <v>6.8874579874984834</v>
      </c>
      <c r="R22" s="33">
        <f>SUMPRODUCT((lmic_raw_ub[[who_region]:[who_region]]=$A22)*lmic_raw_ub[c_C]*lmic_raw_ub[births]*(LEN(lmic_raw_ub[c_C])&gt;1)*(LEN(lmic_raw_ub[bd_cov])&gt;interactive!$C$6))/SUMPRODUCT((lmic_raw_ub[[who_region]:[who_region]]=$A22)*lmic_raw_ub[births]*(LEN(lmic_raw_ub[c_C])&gt;1)*(LEN(lmic_raw_ub[bd_cov])&gt;interactive!$C$6))</f>
        <v>48.606216937119534</v>
      </c>
      <c r="S22" s="33">
        <f>SUMPRODUCT((lmic_raw_ub[[who_region]:[who_region]]=$A22)*lmic_raw_ub[c_CC]*lmic_raw_ub[births]*(LEN(lmic_raw_ub[c_CC])&gt;1)*(LEN(lmic_raw_ub[bd_cov])&gt;interactive!$C$6))/SUMPRODUCT((lmic_raw_ub[[who_region]:[who_region]]=$A22)*lmic_raw_ub[births]*(LEN(lmic_raw_ub[c_CC])&gt;1)*(LEN(lmic_raw_ub[bd_cov])&gt;interactive!$C$6))</f>
        <v>98.735316937119563</v>
      </c>
      <c r="T22" s="33">
        <f>SUMPRODUCT((lmic_raw_ub[[who_region]:[who_region]]=$A22)*lmic_raw_ub[c_DC]*lmic_raw_ub[births]*(LEN(lmic_raw_ub[c_DC])&gt;1)*(LEN(lmic_raw_ub[bd_cov])&gt;interactive!$C$6))/SUMPRODUCT((lmic_raw_ub[[who_region]:[who_region]]=$A22)*lmic_raw_ub[births]*(LEN(lmic_raw_ub[c_DC])&gt;1)*(LEN(lmic_raw_ub[bd_cov])&gt;interactive!$C$6))</f>
        <v>98.735316937119563</v>
      </c>
      <c r="U22" s="33">
        <f>SUMPRODUCT((lmic_raw_ub[[who_region]:[who_region]]=$A22)*lmic_raw_ub[c_HCC]*lmic_raw_ub[births]*(LEN(lmic_raw_ub[c_HCC])&gt;1)*(LEN(lmic_raw_ub[bd_cov])&gt;interactive!$C$6))/SUMPRODUCT((lmic_raw_ub[[who_region]:[who_region]]=$A22)*lmic_raw_ub[births]*(LEN(lmic_raw_ub[c_HCC])&gt;1)*(LEN(lmic_raw_ub[bd_cov])&gt;interactive!$C$6))</f>
        <v>98.735316937119563</v>
      </c>
      <c r="V22" s="33">
        <f>SUMPRODUCT((lmic_raw_ub[[who_region]:[who_region]]=$A22)*lmic_raw_ub[bl1_f]*lmic_raw_ub[births]*(LEN(lmic_raw_ub[bl1_f])&gt;1)*(LEN(lmic_raw_ub[bd_cov])&gt;interactive!$C$6))/SUMPRODUCT((lmic_raw_ub[[who_region]:[who_region]]=$A22)*lmic_raw_ub[births]*(LEN(lmic_raw_ub[bl1_f])&gt;1)*(LEN(lmic_raw_ub[bd_cov])&gt;interactive!$C$6))</f>
        <v>5.9457891015276356</v>
      </c>
      <c r="W22" s="33">
        <f>SUMPRODUCT((lmic_raw_ub[[who_region]:[who_region]]=$A22)*lmic_raw_ub[bl1_c]*lmic_raw_ub[births]*(LEN(lmic_raw_ub[bl1_c])&gt;1)*(LEN(lmic_raw_ub[bd_cov])&gt;interactive!$C$6))/SUMPRODUCT((lmic_raw_ub[[who_region]:[who_region]]=$A22)*lmic_raw_ub[births]*(LEN(lmic_raw_ub[bl1_c])&gt;1)*(LEN(lmic_raw_ub[bd_cov])&gt;interactive!$C$6))</f>
        <v>6.4616830106174801</v>
      </c>
      <c r="X22" s="33">
        <f>SUMPRODUCT((lmic_raw_ub[[who_region]:[who_region]]=$A22)*lmic_raw_ub[map_f]*lmic_raw_ub[births]*(LEN(lmic_raw_ub[map_f])&gt;1)*(LEN(lmic_raw_ub[bd_cov])&gt;interactive!$C$6))/SUMPRODUCT((lmic_raw_ub[[who_region]:[who_region]]=$A22)*lmic_raw_ub[births]*(LEN(lmic_raw_ub[map_f])&gt;1)*(LEN(lmic_raw_ub[bd_cov])&gt;interactive!$C$6))</f>
        <v>5.5358199571361091</v>
      </c>
      <c r="Y22" s="33">
        <f>SUMPRODUCT((lmic_raw_ub[[who_region]:[who_region]]=$A22)*lmic_raw_ub[map_cq]*lmic_raw_ub[births]*(LEN(lmic_raw_ub[map_cq])&gt;1)*(LEN(lmic_raw_ub[bd_cov])&gt;interactive!$C$6))/SUMPRODUCT((lmic_raw_ub[[who_region]:[who_region]]=$A22)*lmic_raw_ub[births]*(LEN(lmic_raw_ub[map_cq])&gt;1)*(LEN(lmic_raw_ub[bd_cov])&gt;interactive!$C$6))</f>
        <v>5.9481155411148752</v>
      </c>
      <c r="Z22" s="33">
        <f>SUMPRODUCT((lmic_raw_ub[[who_region]:[who_region]]=$A22)*lmic_raw_ub[map_cl]*lmic_raw_ub[births]*(LEN(lmic_raw_ub[map_cl])&gt;1)*(LEN(lmic_raw_ub[bd_cov])&gt;interactive!$C$6))/SUMPRODUCT((lmic_raw_ub[[who_region]:[who_region]]=$A22)*lmic_raw_ub[births]*(LEN(lmic_raw_ub[map_cl])&gt;1)*(LEN(lmic_raw_ub[bd_cov])&gt;interactive!$C$6))</f>
        <v>5.9308429641927649</v>
      </c>
      <c r="AA22" s="33">
        <f>SUMPRODUCT((lmic_raw_ub[[who_region]:[who_region]]=$A22)*lmic_raw_ub[ctc_f]*lmic_raw_ub[births]*(LEN(lmic_raw_ub[ctc_f])&gt;1)*(LEN(lmic_raw_ub[bd_cov])&gt;interactive!$C$6))/SUMPRODUCT((lmic_raw_ub[[who_region]:[who_region]]=$A22)*lmic_raw_ub[births]*(LEN(lmic_raw_ub[ctc_f])&gt;1)*(LEN(lmic_raw_ub[bd_cov])&gt;interactive!$C$6))</f>
        <v>6.2184402111872688</v>
      </c>
      <c r="AB22" s="33">
        <f>SUMPRODUCT((lmic_raw_ub[[who_region]:[who_region]]=$A22)*lmic_raw_ub[ctc_c]*lmic_raw_ub[births]*(LEN(lmic_raw_ub[ctc_c])&gt;1)*(LEN(lmic_raw_ub[bd_cov])&gt;interactive!$C$6))/SUMPRODUCT((lmic_raw_ub[[who_region]:[who_region]]=$A22)*lmic_raw_ub[births]*(LEN(lmic_raw_ub[ctc_c])&gt;1)*(LEN(lmic_raw_ub[bd_cov])&gt;interactive!$C$6))</f>
        <v>6.7343341202771132</v>
      </c>
      <c r="AC22" s="33">
        <f>SUMPRODUCT((lmic_raw_ub[[who_region]:[who_region]]=$A22)*lmic_raw_ub[m_01]*lmic_raw_ub[births]*(LEN(lmic_raw_ub[m_01])&gt;1)*(LEN(lmic_raw_ub[bd_cov])&gt;interactive!$C$6))/SUMPRODUCT((lmic_raw_ub[[who_region]:[who_region]]=$A22)*lmic_raw_ub[births]*(LEN(lmic_raw_ub[m_01])&gt;1)*(LEN(lmic_raw_ub[bd_cov])&gt;interactive!$C$6))</f>
        <v>2.3450855755619785E-2</v>
      </c>
      <c r="AD22" s="33">
        <f>SUMPRODUCT((lmic_raw_ub[[who_region]:[who_region]]=$A22)*lmic_raw_ub[m_14]*lmic_raw_ub[births]*(LEN(lmic_raw_ub[m_14])&gt;1)*(LEN(lmic_raw_ub[bd_cov])&gt;interactive!$C$6))/SUMPRODUCT((lmic_raw_ub[[who_region]:[who_region]]=$A22)*lmic_raw_ub[births]*(LEN(lmic_raw_ub[m_14])&gt;1)*(LEN(lmic_raw_ub[bd_cov])&gt;interactive!$C$6))</f>
        <v>1.5075469799728828E-3</v>
      </c>
      <c r="AE22" s="33">
        <f>SUMPRODUCT((lmic_raw_ub[[who_region]:[who_region]]=$A22)*lmic_raw_ub[m_59]*lmic_raw_ub[births]*(LEN(lmic_raw_ub[m_59])&gt;1)*(LEN(lmic_raw_ub[bd_cov])&gt;interactive!$C$6))/SUMPRODUCT((lmic_raw_ub[[who_region]:[who_region]]=$A22)*lmic_raw_ub[births]*(LEN(lmic_raw_ub[m_59])&gt;1)*(LEN(lmic_raw_ub[bd_cov])&gt;interactive!$C$6))</f>
        <v>5.6462208739187681E-4</v>
      </c>
      <c r="AF22" s="33">
        <f>SUMPRODUCT((lmic_raw_ub[[who_region]:[who_region]]=$A22)*lmic_raw_ub[m_1014]*lmic_raw_ub[births]*(LEN(lmic_raw_ub[m_1014])&gt;1)*(LEN(lmic_raw_ub[bd_cov])&gt;interactive!$C$6))/SUMPRODUCT((lmic_raw_ub[[who_region]:[who_region]]=$A22)*lmic_raw_ub[births]*(LEN(lmic_raw_ub[m_1014])&gt;1)*(LEN(lmic_raw_ub[bd_cov])&gt;interactive!$C$6))</f>
        <v>4.654178209622862E-4</v>
      </c>
      <c r="AG22" s="33">
        <f>SUMPRODUCT((lmic_raw_ub[[who_region]:[who_region]]=$A22)*lmic_raw_ub[m_1519]*lmic_raw_ub[births]*(LEN(lmic_raw_ub[m_1519])&gt;1)*(LEN(lmic_raw_ub[bd_cov])&gt;interactive!$C$6))/SUMPRODUCT((lmic_raw_ub[[who_region]:[who_region]]=$A22)*lmic_raw_ub[births]*(LEN(lmic_raw_ub[m_1519])&gt;1)*(LEN(lmic_raw_ub[bd_cov])&gt;interactive!$C$6))</f>
        <v>7.6871903986804784E-4</v>
      </c>
      <c r="AH22" s="33">
        <f>SUMPRODUCT((lmic_raw_ub[[who_region]:[who_region]]=$A22)*lmic_raw_ub[m_2024]*lmic_raw_ub[births]*(LEN(lmic_raw_ub[m_2024])&gt;1)*(LEN(lmic_raw_ub[bd_cov])&gt;interactive!$C$6))/SUMPRODUCT((lmic_raw_ub[[who_region]:[who_region]]=$A22)*lmic_raw_ub[births]*(LEN(lmic_raw_ub[m_2024])&gt;1)*(LEN(lmic_raw_ub[bd_cov])&gt;interactive!$C$6))</f>
        <v>1.1300426991192371E-3</v>
      </c>
      <c r="AI22" s="33">
        <f>SUMPRODUCT((lmic_raw_ub[[who_region]:[who_region]]=$A22)*lmic_raw_ub[m_2529]*lmic_raw_ub[births]*(LEN(lmic_raw_ub[m_2529])&gt;1)*(LEN(lmic_raw_ub[bd_cov])&gt;interactive!$C$6))/SUMPRODUCT((lmic_raw_ub[[who_region]:[who_region]]=$A22)*lmic_raw_ub[births]*(LEN(lmic_raw_ub[m_2529])&gt;1)*(LEN(lmic_raw_ub[bd_cov])&gt;interactive!$C$6))</f>
        <v>1.2183233244732357E-3</v>
      </c>
      <c r="AJ22" s="33">
        <f>SUMPRODUCT((lmic_raw_ub[[who_region]:[who_region]]=$A22)*lmic_raw_ub[m_3034]*lmic_raw_ub[births]*(LEN(lmic_raw_ub[m_3034])&gt;1)*(LEN(lmic_raw_ub[bd_cov])&gt;interactive!$C$6))/SUMPRODUCT((lmic_raw_ub[[who_region]:[who_region]]=$A22)*lmic_raw_ub[births]*(LEN(lmic_raw_ub[m_3034])&gt;1)*(LEN(lmic_raw_ub[bd_cov])&gt;interactive!$C$6))</f>
        <v>1.4443673709942345E-3</v>
      </c>
      <c r="AK22" s="33">
        <f>SUMPRODUCT((lmic_raw_ub[[who_region]:[who_region]]=$A22)*lmic_raw_ub[m_3539]*lmic_raw_ub[births]*(LEN(lmic_raw_ub[m_3539])&gt;1)*(LEN(lmic_raw_ub[bd_cov])&gt;interactive!$C$6))/SUMPRODUCT((lmic_raw_ub[[who_region]:[who_region]]=$A22)*lmic_raw_ub[births]*(LEN(lmic_raw_ub[m_3539])&gt;1)*(LEN(lmic_raw_ub[bd_cov])&gt;interactive!$C$6))</f>
        <v>1.7751911916800585E-3</v>
      </c>
      <c r="AL22" s="33">
        <f>SUMPRODUCT((lmic_raw_ub[[who_region]:[who_region]]=$A22)*lmic_raw_ub[m_4044]*lmic_raw_ub[births]*(LEN(lmic_raw_ub[m_4044])&gt;1)*(LEN(lmic_raw_ub[bd_cov])&gt;interactive!$C$6))/SUMPRODUCT((lmic_raw_ub[[who_region]:[who_region]]=$A22)*lmic_raw_ub[births]*(LEN(lmic_raw_ub[m_4044])&gt;1)*(LEN(lmic_raw_ub[bd_cov])&gt;interactive!$C$6))</f>
        <v>2.4997112985440349E-3</v>
      </c>
      <c r="AM22" s="33">
        <f>SUMPRODUCT((lmic_raw_ub[[who_region]:[who_region]]=$A22)*lmic_raw_ub[m_4549]*lmic_raw_ub[births]*(LEN(lmic_raw_ub[m_4549])&gt;1)*(LEN(lmic_raw_ub[bd_cov])&gt;interactive!$C$6))/SUMPRODUCT((lmic_raw_ub[[who_region]:[who_region]]=$A22)*lmic_raw_ub[births]*(LEN(lmic_raw_ub[m_4549])&gt;1)*(LEN(lmic_raw_ub[bd_cov])&gt;interactive!$C$6))</f>
        <v>4.1697101990902331E-3</v>
      </c>
      <c r="AN22" s="33">
        <f>SUMPRODUCT((lmic_raw_ub[[who_region]:[who_region]]=$A22)*lmic_raw_ub[m_5054]*lmic_raw_ub[births]*(LEN(lmic_raw_ub[m_5054])&gt;1)*(LEN(lmic_raw_ub[bd_cov])&gt;interactive!$C$6))/SUMPRODUCT((lmic_raw_ub[[who_region]:[who_region]]=$A22)*lmic_raw_ub[births]*(LEN(lmic_raw_ub[m_5054])&gt;1)*(LEN(lmic_raw_ub[bd_cov])&gt;interactive!$C$6))</f>
        <v>6.9290402057895417E-3</v>
      </c>
      <c r="AO22" s="33">
        <f>SUMPRODUCT((lmic_raw_ub[[who_region]:[who_region]]=$A22)*lmic_raw_ub[m_5559]*lmic_raw_ub[births]*(LEN(lmic_raw_ub[m_5559])&gt;1)*(LEN(lmic_raw_ub[bd_cov])&gt;interactive!$C$6))/SUMPRODUCT((lmic_raw_ub[[who_region]:[who_region]]=$A22)*lmic_raw_ub[births]*(LEN(lmic_raw_ub[m_5559])&gt;1)*(LEN(lmic_raw_ub[bd_cov])&gt;interactive!$C$6))</f>
        <v>1.0093308585146236E-2</v>
      </c>
      <c r="AP22" s="33">
        <f>SUMPRODUCT((lmic_raw_ub[[who_region]:[who_region]]=$A22)*lmic_raw_ub[m_6064]*lmic_raw_ub[births]*(LEN(lmic_raw_ub[m_6064])&gt;1)*(LEN(lmic_raw_ub[bd_cov])&gt;interactive!$C$6))/SUMPRODUCT((lmic_raw_ub[[who_region]:[who_region]]=$A22)*lmic_raw_ub[births]*(LEN(lmic_raw_ub[m_6064])&gt;1)*(LEN(lmic_raw_ub[bd_cov])&gt;interactive!$C$6))</f>
        <v>1.6190057363501455E-2</v>
      </c>
      <c r="AQ22" s="33">
        <f>SUMPRODUCT((lmic_raw_ub[[who_region]:[who_region]]=$A22)*lmic_raw_ub[m_6569]*lmic_raw_ub[births]*(LEN(lmic_raw_ub[m_6569])&gt;1)*(LEN(lmic_raw_ub[bd_cov])&gt;interactive!$C$6))/SUMPRODUCT((lmic_raw_ub[[who_region]:[who_region]]=$A22)*lmic_raw_ub[births]*(LEN(lmic_raw_ub[m_6569])&gt;1)*(LEN(lmic_raw_ub[bd_cov])&gt;interactive!$C$6))</f>
        <v>2.5650675237935728E-2</v>
      </c>
      <c r="AR22" s="33">
        <f>SUMPRODUCT((lmic_raw_ub[[who_region]:[who_region]]=$A22)*lmic_raw_ub[m_7074]*lmic_raw_ub[births]*(LEN(lmic_raw_ub[m_7074])&gt;1)*(LEN(lmic_raw_ub[bd_cov])&gt;interactive!$C$6))/SUMPRODUCT((lmic_raw_ub[[who_region]:[who_region]]=$A22)*lmic_raw_ub[births]*(LEN(lmic_raw_ub[m_7074])&gt;1)*(LEN(lmic_raw_ub[bd_cov])&gt;interactive!$C$6))</f>
        <v>4.2155231289779209E-2</v>
      </c>
      <c r="AS22" s="33">
        <f>SUMPRODUCT((lmic_raw_ub[[who_region]:[who_region]]=$A22)*lmic_raw_ub[m_7079]*lmic_raw_ub[births]*(LEN(lmic_raw_ub[m_7079])&gt;1)*(LEN(lmic_raw_ub[bd_cov])&gt;interactive!$C$6))/SUMPRODUCT((lmic_raw_ub[[who_region]:[who_region]]=$A22)*lmic_raw_ub[births]*(LEN(lmic_raw_ub[m_7079])&gt;1)*(LEN(lmic_raw_ub[bd_cov])&gt;interactive!$C$6))</f>
        <v>6.7958065911678148E-2</v>
      </c>
      <c r="AT22" s="33">
        <f>SUMPRODUCT((lmic_raw_ub[[who_region]:[who_region]]=$A22)*lmic_raw_ub[m_8084]*lmic_raw_ub[births]*(LEN(lmic_raw_ub[m_8084])&gt;1)*(LEN(lmic_raw_ub[bd_cov])&gt;interactive!$C$6))/SUMPRODUCT((lmic_raw_ub[[who_region]:[who_region]]=$A22)*lmic_raw_ub[births]*(LEN(lmic_raw_ub[m_8084])&gt;1)*(LEN(lmic_raw_ub[bd_cov])&gt;interactive!$C$6))</f>
        <v>9.9824315760927443E-2</v>
      </c>
      <c r="AU22" s="33">
        <f>SUMPRODUCT((lmic_raw_ub[[who_region]:[who_region]]=$A22)*lmic_raw_ub[m_8589]*lmic_raw_ub[births]*(LEN(lmic_raw_ub[m_8589])&gt;1)*(LEN(lmic_raw_ub[bd_cov])&gt;interactive!$C$6))/SUMPRODUCT((lmic_raw_ub[[who_region]:[who_region]]=$A22)*lmic_raw_ub[births]*(LEN(lmic_raw_ub[m_8589])&gt;1)*(LEN(lmic_raw_ub[bd_cov])&gt;interactive!$C$6))</f>
        <v>0.13484630171763834</v>
      </c>
      <c r="AV22" s="33">
        <f>SUMPRODUCT((lmic_raw_ub[[who_region]:[who_region]]=$A22)*lmic_raw_ub[m_9094]*lmic_raw_ub[births]*(LEN(lmic_raw_ub[m_9094])&gt;1)*(LEN(lmic_raw_ub[bd_cov])&gt;interactive!$C$6))/SUMPRODUCT((lmic_raw_ub[[who_region]:[who_region]]=$A22)*lmic_raw_ub[births]*(LEN(lmic_raw_ub[m_9094])&gt;1)*(LEN(lmic_raw_ub[bd_cov])&gt;interactive!$C$6))</f>
        <v>0.16464294508951521</v>
      </c>
      <c r="AW22" s="33">
        <f>SUMPRODUCT((lmic_raw_ub[[who_region]:[who_region]]=$A22)*lmic_raw_ub[m_95+]*lmic_raw_ub[births]*(LEN(lmic_raw_ub[m_95+])&gt;1)*(LEN(lmic_raw_ub[bd_cov])&gt;interactive!$C$6))/SUMPRODUCT((lmic_raw_ub[[who_region]:[who_region]]=$A22)*lmic_raw_ub[births]*(LEN(lmic_raw_ub[m_95+])&gt;1)*(LEN(lmic_raw_ub[bd_cov])&gt;interactive!$C$6))</f>
        <v>0.18514358796523794</v>
      </c>
      <c r="AX22" s="33">
        <f>SUMPRODUCT((lmic_raw_ub[[who_region]:[who_region]]=$A22)*lmic_raw_ub[av_life]*lmic_raw_ub[births]*(LEN(lmic_raw_ub[av_life])&gt;1)*(LEN(lmic_raw_ub[bd_cov])&gt;interactive!$C$6))/SUMPRODUCT((lmic_raw_ub[[who_region]:[who_region]]=$A22)*lmic_raw_ub[births]*(LEN(lmic_raw_ub[av_life])&gt;1)*(LEN(lmic_raw_ub[bd_cov])&gt;interactive!$C$6))</f>
        <v>75.543118255150432</v>
      </c>
    </row>
    <row r="23" spans="1:51" x14ac:dyDescent="0.25">
      <c r="A23" s="33" t="s">
        <v>675</v>
      </c>
      <c r="J23" s="33">
        <f>SUMPRODUCT((lmic_raw_ub[[who_region]:[who_region]]=$A23)*lmic_raw_ub[fac_birth]*lmic_raw_ub[births]*(LEN(lmic_raw_ub[fac_birth])&gt;1)*(LEN(lmic_raw_ub[bd_cov])&gt;interactive!$C$6))/SUMPRODUCT((lmic_raw_ub[[who_region]:[who_region]]=$A23)*lmic_raw_ub[births]*(LEN(lmic_raw_ub[fac_birth])&gt;1)*(LEN(lmic_raw_ub[bd_cov])&gt;interactive!$C$6))</f>
        <v>0.99474857770160785</v>
      </c>
      <c r="K23" s="33">
        <f>SUMPRODUCT((lmic_raw_ub[[who_region]:[who_region]]=$A23)*lmic_raw_ub[bd_cov]*lmic_raw_ub[births]*(LEN(lmic_raw_ub[bd_cov])&gt;interactive!$C$6))/SUMPRODUCT((lmic_raw_ub[[who_region]:[who_region]]=$A23)*lmic_raw_ub[births]*(LEN(lmic_raw_ub[bd_cov])&gt;interactive!$C$6))</f>
        <v>0.96095440088755346</v>
      </c>
      <c r="L23" s="33">
        <f>SUMPRODUCT((lmic_raw_ub[[who_region]:[who_region]]=$A23)*lmic_raw_ub[hbv3_cov]*lmic_raw_ub[births]*(LEN(lmic_raw_ub[hbv3_cov])&gt;1)*(LEN(lmic_raw_ub[bd_cov])&gt;interactive!$C$6))/SUMPRODUCT((lmic_raw_ub[[who_region]:[who_region]]=$A23)*lmic_raw_ub[births]*(LEN(lmic_raw_ub[hbv3_cov])&gt;1)*(LEN(lmic_raw_ub[bd_cov])&gt;interactive!$C$6))</f>
        <v>0.97439101307278708</v>
      </c>
      <c r="M23" s="33">
        <f>SUMPRODUCT((lmic_raw_ub[[who_region]:[who_region]]=$A23)*lmic_raw_ub[hbv_prev]*lmic_raw_ub[pop]*(LEN(lmic_raw_ub[hbv_prev])&gt;1)*(LEN(lmic_raw_ub[bd_cov])&gt;interactive!$C$6))/SUMPRODUCT((lmic_raw_ub[[who_region]:[who_region]]=$A23)*lmic_raw_ub[pop]*(LEN(lmic_raw_ub[hbv_prev])&gt;1)*(LEN(lmic_raw_ub[bd_cov])&gt;interactive!$C$6))</f>
        <v>4.7638229905411993E-2</v>
      </c>
      <c r="N23" s="33">
        <f>SUMPRODUCT((lmic_raw_ub[[who_region]:[who_region]]=$A23)*lmic_raw_ub[hbe_prev]*lmic_raw_ub[pop]*(LEN(lmic_raw_ub[hbe_prev])&gt;1)*(LEN(lmic_raw_ub[bd_cov])&gt;interactive!$C$6))/SUMPRODUCT((lmic_raw_ub[[who_region]:[who_region]]=$A23)*lmic_raw_ub[pop]*(LEN(lmic_raw_ub[hbe_prev])&gt;1)*(LEN(lmic_raw_ub[bd_cov])&gt;interactive!$C$6))</f>
        <v>0.41343227014869061</v>
      </c>
      <c r="O23" s="33">
        <f>SUMPRODUCT((lmic_raw_ub[[who_region]:[who_region]]=$A23)*lmic_raw_ub[epos]*lmic_raw_ub[pop]*(LEN(lmic_raw_ub[epos])&gt;1)*(LEN(lmic_raw_ub[bd_cov])&gt;interactive!$C$6))/SUMPRODUCT((lmic_raw_ub[[who_region]:[who_region]]=$A23)*lmic_raw_ub[pop]*(LEN(lmic_raw_ub[epos])&gt;1)*(LEN(lmic_raw_ub[bd_cov])&gt;interactive!$C$6))</f>
        <v>0.90000000000000013</v>
      </c>
      <c r="P23" s="33">
        <f>SUMPRODUCT((lmic_raw_ub[[who_region]:[who_region]]=$A23)*lmic_raw_ub[eneg]*lmic_raw_ub[pop]*(LEN(lmic_raw_ub[eneg])&gt;1)*(LEN(lmic_raw_ub[bd_cov])&gt;interactive!$C$6))/SUMPRODUCT((lmic_raw_ub[[who_region]:[who_region]]=$A23)*lmic_raw_ub[pop]*(LEN(lmic_raw_ub[eneg])&gt;1)*(LEN(lmic_raw_ub[bd_cov])&gt;interactive!$C$6))</f>
        <v>0.3</v>
      </c>
      <c r="Q23" s="33">
        <f>SUMPRODUCT((lmic_raw_ub[[who_region]:[who_region]]=$A23)*lmic_raw_ub[c_diag]*lmic_raw_ub[births]*(LEN(lmic_raw_ub[c_diag])&gt;1)*(LEN(lmic_raw_ub[bd_cov])&gt;interactive!$C$6))/SUMPRODUCT((lmic_raw_ub[[who_region]:[who_region]]=$A23)*lmic_raw_ub[births]*(LEN(lmic_raw_ub[c_diag])&gt;1)*(LEN(lmic_raw_ub[bd_cov])&gt;interactive!$C$6))</f>
        <v>10.845789653944943</v>
      </c>
      <c r="R23" s="33">
        <f>SUMPRODUCT((lmic_raw_ub[[who_region]:[who_region]]=$A23)*lmic_raw_ub[c_C]*lmic_raw_ub[births]*(LEN(lmic_raw_ub[c_C])&gt;1)*(LEN(lmic_raw_ub[bd_cov])&gt;interactive!$C$6))/SUMPRODUCT((lmic_raw_ub[[who_region]:[who_region]]=$A23)*lmic_raw_ub[births]*(LEN(lmic_raw_ub[c_C])&gt;1)*(LEN(lmic_raw_ub[bd_cov])&gt;interactive!$C$6))</f>
        <v>47.357786554344564</v>
      </c>
      <c r="S23" s="33">
        <f>SUMPRODUCT((lmic_raw_ub[[who_region]:[who_region]]=$A23)*lmic_raw_ub[c_CC]*lmic_raw_ub[births]*(LEN(lmic_raw_ub[c_CC])&gt;1)*(LEN(lmic_raw_ub[bd_cov])&gt;interactive!$C$6))/SUMPRODUCT((lmic_raw_ub[[who_region]:[who_region]]=$A23)*lmic_raw_ub[births]*(LEN(lmic_raw_ub[c_CC])&gt;1)*(LEN(lmic_raw_ub[bd_cov])&gt;interactive!$C$6))</f>
        <v>97.486886554344565</v>
      </c>
      <c r="T23" s="33">
        <f>SUMPRODUCT((lmic_raw_ub[[who_region]:[who_region]]=$A23)*lmic_raw_ub[c_DC]*lmic_raw_ub[births]*(LEN(lmic_raw_ub[c_DC])&gt;1)*(LEN(lmic_raw_ub[bd_cov])&gt;interactive!$C$6))/SUMPRODUCT((lmic_raw_ub[[who_region]:[who_region]]=$A23)*lmic_raw_ub[births]*(LEN(lmic_raw_ub[c_DC])&gt;1)*(LEN(lmic_raw_ub[bd_cov])&gt;interactive!$C$6))</f>
        <v>97.486886554344565</v>
      </c>
      <c r="U23" s="33">
        <f>SUMPRODUCT((lmic_raw_ub[[who_region]:[who_region]]=$A23)*lmic_raw_ub[c_HCC]*lmic_raw_ub[births]*(LEN(lmic_raw_ub[c_HCC])&gt;1)*(LEN(lmic_raw_ub[bd_cov])&gt;interactive!$C$6))/SUMPRODUCT((lmic_raw_ub[[who_region]:[who_region]]=$A23)*lmic_raw_ub[births]*(LEN(lmic_raw_ub[c_HCC])&gt;1)*(LEN(lmic_raw_ub[bd_cov])&gt;interactive!$C$6))</f>
        <v>97.486886554344565</v>
      </c>
      <c r="V23" s="33">
        <f>SUMPRODUCT((lmic_raw_ub[[who_region]:[who_region]]=$A23)*lmic_raw_ub[bl1_f]*lmic_raw_ub[births]*(LEN(lmic_raw_ub[bl1_f])&gt;1)*(LEN(lmic_raw_ub[bd_cov])&gt;interactive!$C$6))/SUMPRODUCT((lmic_raw_ub[[who_region]:[who_region]]=$A23)*lmic_raw_ub[births]*(LEN(lmic_raw_ub[bl1_f])&gt;1)*(LEN(lmic_raw_ub[bd_cov])&gt;interactive!$C$6))</f>
        <v>9.3795921897813646</v>
      </c>
      <c r="W23" s="33">
        <f>SUMPRODUCT((lmic_raw_ub[[who_region]:[who_region]]=$A23)*lmic_raw_ub[bl1_c]*lmic_raw_ub[births]*(LEN(lmic_raw_ub[bl1_c])&gt;1)*(LEN(lmic_raw_ub[bd_cov])&gt;interactive!$C$6))/SUMPRODUCT((lmic_raw_ub[[who_region]:[who_region]]=$A23)*lmic_raw_ub[births]*(LEN(lmic_raw_ub[bl1_c])&gt;1)*(LEN(lmic_raw_ub[bd_cov])&gt;interactive!$C$6))</f>
        <v>12.465141151118585</v>
      </c>
      <c r="X23" s="33">
        <f>SUMPRODUCT((lmic_raw_ub[[who_region]:[who_region]]=$A23)*lmic_raw_ub[map_f]*lmic_raw_ub[births]*(LEN(lmic_raw_ub[map_f])&gt;1)*(LEN(lmic_raw_ub[bd_cov])&gt;interactive!$C$6))/SUMPRODUCT((lmic_raw_ub[[who_region]:[who_region]]=$A23)*lmic_raw_ub[births]*(LEN(lmic_raw_ub[map_f])&gt;1)*(LEN(lmic_raw_ub[bd_cov])&gt;interactive!$C$6))</f>
        <v>8.8544893223354997</v>
      </c>
      <c r="Y23" s="33">
        <f>SUMPRODUCT((lmic_raw_ub[[who_region]:[who_region]]=$A23)*lmic_raw_ub[map_cq]*lmic_raw_ub[births]*(LEN(lmic_raw_ub[map_cq])&gt;1)*(LEN(lmic_raw_ub[bd_cov])&gt;interactive!$C$6))/SUMPRODUCT((lmic_raw_ub[[who_region]:[who_region]]=$A23)*lmic_raw_ub[births]*(LEN(lmic_raw_ub[map_cq])&gt;1)*(LEN(lmic_raw_ub[bd_cov])&gt;interactive!$C$6))</f>
        <v>11.94003828367272</v>
      </c>
      <c r="Z23" s="33">
        <f>SUMPRODUCT((lmic_raw_ub[[who_region]:[who_region]]=$A23)*lmic_raw_ub[map_cl]*lmic_raw_ub[births]*(LEN(lmic_raw_ub[map_cl])&gt;1)*(LEN(lmic_raw_ub[bd_cov])&gt;interactive!$C$6))/SUMPRODUCT((lmic_raw_ub[[who_region]:[who_region]]=$A23)*lmic_raw_ub[births]*(LEN(lmic_raw_ub[map_cl])&gt;1)*(LEN(lmic_raw_ub[bd_cov])&gt;interactive!$C$6))</f>
        <v>11.916651533130684</v>
      </c>
      <c r="AA23" s="33">
        <f>SUMPRODUCT((lmic_raw_ub[[who_region]:[who_region]]=$A23)*lmic_raw_ub[ctc_f]*lmic_raw_ub[births]*(LEN(lmic_raw_ub[ctc_f])&gt;1)*(LEN(lmic_raw_ub[bd_cov])&gt;interactive!$C$6))/SUMPRODUCT((lmic_raw_ub[[who_region]:[who_region]]=$A23)*lmic_raw_ub[births]*(LEN(lmic_raw_ub[ctc_f])&gt;1)*(LEN(lmic_raw_ub[bd_cov])&gt;interactive!$C$6))</f>
        <v>9.6548617640048064</v>
      </c>
      <c r="AB23" s="33">
        <f>SUMPRODUCT((lmic_raw_ub[[who_region]:[who_region]]=$A23)*lmic_raw_ub[ctc_c]*lmic_raw_ub[births]*(LEN(lmic_raw_ub[ctc_c])&gt;1)*(LEN(lmic_raw_ub[bd_cov])&gt;interactive!$C$6))/SUMPRODUCT((lmic_raw_ub[[who_region]:[who_region]]=$A23)*lmic_raw_ub[births]*(LEN(lmic_raw_ub[ctc_c])&gt;1)*(LEN(lmic_raw_ub[bd_cov])&gt;interactive!$C$6))</f>
        <v>12.740410725342027</v>
      </c>
      <c r="AC23" s="33">
        <f>SUMPRODUCT((lmic_raw_ub[[who_region]:[who_region]]=$A23)*lmic_raw_ub[m_01]*lmic_raw_ub[births]*(LEN(lmic_raw_ub[m_01])&gt;1)*(LEN(lmic_raw_ub[bd_cov])&gt;interactive!$C$6))/SUMPRODUCT((lmic_raw_ub[[who_region]:[who_region]]=$A23)*lmic_raw_ub[births]*(LEN(lmic_raw_ub[m_01])&gt;1)*(LEN(lmic_raw_ub[bd_cov])&gt;interactive!$C$6))</f>
        <v>1.423171357055752E-2</v>
      </c>
      <c r="AD23" s="33">
        <f>SUMPRODUCT((lmic_raw_ub[[who_region]:[who_region]]=$A23)*lmic_raw_ub[m_14]*lmic_raw_ub[births]*(LEN(lmic_raw_ub[m_14])&gt;1)*(LEN(lmic_raw_ub[bd_cov])&gt;interactive!$C$6))/SUMPRODUCT((lmic_raw_ub[[who_region]:[who_region]]=$A23)*lmic_raw_ub[births]*(LEN(lmic_raw_ub[m_14])&gt;1)*(LEN(lmic_raw_ub[bd_cov])&gt;interactive!$C$6))</f>
        <v>9.2203767786741097E-4</v>
      </c>
      <c r="AE23" s="33">
        <f>SUMPRODUCT((lmic_raw_ub[[who_region]:[who_region]]=$A23)*lmic_raw_ub[m_59]*lmic_raw_ub[births]*(LEN(lmic_raw_ub[m_59])&gt;1)*(LEN(lmic_raw_ub[bd_cov])&gt;interactive!$C$6))/SUMPRODUCT((lmic_raw_ub[[who_region]:[who_region]]=$A23)*lmic_raw_ub[births]*(LEN(lmic_raw_ub[m_59])&gt;1)*(LEN(lmic_raw_ub[bd_cov])&gt;interactive!$C$6))</f>
        <v>4.024708597249904E-4</v>
      </c>
      <c r="AF23" s="33">
        <f>SUMPRODUCT((lmic_raw_ub[[who_region]:[who_region]]=$A23)*lmic_raw_ub[m_1014]*lmic_raw_ub[births]*(LEN(lmic_raw_ub[m_1014])&gt;1)*(LEN(lmic_raw_ub[bd_cov])&gt;interactive!$C$6))/SUMPRODUCT((lmic_raw_ub[[who_region]:[who_region]]=$A23)*lmic_raw_ub[births]*(LEN(lmic_raw_ub[m_1014])&gt;1)*(LEN(lmic_raw_ub[bd_cov])&gt;interactive!$C$6))</f>
        <v>3.84114915093653E-4</v>
      </c>
      <c r="AG23" s="33">
        <f>SUMPRODUCT((lmic_raw_ub[[who_region]:[who_region]]=$A23)*lmic_raw_ub[m_1519]*lmic_raw_ub[births]*(LEN(lmic_raw_ub[m_1519])&gt;1)*(LEN(lmic_raw_ub[bd_cov])&gt;interactive!$C$6))/SUMPRODUCT((lmic_raw_ub[[who_region]:[who_region]]=$A23)*lmic_raw_ub[births]*(LEN(lmic_raw_ub[m_1519])&gt;1)*(LEN(lmic_raw_ub[bd_cov])&gt;interactive!$C$6))</f>
        <v>5.9022561040957162E-4</v>
      </c>
      <c r="AH23" s="33">
        <f>SUMPRODUCT((lmic_raw_ub[[who_region]:[who_region]]=$A23)*lmic_raw_ub[m_2024]*lmic_raw_ub[births]*(LEN(lmic_raw_ub[m_2024])&gt;1)*(LEN(lmic_raw_ub[bd_cov])&gt;interactive!$C$6))/SUMPRODUCT((lmic_raw_ub[[who_region]:[who_region]]=$A23)*lmic_raw_ub[births]*(LEN(lmic_raw_ub[m_2024])&gt;1)*(LEN(lmic_raw_ub[bd_cov])&gt;interactive!$C$6))</f>
        <v>8.482213502452869E-4</v>
      </c>
      <c r="AI23" s="33">
        <f>SUMPRODUCT((lmic_raw_ub[[who_region]:[who_region]]=$A23)*lmic_raw_ub[m_2529]*lmic_raw_ub[births]*(LEN(lmic_raw_ub[m_2529])&gt;1)*(LEN(lmic_raw_ub[bd_cov])&gt;interactive!$C$6))/SUMPRODUCT((lmic_raw_ub[[who_region]:[who_region]]=$A23)*lmic_raw_ub[births]*(LEN(lmic_raw_ub[m_2529])&gt;1)*(LEN(lmic_raw_ub[bd_cov])&gt;interactive!$C$6))</f>
        <v>1.1182315730996237E-3</v>
      </c>
      <c r="AJ23" s="33">
        <f>SUMPRODUCT((lmic_raw_ub[[who_region]:[who_region]]=$A23)*lmic_raw_ub[m_3034]*lmic_raw_ub[births]*(LEN(lmic_raw_ub[m_3034])&gt;1)*(LEN(lmic_raw_ub[bd_cov])&gt;interactive!$C$6))/SUMPRODUCT((lmic_raw_ub[[who_region]:[who_region]]=$A23)*lmic_raw_ub[births]*(LEN(lmic_raw_ub[m_3034])&gt;1)*(LEN(lmic_raw_ub[bd_cov])&gt;interactive!$C$6))</f>
        <v>1.5392106176979599E-3</v>
      </c>
      <c r="AK23" s="33">
        <f>SUMPRODUCT((lmic_raw_ub[[who_region]:[who_region]]=$A23)*lmic_raw_ub[m_3539]*lmic_raw_ub[births]*(LEN(lmic_raw_ub[m_3539])&gt;1)*(LEN(lmic_raw_ub[bd_cov])&gt;interactive!$C$6))/SUMPRODUCT((lmic_raw_ub[[who_region]:[who_region]]=$A23)*lmic_raw_ub[births]*(LEN(lmic_raw_ub[m_3539])&gt;1)*(LEN(lmic_raw_ub[bd_cov])&gt;interactive!$C$6))</f>
        <v>2.1284770858970635E-3</v>
      </c>
      <c r="AL23" s="33">
        <f>SUMPRODUCT((lmic_raw_ub[[who_region]:[who_region]]=$A23)*lmic_raw_ub[m_4044]*lmic_raw_ub[births]*(LEN(lmic_raw_ub[m_4044])&gt;1)*(LEN(lmic_raw_ub[bd_cov])&gt;interactive!$C$6))/SUMPRODUCT((lmic_raw_ub[[who_region]:[who_region]]=$A23)*lmic_raw_ub[births]*(LEN(lmic_raw_ub[m_4044])&gt;1)*(LEN(lmic_raw_ub[bd_cov])&gt;interactive!$C$6))</f>
        <v>2.8917265810285368E-3</v>
      </c>
      <c r="AM23" s="33">
        <f>SUMPRODUCT((lmic_raw_ub[[who_region]:[who_region]]=$A23)*lmic_raw_ub[m_4549]*lmic_raw_ub[births]*(LEN(lmic_raw_ub[m_4549])&gt;1)*(LEN(lmic_raw_ub[bd_cov])&gt;interactive!$C$6))/SUMPRODUCT((lmic_raw_ub[[who_region]:[who_region]]=$A23)*lmic_raw_ub[births]*(LEN(lmic_raw_ub[m_4549])&gt;1)*(LEN(lmic_raw_ub[bd_cov])&gt;interactive!$C$6))</f>
        <v>4.0975962372594068E-3</v>
      </c>
      <c r="AN23" s="33">
        <f>SUMPRODUCT((lmic_raw_ub[[who_region]:[who_region]]=$A23)*lmic_raw_ub[m_5054]*lmic_raw_ub[births]*(LEN(lmic_raw_ub[m_5054])&gt;1)*(LEN(lmic_raw_ub[bd_cov])&gt;interactive!$C$6))/SUMPRODUCT((lmic_raw_ub[[who_region]:[who_region]]=$A23)*lmic_raw_ub[births]*(LEN(lmic_raw_ub[m_5054])&gt;1)*(LEN(lmic_raw_ub[bd_cov])&gt;interactive!$C$6))</f>
        <v>6.1343823948111116E-3</v>
      </c>
      <c r="AO23" s="33">
        <f>SUMPRODUCT((lmic_raw_ub[[who_region]:[who_region]]=$A23)*lmic_raw_ub[m_5559]*lmic_raw_ub[births]*(LEN(lmic_raw_ub[m_5559])&gt;1)*(LEN(lmic_raw_ub[bd_cov])&gt;interactive!$C$6))/SUMPRODUCT((lmic_raw_ub[[who_region]:[who_region]]=$A23)*lmic_raw_ub[births]*(LEN(lmic_raw_ub[m_5559])&gt;1)*(LEN(lmic_raw_ub[bd_cov])&gt;interactive!$C$6))</f>
        <v>9.5426800329622488E-3</v>
      </c>
      <c r="AP23" s="33">
        <f>SUMPRODUCT((lmic_raw_ub[[who_region]:[who_region]]=$A23)*lmic_raw_ub[m_6064]*lmic_raw_ub[births]*(LEN(lmic_raw_ub[m_6064])&gt;1)*(LEN(lmic_raw_ub[bd_cov])&gt;interactive!$C$6))/SUMPRODUCT((lmic_raw_ub[[who_region]:[who_region]]=$A23)*lmic_raw_ub[births]*(LEN(lmic_raw_ub[m_6064])&gt;1)*(LEN(lmic_raw_ub[bd_cov])&gt;interactive!$C$6))</f>
        <v>1.5116061164562393E-2</v>
      </c>
      <c r="AQ23" s="33">
        <f>SUMPRODUCT((lmic_raw_ub[[who_region]:[who_region]]=$A23)*lmic_raw_ub[m_6569]*lmic_raw_ub[births]*(LEN(lmic_raw_ub[m_6569])&gt;1)*(LEN(lmic_raw_ub[bd_cov])&gt;interactive!$C$6))/SUMPRODUCT((lmic_raw_ub[[who_region]:[who_region]]=$A23)*lmic_raw_ub[births]*(LEN(lmic_raw_ub[m_6569])&gt;1)*(LEN(lmic_raw_ub[bd_cov])&gt;interactive!$C$6))</f>
        <v>2.2706822763044317E-2</v>
      </c>
      <c r="AR23" s="33">
        <f>SUMPRODUCT((lmic_raw_ub[[who_region]:[who_region]]=$A23)*lmic_raw_ub[m_7074]*lmic_raw_ub[births]*(LEN(lmic_raw_ub[m_7074])&gt;1)*(LEN(lmic_raw_ub[bd_cov])&gt;interactive!$C$6))/SUMPRODUCT((lmic_raw_ub[[who_region]:[who_region]]=$A23)*lmic_raw_ub[births]*(LEN(lmic_raw_ub[m_7074])&gt;1)*(LEN(lmic_raw_ub[bd_cov])&gt;interactive!$C$6))</f>
        <v>3.6613787418244642E-2</v>
      </c>
      <c r="AS23" s="33">
        <f>SUMPRODUCT((lmic_raw_ub[[who_region]:[who_region]]=$A23)*lmic_raw_ub[m_7079]*lmic_raw_ub[births]*(LEN(lmic_raw_ub[m_7079])&gt;1)*(LEN(lmic_raw_ub[bd_cov])&gt;interactive!$C$6))/SUMPRODUCT((lmic_raw_ub[[who_region]:[who_region]]=$A23)*lmic_raw_ub[births]*(LEN(lmic_raw_ub[m_7079])&gt;1)*(LEN(lmic_raw_ub[bd_cov])&gt;interactive!$C$6))</f>
        <v>5.785033977298995E-2</v>
      </c>
      <c r="AT23" s="33">
        <f>SUMPRODUCT((lmic_raw_ub[[who_region]:[who_region]]=$A23)*lmic_raw_ub[m_8084]*lmic_raw_ub[births]*(LEN(lmic_raw_ub[m_8084])&gt;1)*(LEN(lmic_raw_ub[bd_cov])&gt;interactive!$C$6))/SUMPRODUCT((lmic_raw_ub[[who_region]:[who_region]]=$A23)*lmic_raw_ub[births]*(LEN(lmic_raw_ub[m_8084])&gt;1)*(LEN(lmic_raw_ub[bd_cov])&gt;interactive!$C$6))</f>
        <v>8.7303606827960137E-2</v>
      </c>
      <c r="AU23" s="33">
        <f>SUMPRODUCT((lmic_raw_ub[[who_region]:[who_region]]=$A23)*lmic_raw_ub[m_8589]*lmic_raw_ub[births]*(LEN(lmic_raw_ub[m_8589])&gt;1)*(LEN(lmic_raw_ub[bd_cov])&gt;interactive!$C$6))/SUMPRODUCT((lmic_raw_ub[[who_region]:[who_region]]=$A23)*lmic_raw_ub[births]*(LEN(lmic_raw_ub[m_8589])&gt;1)*(LEN(lmic_raw_ub[bd_cov])&gt;interactive!$C$6))</f>
        <v>0.12155749517656053</v>
      </c>
      <c r="AV23" s="33">
        <f>SUMPRODUCT((lmic_raw_ub[[who_region]:[who_region]]=$A23)*lmic_raw_ub[m_9094]*lmic_raw_ub[births]*(LEN(lmic_raw_ub[m_9094])&gt;1)*(LEN(lmic_raw_ub[bd_cov])&gt;interactive!$C$6))/SUMPRODUCT((lmic_raw_ub[[who_region]:[who_region]]=$A23)*lmic_raw_ub[births]*(LEN(lmic_raw_ub[m_9094])&gt;1)*(LEN(lmic_raw_ub[bd_cov])&gt;interactive!$C$6))</f>
        <v>0.15485828614489572</v>
      </c>
      <c r="AW23" s="33">
        <f>SUMPRODUCT((lmic_raw_ub[[who_region]:[who_region]]=$A23)*lmic_raw_ub[m_95+]*lmic_raw_ub[births]*(LEN(lmic_raw_ub[m_95+])&gt;1)*(LEN(lmic_raw_ub[bd_cov])&gt;interactive!$C$6))/SUMPRODUCT((lmic_raw_ub[[who_region]:[who_region]]=$A23)*lmic_raw_ub[births]*(LEN(lmic_raw_ub[m_95+])&gt;1)*(LEN(lmic_raw_ub[bd_cov])&gt;interactive!$C$6))</f>
        <v>0.18009314351969513</v>
      </c>
      <c r="AX23" s="33">
        <f>SUMPRODUCT((lmic_raw_ub[[who_region]:[who_region]]=$A23)*lmic_raw_ub[av_life]*lmic_raw_ub[births]*(LEN(lmic_raw_ub[av_life])&gt;1)*(LEN(lmic_raw_ub[bd_cov])&gt;interactive!$C$6))/SUMPRODUCT((lmic_raw_ub[[who_region]:[who_region]]=$A23)*lmic_raw_ub[births]*(LEN(lmic_raw_ub[av_life])&gt;1)*(LEN(lmic_raw_ub[bd_cov])&gt;interactive!$C$6))</f>
        <v>77.629412965353126</v>
      </c>
    </row>
    <row r="24" spans="1:51" x14ac:dyDescent="0.25">
      <c r="A24" s="33" t="s">
        <v>680</v>
      </c>
      <c r="J24" s="33">
        <f>SUMPRODUCT((lmic_raw_ub[[who_region]:[who_region]]=$A24)*lmic_raw_ub[fac_birth]*lmic_raw_ub[births]*(LEN(lmic_raw_ub[fac_birth])&gt;1)*(LEN(lmic_raw_ub[bd_cov])&gt;interactive!$C$6))/SUMPRODUCT((lmic_raw_ub[[who_region]:[who_region]]=$A24)*lmic_raw_ub[births]*(LEN(lmic_raw_ub[fac_birth])&gt;1)*(LEN(lmic_raw_ub[bd_cov])&gt;interactive!$C$6))</f>
        <v>0.820502714942557</v>
      </c>
      <c r="K24" s="33">
        <f>SUMPRODUCT((lmic_raw_ub[[who_region]:[who_region]]=$A24)*lmic_raw_ub[bd_cov]*lmic_raw_ub[births]*(LEN(lmic_raw_ub[bd_cov])&gt;interactive!$C$6))/SUMPRODUCT((lmic_raw_ub[[who_region]:[who_region]]=$A24)*lmic_raw_ub[births]*(LEN(lmic_raw_ub[bd_cov])&gt;interactive!$C$6))</f>
        <v>0.63593287376541119</v>
      </c>
      <c r="L24" s="33">
        <f>SUMPRODUCT((lmic_raw_ub[[who_region]:[who_region]]=$A24)*lmic_raw_ub[hbv3_cov]*lmic_raw_ub[births]*(LEN(lmic_raw_ub[hbv3_cov])&gt;1)*(LEN(lmic_raw_ub[bd_cov])&gt;interactive!$C$6))/SUMPRODUCT((lmic_raw_ub[[who_region]:[who_region]]=$A24)*lmic_raw_ub[births]*(LEN(lmic_raw_ub[hbv3_cov])&gt;1)*(LEN(lmic_raw_ub[bd_cov])&gt;interactive!$C$6))</f>
        <v>0.94682749577011993</v>
      </c>
      <c r="M24" s="33">
        <f>SUMPRODUCT((lmic_raw_ub[[who_region]:[who_region]]=$A24)*lmic_raw_ub[hbv_prev]*lmic_raw_ub[pop]*(LEN(lmic_raw_ub[hbv_prev])&gt;1)*(LEN(lmic_raw_ub[bd_cov])&gt;interactive!$C$6))/SUMPRODUCT((lmic_raw_ub[[who_region]:[who_region]]=$A24)*lmic_raw_ub[pop]*(LEN(lmic_raw_ub[hbv_prev])&gt;1)*(LEN(lmic_raw_ub[bd_cov])&gt;interactive!$C$6))</f>
        <v>3.8780874647339557E-2</v>
      </c>
      <c r="N24" s="33">
        <f>SUMPRODUCT((lmic_raw_ub[[who_region]:[who_region]]=$A24)*lmic_raw_ub[hbe_prev]*lmic_raw_ub[pop]*(LEN(lmic_raw_ub[hbe_prev])&gt;1)*(LEN(lmic_raw_ub[bd_cov])&gt;interactive!$C$6))/SUMPRODUCT((lmic_raw_ub[[who_region]:[who_region]]=$A24)*lmic_raw_ub[pop]*(LEN(lmic_raw_ub[hbe_prev])&gt;1)*(LEN(lmic_raw_ub[bd_cov])&gt;interactive!$C$6))</f>
        <v>0.38656191726445721</v>
      </c>
      <c r="O24" s="33">
        <f>SUMPRODUCT((lmic_raw_ub[[who_region]:[who_region]]=$A24)*lmic_raw_ub[epos]*lmic_raw_ub[pop]*(LEN(lmic_raw_ub[epos])&gt;1)*(LEN(lmic_raw_ub[bd_cov])&gt;interactive!$C$6))/SUMPRODUCT((lmic_raw_ub[[who_region]:[who_region]]=$A24)*lmic_raw_ub[pop]*(LEN(lmic_raw_ub[epos])&gt;1)*(LEN(lmic_raw_ub[bd_cov])&gt;interactive!$C$6))</f>
        <v>0.9</v>
      </c>
      <c r="P24" s="33">
        <f>SUMPRODUCT((lmic_raw_ub[[who_region]:[who_region]]=$A24)*lmic_raw_ub[eneg]*lmic_raw_ub[pop]*(LEN(lmic_raw_ub[eneg])&gt;1)*(LEN(lmic_raw_ub[bd_cov])&gt;interactive!$C$6))/SUMPRODUCT((lmic_raw_ub[[who_region]:[who_region]]=$A24)*lmic_raw_ub[pop]*(LEN(lmic_raw_ub[eneg])&gt;1)*(LEN(lmic_raw_ub[bd_cov])&gt;interactive!$C$6))</f>
        <v>0.30000000000000004</v>
      </c>
      <c r="Q24" s="33">
        <f>SUMPRODUCT((lmic_raw_ub[[who_region]:[who_region]]=$A24)*lmic_raw_ub[c_diag]*lmic_raw_ub[births]*(LEN(lmic_raw_ub[c_diag])&gt;1)*(LEN(lmic_raw_ub[bd_cov])&gt;interactive!$C$6))/SUMPRODUCT((lmic_raw_ub[[who_region]:[who_region]]=$A24)*lmic_raw_ub[births]*(LEN(lmic_raw_ub[c_diag])&gt;1)*(LEN(lmic_raw_ub[bd_cov])&gt;interactive!$C$6))</f>
        <v>4.2697504886998372</v>
      </c>
      <c r="R24" s="33">
        <f>SUMPRODUCT((lmic_raw_ub[[who_region]:[who_region]]=$A24)*lmic_raw_ub[c_C]*lmic_raw_ub[births]*(LEN(lmic_raw_ub[c_C])&gt;1)*(LEN(lmic_raw_ub[bd_cov])&gt;interactive!$C$6))/SUMPRODUCT((lmic_raw_ub[[who_region]:[who_region]]=$A24)*lmic_raw_ub[births]*(LEN(lmic_raw_ub[c_C])&gt;1)*(LEN(lmic_raw_ub[bd_cov])&gt;interactive!$C$6))</f>
        <v>54.521600050659266</v>
      </c>
      <c r="S24" s="33">
        <f>SUMPRODUCT((lmic_raw_ub[[who_region]:[who_region]]=$A24)*lmic_raw_ub[c_CC]*lmic_raw_ub[births]*(LEN(lmic_raw_ub[c_CC])&gt;1)*(LEN(lmic_raw_ub[bd_cov])&gt;interactive!$C$6))/SUMPRODUCT((lmic_raw_ub[[who_region]:[who_region]]=$A24)*lmic_raw_ub[births]*(LEN(lmic_raw_ub[c_CC])&gt;1)*(LEN(lmic_raw_ub[bd_cov])&gt;interactive!$C$6))</f>
        <v>104.65070005065928</v>
      </c>
      <c r="T24" s="33">
        <f>SUMPRODUCT((lmic_raw_ub[[who_region]:[who_region]]=$A24)*lmic_raw_ub[c_DC]*lmic_raw_ub[births]*(LEN(lmic_raw_ub[c_DC])&gt;1)*(LEN(lmic_raw_ub[bd_cov])&gt;interactive!$C$6))/SUMPRODUCT((lmic_raw_ub[[who_region]:[who_region]]=$A24)*lmic_raw_ub[births]*(LEN(lmic_raw_ub[c_DC])&gt;1)*(LEN(lmic_raw_ub[bd_cov])&gt;interactive!$C$6))</f>
        <v>104.65070005065928</v>
      </c>
      <c r="U24" s="33">
        <f>SUMPRODUCT((lmic_raw_ub[[who_region]:[who_region]]=$A24)*lmic_raw_ub[c_HCC]*lmic_raw_ub[births]*(LEN(lmic_raw_ub[c_HCC])&gt;1)*(LEN(lmic_raw_ub[bd_cov])&gt;interactive!$C$6))/SUMPRODUCT((lmic_raw_ub[[who_region]:[who_region]]=$A24)*lmic_raw_ub[births]*(LEN(lmic_raw_ub[c_HCC])&gt;1)*(LEN(lmic_raw_ub[bd_cov])&gt;interactive!$C$6))</f>
        <v>104.65070005065928</v>
      </c>
      <c r="V24" s="33">
        <f>SUMPRODUCT((lmic_raw_ub[[who_region]:[who_region]]=$A24)*lmic_raw_ub[bl1_f]*lmic_raw_ub[births]*(LEN(lmic_raw_ub[bl1_f])&gt;1)*(LEN(lmic_raw_ub[bd_cov])&gt;interactive!$C$6))/SUMPRODUCT((lmic_raw_ub[[who_region]:[who_region]]=$A24)*lmic_raw_ub[births]*(LEN(lmic_raw_ub[bl1_f])&gt;1)*(LEN(lmic_raw_ub[bd_cov])&gt;interactive!$C$6))</f>
        <v>3.9520514410298531</v>
      </c>
      <c r="W24" s="33">
        <f>SUMPRODUCT((lmic_raw_ub[[who_region]:[who_region]]=$A24)*lmic_raw_ub[bl1_c]*lmic_raw_ub[births]*(LEN(lmic_raw_ub[bl1_c])&gt;1)*(LEN(lmic_raw_ub[bd_cov])&gt;interactive!$C$6))/SUMPRODUCT((lmic_raw_ub[[who_region]:[who_region]]=$A24)*lmic_raw_ub[births]*(LEN(lmic_raw_ub[bl1_c])&gt;1)*(LEN(lmic_raw_ub[bd_cov])&gt;interactive!$C$6))</f>
        <v>6.101492634165365</v>
      </c>
      <c r="X24" s="33">
        <f>SUMPRODUCT((lmic_raw_ub[[who_region]:[who_region]]=$A24)*lmic_raw_ub[map_f]*lmic_raw_ub[births]*(LEN(lmic_raw_ub[map_f])&gt;1)*(LEN(lmic_raw_ub[bd_cov])&gt;interactive!$C$6))/SUMPRODUCT((lmic_raw_ub[[who_region]:[who_region]]=$A24)*lmic_raw_ub[births]*(LEN(lmic_raw_ub[map_f])&gt;1)*(LEN(lmic_raw_ub[bd_cov])&gt;interactive!$C$6))</f>
        <v>3.4416243145478767</v>
      </c>
      <c r="Y24" s="33">
        <f>SUMPRODUCT((lmic_raw_ub[[who_region]:[who_region]]=$A24)*lmic_raw_ub[map_cq]*lmic_raw_ub[births]*(LEN(lmic_raw_ub[map_cq])&gt;1)*(LEN(lmic_raw_ub[bd_cov])&gt;interactive!$C$6))/SUMPRODUCT((lmic_raw_ub[[who_region]:[who_region]]=$A24)*lmic_raw_ub[births]*(LEN(lmic_raw_ub[map_cq])&gt;1)*(LEN(lmic_raw_ub[bd_cov])&gt;interactive!$C$6))</f>
        <v>5.5910655076833882</v>
      </c>
      <c r="Z24" s="33">
        <f>SUMPRODUCT((lmic_raw_ub[[who_region]:[who_region]]=$A24)*lmic_raw_ub[map_cl]*lmic_raw_ub[births]*(LEN(lmic_raw_ub[map_cl])&gt;1)*(LEN(lmic_raw_ub[bd_cov])&gt;interactive!$C$6))/SUMPRODUCT((lmic_raw_ub[[who_region]:[who_region]]=$A24)*lmic_raw_ub[births]*(LEN(lmic_raw_ub[map_cl])&gt;1)*(LEN(lmic_raw_ub[bd_cov])&gt;interactive!$C$6))</f>
        <v>5.5757665956628353</v>
      </c>
      <c r="AA24" s="33">
        <f>SUMPRODUCT((lmic_raw_ub[[who_region]:[who_region]]=$A24)*lmic_raw_ub[ctc_f]*lmic_raw_ub[births]*(LEN(lmic_raw_ub[ctc_f])&gt;1)*(LEN(lmic_raw_ub[bd_cov])&gt;interactive!$C$6))/SUMPRODUCT((lmic_raw_ub[[who_region]:[who_region]]=$A24)*lmic_raw_ub[births]*(LEN(lmic_raw_ub[ctc_f])&gt;1)*(LEN(lmic_raw_ub[bd_cov])&gt;interactive!$C$6))</f>
        <v>4.2239897120897121</v>
      </c>
      <c r="AB24" s="33">
        <f>SUMPRODUCT((lmic_raw_ub[[who_region]:[who_region]]=$A24)*lmic_raw_ub[ctc_c]*lmic_raw_ub[births]*(LEN(lmic_raw_ub[ctc_c])&gt;1)*(LEN(lmic_raw_ub[bd_cov])&gt;interactive!$C$6))/SUMPRODUCT((lmic_raw_ub[[who_region]:[who_region]]=$A24)*lmic_raw_ub[births]*(LEN(lmic_raw_ub[ctc_c])&gt;1)*(LEN(lmic_raw_ub[bd_cov])&gt;interactive!$C$6))</f>
        <v>6.3734309052252236</v>
      </c>
      <c r="AC24" s="33">
        <f>SUMPRODUCT((lmic_raw_ub[[who_region]:[who_region]]=$A24)*lmic_raw_ub[m_01]*lmic_raw_ub[births]*(LEN(lmic_raw_ub[m_01])&gt;1)*(LEN(lmic_raw_ub[bd_cov])&gt;interactive!$C$6))/SUMPRODUCT((lmic_raw_ub[[who_region]:[who_region]]=$A24)*lmic_raw_ub[births]*(LEN(lmic_raw_ub[m_01])&gt;1)*(LEN(lmic_raw_ub[bd_cov])&gt;interactive!$C$6))</f>
        <v>3.0862646297617768E-2</v>
      </c>
      <c r="AD24" s="33">
        <f>SUMPRODUCT((lmic_raw_ub[[who_region]:[who_region]]=$A24)*lmic_raw_ub[m_14]*lmic_raw_ub[births]*(LEN(lmic_raw_ub[m_14])&gt;1)*(LEN(lmic_raw_ub[bd_cov])&gt;interactive!$C$6))/SUMPRODUCT((lmic_raw_ub[[who_region]:[who_region]]=$A24)*lmic_raw_ub[births]*(LEN(lmic_raw_ub[m_14])&gt;1)*(LEN(lmic_raw_ub[bd_cov])&gt;interactive!$C$6))</f>
        <v>1.9158048020612641E-3</v>
      </c>
      <c r="AE24" s="33">
        <f>SUMPRODUCT((lmic_raw_ub[[who_region]:[who_region]]=$A24)*lmic_raw_ub[m_59]*lmic_raw_ub[births]*(LEN(lmic_raw_ub[m_59])&gt;1)*(LEN(lmic_raw_ub[bd_cov])&gt;interactive!$C$6))/SUMPRODUCT((lmic_raw_ub[[who_region]:[who_region]]=$A24)*lmic_raw_ub[births]*(LEN(lmic_raw_ub[m_59])&gt;1)*(LEN(lmic_raw_ub[bd_cov])&gt;interactive!$C$6))</f>
        <v>7.1655799388306747E-4</v>
      </c>
      <c r="AF24" s="33">
        <f>SUMPRODUCT((lmic_raw_ub[[who_region]:[who_region]]=$A24)*lmic_raw_ub[m_1014]*lmic_raw_ub[births]*(LEN(lmic_raw_ub[m_1014])&gt;1)*(LEN(lmic_raw_ub[bd_cov])&gt;interactive!$C$6))/SUMPRODUCT((lmic_raw_ub[[who_region]:[who_region]]=$A24)*lmic_raw_ub[births]*(LEN(lmic_raw_ub[m_1014])&gt;1)*(LEN(lmic_raw_ub[bd_cov])&gt;interactive!$C$6))</f>
        <v>6.103789670389594E-4</v>
      </c>
      <c r="AG24" s="33">
        <f>SUMPRODUCT((lmic_raw_ub[[who_region]:[who_region]]=$A24)*lmic_raw_ub[m_1519]*lmic_raw_ub[births]*(LEN(lmic_raw_ub[m_1519])&gt;1)*(LEN(lmic_raw_ub[bd_cov])&gt;interactive!$C$6))/SUMPRODUCT((lmic_raw_ub[[who_region]:[who_region]]=$A24)*lmic_raw_ub[births]*(LEN(lmic_raw_ub[m_1519])&gt;1)*(LEN(lmic_raw_ub[bd_cov])&gt;interactive!$C$6))</f>
        <v>1.009219279265579E-3</v>
      </c>
      <c r="AH24" s="33">
        <f>SUMPRODUCT((lmic_raw_ub[[who_region]:[who_region]]=$A24)*lmic_raw_ub[m_2024]*lmic_raw_ub[births]*(LEN(lmic_raw_ub[m_2024])&gt;1)*(LEN(lmic_raw_ub[bd_cov])&gt;interactive!$C$6))/SUMPRODUCT((lmic_raw_ub[[who_region]:[who_region]]=$A24)*lmic_raw_ub[births]*(LEN(lmic_raw_ub[m_2024])&gt;1)*(LEN(lmic_raw_ub[bd_cov])&gt;interactive!$C$6))</f>
        <v>1.4284680685525556E-3</v>
      </c>
      <c r="AI24" s="33">
        <f>SUMPRODUCT((lmic_raw_ub[[who_region]:[who_region]]=$A24)*lmic_raw_ub[m_2529]*lmic_raw_ub[births]*(LEN(lmic_raw_ub[m_2529])&gt;1)*(LEN(lmic_raw_ub[bd_cov])&gt;interactive!$C$6))/SUMPRODUCT((lmic_raw_ub[[who_region]:[who_region]]=$A24)*lmic_raw_ub[births]*(LEN(lmic_raw_ub[m_2529])&gt;1)*(LEN(lmic_raw_ub[bd_cov])&gt;interactive!$C$6))</f>
        <v>1.5985302441622929E-3</v>
      </c>
      <c r="AJ24" s="33">
        <f>SUMPRODUCT((lmic_raw_ub[[who_region]:[who_region]]=$A24)*lmic_raw_ub[m_3034]*lmic_raw_ub[births]*(LEN(lmic_raw_ub[m_3034])&gt;1)*(LEN(lmic_raw_ub[bd_cov])&gt;interactive!$C$6))/SUMPRODUCT((lmic_raw_ub[[who_region]:[who_region]]=$A24)*lmic_raw_ub[births]*(LEN(lmic_raw_ub[m_3034])&gt;1)*(LEN(lmic_raw_ub[bd_cov])&gt;interactive!$C$6))</f>
        <v>2.0143417709900541E-3</v>
      </c>
      <c r="AK24" s="33">
        <f>SUMPRODUCT((lmic_raw_ub[[who_region]:[who_region]]=$A24)*lmic_raw_ub[m_3539]*lmic_raw_ub[births]*(LEN(lmic_raw_ub[m_3539])&gt;1)*(LEN(lmic_raw_ub[bd_cov])&gt;interactive!$C$6))/SUMPRODUCT((lmic_raw_ub[[who_region]:[who_region]]=$A24)*lmic_raw_ub[births]*(LEN(lmic_raw_ub[m_3539])&gt;1)*(LEN(lmic_raw_ub[bd_cov])&gt;interactive!$C$6))</f>
        <v>2.7698315713164628E-3</v>
      </c>
      <c r="AL24" s="33">
        <f>SUMPRODUCT((lmic_raw_ub[[who_region]:[who_region]]=$A24)*lmic_raw_ub[m_4044]*lmic_raw_ub[births]*(LEN(lmic_raw_ub[m_4044])&gt;1)*(LEN(lmic_raw_ub[bd_cov])&gt;interactive!$C$6))/SUMPRODUCT((lmic_raw_ub[[who_region]:[who_region]]=$A24)*lmic_raw_ub[births]*(LEN(lmic_raw_ub[m_4044])&gt;1)*(LEN(lmic_raw_ub[bd_cov])&gt;interactive!$C$6))</f>
        <v>3.7541344190759516E-3</v>
      </c>
      <c r="AM24" s="33">
        <f>SUMPRODUCT((lmic_raw_ub[[who_region]:[who_region]]=$A24)*lmic_raw_ub[m_4549]*lmic_raw_ub[births]*(LEN(lmic_raw_ub[m_4549])&gt;1)*(LEN(lmic_raw_ub[bd_cov])&gt;interactive!$C$6))/SUMPRODUCT((lmic_raw_ub[[who_region]:[who_region]]=$A24)*lmic_raw_ub[births]*(LEN(lmic_raw_ub[m_4549])&gt;1)*(LEN(lmic_raw_ub[bd_cov])&gt;interactive!$C$6))</f>
        <v>5.4252365304783695E-3</v>
      </c>
      <c r="AN24" s="33">
        <f>SUMPRODUCT((lmic_raw_ub[[who_region]:[who_region]]=$A24)*lmic_raw_ub[m_5054]*lmic_raw_ub[births]*(LEN(lmic_raw_ub[m_5054])&gt;1)*(LEN(lmic_raw_ub[bd_cov])&gt;interactive!$C$6))/SUMPRODUCT((lmic_raw_ub[[who_region]:[who_region]]=$A24)*lmic_raw_ub[births]*(LEN(lmic_raw_ub[m_5054])&gt;1)*(LEN(lmic_raw_ub[bd_cov])&gt;interactive!$C$6))</f>
        <v>8.5784126996047757E-3</v>
      </c>
      <c r="AO24" s="33">
        <f>SUMPRODUCT((lmic_raw_ub[[who_region]:[who_region]]=$A24)*lmic_raw_ub[m_5559]*lmic_raw_ub[births]*(LEN(lmic_raw_ub[m_5559])&gt;1)*(LEN(lmic_raw_ub[bd_cov])&gt;interactive!$C$6))/SUMPRODUCT((lmic_raw_ub[[who_region]:[who_region]]=$A24)*lmic_raw_ub[births]*(LEN(lmic_raw_ub[m_5559])&gt;1)*(LEN(lmic_raw_ub[bd_cov])&gt;interactive!$C$6))</f>
        <v>1.2833678506340152E-2</v>
      </c>
      <c r="AP24" s="33">
        <f>SUMPRODUCT((lmic_raw_ub[[who_region]:[who_region]]=$A24)*lmic_raw_ub[m_6064]*lmic_raw_ub[births]*(LEN(lmic_raw_ub[m_6064])&gt;1)*(LEN(lmic_raw_ub[bd_cov])&gt;interactive!$C$6))/SUMPRODUCT((lmic_raw_ub[[who_region]:[who_region]]=$A24)*lmic_raw_ub[births]*(LEN(lmic_raw_ub[m_6064])&gt;1)*(LEN(lmic_raw_ub[bd_cov])&gt;interactive!$C$6))</f>
        <v>1.9139367778484843E-2</v>
      </c>
      <c r="AQ24" s="33">
        <f>SUMPRODUCT((lmic_raw_ub[[who_region]:[who_region]]=$A24)*lmic_raw_ub[m_6569]*lmic_raw_ub[births]*(LEN(lmic_raw_ub[m_6569])&gt;1)*(LEN(lmic_raw_ub[bd_cov])&gt;interactive!$C$6))/SUMPRODUCT((lmic_raw_ub[[who_region]:[who_region]]=$A24)*lmic_raw_ub[births]*(LEN(lmic_raw_ub[m_6569])&gt;1)*(LEN(lmic_raw_ub[bd_cov])&gt;interactive!$C$6))</f>
        <v>2.8739351255330826E-2</v>
      </c>
      <c r="AR24" s="33">
        <f>SUMPRODUCT((lmic_raw_ub[[who_region]:[who_region]]=$A24)*lmic_raw_ub[m_7074]*lmic_raw_ub[births]*(LEN(lmic_raw_ub[m_7074])&gt;1)*(LEN(lmic_raw_ub[bd_cov])&gt;interactive!$C$6))/SUMPRODUCT((lmic_raw_ub[[who_region]:[who_region]]=$A24)*lmic_raw_ub[births]*(LEN(lmic_raw_ub[m_7074])&gt;1)*(LEN(lmic_raw_ub[bd_cov])&gt;interactive!$C$6))</f>
        <v>4.4094286444254047E-2</v>
      </c>
      <c r="AS24" s="33">
        <f>SUMPRODUCT((lmic_raw_ub[[who_region]:[who_region]]=$A24)*lmic_raw_ub[m_7079]*lmic_raw_ub[births]*(LEN(lmic_raw_ub[m_7079])&gt;1)*(LEN(lmic_raw_ub[bd_cov])&gt;interactive!$C$6))/SUMPRODUCT((lmic_raw_ub[[who_region]:[who_region]]=$A24)*lmic_raw_ub[births]*(LEN(lmic_raw_ub[m_7079])&gt;1)*(LEN(lmic_raw_ub[bd_cov])&gt;interactive!$C$6))</f>
        <v>6.358098925549821E-2</v>
      </c>
      <c r="AT24" s="33">
        <f>SUMPRODUCT((lmic_raw_ub[[who_region]:[who_region]]=$A24)*lmic_raw_ub[m_8084]*lmic_raw_ub[births]*(LEN(lmic_raw_ub[m_8084])&gt;1)*(LEN(lmic_raw_ub[bd_cov])&gt;interactive!$C$6))/SUMPRODUCT((lmic_raw_ub[[who_region]:[who_region]]=$A24)*lmic_raw_ub[births]*(LEN(lmic_raw_ub[m_8084])&gt;1)*(LEN(lmic_raw_ub[bd_cov])&gt;interactive!$C$6))</f>
        <v>9.1233214209210059E-2</v>
      </c>
      <c r="AU24" s="33">
        <f>SUMPRODUCT((lmic_raw_ub[[who_region]:[who_region]]=$A24)*lmic_raw_ub[m_8589]*lmic_raw_ub[births]*(LEN(lmic_raw_ub[m_8589])&gt;1)*(LEN(lmic_raw_ub[bd_cov])&gt;interactive!$C$6))/SUMPRODUCT((lmic_raw_ub[[who_region]:[who_region]]=$A24)*lmic_raw_ub[births]*(LEN(lmic_raw_ub[m_8589])&gt;1)*(LEN(lmic_raw_ub[bd_cov])&gt;interactive!$C$6))</f>
        <v>0.12281112957179582</v>
      </c>
      <c r="AV24" s="33">
        <f>SUMPRODUCT((lmic_raw_ub[[who_region]:[who_region]]=$A24)*lmic_raw_ub[m_9094]*lmic_raw_ub[births]*(LEN(lmic_raw_ub[m_9094])&gt;1)*(LEN(lmic_raw_ub[bd_cov])&gt;interactive!$C$6))/SUMPRODUCT((lmic_raw_ub[[who_region]:[who_region]]=$A24)*lmic_raw_ub[births]*(LEN(lmic_raw_ub[m_9094])&gt;1)*(LEN(lmic_raw_ub[bd_cov])&gt;interactive!$C$6))</f>
        <v>0.1517241539763555</v>
      </c>
      <c r="AW24" s="33">
        <f>SUMPRODUCT((lmic_raw_ub[[who_region]:[who_region]]=$A24)*lmic_raw_ub[m_95+]*lmic_raw_ub[births]*(LEN(lmic_raw_ub[m_95+])&gt;1)*(LEN(lmic_raw_ub[bd_cov])&gt;interactive!$C$6))/SUMPRODUCT((lmic_raw_ub[[who_region]:[who_region]]=$A24)*lmic_raw_ub[births]*(LEN(lmic_raw_ub[m_95+])&gt;1)*(LEN(lmic_raw_ub[bd_cov])&gt;interactive!$C$6))</f>
        <v>0.15262998937133496</v>
      </c>
      <c r="AX24" s="33">
        <f>SUMPRODUCT((lmic_raw_ub[[who_region]:[who_region]]=$A24)*lmic_raw_ub[av_life]*lmic_raw_ub[births]*(LEN(lmic_raw_ub[av_life])&gt;1)*(LEN(lmic_raw_ub[bd_cov])&gt;interactive!$C$6))/SUMPRODUCT((lmic_raw_ub[[who_region]:[who_region]]=$A24)*lmic_raw_ub[births]*(LEN(lmic_raw_ub[av_life])&gt;1)*(LEN(lmic_raw_ub[bd_cov])&gt;interactive!$C$6))</f>
        <v>73.222824618271801</v>
      </c>
    </row>
    <row r="25" spans="1:51" x14ac:dyDescent="0.25">
      <c r="A25" s="33" t="s">
        <v>681</v>
      </c>
      <c r="J25" s="33">
        <f>SUMPRODUCT((lmic_raw_ub[[who_region]:[who_region]]=$A25)*lmic_raw_ub[fac_birth]*lmic_raw_ub[births]*(LEN(lmic_raw_ub[fac_birth])&gt;1)*(LEN(lmic_raw_ub[bd_cov])&gt;interactive!$C$6))/SUMPRODUCT((lmic_raw_ub[[who_region]:[who_region]]=$A25)*lmic_raw_ub[births]*(LEN(lmic_raw_ub[fac_birth])&gt;1)*(LEN(lmic_raw_ub[bd_cov])&gt;interactive!$C$6))</f>
        <v>0.97109924004053494</v>
      </c>
      <c r="K25" s="33">
        <f>SUMPRODUCT((lmic_raw_ub[[who_region]:[who_region]]=$A25)*lmic_raw_ub[bd_cov]*lmic_raw_ub[births]*(LEN(lmic_raw_ub[bd_cov])&gt;interactive!$C$6))/SUMPRODUCT((lmic_raw_ub[[who_region]:[who_region]]=$A25)*lmic_raw_ub[births]*(LEN(lmic_raw_ub[bd_cov])&gt;interactive!$C$6))</f>
        <v>0.92758919085435398</v>
      </c>
      <c r="L25" s="33">
        <f>SUMPRODUCT((lmic_raw_ub[[who_region]:[who_region]]=$A25)*lmic_raw_ub[hbv3_cov]*lmic_raw_ub[births]*(LEN(lmic_raw_ub[hbv3_cov])&gt;1)*(LEN(lmic_raw_ub[bd_cov])&gt;interactive!$C$6))/SUMPRODUCT((lmic_raw_ub[[who_region]:[who_region]]=$A25)*lmic_raw_ub[births]*(LEN(lmic_raw_ub[hbv3_cov])&gt;1)*(LEN(lmic_raw_ub[bd_cov])&gt;interactive!$C$6))</f>
        <v>0.95402955046395854</v>
      </c>
      <c r="M25" s="33">
        <f>SUMPRODUCT((lmic_raw_ub[[who_region]:[who_region]]=$A25)*lmic_raw_ub[hbv_prev]*lmic_raw_ub[pop]*(LEN(lmic_raw_ub[hbv_prev])&gt;1)*(LEN(lmic_raw_ub[bd_cov])&gt;interactive!$C$6))/SUMPRODUCT((lmic_raw_ub[[who_region]:[who_region]]=$A25)*lmic_raw_ub[pop]*(LEN(lmic_raw_ub[hbv_prev])&gt;1)*(LEN(lmic_raw_ub[bd_cov])&gt;interactive!$C$6))</f>
        <v>8.1855841538923335E-2</v>
      </c>
      <c r="N25" s="33">
        <f>SUMPRODUCT((lmic_raw_ub[[who_region]:[who_region]]=$A25)*lmic_raw_ub[hbe_prev]*lmic_raw_ub[pop]*(LEN(lmic_raw_ub[hbe_prev])&gt;1)*(LEN(lmic_raw_ub[bd_cov])&gt;interactive!$C$6))/SUMPRODUCT((lmic_raw_ub[[who_region]:[who_region]]=$A25)*lmic_raw_ub[pop]*(LEN(lmic_raw_ub[hbe_prev])&gt;1)*(LEN(lmic_raw_ub[bd_cov])&gt;interactive!$C$6))</f>
        <v>0.4892242904691097</v>
      </c>
      <c r="O25" s="33">
        <f>SUMPRODUCT((lmic_raw_ub[[who_region]:[who_region]]=$A25)*lmic_raw_ub[epos]*lmic_raw_ub[pop]*(LEN(lmic_raw_ub[epos])&gt;1)*(LEN(lmic_raw_ub[bd_cov])&gt;interactive!$C$6))/SUMPRODUCT((lmic_raw_ub[[who_region]:[who_region]]=$A25)*lmic_raw_ub[pop]*(LEN(lmic_raw_ub[epos])&gt;1)*(LEN(lmic_raw_ub[bd_cov])&gt;interactive!$C$6))</f>
        <v>0.9</v>
      </c>
      <c r="P25" s="33">
        <f>SUMPRODUCT((lmic_raw_ub[[who_region]:[who_region]]=$A25)*lmic_raw_ub[eneg]*lmic_raw_ub[pop]*(LEN(lmic_raw_ub[eneg])&gt;1)*(LEN(lmic_raw_ub[bd_cov])&gt;interactive!$C$6))/SUMPRODUCT((lmic_raw_ub[[who_region]:[who_region]]=$A25)*lmic_raw_ub[pop]*(LEN(lmic_raw_ub[eneg])&gt;1)*(LEN(lmic_raw_ub[bd_cov])&gt;interactive!$C$6))</f>
        <v>0.3</v>
      </c>
      <c r="Q25" s="33">
        <f>SUMPRODUCT((lmic_raw_ub[[who_region]:[who_region]]=$A25)*lmic_raw_ub[c_diag]*lmic_raw_ub[births]*(LEN(lmic_raw_ub[c_diag])&gt;1)*(LEN(lmic_raw_ub[bd_cov])&gt;interactive!$C$6))/SUMPRODUCT((lmic_raw_ub[[who_region]:[who_region]]=$A25)*lmic_raw_ub[births]*(LEN(lmic_raw_ub[c_diag])&gt;1)*(LEN(lmic_raw_ub[bd_cov])&gt;interactive!$C$6))</f>
        <v>7.7263280950343294</v>
      </c>
      <c r="R25" s="33">
        <f>SUMPRODUCT((lmic_raw_ub[[who_region]:[who_region]]=$A25)*lmic_raw_ub[c_C]*lmic_raw_ub[births]*(LEN(lmic_raw_ub[c_C])&gt;1)*(LEN(lmic_raw_ub[bd_cov])&gt;interactive!$C$6))/SUMPRODUCT((lmic_raw_ub[[who_region]:[who_region]]=$A25)*lmic_raw_ub[births]*(LEN(lmic_raw_ub[c_C])&gt;1)*(LEN(lmic_raw_ub[bd_cov])&gt;interactive!$C$6))</f>
        <v>76.633389011704423</v>
      </c>
      <c r="S25" s="33">
        <f>SUMPRODUCT((lmic_raw_ub[[who_region]:[who_region]]=$A25)*lmic_raw_ub[c_CC]*lmic_raw_ub[births]*(LEN(lmic_raw_ub[c_CC])&gt;1)*(LEN(lmic_raw_ub[bd_cov])&gt;interactive!$C$6))/SUMPRODUCT((lmic_raw_ub[[who_region]:[who_region]]=$A25)*lmic_raw_ub[births]*(LEN(lmic_raw_ub[c_CC])&gt;1)*(LEN(lmic_raw_ub[bd_cov])&gt;interactive!$C$6))</f>
        <v>126.76248901170446</v>
      </c>
      <c r="T25" s="33">
        <f>SUMPRODUCT((lmic_raw_ub[[who_region]:[who_region]]=$A25)*lmic_raw_ub[c_DC]*lmic_raw_ub[births]*(LEN(lmic_raw_ub[c_DC])&gt;1)*(LEN(lmic_raw_ub[bd_cov])&gt;interactive!$C$6))/SUMPRODUCT((lmic_raw_ub[[who_region]:[who_region]]=$A25)*lmic_raw_ub[births]*(LEN(lmic_raw_ub[c_DC])&gt;1)*(LEN(lmic_raw_ub[bd_cov])&gt;interactive!$C$6))</f>
        <v>126.76248901170446</v>
      </c>
      <c r="U25" s="33">
        <f>SUMPRODUCT((lmic_raw_ub[[who_region]:[who_region]]=$A25)*lmic_raw_ub[c_HCC]*lmic_raw_ub[births]*(LEN(lmic_raw_ub[c_HCC])&gt;1)*(LEN(lmic_raw_ub[bd_cov])&gt;interactive!$C$6))/SUMPRODUCT((lmic_raw_ub[[who_region]:[who_region]]=$A25)*lmic_raw_ub[births]*(LEN(lmic_raw_ub[c_HCC])&gt;1)*(LEN(lmic_raw_ub[bd_cov])&gt;interactive!$C$6))</f>
        <v>126.76248901170446</v>
      </c>
      <c r="V25" s="33">
        <f>SUMPRODUCT((lmic_raw_ub[[who_region]:[who_region]]=$A25)*lmic_raw_ub[bl1_f]*lmic_raw_ub[births]*(LEN(lmic_raw_ub[bl1_f])&gt;1)*(LEN(lmic_raw_ub[bd_cov])&gt;interactive!$C$6))/SUMPRODUCT((lmic_raw_ub[[who_region]:[who_region]]=$A25)*lmic_raw_ub[births]*(LEN(lmic_raw_ub[bl1_f])&gt;1)*(LEN(lmic_raw_ub[bd_cov])&gt;interactive!$C$6))</f>
        <v>6.2530773651389921</v>
      </c>
      <c r="W25" s="33">
        <f>SUMPRODUCT((lmic_raw_ub[[who_region]:[who_region]]=$A25)*lmic_raw_ub[bl1_c]*lmic_raw_ub[births]*(LEN(lmic_raw_ub[bl1_c])&gt;1)*(LEN(lmic_raw_ub[bd_cov])&gt;interactive!$C$6))/SUMPRODUCT((lmic_raw_ub[[who_region]:[who_region]]=$A25)*lmic_raw_ub[births]*(LEN(lmic_raw_ub[bl1_c])&gt;1)*(LEN(lmic_raw_ub[bd_cov])&gt;interactive!$C$6))</f>
        <v>6.9295566420817609</v>
      </c>
      <c r="X25" s="33">
        <f>SUMPRODUCT((lmic_raw_ub[[who_region]:[who_region]]=$A25)*lmic_raw_ub[map_f]*lmic_raw_ub[births]*(LEN(lmic_raw_ub[map_f])&gt;1)*(LEN(lmic_raw_ub[bd_cov])&gt;interactive!$C$6))/SUMPRODUCT((lmic_raw_ub[[who_region]:[who_region]]=$A25)*lmic_raw_ub[births]*(LEN(lmic_raw_ub[map_f])&gt;1)*(LEN(lmic_raw_ub[bd_cov])&gt;interactive!$C$6))</f>
        <v>5.7135155323747133</v>
      </c>
      <c r="Y25" s="33">
        <f>SUMPRODUCT((lmic_raw_ub[[who_region]:[who_region]]=$A25)*lmic_raw_ub[map_cq]*lmic_raw_ub[births]*(LEN(lmic_raw_ub[map_cq])&gt;1)*(LEN(lmic_raw_ub[bd_cov])&gt;interactive!$C$6))/SUMPRODUCT((lmic_raw_ub[[who_region]:[who_region]]=$A25)*lmic_raw_ub[births]*(LEN(lmic_raw_ub[map_cq])&gt;1)*(LEN(lmic_raw_ub[bd_cov])&gt;interactive!$C$6))</f>
        <v>6.3899948093174794</v>
      </c>
      <c r="Z25" s="33">
        <f>SUMPRODUCT((lmic_raw_ub[[who_region]:[who_region]]=$A25)*lmic_raw_ub[map_cl]*lmic_raw_ub[births]*(LEN(lmic_raw_ub[map_cl])&gt;1)*(LEN(lmic_raw_ub[bd_cov])&gt;interactive!$C$6))/SUMPRODUCT((lmic_raw_ub[[who_region]:[who_region]]=$A25)*lmic_raw_ub[births]*(LEN(lmic_raw_ub[map_cl])&gt;1)*(LEN(lmic_raw_ub[bd_cov])&gt;interactive!$C$6))</f>
        <v>6.3582742778641848</v>
      </c>
      <c r="AA25" s="33">
        <f>SUMPRODUCT((lmic_raw_ub[[who_region]:[who_region]]=$A25)*lmic_raw_ub[ctc_f]*lmic_raw_ub[births]*(LEN(lmic_raw_ub[ctc_f])&gt;1)*(LEN(lmic_raw_ub[bd_cov])&gt;interactive!$C$6))/SUMPRODUCT((lmic_raw_ub[[who_region]:[who_region]]=$A25)*lmic_raw_ub[births]*(LEN(lmic_raw_ub[ctc_f])&gt;1)*(LEN(lmic_raw_ub[bd_cov])&gt;interactive!$C$6))</f>
        <v>6.5316290357844036</v>
      </c>
      <c r="AB25" s="33">
        <f>SUMPRODUCT((lmic_raw_ub[[who_region]:[who_region]]=$A25)*lmic_raw_ub[ctc_c]*lmic_raw_ub[births]*(LEN(lmic_raw_ub[ctc_c])&gt;1)*(LEN(lmic_raw_ub[bd_cov])&gt;interactive!$C$6))/SUMPRODUCT((lmic_raw_ub[[who_region]:[who_region]]=$A25)*lmic_raw_ub[births]*(LEN(lmic_raw_ub[ctc_c])&gt;1)*(LEN(lmic_raw_ub[bd_cov])&gt;interactive!$C$6))</f>
        <v>7.2081083127271697</v>
      </c>
      <c r="AC25" s="33">
        <f>SUMPRODUCT((lmic_raw_ub[[who_region]:[who_region]]=$A25)*lmic_raw_ub[m_01]*lmic_raw_ub[births]*(LEN(lmic_raw_ub[m_01])&gt;1)*(LEN(lmic_raw_ub[bd_cov])&gt;interactive!$C$6))/SUMPRODUCT((lmic_raw_ub[[who_region]:[who_region]]=$A25)*lmic_raw_ub[births]*(LEN(lmic_raw_ub[m_01])&gt;1)*(LEN(lmic_raw_ub[bd_cov])&gt;interactive!$C$6))</f>
        <v>1.2718695170316376E-2</v>
      </c>
      <c r="AD25" s="33">
        <f>SUMPRODUCT((lmic_raw_ub[[who_region]:[who_region]]=$A25)*lmic_raw_ub[m_14]*lmic_raw_ub[births]*(LEN(lmic_raw_ub[m_14])&gt;1)*(LEN(lmic_raw_ub[bd_cov])&gt;interactive!$C$6))/SUMPRODUCT((lmic_raw_ub[[who_region]:[who_region]]=$A25)*lmic_raw_ub[births]*(LEN(lmic_raw_ub[m_14])&gt;1)*(LEN(lmic_raw_ub[bd_cov])&gt;interactive!$C$6))</f>
        <v>7.0990426719929028E-4</v>
      </c>
      <c r="AE25" s="33">
        <f>SUMPRODUCT((lmic_raw_ub[[who_region]:[who_region]]=$A25)*lmic_raw_ub[m_59]*lmic_raw_ub[births]*(LEN(lmic_raw_ub[m_59])&gt;1)*(LEN(lmic_raw_ub[bd_cov])&gt;interactive!$C$6))/SUMPRODUCT((lmic_raw_ub[[who_region]:[who_region]]=$A25)*lmic_raw_ub[births]*(LEN(lmic_raw_ub[m_59])&gt;1)*(LEN(lmic_raw_ub[bd_cov])&gt;interactive!$C$6))</f>
        <v>4.1035558161302201E-4</v>
      </c>
      <c r="AF25" s="33">
        <f>SUMPRODUCT((lmic_raw_ub[[who_region]:[who_region]]=$A25)*lmic_raw_ub[m_1014]*lmic_raw_ub[births]*(LEN(lmic_raw_ub[m_1014])&gt;1)*(LEN(lmic_raw_ub[bd_cov])&gt;interactive!$C$6))/SUMPRODUCT((lmic_raw_ub[[who_region]:[who_region]]=$A25)*lmic_raw_ub[births]*(LEN(lmic_raw_ub[m_1014])&gt;1)*(LEN(lmic_raw_ub[bd_cov])&gt;interactive!$C$6))</f>
        <v>3.2321280704531737E-4</v>
      </c>
      <c r="AG25" s="33">
        <f>SUMPRODUCT((lmic_raw_ub[[who_region]:[who_region]]=$A25)*lmic_raw_ub[m_1519]*lmic_raw_ub[births]*(LEN(lmic_raw_ub[m_1519])&gt;1)*(LEN(lmic_raw_ub[bd_cov])&gt;interactive!$C$6))/SUMPRODUCT((lmic_raw_ub[[who_region]:[who_region]]=$A25)*lmic_raw_ub[births]*(LEN(lmic_raw_ub[m_1519])&gt;1)*(LEN(lmic_raw_ub[bd_cov])&gt;interactive!$C$6))</f>
        <v>5.1391567877096943E-4</v>
      </c>
      <c r="AH25" s="33">
        <f>SUMPRODUCT((lmic_raw_ub[[who_region]:[who_region]]=$A25)*lmic_raw_ub[m_2024]*lmic_raw_ub[births]*(LEN(lmic_raw_ub[m_2024])&gt;1)*(LEN(lmic_raw_ub[bd_cov])&gt;interactive!$C$6))/SUMPRODUCT((lmic_raw_ub[[who_region]:[who_region]]=$A25)*lmic_raw_ub[births]*(LEN(lmic_raw_ub[m_2024])&gt;1)*(LEN(lmic_raw_ub[bd_cov])&gt;interactive!$C$6))</f>
        <v>7.1501295849761711E-4</v>
      </c>
      <c r="AI25" s="33">
        <f>SUMPRODUCT((lmic_raw_ub[[who_region]:[who_region]]=$A25)*lmic_raw_ub[m_2529]*lmic_raw_ub[births]*(LEN(lmic_raw_ub[m_2529])&gt;1)*(LEN(lmic_raw_ub[bd_cov])&gt;interactive!$C$6))/SUMPRODUCT((lmic_raw_ub[[who_region]:[who_region]]=$A25)*lmic_raw_ub[births]*(LEN(lmic_raw_ub[m_2529])&gt;1)*(LEN(lmic_raw_ub[bd_cov])&gt;interactive!$C$6))</f>
        <v>8.927507998400117E-4</v>
      </c>
      <c r="AJ25" s="33">
        <f>SUMPRODUCT((lmic_raw_ub[[who_region]:[who_region]]=$A25)*lmic_raw_ub[m_3034]*lmic_raw_ub[births]*(LEN(lmic_raw_ub[m_3034])&gt;1)*(LEN(lmic_raw_ub[bd_cov])&gt;interactive!$C$6))/SUMPRODUCT((lmic_raw_ub[[who_region]:[who_region]]=$A25)*lmic_raw_ub[births]*(LEN(lmic_raw_ub[m_3034])&gt;1)*(LEN(lmic_raw_ub[bd_cov])&gt;interactive!$C$6))</f>
        <v>1.1113320849251299E-3</v>
      </c>
      <c r="AK25" s="33">
        <f>SUMPRODUCT((lmic_raw_ub[[who_region]:[who_region]]=$A25)*lmic_raw_ub[m_3539]*lmic_raw_ub[births]*(LEN(lmic_raw_ub[m_3539])&gt;1)*(LEN(lmic_raw_ub[bd_cov])&gt;interactive!$C$6))/SUMPRODUCT((lmic_raw_ub[[who_region]:[who_region]]=$A25)*lmic_raw_ub[births]*(LEN(lmic_raw_ub[m_3539])&gt;1)*(LEN(lmic_raw_ub[bd_cov])&gt;interactive!$C$6))</f>
        <v>1.4275057565613705E-3</v>
      </c>
      <c r="AL25" s="33">
        <f>SUMPRODUCT((lmic_raw_ub[[who_region]:[who_region]]=$A25)*lmic_raw_ub[m_4044]*lmic_raw_ub[births]*(LEN(lmic_raw_ub[m_4044])&gt;1)*(LEN(lmic_raw_ub[bd_cov])&gt;interactive!$C$6))/SUMPRODUCT((lmic_raw_ub[[who_region]:[who_region]]=$A25)*lmic_raw_ub[births]*(LEN(lmic_raw_ub[m_4044])&gt;1)*(LEN(lmic_raw_ub[bd_cov])&gt;interactive!$C$6))</f>
        <v>2.009368370687911E-3</v>
      </c>
      <c r="AM25" s="33">
        <f>SUMPRODUCT((lmic_raw_ub[[who_region]:[who_region]]=$A25)*lmic_raw_ub[m_4549]*lmic_raw_ub[births]*(LEN(lmic_raw_ub[m_4549])&gt;1)*(LEN(lmic_raw_ub[bd_cov])&gt;interactive!$C$6))/SUMPRODUCT((lmic_raw_ub[[who_region]:[who_region]]=$A25)*lmic_raw_ub[births]*(LEN(lmic_raw_ub[m_4549])&gt;1)*(LEN(lmic_raw_ub[bd_cov])&gt;interactive!$C$6))</f>
        <v>2.94513734968114E-3</v>
      </c>
      <c r="AN25" s="33">
        <f>SUMPRODUCT((lmic_raw_ub[[who_region]:[who_region]]=$A25)*lmic_raw_ub[m_5054]*lmic_raw_ub[births]*(LEN(lmic_raw_ub[m_5054])&gt;1)*(LEN(lmic_raw_ub[bd_cov])&gt;interactive!$C$6))/SUMPRODUCT((lmic_raw_ub[[who_region]:[who_region]]=$A25)*lmic_raw_ub[births]*(LEN(lmic_raw_ub[m_5054])&gt;1)*(LEN(lmic_raw_ub[bd_cov])&gt;interactive!$C$6))</f>
        <v>4.6905477840367173E-3</v>
      </c>
      <c r="AO25" s="33">
        <f>SUMPRODUCT((lmic_raw_ub[[who_region]:[who_region]]=$A25)*lmic_raw_ub[m_5559]*lmic_raw_ub[births]*(LEN(lmic_raw_ub[m_5559])&gt;1)*(LEN(lmic_raw_ub[bd_cov])&gt;interactive!$C$6))/SUMPRODUCT((lmic_raw_ub[[who_region]:[who_region]]=$A25)*lmic_raw_ub[births]*(LEN(lmic_raw_ub[m_5559])&gt;1)*(LEN(lmic_raw_ub[bd_cov])&gt;interactive!$C$6))</f>
        <v>7.5068342983396156E-3</v>
      </c>
      <c r="AP25" s="33">
        <f>SUMPRODUCT((lmic_raw_ub[[who_region]:[who_region]]=$A25)*lmic_raw_ub[m_6064]*lmic_raw_ub[births]*(LEN(lmic_raw_ub[m_6064])&gt;1)*(LEN(lmic_raw_ub[bd_cov])&gt;interactive!$C$6))/SUMPRODUCT((lmic_raw_ub[[who_region]:[who_region]]=$A25)*lmic_raw_ub[births]*(LEN(lmic_raw_ub[m_6064])&gt;1)*(LEN(lmic_raw_ub[bd_cov])&gt;interactive!$C$6))</f>
        <v>1.2728981177810095E-2</v>
      </c>
      <c r="AQ25" s="33">
        <f>SUMPRODUCT((lmic_raw_ub[[who_region]:[who_region]]=$A25)*lmic_raw_ub[m_6569]*lmic_raw_ub[births]*(LEN(lmic_raw_ub[m_6569])&gt;1)*(LEN(lmic_raw_ub[bd_cov])&gt;interactive!$C$6))/SUMPRODUCT((lmic_raw_ub[[who_region]:[who_region]]=$A25)*lmic_raw_ub[births]*(LEN(lmic_raw_ub[m_6569])&gt;1)*(LEN(lmic_raw_ub[bd_cov])&gt;interactive!$C$6))</f>
        <v>2.1402745908128597E-2</v>
      </c>
      <c r="AR25" s="33">
        <f>SUMPRODUCT((lmic_raw_ub[[who_region]:[who_region]]=$A25)*lmic_raw_ub[m_7074]*lmic_raw_ub[births]*(LEN(lmic_raw_ub[m_7074])&gt;1)*(LEN(lmic_raw_ub[bd_cov])&gt;interactive!$C$6))/SUMPRODUCT((lmic_raw_ub[[who_region]:[who_region]]=$A25)*lmic_raw_ub[births]*(LEN(lmic_raw_ub[m_7074])&gt;1)*(LEN(lmic_raw_ub[bd_cov])&gt;interactive!$C$6))</f>
        <v>3.6140267460888088E-2</v>
      </c>
      <c r="AS25" s="33">
        <f>SUMPRODUCT((lmic_raw_ub[[who_region]:[who_region]]=$A25)*lmic_raw_ub[m_7079]*lmic_raw_ub[births]*(LEN(lmic_raw_ub[m_7079])&gt;1)*(LEN(lmic_raw_ub[bd_cov])&gt;interactive!$C$6))/SUMPRODUCT((lmic_raw_ub[[who_region]:[who_region]]=$A25)*lmic_raw_ub[births]*(LEN(lmic_raw_ub[m_7079])&gt;1)*(LEN(lmic_raw_ub[bd_cov])&gt;interactive!$C$6))</f>
        <v>5.6558251600302104E-2</v>
      </c>
      <c r="AT25" s="33">
        <f>SUMPRODUCT((lmic_raw_ub[[who_region]:[who_region]]=$A25)*lmic_raw_ub[m_8084]*lmic_raw_ub[births]*(LEN(lmic_raw_ub[m_8084])&gt;1)*(LEN(lmic_raw_ub[bd_cov])&gt;interactive!$C$6))/SUMPRODUCT((lmic_raw_ub[[who_region]:[who_region]]=$A25)*lmic_raw_ub[births]*(LEN(lmic_raw_ub[m_8084])&gt;1)*(LEN(lmic_raw_ub[bd_cov])&gt;interactive!$C$6))</f>
        <v>8.0662699285328376E-2</v>
      </c>
      <c r="AU25" s="33">
        <f>SUMPRODUCT((lmic_raw_ub[[who_region]:[who_region]]=$A25)*lmic_raw_ub[m_8589]*lmic_raw_ub[births]*(LEN(lmic_raw_ub[m_8589])&gt;1)*(LEN(lmic_raw_ub[bd_cov])&gt;interactive!$C$6))/SUMPRODUCT((lmic_raw_ub[[who_region]:[who_region]]=$A25)*lmic_raw_ub[births]*(LEN(lmic_raw_ub[m_8589])&gt;1)*(LEN(lmic_raw_ub[bd_cov])&gt;interactive!$C$6))</f>
        <v>0.11119985765587861</v>
      </c>
      <c r="AV25" s="33">
        <f>SUMPRODUCT((lmic_raw_ub[[who_region]:[who_region]]=$A25)*lmic_raw_ub[m_9094]*lmic_raw_ub[births]*(LEN(lmic_raw_ub[m_9094])&gt;1)*(LEN(lmic_raw_ub[bd_cov])&gt;interactive!$C$6))/SUMPRODUCT((lmic_raw_ub[[who_region]:[who_region]]=$A25)*lmic_raw_ub[births]*(LEN(lmic_raw_ub[m_9094])&gt;1)*(LEN(lmic_raw_ub[bd_cov])&gt;interactive!$C$6))</f>
        <v>0.13871565315853587</v>
      </c>
      <c r="AW25" s="33">
        <f>SUMPRODUCT((lmic_raw_ub[[who_region]:[who_region]]=$A25)*lmic_raw_ub[m_95+]*lmic_raw_ub[births]*(LEN(lmic_raw_ub[m_95+])&gt;1)*(LEN(lmic_raw_ub[bd_cov])&gt;interactive!$C$6))/SUMPRODUCT((lmic_raw_ub[[who_region]:[who_region]]=$A25)*lmic_raw_ub[births]*(LEN(lmic_raw_ub[m_95+])&gt;1)*(LEN(lmic_raw_ub[bd_cov])&gt;interactive!$C$6))</f>
        <v>0.161835775952024</v>
      </c>
      <c r="AX25" s="33">
        <f>SUMPRODUCT((lmic_raw_ub[[who_region]:[who_region]]=$A25)*lmic_raw_ub[av_life]*lmic_raw_ub[births]*(LEN(lmic_raw_ub[av_life])&gt;1)*(LEN(lmic_raw_ub[bd_cov])&gt;interactive!$C$6))/SUMPRODUCT((lmic_raw_ub[[who_region]:[who_region]]=$A25)*lmic_raw_ub[births]*(LEN(lmic_raw_ub[av_life])&gt;1)*(LEN(lmic_raw_ub[bd_cov])&gt;interactive!$C$6))</f>
        <v>79.367389611614101</v>
      </c>
    </row>
    <row r="26" spans="1:51" x14ac:dyDescent="0.25">
      <c r="A26" s="33" t="s">
        <v>705</v>
      </c>
      <c r="J26" s="33">
        <f>SUMPRODUCT(lmic_raw_ub[fac_birth]*lmic_raw_ub[births]*(LEN(lmic_raw_ub[fac_birth])&gt;1)*(LEN(lmic_raw_ub[bd_cov])&gt;interactive!$C$6))/SUMPRODUCT(lmic_raw_ub[births]*(LEN(lmic_raw_ub[fac_birth])&gt;1)*(LEN(lmic_raw_ub[bd_cov])&gt;interactive!$C$6))</f>
        <v>0.89705418240587553</v>
      </c>
      <c r="K26" s="33">
        <f>SUMPRODUCT(lmic_raw_ub[bd_cov]*lmic_raw_ub[births]*(LEN(lmic_raw_ub[bd_cov])&gt;interactive!$C$6))/SUMPRODUCT(lmic_raw_ub[births]*(LEN(lmic_raw_ub[bd_cov])&gt;interactive!$C$6))</f>
        <v>0.76761684381812567</v>
      </c>
      <c r="L26" s="33">
        <f>SUMPRODUCT(lmic_raw_ub[hbv3_cov]*lmic_raw_ub[births]*(LEN(lmic_raw_ub[hbv3_cov])&gt;1)*(LEN(lmic_raw_ub[bd_cov])&gt;interactive!$C$6))/SUMPRODUCT(lmic_raw_ub[births]*(LEN(lmic_raw_ub[hbv3_cov])&gt;1)*(LEN(lmic_raw_ub[bd_cov])&gt;interactive!$C$6))</f>
        <v>0.94091109049394139</v>
      </c>
      <c r="M26" s="33">
        <f>SUMPRODUCT(lmic_raw_ub[hbv_prev]*lmic_raw_ub[pop]*(LEN(lmic_raw_ub[hbv_prev])&gt;1)*(LEN(lmic_raw_ub[bd_cov])&gt;interactive!$C$6))/SUMPRODUCT(lmic_raw_ub[pop]*(LEN(lmic_raw_ub[hbv_prev])&gt;1)*(LEN(lmic_raw_ub[bd_cov])&gt;interactive!$C$6))</f>
        <v>5.259698247792078E-2</v>
      </c>
      <c r="N26" s="33">
        <f>SUMPRODUCT(lmic_raw_ub[hbe_prev]*lmic_raw_ub[pop]*(LEN(lmic_raw_ub[hbe_prev])&gt;1)*(LEN(lmic_raw_ub[bd_cov])&gt;interactive!$C$6))/SUMPRODUCT(lmic_raw_ub[pop]*(LEN(lmic_raw_ub[hbe_prev])&gt;1)*(LEN(lmic_raw_ub[bd_cov])&gt;interactive!$C$6))</f>
        <v>0.42998334624028861</v>
      </c>
      <c r="O26" s="33">
        <f>SUMPRODUCT(lmic_raw_ub[epos]*lmic_raw_ub[pop]*(LEN(lmic_raw_ub[epos])&gt;1)*(LEN(lmic_raw_ub[bd_cov])&gt;interactive!$C$6))/SUMPRODUCT(lmic_raw_ub[pop]*(LEN(lmic_raw_ub[epos])&gt;1)*(LEN(lmic_raw_ub[bd_cov])&gt;interactive!$C$6))</f>
        <v>0.89784624794519852</v>
      </c>
      <c r="P26" s="33">
        <f>SUMPRODUCT(lmic_raw_ub[eneg]*lmic_raw_ub[pop]*(LEN(lmic_raw_ub[eneg])&gt;1)*(LEN(lmic_raw_ub[bd_cov])&gt;interactive!$C$6))/SUMPRODUCT(lmic_raw_ub[pop]*(LEN(lmic_raw_ub[eneg])&gt;1)*(LEN(lmic_raw_ub[bd_cov])&gt;interactive!$C$6))</f>
        <v>0.29769438081312927</v>
      </c>
      <c r="Q26" s="33">
        <f>SUMPRODUCT(lmic_raw_ub[c_diag]*lmic_raw_ub[births]*(LEN(lmic_raw_ub[c_diag])&gt;1)*(LEN(lmic_raw_ub[bd_cov])&gt;interactive!$C$6))/SUMPRODUCT(lmic_raw_ub[births]*(LEN(lmic_raw_ub[c_diag])&gt;1)*(LEN(lmic_raw_ub[bd_cov])&gt;interactive!$C$6))</f>
        <v>6.4511224759726948</v>
      </c>
      <c r="R26" s="33">
        <f>SUMPRODUCT(lmic_raw_ub[c_C]*lmic_raw_ub[births]*(LEN(lmic_raw_ub[c_C])&gt;1)*(LEN(lmic_raw_ub[bd_cov])&gt;interactive!$C$6))/SUMPRODUCT(lmic_raw_ub[births]*(LEN(lmic_raw_ub[c_C])&gt;1)*(LEN(lmic_raw_ub[bd_cov])&gt;interactive!$C$6))</f>
        <v>62.650761990489499</v>
      </c>
      <c r="S26" s="33">
        <f>SUMPRODUCT(lmic_raw_ub[c_CC]*lmic_raw_ub[births]*(LEN(lmic_raw_ub[c_CC])&gt;1)*(LEN(lmic_raw_ub[bd_cov])&gt;interactive!$C$6))/SUMPRODUCT(lmic_raw_ub[births]*(LEN(lmic_raw_ub[c_CC])&gt;1)*(LEN(lmic_raw_ub[bd_cov])&gt;interactive!$C$6))</f>
        <v>112.77986199048949</v>
      </c>
      <c r="T26" s="33">
        <f>SUMPRODUCT(lmic_raw_ub[c_DC]*lmic_raw_ub[births]*(LEN(lmic_raw_ub[c_DC])&gt;1)*(LEN(lmic_raw_ub[bd_cov])&gt;interactive!$C$6))/SUMPRODUCT(lmic_raw_ub[births]*(LEN(lmic_raw_ub[c_DC])&gt;1)*(LEN(lmic_raw_ub[bd_cov])&gt;interactive!$C$6))</f>
        <v>112.77986199048949</v>
      </c>
      <c r="U26" s="33">
        <f>SUMPRODUCT(lmic_raw_ub[c_HCC]*lmic_raw_ub[births]*(LEN(lmic_raw_ub[c_HCC])&gt;1)*(LEN(lmic_raw_ub[bd_cov])&gt;interactive!$C$6))/SUMPRODUCT(lmic_raw_ub[births]*(LEN(lmic_raw_ub[c_HCC])&gt;1)*(LEN(lmic_raw_ub[bd_cov])&gt;interactive!$C$6))</f>
        <v>112.77986199048949</v>
      </c>
      <c r="V26" s="33">
        <f>SUMPRODUCT(lmic_raw_ub[bl1_f]*lmic_raw_ub[births]*(LEN(lmic_raw_ub[bl1_f])&gt;1)*(LEN(lmic_raw_ub[bd_cov])&gt;interactive!$C$6))/SUMPRODUCT(lmic_raw_ub[births]*(LEN(lmic_raw_ub[bl1_f])&gt;1)*(LEN(lmic_raw_ub[bd_cov])&gt;interactive!$C$6))</f>
        <v>5.5331552496151994</v>
      </c>
      <c r="W26" s="33">
        <f>SUMPRODUCT(lmic_raw_ub[bl1_c]*lmic_raw_ub[births]*(LEN(lmic_raw_ub[bl1_c])&gt;1)*(LEN(lmic_raw_ub[bd_cov])&gt;interactive!$C$6))/SUMPRODUCT(lmic_raw_ub[births]*(LEN(lmic_raw_ub[bl1_c])&gt;1)*(LEN(lmic_raw_ub[bd_cov])&gt;interactive!$C$6))</f>
        <v>7.0010906486092201</v>
      </c>
      <c r="X26" s="33">
        <f>SUMPRODUCT(lmic_raw_ub[map_f]*lmic_raw_ub[births]*(LEN(lmic_raw_ub[map_f])&gt;1)*(LEN(lmic_raw_ub[bd_cov])&gt;interactive!$C$6))/SUMPRODUCT(lmic_raw_ub[births]*(LEN(lmic_raw_ub[map_f])&gt;1)*(LEN(lmic_raw_ub[bd_cov])&gt;interactive!$C$6))</f>
        <v>5.0206339193698515</v>
      </c>
      <c r="Y26" s="33">
        <f>SUMPRODUCT(lmic_raw_ub[map_cq]*lmic_raw_ub[births]*(LEN(lmic_raw_ub[map_cq])&gt;1)*(LEN(lmic_raw_ub[bd_cov])&gt;interactive!$C$6))/SUMPRODUCT(lmic_raw_ub[births]*(LEN(lmic_raw_ub[map_cq])&gt;1)*(LEN(lmic_raw_ub[bd_cov])&gt;interactive!$C$6))</f>
        <v>6.4789655843801581</v>
      </c>
      <c r="Z26" s="33">
        <f>SUMPRODUCT(lmic_raw_ub[map_cl]*lmic_raw_ub[births]*(LEN(lmic_raw_ub[map_cl])&gt;1)*(LEN(lmic_raw_ub[bd_cov])&gt;interactive!$C$6))/SUMPRODUCT(lmic_raw_ub[births]*(LEN(lmic_raw_ub[map_cl])&gt;1)*(LEN(lmic_raw_ub[bd_cov])&gt;interactive!$C$6))</f>
        <v>6.4570611113489758</v>
      </c>
      <c r="AA26" s="33">
        <f>SUMPRODUCT(lmic_raw_ub[ctc_f]*lmic_raw_ub[births]*(LEN(lmic_raw_ub[ctc_f])&gt;1)*(LEN(lmic_raw_ub[bd_cov])&gt;interactive!$C$6))/SUMPRODUCT(lmic_raw_ub[births]*(LEN(lmic_raw_ub[ctc_f])&gt;1)*(LEN(lmic_raw_ub[bd_cov])&gt;interactive!$C$6))</f>
        <v>5.8077488807771562</v>
      </c>
      <c r="AB26" s="33">
        <f>SUMPRODUCT(lmic_raw_ub[ctc_c]*lmic_raw_ub[births]*(LEN(lmic_raw_ub[ctc_c])&gt;1)*(LEN(lmic_raw_ub[bd_cov])&gt;interactive!$C$6))/SUMPRODUCT(lmic_raw_ub[births]*(LEN(lmic_raw_ub[ctc_c])&gt;1)*(LEN(lmic_raw_ub[bd_cov])&gt;interactive!$C$6))</f>
        <v>7.2756842797711814</v>
      </c>
      <c r="AC26" s="33">
        <f>SUMPRODUCT(lmic_raw_ub[m_01]*lmic_raw_ub[births]*(LEN(lmic_raw_ub[m_01])&gt;1)*(LEN(lmic_raw_ub[bd_cov])&gt;interactive!$C$6))/SUMPRODUCT(lmic_raw_ub[births]*(LEN(lmic_raw_ub[m_01])&gt;1)*(LEN(lmic_raw_ub[bd_cov])&gt;interactive!$C$6))</f>
        <v>2.2839018367223615E-2</v>
      </c>
      <c r="AD26" s="33">
        <f>SUMPRODUCT(lmic_raw_ub[m_14]*lmic_raw_ub[births]*(LEN(lmic_raw_ub[m_14])&gt;1)*(LEN(lmic_raw_ub[bd_cov])&gt;interactive!$C$6))/SUMPRODUCT(lmic_raw_ub[births]*(LEN(lmic_raw_ub[m_14])&gt;1)*(LEN(lmic_raw_ub[bd_cov])&gt;interactive!$C$6))</f>
        <v>1.4389544419225865E-3</v>
      </c>
      <c r="AE26" s="33">
        <f>SUMPRODUCT(lmic_raw_ub[m_59]*lmic_raw_ub[births]*(LEN(lmic_raw_ub[m_59])&gt;1)*(LEN(lmic_raw_ub[bd_cov])&gt;interactive!$C$6))/SUMPRODUCT(lmic_raw_ub[births]*(LEN(lmic_raw_ub[m_59])&gt;1)*(LEN(lmic_raw_ub[bd_cov])&gt;interactive!$C$6))</f>
        <v>5.8631428511902691E-4</v>
      </c>
      <c r="AF26" s="33">
        <f>SUMPRODUCT(lmic_raw_ub[m_1014]*lmic_raw_ub[births]*(LEN(lmic_raw_ub[m_1014])&gt;1)*(LEN(lmic_raw_ub[bd_cov])&gt;interactive!$C$6))/SUMPRODUCT(lmic_raw_ub[births]*(LEN(lmic_raw_ub[m_1014])&gt;1)*(LEN(lmic_raw_ub[bd_cov])&gt;interactive!$C$6))</f>
        <v>4.952990982171931E-4</v>
      </c>
      <c r="AG26" s="33">
        <f>SUMPRODUCT(lmic_raw_ub[m_1519]*lmic_raw_ub[births]*(LEN(lmic_raw_ub[m_1519])&gt;1)*(LEN(lmic_raw_ub[bd_cov])&gt;interactive!$C$6))/SUMPRODUCT(lmic_raw_ub[births]*(LEN(lmic_raw_ub[m_1519])&gt;1)*(LEN(lmic_raw_ub[bd_cov])&gt;interactive!$C$6))</f>
        <v>8.4721669745469624E-4</v>
      </c>
      <c r="AH26" s="33">
        <f>SUMPRODUCT(lmic_raw_ub[m_2024]*lmic_raw_ub[births]*(LEN(lmic_raw_ub[m_2024])&gt;1)*(LEN(lmic_raw_ub[bd_cov])&gt;interactive!$C$6))/SUMPRODUCT(lmic_raw_ub[births]*(LEN(lmic_raw_ub[m_2024])&gt;1)*(LEN(lmic_raw_ub[bd_cov])&gt;interactive!$C$6))</f>
        <v>1.220859613119616E-3</v>
      </c>
      <c r="AI26" s="33">
        <f>SUMPRODUCT(lmic_raw_ub[m_2529]*lmic_raw_ub[births]*(LEN(lmic_raw_ub[m_2529])&gt;1)*(LEN(lmic_raw_ub[bd_cov])&gt;interactive!$C$6))/SUMPRODUCT(lmic_raw_ub[births]*(LEN(lmic_raw_ub[m_2529])&gt;1)*(LEN(lmic_raw_ub[bd_cov])&gt;interactive!$C$6))</f>
        <v>1.4047381751551278E-3</v>
      </c>
      <c r="AJ26" s="33">
        <f>SUMPRODUCT(lmic_raw_ub[m_3034]*lmic_raw_ub[births]*(LEN(lmic_raw_ub[m_3034])&gt;1)*(LEN(lmic_raw_ub[bd_cov])&gt;interactive!$C$6))/SUMPRODUCT(lmic_raw_ub[births]*(LEN(lmic_raw_ub[m_3034])&gt;1)*(LEN(lmic_raw_ub[bd_cov])&gt;interactive!$C$6))</f>
        <v>1.7363366457064607E-3</v>
      </c>
      <c r="AK26" s="33">
        <f>SUMPRODUCT(lmic_raw_ub[m_3539]*lmic_raw_ub[births]*(LEN(lmic_raw_ub[m_3539])&gt;1)*(LEN(lmic_raw_ub[bd_cov])&gt;interactive!$C$6))/SUMPRODUCT(lmic_raw_ub[births]*(LEN(lmic_raw_ub[m_3539])&gt;1)*(LEN(lmic_raw_ub[bd_cov])&gt;interactive!$C$6))</f>
        <v>2.2850133462952809E-3</v>
      </c>
      <c r="AL26" s="33">
        <f>SUMPRODUCT(lmic_raw_ub[m_4044]*lmic_raw_ub[births]*(LEN(lmic_raw_ub[m_4044])&gt;1)*(LEN(lmic_raw_ub[bd_cov])&gt;interactive!$C$6))/SUMPRODUCT(lmic_raw_ub[births]*(LEN(lmic_raw_ub[m_4044])&gt;1)*(LEN(lmic_raw_ub[bd_cov])&gt;interactive!$C$6))</f>
        <v>3.0849602441765339E-3</v>
      </c>
      <c r="AM26" s="33">
        <f>SUMPRODUCT(lmic_raw_ub[m_4549]*lmic_raw_ub[births]*(LEN(lmic_raw_ub[m_4549])&gt;1)*(LEN(lmic_raw_ub[bd_cov])&gt;interactive!$C$6))/SUMPRODUCT(lmic_raw_ub[births]*(LEN(lmic_raw_ub[m_4549])&gt;1)*(LEN(lmic_raw_ub[bd_cov])&gt;interactive!$C$6))</f>
        <v>4.4593820933598689E-3</v>
      </c>
      <c r="AN26" s="33">
        <f>SUMPRODUCT(lmic_raw_ub[m_5054]*lmic_raw_ub[births]*(LEN(lmic_raw_ub[m_5054])&gt;1)*(LEN(lmic_raw_ub[bd_cov])&gt;interactive!$C$6))/SUMPRODUCT(lmic_raw_ub[births]*(LEN(lmic_raw_ub[m_5054])&gt;1)*(LEN(lmic_raw_ub[bd_cov])&gt;interactive!$C$6))</f>
        <v>6.9496888353540081E-3</v>
      </c>
      <c r="AO26" s="33">
        <f>SUMPRODUCT(lmic_raw_ub[m_5559]*lmic_raw_ub[births]*(LEN(lmic_raw_ub[m_5559])&gt;1)*(LEN(lmic_raw_ub[bd_cov])&gt;interactive!$C$6))/SUMPRODUCT(lmic_raw_ub[births]*(LEN(lmic_raw_ub[m_5559])&gt;1)*(LEN(lmic_raw_ub[bd_cov])&gt;interactive!$C$6))</f>
        <v>1.043590692068945E-2</v>
      </c>
      <c r="AP26" s="33">
        <f>SUMPRODUCT(lmic_raw_ub[m_6064]*lmic_raw_ub[births]*(LEN(lmic_raw_ub[m_6064])&gt;1)*(LEN(lmic_raw_ub[bd_cov])&gt;interactive!$C$6))/SUMPRODUCT(lmic_raw_ub[births]*(LEN(lmic_raw_ub[m_6064])&gt;1)*(LEN(lmic_raw_ub[bd_cov])&gt;interactive!$C$6))</f>
        <v>1.6160915916967708E-2</v>
      </c>
      <c r="AQ26" s="33">
        <f>SUMPRODUCT(lmic_raw_ub[m_6569]*lmic_raw_ub[births]*(LEN(lmic_raw_ub[m_6569])&gt;1)*(LEN(lmic_raw_ub[bd_cov])&gt;interactive!$C$6))/SUMPRODUCT(lmic_raw_ub[births]*(LEN(lmic_raw_ub[m_6569])&gt;1)*(LEN(lmic_raw_ub[bd_cov])&gt;interactive!$C$6))</f>
        <v>2.5053345271615072E-2</v>
      </c>
      <c r="AR26" s="33">
        <f>SUMPRODUCT(lmic_raw_ub[m_7074]*lmic_raw_ub[births]*(LEN(lmic_raw_ub[m_7074])&gt;1)*(LEN(lmic_raw_ub[bd_cov])&gt;interactive!$C$6))/SUMPRODUCT(lmic_raw_ub[births]*(LEN(lmic_raw_ub[m_7074])&gt;1)*(LEN(lmic_raw_ub[bd_cov])&gt;interactive!$C$6))</f>
        <v>3.9688062551938658E-2</v>
      </c>
      <c r="AS26" s="33">
        <f>SUMPRODUCT(lmic_raw_ub[m_7079]*lmic_raw_ub[births]*(LEN(lmic_raw_ub[m_7079])&gt;1)*(LEN(lmic_raw_ub[bd_cov])&gt;interactive!$C$6))/SUMPRODUCT(lmic_raw_ub[births]*(LEN(lmic_raw_ub[m_7079])&gt;1)*(LEN(lmic_raw_ub[bd_cov])&gt;interactive!$C$6))</f>
        <v>5.9895408107899582E-2</v>
      </c>
      <c r="AT26" s="33">
        <f>SUMPRODUCT(lmic_raw_ub[m_8084]*lmic_raw_ub[births]*(LEN(lmic_raw_ub[m_8084])&gt;1)*(LEN(lmic_raw_ub[bd_cov])&gt;interactive!$C$6))/SUMPRODUCT(lmic_raw_ub[births]*(LEN(lmic_raw_ub[m_8084])&gt;1)*(LEN(lmic_raw_ub[bd_cov])&gt;interactive!$C$6))</f>
        <v>8.6640831155608097E-2</v>
      </c>
      <c r="AU26" s="33">
        <f>SUMPRODUCT(lmic_raw_ub[m_8589]*lmic_raw_ub[births]*(LEN(lmic_raw_ub[m_8589])&gt;1)*(LEN(lmic_raw_ub[bd_cov])&gt;interactive!$C$6))/SUMPRODUCT(lmic_raw_ub[births]*(LEN(lmic_raw_ub[m_8589])&gt;1)*(LEN(lmic_raw_ub[bd_cov])&gt;interactive!$C$6))</f>
        <v>0.11833474050671122</v>
      </c>
      <c r="AV26" s="33">
        <f>SUMPRODUCT(lmic_raw_ub[m_9094]*lmic_raw_ub[births]*(LEN(lmic_raw_ub[m_9094])&gt;1)*(LEN(lmic_raw_ub[bd_cov])&gt;interactive!$C$6))/SUMPRODUCT(lmic_raw_ub[births]*(LEN(lmic_raw_ub[m_9094])&gt;1)*(LEN(lmic_raw_ub[bd_cov])&gt;interactive!$C$6))</f>
        <v>0.14715912322831021</v>
      </c>
      <c r="AW26" s="33">
        <f>SUMPRODUCT(lmic_raw_ub[m_95+]*lmic_raw_ub[births]*(LEN(lmic_raw_ub[m_95+])&gt;1)*(LEN(lmic_raw_ub[bd_cov])&gt;interactive!$C$6))/SUMPRODUCT(lmic_raw_ub[births]*(LEN(lmic_raw_ub[m_95+])&gt;1)*(LEN(lmic_raw_ub[bd_cov])&gt;interactive!$C$6))</f>
        <v>0.16168069422829559</v>
      </c>
      <c r="AX26" s="33">
        <f>SUMPRODUCT(lmic_raw_ub[av_life]*lmic_raw_ub[births]*(LEN(lmic_raw_ub[av_life])&gt;1)*(LEN(lmic_raw_ub[bd_cov])&gt;interactive!$C$6))/SUMPRODUCT(lmic_raw_ub[births]*(LEN(lmic_raw_ub[av_life])&gt;1)*(LEN(lmic_raw_ub[bd_cov])&gt;interactive!$C$6))</f>
        <v>75.935486524489221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87"/>
  <sheetViews>
    <sheetView workbookViewId="0"/>
  </sheetViews>
  <sheetFormatPr defaultRowHeight="15" x14ac:dyDescent="0.25"/>
  <cols>
    <col min="1" max="1" width="26.85546875" customWidth="1"/>
    <col min="2" max="2" width="12.28515625" customWidth="1"/>
    <col min="3" max="3" width="15.42578125" customWidth="1"/>
    <col min="4" max="4" width="15.28515625" customWidth="1"/>
  </cols>
  <sheetData>
    <row r="1" spans="1:42" x14ac:dyDescent="0.25">
      <c r="A1" s="34" t="s">
        <v>75</v>
      </c>
      <c r="B1" s="34" t="s">
        <v>76</v>
      </c>
      <c r="C1" s="35" t="s">
        <v>77</v>
      </c>
      <c r="D1" s="35" t="s">
        <v>78</v>
      </c>
      <c r="F1" s="49" t="s">
        <v>75</v>
      </c>
      <c r="G1" s="34" t="s">
        <v>76</v>
      </c>
      <c r="H1" s="35" t="s">
        <v>364</v>
      </c>
      <c r="I1" s="33"/>
      <c r="J1" s="50" t="s">
        <v>365</v>
      </c>
      <c r="K1" s="51" t="s">
        <v>366</v>
      </c>
      <c r="L1" s="51" t="s">
        <v>367</v>
      </c>
      <c r="M1" s="52" t="s">
        <v>368</v>
      </c>
      <c r="O1" s="33" t="s">
        <v>75</v>
      </c>
      <c r="P1" s="33" t="s">
        <v>76</v>
      </c>
      <c r="Q1" s="33" t="s">
        <v>543</v>
      </c>
      <c r="R1" s="33" t="s">
        <v>544</v>
      </c>
      <c r="S1" s="33" t="s">
        <v>545</v>
      </c>
      <c r="T1" s="33" t="s">
        <v>546</v>
      </c>
      <c r="U1" s="33" t="s">
        <v>547</v>
      </c>
      <c r="V1" s="33" t="s">
        <v>548</v>
      </c>
      <c r="W1" s="33" t="s">
        <v>549</v>
      </c>
      <c r="X1" s="33" t="s">
        <v>550</v>
      </c>
      <c r="Y1" s="33" t="s">
        <v>551</v>
      </c>
      <c r="Z1" s="33" t="s">
        <v>552</v>
      </c>
      <c r="AA1" s="33" t="s">
        <v>553</v>
      </c>
      <c r="AB1" s="33" t="s">
        <v>554</v>
      </c>
      <c r="AC1" s="33" t="s">
        <v>555</v>
      </c>
      <c r="AD1" s="33" t="s">
        <v>556</v>
      </c>
      <c r="AE1" s="33" t="s">
        <v>557</v>
      </c>
      <c r="AF1" s="33" t="s">
        <v>558</v>
      </c>
      <c r="AG1" s="33" t="s">
        <v>559</v>
      </c>
      <c r="AH1" s="33" t="s">
        <v>560</v>
      </c>
      <c r="AI1" s="33" t="s">
        <v>561</v>
      </c>
      <c r="AJ1" s="33" t="s">
        <v>562</v>
      </c>
      <c r="AK1" s="33" t="s">
        <v>563</v>
      </c>
      <c r="AL1" s="33" t="s">
        <v>564</v>
      </c>
      <c r="AM1" s="33"/>
      <c r="AN1" s="34" t="s">
        <v>75</v>
      </c>
      <c r="AO1" s="34" t="s">
        <v>76</v>
      </c>
      <c r="AP1" s="35" t="s">
        <v>364</v>
      </c>
    </row>
    <row r="2" spans="1:42" x14ac:dyDescent="0.25">
      <c r="A2" s="36" t="s">
        <v>79</v>
      </c>
      <c r="B2" s="112">
        <v>900</v>
      </c>
      <c r="C2" s="38">
        <v>7713468.2050000103</v>
      </c>
      <c r="D2" s="38">
        <v>7794798.7290000003</v>
      </c>
      <c r="F2" s="36" t="s">
        <v>79</v>
      </c>
      <c r="G2" s="37">
        <v>900</v>
      </c>
      <c r="H2" s="53">
        <v>18.486000000000001</v>
      </c>
      <c r="I2" s="33"/>
      <c r="J2" s="54" t="s">
        <v>369</v>
      </c>
      <c r="K2" s="55" t="s">
        <v>191</v>
      </c>
      <c r="L2" s="56">
        <v>2018</v>
      </c>
      <c r="M2" s="57">
        <v>56.3</v>
      </c>
      <c r="O2" s="33" t="s">
        <v>79</v>
      </c>
      <c r="P2" s="33">
        <v>900</v>
      </c>
      <c r="Q2" s="33" t="s">
        <v>364</v>
      </c>
      <c r="R2" s="33">
        <v>2.9255571182257991E-2</v>
      </c>
      <c r="S2" s="33">
        <v>2.731127703555717E-3</v>
      </c>
      <c r="T2" s="33">
        <v>9.8720759046607006E-4</v>
      </c>
      <c r="U2" s="33">
        <v>7.6534341939239324E-4</v>
      </c>
      <c r="V2" s="33">
        <v>1.0673837699082425E-3</v>
      </c>
      <c r="W2" s="33">
        <v>1.4311309823167011E-3</v>
      </c>
      <c r="X2" s="33">
        <v>1.5867003050885555E-3</v>
      </c>
      <c r="Y2" s="33">
        <v>1.8536032504979255E-3</v>
      </c>
      <c r="Z2" s="33">
        <v>2.3403885605339995E-3</v>
      </c>
      <c r="AA2" s="33">
        <v>2.9254099871756892E-3</v>
      </c>
      <c r="AB2" s="33">
        <v>3.9113438126865329E-3</v>
      </c>
      <c r="AC2" s="33">
        <v>5.7698670823801831E-3</v>
      </c>
      <c r="AD2" s="33">
        <v>8.7956756121834023E-3</v>
      </c>
      <c r="AE2" s="33">
        <v>1.3361719155650353E-2</v>
      </c>
      <c r="AF2" s="33">
        <v>2.0354574616795535E-2</v>
      </c>
      <c r="AG2" s="33">
        <v>3.1364870092051578E-2</v>
      </c>
      <c r="AH2" s="33">
        <v>4.7193500701541803E-2</v>
      </c>
      <c r="AI2" s="33">
        <v>6.8543034755084581E-2</v>
      </c>
      <c r="AJ2" s="33">
        <v>9.4824906074781945E-2</v>
      </c>
      <c r="AK2" s="33">
        <v>0.12335973910881073</v>
      </c>
      <c r="AL2" s="33">
        <v>0.14977094611276928</v>
      </c>
      <c r="AM2" s="33"/>
      <c r="AN2" s="36" t="s">
        <v>79</v>
      </c>
      <c r="AO2" s="37">
        <v>900</v>
      </c>
      <c r="AP2" s="72">
        <v>72.280912228360094</v>
      </c>
    </row>
    <row r="3" spans="1:42" x14ac:dyDescent="0.25">
      <c r="A3" s="39" t="s">
        <v>80</v>
      </c>
      <c r="B3" s="112">
        <v>901</v>
      </c>
      <c r="C3" s="38">
        <v>1270630.32</v>
      </c>
      <c r="D3" s="38">
        <v>1273304.2609999999</v>
      </c>
      <c r="F3" s="39" t="s">
        <v>80</v>
      </c>
      <c r="G3" s="37">
        <v>901</v>
      </c>
      <c r="H3" s="53">
        <v>10.584</v>
      </c>
      <c r="I3" s="33"/>
      <c r="J3" s="54" t="s">
        <v>370</v>
      </c>
      <c r="K3" s="55" t="s">
        <v>332</v>
      </c>
      <c r="L3" s="56">
        <v>2018</v>
      </c>
      <c r="M3" s="57">
        <v>98.6</v>
      </c>
      <c r="O3" s="33" t="s">
        <v>87</v>
      </c>
      <c r="P3" s="33">
        <v>1503</v>
      </c>
      <c r="Q3" s="33" t="s">
        <v>364</v>
      </c>
      <c r="R3" s="33">
        <v>4.5833652901049937E-3</v>
      </c>
      <c r="S3" s="33">
        <v>2.1384104802638486E-4</v>
      </c>
      <c r="T3" s="33">
        <v>1.1582614662382743E-4</v>
      </c>
      <c r="U3" s="33">
        <v>1.5622460612960332E-4</v>
      </c>
      <c r="V3" s="33">
        <v>3.7256781109773897E-4</v>
      </c>
      <c r="W3" s="33">
        <v>6.1178286592695021E-4</v>
      </c>
      <c r="X3" s="33">
        <v>7.1792009413980135E-4</v>
      </c>
      <c r="Y3" s="33">
        <v>8.240223157147099E-4</v>
      </c>
      <c r="Z3" s="33">
        <v>1.0541580790591112E-3</v>
      </c>
      <c r="AA3" s="33">
        <v>1.4935069533288043E-3</v>
      </c>
      <c r="AB3" s="33">
        <v>2.3201942247612645E-3</v>
      </c>
      <c r="AC3" s="33">
        <v>3.6909045538167321E-3</v>
      </c>
      <c r="AD3" s="33">
        <v>5.7282886002603412E-3</v>
      </c>
      <c r="AE3" s="33">
        <v>8.4887617222783474E-3</v>
      </c>
      <c r="AF3" s="33">
        <v>1.1809367637757506E-2</v>
      </c>
      <c r="AG3" s="33">
        <v>1.8654330347625234E-2</v>
      </c>
      <c r="AH3" s="33">
        <v>3.1295806715433264E-2</v>
      </c>
      <c r="AI3" s="33">
        <v>5.0721856657539491E-2</v>
      </c>
      <c r="AJ3" s="33">
        <v>7.7918994567870534E-2</v>
      </c>
      <c r="AK3" s="33">
        <v>0.11093276123007098</v>
      </c>
      <c r="AL3" s="33">
        <v>0.14373906931701821</v>
      </c>
      <c r="AM3" s="33"/>
      <c r="AN3" s="73" t="s">
        <v>565</v>
      </c>
      <c r="AO3" s="74">
        <v>1803</v>
      </c>
      <c r="AP3" s="75" t="s">
        <v>566</v>
      </c>
    </row>
    <row r="4" spans="1:42" x14ac:dyDescent="0.25">
      <c r="A4" s="39" t="s">
        <v>81</v>
      </c>
      <c r="B4" s="112">
        <v>902</v>
      </c>
      <c r="C4" s="38">
        <v>6442837.88500001</v>
      </c>
      <c r="D4" s="38">
        <v>6521494.4680000003</v>
      </c>
      <c r="F4" s="39" t="s">
        <v>81</v>
      </c>
      <c r="G4" s="37">
        <v>902</v>
      </c>
      <c r="H4" s="53">
        <v>20.067</v>
      </c>
      <c r="I4" s="33"/>
      <c r="J4" s="54" t="s">
        <v>371</v>
      </c>
      <c r="K4" s="55" t="s">
        <v>157</v>
      </c>
      <c r="L4" s="56">
        <v>2012</v>
      </c>
      <c r="M4" s="57">
        <v>96.8</v>
      </c>
      <c r="O4" s="33" t="s">
        <v>88</v>
      </c>
      <c r="P4" s="33">
        <v>1517</v>
      </c>
      <c r="Q4" s="33" t="s">
        <v>364</v>
      </c>
      <c r="R4" s="33">
        <v>2.7892342268321955E-2</v>
      </c>
      <c r="S4" s="33">
        <v>2.2805150738380532E-3</v>
      </c>
      <c r="T4" s="33">
        <v>9.0125705654810499E-4</v>
      </c>
      <c r="U4" s="33">
        <v>7.1921476619204745E-4</v>
      </c>
      <c r="V4" s="33">
        <v>1.0128379815579874E-3</v>
      </c>
      <c r="W4" s="33">
        <v>1.3685763093677829E-3</v>
      </c>
      <c r="X4" s="33">
        <v>1.5222642221323164E-3</v>
      </c>
      <c r="Y4" s="33">
        <v>1.8239228259339388E-3</v>
      </c>
      <c r="Z4" s="33">
        <v>2.374209398701495E-3</v>
      </c>
      <c r="AA4" s="33">
        <v>3.0108663000039011E-3</v>
      </c>
      <c r="AB4" s="33">
        <v>4.0571712571329729E-3</v>
      </c>
      <c r="AC4" s="33">
        <v>6.0855736003105126E-3</v>
      </c>
      <c r="AD4" s="33">
        <v>9.4579081812374167E-3</v>
      </c>
      <c r="AE4" s="33">
        <v>1.4537058661818451E-2</v>
      </c>
      <c r="AF4" s="33">
        <v>2.3077558146685932E-2</v>
      </c>
      <c r="AG4" s="33">
        <v>3.617202023283226E-2</v>
      </c>
      <c r="AH4" s="33">
        <v>5.4423058274659826E-2</v>
      </c>
      <c r="AI4" s="33">
        <v>7.8485026849965597E-2</v>
      </c>
      <c r="AJ4" s="33">
        <v>0.10690576012549391</v>
      </c>
      <c r="AK4" s="33">
        <v>0.13585770385231349</v>
      </c>
      <c r="AL4" s="33">
        <v>0.16046812198406057</v>
      </c>
      <c r="AM4" s="33"/>
      <c r="AN4" s="39" t="s">
        <v>80</v>
      </c>
      <c r="AO4" s="37">
        <v>901</v>
      </c>
      <c r="AP4" s="72">
        <v>79.244770439494204</v>
      </c>
    </row>
    <row r="5" spans="1:42" x14ac:dyDescent="0.25">
      <c r="A5" s="39" t="s">
        <v>82</v>
      </c>
      <c r="B5" s="112">
        <v>941</v>
      </c>
      <c r="C5" s="38">
        <v>1033388.868</v>
      </c>
      <c r="D5" s="38">
        <v>1057438.1629999999</v>
      </c>
      <c r="F5" s="39" t="s">
        <v>82</v>
      </c>
      <c r="G5" s="37">
        <v>941</v>
      </c>
      <c r="H5" s="53">
        <v>31.614000000000001</v>
      </c>
      <c r="I5" s="33"/>
      <c r="J5" s="54" t="s">
        <v>372</v>
      </c>
      <c r="K5" s="55" t="s">
        <v>122</v>
      </c>
      <c r="L5" s="56">
        <v>2016</v>
      </c>
      <c r="M5" s="57">
        <v>45.6</v>
      </c>
      <c r="O5" s="33" t="s">
        <v>89</v>
      </c>
      <c r="P5" s="33">
        <v>1502</v>
      </c>
      <c r="Q5" s="33" t="s">
        <v>364</v>
      </c>
      <c r="R5" s="33">
        <v>1.2369904867525037E-2</v>
      </c>
      <c r="S5" s="33">
        <v>6.1169458090325505E-4</v>
      </c>
      <c r="T5" s="33">
        <v>3.3474604058723878E-4</v>
      </c>
      <c r="U5" s="33">
        <v>3.3918250452861864E-4</v>
      </c>
      <c r="V5" s="33">
        <v>5.8722425449930218E-4</v>
      </c>
      <c r="W5" s="33">
        <v>8.8439912209231967E-4</v>
      </c>
      <c r="X5" s="33">
        <v>1.0509016865671115E-3</v>
      </c>
      <c r="Y5" s="33">
        <v>1.3265247803204768E-3</v>
      </c>
      <c r="Z5" s="33">
        <v>1.7587935413500742E-3</v>
      </c>
      <c r="AA5" s="33">
        <v>2.2157215519065885E-3</v>
      </c>
      <c r="AB5" s="33">
        <v>2.9632479469167464E-3</v>
      </c>
      <c r="AC5" s="33">
        <v>4.4966146987399161E-3</v>
      </c>
      <c r="AD5" s="33">
        <v>7.2855076271117463E-3</v>
      </c>
      <c r="AE5" s="33">
        <v>1.1949711578046984E-2</v>
      </c>
      <c r="AF5" s="33">
        <v>1.9980189183865203E-2</v>
      </c>
      <c r="AG5" s="33">
        <v>3.2344897650078787E-2</v>
      </c>
      <c r="AH5" s="33">
        <v>4.9772726182922979E-2</v>
      </c>
      <c r="AI5" s="33">
        <v>7.344352680220638E-2</v>
      </c>
      <c r="AJ5" s="33">
        <v>0.10225787218519991</v>
      </c>
      <c r="AK5" s="33">
        <v>0.1324158171752316</v>
      </c>
      <c r="AL5" s="33">
        <v>0.15854111108049815</v>
      </c>
      <c r="AM5" s="33"/>
      <c r="AN5" s="39" t="s">
        <v>81</v>
      </c>
      <c r="AO5" s="37">
        <v>902</v>
      </c>
      <c r="AP5" s="72">
        <v>70.695990152062706</v>
      </c>
    </row>
    <row r="6" spans="1:42" x14ac:dyDescent="0.25">
      <c r="A6" s="39" t="s">
        <v>83</v>
      </c>
      <c r="B6" s="112">
        <v>934</v>
      </c>
      <c r="C6" s="38">
        <v>5409449.017</v>
      </c>
      <c r="D6" s="38">
        <v>5464056.3049999997</v>
      </c>
      <c r="F6" s="39" t="s">
        <v>83</v>
      </c>
      <c r="G6" s="37">
        <v>934</v>
      </c>
      <c r="H6" s="53">
        <v>17.899000000000001</v>
      </c>
      <c r="I6" s="33"/>
      <c r="J6" s="54" t="s">
        <v>373</v>
      </c>
      <c r="K6" s="55" t="s">
        <v>262</v>
      </c>
      <c r="L6" s="56">
        <v>2013</v>
      </c>
      <c r="M6" s="57">
        <v>99.3</v>
      </c>
      <c r="O6" s="33" t="s">
        <v>90</v>
      </c>
      <c r="P6" s="33">
        <v>1501</v>
      </c>
      <c r="Q6" s="33" t="s">
        <v>364</v>
      </c>
      <c r="R6" s="33">
        <v>3.6671748908611045E-2</v>
      </c>
      <c r="S6" s="33">
        <v>3.2483183336023524E-3</v>
      </c>
      <c r="T6" s="33">
        <v>1.2546830993153775E-3</v>
      </c>
      <c r="U6" s="33">
        <v>9.41838311133782E-4</v>
      </c>
      <c r="V6" s="33">
        <v>1.2743775288151025E-3</v>
      </c>
      <c r="W6" s="33">
        <v>1.6957282387010351E-3</v>
      </c>
      <c r="X6" s="33">
        <v>1.9192451707892293E-3</v>
      </c>
      <c r="Y6" s="33">
        <v>2.2705322436803814E-3</v>
      </c>
      <c r="Z6" s="33">
        <v>2.9007910276559945E-3</v>
      </c>
      <c r="AA6" s="33">
        <v>3.8211979787095207E-3</v>
      </c>
      <c r="AB6" s="33">
        <v>5.4114390928589806E-3</v>
      </c>
      <c r="AC6" s="33">
        <v>8.1179135259144067E-3</v>
      </c>
      <c r="AD6" s="33">
        <v>1.2133924199399071E-2</v>
      </c>
      <c r="AE6" s="33">
        <v>1.8099455388140704E-2</v>
      </c>
      <c r="AF6" s="33">
        <v>2.7573044658375331E-2</v>
      </c>
      <c r="AG6" s="33">
        <v>4.16876671757807E-2</v>
      </c>
      <c r="AH6" s="33">
        <v>6.1345770270076698E-2</v>
      </c>
      <c r="AI6" s="33">
        <v>8.6334653851712698E-2</v>
      </c>
      <c r="AJ6" s="33">
        <v>0.11464345604662277</v>
      </c>
      <c r="AK6" s="33">
        <v>0.14223481938453511</v>
      </c>
      <c r="AL6" s="33">
        <v>0.16474877473178939</v>
      </c>
      <c r="AM6" s="33"/>
      <c r="AN6" s="39" t="s">
        <v>82</v>
      </c>
      <c r="AO6" s="37">
        <v>941</v>
      </c>
      <c r="AP6" s="72">
        <v>64.655603610354305</v>
      </c>
    </row>
    <row r="7" spans="1:42" x14ac:dyDescent="0.25">
      <c r="A7" s="39" t="s">
        <v>84</v>
      </c>
      <c r="B7" s="112">
        <v>948</v>
      </c>
      <c r="C7" s="38">
        <v>4977203.7089999998</v>
      </c>
      <c r="D7" s="38">
        <v>5050207.5889999997</v>
      </c>
      <c r="F7" s="39" t="s">
        <v>84</v>
      </c>
      <c r="G7" s="37">
        <v>948</v>
      </c>
      <c r="H7" s="53">
        <v>22.516999999999999</v>
      </c>
      <c r="I7" s="33"/>
      <c r="J7" s="54" t="s">
        <v>374</v>
      </c>
      <c r="K7" s="55" t="s">
        <v>165</v>
      </c>
      <c r="L7" s="56">
        <v>2016</v>
      </c>
      <c r="M7" s="57">
        <v>99.3</v>
      </c>
      <c r="O7" s="33" t="s">
        <v>91</v>
      </c>
      <c r="P7" s="33">
        <v>1500</v>
      </c>
      <c r="Q7" s="33" t="s">
        <v>364</v>
      </c>
      <c r="R7" s="33">
        <v>4.8050480267540989E-2</v>
      </c>
      <c r="S7" s="33">
        <v>6.0082533061702687E-3</v>
      </c>
      <c r="T7" s="33">
        <v>2.1335750547001996E-3</v>
      </c>
      <c r="U7" s="33">
        <v>1.4810974546813863E-3</v>
      </c>
      <c r="V7" s="33">
        <v>1.9924721250634495E-3</v>
      </c>
      <c r="W7" s="33">
        <v>2.7472166043275839E-3</v>
      </c>
      <c r="X7" s="33">
        <v>3.3365222069854077E-3</v>
      </c>
      <c r="Y7" s="33">
        <v>3.9630898570998992E-3</v>
      </c>
      <c r="Z7" s="33">
        <v>4.8220986565936184E-3</v>
      </c>
      <c r="AA7" s="33">
        <v>5.7822211925233772E-3</v>
      </c>
      <c r="AB7" s="33">
        <v>7.0823692749605125E-3</v>
      </c>
      <c r="AC7" s="33">
        <v>9.3590627395374014E-3</v>
      </c>
      <c r="AD7" s="33">
        <v>1.3171313656494066E-2</v>
      </c>
      <c r="AE7" s="33">
        <v>1.9722657113220812E-2</v>
      </c>
      <c r="AF7" s="33">
        <v>3.0023787589314104E-2</v>
      </c>
      <c r="AG7" s="33">
        <v>4.6261712358222351E-2</v>
      </c>
      <c r="AH7" s="33">
        <v>6.9584318978128792E-2</v>
      </c>
      <c r="AI7" s="33">
        <v>9.8672795058997009E-2</v>
      </c>
      <c r="AJ7" s="33">
        <v>0.12977791944378247</v>
      </c>
      <c r="AK7" s="33">
        <v>0.15711385017874055</v>
      </c>
      <c r="AL7" s="33">
        <v>0.17643397780622921</v>
      </c>
      <c r="AM7" s="33"/>
      <c r="AN7" s="39" t="s">
        <v>83</v>
      </c>
      <c r="AO7" s="37">
        <v>934</v>
      </c>
      <c r="AP7" s="72">
        <v>71.952613725974203</v>
      </c>
    </row>
    <row r="8" spans="1:42" x14ac:dyDescent="0.25">
      <c r="A8" s="39" t="s">
        <v>85</v>
      </c>
      <c r="B8" s="112">
        <v>1636</v>
      </c>
      <c r="C8" s="38">
        <v>520972.69099999999</v>
      </c>
      <c r="D8" s="38">
        <v>533143.39800000004</v>
      </c>
      <c r="F8" s="39" t="s">
        <v>85</v>
      </c>
      <c r="G8" s="37">
        <v>1636</v>
      </c>
      <c r="H8" s="53">
        <v>31.541</v>
      </c>
      <c r="I8" s="33"/>
      <c r="J8" s="54" t="s">
        <v>375</v>
      </c>
      <c r="K8" s="55" t="s">
        <v>277</v>
      </c>
      <c r="L8" s="56">
        <v>2013</v>
      </c>
      <c r="M8" s="57">
        <v>99.3</v>
      </c>
      <c r="O8" s="33" t="s">
        <v>92</v>
      </c>
      <c r="P8" s="33">
        <v>1518</v>
      </c>
      <c r="Q8" s="33" t="s">
        <v>364</v>
      </c>
      <c r="R8" s="33">
        <v>1.0515325447509967E-2</v>
      </c>
      <c r="S8" s="33">
        <v>4.88807571083661E-4</v>
      </c>
      <c r="T8" s="33">
        <v>2.3365341006319491E-4</v>
      </c>
      <c r="U8" s="33">
        <v>2.4328149887391796E-4</v>
      </c>
      <c r="V8" s="33">
        <v>4.924978127960471E-4</v>
      </c>
      <c r="W8" s="33">
        <v>7.1791771658281348E-4</v>
      </c>
      <c r="X8" s="33">
        <v>8.3915119571002555E-4</v>
      </c>
      <c r="Y8" s="33">
        <v>1.0273361239669021E-3</v>
      </c>
      <c r="Z8" s="33">
        <v>1.3813014098214063E-3</v>
      </c>
      <c r="AA8" s="33">
        <v>2.0603847436593244E-3</v>
      </c>
      <c r="AB8" s="33">
        <v>2.9329262785325249E-3</v>
      </c>
      <c r="AC8" s="33">
        <v>4.1511193570783148E-3</v>
      </c>
      <c r="AD8" s="33">
        <v>6.2642371872869721E-3</v>
      </c>
      <c r="AE8" s="33">
        <v>9.7096389425533995E-3</v>
      </c>
      <c r="AF8" s="33">
        <v>1.4534975393412171E-2</v>
      </c>
      <c r="AG8" s="33">
        <v>2.228216589860136E-2</v>
      </c>
      <c r="AH8" s="33">
        <v>3.3995055619909231E-2</v>
      </c>
      <c r="AI8" s="33">
        <v>5.0564871562988986E-2</v>
      </c>
      <c r="AJ8" s="33">
        <v>7.2519155171485938E-2</v>
      </c>
      <c r="AK8" s="33">
        <v>9.8999623875878184E-2</v>
      </c>
      <c r="AL8" s="33">
        <v>0.12712222966119255</v>
      </c>
      <c r="AM8" s="33"/>
      <c r="AN8" s="39" t="s">
        <v>84</v>
      </c>
      <c r="AO8" s="37">
        <v>948</v>
      </c>
      <c r="AP8" s="72">
        <v>69.073329161411294</v>
      </c>
    </row>
    <row r="9" spans="1:42" x14ac:dyDescent="0.25">
      <c r="A9" s="39" t="s">
        <v>86</v>
      </c>
      <c r="B9" s="112">
        <v>1637</v>
      </c>
      <c r="C9" s="38">
        <v>71428.827000000005</v>
      </c>
      <c r="D9" s="38">
        <v>72076.097999999998</v>
      </c>
      <c r="F9" s="39" t="s">
        <v>86</v>
      </c>
      <c r="G9" s="37">
        <v>1637</v>
      </c>
      <c r="H9" s="53">
        <v>18.456</v>
      </c>
      <c r="I9" s="33"/>
      <c r="J9" s="54" t="s">
        <v>376</v>
      </c>
      <c r="K9" s="55" t="s">
        <v>349</v>
      </c>
      <c r="L9" s="56">
        <v>2014</v>
      </c>
      <c r="M9" s="57">
        <v>98.5</v>
      </c>
      <c r="O9" s="33" t="s">
        <v>93</v>
      </c>
      <c r="P9" s="33">
        <v>903</v>
      </c>
      <c r="Q9" s="33" t="s">
        <v>364</v>
      </c>
      <c r="R9" s="33">
        <v>4.7455273234071067E-2</v>
      </c>
      <c r="S9" s="33">
        <v>6.2004580033238679E-3</v>
      </c>
      <c r="T9" s="33">
        <v>2.4886447207591632E-3</v>
      </c>
      <c r="U9" s="33">
        <v>1.7769477892006389E-3</v>
      </c>
      <c r="V9" s="33">
        <v>2.279507936669695E-3</v>
      </c>
      <c r="W9" s="33">
        <v>3.0734113955929983E-3</v>
      </c>
      <c r="X9" s="33">
        <v>3.6124195285612672E-3</v>
      </c>
      <c r="Y9" s="33">
        <v>4.2361562653976687E-3</v>
      </c>
      <c r="Z9" s="33">
        <v>5.1278541853171083E-3</v>
      </c>
      <c r="AA9" s="33">
        <v>6.1869001623856149E-3</v>
      </c>
      <c r="AB9" s="33">
        <v>7.6942636889903741E-3</v>
      </c>
      <c r="AC9" s="33">
        <v>1.0053756593651866E-2</v>
      </c>
      <c r="AD9" s="33">
        <v>1.3735042014931448E-2</v>
      </c>
      <c r="AE9" s="33">
        <v>2.0013309492532352E-2</v>
      </c>
      <c r="AF9" s="33">
        <v>3.0610018214953367E-2</v>
      </c>
      <c r="AG9" s="33">
        <v>4.7209695375048058E-2</v>
      </c>
      <c r="AH9" s="33">
        <v>7.0690505740753126E-2</v>
      </c>
      <c r="AI9" s="33">
        <v>9.9785626989452231E-2</v>
      </c>
      <c r="AJ9" s="33">
        <v>0.13069504105828619</v>
      </c>
      <c r="AK9" s="33">
        <v>0.15770803796470736</v>
      </c>
      <c r="AL9" s="33">
        <v>0.17673441625434591</v>
      </c>
      <c r="AM9" s="33"/>
      <c r="AN9" s="39" t="s">
        <v>85</v>
      </c>
      <c r="AO9" s="37">
        <v>1636</v>
      </c>
      <c r="AP9" s="72">
        <v>65.227573400222795</v>
      </c>
    </row>
    <row r="10" spans="1:42" x14ac:dyDescent="0.25">
      <c r="A10" s="39" t="s">
        <v>87</v>
      </c>
      <c r="B10" s="112">
        <v>1503</v>
      </c>
      <c r="C10" s="38">
        <v>1258043.4839999999</v>
      </c>
      <c r="D10" s="38">
        <v>1263092.9339999999</v>
      </c>
      <c r="F10" s="39" t="s">
        <v>87</v>
      </c>
      <c r="G10" s="37">
        <v>1503</v>
      </c>
      <c r="H10" s="53">
        <v>10.821</v>
      </c>
      <c r="I10" s="33"/>
      <c r="J10" s="54" t="s">
        <v>377</v>
      </c>
      <c r="K10" s="55" t="s">
        <v>166</v>
      </c>
      <c r="L10" s="56">
        <v>2013</v>
      </c>
      <c r="M10" s="57">
        <v>95.7</v>
      </c>
      <c r="O10" s="33" t="s">
        <v>94</v>
      </c>
      <c r="P10" s="33">
        <v>935</v>
      </c>
      <c r="Q10" s="33" t="s">
        <v>364</v>
      </c>
      <c r="R10" s="33">
        <v>2.4925066190945946E-2</v>
      </c>
      <c r="S10" s="33">
        <v>1.4901036232516695E-3</v>
      </c>
      <c r="T10" s="33">
        <v>5.8272721287748615E-4</v>
      </c>
      <c r="U10" s="33">
        <v>5.0449739415668095E-4</v>
      </c>
      <c r="V10" s="33">
        <v>7.5975210623642139E-4</v>
      </c>
      <c r="W10" s="33">
        <v>1.0355250531240054E-3</v>
      </c>
      <c r="X10" s="33">
        <v>1.1591771029828618E-3</v>
      </c>
      <c r="Y10" s="33">
        <v>1.4006367581510725E-3</v>
      </c>
      <c r="Z10" s="33">
        <v>1.8730209467296946E-3</v>
      </c>
      <c r="AA10" s="33">
        <v>2.4767217842819565E-3</v>
      </c>
      <c r="AB10" s="33">
        <v>3.4996541818517126E-3</v>
      </c>
      <c r="AC10" s="33">
        <v>5.4334047630719817E-3</v>
      </c>
      <c r="AD10" s="33">
        <v>8.6343226231524357E-3</v>
      </c>
      <c r="AE10" s="33">
        <v>1.3529092928290045E-2</v>
      </c>
      <c r="AF10" s="33">
        <v>2.1690947556115926E-2</v>
      </c>
      <c r="AG10" s="33">
        <v>3.4083004606638746E-2</v>
      </c>
      <c r="AH10" s="33">
        <v>5.1187544623839946E-2</v>
      </c>
      <c r="AI10" s="33">
        <v>7.3947790274056416E-2</v>
      </c>
      <c r="AJ10" s="33">
        <v>0.10133862824047379</v>
      </c>
      <c r="AK10" s="33">
        <v>0.13009719955474577</v>
      </c>
      <c r="AL10" s="33">
        <v>0.15557405880000999</v>
      </c>
      <c r="AM10" s="33"/>
      <c r="AN10" s="39" t="s">
        <v>86</v>
      </c>
      <c r="AO10" s="37">
        <v>1637</v>
      </c>
      <c r="AP10" s="72">
        <v>72.115681885552306</v>
      </c>
    </row>
    <row r="11" spans="1:42" x14ac:dyDescent="0.25">
      <c r="A11" s="39" t="s">
        <v>88</v>
      </c>
      <c r="B11" s="112">
        <v>1517</v>
      </c>
      <c r="C11" s="38">
        <v>5696667.3140000002</v>
      </c>
      <c r="D11" s="38">
        <v>5753051.6150000002</v>
      </c>
      <c r="F11" s="39" t="s">
        <v>88</v>
      </c>
      <c r="G11" s="37">
        <v>1517</v>
      </c>
      <c r="H11" s="53">
        <v>18.111000000000001</v>
      </c>
      <c r="I11" s="33"/>
      <c r="J11" s="54" t="s">
        <v>378</v>
      </c>
      <c r="K11" s="55" t="s">
        <v>167</v>
      </c>
      <c r="L11" s="56">
        <v>2008</v>
      </c>
      <c r="M11" s="57">
        <v>97.5</v>
      </c>
      <c r="O11" s="33" t="s">
        <v>95</v>
      </c>
      <c r="P11" s="33">
        <v>908</v>
      </c>
      <c r="Q11" s="33" t="s">
        <v>364</v>
      </c>
      <c r="R11" s="33">
        <v>4.1667084989900471E-3</v>
      </c>
      <c r="S11" s="33">
        <v>2.1324507540226989E-4</v>
      </c>
      <c r="T11" s="33">
        <v>1.1401282544049505E-4</v>
      </c>
      <c r="U11" s="33">
        <v>1.4876870084763228E-4</v>
      </c>
      <c r="V11" s="33">
        <v>3.1328174795831177E-4</v>
      </c>
      <c r="W11" s="33">
        <v>5.3542155418565527E-4</v>
      </c>
      <c r="X11" s="33">
        <v>8.4149167953037553E-4</v>
      </c>
      <c r="Y11" s="33">
        <v>1.299629325409714E-3</v>
      </c>
      <c r="Z11" s="33">
        <v>1.7837894869022757E-3</v>
      </c>
      <c r="AA11" s="33">
        <v>2.3590362247742623E-3</v>
      </c>
      <c r="AB11" s="33">
        <v>3.2475877990262121E-3</v>
      </c>
      <c r="AC11" s="33">
        <v>4.9214090227037138E-3</v>
      </c>
      <c r="AD11" s="33">
        <v>7.6775867797023757E-3</v>
      </c>
      <c r="AE11" s="33">
        <v>1.1344276771102803E-2</v>
      </c>
      <c r="AF11" s="33">
        <v>1.5173701417371104E-2</v>
      </c>
      <c r="AG11" s="33">
        <v>2.3203216289122499E-2</v>
      </c>
      <c r="AH11" s="33">
        <v>3.7716577624903866E-2</v>
      </c>
      <c r="AI11" s="33">
        <v>5.902844843742254E-2</v>
      </c>
      <c r="AJ11" s="33">
        <v>8.7322850999950311E-2</v>
      </c>
      <c r="AK11" s="33">
        <v>0.11970771216416264</v>
      </c>
      <c r="AL11" s="33">
        <v>0.15008359700200657</v>
      </c>
      <c r="AM11" s="33"/>
      <c r="AN11" s="73" t="s">
        <v>567</v>
      </c>
      <c r="AO11" s="74">
        <v>1802</v>
      </c>
      <c r="AP11" s="75" t="s">
        <v>566</v>
      </c>
    </row>
    <row r="12" spans="1:42" x14ac:dyDescent="0.25">
      <c r="A12" s="39" t="s">
        <v>89</v>
      </c>
      <c r="B12" s="112">
        <v>1502</v>
      </c>
      <c r="C12" s="38">
        <v>2638958.4300000002</v>
      </c>
      <c r="D12" s="38">
        <v>2654816.3309999998</v>
      </c>
      <c r="F12" s="39" t="s">
        <v>89</v>
      </c>
      <c r="G12" s="37">
        <v>1502</v>
      </c>
      <c r="H12" s="53">
        <v>14.052</v>
      </c>
      <c r="I12" s="33"/>
      <c r="J12" s="54" t="s">
        <v>379</v>
      </c>
      <c r="K12" s="55" t="s">
        <v>192</v>
      </c>
      <c r="L12" s="56">
        <v>2019</v>
      </c>
      <c r="M12" s="57">
        <v>53.4</v>
      </c>
      <c r="O12" s="33" t="s">
        <v>96</v>
      </c>
      <c r="P12" s="33">
        <v>904</v>
      </c>
      <c r="Q12" s="33" t="s">
        <v>364</v>
      </c>
      <c r="R12" s="33">
        <v>1.5453585898541932E-2</v>
      </c>
      <c r="S12" s="33">
        <v>9.169609801595337E-4</v>
      </c>
      <c r="T12" s="33">
        <v>3.7146309420652262E-4</v>
      </c>
      <c r="U12" s="33">
        <v>4.3309962151758051E-4</v>
      </c>
      <c r="V12" s="33">
        <v>9.6396757058232209E-4</v>
      </c>
      <c r="W12" s="33">
        <v>1.508616626836039E-3</v>
      </c>
      <c r="X12" s="33">
        <v>1.6964239641074745E-3</v>
      </c>
      <c r="Y12" s="33">
        <v>1.8614175656294458E-3</v>
      </c>
      <c r="Z12" s="33">
        <v>2.2011972438902463E-3</v>
      </c>
      <c r="AA12" s="33">
        <v>2.8077455551355208E-3</v>
      </c>
      <c r="AB12" s="33">
        <v>3.9136101753235713E-3</v>
      </c>
      <c r="AC12" s="33">
        <v>5.6625753206651303E-3</v>
      </c>
      <c r="AD12" s="33">
        <v>8.3115531026180696E-3</v>
      </c>
      <c r="AE12" s="33">
        <v>1.2418093799390708E-2</v>
      </c>
      <c r="AF12" s="33">
        <v>1.8321456474721186E-2</v>
      </c>
      <c r="AG12" s="33">
        <v>2.7530357003697416E-2</v>
      </c>
      <c r="AH12" s="33">
        <v>4.132008792196136E-2</v>
      </c>
      <c r="AI12" s="33">
        <v>6.0204599725350312E-2</v>
      </c>
      <c r="AJ12" s="33">
        <v>8.4166873268793546E-2</v>
      </c>
      <c r="AK12" s="33">
        <v>0.11150505119055561</v>
      </c>
      <c r="AL12" s="33">
        <v>0.13865091836820378</v>
      </c>
      <c r="AM12" s="33"/>
      <c r="AN12" s="39" t="s">
        <v>87</v>
      </c>
      <c r="AO12" s="37">
        <v>1503</v>
      </c>
      <c r="AP12" s="72">
        <v>80.872603705842906</v>
      </c>
    </row>
    <row r="13" spans="1:42" x14ac:dyDescent="0.25">
      <c r="A13" s="39" t="s">
        <v>90</v>
      </c>
      <c r="B13" s="112">
        <v>1501</v>
      </c>
      <c r="C13" s="38">
        <v>3057708.8840000001</v>
      </c>
      <c r="D13" s="38">
        <v>3098235.284</v>
      </c>
      <c r="F13" s="39" t="s">
        <v>90</v>
      </c>
      <c r="G13" s="37">
        <v>1501</v>
      </c>
      <c r="H13" s="53">
        <v>21.649000000000001</v>
      </c>
      <c r="I13" s="33"/>
      <c r="J13" s="54" t="s">
        <v>380</v>
      </c>
      <c r="K13" s="55" t="s">
        <v>228</v>
      </c>
      <c r="L13" s="56">
        <v>2012</v>
      </c>
      <c r="M13" s="57">
        <v>100</v>
      </c>
      <c r="O13" s="33" t="s">
        <v>97</v>
      </c>
      <c r="P13" s="33">
        <v>905</v>
      </c>
      <c r="Q13" s="33" t="s">
        <v>364</v>
      </c>
      <c r="R13" s="33">
        <v>5.7003184219919789E-3</v>
      </c>
      <c r="S13" s="33">
        <v>2.4811007596069315E-4</v>
      </c>
      <c r="T13" s="33">
        <v>1.1478211242578045E-4</v>
      </c>
      <c r="U13" s="33">
        <v>1.6676765829122737E-4</v>
      </c>
      <c r="V13" s="33">
        <v>4.9889429357727853E-4</v>
      </c>
      <c r="W13" s="33">
        <v>9.2693659636623922E-4</v>
      </c>
      <c r="X13" s="33">
        <v>1.176828541766692E-3</v>
      </c>
      <c r="Y13" s="33">
        <v>1.3759033905551101E-3</v>
      </c>
      <c r="Z13" s="33">
        <v>1.6351412261359798E-3</v>
      </c>
      <c r="AA13" s="33">
        <v>2.0712170590123087E-3</v>
      </c>
      <c r="AB13" s="33">
        <v>3.0179049378580339E-3</v>
      </c>
      <c r="AC13" s="33">
        <v>4.6833985156998102E-3</v>
      </c>
      <c r="AD13" s="33">
        <v>7.0151359921173263E-3</v>
      </c>
      <c r="AE13" s="33">
        <v>9.9252256675063221E-3</v>
      </c>
      <c r="AF13" s="33">
        <v>1.3656284778107869E-2</v>
      </c>
      <c r="AG13" s="33">
        <v>2.0982988197281373E-2</v>
      </c>
      <c r="AH13" s="33">
        <v>3.373937180269581E-2</v>
      </c>
      <c r="AI13" s="33">
        <v>5.2554998599862235E-2</v>
      </c>
      <c r="AJ13" s="33">
        <v>7.8071852833879435E-2</v>
      </c>
      <c r="AK13" s="33">
        <v>0.10862422021249125</v>
      </c>
      <c r="AL13" s="33">
        <v>0.13945387231325954</v>
      </c>
      <c r="AM13" s="33"/>
      <c r="AN13" s="39" t="s">
        <v>88</v>
      </c>
      <c r="AO13" s="37">
        <v>1517</v>
      </c>
      <c r="AP13" s="72">
        <v>71.432428947554001</v>
      </c>
    </row>
    <row r="14" spans="1:42" x14ac:dyDescent="0.25">
      <c r="A14" s="39" t="s">
        <v>91</v>
      </c>
      <c r="B14" s="112">
        <v>1500</v>
      </c>
      <c r="C14" s="38">
        <v>755849.74100000004</v>
      </c>
      <c r="D14" s="38">
        <v>775710.61199999996</v>
      </c>
      <c r="F14" s="39" t="s">
        <v>91</v>
      </c>
      <c r="G14" s="37">
        <v>1500</v>
      </c>
      <c r="H14" s="53">
        <v>34.491</v>
      </c>
      <c r="I14" s="33"/>
      <c r="J14" s="54" t="s">
        <v>381</v>
      </c>
      <c r="K14" s="55" t="s">
        <v>307</v>
      </c>
      <c r="L14" s="56">
        <v>2012</v>
      </c>
      <c r="M14" s="57">
        <v>99.9</v>
      </c>
      <c r="O14" s="33" t="s">
        <v>98</v>
      </c>
      <c r="P14" s="33">
        <v>909</v>
      </c>
      <c r="Q14" s="33" t="s">
        <v>364</v>
      </c>
      <c r="R14" s="33">
        <v>1.7962094565589941E-2</v>
      </c>
      <c r="S14" s="33">
        <v>1.1575509901864795E-3</v>
      </c>
      <c r="T14" s="33">
        <v>4.5440005720444744E-4</v>
      </c>
      <c r="U14" s="33">
        <v>4.3540384398287014E-4</v>
      </c>
      <c r="V14" s="33">
        <v>7.5245339474379488E-4</v>
      </c>
      <c r="W14" s="33">
        <v>9.8546995733202127E-4</v>
      </c>
      <c r="X14" s="33">
        <v>1.0098557780099254E-3</v>
      </c>
      <c r="Y14" s="33">
        <v>1.1520544808915213E-3</v>
      </c>
      <c r="Z14" s="33">
        <v>1.4980404080947155E-3</v>
      </c>
      <c r="AA14" s="33">
        <v>1.9714310793583537E-3</v>
      </c>
      <c r="AB14" s="33">
        <v>2.7152340853780644E-3</v>
      </c>
      <c r="AC14" s="33">
        <v>3.842305149775E-3</v>
      </c>
      <c r="AD14" s="33">
        <v>5.5341788302036479E-3</v>
      </c>
      <c r="AE14" s="33">
        <v>8.3977666151052489E-3</v>
      </c>
      <c r="AF14" s="33">
        <v>1.2169368127479105E-2</v>
      </c>
      <c r="AG14" s="33">
        <v>1.9262023693073477E-2</v>
      </c>
      <c r="AH14" s="33">
        <v>3.2278091084471897E-2</v>
      </c>
      <c r="AI14" s="33">
        <v>5.2198282251391247E-2</v>
      </c>
      <c r="AJ14" s="33">
        <v>7.9895142445371714E-2</v>
      </c>
      <c r="AK14" s="33">
        <v>0.11315841099028683</v>
      </c>
      <c r="AL14" s="33">
        <v>0.14573084405349926</v>
      </c>
      <c r="AM14" s="33"/>
      <c r="AN14" s="39" t="s">
        <v>89</v>
      </c>
      <c r="AO14" s="37">
        <v>1502</v>
      </c>
      <c r="AP14" s="72">
        <v>75.485344573721406</v>
      </c>
    </row>
    <row r="15" spans="1:42" x14ac:dyDescent="0.25">
      <c r="A15" s="39" t="s">
        <v>92</v>
      </c>
      <c r="B15" s="112">
        <v>1518</v>
      </c>
      <c r="C15" s="38">
        <v>2907.6660000000002</v>
      </c>
      <c r="D15" s="38">
        <v>2943.5680000000002</v>
      </c>
      <c r="F15" s="39" t="s">
        <v>92</v>
      </c>
      <c r="G15" s="37">
        <v>1518</v>
      </c>
      <c r="H15" s="53">
        <v>17.021999999999998</v>
      </c>
      <c r="I15" s="33"/>
      <c r="J15" s="54" t="s">
        <v>382</v>
      </c>
      <c r="K15" s="55" t="s">
        <v>253</v>
      </c>
      <c r="L15" s="56">
        <v>2016</v>
      </c>
      <c r="M15" s="57">
        <v>96.4</v>
      </c>
      <c r="O15" s="33" t="s">
        <v>99</v>
      </c>
      <c r="P15" s="33">
        <v>947</v>
      </c>
      <c r="Q15" s="33" t="s">
        <v>364</v>
      </c>
      <c r="R15" s="33">
        <v>5.1469209572865951E-2</v>
      </c>
      <c r="S15" s="33">
        <v>6.9165760390600614E-3</v>
      </c>
      <c r="T15" s="33">
        <v>2.8093193866613668E-3</v>
      </c>
      <c r="U15" s="33">
        <v>1.9680874603748792E-3</v>
      </c>
      <c r="V15" s="33">
        <v>2.5496521654583696E-3</v>
      </c>
      <c r="W15" s="33">
        <v>3.49931837036444E-3</v>
      </c>
      <c r="X15" s="33">
        <v>4.1974811086308607E-3</v>
      </c>
      <c r="Y15" s="33">
        <v>5.0046329703803492E-3</v>
      </c>
      <c r="Z15" s="33">
        <v>6.1026273370581923E-3</v>
      </c>
      <c r="AA15" s="33">
        <v>7.3012025929265851E-3</v>
      </c>
      <c r="AB15" s="33">
        <v>8.8928713605534501E-3</v>
      </c>
      <c r="AC15" s="33">
        <v>1.1440401717515331E-2</v>
      </c>
      <c r="AD15" s="33">
        <v>1.5490497751846823E-2</v>
      </c>
      <c r="AE15" s="33">
        <v>2.2399364668256466E-2</v>
      </c>
      <c r="AF15" s="33">
        <v>3.36637434557399E-2</v>
      </c>
      <c r="AG15" s="33">
        <v>5.1535779276603216E-2</v>
      </c>
      <c r="AH15" s="33">
        <v>7.66454877726339E-2</v>
      </c>
      <c r="AI15" s="33">
        <v>0.10690450993101785</v>
      </c>
      <c r="AJ15" s="33">
        <v>0.13774668082205349</v>
      </c>
      <c r="AK15" s="33">
        <v>0.16330563115844501</v>
      </c>
      <c r="AL15" s="33">
        <v>0.18030771902154696</v>
      </c>
      <c r="AM15" s="33"/>
      <c r="AN15" s="39" t="s">
        <v>90</v>
      </c>
      <c r="AO15" s="37">
        <v>1501</v>
      </c>
      <c r="AP15" s="72">
        <v>68.107107165493005</v>
      </c>
    </row>
    <row r="16" spans="1:42" x14ac:dyDescent="0.25">
      <c r="A16" s="39" t="s">
        <v>93</v>
      </c>
      <c r="B16" s="112">
        <v>903</v>
      </c>
      <c r="C16" s="38">
        <v>1308064.176</v>
      </c>
      <c r="D16" s="38">
        <v>1340598.1129999999</v>
      </c>
      <c r="F16" s="39" t="s">
        <v>93</v>
      </c>
      <c r="G16" s="37">
        <v>903</v>
      </c>
      <c r="H16" s="53">
        <v>33.628</v>
      </c>
      <c r="I16" s="33"/>
      <c r="J16" s="54" t="s">
        <v>383</v>
      </c>
      <c r="K16" s="55" t="s">
        <v>138</v>
      </c>
      <c r="L16" s="56">
        <v>2018</v>
      </c>
      <c r="M16" s="57">
        <v>83.9</v>
      </c>
      <c r="O16" s="33" t="s">
        <v>100</v>
      </c>
      <c r="P16" s="33">
        <v>910</v>
      </c>
      <c r="Q16" s="33" t="s">
        <v>364</v>
      </c>
      <c r="R16" s="33">
        <v>4.2033765445589961E-2</v>
      </c>
      <c r="S16" s="33">
        <v>4.5667887597157005E-3</v>
      </c>
      <c r="T16" s="33">
        <v>1.7237070544741477E-3</v>
      </c>
      <c r="U16" s="33">
        <v>1.3180722690254907E-3</v>
      </c>
      <c r="V16" s="33">
        <v>1.7753093936709458E-3</v>
      </c>
      <c r="W16" s="33">
        <v>2.5260175524754432E-3</v>
      </c>
      <c r="X16" s="33">
        <v>3.2485644066837229E-3</v>
      </c>
      <c r="Y16" s="33">
        <v>4.1687160283159809E-3</v>
      </c>
      <c r="Z16" s="33">
        <v>5.3919656787313865E-3</v>
      </c>
      <c r="AA16" s="33">
        <v>6.6039017160345855E-3</v>
      </c>
      <c r="AB16" s="33">
        <v>8.0629443485747323E-3</v>
      </c>
      <c r="AC16" s="33">
        <v>1.0262211708114068E-2</v>
      </c>
      <c r="AD16" s="33">
        <v>1.3592134986824435E-2</v>
      </c>
      <c r="AE16" s="33">
        <v>1.950620360663027E-2</v>
      </c>
      <c r="AF16" s="33">
        <v>2.9206615091120946E-2</v>
      </c>
      <c r="AG16" s="33">
        <v>4.5015276701153926E-2</v>
      </c>
      <c r="AH16" s="33">
        <v>6.8224165739219328E-2</v>
      </c>
      <c r="AI16" s="33">
        <v>9.7436852777457311E-2</v>
      </c>
      <c r="AJ16" s="33">
        <v>0.12891767650432509</v>
      </c>
      <c r="AK16" s="33">
        <v>0.15671104204200706</v>
      </c>
      <c r="AL16" s="33">
        <v>0.1763522407712779</v>
      </c>
      <c r="AM16" s="33"/>
      <c r="AN16" s="39" t="s">
        <v>91</v>
      </c>
      <c r="AO16" s="37">
        <v>1500</v>
      </c>
      <c r="AP16" s="72">
        <v>63.442163164586397</v>
      </c>
    </row>
    <row r="17" spans="1:42" x14ac:dyDescent="0.25">
      <c r="A17" s="39" t="s">
        <v>94</v>
      </c>
      <c r="B17" s="112">
        <v>935</v>
      </c>
      <c r="C17" s="38">
        <v>4601371.2659999998</v>
      </c>
      <c r="D17" s="38">
        <v>4641054.7860000003</v>
      </c>
      <c r="F17" s="39" t="s">
        <v>94</v>
      </c>
      <c r="G17" s="37">
        <v>935</v>
      </c>
      <c r="H17" s="53">
        <v>16.428000000000001</v>
      </c>
      <c r="I17" s="33"/>
      <c r="J17" s="54" t="s">
        <v>384</v>
      </c>
      <c r="K17" s="55" t="s">
        <v>193</v>
      </c>
      <c r="L17" s="56">
        <v>2012</v>
      </c>
      <c r="M17" s="57">
        <v>73.8</v>
      </c>
      <c r="O17" s="33" t="s">
        <v>101</v>
      </c>
      <c r="P17" s="33">
        <v>108</v>
      </c>
      <c r="Q17" s="33" t="s">
        <v>364</v>
      </c>
      <c r="R17" s="33">
        <v>4.245322E-2</v>
      </c>
      <c r="S17" s="33">
        <v>5.2388458765429743E-3</v>
      </c>
      <c r="T17" s="33">
        <v>4.006474712416051E-3</v>
      </c>
      <c r="U17" s="33">
        <v>2.4991916576126484E-3</v>
      </c>
      <c r="V17" s="33">
        <v>2.9437964950105862E-3</v>
      </c>
      <c r="W17" s="33">
        <v>3.8451912617084071E-3</v>
      </c>
      <c r="X17" s="33">
        <v>4.6036661153950687E-3</v>
      </c>
      <c r="Y17" s="33">
        <v>5.6684137059228833E-3</v>
      </c>
      <c r="Z17" s="33">
        <v>7.1054044654335858E-3</v>
      </c>
      <c r="AA17" s="33">
        <v>7.8941964027643974E-3</v>
      </c>
      <c r="AB17" s="33">
        <v>8.5934741230756576E-3</v>
      </c>
      <c r="AC17" s="33">
        <v>1.0836939465032305E-2</v>
      </c>
      <c r="AD17" s="33">
        <v>1.4199740651491634E-2</v>
      </c>
      <c r="AE17" s="33">
        <v>2.0994713798631822E-2</v>
      </c>
      <c r="AF17" s="33">
        <v>3.1694349071188635E-2</v>
      </c>
      <c r="AG17" s="33">
        <v>4.8176649717086024E-2</v>
      </c>
      <c r="AH17" s="33">
        <v>7.1068723406333134E-2</v>
      </c>
      <c r="AI17" s="33">
        <v>0.10104282858093268</v>
      </c>
      <c r="AJ17" s="33">
        <v>0.13271945448202221</v>
      </c>
      <c r="AK17" s="33">
        <v>0.15908807736679403</v>
      </c>
      <c r="AL17" s="33">
        <v>0.17707971183175569</v>
      </c>
      <c r="AM17" s="33"/>
      <c r="AN17" s="39" t="s">
        <v>92</v>
      </c>
      <c r="AO17" s="37">
        <v>1518</v>
      </c>
      <c r="AP17" s="72">
        <v>79.279572648955906</v>
      </c>
    </row>
    <row r="18" spans="1:42" x14ac:dyDescent="0.25">
      <c r="A18" s="39" t="s">
        <v>95</v>
      </c>
      <c r="B18" s="112">
        <v>908</v>
      </c>
      <c r="C18" s="38">
        <v>747182.81499999994</v>
      </c>
      <c r="D18" s="38">
        <v>747636.04500000004</v>
      </c>
      <c r="F18" s="39" t="s">
        <v>95</v>
      </c>
      <c r="G18" s="37">
        <v>908</v>
      </c>
      <c r="H18" s="53">
        <v>10.423999999999999</v>
      </c>
      <c r="I18" s="33"/>
      <c r="J18" s="54" t="s">
        <v>385</v>
      </c>
      <c r="K18" s="55" t="s">
        <v>263</v>
      </c>
      <c r="L18" s="56">
        <v>2016</v>
      </c>
      <c r="M18" s="57">
        <v>87.7</v>
      </c>
      <c r="O18" s="33" t="s">
        <v>102</v>
      </c>
      <c r="P18" s="33">
        <v>174</v>
      </c>
      <c r="Q18" s="33" t="s">
        <v>364</v>
      </c>
      <c r="R18" s="33">
        <v>5.3117580000000018E-2</v>
      </c>
      <c r="S18" s="33">
        <v>4.4733246816431645E-3</v>
      </c>
      <c r="T18" s="33">
        <v>1.367968458423591E-3</v>
      </c>
      <c r="U18" s="33">
        <v>1.0731665348840088E-3</v>
      </c>
      <c r="V18" s="33">
        <v>1.7216025774921843E-3</v>
      </c>
      <c r="W18" s="33">
        <v>2.3973981604181061E-3</v>
      </c>
      <c r="X18" s="33">
        <v>2.6139796347828515E-3</v>
      </c>
      <c r="Y18" s="33">
        <v>2.993883306561577E-3</v>
      </c>
      <c r="Z18" s="33">
        <v>3.6980277228157348E-3</v>
      </c>
      <c r="AA18" s="33">
        <v>4.8596002026809627E-3</v>
      </c>
      <c r="AB18" s="33">
        <v>6.7645265277408743E-3</v>
      </c>
      <c r="AC18" s="33">
        <v>9.8107215788994246E-3</v>
      </c>
      <c r="AD18" s="33">
        <v>1.4404631742828257E-2</v>
      </c>
      <c r="AE18" s="33">
        <v>2.1682562096455023E-2</v>
      </c>
      <c r="AF18" s="33">
        <v>3.2718619887808872E-2</v>
      </c>
      <c r="AG18" s="33">
        <v>4.9782045329479753E-2</v>
      </c>
      <c r="AH18" s="33">
        <v>7.3859408421804468E-2</v>
      </c>
      <c r="AI18" s="33">
        <v>0.10484703295475105</v>
      </c>
      <c r="AJ18" s="33">
        <v>0.13712499271089665</v>
      </c>
      <c r="AK18" s="33">
        <v>0.16310819751122144</v>
      </c>
      <c r="AL18" s="33">
        <v>0.17969401756102807</v>
      </c>
      <c r="AM18" s="33"/>
      <c r="AN18" s="73" t="s">
        <v>568</v>
      </c>
      <c r="AO18" s="74">
        <v>1840</v>
      </c>
      <c r="AP18" s="75" t="s">
        <v>566</v>
      </c>
    </row>
    <row r="19" spans="1:42" x14ac:dyDescent="0.25">
      <c r="A19" s="39" t="s">
        <v>96</v>
      </c>
      <c r="B19" s="112">
        <v>904</v>
      </c>
      <c r="C19" s="38">
        <v>648120.95600000001</v>
      </c>
      <c r="D19" s="38">
        <v>653962.33200000005</v>
      </c>
      <c r="F19" s="39" t="s">
        <v>96</v>
      </c>
      <c r="G19" s="37">
        <v>904</v>
      </c>
      <c r="H19" s="53">
        <v>16.510000000000002</v>
      </c>
      <c r="I19" s="33"/>
      <c r="J19" s="54" t="s">
        <v>386</v>
      </c>
      <c r="K19" s="55" t="s">
        <v>334</v>
      </c>
      <c r="L19" s="56">
        <v>2012</v>
      </c>
      <c r="M19" s="57">
        <v>99.7</v>
      </c>
      <c r="O19" s="33" t="s">
        <v>103</v>
      </c>
      <c r="P19" s="33">
        <v>262</v>
      </c>
      <c r="Q19" s="33" t="s">
        <v>364</v>
      </c>
      <c r="R19" s="33">
        <v>3.3652050000000017E-2</v>
      </c>
      <c r="S19" s="33">
        <v>4.5286948660676427E-3</v>
      </c>
      <c r="T19" s="33">
        <v>1.7770425757683657E-3</v>
      </c>
      <c r="U19" s="33">
        <v>1.2140762544420878E-3</v>
      </c>
      <c r="V19" s="33">
        <v>1.6221358937118986E-3</v>
      </c>
      <c r="W19" s="33">
        <v>2.1692584353159221E-3</v>
      </c>
      <c r="X19" s="33">
        <v>2.6138540091944569E-3</v>
      </c>
      <c r="Y19" s="33">
        <v>3.2985286081480751E-3</v>
      </c>
      <c r="Z19" s="33">
        <v>4.4668745220981217E-3</v>
      </c>
      <c r="AA19" s="33">
        <v>5.5143666885556029E-3</v>
      </c>
      <c r="AB19" s="33">
        <v>6.6193220926600979E-3</v>
      </c>
      <c r="AC19" s="33">
        <v>8.6599715494527271E-3</v>
      </c>
      <c r="AD19" s="33">
        <v>1.1327594658021498E-2</v>
      </c>
      <c r="AE19" s="33">
        <v>1.7073142130542264E-2</v>
      </c>
      <c r="AF19" s="33">
        <v>2.6326994283116099E-2</v>
      </c>
      <c r="AG19" s="33">
        <v>4.0989689849863606E-2</v>
      </c>
      <c r="AH19" s="33">
        <v>6.2473910229660326E-2</v>
      </c>
      <c r="AI19" s="33">
        <v>9.1689805616604197E-2</v>
      </c>
      <c r="AJ19" s="33">
        <v>0.12456118941341625</v>
      </c>
      <c r="AK19" s="33">
        <v>0.15352283955587445</v>
      </c>
      <c r="AL19" s="33">
        <v>0.17455336213556152</v>
      </c>
      <c r="AM19" s="33"/>
      <c r="AN19" s="39" t="s">
        <v>93</v>
      </c>
      <c r="AO19" s="37">
        <v>903</v>
      </c>
      <c r="AP19" s="72">
        <v>62.658193616232701</v>
      </c>
    </row>
    <row r="20" spans="1:42" x14ac:dyDescent="0.25">
      <c r="A20" s="39" t="s">
        <v>97</v>
      </c>
      <c r="B20" s="112">
        <v>905</v>
      </c>
      <c r="C20" s="38">
        <v>366600.94400000002</v>
      </c>
      <c r="D20" s="38">
        <v>368869.64399999997</v>
      </c>
      <c r="F20" s="39" t="s">
        <v>97</v>
      </c>
      <c r="G20" s="37">
        <v>905</v>
      </c>
      <c r="H20" s="53">
        <v>11.813000000000001</v>
      </c>
      <c r="I20" s="33"/>
      <c r="J20" s="54" t="s">
        <v>387</v>
      </c>
      <c r="K20" s="55" t="s">
        <v>132</v>
      </c>
      <c r="L20" s="56">
        <v>2015</v>
      </c>
      <c r="M20" s="57">
        <v>99.7</v>
      </c>
      <c r="O20" s="33" t="s">
        <v>104</v>
      </c>
      <c r="P20" s="33">
        <v>232</v>
      </c>
      <c r="Q20" s="33" t="s">
        <v>364</v>
      </c>
      <c r="R20" s="33">
        <v>3.4723760000000041E-2</v>
      </c>
      <c r="S20" s="33">
        <v>2.4781015018042821E-3</v>
      </c>
      <c r="T20" s="33">
        <v>8.4167337173048572E-4</v>
      </c>
      <c r="U20" s="33">
        <v>6.3627494974549182E-4</v>
      </c>
      <c r="V20" s="33">
        <v>1.2279952533809392E-3</v>
      </c>
      <c r="W20" s="33">
        <v>1.7458328942756751E-3</v>
      </c>
      <c r="X20" s="33">
        <v>2.3091203916955402E-3</v>
      </c>
      <c r="Y20" s="33">
        <v>3.0931500050215776E-3</v>
      </c>
      <c r="Z20" s="33">
        <v>4.0145967103637353E-3</v>
      </c>
      <c r="AA20" s="33">
        <v>5.8038531347772357E-3</v>
      </c>
      <c r="AB20" s="33">
        <v>7.8511851733448889E-3</v>
      </c>
      <c r="AC20" s="33">
        <v>1.1601511257012974E-2</v>
      </c>
      <c r="AD20" s="33">
        <v>1.6819371008290708E-2</v>
      </c>
      <c r="AE20" s="33">
        <v>2.4093849190500269E-2</v>
      </c>
      <c r="AF20" s="33">
        <v>3.3915841624018422E-2</v>
      </c>
      <c r="AG20" s="33">
        <v>5.0132268661539331E-2</v>
      </c>
      <c r="AH20" s="33">
        <v>6.8765768717437184E-2</v>
      </c>
      <c r="AI20" s="33">
        <v>9.5663090170238829E-2</v>
      </c>
      <c r="AJ20" s="33">
        <v>0.12187267007815591</v>
      </c>
      <c r="AK20" s="33">
        <v>0.14350139431758438</v>
      </c>
      <c r="AL20" s="33">
        <v>0.16133688006745536</v>
      </c>
      <c r="AM20" s="33"/>
      <c r="AN20" s="39" t="s">
        <v>94</v>
      </c>
      <c r="AO20" s="37">
        <v>935</v>
      </c>
      <c r="AP20" s="72">
        <v>73.275653344279405</v>
      </c>
    </row>
    <row r="21" spans="1:42" x14ac:dyDescent="0.25">
      <c r="A21" s="39" t="s">
        <v>98</v>
      </c>
      <c r="B21" s="112">
        <v>909</v>
      </c>
      <c r="C21" s="38">
        <v>42128.048000000003</v>
      </c>
      <c r="D21" s="38">
        <v>42677.809000000001</v>
      </c>
      <c r="F21" s="39" t="s">
        <v>98</v>
      </c>
      <c r="G21" s="37">
        <v>909</v>
      </c>
      <c r="H21" s="53">
        <v>16.652999999999999</v>
      </c>
      <c r="I21" s="33"/>
      <c r="J21" s="54" t="s">
        <v>388</v>
      </c>
      <c r="K21" s="55" t="s">
        <v>264</v>
      </c>
      <c r="L21" s="56">
        <v>2013</v>
      </c>
      <c r="M21" s="57">
        <v>99.1</v>
      </c>
      <c r="O21" s="33" t="s">
        <v>105</v>
      </c>
      <c r="P21" s="33">
        <v>231</v>
      </c>
      <c r="Q21" s="33" t="s">
        <v>364</v>
      </c>
      <c r="R21" s="33">
        <v>3.7012740000000051E-2</v>
      </c>
      <c r="S21" s="33">
        <v>4.6414736577096265E-3</v>
      </c>
      <c r="T21" s="33">
        <v>1.9935509206170151E-3</v>
      </c>
      <c r="U21" s="33">
        <v>1.5454682631205908E-3</v>
      </c>
      <c r="V21" s="33">
        <v>1.9050779435204272E-3</v>
      </c>
      <c r="W21" s="33">
        <v>2.3477185739406736E-3</v>
      </c>
      <c r="X21" s="33">
        <v>2.7097529005401357E-3</v>
      </c>
      <c r="Y21" s="33">
        <v>3.4293316886060874E-3</v>
      </c>
      <c r="Z21" s="33">
        <v>4.7462675394306575E-3</v>
      </c>
      <c r="AA21" s="33">
        <v>5.7779081057784164E-3</v>
      </c>
      <c r="AB21" s="33">
        <v>6.7330993208277378E-3</v>
      </c>
      <c r="AC21" s="33">
        <v>8.631628649689525E-3</v>
      </c>
      <c r="AD21" s="33">
        <v>1.109764170343012E-2</v>
      </c>
      <c r="AE21" s="33">
        <v>1.6761832968059817E-2</v>
      </c>
      <c r="AF21" s="33">
        <v>2.5944878137743488E-2</v>
      </c>
      <c r="AG21" s="33">
        <v>4.0497096687850065E-2</v>
      </c>
      <c r="AH21" s="33">
        <v>6.2082622674679316E-2</v>
      </c>
      <c r="AI21" s="33">
        <v>9.1379287062263045E-2</v>
      </c>
      <c r="AJ21" s="33">
        <v>0.12421080985599947</v>
      </c>
      <c r="AK21" s="33">
        <v>0.15312231087451061</v>
      </c>
      <c r="AL21" s="33">
        <v>0.1732068676439589</v>
      </c>
      <c r="AM21" s="33"/>
      <c r="AN21" s="39" t="s">
        <v>95</v>
      </c>
      <c r="AO21" s="37">
        <v>908</v>
      </c>
      <c r="AP21" s="72">
        <v>78.326606795227406</v>
      </c>
    </row>
    <row r="22" spans="1:42" x14ac:dyDescent="0.25">
      <c r="A22" s="40" t="s">
        <v>99</v>
      </c>
      <c r="B22" s="113">
        <v>947</v>
      </c>
      <c r="C22" s="42">
        <v>1066283.4110000001</v>
      </c>
      <c r="D22" s="42">
        <v>1094365.605</v>
      </c>
      <c r="F22" s="40" t="s">
        <v>99</v>
      </c>
      <c r="G22" s="41">
        <v>947</v>
      </c>
      <c r="H22" s="58">
        <v>35.503999999999998</v>
      </c>
      <c r="I22" s="33"/>
      <c r="J22" s="54" t="s">
        <v>389</v>
      </c>
      <c r="K22" s="55" t="s">
        <v>211</v>
      </c>
      <c r="L22" s="56">
        <v>2009</v>
      </c>
      <c r="M22" s="57">
        <v>99.9</v>
      </c>
      <c r="O22" s="33" t="s">
        <v>106</v>
      </c>
      <c r="P22" s="33">
        <v>404</v>
      </c>
      <c r="Q22" s="33" t="s">
        <v>364</v>
      </c>
      <c r="R22" s="33">
        <v>3.6371680000000052E-2</v>
      </c>
      <c r="S22" s="33">
        <v>2.8778575125313626E-3</v>
      </c>
      <c r="T22" s="33">
        <v>8.8878149832473396E-4</v>
      </c>
      <c r="U22" s="33">
        <v>7.2191935359029714E-4</v>
      </c>
      <c r="V22" s="33">
        <v>1.2535671078773741E-3</v>
      </c>
      <c r="W22" s="33">
        <v>2.0151098251266352E-3</v>
      </c>
      <c r="X22" s="33">
        <v>2.7743378338870063E-3</v>
      </c>
      <c r="Y22" s="33">
        <v>3.6171295347846425E-3</v>
      </c>
      <c r="Z22" s="33">
        <v>4.8349930451986167E-3</v>
      </c>
      <c r="AA22" s="33">
        <v>6.0774118722196563E-3</v>
      </c>
      <c r="AB22" s="33">
        <v>7.6402037982026281E-3</v>
      </c>
      <c r="AC22" s="33">
        <v>1.0285721443846717E-2</v>
      </c>
      <c r="AD22" s="33">
        <v>1.3317102527833061E-2</v>
      </c>
      <c r="AE22" s="33">
        <v>1.9017377283509957E-2</v>
      </c>
      <c r="AF22" s="33">
        <v>2.8329205279911861E-2</v>
      </c>
      <c r="AG22" s="33">
        <v>4.2834133912262096E-2</v>
      </c>
      <c r="AH22" s="33">
        <v>6.4664908087092451E-2</v>
      </c>
      <c r="AI22" s="33">
        <v>9.7217163228875234E-2</v>
      </c>
      <c r="AJ22" s="33">
        <v>0.1368826401817643</v>
      </c>
      <c r="AK22" s="33">
        <v>0.17226761766858911</v>
      </c>
      <c r="AL22" s="33">
        <v>0.18675635071800664</v>
      </c>
      <c r="AM22" s="33"/>
      <c r="AN22" s="39" t="s">
        <v>96</v>
      </c>
      <c r="AO22" s="37">
        <v>904</v>
      </c>
      <c r="AP22" s="72">
        <v>75.243557350275907</v>
      </c>
    </row>
    <row r="23" spans="1:42" x14ac:dyDescent="0.25">
      <c r="A23" s="43" t="s">
        <v>100</v>
      </c>
      <c r="B23" s="114">
        <v>910</v>
      </c>
      <c r="C23" s="45">
        <v>433904.94300000003</v>
      </c>
      <c r="D23" s="45">
        <v>445405.57799999998</v>
      </c>
      <c r="F23" s="43" t="s">
        <v>100</v>
      </c>
      <c r="G23" s="44">
        <v>910</v>
      </c>
      <c r="H23" s="59">
        <v>34.238999999999997</v>
      </c>
      <c r="I23" s="33"/>
      <c r="J23" s="54" t="s">
        <v>390</v>
      </c>
      <c r="K23" s="55" t="s">
        <v>308</v>
      </c>
      <c r="L23" s="56">
        <v>2018</v>
      </c>
      <c r="M23" s="57">
        <v>99.7</v>
      </c>
      <c r="O23" s="33" t="s">
        <v>107</v>
      </c>
      <c r="P23" s="33">
        <v>450</v>
      </c>
      <c r="Q23" s="33" t="s">
        <v>364</v>
      </c>
      <c r="R23" s="33">
        <v>2.9042229999999981E-2</v>
      </c>
      <c r="S23" s="33">
        <v>3.6439664106091983E-3</v>
      </c>
      <c r="T23" s="33">
        <v>1.6834523540747452E-3</v>
      </c>
      <c r="U23" s="33">
        <v>1.3235498937898972E-3</v>
      </c>
      <c r="V23" s="33">
        <v>1.8405557617388985E-3</v>
      </c>
      <c r="W23" s="33">
        <v>2.1297075559801354E-3</v>
      </c>
      <c r="X23" s="33">
        <v>2.3597552765719457E-3</v>
      </c>
      <c r="Y23" s="33">
        <v>3.0462817687957611E-3</v>
      </c>
      <c r="Z23" s="33">
        <v>3.9158378288193249E-3</v>
      </c>
      <c r="AA23" s="33">
        <v>5.0560933686190791E-3</v>
      </c>
      <c r="AB23" s="33">
        <v>6.6609453681324626E-3</v>
      </c>
      <c r="AC23" s="33">
        <v>8.909147653546251E-3</v>
      </c>
      <c r="AD23" s="33">
        <v>1.2539945384315312E-2</v>
      </c>
      <c r="AE23" s="33">
        <v>1.9163802476953571E-2</v>
      </c>
      <c r="AF23" s="33">
        <v>3.0868734941865806E-2</v>
      </c>
      <c r="AG23" s="33">
        <v>4.7153798553579193E-2</v>
      </c>
      <c r="AH23" s="33">
        <v>6.8597014102592987E-2</v>
      </c>
      <c r="AI23" s="33">
        <v>9.4966000440041484E-2</v>
      </c>
      <c r="AJ23" s="33">
        <v>0.1235420902524004</v>
      </c>
      <c r="AK23" s="33">
        <v>0.14990314803508961</v>
      </c>
      <c r="AL23" s="33">
        <v>0.16978520436301245</v>
      </c>
      <c r="AM23" s="33"/>
      <c r="AN23" s="39" t="s">
        <v>97</v>
      </c>
      <c r="AO23" s="37">
        <v>905</v>
      </c>
      <c r="AP23" s="72">
        <v>79.154859524565097</v>
      </c>
    </row>
    <row r="24" spans="1:42" x14ac:dyDescent="0.25">
      <c r="A24" s="39" t="s">
        <v>101</v>
      </c>
      <c r="B24" s="112">
        <v>108</v>
      </c>
      <c r="C24" s="38">
        <v>11530.576999999999</v>
      </c>
      <c r="D24" s="38">
        <v>11890.781000000001</v>
      </c>
      <c r="F24" s="39" t="s">
        <v>101</v>
      </c>
      <c r="G24" s="37">
        <v>108</v>
      </c>
      <c r="H24" s="53">
        <v>39.256999999999998</v>
      </c>
      <c r="I24" s="33"/>
      <c r="J24" s="54" t="s">
        <v>391</v>
      </c>
      <c r="K24" s="55" t="s">
        <v>139</v>
      </c>
      <c r="L24" s="56">
        <v>2015</v>
      </c>
      <c r="M24" s="57">
        <v>82.2</v>
      </c>
      <c r="O24" s="33" t="s">
        <v>108</v>
      </c>
      <c r="P24" s="33">
        <v>454</v>
      </c>
      <c r="Q24" s="33" t="s">
        <v>364</v>
      </c>
      <c r="R24" s="33">
        <v>4.1335470000000062E-2</v>
      </c>
      <c r="S24" s="33">
        <v>3.6814390118303196E-3</v>
      </c>
      <c r="T24" s="33">
        <v>1.2469653854453703E-3</v>
      </c>
      <c r="U24" s="33">
        <v>9.7263713769861254E-4</v>
      </c>
      <c r="V24" s="33">
        <v>1.5993880527014931E-3</v>
      </c>
      <c r="W24" s="33">
        <v>2.5275224475715141E-3</v>
      </c>
      <c r="X24" s="33">
        <v>3.4714392776732262E-3</v>
      </c>
      <c r="Y24" s="33">
        <v>4.5261698853361057E-3</v>
      </c>
      <c r="Z24" s="33">
        <v>6.0382154238977888E-3</v>
      </c>
      <c r="AA24" s="33">
        <v>7.4980385986603525E-3</v>
      </c>
      <c r="AB24" s="33">
        <v>9.2345457449363785E-3</v>
      </c>
      <c r="AC24" s="33">
        <v>1.2100708896732088E-2</v>
      </c>
      <c r="AD24" s="33">
        <v>1.5460726609726467E-2</v>
      </c>
      <c r="AE24" s="33">
        <v>2.1799763345410259E-2</v>
      </c>
      <c r="AF24" s="33">
        <v>3.2008626279088702E-2</v>
      </c>
      <c r="AG24" s="33">
        <v>4.7779408597282184E-2</v>
      </c>
      <c r="AH24" s="33">
        <v>7.1035709828626961E-2</v>
      </c>
      <c r="AI24" s="33">
        <v>0.10510650114198765</v>
      </c>
      <c r="AJ24" s="33">
        <v>0.1447171061326458</v>
      </c>
      <c r="AK24" s="33">
        <v>0.17720147949830714</v>
      </c>
      <c r="AL24" s="33">
        <v>0.18855382590770395</v>
      </c>
      <c r="AM24" s="33"/>
      <c r="AN24" s="39" t="s">
        <v>98</v>
      </c>
      <c r="AO24" s="37">
        <v>909</v>
      </c>
      <c r="AP24" s="72">
        <v>78.439041570785605</v>
      </c>
    </row>
    <row r="25" spans="1:42" x14ac:dyDescent="0.25">
      <c r="A25" s="39" t="s">
        <v>102</v>
      </c>
      <c r="B25" s="112">
        <v>174</v>
      </c>
      <c r="C25" s="38">
        <v>850.89099999999996</v>
      </c>
      <c r="D25" s="38">
        <v>869.59500000000003</v>
      </c>
      <c r="F25" s="39" t="s">
        <v>102</v>
      </c>
      <c r="G25" s="37">
        <v>174</v>
      </c>
      <c r="H25" s="53">
        <v>32.085999999999999</v>
      </c>
      <c r="I25" s="33"/>
      <c r="J25" s="54" t="s">
        <v>392</v>
      </c>
      <c r="K25" s="55" t="s">
        <v>101</v>
      </c>
      <c r="L25" s="56">
        <v>2016</v>
      </c>
      <c r="M25" s="57">
        <v>83.9</v>
      </c>
      <c r="O25" s="33" t="s">
        <v>109</v>
      </c>
      <c r="P25" s="33">
        <v>480</v>
      </c>
      <c r="Q25" s="33" t="s">
        <v>364</v>
      </c>
      <c r="R25" s="33">
        <v>1.1219750000000058E-2</v>
      </c>
      <c r="S25" s="33">
        <v>4.9551202099758717E-4</v>
      </c>
      <c r="T25" s="33">
        <v>1.4383974454358547E-4</v>
      </c>
      <c r="U25" s="33">
        <v>1.9375106276098254E-4</v>
      </c>
      <c r="V25" s="33">
        <v>5.5103995672075288E-4</v>
      </c>
      <c r="W25" s="33">
        <v>8.8368451027373129E-4</v>
      </c>
      <c r="X25" s="33">
        <v>1.2165092111005393E-3</v>
      </c>
      <c r="Y25" s="33">
        <v>1.5102263852154534E-3</v>
      </c>
      <c r="Z25" s="33">
        <v>2.2255136010703083E-3</v>
      </c>
      <c r="AA25" s="33">
        <v>3.1821406410451622E-3</v>
      </c>
      <c r="AB25" s="33">
        <v>4.6283429701317168E-3</v>
      </c>
      <c r="AC25" s="33">
        <v>6.8349836152977669E-3</v>
      </c>
      <c r="AD25" s="33">
        <v>9.5098542381649477E-3</v>
      </c>
      <c r="AE25" s="33">
        <v>1.4750863515586436E-2</v>
      </c>
      <c r="AF25" s="33">
        <v>2.1124357164764424E-2</v>
      </c>
      <c r="AG25" s="33">
        <v>3.1919984282365248E-2</v>
      </c>
      <c r="AH25" s="33">
        <v>4.5199317054123091E-2</v>
      </c>
      <c r="AI25" s="33">
        <v>6.7566756051371968E-2</v>
      </c>
      <c r="AJ25" s="33">
        <v>9.4718066154717978E-2</v>
      </c>
      <c r="AK25" s="33">
        <v>0.12235017582128284</v>
      </c>
      <c r="AL25" s="33">
        <v>0.14773933517431959</v>
      </c>
      <c r="AM25" s="33"/>
      <c r="AN25" s="73" t="s">
        <v>569</v>
      </c>
      <c r="AO25" s="74">
        <v>1828</v>
      </c>
      <c r="AP25" s="75" t="s">
        <v>566</v>
      </c>
    </row>
    <row r="26" spans="1:42" x14ac:dyDescent="0.25">
      <c r="A26" s="39" t="s">
        <v>103</v>
      </c>
      <c r="B26" s="112">
        <v>262</v>
      </c>
      <c r="C26" s="38">
        <v>973.55700000000002</v>
      </c>
      <c r="D26" s="38">
        <v>988.00199999999995</v>
      </c>
      <c r="F26" s="39" t="s">
        <v>103</v>
      </c>
      <c r="G26" s="37">
        <v>262</v>
      </c>
      <c r="H26" s="53">
        <v>21.695</v>
      </c>
      <c r="I26" s="33"/>
      <c r="J26" s="54" t="s">
        <v>393</v>
      </c>
      <c r="K26" s="55" t="s">
        <v>140</v>
      </c>
      <c r="L26" s="56">
        <v>2009</v>
      </c>
      <c r="M26" s="57">
        <v>75.599999999999994</v>
      </c>
      <c r="O26" s="33" t="s">
        <v>110</v>
      </c>
      <c r="P26" s="33">
        <v>175</v>
      </c>
      <c r="Q26" s="33" t="s">
        <v>364</v>
      </c>
      <c r="R26" s="33">
        <v>4.1948699999999374E-3</v>
      </c>
      <c r="S26" s="33">
        <v>1.5474413151498397E-4</v>
      </c>
      <c r="T26" s="33">
        <v>1.0496300324939693E-4</v>
      </c>
      <c r="U26" s="33">
        <v>1.0507039716608139E-4</v>
      </c>
      <c r="V26" s="33">
        <v>3.7943601143219517E-4</v>
      </c>
      <c r="W26" s="33">
        <v>6.5903233377323891E-4</v>
      </c>
      <c r="X26" s="33">
        <v>6.2310551959170114E-4</v>
      </c>
      <c r="Y26" s="33">
        <v>8.139469791962168E-4</v>
      </c>
      <c r="Z26" s="33">
        <v>1.3551699067819395E-3</v>
      </c>
      <c r="AA26" s="33">
        <v>2.1783754836828093E-3</v>
      </c>
      <c r="AB26" s="33">
        <v>3.6198740018872498E-3</v>
      </c>
      <c r="AC26" s="33">
        <v>4.503434535114168E-3</v>
      </c>
      <c r="AD26" s="33">
        <v>6.6557868048837069E-3</v>
      </c>
      <c r="AE26" s="33">
        <v>9.781255571440578E-3</v>
      </c>
      <c r="AF26" s="33">
        <v>1.5621083589894297E-2</v>
      </c>
      <c r="AG26" s="33">
        <v>2.2604474514511811E-2</v>
      </c>
      <c r="AH26" s="33">
        <v>3.4464127832303036E-2</v>
      </c>
      <c r="AI26" s="33">
        <v>5.5441041265969049E-2</v>
      </c>
      <c r="AJ26" s="33">
        <v>7.9652394352762654E-2</v>
      </c>
      <c r="AK26" s="33">
        <v>0.10834636043509263</v>
      </c>
      <c r="AL26" s="33">
        <v>0.14315914683960176</v>
      </c>
      <c r="AM26" s="33"/>
      <c r="AN26" s="40" t="s">
        <v>99</v>
      </c>
      <c r="AO26" s="41">
        <v>947</v>
      </c>
      <c r="AP26" s="76">
        <v>60.522156710503097</v>
      </c>
    </row>
    <row r="27" spans="1:42" x14ac:dyDescent="0.25">
      <c r="A27" s="39" t="s">
        <v>104</v>
      </c>
      <c r="B27" s="112">
        <v>232</v>
      </c>
      <c r="C27" s="38">
        <v>3497.1170000000002</v>
      </c>
      <c r="D27" s="38">
        <v>3546.4270000000001</v>
      </c>
      <c r="F27" s="39" t="s">
        <v>104</v>
      </c>
      <c r="G27" s="37">
        <v>232</v>
      </c>
      <c r="H27" s="53">
        <v>30.635999999999999</v>
      </c>
      <c r="I27" s="33"/>
      <c r="J27" s="54" t="s">
        <v>394</v>
      </c>
      <c r="K27" s="55" t="s">
        <v>212</v>
      </c>
      <c r="L27" s="56">
        <v>2014</v>
      </c>
      <c r="M27" s="57">
        <v>83.2</v>
      </c>
      <c r="O27" s="33" t="s">
        <v>111</v>
      </c>
      <c r="P27" s="33">
        <v>508</v>
      </c>
      <c r="Q27" s="33" t="s">
        <v>364</v>
      </c>
      <c r="R27" s="33">
        <v>5.3915810000000057E-2</v>
      </c>
      <c r="S27" s="33">
        <v>5.1119604905352041E-3</v>
      </c>
      <c r="T27" s="33">
        <v>1.4012858703953376E-3</v>
      </c>
      <c r="U27" s="33">
        <v>1.0949032653975483E-3</v>
      </c>
      <c r="V27" s="33">
        <v>1.7263139961507059E-3</v>
      </c>
      <c r="W27" s="33">
        <v>2.8654566183196031E-3</v>
      </c>
      <c r="X27" s="33">
        <v>4.3902395060748927E-3</v>
      </c>
      <c r="Y27" s="33">
        <v>6.0677207852414625E-3</v>
      </c>
      <c r="Z27" s="33">
        <v>8.4157379504231199E-3</v>
      </c>
      <c r="AA27" s="33">
        <v>1.00823270263227E-2</v>
      </c>
      <c r="AB27" s="33">
        <v>1.1863253219921731E-2</v>
      </c>
      <c r="AC27" s="33">
        <v>1.451859108063718E-2</v>
      </c>
      <c r="AD27" s="33">
        <v>1.7957334558640816E-2</v>
      </c>
      <c r="AE27" s="33">
        <v>2.4208696828590972E-2</v>
      </c>
      <c r="AF27" s="33">
        <v>3.4343923387346431E-2</v>
      </c>
      <c r="AG27" s="33">
        <v>5.0274413363338988E-2</v>
      </c>
      <c r="AH27" s="33">
        <v>7.3556760455677939E-2</v>
      </c>
      <c r="AI27" s="33">
        <v>0.10832193217593584</v>
      </c>
      <c r="AJ27" s="33">
        <v>0.14802703390099389</v>
      </c>
      <c r="AK27" s="33">
        <v>0.17815638978603338</v>
      </c>
      <c r="AL27" s="33">
        <v>0.18810932311897274</v>
      </c>
      <c r="AM27" s="33"/>
      <c r="AN27" s="43" t="s">
        <v>100</v>
      </c>
      <c r="AO27" s="44">
        <v>910</v>
      </c>
      <c r="AP27" s="77">
        <v>64.154927097841195</v>
      </c>
    </row>
    <row r="28" spans="1:42" x14ac:dyDescent="0.25">
      <c r="A28" s="39" t="s">
        <v>105</v>
      </c>
      <c r="B28" s="112">
        <v>231</v>
      </c>
      <c r="C28" s="38">
        <v>112078.727</v>
      </c>
      <c r="D28" s="38">
        <v>114963.583</v>
      </c>
      <c r="F28" s="39" t="s">
        <v>105</v>
      </c>
      <c r="G28" s="37">
        <v>231</v>
      </c>
      <c r="H28" s="53">
        <v>32.570999999999998</v>
      </c>
      <c r="I28" s="33"/>
      <c r="J28" s="54" t="s">
        <v>395</v>
      </c>
      <c r="K28" s="55" t="s">
        <v>123</v>
      </c>
      <c r="L28" s="56">
        <v>2018</v>
      </c>
      <c r="M28" s="57">
        <v>67</v>
      </c>
      <c r="O28" s="33" t="s">
        <v>112</v>
      </c>
      <c r="P28" s="33">
        <v>638</v>
      </c>
      <c r="Q28" s="33" t="s">
        <v>364</v>
      </c>
      <c r="R28" s="33">
        <v>2.6646400000000722E-3</v>
      </c>
      <c r="S28" s="33">
        <v>8.5176965950540271E-5</v>
      </c>
      <c r="T28" s="33">
        <v>6.960713044698664E-5</v>
      </c>
      <c r="U28" s="33">
        <v>7.40903084825619E-5</v>
      </c>
      <c r="V28" s="33">
        <v>3.0619724973524493E-4</v>
      </c>
      <c r="W28" s="33">
        <v>5.4319958700948644E-4</v>
      </c>
      <c r="X28" s="33">
        <v>4.8706705307639039E-4</v>
      </c>
      <c r="Y28" s="33">
        <v>6.2963936833605098E-4</v>
      </c>
      <c r="Z28" s="33">
        <v>1.0616867194798325E-3</v>
      </c>
      <c r="AA28" s="33">
        <v>1.7318413328888803E-3</v>
      </c>
      <c r="AB28" s="33">
        <v>3.0102856561317359E-3</v>
      </c>
      <c r="AC28" s="33">
        <v>3.7374659357375557E-3</v>
      </c>
      <c r="AD28" s="33">
        <v>5.5522434570544395E-3</v>
      </c>
      <c r="AE28" s="33">
        <v>8.2279936974474031E-3</v>
      </c>
      <c r="AF28" s="33">
        <v>1.3367114114388066E-2</v>
      </c>
      <c r="AG28" s="33">
        <v>1.9459657133110077E-2</v>
      </c>
      <c r="AH28" s="33">
        <v>2.9776898798851689E-2</v>
      </c>
      <c r="AI28" s="33">
        <v>4.9493564259289767E-2</v>
      </c>
      <c r="AJ28" s="33">
        <v>6.3341126634959319E-2</v>
      </c>
      <c r="AK28" s="33">
        <v>8.3229831732649071E-2</v>
      </c>
      <c r="AL28" s="33">
        <v>0.11151397775279766</v>
      </c>
      <c r="AM28" s="33"/>
      <c r="AN28" s="39" t="s">
        <v>101</v>
      </c>
      <c r="AO28" s="37">
        <v>108</v>
      </c>
      <c r="AP28" s="72">
        <v>61.024999999999999</v>
      </c>
    </row>
    <row r="29" spans="1:42" x14ac:dyDescent="0.25">
      <c r="A29" s="39" t="s">
        <v>106</v>
      </c>
      <c r="B29" s="112">
        <v>404</v>
      </c>
      <c r="C29" s="38">
        <v>52573.966999999997</v>
      </c>
      <c r="D29" s="38">
        <v>53771.3</v>
      </c>
      <c r="F29" s="39" t="s">
        <v>106</v>
      </c>
      <c r="G29" s="37">
        <v>404</v>
      </c>
      <c r="H29" s="53">
        <v>28.905000000000001</v>
      </c>
      <c r="I29" s="33"/>
      <c r="J29" s="54" t="s">
        <v>396</v>
      </c>
      <c r="K29" s="55" t="s">
        <v>360</v>
      </c>
      <c r="L29" s="56">
        <v>2011</v>
      </c>
      <c r="M29" s="57">
        <v>98.4</v>
      </c>
      <c r="O29" s="33" t="s">
        <v>113</v>
      </c>
      <c r="P29" s="33">
        <v>646</v>
      </c>
      <c r="Q29" s="33" t="s">
        <v>364</v>
      </c>
      <c r="R29" s="33">
        <v>2.9194640000000074E-2</v>
      </c>
      <c r="S29" s="33">
        <v>2.372331875052668E-3</v>
      </c>
      <c r="T29" s="33">
        <v>9.4840741728722004E-4</v>
      </c>
      <c r="U29" s="33">
        <v>7.3420026532832936E-4</v>
      </c>
      <c r="V29" s="33">
        <v>1.2829936877352555E-3</v>
      </c>
      <c r="W29" s="33">
        <v>1.9313447668826878E-3</v>
      </c>
      <c r="X29" s="33">
        <v>2.3316237896617836E-3</v>
      </c>
      <c r="Y29" s="33">
        <v>2.8054859400679106E-3</v>
      </c>
      <c r="Z29" s="33">
        <v>3.5180393340914426E-3</v>
      </c>
      <c r="AA29" s="33">
        <v>4.5168423672066116E-3</v>
      </c>
      <c r="AB29" s="33">
        <v>5.8228290131631779E-3</v>
      </c>
      <c r="AC29" s="33">
        <v>8.4163911525236435E-3</v>
      </c>
      <c r="AD29" s="33">
        <v>1.1338638347218911E-2</v>
      </c>
      <c r="AE29" s="33">
        <v>1.6950235219521562E-2</v>
      </c>
      <c r="AF29" s="33">
        <v>2.6078831522361286E-2</v>
      </c>
      <c r="AG29" s="33">
        <v>4.0339279421102249E-2</v>
      </c>
      <c r="AH29" s="33">
        <v>6.2420072920420594E-2</v>
      </c>
      <c r="AI29" s="33">
        <v>9.5041719036765657E-2</v>
      </c>
      <c r="AJ29" s="33">
        <v>0.13453710787544573</v>
      </c>
      <c r="AK29" s="33">
        <v>0.17174648395894626</v>
      </c>
      <c r="AL29" s="33">
        <v>0.18710533626254214</v>
      </c>
      <c r="AM29" s="33"/>
      <c r="AN29" s="39" t="s">
        <v>102</v>
      </c>
      <c r="AO29" s="37">
        <v>174</v>
      </c>
      <c r="AP29" s="72">
        <v>63.982999999999997</v>
      </c>
    </row>
    <row r="30" spans="1:42" x14ac:dyDescent="0.25">
      <c r="A30" s="39" t="s">
        <v>107</v>
      </c>
      <c r="B30" s="112">
        <v>450</v>
      </c>
      <c r="C30" s="38">
        <v>26969.306</v>
      </c>
      <c r="D30" s="38">
        <v>27691.019</v>
      </c>
      <c r="F30" s="39" t="s">
        <v>107</v>
      </c>
      <c r="G30" s="37">
        <v>450</v>
      </c>
      <c r="H30" s="53">
        <v>32.816000000000003</v>
      </c>
      <c r="I30" s="33"/>
      <c r="J30" s="54" t="s">
        <v>397</v>
      </c>
      <c r="K30" s="55" t="s">
        <v>124</v>
      </c>
      <c r="L30" s="56">
        <v>2010</v>
      </c>
      <c r="M30" s="57">
        <v>52.5</v>
      </c>
      <c r="O30" s="33" t="s">
        <v>114</v>
      </c>
      <c r="P30" s="33">
        <v>690</v>
      </c>
      <c r="Q30" s="33" t="s">
        <v>364</v>
      </c>
      <c r="R30" s="33">
        <v>1.0873739999999962E-2</v>
      </c>
      <c r="S30" s="33">
        <v>7.480945860238225E-4</v>
      </c>
      <c r="T30" s="33">
        <v>3.3171277521294094E-4</v>
      </c>
      <c r="U30" s="33">
        <v>3.1702004650337916E-4</v>
      </c>
      <c r="V30" s="33">
        <v>8.0932258558149216E-4</v>
      </c>
      <c r="W30" s="33">
        <v>1.1797842949811304E-3</v>
      </c>
      <c r="X30" s="33">
        <v>1.3046209854503988E-3</v>
      </c>
      <c r="Y30" s="33">
        <v>1.5935021277750439E-3</v>
      </c>
      <c r="Z30" s="33">
        <v>2.1597584850782704E-3</v>
      </c>
      <c r="AA30" s="33">
        <v>3.1194791568681778E-3</v>
      </c>
      <c r="AB30" s="33">
        <v>4.7234928680866045E-3</v>
      </c>
      <c r="AC30" s="33">
        <v>7.1569808823927928E-3</v>
      </c>
      <c r="AD30" s="33">
        <v>1.078515517734434E-2</v>
      </c>
      <c r="AE30" s="33">
        <v>1.5904749003685034E-2</v>
      </c>
      <c r="AF30" s="33">
        <v>2.3200341963554801E-2</v>
      </c>
      <c r="AG30" s="33">
        <v>3.4553222111390967E-2</v>
      </c>
      <c r="AH30" s="33">
        <v>5.2009191541316127E-2</v>
      </c>
      <c r="AI30" s="33">
        <v>7.7242212655749418E-2</v>
      </c>
      <c r="AJ30" s="33">
        <v>0.10935540486725245</v>
      </c>
      <c r="AK30" s="33">
        <v>0.14116880213358429</v>
      </c>
      <c r="AL30" s="33">
        <v>0.16716212371717928</v>
      </c>
      <c r="AM30" s="33"/>
      <c r="AN30" s="39" t="s">
        <v>103</v>
      </c>
      <c r="AO30" s="37">
        <v>262</v>
      </c>
      <c r="AP30" s="72">
        <v>66.540000000000006</v>
      </c>
    </row>
    <row r="31" spans="1:42" x14ac:dyDescent="0.25">
      <c r="A31" s="39" t="s">
        <v>108</v>
      </c>
      <c r="B31" s="112">
        <v>454</v>
      </c>
      <c r="C31" s="38">
        <v>18628.749</v>
      </c>
      <c r="D31" s="38">
        <v>19129.955000000002</v>
      </c>
      <c r="F31" s="39" t="s">
        <v>108</v>
      </c>
      <c r="G31" s="37">
        <v>454</v>
      </c>
      <c r="H31" s="53">
        <v>34.255000000000003</v>
      </c>
      <c r="I31" s="33"/>
      <c r="J31" s="54" t="s">
        <v>398</v>
      </c>
      <c r="K31" s="55" t="s">
        <v>125</v>
      </c>
      <c r="L31" s="56">
        <v>2015</v>
      </c>
      <c r="M31" s="57">
        <v>21.7</v>
      </c>
      <c r="O31" s="33" t="s">
        <v>115</v>
      </c>
      <c r="P31" s="33">
        <v>706</v>
      </c>
      <c r="Q31" s="33" t="s">
        <v>364</v>
      </c>
      <c r="R31" s="33">
        <v>6.932369999999996E-2</v>
      </c>
      <c r="S31" s="33">
        <v>1.2292378134051579E-2</v>
      </c>
      <c r="T31" s="33">
        <v>4.0540824580519112E-3</v>
      </c>
      <c r="U31" s="33">
        <v>2.9133664091514143E-3</v>
      </c>
      <c r="V31" s="33">
        <v>3.0976930870894644E-3</v>
      </c>
      <c r="W31" s="33">
        <v>4.0747286584552917E-3</v>
      </c>
      <c r="X31" s="33">
        <v>4.9273942521363195E-3</v>
      </c>
      <c r="Y31" s="33">
        <v>5.8026712326014421E-3</v>
      </c>
      <c r="Z31" s="33">
        <v>7.1388328187386571E-3</v>
      </c>
      <c r="AA31" s="33">
        <v>8.1011139053546385E-3</v>
      </c>
      <c r="AB31" s="33">
        <v>9.3317415545775481E-3</v>
      </c>
      <c r="AC31" s="33">
        <v>1.159173865518154E-2</v>
      </c>
      <c r="AD31" s="33">
        <v>1.5529339410354946E-2</v>
      </c>
      <c r="AE31" s="33">
        <v>2.2414689803706509E-2</v>
      </c>
      <c r="AF31" s="33">
        <v>3.3555760867098883E-2</v>
      </c>
      <c r="AG31" s="33">
        <v>5.0425932777532614E-2</v>
      </c>
      <c r="AH31" s="33">
        <v>7.3715370361590968E-2</v>
      </c>
      <c r="AI31" s="33">
        <v>0.1023196114503603</v>
      </c>
      <c r="AJ31" s="33">
        <v>0.13209411290570217</v>
      </c>
      <c r="AK31" s="33">
        <v>0.15802590741274858</v>
      </c>
      <c r="AL31" s="33">
        <v>0.1755877121405956</v>
      </c>
      <c r="AM31" s="33"/>
      <c r="AN31" s="39" t="s">
        <v>104</v>
      </c>
      <c r="AO31" s="37">
        <v>232</v>
      </c>
      <c r="AP31" s="72">
        <v>65.742999999999995</v>
      </c>
    </row>
    <row r="32" spans="1:42" x14ac:dyDescent="0.25">
      <c r="A32" s="39" t="s">
        <v>109</v>
      </c>
      <c r="B32" s="112">
        <v>480</v>
      </c>
      <c r="C32" s="38">
        <v>1269.67</v>
      </c>
      <c r="D32" s="38">
        <v>1271.7670000000001</v>
      </c>
      <c r="F32" s="39" t="s">
        <v>109</v>
      </c>
      <c r="G32" s="37">
        <v>480</v>
      </c>
      <c r="H32" s="53">
        <v>10.244</v>
      </c>
      <c r="I32" s="33"/>
      <c r="J32" s="54" t="s">
        <v>399</v>
      </c>
      <c r="K32" s="55" t="s">
        <v>265</v>
      </c>
      <c r="L32" s="56">
        <v>2014</v>
      </c>
      <c r="M32" s="57">
        <v>99.7</v>
      </c>
      <c r="O32" s="33" t="s">
        <v>116</v>
      </c>
      <c r="P32" s="33">
        <v>728</v>
      </c>
      <c r="Q32" s="33" t="s">
        <v>364</v>
      </c>
      <c r="R32" s="33">
        <v>6.439118000000002E-2</v>
      </c>
      <c r="S32" s="33">
        <v>9.1276474926775576E-3</v>
      </c>
      <c r="T32" s="33">
        <v>3.7645316426541857E-3</v>
      </c>
      <c r="U32" s="33">
        <v>2.2872337683211325E-3</v>
      </c>
      <c r="V32" s="33">
        <v>2.949520798167871E-3</v>
      </c>
      <c r="W32" s="33">
        <v>4.0792823322574031E-3</v>
      </c>
      <c r="X32" s="33">
        <v>5.4936131703647272E-3</v>
      </c>
      <c r="Y32" s="33">
        <v>6.9847784211231456E-3</v>
      </c>
      <c r="Z32" s="33">
        <v>8.9363320696753141E-3</v>
      </c>
      <c r="AA32" s="33">
        <v>9.7732797132815998E-3</v>
      </c>
      <c r="AB32" s="33">
        <v>1.08394459748994E-2</v>
      </c>
      <c r="AC32" s="33">
        <v>1.2789862419588332E-2</v>
      </c>
      <c r="AD32" s="33">
        <v>1.5799528301405574E-2</v>
      </c>
      <c r="AE32" s="33">
        <v>2.2487248198766858E-2</v>
      </c>
      <c r="AF32" s="33">
        <v>3.1890539105262863E-2</v>
      </c>
      <c r="AG32" s="33">
        <v>4.8245182163936758E-2</v>
      </c>
      <c r="AH32" s="33">
        <v>7.1020229630387788E-2</v>
      </c>
      <c r="AI32" s="33">
        <v>0.10093998231870334</v>
      </c>
      <c r="AJ32" s="33">
        <v>0.13145963379756573</v>
      </c>
      <c r="AK32" s="33">
        <v>0.15726415845936334</v>
      </c>
      <c r="AL32" s="33">
        <v>0.17546937186033706</v>
      </c>
      <c r="AM32" s="33"/>
      <c r="AN32" s="39" t="s">
        <v>105</v>
      </c>
      <c r="AO32" s="37">
        <v>231</v>
      </c>
      <c r="AP32" s="72">
        <v>65.966999999999999</v>
      </c>
    </row>
    <row r="33" spans="1:42" x14ac:dyDescent="0.25">
      <c r="A33" s="39" t="s">
        <v>110</v>
      </c>
      <c r="B33" s="112">
        <v>175</v>
      </c>
      <c r="C33" s="38">
        <v>266.15300000000002</v>
      </c>
      <c r="D33" s="38">
        <v>272.81299999999999</v>
      </c>
      <c r="F33" s="39" t="s">
        <v>110</v>
      </c>
      <c r="G33" s="37">
        <v>175</v>
      </c>
      <c r="H33" s="53">
        <v>28.266999999999999</v>
      </c>
      <c r="I33" s="33"/>
      <c r="J33" s="54" t="s">
        <v>400</v>
      </c>
      <c r="K33" s="55" t="s">
        <v>202</v>
      </c>
      <c r="L33" s="56">
        <v>2018</v>
      </c>
      <c r="M33" s="57">
        <v>99.9</v>
      </c>
      <c r="O33" s="33" t="s">
        <v>117</v>
      </c>
      <c r="P33" s="33">
        <v>800</v>
      </c>
      <c r="Q33" s="33" t="s">
        <v>364</v>
      </c>
      <c r="R33" s="33">
        <v>4.6149780000000029E-2</v>
      </c>
      <c r="S33" s="33">
        <v>4.3666682804769756E-3</v>
      </c>
      <c r="T33" s="33">
        <v>1.4828482470511555E-3</v>
      </c>
      <c r="U33" s="33">
        <v>1.112565357788755E-3</v>
      </c>
      <c r="V33" s="33">
        <v>1.8217050840387593E-3</v>
      </c>
      <c r="W33" s="33">
        <v>2.8048711625515434E-3</v>
      </c>
      <c r="X33" s="33">
        <v>3.6411578979129509E-3</v>
      </c>
      <c r="Y33" s="33">
        <v>4.5409485397054335E-3</v>
      </c>
      <c r="Z33" s="33">
        <v>5.804606999972311E-3</v>
      </c>
      <c r="AA33" s="33">
        <v>7.1639425081212894E-3</v>
      </c>
      <c r="AB33" s="33">
        <v>8.8477551169223508E-3</v>
      </c>
      <c r="AC33" s="33">
        <v>1.1856959713313804E-2</v>
      </c>
      <c r="AD33" s="33">
        <v>1.5285188012263345E-2</v>
      </c>
      <c r="AE33" s="33">
        <v>2.1816656292400011E-2</v>
      </c>
      <c r="AF33" s="33">
        <v>3.2364169061510205E-2</v>
      </c>
      <c r="AG33" s="33">
        <v>4.8781801352619794E-2</v>
      </c>
      <c r="AH33" s="33">
        <v>7.2864429112246387E-2</v>
      </c>
      <c r="AI33" s="33">
        <v>0.10732075308252817</v>
      </c>
      <c r="AJ33" s="33">
        <v>0.14682779299912954</v>
      </c>
      <c r="AK33" s="33">
        <v>0.17862055963278439</v>
      </c>
      <c r="AL33" s="33">
        <v>0.18895943002379714</v>
      </c>
      <c r="AM33" s="33"/>
      <c r="AN33" s="39" t="s">
        <v>106</v>
      </c>
      <c r="AO33" s="37">
        <v>404</v>
      </c>
      <c r="AP33" s="72">
        <v>66.177999999999997</v>
      </c>
    </row>
    <row r="34" spans="1:42" x14ac:dyDescent="0.25">
      <c r="A34" s="39" t="s">
        <v>111</v>
      </c>
      <c r="B34" s="112">
        <v>508</v>
      </c>
      <c r="C34" s="38">
        <v>30366.043000000001</v>
      </c>
      <c r="D34" s="38">
        <v>31255.435000000001</v>
      </c>
      <c r="F34" s="39" t="s">
        <v>111</v>
      </c>
      <c r="G34" s="37">
        <v>508</v>
      </c>
      <c r="H34" s="53">
        <v>37.704000000000001</v>
      </c>
      <c r="I34" s="33"/>
      <c r="J34" s="54" t="s">
        <v>401</v>
      </c>
      <c r="K34" s="55" t="s">
        <v>266</v>
      </c>
      <c r="L34" s="56">
        <v>2016</v>
      </c>
      <c r="M34" s="57">
        <v>99.2</v>
      </c>
      <c r="O34" s="33" t="s">
        <v>118</v>
      </c>
      <c r="P34" s="33">
        <v>834</v>
      </c>
      <c r="Q34" s="33" t="s">
        <v>364</v>
      </c>
      <c r="R34" s="33">
        <v>4.1214049999999988E-2</v>
      </c>
      <c r="S34" s="33">
        <v>3.9968514348797191E-3</v>
      </c>
      <c r="T34" s="33">
        <v>1.5692769186358136E-3</v>
      </c>
      <c r="U34" s="33">
        <v>1.1113239191828232E-3</v>
      </c>
      <c r="V34" s="33">
        <v>1.7773475011780174E-3</v>
      </c>
      <c r="W34" s="33">
        <v>2.5708480479825877E-3</v>
      </c>
      <c r="X34" s="33">
        <v>2.9820183674253557E-3</v>
      </c>
      <c r="Y34" s="33">
        <v>3.4975578144642535E-3</v>
      </c>
      <c r="Z34" s="33">
        <v>4.2742986194550395E-3</v>
      </c>
      <c r="AA34" s="33">
        <v>5.4100149533494717E-3</v>
      </c>
      <c r="AB34" s="33">
        <v>6.8191765804846644E-3</v>
      </c>
      <c r="AC34" s="33">
        <v>9.6619323711781557E-3</v>
      </c>
      <c r="AD34" s="33">
        <v>1.2971158291646218E-2</v>
      </c>
      <c r="AE34" s="33">
        <v>1.9534292045119091E-2</v>
      </c>
      <c r="AF34" s="33">
        <v>3.0200797379379536E-2</v>
      </c>
      <c r="AG34" s="33">
        <v>4.6954893484656667E-2</v>
      </c>
      <c r="AH34" s="33">
        <v>7.1872878971078025E-2</v>
      </c>
      <c r="AI34" s="33">
        <v>0.10698365598780905</v>
      </c>
      <c r="AJ34" s="33">
        <v>0.14690133868387881</v>
      </c>
      <c r="AK34" s="33">
        <v>0.17985227207817817</v>
      </c>
      <c r="AL34" s="33">
        <v>0.18984651902912544</v>
      </c>
      <c r="AM34" s="33"/>
      <c r="AN34" s="39" t="s">
        <v>107</v>
      </c>
      <c r="AO34" s="37">
        <v>450</v>
      </c>
      <c r="AP34" s="72">
        <v>66.486999999999995</v>
      </c>
    </row>
    <row r="35" spans="1:42" x14ac:dyDescent="0.25">
      <c r="A35" s="39" t="s">
        <v>112</v>
      </c>
      <c r="B35" s="112">
        <v>638</v>
      </c>
      <c r="C35" s="38">
        <v>888.93200000000002</v>
      </c>
      <c r="D35" s="38">
        <v>895.30799999999999</v>
      </c>
      <c r="F35" s="39" t="s">
        <v>112</v>
      </c>
      <c r="G35" s="37">
        <v>638</v>
      </c>
      <c r="H35" s="53">
        <v>14.904999999999999</v>
      </c>
      <c r="I35" s="33"/>
      <c r="J35" s="54" t="s">
        <v>402</v>
      </c>
      <c r="K35" s="55" t="s">
        <v>102</v>
      </c>
      <c r="L35" s="56">
        <v>2012</v>
      </c>
      <c r="M35" s="57">
        <v>76.099999999999994</v>
      </c>
      <c r="O35" s="33" t="s">
        <v>119</v>
      </c>
      <c r="P35" s="33">
        <v>894</v>
      </c>
      <c r="Q35" s="33" t="s">
        <v>364</v>
      </c>
      <c r="R35" s="33">
        <v>4.562187000000005E-2</v>
      </c>
      <c r="S35" s="33">
        <v>3.9584650792448229E-3</v>
      </c>
      <c r="T35" s="33">
        <v>1.1583547777231982E-3</v>
      </c>
      <c r="U35" s="33">
        <v>9.1470513016646152E-4</v>
      </c>
      <c r="V35" s="33">
        <v>1.531452003082653E-3</v>
      </c>
      <c r="W35" s="33">
        <v>2.4741698327244675E-3</v>
      </c>
      <c r="X35" s="33">
        <v>3.4911013295935273E-3</v>
      </c>
      <c r="Y35" s="33">
        <v>4.6009529940942706E-3</v>
      </c>
      <c r="Z35" s="33">
        <v>6.1717718734134166E-3</v>
      </c>
      <c r="AA35" s="33">
        <v>7.6011520993801212E-3</v>
      </c>
      <c r="AB35" s="33">
        <v>9.3461649765706496E-3</v>
      </c>
      <c r="AC35" s="33">
        <v>1.2159368343164913E-2</v>
      </c>
      <c r="AD35" s="33">
        <v>1.5391839618814176E-2</v>
      </c>
      <c r="AE35" s="33">
        <v>2.1392777652369688E-2</v>
      </c>
      <c r="AF35" s="33">
        <v>3.1143819134226772E-2</v>
      </c>
      <c r="AG35" s="33">
        <v>4.631751204944709E-2</v>
      </c>
      <c r="AH35" s="33">
        <v>6.8688758505868031E-2</v>
      </c>
      <c r="AI35" s="33">
        <v>0.10188175021677477</v>
      </c>
      <c r="AJ35" s="33">
        <v>0.14150118876299858</v>
      </c>
      <c r="AK35" s="33">
        <v>0.17482671250688042</v>
      </c>
      <c r="AL35" s="33">
        <v>0.18744568488376726</v>
      </c>
      <c r="AM35" s="33"/>
      <c r="AN35" s="39" t="s">
        <v>108</v>
      </c>
      <c r="AO35" s="37">
        <v>454</v>
      </c>
      <c r="AP35" s="72">
        <v>63.432000000000002</v>
      </c>
    </row>
    <row r="36" spans="1:42" x14ac:dyDescent="0.25">
      <c r="A36" s="39" t="s">
        <v>113</v>
      </c>
      <c r="B36" s="112">
        <v>646</v>
      </c>
      <c r="C36" s="38">
        <v>12626.938</v>
      </c>
      <c r="D36" s="38">
        <v>12952.209000000001</v>
      </c>
      <c r="F36" s="39" t="s">
        <v>113</v>
      </c>
      <c r="G36" s="37">
        <v>646</v>
      </c>
      <c r="H36" s="53">
        <v>32.094000000000001</v>
      </c>
      <c r="I36" s="33"/>
      <c r="J36" s="54" t="s">
        <v>403</v>
      </c>
      <c r="K36" s="55" t="s">
        <v>126</v>
      </c>
      <c r="L36" s="56">
        <v>2015</v>
      </c>
      <c r="M36" s="57">
        <v>91.5</v>
      </c>
      <c r="O36" s="33" t="s">
        <v>120</v>
      </c>
      <c r="P36" s="33">
        <v>716</v>
      </c>
      <c r="Q36" s="33" t="s">
        <v>364</v>
      </c>
      <c r="R36" s="33">
        <v>3.875650999999998E-2</v>
      </c>
      <c r="S36" s="33">
        <v>3.2526800259526263E-3</v>
      </c>
      <c r="T36" s="33">
        <v>1.0638522358914809E-3</v>
      </c>
      <c r="U36" s="33">
        <v>9.1060157396529416E-4</v>
      </c>
      <c r="V36" s="33">
        <v>1.5706660873143156E-3</v>
      </c>
      <c r="W36" s="33">
        <v>2.8353147933742433E-3</v>
      </c>
      <c r="X36" s="33">
        <v>4.8215242159902784E-3</v>
      </c>
      <c r="Y36" s="33">
        <v>6.8929795141483155E-3</v>
      </c>
      <c r="Z36" s="33">
        <v>9.6863229863942257E-3</v>
      </c>
      <c r="AA36" s="33">
        <v>1.1323427399634064E-2</v>
      </c>
      <c r="AB36" s="33">
        <v>1.3401073426724686E-2</v>
      </c>
      <c r="AC36" s="33">
        <v>1.6031317582619459E-2</v>
      </c>
      <c r="AD36" s="33">
        <v>1.9157607118950946E-2</v>
      </c>
      <c r="AE36" s="33">
        <v>2.4843485887357467E-2</v>
      </c>
      <c r="AF36" s="33">
        <v>3.4380513825671297E-2</v>
      </c>
      <c r="AG36" s="33">
        <v>4.927703836195485E-2</v>
      </c>
      <c r="AH36" s="33">
        <v>7.1001716925981367E-2</v>
      </c>
      <c r="AI36" s="33">
        <v>0.10392577378203825</v>
      </c>
      <c r="AJ36" s="33">
        <v>0.14303205028467894</v>
      </c>
      <c r="AK36" s="33">
        <v>0.17373202878536326</v>
      </c>
      <c r="AL36" s="33">
        <v>0.18559452784452807</v>
      </c>
      <c r="AM36" s="33"/>
      <c r="AN36" s="39" t="s">
        <v>109</v>
      </c>
      <c r="AO36" s="37">
        <v>480</v>
      </c>
      <c r="AP36" s="72">
        <v>74.763000000000005</v>
      </c>
    </row>
    <row r="37" spans="1:42" x14ac:dyDescent="0.25">
      <c r="A37" s="39" t="s">
        <v>114</v>
      </c>
      <c r="B37" s="112">
        <v>690</v>
      </c>
      <c r="C37" s="38">
        <v>97.741</v>
      </c>
      <c r="D37" s="38">
        <v>98.34</v>
      </c>
      <c r="F37" s="39" t="s">
        <v>114</v>
      </c>
      <c r="G37" s="37">
        <v>690</v>
      </c>
      <c r="H37" s="53">
        <v>16.818999999999999</v>
      </c>
      <c r="I37" s="33"/>
      <c r="J37" s="54" t="s">
        <v>404</v>
      </c>
      <c r="K37" s="55" t="s">
        <v>296</v>
      </c>
      <c r="L37" s="56">
        <v>2009</v>
      </c>
      <c r="M37" s="57">
        <v>99.6</v>
      </c>
      <c r="O37" s="33" t="s">
        <v>121</v>
      </c>
      <c r="P37" s="33">
        <v>911</v>
      </c>
      <c r="Q37" s="33" t="s">
        <v>364</v>
      </c>
      <c r="R37" s="33">
        <v>6.4038571218096044E-2</v>
      </c>
      <c r="S37" s="33">
        <v>8.5161082454932729E-3</v>
      </c>
      <c r="T37" s="33">
        <v>3.160898363372498E-3</v>
      </c>
      <c r="U37" s="33">
        <v>1.9963372891389827E-3</v>
      </c>
      <c r="V37" s="33">
        <v>2.6826430262188146E-3</v>
      </c>
      <c r="W37" s="33">
        <v>3.6715039705768533E-3</v>
      </c>
      <c r="X37" s="33">
        <v>4.3421445929834671E-3</v>
      </c>
      <c r="Y37" s="33">
        <v>4.9919892214622154E-3</v>
      </c>
      <c r="Z37" s="33">
        <v>5.9259760423389495E-3</v>
      </c>
      <c r="AA37" s="33">
        <v>7.0671608430874899E-3</v>
      </c>
      <c r="AB37" s="33">
        <v>8.6954260395484349E-3</v>
      </c>
      <c r="AC37" s="33">
        <v>1.1328251794430495E-2</v>
      </c>
      <c r="AD37" s="33">
        <v>1.5410949949628026E-2</v>
      </c>
      <c r="AE37" s="33">
        <v>2.2258942175014843E-2</v>
      </c>
      <c r="AF37" s="33">
        <v>3.3237955686310022E-2</v>
      </c>
      <c r="AG37" s="33">
        <v>5.0456074219560478E-2</v>
      </c>
      <c r="AH37" s="33">
        <v>7.4761173476720247E-2</v>
      </c>
      <c r="AI37" s="33">
        <v>0.10423955343551437</v>
      </c>
      <c r="AJ37" s="33">
        <v>0.13475469507393334</v>
      </c>
      <c r="AK37" s="33">
        <v>0.16068655897656581</v>
      </c>
      <c r="AL37" s="33">
        <v>0.17849404356954399</v>
      </c>
      <c r="AM37" s="33"/>
      <c r="AN37" s="39" t="s">
        <v>110</v>
      </c>
      <c r="AO37" s="37">
        <v>175</v>
      </c>
      <c r="AP37" s="72">
        <v>79.344999999999999</v>
      </c>
    </row>
    <row r="38" spans="1:42" x14ac:dyDescent="0.25">
      <c r="A38" s="39" t="s">
        <v>115</v>
      </c>
      <c r="B38" s="112">
        <v>706</v>
      </c>
      <c r="C38" s="38">
        <v>15442.906000000001</v>
      </c>
      <c r="D38" s="38">
        <v>15893.218999999999</v>
      </c>
      <c r="F38" s="39" t="s">
        <v>115</v>
      </c>
      <c r="G38" s="37">
        <v>706</v>
      </c>
      <c r="H38" s="53">
        <v>41.868000000000002</v>
      </c>
      <c r="I38" s="33"/>
      <c r="J38" s="54" t="s">
        <v>405</v>
      </c>
      <c r="K38" s="55" t="s">
        <v>254</v>
      </c>
      <c r="L38" s="56">
        <v>2018</v>
      </c>
      <c r="M38" s="57">
        <v>97.8</v>
      </c>
      <c r="O38" s="33" t="s">
        <v>122</v>
      </c>
      <c r="P38" s="33">
        <v>24</v>
      </c>
      <c r="Q38" s="33" t="s">
        <v>364</v>
      </c>
      <c r="R38" s="33">
        <v>6.1459419999999952E-2</v>
      </c>
      <c r="S38" s="33">
        <v>5.175743173513085E-3</v>
      </c>
      <c r="T38" s="33">
        <v>1.908115459520635E-3</v>
      </c>
      <c r="U38" s="33">
        <v>1.391416817844411E-3</v>
      </c>
      <c r="V38" s="33">
        <v>2.337373534282608E-3</v>
      </c>
      <c r="W38" s="33">
        <v>3.2551495573046388E-3</v>
      </c>
      <c r="X38" s="33">
        <v>3.588621098633621E-3</v>
      </c>
      <c r="Y38" s="33">
        <v>4.1407403730012613E-3</v>
      </c>
      <c r="Z38" s="33">
        <v>5.1387338118963032E-3</v>
      </c>
      <c r="AA38" s="33">
        <v>6.5956752145436654E-3</v>
      </c>
      <c r="AB38" s="33">
        <v>8.8134475201013356E-3</v>
      </c>
      <c r="AC38" s="33">
        <v>1.2337852300670162E-2</v>
      </c>
      <c r="AD38" s="33">
        <v>1.7387588593789836E-2</v>
      </c>
      <c r="AE38" s="33">
        <v>2.5639022161472846E-2</v>
      </c>
      <c r="AF38" s="33">
        <v>3.7598293909545992E-2</v>
      </c>
      <c r="AG38" s="33">
        <v>5.5559489413917834E-2</v>
      </c>
      <c r="AH38" s="33">
        <v>7.9818388110813751E-2</v>
      </c>
      <c r="AI38" s="33">
        <v>0.10882136488375105</v>
      </c>
      <c r="AJ38" s="33">
        <v>0.13596093200907966</v>
      </c>
      <c r="AK38" s="33">
        <v>0.15990749660732004</v>
      </c>
      <c r="AL38" s="33">
        <v>0.17798561198194363</v>
      </c>
      <c r="AM38" s="33"/>
      <c r="AN38" s="39" t="s">
        <v>111</v>
      </c>
      <c r="AO38" s="37">
        <v>508</v>
      </c>
      <c r="AP38" s="72">
        <v>60.054000000000002</v>
      </c>
    </row>
    <row r="39" spans="1:42" x14ac:dyDescent="0.25">
      <c r="A39" s="39" t="s">
        <v>116</v>
      </c>
      <c r="B39" s="112">
        <v>728</v>
      </c>
      <c r="C39" s="38">
        <v>11062.114</v>
      </c>
      <c r="D39" s="38">
        <v>11193.728999999999</v>
      </c>
      <c r="F39" s="39" t="s">
        <v>116</v>
      </c>
      <c r="G39" s="37">
        <v>728</v>
      </c>
      <c r="H39" s="53">
        <v>35.191000000000003</v>
      </c>
      <c r="I39" s="33"/>
      <c r="J39" s="54" t="s">
        <v>406</v>
      </c>
      <c r="K39" s="55" t="s">
        <v>141</v>
      </c>
      <c r="L39" s="56">
        <v>2016</v>
      </c>
      <c r="M39" s="57">
        <v>69.8</v>
      </c>
      <c r="O39" s="33" t="s">
        <v>123</v>
      </c>
      <c r="P39" s="33">
        <v>120</v>
      </c>
      <c r="Q39" s="33" t="s">
        <v>364</v>
      </c>
      <c r="R39" s="33">
        <v>6.119441000000006E-2</v>
      </c>
      <c r="S39" s="33">
        <v>7.2176258558494548E-3</v>
      </c>
      <c r="T39" s="33">
        <v>2.6275587039534072E-3</v>
      </c>
      <c r="U39" s="33">
        <v>1.7924673681891632E-3</v>
      </c>
      <c r="V39" s="33">
        <v>2.6749331320549278E-3</v>
      </c>
      <c r="W39" s="33">
        <v>3.8411895876434422E-3</v>
      </c>
      <c r="X39" s="33">
        <v>4.5577375755387209E-3</v>
      </c>
      <c r="Y39" s="33">
        <v>5.3565303343789759E-3</v>
      </c>
      <c r="Z39" s="33">
        <v>6.4853402754334391E-3</v>
      </c>
      <c r="AA39" s="33">
        <v>7.9277310419522892E-3</v>
      </c>
      <c r="AB39" s="33">
        <v>9.6224058705783044E-3</v>
      </c>
      <c r="AC39" s="33">
        <v>1.2983774435845554E-2</v>
      </c>
      <c r="AD39" s="33">
        <v>1.6929201860546864E-2</v>
      </c>
      <c r="AE39" s="33">
        <v>2.4637086454959319E-2</v>
      </c>
      <c r="AF39" s="33">
        <v>3.6873179579201235E-2</v>
      </c>
      <c r="AG39" s="33">
        <v>5.5759166911210051E-2</v>
      </c>
      <c r="AH39" s="33">
        <v>8.2609444240637903E-2</v>
      </c>
      <c r="AI39" s="33">
        <v>0.11878660513009633</v>
      </c>
      <c r="AJ39" s="33">
        <v>0.15675453059100936</v>
      </c>
      <c r="AK39" s="33">
        <v>0.18387036190936415</v>
      </c>
      <c r="AL39" s="33">
        <v>0.18995136782086644</v>
      </c>
      <c r="AM39" s="33"/>
      <c r="AN39" s="39" t="s">
        <v>112</v>
      </c>
      <c r="AO39" s="37">
        <v>638</v>
      </c>
      <c r="AP39" s="72">
        <v>80.031999999999996</v>
      </c>
    </row>
    <row r="40" spans="1:42" x14ac:dyDescent="0.25">
      <c r="A40" s="39" t="s">
        <v>117</v>
      </c>
      <c r="B40" s="112">
        <v>800</v>
      </c>
      <c r="C40" s="38">
        <v>44269.587</v>
      </c>
      <c r="D40" s="38">
        <v>45741</v>
      </c>
      <c r="F40" s="39" t="s">
        <v>117</v>
      </c>
      <c r="G40" s="37">
        <v>800</v>
      </c>
      <c r="H40" s="53">
        <v>38.436999999999998</v>
      </c>
      <c r="I40" s="33"/>
      <c r="J40" s="54" t="s">
        <v>407</v>
      </c>
      <c r="K40" s="55" t="s">
        <v>232</v>
      </c>
      <c r="L40" s="56">
        <v>2015</v>
      </c>
      <c r="M40" s="57">
        <v>99.9</v>
      </c>
      <c r="O40" s="33" t="s">
        <v>124</v>
      </c>
      <c r="P40" s="33">
        <v>140</v>
      </c>
      <c r="Q40" s="33" t="s">
        <v>364</v>
      </c>
      <c r="R40" s="33">
        <v>8.1922939999999944E-2</v>
      </c>
      <c r="S40" s="33">
        <v>1.0878201770992952E-2</v>
      </c>
      <c r="T40" s="33">
        <v>3.1964143762712766E-3</v>
      </c>
      <c r="U40" s="33">
        <v>2.2879438563343461E-3</v>
      </c>
      <c r="V40" s="33">
        <v>3.2946666733317093E-3</v>
      </c>
      <c r="W40" s="33">
        <v>5.0192257116822353E-3</v>
      </c>
      <c r="X40" s="33">
        <v>6.8432530446659069E-3</v>
      </c>
      <c r="Y40" s="33">
        <v>8.6738032464507842E-3</v>
      </c>
      <c r="Z40" s="33">
        <v>1.1062967535899281E-2</v>
      </c>
      <c r="AA40" s="33">
        <v>1.2937061582216988E-2</v>
      </c>
      <c r="AB40" s="33">
        <v>1.4983573488699718E-2</v>
      </c>
      <c r="AC40" s="33">
        <v>1.8293733980304344E-2</v>
      </c>
      <c r="AD40" s="33">
        <v>2.2298694890880218E-2</v>
      </c>
      <c r="AE40" s="33">
        <v>2.9786511926594324E-2</v>
      </c>
      <c r="AF40" s="33">
        <v>4.1518704376223209E-2</v>
      </c>
      <c r="AG40" s="33">
        <v>5.9437275456103944E-2</v>
      </c>
      <c r="AH40" s="33">
        <v>8.4083240543308749E-2</v>
      </c>
      <c r="AI40" s="33">
        <v>0.11801391721629427</v>
      </c>
      <c r="AJ40" s="33">
        <v>0.15387640621894813</v>
      </c>
      <c r="AK40" s="33">
        <v>0.1794807122599974</v>
      </c>
      <c r="AL40" s="33">
        <v>0.1877332125933043</v>
      </c>
      <c r="AM40" s="33"/>
      <c r="AN40" s="39" t="s">
        <v>113</v>
      </c>
      <c r="AO40" s="37">
        <v>646</v>
      </c>
      <c r="AP40" s="72">
        <v>68.438000000000002</v>
      </c>
    </row>
    <row r="41" spans="1:42" x14ac:dyDescent="0.25">
      <c r="A41" s="39" t="s">
        <v>118</v>
      </c>
      <c r="B41" s="112">
        <v>834</v>
      </c>
      <c r="C41" s="38">
        <v>58005.461000000003</v>
      </c>
      <c r="D41" s="38">
        <v>59734.213000000003</v>
      </c>
      <c r="F41" s="39" t="s">
        <v>118</v>
      </c>
      <c r="G41" s="37">
        <v>834</v>
      </c>
      <c r="H41" s="53">
        <v>36.901000000000003</v>
      </c>
      <c r="I41" s="33"/>
      <c r="J41" s="54" t="s">
        <v>408</v>
      </c>
      <c r="K41" s="55" t="s">
        <v>168</v>
      </c>
      <c r="L41" s="56">
        <v>2014</v>
      </c>
      <c r="M41" s="57">
        <v>97.4</v>
      </c>
      <c r="O41" s="33" t="s">
        <v>125</v>
      </c>
      <c r="P41" s="33">
        <v>148</v>
      </c>
      <c r="Q41" s="33" t="s">
        <v>364</v>
      </c>
      <c r="R41" s="33">
        <v>7.452462E-2</v>
      </c>
      <c r="S41" s="33">
        <v>1.3083130315146792E-2</v>
      </c>
      <c r="T41" s="33">
        <v>5.1726818568924651E-3</v>
      </c>
      <c r="U41" s="33">
        <v>3.3557672904945485E-3</v>
      </c>
      <c r="V41" s="33">
        <v>3.8593400925335006E-3</v>
      </c>
      <c r="W41" s="33">
        <v>5.0987288719791489E-3</v>
      </c>
      <c r="X41" s="33">
        <v>6.6955044433153633E-3</v>
      </c>
      <c r="Y41" s="33">
        <v>8.4720848040507456E-3</v>
      </c>
      <c r="Z41" s="33">
        <v>1.0411925957953318E-2</v>
      </c>
      <c r="AA41" s="33">
        <v>1.1080151343649754E-2</v>
      </c>
      <c r="AB41" s="33">
        <v>1.1559324901721306E-2</v>
      </c>
      <c r="AC41" s="33">
        <v>1.2924525230492354E-2</v>
      </c>
      <c r="AD41" s="33">
        <v>1.6349138162578825E-2</v>
      </c>
      <c r="AE41" s="33">
        <v>2.34057272938786E-2</v>
      </c>
      <c r="AF41" s="33">
        <v>3.4681211713298674E-2</v>
      </c>
      <c r="AG41" s="33">
        <v>5.2117806535806076E-2</v>
      </c>
      <c r="AH41" s="33">
        <v>7.5725788787142714E-2</v>
      </c>
      <c r="AI41" s="33">
        <v>0.10590133201655805</v>
      </c>
      <c r="AJ41" s="33">
        <v>0.13696195144420933</v>
      </c>
      <c r="AK41" s="33">
        <v>0.16219236641061724</v>
      </c>
      <c r="AL41" s="33">
        <v>0.17872314050125573</v>
      </c>
      <c r="AM41" s="33"/>
      <c r="AN41" s="39" t="s">
        <v>114</v>
      </c>
      <c r="AO41" s="37">
        <v>690</v>
      </c>
      <c r="AP41" s="72">
        <v>73.290999999999997</v>
      </c>
    </row>
    <row r="42" spans="1:42" x14ac:dyDescent="0.25">
      <c r="A42" s="39" t="s">
        <v>119</v>
      </c>
      <c r="B42" s="112">
        <v>894</v>
      </c>
      <c r="C42" s="38">
        <v>17861.034</v>
      </c>
      <c r="D42" s="38">
        <v>18383.955999999998</v>
      </c>
      <c r="F42" s="39" t="s">
        <v>119</v>
      </c>
      <c r="G42" s="37">
        <v>894</v>
      </c>
      <c r="H42" s="53">
        <v>36.283000000000001</v>
      </c>
      <c r="I42" s="33"/>
      <c r="J42" s="54" t="s">
        <v>409</v>
      </c>
      <c r="K42" s="55" t="s">
        <v>309</v>
      </c>
      <c r="L42" s="56">
        <v>2013</v>
      </c>
      <c r="M42" s="57">
        <v>99.8</v>
      </c>
      <c r="O42" s="33" t="s">
        <v>126</v>
      </c>
      <c r="P42" s="33">
        <v>178</v>
      </c>
      <c r="Q42" s="33" t="s">
        <v>364</v>
      </c>
      <c r="R42" s="33">
        <v>3.530600999999995E-2</v>
      </c>
      <c r="S42" s="33">
        <v>3.1717311724933847E-3</v>
      </c>
      <c r="T42" s="33">
        <v>1.3452772188216387E-3</v>
      </c>
      <c r="U42" s="33">
        <v>9.9392376760084429E-4</v>
      </c>
      <c r="V42" s="33">
        <v>1.6210963076301219E-3</v>
      </c>
      <c r="W42" s="33">
        <v>2.5597781871428797E-3</v>
      </c>
      <c r="X42" s="33">
        <v>3.44003463784692E-3</v>
      </c>
      <c r="Y42" s="33">
        <v>4.3737151618387328E-3</v>
      </c>
      <c r="Z42" s="33">
        <v>5.6764018575043334E-3</v>
      </c>
      <c r="AA42" s="33">
        <v>6.9930262268914824E-3</v>
      </c>
      <c r="AB42" s="33">
        <v>8.5974144782363215E-3</v>
      </c>
      <c r="AC42" s="33">
        <v>1.1451863433616953E-2</v>
      </c>
      <c r="AD42" s="33">
        <v>1.4818382230749182E-2</v>
      </c>
      <c r="AE42" s="33">
        <v>2.1302291206178454E-2</v>
      </c>
      <c r="AF42" s="33">
        <v>3.1865335079911378E-2</v>
      </c>
      <c r="AG42" s="33">
        <v>4.8549067683627468E-2</v>
      </c>
      <c r="AH42" s="33">
        <v>7.3367233525748185E-2</v>
      </c>
      <c r="AI42" s="33">
        <v>0.10931198128355135</v>
      </c>
      <c r="AJ42" s="33">
        <v>0.15002151967875849</v>
      </c>
      <c r="AK42" s="33">
        <v>0.18105531460327798</v>
      </c>
      <c r="AL42" s="33">
        <v>0.18968310805025923</v>
      </c>
      <c r="AM42" s="33"/>
      <c r="AN42" s="39" t="s">
        <v>115</v>
      </c>
      <c r="AO42" s="37">
        <v>706</v>
      </c>
      <c r="AP42" s="72">
        <v>56.941000000000003</v>
      </c>
    </row>
    <row r="43" spans="1:42" x14ac:dyDescent="0.25">
      <c r="A43" s="39" t="s">
        <v>120</v>
      </c>
      <c r="B43" s="112">
        <v>716</v>
      </c>
      <c r="C43" s="38">
        <v>14645.473</v>
      </c>
      <c r="D43" s="38">
        <v>14862.927</v>
      </c>
      <c r="F43" s="39" t="s">
        <v>120</v>
      </c>
      <c r="G43" s="37">
        <v>716</v>
      </c>
      <c r="H43" s="53">
        <v>30.844999999999999</v>
      </c>
      <c r="I43" s="33"/>
      <c r="J43" s="54" t="s">
        <v>410</v>
      </c>
      <c r="K43" s="55" t="s">
        <v>411</v>
      </c>
      <c r="L43" s="56">
        <v>2017</v>
      </c>
      <c r="M43" s="57">
        <v>92.2</v>
      </c>
      <c r="O43" s="33" t="s">
        <v>127</v>
      </c>
      <c r="P43" s="33">
        <v>180</v>
      </c>
      <c r="Q43" s="33" t="s">
        <v>364</v>
      </c>
      <c r="R43" s="33">
        <v>6.4932519999999938E-2</v>
      </c>
      <c r="S43" s="33">
        <v>9.5056695801248679E-3</v>
      </c>
      <c r="T43" s="33">
        <v>3.4410748447625044E-3</v>
      </c>
      <c r="U43" s="33">
        <v>2.0330546256173577E-3</v>
      </c>
      <c r="V43" s="33">
        <v>2.719773650616568E-3</v>
      </c>
      <c r="W43" s="33">
        <v>3.6635580335150114E-3</v>
      </c>
      <c r="X43" s="33">
        <v>4.0131964022377788E-3</v>
      </c>
      <c r="Y43" s="33">
        <v>4.4064621302765915E-3</v>
      </c>
      <c r="Z43" s="33">
        <v>4.9888338436428958E-3</v>
      </c>
      <c r="AA43" s="33">
        <v>6.1151343995977494E-3</v>
      </c>
      <c r="AB43" s="33">
        <v>7.3603030081988681E-3</v>
      </c>
      <c r="AC43" s="33">
        <v>1.0138900378272279E-2</v>
      </c>
      <c r="AD43" s="33">
        <v>1.344107868531209E-2</v>
      </c>
      <c r="AE43" s="33">
        <v>2.0035393681773542E-2</v>
      </c>
      <c r="AF43" s="33">
        <v>3.0375283369765884E-2</v>
      </c>
      <c r="AG43" s="33">
        <v>4.6352652330819422E-2</v>
      </c>
      <c r="AH43" s="33">
        <v>6.8917204664108972E-2</v>
      </c>
      <c r="AI43" s="33">
        <v>9.8668373818565164E-2</v>
      </c>
      <c r="AJ43" s="33">
        <v>0.13067829451434507</v>
      </c>
      <c r="AK43" s="33">
        <v>0.15784700316171463</v>
      </c>
      <c r="AL43" s="33">
        <v>0.17666724177473303</v>
      </c>
      <c r="AM43" s="33"/>
      <c r="AN43" s="39" t="s">
        <v>116</v>
      </c>
      <c r="AO43" s="37">
        <v>728</v>
      </c>
      <c r="AP43" s="72">
        <v>57.424999999999997</v>
      </c>
    </row>
    <row r="44" spans="1:42" x14ac:dyDescent="0.25">
      <c r="A44" s="43" t="s">
        <v>121</v>
      </c>
      <c r="B44" s="114">
        <v>911</v>
      </c>
      <c r="C44" s="45">
        <v>174308.427</v>
      </c>
      <c r="D44" s="45">
        <v>179595.125</v>
      </c>
      <c r="F44" s="43" t="s">
        <v>121</v>
      </c>
      <c r="G44" s="44">
        <v>911</v>
      </c>
      <c r="H44" s="59">
        <v>39.933999999999997</v>
      </c>
      <c r="I44" s="33"/>
      <c r="J44" s="54" t="s">
        <v>412</v>
      </c>
      <c r="K44" s="55" t="s">
        <v>413</v>
      </c>
      <c r="L44" s="56">
        <v>2018</v>
      </c>
      <c r="M44" s="57">
        <v>81.5</v>
      </c>
      <c r="O44" s="33" t="s">
        <v>128</v>
      </c>
      <c r="P44" s="33">
        <v>226</v>
      </c>
      <c r="Q44" s="33" t="s">
        <v>364</v>
      </c>
      <c r="R44" s="33">
        <v>6.615154999999999E-2</v>
      </c>
      <c r="S44" s="33">
        <v>7.402633157446486E-3</v>
      </c>
      <c r="T44" s="33">
        <v>2.1810695183507099E-3</v>
      </c>
      <c r="U44" s="33">
        <v>1.5562487226160725E-3</v>
      </c>
      <c r="V44" s="33">
        <v>2.3132551113445414E-3</v>
      </c>
      <c r="W44" s="33">
        <v>3.4802340590138416E-3</v>
      </c>
      <c r="X44" s="33">
        <v>4.5521277188898144E-3</v>
      </c>
      <c r="Y44" s="33">
        <v>5.7480766731512912E-3</v>
      </c>
      <c r="Z44" s="33">
        <v>7.4241408926806708E-3</v>
      </c>
      <c r="AA44" s="33">
        <v>9.0465084276737297E-3</v>
      </c>
      <c r="AB44" s="33">
        <v>1.0861773807009084E-2</v>
      </c>
      <c r="AC44" s="33">
        <v>1.3991105432571413E-2</v>
      </c>
      <c r="AD44" s="33">
        <v>1.7756206547881865E-2</v>
      </c>
      <c r="AE44" s="33">
        <v>2.4992880145554782E-2</v>
      </c>
      <c r="AF44" s="33">
        <v>3.6571653590172899E-2</v>
      </c>
      <c r="AG44" s="33">
        <v>5.4569874871999657E-2</v>
      </c>
      <c r="AH44" s="33">
        <v>8.0250756410082932E-2</v>
      </c>
      <c r="AI44" s="33">
        <v>0.11593152791385582</v>
      </c>
      <c r="AJ44" s="33">
        <v>0.15409844685016419</v>
      </c>
      <c r="AK44" s="33">
        <v>0.18164158514648934</v>
      </c>
      <c r="AL44" s="33">
        <v>0.18918617294163986</v>
      </c>
      <c r="AM44" s="33"/>
      <c r="AN44" s="39" t="s">
        <v>117</v>
      </c>
      <c r="AO44" s="37">
        <v>800</v>
      </c>
      <c r="AP44" s="72">
        <v>62.756</v>
      </c>
    </row>
    <row r="45" spans="1:42" x14ac:dyDescent="0.25">
      <c r="A45" s="39" t="s">
        <v>122</v>
      </c>
      <c r="B45" s="112">
        <v>24</v>
      </c>
      <c r="C45" s="38">
        <v>31825.298999999999</v>
      </c>
      <c r="D45" s="38">
        <v>32866.267999999996</v>
      </c>
      <c r="F45" s="39" t="s">
        <v>122</v>
      </c>
      <c r="G45" s="37">
        <v>24</v>
      </c>
      <c r="H45" s="53">
        <v>40.923000000000002</v>
      </c>
      <c r="I45" s="33"/>
      <c r="J45" s="54" t="s">
        <v>412</v>
      </c>
      <c r="K45" s="55" t="s">
        <v>127</v>
      </c>
      <c r="L45" s="56">
        <v>2014</v>
      </c>
      <c r="M45" s="57">
        <v>79.900000000000006</v>
      </c>
      <c r="O45" s="33" t="s">
        <v>129</v>
      </c>
      <c r="P45" s="33">
        <v>266</v>
      </c>
      <c r="Q45" s="33" t="s">
        <v>364</v>
      </c>
      <c r="R45" s="33">
        <v>3.5289049999999988E-2</v>
      </c>
      <c r="S45" s="33">
        <v>3.2822266607422609E-3</v>
      </c>
      <c r="T45" s="33">
        <v>1.4246611256491133E-3</v>
      </c>
      <c r="U45" s="33">
        <v>1.0168697486343512E-3</v>
      </c>
      <c r="V45" s="33">
        <v>1.6831402253875375E-3</v>
      </c>
      <c r="W45" s="33">
        <v>2.4521700865733679E-3</v>
      </c>
      <c r="X45" s="33">
        <v>2.8030899832170719E-3</v>
      </c>
      <c r="Y45" s="33">
        <v>3.2615302728932773E-3</v>
      </c>
      <c r="Z45" s="33">
        <v>3.9674325463094733E-3</v>
      </c>
      <c r="AA45" s="33">
        <v>5.0423508811659017E-3</v>
      </c>
      <c r="AB45" s="33">
        <v>6.4192521777389194E-3</v>
      </c>
      <c r="AC45" s="33">
        <v>9.1931682307958215E-3</v>
      </c>
      <c r="AD45" s="33">
        <v>1.2376268022031546E-2</v>
      </c>
      <c r="AE45" s="33">
        <v>1.8788781969380986E-2</v>
      </c>
      <c r="AF45" s="33">
        <v>2.9231552200221736E-2</v>
      </c>
      <c r="AG45" s="33">
        <v>4.547283590363508E-2</v>
      </c>
      <c r="AH45" s="33">
        <v>6.9728157093137316E-2</v>
      </c>
      <c r="AI45" s="33">
        <v>0.10415017804360961</v>
      </c>
      <c r="AJ45" s="33">
        <v>0.14414752105565432</v>
      </c>
      <c r="AK45" s="33">
        <v>0.17836414951536853</v>
      </c>
      <c r="AL45" s="33">
        <v>0.18954100115392675</v>
      </c>
      <c r="AM45" s="33"/>
      <c r="AN45" s="39" t="s">
        <v>118</v>
      </c>
      <c r="AO45" s="37">
        <v>834</v>
      </c>
      <c r="AP45" s="72">
        <v>64.841999999999999</v>
      </c>
    </row>
    <row r="46" spans="1:42" x14ac:dyDescent="0.25">
      <c r="A46" s="39" t="s">
        <v>123</v>
      </c>
      <c r="B46" s="112">
        <v>120</v>
      </c>
      <c r="C46" s="38">
        <v>25876.386999999999</v>
      </c>
      <c r="D46" s="38">
        <v>26545.864000000001</v>
      </c>
      <c r="F46" s="39" t="s">
        <v>123</v>
      </c>
      <c r="G46" s="37">
        <v>120</v>
      </c>
      <c r="H46" s="53">
        <v>35.609000000000002</v>
      </c>
      <c r="I46" s="33"/>
      <c r="J46" s="54" t="s">
        <v>414</v>
      </c>
      <c r="K46" s="55" t="s">
        <v>103</v>
      </c>
      <c r="L46" s="56">
        <v>2012</v>
      </c>
      <c r="M46" s="57">
        <v>86.7</v>
      </c>
      <c r="O46" s="33" t="s">
        <v>130</v>
      </c>
      <c r="P46" s="33">
        <v>678</v>
      </c>
      <c r="Q46" s="33" t="s">
        <v>364</v>
      </c>
      <c r="R46" s="33">
        <v>2.6431950000000069E-2</v>
      </c>
      <c r="S46" s="33">
        <v>1.519919434496609E-3</v>
      </c>
      <c r="T46" s="33">
        <v>5.9194187000047012E-4</v>
      </c>
      <c r="U46" s="33">
        <v>4.9393175232565563E-4</v>
      </c>
      <c r="V46" s="33">
        <v>9.7025317122540584E-4</v>
      </c>
      <c r="W46" s="33">
        <v>1.2724896188506768E-3</v>
      </c>
      <c r="X46" s="33">
        <v>1.3489911868145125E-3</v>
      </c>
      <c r="Y46" s="33">
        <v>1.6069422899664999E-3</v>
      </c>
      <c r="Z46" s="33">
        <v>2.1623169059386891E-3</v>
      </c>
      <c r="AA46" s="33">
        <v>3.0951101718203933E-3</v>
      </c>
      <c r="AB46" s="33">
        <v>4.7366852888282287E-3</v>
      </c>
      <c r="AC46" s="33">
        <v>7.3076792960580089E-3</v>
      </c>
      <c r="AD46" s="33">
        <v>1.1299390932147995E-2</v>
      </c>
      <c r="AE46" s="33">
        <v>1.773095205125377E-2</v>
      </c>
      <c r="AF46" s="33">
        <v>2.7864431260591616E-2</v>
      </c>
      <c r="AG46" s="33">
        <v>4.359812586435248E-2</v>
      </c>
      <c r="AH46" s="33">
        <v>6.6475510705730947E-2</v>
      </c>
      <c r="AI46" s="33">
        <v>9.5717020333396241E-2</v>
      </c>
      <c r="AJ46" s="33">
        <v>0.12562378873953089</v>
      </c>
      <c r="AK46" s="33">
        <v>0.15364551762682779</v>
      </c>
      <c r="AL46" s="33">
        <v>0.17483643439916882</v>
      </c>
      <c r="AM46" s="33"/>
      <c r="AN46" s="39" t="s">
        <v>119</v>
      </c>
      <c r="AO46" s="37">
        <v>894</v>
      </c>
      <c r="AP46" s="72">
        <v>63.258000000000003</v>
      </c>
    </row>
    <row r="47" spans="1:42" x14ac:dyDescent="0.25">
      <c r="A47" s="39" t="s">
        <v>124</v>
      </c>
      <c r="B47" s="112">
        <v>140</v>
      </c>
      <c r="C47" s="38">
        <v>4745.1790000000001</v>
      </c>
      <c r="D47" s="38">
        <v>4829.7640000000001</v>
      </c>
      <c r="F47" s="39" t="s">
        <v>124</v>
      </c>
      <c r="G47" s="37">
        <v>140</v>
      </c>
      <c r="H47" s="53">
        <v>35.409999999999997</v>
      </c>
      <c r="I47" s="33"/>
      <c r="J47" s="54" t="s">
        <v>415</v>
      </c>
      <c r="K47" s="55" t="s">
        <v>235</v>
      </c>
      <c r="L47" s="56">
        <v>2014</v>
      </c>
      <c r="M47" s="57">
        <v>97.9</v>
      </c>
      <c r="O47" s="33" t="s">
        <v>131</v>
      </c>
      <c r="P47" s="33">
        <v>913</v>
      </c>
      <c r="Q47" s="33" t="s">
        <v>364</v>
      </c>
      <c r="R47" s="33">
        <v>2.9390142237961991E-2</v>
      </c>
      <c r="S47" s="33">
        <v>2.3502657881999739E-3</v>
      </c>
      <c r="T47" s="33">
        <v>9.3421776725660861E-4</v>
      </c>
      <c r="U47" s="33">
        <v>7.9802516754307789E-4</v>
      </c>
      <c r="V47" s="33">
        <v>1.2920897463710476E-3</v>
      </c>
      <c r="W47" s="33">
        <v>2.3663713929765861E-3</v>
      </c>
      <c r="X47" s="33">
        <v>3.8554067014739718E-3</v>
      </c>
      <c r="Y47" s="33">
        <v>5.8210345532381021E-3</v>
      </c>
      <c r="Z47" s="33">
        <v>8.0735413397447116E-3</v>
      </c>
      <c r="AA47" s="33">
        <v>9.9514525769996438E-3</v>
      </c>
      <c r="AB47" s="33">
        <v>1.1814935788850541E-2</v>
      </c>
      <c r="AC47" s="33">
        <v>1.4210816293729887E-2</v>
      </c>
      <c r="AD47" s="33">
        <v>1.7451575099072157E-2</v>
      </c>
      <c r="AE47" s="33">
        <v>2.2941600651404902E-2</v>
      </c>
      <c r="AF47" s="33">
        <v>3.173480226214527E-2</v>
      </c>
      <c r="AG47" s="33">
        <v>4.7702013005558493E-2</v>
      </c>
      <c r="AH47" s="33">
        <v>7.242102322871935E-2</v>
      </c>
      <c r="AI47" s="33">
        <v>0.1030213576496682</v>
      </c>
      <c r="AJ47" s="33">
        <v>0.13496528751784284</v>
      </c>
      <c r="AK47" s="33">
        <v>0.16185996651608714</v>
      </c>
      <c r="AL47" s="33">
        <v>0.17980972244793358</v>
      </c>
      <c r="AM47" s="33"/>
      <c r="AN47" s="39" t="s">
        <v>120</v>
      </c>
      <c r="AO47" s="37">
        <v>716</v>
      </c>
      <c r="AP47" s="72">
        <v>60.832999999999998</v>
      </c>
    </row>
    <row r="48" spans="1:42" x14ac:dyDescent="0.25">
      <c r="A48" s="39" t="s">
        <v>125</v>
      </c>
      <c r="B48" s="112">
        <v>148</v>
      </c>
      <c r="C48" s="38">
        <v>15946.882</v>
      </c>
      <c r="D48" s="38">
        <v>16425.859</v>
      </c>
      <c r="F48" s="39" t="s">
        <v>125</v>
      </c>
      <c r="G48" s="37">
        <v>148</v>
      </c>
      <c r="H48" s="53">
        <v>42.433</v>
      </c>
      <c r="I48" s="33"/>
      <c r="J48" s="54" t="s">
        <v>416</v>
      </c>
      <c r="K48" s="55" t="s">
        <v>267</v>
      </c>
      <c r="L48" s="56">
        <v>2014</v>
      </c>
      <c r="M48" s="57">
        <v>93.3</v>
      </c>
      <c r="O48" s="33" t="s">
        <v>132</v>
      </c>
      <c r="P48" s="33">
        <v>72</v>
      </c>
      <c r="Q48" s="33" t="s">
        <v>364</v>
      </c>
      <c r="R48" s="33">
        <v>3.0160739999999932E-2</v>
      </c>
      <c r="S48" s="33">
        <v>2.0156072048475504E-3</v>
      </c>
      <c r="T48" s="33">
        <v>5.2198706887591855E-4</v>
      </c>
      <c r="U48" s="33">
        <v>4.3840538932199332E-4</v>
      </c>
      <c r="V48" s="33">
        <v>7.8506094886064942E-4</v>
      </c>
      <c r="W48" s="33">
        <v>1.3829633814185711E-3</v>
      </c>
      <c r="X48" s="33">
        <v>2.2022662689883169E-3</v>
      </c>
      <c r="Y48" s="33">
        <v>3.1381645842773185E-3</v>
      </c>
      <c r="Z48" s="33">
        <v>4.5169997243930081E-3</v>
      </c>
      <c r="AA48" s="33">
        <v>5.6268078527099679E-3</v>
      </c>
      <c r="AB48" s="33">
        <v>7.0094243114026374E-3</v>
      </c>
      <c r="AC48" s="33">
        <v>8.962636173207186E-3</v>
      </c>
      <c r="AD48" s="33">
        <v>1.1197285644061732E-2</v>
      </c>
      <c r="AE48" s="33">
        <v>1.5649063132168003E-2</v>
      </c>
      <c r="AF48" s="33">
        <v>2.3495641099233546E-2</v>
      </c>
      <c r="AG48" s="33">
        <v>3.5985853599522818E-2</v>
      </c>
      <c r="AH48" s="33">
        <v>5.4975598922963879E-2</v>
      </c>
      <c r="AI48" s="33">
        <v>8.5568510513363741E-2</v>
      </c>
      <c r="AJ48" s="33">
        <v>0.12580420791353883</v>
      </c>
      <c r="AK48" s="33">
        <v>0.16400218688819299</v>
      </c>
      <c r="AL48" s="33">
        <v>0.18242030187253114</v>
      </c>
      <c r="AM48" s="33"/>
      <c r="AN48" s="43" t="s">
        <v>121</v>
      </c>
      <c r="AO48" s="44">
        <v>911</v>
      </c>
      <c r="AP48" s="77">
        <v>59.355267303342202</v>
      </c>
    </row>
    <row r="49" spans="1:42" x14ac:dyDescent="0.25">
      <c r="A49" s="39" t="s">
        <v>126</v>
      </c>
      <c r="B49" s="112">
        <v>178</v>
      </c>
      <c r="C49" s="38">
        <v>5380.5039999999999</v>
      </c>
      <c r="D49" s="38">
        <v>5518.0919999999996</v>
      </c>
      <c r="F49" s="39" t="s">
        <v>126</v>
      </c>
      <c r="G49" s="37">
        <v>178</v>
      </c>
      <c r="H49" s="53">
        <v>33.049999999999997</v>
      </c>
      <c r="I49" s="33"/>
      <c r="J49" s="54" t="s">
        <v>417</v>
      </c>
      <c r="K49" s="55" t="s">
        <v>158</v>
      </c>
      <c r="L49" s="56">
        <v>2014</v>
      </c>
      <c r="M49" s="57">
        <v>86.7</v>
      </c>
      <c r="O49" s="33" t="s">
        <v>133</v>
      </c>
      <c r="P49" s="33">
        <v>748</v>
      </c>
      <c r="Q49" s="33" t="s">
        <v>364</v>
      </c>
      <c r="R49" s="33">
        <v>4.1364780000000025E-2</v>
      </c>
      <c r="S49" s="33">
        <v>3.4059410001647896E-3</v>
      </c>
      <c r="T49" s="33">
        <v>9.8030722047431234E-4</v>
      </c>
      <c r="U49" s="33">
        <v>8.6807639205732548E-4</v>
      </c>
      <c r="V49" s="33">
        <v>1.4461408425982657E-3</v>
      </c>
      <c r="W49" s="33">
        <v>2.7145884310466198E-3</v>
      </c>
      <c r="X49" s="33">
        <v>5.1136808851141866E-3</v>
      </c>
      <c r="Y49" s="33">
        <v>7.891072324963902E-3</v>
      </c>
      <c r="Z49" s="33">
        <v>1.184394012407225E-2</v>
      </c>
      <c r="AA49" s="33">
        <v>1.3774594490664763E-2</v>
      </c>
      <c r="AB49" s="33">
        <v>1.6473925374650578E-2</v>
      </c>
      <c r="AC49" s="33">
        <v>1.9192056716447851E-2</v>
      </c>
      <c r="AD49" s="33">
        <v>2.2386772623661511E-2</v>
      </c>
      <c r="AE49" s="33">
        <v>2.7120612335334537E-2</v>
      </c>
      <c r="AF49" s="33">
        <v>3.492585157254887E-2</v>
      </c>
      <c r="AG49" s="33">
        <v>4.7731677173213805E-2</v>
      </c>
      <c r="AH49" s="33">
        <v>6.6573082502703551E-2</v>
      </c>
      <c r="AI49" s="33">
        <v>9.7492856558824795E-2</v>
      </c>
      <c r="AJ49" s="33">
        <v>0.13733419141121558</v>
      </c>
      <c r="AK49" s="33">
        <v>0.16949007393556464</v>
      </c>
      <c r="AL49" s="33">
        <v>0.18298509554159806</v>
      </c>
      <c r="AM49" s="33"/>
      <c r="AN49" s="39" t="s">
        <v>122</v>
      </c>
      <c r="AO49" s="37">
        <v>24</v>
      </c>
      <c r="AP49" s="72">
        <v>60.54</v>
      </c>
    </row>
    <row r="50" spans="1:42" x14ac:dyDescent="0.25">
      <c r="A50" s="39" t="s">
        <v>127</v>
      </c>
      <c r="B50" s="112">
        <v>180</v>
      </c>
      <c r="C50" s="38">
        <v>86790.567999999999</v>
      </c>
      <c r="D50" s="38">
        <v>89561.403999999995</v>
      </c>
      <c r="F50" s="39" t="s">
        <v>127</v>
      </c>
      <c r="G50" s="37">
        <v>180</v>
      </c>
      <c r="H50" s="53">
        <v>41.417999999999999</v>
      </c>
      <c r="I50" s="33"/>
      <c r="J50" s="54" t="s">
        <v>418</v>
      </c>
      <c r="K50" s="55" t="s">
        <v>255</v>
      </c>
      <c r="L50" s="56">
        <v>2014</v>
      </c>
      <c r="M50" s="57">
        <v>97.5</v>
      </c>
      <c r="O50" s="33" t="s">
        <v>134</v>
      </c>
      <c r="P50" s="33">
        <v>426</v>
      </c>
      <c r="Q50" s="33" t="s">
        <v>364</v>
      </c>
      <c r="R50" s="33">
        <v>6.2258699999999952E-2</v>
      </c>
      <c r="S50" s="33">
        <v>6.6132311758051116E-3</v>
      </c>
      <c r="T50" s="33">
        <v>1.7266721968139435E-3</v>
      </c>
      <c r="U50" s="33">
        <v>1.4284612535655375E-3</v>
      </c>
      <c r="V50" s="33">
        <v>2.1940209111963459E-3</v>
      </c>
      <c r="W50" s="33">
        <v>4.0249037558360802E-3</v>
      </c>
      <c r="X50" s="33">
        <v>7.4365963756345427E-3</v>
      </c>
      <c r="Y50" s="33">
        <v>1.1221237110864302E-2</v>
      </c>
      <c r="Z50" s="33">
        <v>1.6457366803924959E-2</v>
      </c>
      <c r="AA50" s="33">
        <v>1.8570149582324235E-2</v>
      </c>
      <c r="AB50" s="33">
        <v>2.0615706205023586E-2</v>
      </c>
      <c r="AC50" s="33">
        <v>2.2196201470808335E-2</v>
      </c>
      <c r="AD50" s="33">
        <v>2.4970791637420244E-2</v>
      </c>
      <c r="AE50" s="33">
        <v>3.0223653779950108E-2</v>
      </c>
      <c r="AF50" s="33">
        <v>3.964174022607498E-2</v>
      </c>
      <c r="AG50" s="33">
        <v>5.4468780684668913E-2</v>
      </c>
      <c r="AH50" s="33">
        <v>7.4592118098832871E-2</v>
      </c>
      <c r="AI50" s="33">
        <v>0.10574099679242542</v>
      </c>
      <c r="AJ50" s="33">
        <v>0.14301837354200442</v>
      </c>
      <c r="AK50" s="33">
        <v>0.17102403238973332</v>
      </c>
      <c r="AL50" s="33">
        <v>0.18239025525443139</v>
      </c>
      <c r="AM50" s="33"/>
      <c r="AN50" s="39" t="s">
        <v>123</v>
      </c>
      <c r="AO50" s="37">
        <v>120</v>
      </c>
      <c r="AP50" s="72">
        <v>58.771999999999998</v>
      </c>
    </row>
    <row r="51" spans="1:42" x14ac:dyDescent="0.25">
      <c r="A51" s="39" t="s">
        <v>128</v>
      </c>
      <c r="B51" s="112">
        <v>226</v>
      </c>
      <c r="C51" s="38">
        <v>1355.982</v>
      </c>
      <c r="D51" s="38">
        <v>1402.9849999999999</v>
      </c>
      <c r="F51" s="39" t="s">
        <v>128</v>
      </c>
      <c r="G51" s="37">
        <v>226</v>
      </c>
      <c r="H51" s="53">
        <v>33.454000000000001</v>
      </c>
      <c r="I51" s="33"/>
      <c r="J51" s="54" t="s">
        <v>419</v>
      </c>
      <c r="K51" s="55" t="s">
        <v>128</v>
      </c>
      <c r="L51" s="56">
        <v>2011</v>
      </c>
      <c r="M51" s="57">
        <v>67.3</v>
      </c>
      <c r="O51" s="33" t="s">
        <v>135</v>
      </c>
      <c r="P51" s="33">
        <v>516</v>
      </c>
      <c r="Q51" s="33" t="s">
        <v>364</v>
      </c>
      <c r="R51" s="33">
        <v>3.3393899999999997E-2</v>
      </c>
      <c r="S51" s="33">
        <v>2.8889689398815268E-3</v>
      </c>
      <c r="T51" s="33">
        <v>1.2247495939341124E-3</v>
      </c>
      <c r="U51" s="33">
        <v>9.8845046322171433E-4</v>
      </c>
      <c r="V51" s="33">
        <v>1.6652249148680479E-3</v>
      </c>
      <c r="W51" s="33">
        <v>2.7220194759180897E-3</v>
      </c>
      <c r="X51" s="33">
        <v>3.9220450597063951E-3</v>
      </c>
      <c r="Y51" s="33">
        <v>5.2208256651949912E-3</v>
      </c>
      <c r="Z51" s="33">
        <v>7.0471598547450515E-3</v>
      </c>
      <c r="AA51" s="33">
        <v>8.6251844776423607E-3</v>
      </c>
      <c r="AB51" s="33">
        <v>1.0517787157439704E-2</v>
      </c>
      <c r="AC51" s="33">
        <v>1.3459122969743957E-2</v>
      </c>
      <c r="AD51" s="33">
        <v>1.6834064564422793E-2</v>
      </c>
      <c r="AE51" s="33">
        <v>2.3067933845764395E-2</v>
      </c>
      <c r="AF51" s="33">
        <v>3.3447044006558589E-2</v>
      </c>
      <c r="AG51" s="33">
        <v>4.9744492042142194E-2</v>
      </c>
      <c r="AH51" s="33">
        <v>7.3212362235861556E-2</v>
      </c>
      <c r="AI51" s="33">
        <v>0.10734102805361607</v>
      </c>
      <c r="AJ51" s="33">
        <v>0.1468365107010475</v>
      </c>
      <c r="AK51" s="33">
        <v>0.17801596342792059</v>
      </c>
      <c r="AL51" s="33">
        <v>0.18853484881129942</v>
      </c>
      <c r="AM51" s="33"/>
      <c r="AN51" s="39" t="s">
        <v>124</v>
      </c>
      <c r="AO51" s="37">
        <v>140</v>
      </c>
      <c r="AP51" s="72">
        <v>52.667999999999999</v>
      </c>
    </row>
    <row r="52" spans="1:42" x14ac:dyDescent="0.25">
      <c r="A52" s="39" t="s">
        <v>129</v>
      </c>
      <c r="B52" s="112">
        <v>266</v>
      </c>
      <c r="C52" s="38">
        <v>2172.578</v>
      </c>
      <c r="D52" s="38">
        <v>2225.7280000000001</v>
      </c>
      <c r="F52" s="39" t="s">
        <v>129</v>
      </c>
      <c r="G52" s="37">
        <v>266</v>
      </c>
      <c r="H52" s="53">
        <v>31.995999999999999</v>
      </c>
      <c r="I52" s="33"/>
      <c r="J52" s="54" t="s">
        <v>420</v>
      </c>
      <c r="K52" s="55" t="s">
        <v>104</v>
      </c>
      <c r="L52" s="56">
        <v>2010</v>
      </c>
      <c r="M52" s="57">
        <v>33.700000000000003</v>
      </c>
      <c r="O52" s="33" t="s">
        <v>136</v>
      </c>
      <c r="P52" s="33">
        <v>710</v>
      </c>
      <c r="Q52" s="33" t="s">
        <v>364</v>
      </c>
      <c r="R52" s="33">
        <v>2.7243999999999942E-2</v>
      </c>
      <c r="S52" s="33">
        <v>2.1107605607161781E-3</v>
      </c>
      <c r="T52" s="33">
        <v>9.0179496200364019E-4</v>
      </c>
      <c r="U52" s="33">
        <v>7.5358739008003837E-4</v>
      </c>
      <c r="V52" s="33">
        <v>1.2818679223927346E-3</v>
      </c>
      <c r="W52" s="33">
        <v>2.2862997919574093E-3</v>
      </c>
      <c r="X52" s="33">
        <v>3.826952875428692E-3</v>
      </c>
      <c r="Y52" s="33">
        <v>5.5851312529672488E-3</v>
      </c>
      <c r="Z52" s="33">
        <v>8.1210388699886182E-3</v>
      </c>
      <c r="AA52" s="33">
        <v>9.777207288379549E-3</v>
      </c>
      <c r="AB52" s="33">
        <v>1.1718262368142149E-2</v>
      </c>
      <c r="AC52" s="33">
        <v>1.4223371671272508E-2</v>
      </c>
      <c r="AD52" s="33">
        <v>1.7322311807639015E-2</v>
      </c>
      <c r="AE52" s="33">
        <v>2.2939427208956795E-2</v>
      </c>
      <c r="AF52" s="33">
        <v>3.2256302504435473E-2</v>
      </c>
      <c r="AG52" s="33">
        <v>4.6985099714795919E-2</v>
      </c>
      <c r="AH52" s="33">
        <v>6.8848294879698652E-2</v>
      </c>
      <c r="AI52" s="33">
        <v>0.10281020332373089</v>
      </c>
      <c r="AJ52" s="33">
        <v>0.14366931623854254</v>
      </c>
      <c r="AK52" s="33">
        <v>0.17576312847645009</v>
      </c>
      <c r="AL52" s="33">
        <v>0.18732431731093108</v>
      </c>
      <c r="AM52" s="33"/>
      <c r="AN52" s="39" t="s">
        <v>125</v>
      </c>
      <c r="AO52" s="37">
        <v>148</v>
      </c>
      <c r="AP52" s="72">
        <v>53.798999999999999</v>
      </c>
    </row>
    <row r="53" spans="1:42" x14ac:dyDescent="0.25">
      <c r="A53" s="39" t="s">
        <v>130</v>
      </c>
      <c r="B53" s="112">
        <v>678</v>
      </c>
      <c r="C53" s="38">
        <v>215.048</v>
      </c>
      <c r="D53" s="38">
        <v>219.161</v>
      </c>
      <c r="F53" s="39" t="s">
        <v>130</v>
      </c>
      <c r="G53" s="37">
        <v>678</v>
      </c>
      <c r="H53" s="53">
        <v>31.75</v>
      </c>
      <c r="I53" s="33"/>
      <c r="J53" s="54" t="s">
        <v>421</v>
      </c>
      <c r="K53" s="55" t="s">
        <v>320</v>
      </c>
      <c r="L53" s="56">
        <v>2014</v>
      </c>
      <c r="M53" s="57">
        <v>99.4</v>
      </c>
      <c r="O53" s="33" t="s">
        <v>137</v>
      </c>
      <c r="P53" s="33">
        <v>914</v>
      </c>
      <c r="Q53" s="33" t="s">
        <v>364</v>
      </c>
      <c r="R53" s="33">
        <v>5.7290230019885931E-2</v>
      </c>
      <c r="S53" s="33">
        <v>9.0558132110128125E-3</v>
      </c>
      <c r="T53" s="33">
        <v>4.0856472097438408E-3</v>
      </c>
      <c r="U53" s="33">
        <v>2.8422259506940203E-3</v>
      </c>
      <c r="V53" s="33">
        <v>3.5700089926136449E-3</v>
      </c>
      <c r="W53" s="33">
        <v>4.7616259748652478E-3</v>
      </c>
      <c r="X53" s="33">
        <v>5.3066285455447212E-3</v>
      </c>
      <c r="Y53" s="33">
        <v>5.761223611587824E-3</v>
      </c>
      <c r="Z53" s="33">
        <v>6.487685652420189E-3</v>
      </c>
      <c r="AA53" s="33">
        <v>7.5089528006411473E-3</v>
      </c>
      <c r="AB53" s="33">
        <v>9.1138245373121127E-3</v>
      </c>
      <c r="AC53" s="33">
        <v>1.1973157262831028E-2</v>
      </c>
      <c r="AD53" s="33">
        <v>1.6922971913363501E-2</v>
      </c>
      <c r="AE53" s="33">
        <v>2.5284128132812812E-2</v>
      </c>
      <c r="AF53" s="33">
        <v>3.8858198132450832E-2</v>
      </c>
      <c r="AG53" s="33">
        <v>6.0169785492300162E-2</v>
      </c>
      <c r="AH53" s="33">
        <v>8.9039985346250933E-2</v>
      </c>
      <c r="AI53" s="33">
        <v>0.12180698932427167</v>
      </c>
      <c r="AJ53" s="33">
        <v>0.15208703110289917</v>
      </c>
      <c r="AK53" s="33">
        <v>0.17411695881263653</v>
      </c>
      <c r="AL53" s="33">
        <v>0.18686608210184802</v>
      </c>
      <c r="AM53" s="33"/>
      <c r="AN53" s="39" t="s">
        <v>126</v>
      </c>
      <c r="AO53" s="37">
        <v>178</v>
      </c>
      <c r="AP53" s="72">
        <v>64.156999999999996</v>
      </c>
    </row>
    <row r="54" spans="1:42" x14ac:dyDescent="0.25">
      <c r="A54" s="43" t="s">
        <v>131</v>
      </c>
      <c r="B54" s="114">
        <v>913</v>
      </c>
      <c r="C54" s="45">
        <v>66629.894</v>
      </c>
      <c r="D54" s="45">
        <v>67503.646999999997</v>
      </c>
      <c r="F54" s="43" t="s">
        <v>131</v>
      </c>
      <c r="G54" s="44">
        <v>913</v>
      </c>
      <c r="H54" s="59">
        <v>21.43</v>
      </c>
      <c r="I54" s="33"/>
      <c r="J54" s="54" t="s">
        <v>422</v>
      </c>
      <c r="K54" s="55" t="s">
        <v>133</v>
      </c>
      <c r="L54" s="56">
        <v>2014</v>
      </c>
      <c r="M54" s="57">
        <v>87.7</v>
      </c>
      <c r="O54" s="33" t="s">
        <v>138</v>
      </c>
      <c r="P54" s="33">
        <v>204</v>
      </c>
      <c r="Q54" s="33" t="s">
        <v>364</v>
      </c>
      <c r="R54" s="33">
        <v>6.1164949999999954E-2</v>
      </c>
      <c r="S54" s="33">
        <v>9.1920966308192444E-3</v>
      </c>
      <c r="T54" s="33">
        <v>3.0964875536814694E-3</v>
      </c>
      <c r="U54" s="33">
        <v>1.83242869242432E-3</v>
      </c>
      <c r="V54" s="33">
        <v>2.463276961685093E-3</v>
      </c>
      <c r="W54" s="33">
        <v>3.3343019710225666E-3</v>
      </c>
      <c r="X54" s="33">
        <v>3.6652593795521776E-3</v>
      </c>
      <c r="Y54" s="33">
        <v>4.0444612807645271E-3</v>
      </c>
      <c r="Z54" s="33">
        <v>4.6082345686252989E-3</v>
      </c>
      <c r="AA54" s="33">
        <v>5.694718856478747E-3</v>
      </c>
      <c r="AB54" s="33">
        <v>6.9182841363716755E-3</v>
      </c>
      <c r="AC54" s="33">
        <v>9.6187640858853684E-3</v>
      </c>
      <c r="AD54" s="33">
        <v>1.2864543277523127E-2</v>
      </c>
      <c r="AE54" s="33">
        <v>1.9340131777017523E-2</v>
      </c>
      <c r="AF54" s="33">
        <v>2.948365902483838E-2</v>
      </c>
      <c r="AG54" s="33">
        <v>4.5251196999489859E-2</v>
      </c>
      <c r="AH54" s="33">
        <v>6.7740549247238033E-2</v>
      </c>
      <c r="AI54" s="33">
        <v>9.7565677481811094E-2</v>
      </c>
      <c r="AJ54" s="33">
        <v>0.12954423249216701</v>
      </c>
      <c r="AK54" s="33">
        <v>0.15740319463492428</v>
      </c>
      <c r="AL54" s="33">
        <v>0.17611156213301282</v>
      </c>
      <c r="AM54" s="33"/>
      <c r="AN54" s="39" t="s">
        <v>127</v>
      </c>
      <c r="AO54" s="37">
        <v>180</v>
      </c>
      <c r="AP54" s="72">
        <v>60.210999999999999</v>
      </c>
    </row>
    <row r="55" spans="1:42" x14ac:dyDescent="0.25">
      <c r="A55" s="39" t="s">
        <v>132</v>
      </c>
      <c r="B55" s="112">
        <v>72</v>
      </c>
      <c r="C55" s="38">
        <v>2303.703</v>
      </c>
      <c r="D55" s="38">
        <v>2351.625</v>
      </c>
      <c r="F55" s="39" t="s">
        <v>132</v>
      </c>
      <c r="G55" s="37">
        <v>72</v>
      </c>
      <c r="H55" s="53">
        <v>25.113</v>
      </c>
      <c r="I55" s="33"/>
      <c r="J55" s="54" t="s">
        <v>423</v>
      </c>
      <c r="K55" s="55" t="s">
        <v>105</v>
      </c>
      <c r="L55" s="56">
        <v>2019</v>
      </c>
      <c r="M55" s="57">
        <v>47.5</v>
      </c>
      <c r="O55" s="33" t="s">
        <v>139</v>
      </c>
      <c r="P55" s="33">
        <v>854</v>
      </c>
      <c r="Q55" s="33" t="s">
        <v>364</v>
      </c>
      <c r="R55" s="33">
        <v>5.4227859999999926E-2</v>
      </c>
      <c r="S55" s="33">
        <v>7.7985433150949057E-3</v>
      </c>
      <c r="T55" s="33">
        <v>2.7098510180781272E-3</v>
      </c>
      <c r="U55" s="33">
        <v>1.6109777987679034E-3</v>
      </c>
      <c r="V55" s="33">
        <v>2.4565525709780954E-3</v>
      </c>
      <c r="W55" s="33">
        <v>3.4406424856136286E-3</v>
      </c>
      <c r="X55" s="33">
        <v>3.6839859647303831E-3</v>
      </c>
      <c r="Y55" s="33">
        <v>4.0687159913709147E-3</v>
      </c>
      <c r="Z55" s="33">
        <v>4.6667301775740718E-3</v>
      </c>
      <c r="AA55" s="33">
        <v>5.7359348761896311E-3</v>
      </c>
      <c r="AB55" s="33">
        <v>7.1848904155756791E-3</v>
      </c>
      <c r="AC55" s="33">
        <v>1.0079208538840959E-2</v>
      </c>
      <c r="AD55" s="33">
        <v>1.4324556284323308E-2</v>
      </c>
      <c r="AE55" s="33">
        <v>2.2267003529747472E-2</v>
      </c>
      <c r="AF55" s="33">
        <v>3.4331618474766817E-2</v>
      </c>
      <c r="AG55" s="33">
        <v>5.5031678246900514E-2</v>
      </c>
      <c r="AH55" s="33">
        <v>8.4597333790458251E-2</v>
      </c>
      <c r="AI55" s="33">
        <v>0.12093596991685143</v>
      </c>
      <c r="AJ55" s="33">
        <v>0.153968715439502</v>
      </c>
      <c r="AK55" s="33">
        <v>0.17687638060945704</v>
      </c>
      <c r="AL55" s="33">
        <v>0.19401800579474437</v>
      </c>
      <c r="AM55" s="33"/>
      <c r="AN55" s="39" t="s">
        <v>128</v>
      </c>
      <c r="AO55" s="37">
        <v>226</v>
      </c>
      <c r="AP55" s="72">
        <v>58.246000000000002</v>
      </c>
    </row>
    <row r="56" spans="1:42" x14ac:dyDescent="0.25">
      <c r="A56" s="39" t="s">
        <v>133</v>
      </c>
      <c r="B56" s="112">
        <v>748</v>
      </c>
      <c r="C56" s="38">
        <v>1148.133</v>
      </c>
      <c r="D56" s="38">
        <v>1160.164</v>
      </c>
      <c r="F56" s="39" t="s">
        <v>133</v>
      </c>
      <c r="G56" s="37">
        <v>748</v>
      </c>
      <c r="H56" s="53">
        <v>26.713000000000001</v>
      </c>
      <c r="I56" s="33"/>
      <c r="J56" s="54" t="s">
        <v>424</v>
      </c>
      <c r="K56" s="55" t="s">
        <v>281</v>
      </c>
      <c r="L56" s="56">
        <v>2013</v>
      </c>
      <c r="M56" s="57">
        <v>98.7</v>
      </c>
      <c r="O56" s="33" t="s">
        <v>140</v>
      </c>
      <c r="P56" s="33">
        <v>132</v>
      </c>
      <c r="Q56" s="33" t="s">
        <v>364</v>
      </c>
      <c r="R56" s="33">
        <v>1.6891330000000017E-2</v>
      </c>
      <c r="S56" s="33">
        <v>8.835060929734364E-4</v>
      </c>
      <c r="T56" s="33">
        <v>3.6018949682796144E-4</v>
      </c>
      <c r="U56" s="33">
        <v>3.1745117221964545E-4</v>
      </c>
      <c r="V56" s="33">
        <v>7.1874741951376536E-4</v>
      </c>
      <c r="W56" s="33">
        <v>9.8729318287466223E-4</v>
      </c>
      <c r="X56" s="33">
        <v>1.0549137828094477E-3</v>
      </c>
      <c r="Y56" s="33">
        <v>1.2816495980247336E-3</v>
      </c>
      <c r="Z56" s="33">
        <v>1.766754144431473E-3</v>
      </c>
      <c r="AA56" s="33">
        <v>2.6319969899160373E-3</v>
      </c>
      <c r="AB56" s="33">
        <v>4.1280856784911306E-3</v>
      </c>
      <c r="AC56" s="33">
        <v>6.3780955172675919E-3</v>
      </c>
      <c r="AD56" s="33">
        <v>9.8315278107226102E-3</v>
      </c>
      <c r="AE56" s="33">
        <v>1.5378905889861292E-2</v>
      </c>
      <c r="AF56" s="33">
        <v>2.3843289182670511E-2</v>
      </c>
      <c r="AG56" s="33">
        <v>3.7230990810350639E-2</v>
      </c>
      <c r="AH56" s="33">
        <v>5.94463055539085E-2</v>
      </c>
      <c r="AI56" s="33">
        <v>8.8828317635577608E-2</v>
      </c>
      <c r="AJ56" s="33">
        <v>0.11984598831744618</v>
      </c>
      <c r="AK56" s="33">
        <v>0.14998257302398399</v>
      </c>
      <c r="AL56" s="33">
        <v>0.1727976225444309</v>
      </c>
      <c r="AM56" s="33"/>
      <c r="AN56" s="39" t="s">
        <v>129</v>
      </c>
      <c r="AO56" s="37">
        <v>266</v>
      </c>
      <c r="AP56" s="72">
        <v>66.06</v>
      </c>
    </row>
    <row r="57" spans="1:42" x14ac:dyDescent="0.25">
      <c r="A57" s="39" t="s">
        <v>134</v>
      </c>
      <c r="B57" s="112">
        <v>426</v>
      </c>
      <c r="C57" s="38">
        <v>2125.2669999999998</v>
      </c>
      <c r="D57" s="38">
        <v>2142.252</v>
      </c>
      <c r="F57" s="39" t="s">
        <v>134</v>
      </c>
      <c r="G57" s="37">
        <v>426</v>
      </c>
      <c r="H57" s="53">
        <v>27.033999999999999</v>
      </c>
      <c r="I57" s="33"/>
      <c r="J57" s="54" t="s">
        <v>425</v>
      </c>
      <c r="K57" s="55" t="s">
        <v>322</v>
      </c>
      <c r="L57" s="56">
        <v>2015</v>
      </c>
      <c r="M57" s="57">
        <v>99.9</v>
      </c>
      <c r="O57" s="33" t="s">
        <v>141</v>
      </c>
      <c r="P57" s="33">
        <v>384</v>
      </c>
      <c r="Q57" s="33" t="s">
        <v>364</v>
      </c>
      <c r="R57" s="33">
        <v>6.0459799999999959E-2</v>
      </c>
      <c r="S57" s="33">
        <v>7.0854339175694843E-3</v>
      </c>
      <c r="T57" s="33">
        <v>2.5836663336663377E-3</v>
      </c>
      <c r="U57" s="33">
        <v>1.8599525234577871E-3</v>
      </c>
      <c r="V57" s="33">
        <v>2.7715887376696716E-3</v>
      </c>
      <c r="W57" s="33">
        <v>4.0981295766211977E-3</v>
      </c>
      <c r="X57" s="33">
        <v>5.2283557631281133E-3</v>
      </c>
      <c r="Y57" s="33">
        <v>6.4126252707657526E-3</v>
      </c>
      <c r="Z57" s="33">
        <v>8.0386040975210463E-3</v>
      </c>
      <c r="AA57" s="33">
        <v>9.7503351565958046E-3</v>
      </c>
      <c r="AB57" s="33">
        <v>1.1730824607662307E-2</v>
      </c>
      <c r="AC57" s="33">
        <v>1.531094484439299E-2</v>
      </c>
      <c r="AD57" s="33">
        <v>1.9539605890519628E-2</v>
      </c>
      <c r="AE57" s="33">
        <v>2.7532192358079261E-2</v>
      </c>
      <c r="AF57" s="33">
        <v>4.005454440234088E-2</v>
      </c>
      <c r="AG57" s="33">
        <v>5.8992919015540331E-2</v>
      </c>
      <c r="AH57" s="33">
        <v>8.5363956262810389E-2</v>
      </c>
      <c r="AI57" s="33">
        <v>0.12069078346567236</v>
      </c>
      <c r="AJ57" s="33">
        <v>0.15740472383682066</v>
      </c>
      <c r="AK57" s="33">
        <v>0.18322798533596515</v>
      </c>
      <c r="AL57" s="33">
        <v>0.18956358144949656</v>
      </c>
      <c r="AM57" s="33"/>
      <c r="AN57" s="39" t="s">
        <v>130</v>
      </c>
      <c r="AO57" s="37">
        <v>678</v>
      </c>
      <c r="AP57" s="72">
        <v>70.048000000000002</v>
      </c>
    </row>
    <row r="58" spans="1:42" x14ac:dyDescent="0.25">
      <c r="A58" s="39" t="s">
        <v>135</v>
      </c>
      <c r="B58" s="112">
        <v>516</v>
      </c>
      <c r="C58" s="38">
        <v>2494.5239999999999</v>
      </c>
      <c r="D58" s="38">
        <v>2540.9160000000002</v>
      </c>
      <c r="F58" s="39" t="s">
        <v>135</v>
      </c>
      <c r="G58" s="37">
        <v>516</v>
      </c>
      <c r="H58" s="53">
        <v>28.835000000000001</v>
      </c>
      <c r="I58" s="33"/>
      <c r="J58" s="54" t="s">
        <v>426</v>
      </c>
      <c r="K58" s="55" t="s">
        <v>351</v>
      </c>
      <c r="L58" s="56">
        <v>2013</v>
      </c>
      <c r="M58" s="57">
        <v>98.3</v>
      </c>
      <c r="O58" s="33" t="s">
        <v>142</v>
      </c>
      <c r="P58" s="33">
        <v>270</v>
      </c>
      <c r="Q58" s="33" t="s">
        <v>364</v>
      </c>
      <c r="R58" s="33">
        <v>4.4846699999999982E-2</v>
      </c>
      <c r="S58" s="33">
        <v>6.0042168100136557E-3</v>
      </c>
      <c r="T58" s="33">
        <v>2.8182363501683258E-3</v>
      </c>
      <c r="U58" s="33">
        <v>1.6928909326386164E-3</v>
      </c>
      <c r="V58" s="33">
        <v>2.5842259310052498E-3</v>
      </c>
      <c r="W58" s="33">
        <v>3.6404715507950859E-3</v>
      </c>
      <c r="X58" s="33">
        <v>3.866848876643869E-3</v>
      </c>
      <c r="Y58" s="33">
        <v>4.2444775193489276E-3</v>
      </c>
      <c r="Z58" s="33">
        <v>4.8541267331024705E-3</v>
      </c>
      <c r="AA58" s="33">
        <v>5.9551070629616102E-3</v>
      </c>
      <c r="AB58" s="33">
        <v>7.431462649688041E-3</v>
      </c>
      <c r="AC58" s="33">
        <v>1.0387347107233732E-2</v>
      </c>
      <c r="AD58" s="33">
        <v>1.4813591881899082E-2</v>
      </c>
      <c r="AE58" s="33">
        <v>2.2951012443546647E-2</v>
      </c>
      <c r="AF58" s="33">
        <v>3.5087979162260245E-2</v>
      </c>
      <c r="AG58" s="33">
        <v>5.5866513026930048E-2</v>
      </c>
      <c r="AH58" s="33">
        <v>8.5511449355615179E-2</v>
      </c>
      <c r="AI58" s="33">
        <v>0.12162201543909797</v>
      </c>
      <c r="AJ58" s="33">
        <v>0.15459474780737206</v>
      </c>
      <c r="AK58" s="33">
        <v>0.17718941763536672</v>
      </c>
      <c r="AL58" s="33">
        <v>0.18781110355425057</v>
      </c>
      <c r="AM58" s="33"/>
      <c r="AN58" s="43" t="s">
        <v>131</v>
      </c>
      <c r="AO58" s="44">
        <v>913</v>
      </c>
      <c r="AP58" s="77">
        <v>63.282513222334401</v>
      </c>
    </row>
    <row r="59" spans="1:42" x14ac:dyDescent="0.25">
      <c r="A59" s="39" t="s">
        <v>136</v>
      </c>
      <c r="B59" s="112">
        <v>710</v>
      </c>
      <c r="C59" s="38">
        <v>58558.267</v>
      </c>
      <c r="D59" s="38">
        <v>59308.69</v>
      </c>
      <c r="F59" s="39" t="s">
        <v>136</v>
      </c>
      <c r="G59" s="37">
        <v>710</v>
      </c>
      <c r="H59" s="53">
        <v>20.663</v>
      </c>
      <c r="I59" s="33"/>
      <c r="J59" s="54" t="s">
        <v>427</v>
      </c>
      <c r="K59" s="55" t="s">
        <v>129</v>
      </c>
      <c r="L59" s="56">
        <v>2012</v>
      </c>
      <c r="M59" s="57">
        <v>90.2</v>
      </c>
      <c r="O59" s="33" t="s">
        <v>143</v>
      </c>
      <c r="P59" s="33">
        <v>288</v>
      </c>
      <c r="Q59" s="33" t="s">
        <v>364</v>
      </c>
      <c r="R59" s="33">
        <v>3.5642599999999948E-2</v>
      </c>
      <c r="S59" s="33">
        <v>4.149856681765509E-3</v>
      </c>
      <c r="T59" s="33">
        <v>2.4289206759000818E-3</v>
      </c>
      <c r="U59" s="33">
        <v>1.4780126761002475E-3</v>
      </c>
      <c r="V59" s="33">
        <v>2.2701080527187663E-3</v>
      </c>
      <c r="W59" s="33">
        <v>3.1965747429605808E-3</v>
      </c>
      <c r="X59" s="33">
        <v>3.4179442965405391E-3</v>
      </c>
      <c r="Y59" s="33">
        <v>3.7990990910748736E-3</v>
      </c>
      <c r="Z59" s="33">
        <v>4.3840796455411864E-3</v>
      </c>
      <c r="AA59" s="33">
        <v>5.4620319673887507E-3</v>
      </c>
      <c r="AB59" s="33">
        <v>6.9136575860238936E-3</v>
      </c>
      <c r="AC59" s="33">
        <v>9.7826339431338512E-3</v>
      </c>
      <c r="AD59" s="33">
        <v>1.3975423628321094E-2</v>
      </c>
      <c r="AE59" s="33">
        <v>2.1658255532280242E-2</v>
      </c>
      <c r="AF59" s="33">
        <v>3.3396493720368937E-2</v>
      </c>
      <c r="AG59" s="33">
        <v>5.3643305615802127E-2</v>
      </c>
      <c r="AH59" s="33">
        <v>8.2942202743849419E-2</v>
      </c>
      <c r="AI59" s="33">
        <v>0.11649930948760615</v>
      </c>
      <c r="AJ59" s="33">
        <v>0.14710779935977858</v>
      </c>
      <c r="AK59" s="33">
        <v>0.16969064515389221</v>
      </c>
      <c r="AL59" s="33">
        <v>0.18507690604955032</v>
      </c>
      <c r="AM59" s="33"/>
      <c r="AN59" s="39" t="s">
        <v>132</v>
      </c>
      <c r="AO59" s="37">
        <v>72</v>
      </c>
      <c r="AP59" s="72">
        <v>69.094999999999999</v>
      </c>
    </row>
    <row r="60" spans="1:42" x14ac:dyDescent="0.25">
      <c r="A60" s="43" t="s">
        <v>137</v>
      </c>
      <c r="B60" s="114">
        <v>914</v>
      </c>
      <c r="C60" s="45">
        <v>391440.147</v>
      </c>
      <c r="D60" s="45">
        <v>401861.255</v>
      </c>
      <c r="F60" s="43" t="s">
        <v>137</v>
      </c>
      <c r="G60" s="44">
        <v>914</v>
      </c>
      <c r="H60" s="59">
        <v>37.381</v>
      </c>
      <c r="I60" s="33"/>
      <c r="J60" s="54" t="s">
        <v>428</v>
      </c>
      <c r="K60" s="55" t="s">
        <v>142</v>
      </c>
      <c r="L60" s="56">
        <v>2020</v>
      </c>
      <c r="M60" s="57">
        <v>83.7</v>
      </c>
      <c r="O60" s="33" t="s">
        <v>144</v>
      </c>
      <c r="P60" s="33">
        <v>324</v>
      </c>
      <c r="Q60" s="33" t="s">
        <v>364</v>
      </c>
      <c r="R60" s="33">
        <v>5.1660929999999931E-2</v>
      </c>
      <c r="S60" s="33">
        <v>7.6682989555624109E-3</v>
      </c>
      <c r="T60" s="33">
        <v>2.753116865383637E-3</v>
      </c>
      <c r="U60" s="33">
        <v>1.6220182461334277E-3</v>
      </c>
      <c r="V60" s="33">
        <v>2.4728041518614608E-3</v>
      </c>
      <c r="W60" s="33">
        <v>3.4650976904044128E-3</v>
      </c>
      <c r="X60" s="33">
        <v>3.7158855391260254E-3</v>
      </c>
      <c r="Y60" s="33">
        <v>4.1006094147431607E-3</v>
      </c>
      <c r="Z60" s="33">
        <v>4.7097218029210465E-3</v>
      </c>
      <c r="AA60" s="33">
        <v>5.7317350908536787E-3</v>
      </c>
      <c r="AB60" s="33">
        <v>7.1089462516818339E-3</v>
      </c>
      <c r="AC60" s="33">
        <v>9.9864252053493852E-3</v>
      </c>
      <c r="AD60" s="33">
        <v>1.424243653612626E-2</v>
      </c>
      <c r="AE60" s="33">
        <v>2.2379907387419087E-2</v>
      </c>
      <c r="AF60" s="33">
        <v>3.4679884381574468E-2</v>
      </c>
      <c r="AG60" s="33">
        <v>5.5650893957264136E-2</v>
      </c>
      <c r="AH60" s="33">
        <v>8.5416908324498969E-2</v>
      </c>
      <c r="AI60" s="33">
        <v>0.12175749905273563</v>
      </c>
      <c r="AJ60" s="33">
        <v>0.1547302136680318</v>
      </c>
      <c r="AK60" s="33">
        <v>0.17719636261075544</v>
      </c>
      <c r="AL60" s="33">
        <v>0.18801715411602082</v>
      </c>
      <c r="AM60" s="33"/>
      <c r="AN60" s="39" t="s">
        <v>133</v>
      </c>
      <c r="AO60" s="37">
        <v>748</v>
      </c>
      <c r="AP60" s="72">
        <v>59.314</v>
      </c>
    </row>
    <row r="61" spans="1:42" x14ac:dyDescent="0.25">
      <c r="A61" s="39" t="s">
        <v>138</v>
      </c>
      <c r="B61" s="112">
        <v>204</v>
      </c>
      <c r="C61" s="38">
        <v>11801.151</v>
      </c>
      <c r="D61" s="38">
        <v>12123.198</v>
      </c>
      <c r="F61" s="39" t="s">
        <v>138</v>
      </c>
      <c r="G61" s="37">
        <v>204</v>
      </c>
      <c r="H61" s="53">
        <v>36.401000000000003</v>
      </c>
      <c r="I61" s="33"/>
      <c r="J61" s="54" t="s">
        <v>429</v>
      </c>
      <c r="K61" s="55" t="s">
        <v>169</v>
      </c>
      <c r="L61" s="56">
        <v>2018</v>
      </c>
      <c r="M61" s="57">
        <v>99.4</v>
      </c>
      <c r="O61" s="33" t="s">
        <v>145</v>
      </c>
      <c r="P61" s="33">
        <v>624</v>
      </c>
      <c r="Q61" s="33" t="s">
        <v>364</v>
      </c>
      <c r="R61" s="33">
        <v>5.7137039999999979E-2</v>
      </c>
      <c r="S61" s="33">
        <v>6.7141676665291852E-3</v>
      </c>
      <c r="T61" s="33">
        <v>2.6421517168500916E-3</v>
      </c>
      <c r="U61" s="33">
        <v>1.8582747603848101E-3</v>
      </c>
      <c r="V61" s="33">
        <v>2.7584406272059439E-3</v>
      </c>
      <c r="W61" s="33">
        <v>4.0673561336193754E-3</v>
      </c>
      <c r="X61" s="33">
        <v>5.1395770170898194E-3</v>
      </c>
      <c r="Y61" s="33">
        <v>6.2796946479398499E-3</v>
      </c>
      <c r="Z61" s="33">
        <v>7.8450079872936628E-3</v>
      </c>
      <c r="AA61" s="33">
        <v>9.5087937050133096E-3</v>
      </c>
      <c r="AB61" s="33">
        <v>1.1401948775644169E-2</v>
      </c>
      <c r="AC61" s="33">
        <v>1.4843682585434316E-2</v>
      </c>
      <c r="AD61" s="33">
        <v>1.8876475434659281E-2</v>
      </c>
      <c r="AE61" s="33">
        <v>2.6573087528500995E-2</v>
      </c>
      <c r="AF61" s="33">
        <v>3.8832694277057697E-2</v>
      </c>
      <c r="AG61" s="33">
        <v>5.7800470461217432E-2</v>
      </c>
      <c r="AH61" s="33">
        <v>8.4481990196540638E-2</v>
      </c>
      <c r="AI61" s="33">
        <v>0.12076751482202236</v>
      </c>
      <c r="AJ61" s="33">
        <v>0.15842233373352008</v>
      </c>
      <c r="AK61" s="33">
        <v>0.184292046722796</v>
      </c>
      <c r="AL61" s="33">
        <v>0.18984142358814635</v>
      </c>
      <c r="AM61" s="33"/>
      <c r="AN61" s="39" t="s">
        <v>134</v>
      </c>
      <c r="AO61" s="37">
        <v>426</v>
      </c>
      <c r="AP61" s="72">
        <v>53.511000000000003</v>
      </c>
    </row>
    <row r="62" spans="1:42" x14ac:dyDescent="0.25">
      <c r="A62" s="39" t="s">
        <v>139</v>
      </c>
      <c r="B62" s="112">
        <v>854</v>
      </c>
      <c r="C62" s="38">
        <v>20321.383000000002</v>
      </c>
      <c r="D62" s="38">
        <v>20903.277999999998</v>
      </c>
      <c r="F62" s="39" t="s">
        <v>139</v>
      </c>
      <c r="G62" s="37">
        <v>854</v>
      </c>
      <c r="H62" s="53">
        <v>38.188000000000002</v>
      </c>
      <c r="I62" s="33"/>
      <c r="J62" s="54" t="s">
        <v>430</v>
      </c>
      <c r="K62" s="55" t="s">
        <v>352</v>
      </c>
      <c r="L62" s="56">
        <v>2014</v>
      </c>
      <c r="M62" s="57">
        <v>98.5</v>
      </c>
      <c r="O62" s="33" t="s">
        <v>146</v>
      </c>
      <c r="P62" s="33">
        <v>430</v>
      </c>
      <c r="Q62" s="33" t="s">
        <v>364</v>
      </c>
      <c r="R62" s="33">
        <v>5.4073959999999935E-2</v>
      </c>
      <c r="S62" s="33">
        <v>5.2957549408408616E-3</v>
      </c>
      <c r="T62" s="33">
        <v>1.52445790798108E-3</v>
      </c>
      <c r="U62" s="33">
        <v>1.0831044156668853E-3</v>
      </c>
      <c r="V62" s="33">
        <v>1.7024033119997914E-3</v>
      </c>
      <c r="W62" s="33">
        <v>2.505124347243223E-3</v>
      </c>
      <c r="X62" s="33">
        <v>3.0446352469821686E-3</v>
      </c>
      <c r="Y62" s="33">
        <v>3.6660693798895804E-3</v>
      </c>
      <c r="Z62" s="33">
        <v>4.5674204120736001E-3</v>
      </c>
      <c r="AA62" s="33">
        <v>5.7264048718262961E-3</v>
      </c>
      <c r="AB62" s="33">
        <v>7.1244541232867295E-3</v>
      </c>
      <c r="AC62" s="33">
        <v>9.8491366116745579E-3</v>
      </c>
      <c r="AD62" s="33">
        <v>1.3062631100648247E-2</v>
      </c>
      <c r="AE62" s="33">
        <v>1.9392439955066558E-2</v>
      </c>
      <c r="AF62" s="33">
        <v>2.9772070140555093E-2</v>
      </c>
      <c r="AG62" s="33">
        <v>4.6267125748531791E-2</v>
      </c>
      <c r="AH62" s="33">
        <v>7.0807722608555682E-2</v>
      </c>
      <c r="AI62" s="33">
        <v>0.10575373670824074</v>
      </c>
      <c r="AJ62" s="33">
        <v>0.14561767613240678</v>
      </c>
      <c r="AK62" s="33">
        <v>0.17837986369653361</v>
      </c>
      <c r="AL62" s="33">
        <v>0.18904660956397684</v>
      </c>
      <c r="AM62" s="33"/>
      <c r="AN62" s="39" t="s">
        <v>135</v>
      </c>
      <c r="AO62" s="37">
        <v>516</v>
      </c>
      <c r="AP62" s="72">
        <v>63.024000000000001</v>
      </c>
    </row>
    <row r="63" spans="1:42" x14ac:dyDescent="0.25">
      <c r="A63" s="39" t="s">
        <v>140</v>
      </c>
      <c r="B63" s="112">
        <v>132</v>
      </c>
      <c r="C63" s="38">
        <v>549.93600000000004</v>
      </c>
      <c r="D63" s="38">
        <v>555.98800000000006</v>
      </c>
      <c r="F63" s="39" t="s">
        <v>140</v>
      </c>
      <c r="G63" s="37">
        <v>132</v>
      </c>
      <c r="H63" s="53">
        <v>19.689</v>
      </c>
      <c r="I63" s="33"/>
      <c r="J63" s="54" t="s">
        <v>431</v>
      </c>
      <c r="K63" s="55" t="s">
        <v>143</v>
      </c>
      <c r="L63" s="56">
        <v>2018</v>
      </c>
      <c r="M63" s="57">
        <v>77.900000000000006</v>
      </c>
      <c r="O63" s="33" t="s">
        <v>147</v>
      </c>
      <c r="P63" s="33">
        <v>466</v>
      </c>
      <c r="Q63" s="33" t="s">
        <v>364</v>
      </c>
      <c r="R63" s="33">
        <v>6.5820209999999935E-2</v>
      </c>
      <c r="S63" s="33">
        <v>1.0607112363242202E-2</v>
      </c>
      <c r="T63" s="33">
        <v>3.4703022262773438E-3</v>
      </c>
      <c r="U63" s="33">
        <v>1.9653858610867866E-3</v>
      </c>
      <c r="V63" s="33">
        <v>2.9691163629910031E-3</v>
      </c>
      <c r="W63" s="33">
        <v>3.8241260248184535E-3</v>
      </c>
      <c r="X63" s="33">
        <v>4.2938973206458871E-3</v>
      </c>
      <c r="Y63" s="33">
        <v>4.5580472847770673E-3</v>
      </c>
      <c r="Z63" s="33">
        <v>5.1152115887606936E-3</v>
      </c>
      <c r="AA63" s="33">
        <v>6.0793858913226109E-3</v>
      </c>
      <c r="AB63" s="33">
        <v>7.1063830627251783E-3</v>
      </c>
      <c r="AC63" s="33">
        <v>1.0012216060043849E-2</v>
      </c>
      <c r="AD63" s="33">
        <v>1.4303370555237076E-2</v>
      </c>
      <c r="AE63" s="33">
        <v>2.2385161086559677E-2</v>
      </c>
      <c r="AF63" s="33">
        <v>3.4614265354564314E-2</v>
      </c>
      <c r="AG63" s="33">
        <v>5.5505357625352705E-2</v>
      </c>
      <c r="AH63" s="33">
        <v>8.530363770997372E-2</v>
      </c>
      <c r="AI63" s="33">
        <v>0.12167185659091227</v>
      </c>
      <c r="AJ63" s="33">
        <v>0.15478682778459321</v>
      </c>
      <c r="AK63" s="33">
        <v>0.17749594498829036</v>
      </c>
      <c r="AL63" s="33">
        <v>0.1879903301036718</v>
      </c>
      <c r="AM63" s="33"/>
      <c r="AN63" s="39" t="s">
        <v>136</v>
      </c>
      <c r="AO63" s="37">
        <v>710</v>
      </c>
      <c r="AP63" s="72">
        <v>63.615000000000002</v>
      </c>
    </row>
    <row r="64" spans="1:42" x14ac:dyDescent="0.25">
      <c r="A64" s="39" t="s">
        <v>141</v>
      </c>
      <c r="B64" s="112">
        <v>384</v>
      </c>
      <c r="C64" s="38">
        <v>25716.554</v>
      </c>
      <c r="D64" s="38">
        <v>26378.275000000001</v>
      </c>
      <c r="F64" s="39" t="s">
        <v>141</v>
      </c>
      <c r="G64" s="37">
        <v>384</v>
      </c>
      <c r="H64" s="53">
        <v>35.895000000000003</v>
      </c>
      <c r="I64" s="33"/>
      <c r="J64" s="54" t="s">
        <v>432</v>
      </c>
      <c r="K64" s="55" t="s">
        <v>256</v>
      </c>
      <c r="L64" s="56">
        <v>2015</v>
      </c>
      <c r="M64" s="57">
        <v>65</v>
      </c>
      <c r="O64" s="33" t="s">
        <v>148</v>
      </c>
      <c r="P64" s="33">
        <v>478</v>
      </c>
      <c r="Q64" s="33" t="s">
        <v>364</v>
      </c>
      <c r="R64" s="33">
        <v>5.3461619999999967E-2</v>
      </c>
      <c r="S64" s="33">
        <v>6.7054280461400981E-3</v>
      </c>
      <c r="T64" s="33">
        <v>1.0852579371928835E-3</v>
      </c>
      <c r="U64" s="33">
        <v>8.5631189412564181E-4</v>
      </c>
      <c r="V64" s="33">
        <v>1.4103050217806428E-3</v>
      </c>
      <c r="W64" s="33">
        <v>1.9744181091348187E-3</v>
      </c>
      <c r="X64" s="33">
        <v>2.1424246234527287E-3</v>
      </c>
      <c r="Y64" s="33">
        <v>2.4583011866348469E-3</v>
      </c>
      <c r="Z64" s="33">
        <v>3.0904941387841366E-3</v>
      </c>
      <c r="AA64" s="33">
        <v>4.1692771101024245E-3</v>
      </c>
      <c r="AB64" s="33">
        <v>6.0061991860126812E-3</v>
      </c>
      <c r="AC64" s="33">
        <v>8.8874458499904312E-3</v>
      </c>
      <c r="AD64" s="33">
        <v>1.3311420499959795E-2</v>
      </c>
      <c r="AE64" s="33">
        <v>2.026088885971385E-2</v>
      </c>
      <c r="AF64" s="33">
        <v>3.0943043035614036E-2</v>
      </c>
      <c r="AG64" s="33">
        <v>4.758385707572544E-2</v>
      </c>
      <c r="AH64" s="33">
        <v>7.1525134862436793E-2</v>
      </c>
      <c r="AI64" s="33">
        <v>0.10295590327127407</v>
      </c>
      <c r="AJ64" s="33">
        <v>0.13599244093972368</v>
      </c>
      <c r="AK64" s="33">
        <v>0.16264165996755808</v>
      </c>
      <c r="AL64" s="33">
        <v>0.17975411502979896</v>
      </c>
      <c r="AM64" s="33"/>
      <c r="AN64" s="43" t="s">
        <v>137</v>
      </c>
      <c r="AO64" s="44">
        <v>914</v>
      </c>
      <c r="AP64" s="77">
        <v>57.321968859723903</v>
      </c>
    </row>
    <row r="65" spans="1:42" x14ac:dyDescent="0.25">
      <c r="A65" s="39" t="s">
        <v>142</v>
      </c>
      <c r="B65" s="112">
        <v>270</v>
      </c>
      <c r="C65" s="38">
        <v>2347.6959999999999</v>
      </c>
      <c r="D65" s="38">
        <v>2416.6640000000002</v>
      </c>
      <c r="F65" s="39" t="s">
        <v>142</v>
      </c>
      <c r="G65" s="37">
        <v>270</v>
      </c>
      <c r="H65" s="53">
        <v>38.753999999999998</v>
      </c>
      <c r="I65" s="33"/>
      <c r="J65" s="54" t="s">
        <v>433</v>
      </c>
      <c r="K65" s="55" t="s">
        <v>144</v>
      </c>
      <c r="L65" s="56">
        <v>2018</v>
      </c>
      <c r="M65" s="57">
        <v>52.6</v>
      </c>
      <c r="O65" s="33" t="s">
        <v>149</v>
      </c>
      <c r="P65" s="33">
        <v>562</v>
      </c>
      <c r="Q65" s="33" t="s">
        <v>364</v>
      </c>
      <c r="R65" s="33">
        <v>4.6318139999999987E-2</v>
      </c>
      <c r="S65" s="33">
        <v>1.004996834059527E-2</v>
      </c>
      <c r="T65" s="33">
        <v>2.2241474972517555E-3</v>
      </c>
      <c r="U65" s="33">
        <v>1.3309644531309406E-3</v>
      </c>
      <c r="V65" s="33">
        <v>2.2191158992467762E-3</v>
      </c>
      <c r="W65" s="33">
        <v>2.9005837356501554E-3</v>
      </c>
      <c r="X65" s="33">
        <v>3.6375382860461599E-3</v>
      </c>
      <c r="Y65" s="33">
        <v>3.890945873340402E-3</v>
      </c>
      <c r="Z65" s="33">
        <v>4.473169894869837E-3</v>
      </c>
      <c r="AA65" s="33">
        <v>5.4126018946936633E-3</v>
      </c>
      <c r="AB65" s="33">
        <v>6.9628515647821715E-3</v>
      </c>
      <c r="AC65" s="33">
        <v>1.005699782334199E-2</v>
      </c>
      <c r="AD65" s="33">
        <v>1.4480361016608233E-2</v>
      </c>
      <c r="AE65" s="33">
        <v>2.0521814795574696E-2</v>
      </c>
      <c r="AF65" s="33">
        <v>3.1036167623641205E-2</v>
      </c>
      <c r="AG65" s="33">
        <v>5.0489738733381799E-2</v>
      </c>
      <c r="AH65" s="33">
        <v>7.9389329796988248E-2</v>
      </c>
      <c r="AI65" s="33">
        <v>0.11621435000409117</v>
      </c>
      <c r="AJ65" s="33">
        <v>0.15114298296929471</v>
      </c>
      <c r="AK65" s="33">
        <v>0.17523559165317509</v>
      </c>
      <c r="AL65" s="33">
        <v>0.18628638500862074</v>
      </c>
      <c r="AM65" s="33"/>
      <c r="AN65" s="39" t="s">
        <v>138</v>
      </c>
      <c r="AO65" s="37">
        <v>204</v>
      </c>
      <c r="AP65" s="72">
        <v>61.302999999999997</v>
      </c>
    </row>
    <row r="66" spans="1:42" x14ac:dyDescent="0.25">
      <c r="A66" s="39" t="s">
        <v>143</v>
      </c>
      <c r="B66" s="112">
        <v>288</v>
      </c>
      <c r="C66" s="38">
        <v>30417.858</v>
      </c>
      <c r="D66" s="38">
        <v>31072.945</v>
      </c>
      <c r="F66" s="39" t="s">
        <v>143</v>
      </c>
      <c r="G66" s="37">
        <v>288</v>
      </c>
      <c r="H66" s="53">
        <v>29.574000000000002</v>
      </c>
      <c r="I66" s="33"/>
      <c r="J66" s="54" t="s">
        <v>434</v>
      </c>
      <c r="K66" s="55" t="s">
        <v>145</v>
      </c>
      <c r="L66" s="56">
        <v>2014</v>
      </c>
      <c r="M66" s="57">
        <v>44</v>
      </c>
      <c r="O66" s="33" t="s">
        <v>150</v>
      </c>
      <c r="P66" s="33">
        <v>566</v>
      </c>
      <c r="Q66" s="33" t="s">
        <v>364</v>
      </c>
      <c r="R66" s="33">
        <v>6.215649000000005E-2</v>
      </c>
      <c r="S66" s="33">
        <v>1.0555281765504772E-2</v>
      </c>
      <c r="T66" s="33">
        <v>5.9101558625263987E-3</v>
      </c>
      <c r="U66" s="33">
        <v>3.2158941876073606E-3</v>
      </c>
      <c r="V66" s="33">
        <v>5.0626435919828025E-3</v>
      </c>
      <c r="W66" s="33">
        <v>6.1061216041154503E-3</v>
      </c>
      <c r="X66" s="33">
        <v>6.7146600112912083E-3</v>
      </c>
      <c r="Y66" s="33">
        <v>7.034360265270395E-3</v>
      </c>
      <c r="Z66" s="33">
        <v>7.7019431423796317E-3</v>
      </c>
      <c r="AA66" s="33">
        <v>8.7502968131791831E-3</v>
      </c>
      <c r="AB66" s="33">
        <v>1.013224062784799E-2</v>
      </c>
      <c r="AC66" s="33">
        <v>1.3380716895601642E-2</v>
      </c>
      <c r="AD66" s="33">
        <v>1.8313369924512542E-2</v>
      </c>
      <c r="AE66" s="33">
        <v>2.8183308143927499E-2</v>
      </c>
      <c r="AF66" s="33">
        <v>4.241118343083778E-2</v>
      </c>
      <c r="AG66" s="33">
        <v>6.5708830847072533E-2</v>
      </c>
      <c r="AH66" s="33">
        <v>9.6904467648308887E-2</v>
      </c>
      <c r="AI66" s="33">
        <v>0.13262526670478461</v>
      </c>
      <c r="AJ66" s="33">
        <v>0.16254099182753556</v>
      </c>
      <c r="AK66" s="33">
        <v>0.18085950585047419</v>
      </c>
      <c r="AL66" s="33">
        <v>0.18640937296393495</v>
      </c>
      <c r="AM66" s="33"/>
      <c r="AN66" s="39" t="s">
        <v>139</v>
      </c>
      <c r="AO66" s="37">
        <v>854</v>
      </c>
      <c r="AP66" s="72">
        <v>60.917000000000002</v>
      </c>
    </row>
    <row r="67" spans="1:42" x14ac:dyDescent="0.25">
      <c r="A67" s="39" t="s">
        <v>144</v>
      </c>
      <c r="B67" s="112">
        <v>324</v>
      </c>
      <c r="C67" s="38">
        <v>12771.245999999999</v>
      </c>
      <c r="D67" s="38">
        <v>13132.791999999999</v>
      </c>
      <c r="F67" s="39" t="s">
        <v>144</v>
      </c>
      <c r="G67" s="37">
        <v>324</v>
      </c>
      <c r="H67" s="53">
        <v>36.558</v>
      </c>
      <c r="I67" s="33"/>
      <c r="J67" s="54" t="s">
        <v>435</v>
      </c>
      <c r="K67" s="55" t="s">
        <v>270</v>
      </c>
      <c r="L67" s="56">
        <v>2014</v>
      </c>
      <c r="M67" s="57">
        <v>92.7</v>
      </c>
      <c r="O67" s="33" t="s">
        <v>152</v>
      </c>
      <c r="P67" s="33">
        <v>686</v>
      </c>
      <c r="Q67" s="33" t="s">
        <v>364</v>
      </c>
      <c r="R67" s="33">
        <v>3.2754600000000064E-2</v>
      </c>
      <c r="S67" s="33">
        <v>3.0694666524131217E-3</v>
      </c>
      <c r="T67" s="33">
        <v>1.2369410630977884E-3</v>
      </c>
      <c r="U67" s="33">
        <v>8.6525511984950651E-4</v>
      </c>
      <c r="V67" s="33">
        <v>1.3469523957274259E-3</v>
      </c>
      <c r="W67" s="33">
        <v>1.9585603267096253E-3</v>
      </c>
      <c r="X67" s="33">
        <v>2.1265653001242375E-3</v>
      </c>
      <c r="Y67" s="33">
        <v>2.4814518081284786E-3</v>
      </c>
      <c r="Z67" s="33">
        <v>2.9728730657511099E-3</v>
      </c>
      <c r="AA67" s="33">
        <v>3.9298453571490382E-3</v>
      </c>
      <c r="AB67" s="33">
        <v>5.2440275437391987E-3</v>
      </c>
      <c r="AC67" s="33">
        <v>7.7190461500064676E-3</v>
      </c>
      <c r="AD67" s="33">
        <v>1.1290306813306795E-2</v>
      </c>
      <c r="AE67" s="33">
        <v>1.7714146493762017E-2</v>
      </c>
      <c r="AF67" s="33">
        <v>2.7989884926765404E-2</v>
      </c>
      <c r="AG67" s="33">
        <v>4.6537457702339732E-2</v>
      </c>
      <c r="AH67" s="33">
        <v>7.4749322711515298E-2</v>
      </c>
      <c r="AI67" s="33">
        <v>0.11151351745170328</v>
      </c>
      <c r="AJ67" s="33">
        <v>0.14740357166967988</v>
      </c>
      <c r="AK67" s="33">
        <v>0.17353214388888566</v>
      </c>
      <c r="AL67" s="33">
        <v>0.18648544535679726</v>
      </c>
      <c r="AM67" s="33"/>
      <c r="AN67" s="39" t="s">
        <v>140</v>
      </c>
      <c r="AO67" s="37">
        <v>132</v>
      </c>
      <c r="AP67" s="72">
        <v>72.703000000000003</v>
      </c>
    </row>
    <row r="68" spans="1:42" x14ac:dyDescent="0.25">
      <c r="A68" s="39" t="s">
        <v>145</v>
      </c>
      <c r="B68" s="112">
        <v>624</v>
      </c>
      <c r="C68" s="38">
        <v>1920.9169999999999</v>
      </c>
      <c r="D68" s="38">
        <v>1967.998</v>
      </c>
      <c r="F68" s="39" t="s">
        <v>145</v>
      </c>
      <c r="G68" s="37">
        <v>624</v>
      </c>
      <c r="H68" s="53">
        <v>35.389000000000003</v>
      </c>
      <c r="I68" s="33"/>
      <c r="J68" s="54" t="s">
        <v>436</v>
      </c>
      <c r="K68" s="55" t="s">
        <v>238</v>
      </c>
      <c r="L68" s="56">
        <v>2017</v>
      </c>
      <c r="M68" s="57">
        <v>39.4</v>
      </c>
      <c r="O68" s="33" t="s">
        <v>153</v>
      </c>
      <c r="P68" s="33">
        <v>694</v>
      </c>
      <c r="Q68" s="33" t="s">
        <v>364</v>
      </c>
      <c r="R68" s="33">
        <v>8.0791989999999939E-2</v>
      </c>
      <c r="S68" s="33">
        <v>8.0492064032383816E-3</v>
      </c>
      <c r="T68" s="33">
        <v>3.5608000666088016E-3</v>
      </c>
      <c r="U68" s="33">
        <v>2.6162080832433177E-3</v>
      </c>
      <c r="V68" s="33">
        <v>4.3052383161752408E-3</v>
      </c>
      <c r="W68" s="33">
        <v>5.9920316757103246E-3</v>
      </c>
      <c r="X68" s="33">
        <v>6.5786935829567836E-3</v>
      </c>
      <c r="Y68" s="33">
        <v>7.234750920304415E-3</v>
      </c>
      <c r="Z68" s="33">
        <v>8.3504644636627923E-3</v>
      </c>
      <c r="AA68" s="33">
        <v>9.8848707524258565E-3</v>
      </c>
      <c r="AB68" s="33">
        <v>1.2124266776455981E-2</v>
      </c>
      <c r="AC68" s="33">
        <v>1.586958988938663E-2</v>
      </c>
      <c r="AD68" s="33">
        <v>2.1106310169851972E-2</v>
      </c>
      <c r="AE68" s="33">
        <v>2.9723773963725244E-2</v>
      </c>
      <c r="AF68" s="33">
        <v>4.2050380421760292E-2</v>
      </c>
      <c r="AG68" s="33">
        <v>6.0552989573148606E-2</v>
      </c>
      <c r="AH68" s="33">
        <v>8.4562642131675372E-2</v>
      </c>
      <c r="AI68" s="33">
        <v>0.11276112706617331</v>
      </c>
      <c r="AJ68" s="33">
        <v>0.13854292675347465</v>
      </c>
      <c r="AK68" s="33">
        <v>0.16107073910210398</v>
      </c>
      <c r="AL68" s="33">
        <v>0.17851912460620289</v>
      </c>
      <c r="AM68" s="33"/>
      <c r="AN68" s="39" t="s">
        <v>141</v>
      </c>
      <c r="AO68" s="37">
        <v>384</v>
      </c>
      <c r="AP68" s="72">
        <v>57.244999999999997</v>
      </c>
    </row>
    <row r="69" spans="1:42" x14ac:dyDescent="0.25">
      <c r="A69" s="39" t="s">
        <v>146</v>
      </c>
      <c r="B69" s="112">
        <v>430</v>
      </c>
      <c r="C69" s="38">
        <v>4937.3739999999998</v>
      </c>
      <c r="D69" s="38">
        <v>5057.6769999999997</v>
      </c>
      <c r="F69" s="39" t="s">
        <v>146</v>
      </c>
      <c r="G69" s="37">
        <v>430</v>
      </c>
      <c r="H69" s="53">
        <v>33.220999999999997</v>
      </c>
      <c r="I69" s="33"/>
      <c r="J69" s="54" t="s">
        <v>437</v>
      </c>
      <c r="K69" s="55" t="s">
        <v>257</v>
      </c>
      <c r="L69" s="56">
        <v>2012</v>
      </c>
      <c r="M69" s="57">
        <v>82.7</v>
      </c>
      <c r="O69" s="33" t="s">
        <v>154</v>
      </c>
      <c r="P69" s="33">
        <v>768</v>
      </c>
      <c r="Q69" s="33" t="s">
        <v>364</v>
      </c>
      <c r="R69" s="33">
        <v>4.969623000000007E-2</v>
      </c>
      <c r="S69" s="33">
        <v>6.7678911765234797E-3</v>
      </c>
      <c r="T69" s="33">
        <v>3.0947733578997726E-3</v>
      </c>
      <c r="U69" s="33">
        <v>1.8112940174932904E-3</v>
      </c>
      <c r="V69" s="33">
        <v>2.7661457956693228E-3</v>
      </c>
      <c r="W69" s="33">
        <v>3.8635098749342186E-3</v>
      </c>
      <c r="X69" s="33">
        <v>4.1076620376263922E-3</v>
      </c>
      <c r="Y69" s="33">
        <v>4.4948405076414245E-3</v>
      </c>
      <c r="Z69" s="33">
        <v>5.1105513966074384E-3</v>
      </c>
      <c r="AA69" s="33">
        <v>6.2099948399343616E-3</v>
      </c>
      <c r="AB69" s="33">
        <v>7.6812973015688134E-3</v>
      </c>
      <c r="AC69" s="33">
        <v>1.068530292173713E-2</v>
      </c>
      <c r="AD69" s="33">
        <v>1.511104924550352E-2</v>
      </c>
      <c r="AE69" s="33">
        <v>2.3399658356689515E-2</v>
      </c>
      <c r="AF69" s="33">
        <v>3.5843422857449771E-2</v>
      </c>
      <c r="AG69" s="33">
        <v>5.6966775396661257E-2</v>
      </c>
      <c r="AH69" s="33">
        <v>8.6854207534117892E-2</v>
      </c>
      <c r="AI69" s="33">
        <v>0.12301208774582718</v>
      </c>
      <c r="AJ69" s="33">
        <v>0.15561358021648744</v>
      </c>
      <c r="AK69" s="33">
        <v>0.17778575770131999</v>
      </c>
      <c r="AL69" s="33">
        <v>0.19405840489771495</v>
      </c>
      <c r="AM69" s="33"/>
      <c r="AN69" s="39" t="s">
        <v>142</v>
      </c>
      <c r="AO69" s="37">
        <v>270</v>
      </c>
      <c r="AP69" s="72">
        <v>61.536000000000001</v>
      </c>
    </row>
    <row r="70" spans="1:42" x14ac:dyDescent="0.25">
      <c r="A70" s="39" t="s">
        <v>147</v>
      </c>
      <c r="B70" s="112">
        <v>466</v>
      </c>
      <c r="C70" s="38">
        <v>19658.023000000001</v>
      </c>
      <c r="D70" s="38">
        <v>20250.833999999999</v>
      </c>
      <c r="F70" s="39" t="s">
        <v>147</v>
      </c>
      <c r="G70" s="37">
        <v>466</v>
      </c>
      <c r="H70" s="53">
        <v>41.787999999999997</v>
      </c>
      <c r="I70" s="33"/>
      <c r="J70" s="54" t="s">
        <v>438</v>
      </c>
      <c r="K70" s="55" t="s">
        <v>194</v>
      </c>
      <c r="L70" s="56">
        <v>2016</v>
      </c>
      <c r="M70" s="57">
        <v>78.900000000000006</v>
      </c>
      <c r="O70" s="33" t="s">
        <v>155</v>
      </c>
      <c r="P70" s="33">
        <v>1833</v>
      </c>
      <c r="Q70" s="33" t="s">
        <v>364</v>
      </c>
      <c r="R70" s="33">
        <v>2.0608370413314987E-2</v>
      </c>
      <c r="S70" s="33">
        <v>1.5706370011983185E-3</v>
      </c>
      <c r="T70" s="33">
        <v>6.7357129447419772E-4</v>
      </c>
      <c r="U70" s="33">
        <v>6.0241949845664996E-4</v>
      </c>
      <c r="V70" s="33">
        <v>8.6007816761703517E-4</v>
      </c>
      <c r="W70" s="33">
        <v>1.1599578417325121E-3</v>
      </c>
      <c r="X70" s="33">
        <v>1.2909416501404047E-3</v>
      </c>
      <c r="Y70" s="33">
        <v>1.3907561246144192E-3</v>
      </c>
      <c r="Z70" s="33">
        <v>1.6392683153237759E-3</v>
      </c>
      <c r="AA70" s="33">
        <v>2.2097917820435502E-3</v>
      </c>
      <c r="AB70" s="33">
        <v>3.3866791184979962E-3</v>
      </c>
      <c r="AC70" s="33">
        <v>5.218105842826266E-3</v>
      </c>
      <c r="AD70" s="33">
        <v>8.0201956272834465E-3</v>
      </c>
      <c r="AE70" s="33">
        <v>1.2655458928936486E-2</v>
      </c>
      <c r="AF70" s="33">
        <v>2.0537901741507256E-2</v>
      </c>
      <c r="AG70" s="33">
        <v>3.3464742162076656E-2</v>
      </c>
      <c r="AH70" s="33">
        <v>5.3143108142787367E-2</v>
      </c>
      <c r="AI70" s="33">
        <v>8.0092693518627286E-2</v>
      </c>
      <c r="AJ70" s="33">
        <v>0.11223312663104368</v>
      </c>
      <c r="AK70" s="33">
        <v>0.14390815152398301</v>
      </c>
      <c r="AL70" s="33">
        <v>0.16865858994762709</v>
      </c>
      <c r="AM70" s="33"/>
      <c r="AN70" s="39" t="s">
        <v>143</v>
      </c>
      <c r="AO70" s="37">
        <v>288</v>
      </c>
      <c r="AP70" s="72">
        <v>63.652000000000001</v>
      </c>
    </row>
    <row r="71" spans="1:42" x14ac:dyDescent="0.25">
      <c r="A71" s="39" t="s">
        <v>148</v>
      </c>
      <c r="B71" s="112">
        <v>478</v>
      </c>
      <c r="C71" s="38">
        <v>4525.6980000000003</v>
      </c>
      <c r="D71" s="38">
        <v>4649.66</v>
      </c>
      <c r="F71" s="39" t="s">
        <v>148</v>
      </c>
      <c r="G71" s="37">
        <v>478</v>
      </c>
      <c r="H71" s="53">
        <v>33.872</v>
      </c>
      <c r="I71" s="33"/>
      <c r="J71" s="54" t="s">
        <v>439</v>
      </c>
      <c r="K71" s="55" t="s">
        <v>213</v>
      </c>
      <c r="L71" s="56">
        <v>2017</v>
      </c>
      <c r="M71" s="57">
        <v>79</v>
      </c>
      <c r="O71" s="33" t="s">
        <v>156</v>
      </c>
      <c r="P71" s="33">
        <v>912</v>
      </c>
      <c r="Q71" s="33" t="s">
        <v>364</v>
      </c>
      <c r="R71" s="33">
        <v>2.2986789477314015E-2</v>
      </c>
      <c r="S71" s="33">
        <v>1.9630371525446691E-3</v>
      </c>
      <c r="T71" s="33">
        <v>7.7134813577619252E-4</v>
      </c>
      <c r="U71" s="33">
        <v>6.4636799018733698E-4</v>
      </c>
      <c r="V71" s="33">
        <v>8.1570482421114399E-4</v>
      </c>
      <c r="W71" s="33">
        <v>1.0610474440760228E-3</v>
      </c>
      <c r="X71" s="33">
        <v>1.2189615635460397E-3</v>
      </c>
      <c r="Y71" s="33">
        <v>1.4090475564329213E-3</v>
      </c>
      <c r="Z71" s="33">
        <v>1.7535837461960782E-3</v>
      </c>
      <c r="AA71" s="33">
        <v>2.4342885204096014E-3</v>
      </c>
      <c r="AB71" s="33">
        <v>3.8946439358122135E-3</v>
      </c>
      <c r="AC71" s="33">
        <v>6.0443322710283763E-3</v>
      </c>
      <c r="AD71" s="33">
        <v>8.9503653473979976E-3</v>
      </c>
      <c r="AE71" s="33">
        <v>1.3712352008666042E-2</v>
      </c>
      <c r="AF71" s="33">
        <v>2.2350011874275016E-2</v>
      </c>
      <c r="AG71" s="33">
        <v>3.6142686086034666E-2</v>
      </c>
      <c r="AH71" s="33">
        <v>5.7210515769555638E-2</v>
      </c>
      <c r="AI71" s="33">
        <v>8.556363340258738E-2</v>
      </c>
      <c r="AJ71" s="33">
        <v>0.11840713798148463</v>
      </c>
      <c r="AK71" s="33">
        <v>0.14945306267102004</v>
      </c>
      <c r="AL71" s="33">
        <v>0.17252508915527931</v>
      </c>
      <c r="AM71" s="33"/>
      <c r="AN71" s="39" t="s">
        <v>144</v>
      </c>
      <c r="AO71" s="37">
        <v>324</v>
      </c>
      <c r="AP71" s="72">
        <v>61.043999999999997</v>
      </c>
    </row>
    <row r="72" spans="1:42" x14ac:dyDescent="0.25">
      <c r="A72" s="39" t="s">
        <v>149</v>
      </c>
      <c r="B72" s="112">
        <v>562</v>
      </c>
      <c r="C72" s="38">
        <v>23310.719000000001</v>
      </c>
      <c r="D72" s="38">
        <v>24206.635999999999</v>
      </c>
      <c r="F72" s="39" t="s">
        <v>149</v>
      </c>
      <c r="G72" s="37">
        <v>562</v>
      </c>
      <c r="H72" s="53">
        <v>46.273000000000003</v>
      </c>
      <c r="I72" s="33"/>
      <c r="J72" s="54" t="s">
        <v>440</v>
      </c>
      <c r="K72" s="55" t="s">
        <v>195</v>
      </c>
      <c r="L72" s="56">
        <v>2010</v>
      </c>
      <c r="M72" s="57">
        <v>95.3</v>
      </c>
      <c r="O72" s="33" t="s">
        <v>157</v>
      </c>
      <c r="P72" s="33">
        <v>12</v>
      </c>
      <c r="Q72" s="33" t="s">
        <v>364</v>
      </c>
      <c r="R72" s="33">
        <v>2.1249119999999965E-2</v>
      </c>
      <c r="S72" s="33">
        <v>8.7360585565963197E-4</v>
      </c>
      <c r="T72" s="33">
        <v>4.4564371401777575E-4</v>
      </c>
      <c r="U72" s="33">
        <v>3.9593798109506111E-4</v>
      </c>
      <c r="V72" s="33">
        <v>5.6704949804367783E-4</v>
      </c>
      <c r="W72" s="33">
        <v>7.3783872027635298E-4</v>
      </c>
      <c r="X72" s="33">
        <v>8.7070601082287142E-4</v>
      </c>
      <c r="Y72" s="33">
        <v>1.028566990157689E-3</v>
      </c>
      <c r="Z72" s="33">
        <v>1.3809450743979008E-3</v>
      </c>
      <c r="AA72" s="33">
        <v>1.8717658959456205E-3</v>
      </c>
      <c r="AB72" s="33">
        <v>2.736853494921429E-3</v>
      </c>
      <c r="AC72" s="33">
        <v>4.0457467589482864E-3</v>
      </c>
      <c r="AD72" s="33">
        <v>6.1231225039840784E-3</v>
      </c>
      <c r="AE72" s="33">
        <v>9.7041589296345092E-3</v>
      </c>
      <c r="AF72" s="33">
        <v>1.4742220491101176E-2</v>
      </c>
      <c r="AG72" s="33">
        <v>2.4022125767238396E-2</v>
      </c>
      <c r="AH72" s="33">
        <v>4.0621677612523242E-2</v>
      </c>
      <c r="AI72" s="33">
        <v>6.7112669233193367E-2</v>
      </c>
      <c r="AJ72" s="33">
        <v>0.1009025873396231</v>
      </c>
      <c r="AK72" s="33">
        <v>0.13501033306710375</v>
      </c>
      <c r="AL72" s="33">
        <v>0.16275439500847341</v>
      </c>
      <c r="AM72" s="33"/>
      <c r="AN72" s="39" t="s">
        <v>145</v>
      </c>
      <c r="AO72" s="37">
        <v>624</v>
      </c>
      <c r="AP72" s="72">
        <v>57.819000000000003</v>
      </c>
    </row>
    <row r="73" spans="1:42" x14ac:dyDescent="0.25">
      <c r="A73" s="39" t="s">
        <v>150</v>
      </c>
      <c r="B73" s="112">
        <v>566</v>
      </c>
      <c r="C73" s="38">
        <v>200963.603</v>
      </c>
      <c r="D73" s="38">
        <v>206139.587</v>
      </c>
      <c r="F73" s="39" t="s">
        <v>150</v>
      </c>
      <c r="G73" s="37">
        <v>566</v>
      </c>
      <c r="H73" s="53">
        <v>38.097999999999999</v>
      </c>
      <c r="I73" s="33"/>
      <c r="J73" s="54" t="s">
        <v>441</v>
      </c>
      <c r="K73" s="55" t="s">
        <v>170</v>
      </c>
      <c r="L73" s="56">
        <v>2018</v>
      </c>
      <c r="M73" s="57">
        <v>86.6</v>
      </c>
      <c r="O73" s="33" t="s">
        <v>158</v>
      </c>
      <c r="P73" s="33">
        <v>818</v>
      </c>
      <c r="Q73" s="33" t="s">
        <v>364</v>
      </c>
      <c r="R73" s="33">
        <v>1.5603000000000028E-2</v>
      </c>
      <c r="S73" s="33">
        <v>1.0979411761717916E-3</v>
      </c>
      <c r="T73" s="33">
        <v>4.0203096550612541E-4</v>
      </c>
      <c r="U73" s="33">
        <v>3.3723214981119505E-4</v>
      </c>
      <c r="V73" s="33">
        <v>4.8947906856727417E-4</v>
      </c>
      <c r="W73" s="33">
        <v>7.3460421749213067E-4</v>
      </c>
      <c r="X73" s="33">
        <v>9.0669127946694952E-4</v>
      </c>
      <c r="Y73" s="33">
        <v>1.1951674384517003E-3</v>
      </c>
      <c r="Z73" s="33">
        <v>1.4403121562159814E-3</v>
      </c>
      <c r="AA73" s="33">
        <v>2.1571886813432435E-3</v>
      </c>
      <c r="AB73" s="33">
        <v>4.4969935214368723E-3</v>
      </c>
      <c r="AC73" s="33">
        <v>8.2593242275040731E-3</v>
      </c>
      <c r="AD73" s="33">
        <v>1.1397434154598698E-2</v>
      </c>
      <c r="AE73" s="33">
        <v>1.8330517874933352E-2</v>
      </c>
      <c r="AF73" s="33">
        <v>2.8106823757184662E-2</v>
      </c>
      <c r="AG73" s="33">
        <v>4.3978088495614923E-2</v>
      </c>
      <c r="AH73" s="33">
        <v>6.7373729113522129E-2</v>
      </c>
      <c r="AI73" s="33">
        <v>9.481964846989685E-2</v>
      </c>
      <c r="AJ73" s="33">
        <v>0.12462073263023554</v>
      </c>
      <c r="AK73" s="33">
        <v>0.14965792419484689</v>
      </c>
      <c r="AL73" s="33">
        <v>0.1716527449047042</v>
      </c>
      <c r="AM73" s="33"/>
      <c r="AN73" s="39" t="s">
        <v>146</v>
      </c>
      <c r="AO73" s="37">
        <v>430</v>
      </c>
      <c r="AP73" s="72">
        <v>63.595999999999997</v>
      </c>
    </row>
    <row r="74" spans="1:42" x14ac:dyDescent="0.25">
      <c r="A74" s="39" t="s">
        <v>151</v>
      </c>
      <c r="B74" s="112">
        <v>654</v>
      </c>
      <c r="C74" s="38">
        <v>6.0609999999999999</v>
      </c>
      <c r="D74" s="38">
        <v>6.0709999999999997</v>
      </c>
      <c r="F74" s="39" t="s">
        <v>152</v>
      </c>
      <c r="G74" s="37">
        <v>686</v>
      </c>
      <c r="H74" s="53">
        <v>34.737000000000002</v>
      </c>
      <c r="I74" s="33"/>
      <c r="J74" s="54" t="s">
        <v>442</v>
      </c>
      <c r="K74" s="55" t="s">
        <v>324</v>
      </c>
      <c r="L74" s="56">
        <v>2014</v>
      </c>
      <c r="M74" s="57">
        <v>99.7</v>
      </c>
      <c r="O74" s="33" t="s">
        <v>159</v>
      </c>
      <c r="P74" s="33">
        <v>434</v>
      </c>
      <c r="Q74" s="33" t="s">
        <v>364</v>
      </c>
      <c r="R74" s="33">
        <v>1.0531420000000071E-2</v>
      </c>
      <c r="S74" s="33">
        <v>5.4867836227803454E-4</v>
      </c>
      <c r="T74" s="33">
        <v>3.8625662564065156E-4</v>
      </c>
      <c r="U74" s="33">
        <v>3.9330408218071127E-4</v>
      </c>
      <c r="V74" s="33">
        <v>9.9041495082366417E-4</v>
      </c>
      <c r="W74" s="33">
        <v>1.3402306444718099E-3</v>
      </c>
      <c r="X74" s="33">
        <v>1.4241984061556954E-3</v>
      </c>
      <c r="Y74" s="33">
        <v>1.5695632040894076E-3</v>
      </c>
      <c r="Z74" s="33">
        <v>1.9703487816216912E-3</v>
      </c>
      <c r="AA74" s="33">
        <v>2.7760638742324495E-3</v>
      </c>
      <c r="AB74" s="33">
        <v>3.9573649847061505E-3</v>
      </c>
      <c r="AC74" s="33">
        <v>6.2185748766793924E-3</v>
      </c>
      <c r="AD74" s="33">
        <v>9.9276112384405254E-3</v>
      </c>
      <c r="AE74" s="33">
        <v>1.565021934762157E-2</v>
      </c>
      <c r="AF74" s="33">
        <v>2.5204190475132573E-2</v>
      </c>
      <c r="AG74" s="33">
        <v>3.8848447158774044E-2</v>
      </c>
      <c r="AH74" s="33">
        <v>6.0941664647692489E-2</v>
      </c>
      <c r="AI74" s="33">
        <v>9.2200239498518771E-2</v>
      </c>
      <c r="AJ74" s="33">
        <v>0.12696757676055212</v>
      </c>
      <c r="AK74" s="33">
        <v>0.15770097164571453</v>
      </c>
      <c r="AL74" s="33">
        <v>0.17638925653713555</v>
      </c>
      <c r="AM74" s="33"/>
      <c r="AN74" s="39" t="s">
        <v>147</v>
      </c>
      <c r="AO74" s="37">
        <v>466</v>
      </c>
      <c r="AP74" s="72">
        <v>58.71</v>
      </c>
    </row>
    <row r="75" spans="1:42" x14ac:dyDescent="0.25">
      <c r="A75" s="39" t="s">
        <v>152</v>
      </c>
      <c r="B75" s="112">
        <v>686</v>
      </c>
      <c r="C75" s="38">
        <v>16296.361999999999</v>
      </c>
      <c r="D75" s="38">
        <v>16743.93</v>
      </c>
      <c r="F75" s="39" t="s">
        <v>153</v>
      </c>
      <c r="G75" s="37">
        <v>694</v>
      </c>
      <c r="H75" s="53">
        <v>33.725000000000001</v>
      </c>
      <c r="I75" s="33"/>
      <c r="J75" s="54" t="s">
        <v>443</v>
      </c>
      <c r="K75" s="55" t="s">
        <v>339</v>
      </c>
      <c r="L75" s="56">
        <v>2013</v>
      </c>
      <c r="M75" s="57">
        <v>99.9</v>
      </c>
      <c r="O75" s="33" t="s">
        <v>160</v>
      </c>
      <c r="P75" s="33">
        <v>504</v>
      </c>
      <c r="Q75" s="33" t="s">
        <v>364</v>
      </c>
      <c r="R75" s="33">
        <v>1.9868730000000067E-2</v>
      </c>
      <c r="S75" s="33">
        <v>9.0158331546751264E-4</v>
      </c>
      <c r="T75" s="33">
        <v>4.2089231542369684E-4</v>
      </c>
      <c r="U75" s="33">
        <v>2.557510692876066E-4</v>
      </c>
      <c r="V75" s="33">
        <v>4.1495325190041841E-4</v>
      </c>
      <c r="W75" s="33">
        <v>6.0455741603860887E-4</v>
      </c>
      <c r="X75" s="33">
        <v>6.6897173890994818E-4</v>
      </c>
      <c r="Y75" s="33">
        <v>7.4289019935636503E-4</v>
      </c>
      <c r="Z75" s="33">
        <v>1.0014434703993515E-3</v>
      </c>
      <c r="AA75" s="33">
        <v>1.330799544217336E-3</v>
      </c>
      <c r="AB75" s="33">
        <v>1.9004295608519065E-3</v>
      </c>
      <c r="AC75" s="33">
        <v>2.9029344608908036E-3</v>
      </c>
      <c r="AD75" s="33">
        <v>4.509322393201615E-3</v>
      </c>
      <c r="AE75" s="33">
        <v>7.8232346542924831E-3</v>
      </c>
      <c r="AF75" s="33">
        <v>1.3908841127627395E-2</v>
      </c>
      <c r="AG75" s="33">
        <v>2.7730057229789273E-2</v>
      </c>
      <c r="AH75" s="33">
        <v>4.7021934675716137E-2</v>
      </c>
      <c r="AI75" s="33">
        <v>9.1999086836662095E-2</v>
      </c>
      <c r="AJ75" s="33">
        <v>0.13935901987725235</v>
      </c>
      <c r="AK75" s="33">
        <v>0.17321863769084356</v>
      </c>
      <c r="AL75" s="33">
        <v>0.18438535373189555</v>
      </c>
      <c r="AM75" s="33"/>
      <c r="AN75" s="39" t="s">
        <v>148</v>
      </c>
      <c r="AO75" s="37">
        <v>478</v>
      </c>
      <c r="AP75" s="72">
        <v>64.606999999999999</v>
      </c>
    </row>
    <row r="76" spans="1:42" x14ac:dyDescent="0.25">
      <c r="A76" s="39" t="s">
        <v>153</v>
      </c>
      <c r="B76" s="112">
        <v>694</v>
      </c>
      <c r="C76" s="38">
        <v>7813.2070000000003</v>
      </c>
      <c r="D76" s="38">
        <v>7976.9849999999997</v>
      </c>
      <c r="F76" s="39" t="s">
        <v>154</v>
      </c>
      <c r="G76" s="37">
        <v>768</v>
      </c>
      <c r="H76" s="53">
        <v>33.314</v>
      </c>
      <c r="I76" s="33"/>
      <c r="J76" s="54" t="s">
        <v>444</v>
      </c>
      <c r="K76" s="55" t="s">
        <v>239</v>
      </c>
      <c r="L76" s="56">
        <v>2011</v>
      </c>
      <c r="M76" s="57">
        <v>98.6</v>
      </c>
      <c r="O76" s="33" t="s">
        <v>161</v>
      </c>
      <c r="P76" s="33">
        <v>729</v>
      </c>
      <c r="Q76" s="33" t="s">
        <v>364</v>
      </c>
      <c r="R76" s="33">
        <v>4.2874850000000006E-2</v>
      </c>
      <c r="S76" s="33">
        <v>5.5109407583741827E-3</v>
      </c>
      <c r="T76" s="33">
        <v>2.1666864969454775E-3</v>
      </c>
      <c r="U76" s="33">
        <v>1.6265412680930844E-3</v>
      </c>
      <c r="V76" s="33">
        <v>1.9187261517500268E-3</v>
      </c>
      <c r="W76" s="33">
        <v>2.5722201125001026E-3</v>
      </c>
      <c r="X76" s="33">
        <v>3.0538597600547213E-3</v>
      </c>
      <c r="Y76" s="33">
        <v>3.5465053197037046E-3</v>
      </c>
      <c r="Z76" s="33">
        <v>4.4674961160007399E-3</v>
      </c>
      <c r="AA76" s="33">
        <v>5.4109756268481439E-3</v>
      </c>
      <c r="AB76" s="33">
        <v>6.623522459809337E-3</v>
      </c>
      <c r="AC76" s="33">
        <v>8.8326556424588604E-3</v>
      </c>
      <c r="AD76" s="33">
        <v>1.1923097729237751E-2</v>
      </c>
      <c r="AE76" s="33">
        <v>1.7536947410145505E-2</v>
      </c>
      <c r="AF76" s="33">
        <v>2.7409566126079893E-2</v>
      </c>
      <c r="AG76" s="33">
        <v>4.2580666186292179E-2</v>
      </c>
      <c r="AH76" s="33">
        <v>6.3829376993833828E-2</v>
      </c>
      <c r="AI76" s="33">
        <v>9.205863252467697E-2</v>
      </c>
      <c r="AJ76" s="33">
        <v>0.12169234717050383</v>
      </c>
      <c r="AK76" s="33">
        <v>0.14819504180293439</v>
      </c>
      <c r="AL76" s="33">
        <v>0.1678565296720865</v>
      </c>
      <c r="AM76" s="33"/>
      <c r="AN76" s="39" t="s">
        <v>149</v>
      </c>
      <c r="AO76" s="37">
        <v>562</v>
      </c>
      <c r="AP76" s="72">
        <v>61.798999999999999</v>
      </c>
    </row>
    <row r="77" spans="1:42" x14ac:dyDescent="0.25">
      <c r="A77" s="39" t="s">
        <v>154</v>
      </c>
      <c r="B77" s="112">
        <v>768</v>
      </c>
      <c r="C77" s="38">
        <v>8082.3590000000004</v>
      </c>
      <c r="D77" s="38">
        <v>8278.7369999999992</v>
      </c>
      <c r="F77" s="40" t="s">
        <v>155</v>
      </c>
      <c r="G77" s="41">
        <v>1833</v>
      </c>
      <c r="H77" s="58">
        <v>22.85</v>
      </c>
      <c r="I77" s="33"/>
      <c r="J77" s="54" t="s">
        <v>445</v>
      </c>
      <c r="K77" s="55" t="s">
        <v>207</v>
      </c>
      <c r="L77" s="56">
        <v>2014</v>
      </c>
      <c r="M77" s="57">
        <v>99.8</v>
      </c>
      <c r="O77" s="33" t="s">
        <v>162</v>
      </c>
      <c r="P77" s="33">
        <v>788</v>
      </c>
      <c r="Q77" s="33" t="s">
        <v>364</v>
      </c>
      <c r="R77" s="33">
        <v>1.2677660000000033E-2</v>
      </c>
      <c r="S77" s="33">
        <v>1.9627581808793928E-4</v>
      </c>
      <c r="T77" s="33">
        <v>1.4528651183933218E-4</v>
      </c>
      <c r="U77" s="33">
        <v>2.4567711450364222E-4</v>
      </c>
      <c r="V77" s="33">
        <v>3.6946046825902569E-4</v>
      </c>
      <c r="W77" s="33">
        <v>5.0218321994208073E-4</v>
      </c>
      <c r="X77" s="33">
        <v>5.7026953078073554E-4</v>
      </c>
      <c r="Y77" s="33">
        <v>6.6872513126501731E-4</v>
      </c>
      <c r="Z77" s="33">
        <v>9.3910189950180975E-4</v>
      </c>
      <c r="AA77" s="33">
        <v>1.4957061989991033E-3</v>
      </c>
      <c r="AB77" s="33">
        <v>2.4580043509297789E-3</v>
      </c>
      <c r="AC77" s="33">
        <v>4.2143535591497288E-3</v>
      </c>
      <c r="AD77" s="33">
        <v>7.0562475351473204E-3</v>
      </c>
      <c r="AE77" s="33">
        <v>1.1396783036291771E-2</v>
      </c>
      <c r="AF77" s="33">
        <v>1.8035765263121787E-2</v>
      </c>
      <c r="AG77" s="33">
        <v>3.0927293601049979E-2</v>
      </c>
      <c r="AH77" s="33">
        <v>5.1611262134234469E-2</v>
      </c>
      <c r="AI77" s="33">
        <v>8.0339742551862076E-2</v>
      </c>
      <c r="AJ77" s="33">
        <v>0.11383684488647333</v>
      </c>
      <c r="AK77" s="33">
        <v>0.14455560452381014</v>
      </c>
      <c r="AL77" s="33">
        <v>0.16765105573113256</v>
      </c>
      <c r="AM77" s="33"/>
      <c r="AN77" s="39" t="s">
        <v>150</v>
      </c>
      <c r="AO77" s="37">
        <v>566</v>
      </c>
      <c r="AP77" s="72">
        <v>54.176000000000002</v>
      </c>
    </row>
    <row r="78" spans="1:42" x14ac:dyDescent="0.25">
      <c r="A78" s="40" t="s">
        <v>155</v>
      </c>
      <c r="B78" s="113">
        <v>1833</v>
      </c>
      <c r="C78" s="42">
        <v>517105.55800000002</v>
      </c>
      <c r="D78" s="42">
        <v>525869.28200000001</v>
      </c>
      <c r="F78" s="43" t="s">
        <v>156</v>
      </c>
      <c r="G78" s="44">
        <v>912</v>
      </c>
      <c r="H78" s="59">
        <v>25.434999999999999</v>
      </c>
      <c r="I78" s="33"/>
      <c r="J78" s="54" t="s">
        <v>446</v>
      </c>
      <c r="K78" s="55" t="s">
        <v>172</v>
      </c>
      <c r="L78" s="56">
        <v>2018</v>
      </c>
      <c r="M78" s="57">
        <v>98.1</v>
      </c>
      <c r="O78" s="33" t="s">
        <v>163</v>
      </c>
      <c r="P78" s="33">
        <v>732</v>
      </c>
      <c r="Q78" s="33" t="s">
        <v>364</v>
      </c>
      <c r="R78" s="33">
        <v>2.8788359999999957E-2</v>
      </c>
      <c r="S78" s="33">
        <v>1.534052866170358E-3</v>
      </c>
      <c r="T78" s="33">
        <v>6.2078913106304156E-4</v>
      </c>
      <c r="U78" s="33">
        <v>5.0655751179059399E-4</v>
      </c>
      <c r="V78" s="33">
        <v>8.9012842840755228E-4</v>
      </c>
      <c r="W78" s="33">
        <v>1.2502828353841582E-3</v>
      </c>
      <c r="X78" s="33">
        <v>1.3616534589998505E-3</v>
      </c>
      <c r="Y78" s="33">
        <v>1.5963465158813231E-3</v>
      </c>
      <c r="Z78" s="33">
        <v>2.0788261512997182E-3</v>
      </c>
      <c r="AA78" s="33">
        <v>2.9919199234723476E-3</v>
      </c>
      <c r="AB78" s="33">
        <v>4.6636014598546265E-3</v>
      </c>
      <c r="AC78" s="33">
        <v>7.2816601545324404E-3</v>
      </c>
      <c r="AD78" s="33">
        <v>1.1475593632370889E-2</v>
      </c>
      <c r="AE78" s="33">
        <v>1.7900580494908329E-2</v>
      </c>
      <c r="AF78" s="33">
        <v>2.8211856186079205E-2</v>
      </c>
      <c r="AG78" s="33">
        <v>4.4140378834820117E-2</v>
      </c>
      <c r="AH78" s="33">
        <v>6.7497423851387336E-2</v>
      </c>
      <c r="AI78" s="33">
        <v>9.9311923853314582E-2</v>
      </c>
      <c r="AJ78" s="33">
        <v>0.13363603982844083</v>
      </c>
      <c r="AK78" s="33">
        <v>0.16169782837805749</v>
      </c>
      <c r="AL78" s="33">
        <v>0.17989276415941949</v>
      </c>
      <c r="AM78" s="33"/>
      <c r="AN78" s="39" t="s">
        <v>152</v>
      </c>
      <c r="AO78" s="37">
        <v>686</v>
      </c>
      <c r="AP78" s="72">
        <v>67.47</v>
      </c>
    </row>
    <row r="79" spans="1:42" x14ac:dyDescent="0.25">
      <c r="A79" s="43" t="s">
        <v>156</v>
      </c>
      <c r="B79" s="114">
        <v>912</v>
      </c>
      <c r="C79" s="45">
        <v>241780.76500000001</v>
      </c>
      <c r="D79" s="45">
        <v>246232.508</v>
      </c>
      <c r="F79" s="39" t="s">
        <v>157</v>
      </c>
      <c r="G79" s="37">
        <v>12</v>
      </c>
      <c r="H79" s="53">
        <v>24.69</v>
      </c>
      <c r="I79" s="33"/>
      <c r="J79" s="54" t="s">
        <v>447</v>
      </c>
      <c r="K79" s="55" t="s">
        <v>185</v>
      </c>
      <c r="L79" s="56">
        <v>2015</v>
      </c>
      <c r="M79" s="57">
        <v>99.3</v>
      </c>
      <c r="O79" s="33" t="s">
        <v>164</v>
      </c>
      <c r="P79" s="33">
        <v>922</v>
      </c>
      <c r="Q79" s="33" t="s">
        <v>364</v>
      </c>
      <c r="R79" s="33">
        <v>1.8037407183698961E-2</v>
      </c>
      <c r="S79" s="33">
        <v>1.1486204160686474E-3</v>
      </c>
      <c r="T79" s="33">
        <v>5.8299672833839547E-4</v>
      </c>
      <c r="U79" s="33">
        <v>5.6327583809590985E-4</v>
      </c>
      <c r="V79" s="33">
        <v>9.0019557663250347E-4</v>
      </c>
      <c r="W79" s="33">
        <v>1.2486780163339997E-3</v>
      </c>
      <c r="X79" s="33">
        <v>1.3533828930507885E-3</v>
      </c>
      <c r="Y79" s="33">
        <v>1.3762135064236173E-3</v>
      </c>
      <c r="Z79" s="33">
        <v>1.5510192735236948E-3</v>
      </c>
      <c r="AA79" s="33">
        <v>2.0468405699418379E-3</v>
      </c>
      <c r="AB79" s="33">
        <v>2.996520613714504E-3</v>
      </c>
      <c r="AC79" s="33">
        <v>4.5395738979213821E-3</v>
      </c>
      <c r="AD79" s="33">
        <v>7.2094317324322473E-3</v>
      </c>
      <c r="AE79" s="33">
        <v>1.1717257641706315E-2</v>
      </c>
      <c r="AF79" s="33">
        <v>1.8831683623672137E-2</v>
      </c>
      <c r="AG79" s="33">
        <v>3.1034683100849801E-2</v>
      </c>
      <c r="AH79" s="33">
        <v>4.9679969798929413E-2</v>
      </c>
      <c r="AI79" s="33">
        <v>7.5674868936127612E-2</v>
      </c>
      <c r="AJ79" s="33">
        <v>0.10744717693484206</v>
      </c>
      <c r="AK79" s="33">
        <v>0.13973947498208661</v>
      </c>
      <c r="AL79" s="33">
        <v>0.16583176099064451</v>
      </c>
      <c r="AM79" s="33"/>
      <c r="AN79" s="39" t="s">
        <v>153</v>
      </c>
      <c r="AO79" s="37">
        <v>694</v>
      </c>
      <c r="AP79" s="72">
        <v>54.066000000000003</v>
      </c>
    </row>
    <row r="80" spans="1:42" x14ac:dyDescent="0.25">
      <c r="A80" s="39" t="s">
        <v>157</v>
      </c>
      <c r="B80" s="112">
        <v>12</v>
      </c>
      <c r="C80" s="38">
        <v>43053.053999999996</v>
      </c>
      <c r="D80" s="38">
        <v>43851.042999999998</v>
      </c>
      <c r="F80" s="39" t="s">
        <v>158</v>
      </c>
      <c r="G80" s="37">
        <v>818</v>
      </c>
      <c r="H80" s="53">
        <v>26.538</v>
      </c>
      <c r="I80" s="33"/>
      <c r="J80" s="54" t="s">
        <v>448</v>
      </c>
      <c r="K80" s="55" t="s">
        <v>106</v>
      </c>
      <c r="L80" s="56">
        <v>2014</v>
      </c>
      <c r="M80" s="57">
        <v>61.2</v>
      </c>
      <c r="O80" s="33" t="s">
        <v>165</v>
      </c>
      <c r="P80" s="33">
        <v>51</v>
      </c>
      <c r="Q80" s="33" t="s">
        <v>364</v>
      </c>
      <c r="R80" s="33">
        <v>1.076725999999995E-2</v>
      </c>
      <c r="S80" s="33">
        <v>6.0513059848790187E-4</v>
      </c>
      <c r="T80" s="33">
        <v>1.93924378369244E-4</v>
      </c>
      <c r="U80" s="33">
        <v>2.4832398200589723E-4</v>
      </c>
      <c r="V80" s="33">
        <v>6.2989832208936759E-4</v>
      </c>
      <c r="W80" s="33">
        <v>6.1722805549911967E-4</v>
      </c>
      <c r="X80" s="33">
        <v>5.8384698125939964E-4</v>
      </c>
      <c r="Y80" s="33">
        <v>7.6881496834193684E-4</v>
      </c>
      <c r="Z80" s="33">
        <v>1.1561838268472774E-3</v>
      </c>
      <c r="AA80" s="33">
        <v>2.1751643185807753E-3</v>
      </c>
      <c r="AB80" s="33">
        <v>3.6112755210226531E-3</v>
      </c>
      <c r="AC80" s="33">
        <v>5.9387526153959792E-3</v>
      </c>
      <c r="AD80" s="33">
        <v>8.9263102282409693E-3</v>
      </c>
      <c r="AE80" s="33">
        <v>1.3903104545352291E-2</v>
      </c>
      <c r="AF80" s="33">
        <v>2.0983052565945907E-2</v>
      </c>
      <c r="AG80" s="33">
        <v>3.3401499418340398E-2</v>
      </c>
      <c r="AH80" s="33">
        <v>5.465880189347537E-2</v>
      </c>
      <c r="AI80" s="33">
        <v>8.2918013327087897E-2</v>
      </c>
      <c r="AJ80" s="33">
        <v>0.11608841574202325</v>
      </c>
      <c r="AK80" s="33">
        <v>0.14919485486959652</v>
      </c>
      <c r="AL80" s="33">
        <v>0.17055508516504275</v>
      </c>
      <c r="AM80" s="33"/>
      <c r="AN80" s="39" t="s">
        <v>154</v>
      </c>
      <c r="AO80" s="37">
        <v>768</v>
      </c>
      <c r="AP80" s="72">
        <v>60.527999999999999</v>
      </c>
    </row>
    <row r="81" spans="1:42" x14ac:dyDescent="0.25">
      <c r="A81" s="39" t="s">
        <v>158</v>
      </c>
      <c r="B81" s="112">
        <v>818</v>
      </c>
      <c r="C81" s="38">
        <v>100388.076</v>
      </c>
      <c r="D81" s="38">
        <v>102334.40300000001</v>
      </c>
      <c r="F81" s="39" t="s">
        <v>159</v>
      </c>
      <c r="G81" s="37">
        <v>434</v>
      </c>
      <c r="H81" s="53">
        <v>19.004999999999999</v>
      </c>
      <c r="I81" s="33"/>
      <c r="J81" s="54" t="s">
        <v>449</v>
      </c>
      <c r="K81" s="55" t="s">
        <v>288</v>
      </c>
      <c r="L81" s="56">
        <v>2019</v>
      </c>
      <c r="M81" s="57">
        <v>86.1</v>
      </c>
      <c r="O81" s="33" t="s">
        <v>166</v>
      </c>
      <c r="P81" s="33">
        <v>31</v>
      </c>
      <c r="Q81" s="33" t="s">
        <v>364</v>
      </c>
      <c r="R81" s="33">
        <v>2.0805819999999947E-2</v>
      </c>
      <c r="S81" s="33">
        <v>1.123227162154904E-3</v>
      </c>
      <c r="T81" s="33">
        <v>3.8315142751846586E-4</v>
      </c>
      <c r="U81" s="33">
        <v>3.2753527067306111E-4</v>
      </c>
      <c r="V81" s="33">
        <v>6.7106272431909563E-4</v>
      </c>
      <c r="W81" s="33">
        <v>8.3423098262416112E-4</v>
      </c>
      <c r="X81" s="33">
        <v>8.4033512329954505E-4</v>
      </c>
      <c r="Y81" s="33">
        <v>1.0078144348421782E-3</v>
      </c>
      <c r="Z81" s="33">
        <v>1.4113549489738408E-3</v>
      </c>
      <c r="AA81" s="33">
        <v>2.1341372569251794E-3</v>
      </c>
      <c r="AB81" s="33">
        <v>3.4640864194021774E-3</v>
      </c>
      <c r="AC81" s="33">
        <v>5.6339572820308399E-3</v>
      </c>
      <c r="AD81" s="33">
        <v>9.132810862019192E-3</v>
      </c>
      <c r="AE81" s="33">
        <v>1.4898419315500004E-2</v>
      </c>
      <c r="AF81" s="33">
        <v>2.4088434935959687E-2</v>
      </c>
      <c r="AG81" s="33">
        <v>3.8898255800715674E-2</v>
      </c>
      <c r="AH81" s="33">
        <v>6.1621997520772846E-2</v>
      </c>
      <c r="AI81" s="33">
        <v>9.1464552499687407E-2</v>
      </c>
      <c r="AJ81" s="33">
        <v>0.12545163613081445</v>
      </c>
      <c r="AK81" s="33">
        <v>0.15474880684223277</v>
      </c>
      <c r="AL81" s="33">
        <v>0.17412085468380484</v>
      </c>
      <c r="AM81" s="33"/>
      <c r="AN81" s="40" t="s">
        <v>155</v>
      </c>
      <c r="AO81" s="41">
        <v>1833</v>
      </c>
      <c r="AP81" s="76">
        <v>73.451626497292906</v>
      </c>
    </row>
    <row r="82" spans="1:42" x14ac:dyDescent="0.25">
      <c r="A82" s="39" t="s">
        <v>159</v>
      </c>
      <c r="B82" s="112">
        <v>434</v>
      </c>
      <c r="C82" s="38">
        <v>6777.4530000000004</v>
      </c>
      <c r="D82" s="38">
        <v>6871.2870000000003</v>
      </c>
      <c r="F82" s="39" t="s">
        <v>160</v>
      </c>
      <c r="G82" s="37">
        <v>504</v>
      </c>
      <c r="H82" s="53">
        <v>19.053000000000001</v>
      </c>
      <c r="I82" s="33"/>
      <c r="J82" s="54" t="s">
        <v>450</v>
      </c>
      <c r="K82" s="55" t="s">
        <v>451</v>
      </c>
      <c r="L82" s="56">
        <v>2014</v>
      </c>
      <c r="M82" s="57">
        <v>99</v>
      </c>
      <c r="O82" s="33" t="s">
        <v>167</v>
      </c>
      <c r="P82" s="33">
        <v>48</v>
      </c>
      <c r="Q82" s="33" t="s">
        <v>364</v>
      </c>
      <c r="R82" s="33">
        <v>5.9243499999999767E-3</v>
      </c>
      <c r="S82" s="33">
        <v>4.1663328138054042E-4</v>
      </c>
      <c r="T82" s="33">
        <v>1.8950463654469096E-4</v>
      </c>
      <c r="U82" s="33">
        <v>1.7056746506846255E-4</v>
      </c>
      <c r="V82" s="33">
        <v>4.0729711953493229E-4</v>
      </c>
      <c r="W82" s="33">
        <v>5.099635938402593E-4</v>
      </c>
      <c r="X82" s="33">
        <v>5.0115258685858748E-4</v>
      </c>
      <c r="Y82" s="33">
        <v>5.8750500546976407E-4</v>
      </c>
      <c r="Z82" s="33">
        <v>7.0148645932263057E-4</v>
      </c>
      <c r="AA82" s="33">
        <v>1.0534816376980343E-3</v>
      </c>
      <c r="AB82" s="33">
        <v>1.6542829582941571E-3</v>
      </c>
      <c r="AC82" s="33">
        <v>2.6699807149804218E-3</v>
      </c>
      <c r="AD82" s="33">
        <v>5.7022053601216973E-3</v>
      </c>
      <c r="AE82" s="33">
        <v>1.1054646122125809E-2</v>
      </c>
      <c r="AF82" s="33">
        <v>2.0015881596769643E-2</v>
      </c>
      <c r="AG82" s="33">
        <v>3.3532242683008688E-2</v>
      </c>
      <c r="AH82" s="33">
        <v>5.5104598821190245E-2</v>
      </c>
      <c r="AI82" s="33">
        <v>8.3240902397685376E-2</v>
      </c>
      <c r="AJ82" s="33">
        <v>0.11490468870641844</v>
      </c>
      <c r="AK82" s="33">
        <v>0.14396431158986167</v>
      </c>
      <c r="AL82" s="33">
        <v>0.16755830504331232</v>
      </c>
      <c r="AM82" s="33"/>
      <c r="AN82" s="43" t="s">
        <v>156</v>
      </c>
      <c r="AO82" s="44">
        <v>912</v>
      </c>
      <c r="AP82" s="77">
        <v>72.273066012246403</v>
      </c>
    </row>
    <row r="83" spans="1:42" x14ac:dyDescent="0.25">
      <c r="A83" s="39" t="s">
        <v>160</v>
      </c>
      <c r="B83" s="112">
        <v>504</v>
      </c>
      <c r="C83" s="38">
        <v>36471.766000000003</v>
      </c>
      <c r="D83" s="38">
        <v>36910.557999999997</v>
      </c>
      <c r="F83" s="39" t="s">
        <v>161</v>
      </c>
      <c r="G83" s="37">
        <v>729</v>
      </c>
      <c r="H83" s="53">
        <v>32.360999999999997</v>
      </c>
      <c r="I83" s="33"/>
      <c r="J83" s="54" t="s">
        <v>452</v>
      </c>
      <c r="K83" s="55" t="s">
        <v>173</v>
      </c>
      <c r="L83" s="56">
        <v>2014</v>
      </c>
      <c r="M83" s="57">
        <v>98.7</v>
      </c>
      <c r="O83" s="33" t="s">
        <v>168</v>
      </c>
      <c r="P83" s="33">
        <v>196</v>
      </c>
      <c r="Q83" s="33" t="s">
        <v>364</v>
      </c>
      <c r="R83" s="33">
        <v>3.5399400000000604E-3</v>
      </c>
      <c r="S83" s="33">
        <v>1.6627861632506882E-4</v>
      </c>
      <c r="T83" s="33">
        <v>6.5441029012628819E-5</v>
      </c>
      <c r="U83" s="33">
        <v>5.5487275793051536E-5</v>
      </c>
      <c r="V83" s="33">
        <v>9.515117379623913E-5</v>
      </c>
      <c r="W83" s="33">
        <v>1.8201068515817653E-4</v>
      </c>
      <c r="X83" s="33">
        <v>2.941689732542956E-4</v>
      </c>
      <c r="Y83" s="33">
        <v>4.0640302427311439E-4</v>
      </c>
      <c r="Z83" s="33">
        <v>5.5017964870470565E-4</v>
      </c>
      <c r="AA83" s="33">
        <v>8.3488081710302996E-4</v>
      </c>
      <c r="AB83" s="33">
        <v>1.3751722791005428E-3</v>
      </c>
      <c r="AC83" s="33">
        <v>2.3480597693339689E-3</v>
      </c>
      <c r="AD83" s="33">
        <v>4.0384439505680974E-3</v>
      </c>
      <c r="AE83" s="33">
        <v>7.1152692231767258E-3</v>
      </c>
      <c r="AF83" s="33">
        <v>1.2837567856178152E-2</v>
      </c>
      <c r="AG83" s="33">
        <v>2.2841367223275486E-2</v>
      </c>
      <c r="AH83" s="33">
        <v>3.9406736570375731E-2</v>
      </c>
      <c r="AI83" s="33">
        <v>6.4603773010585758E-2</v>
      </c>
      <c r="AJ83" s="33">
        <v>9.7660733428611618E-2</v>
      </c>
      <c r="AK83" s="33">
        <v>0.13366873476687358</v>
      </c>
      <c r="AL83" s="33">
        <v>0.16386786273557083</v>
      </c>
      <c r="AM83" s="33"/>
      <c r="AN83" s="39" t="s">
        <v>157</v>
      </c>
      <c r="AO83" s="37">
        <v>12</v>
      </c>
      <c r="AP83" s="72">
        <v>76.593000000000004</v>
      </c>
    </row>
    <row r="84" spans="1:42" x14ac:dyDescent="0.25">
      <c r="A84" s="39" t="s">
        <v>161</v>
      </c>
      <c r="B84" s="112">
        <v>729</v>
      </c>
      <c r="C84" s="38">
        <v>42813.237000000001</v>
      </c>
      <c r="D84" s="38">
        <v>43849.269</v>
      </c>
      <c r="F84" s="39" t="s">
        <v>162</v>
      </c>
      <c r="G84" s="37">
        <v>788</v>
      </c>
      <c r="H84" s="53">
        <v>17.713999999999999</v>
      </c>
      <c r="I84" s="33"/>
      <c r="J84" s="54" t="s">
        <v>453</v>
      </c>
      <c r="K84" s="55" t="s">
        <v>186</v>
      </c>
      <c r="L84" s="56">
        <v>2018</v>
      </c>
      <c r="M84" s="57">
        <v>99.6</v>
      </c>
      <c r="O84" s="33" t="s">
        <v>169</v>
      </c>
      <c r="P84" s="33">
        <v>268</v>
      </c>
      <c r="Q84" s="33" t="s">
        <v>364</v>
      </c>
      <c r="R84" s="33">
        <v>9.3725400000000073E-3</v>
      </c>
      <c r="S84" s="33">
        <v>1.9797553360777006E-4</v>
      </c>
      <c r="T84" s="33">
        <v>2.0735409973811434E-4</v>
      </c>
      <c r="U84" s="33">
        <v>2.4003638935156418E-4</v>
      </c>
      <c r="V84" s="33">
        <v>4.5753167598254051E-4</v>
      </c>
      <c r="W84" s="33">
        <v>7.6044483648193904E-4</v>
      </c>
      <c r="X84" s="33">
        <v>9.382859233619756E-4</v>
      </c>
      <c r="Y84" s="33">
        <v>1.4003231053486603E-3</v>
      </c>
      <c r="Z84" s="33">
        <v>1.9889461737895805E-3</v>
      </c>
      <c r="AA84" s="33">
        <v>3.0774283108491989E-3</v>
      </c>
      <c r="AB84" s="33">
        <v>5.0342282800873482E-3</v>
      </c>
      <c r="AC84" s="33">
        <v>7.4128365925189869E-3</v>
      </c>
      <c r="AD84" s="33">
        <v>1.0913221897763821E-2</v>
      </c>
      <c r="AE84" s="33">
        <v>1.5735986414418947E-2</v>
      </c>
      <c r="AF84" s="33">
        <v>2.2391947554543861E-2</v>
      </c>
      <c r="AG84" s="33">
        <v>3.5964808161803266E-2</v>
      </c>
      <c r="AH84" s="33">
        <v>5.749216665832782E-2</v>
      </c>
      <c r="AI84" s="33">
        <v>8.5833556720407642E-2</v>
      </c>
      <c r="AJ84" s="33">
        <v>0.11840450151830864</v>
      </c>
      <c r="AK84" s="33">
        <v>0.15124273128827495</v>
      </c>
      <c r="AL84" s="33">
        <v>0.17455391798157871</v>
      </c>
      <c r="AM84" s="33"/>
      <c r="AN84" s="39" t="s">
        <v>158</v>
      </c>
      <c r="AO84" s="37">
        <v>818</v>
      </c>
      <c r="AP84" s="72">
        <v>71.744</v>
      </c>
    </row>
    <row r="85" spans="1:42" x14ac:dyDescent="0.25">
      <c r="A85" s="39" t="s">
        <v>162</v>
      </c>
      <c r="B85" s="112">
        <v>788</v>
      </c>
      <c r="C85" s="38">
        <v>11694.721</v>
      </c>
      <c r="D85" s="38">
        <v>11818.618</v>
      </c>
      <c r="F85" s="39" t="s">
        <v>163</v>
      </c>
      <c r="G85" s="37">
        <v>732</v>
      </c>
      <c r="H85" s="53">
        <v>20.302</v>
      </c>
      <c r="I85" s="33"/>
      <c r="J85" s="54" t="s">
        <v>454</v>
      </c>
      <c r="K85" s="55" t="s">
        <v>214</v>
      </c>
      <c r="L85" s="56">
        <v>2017</v>
      </c>
      <c r="M85" s="57">
        <v>64.5</v>
      </c>
      <c r="O85" s="33" t="s">
        <v>170</v>
      </c>
      <c r="P85" s="33">
        <v>368</v>
      </c>
      <c r="Q85" s="33" t="s">
        <v>364</v>
      </c>
      <c r="R85" s="33">
        <v>2.4110800000000019E-2</v>
      </c>
      <c r="S85" s="33">
        <v>1.0799817233349974E-3</v>
      </c>
      <c r="T85" s="33">
        <v>6.7821551938492984E-4</v>
      </c>
      <c r="U85" s="33">
        <v>5.6557849116027745E-4</v>
      </c>
      <c r="V85" s="33">
        <v>1.0004142952082203E-3</v>
      </c>
      <c r="W85" s="33">
        <v>1.4151251214418346E-3</v>
      </c>
      <c r="X85" s="33">
        <v>1.5242081853088043E-3</v>
      </c>
      <c r="Y85" s="33">
        <v>1.7479123246873808E-3</v>
      </c>
      <c r="Z85" s="33">
        <v>2.2037392374316925E-3</v>
      </c>
      <c r="AA85" s="33">
        <v>3.0908236420942241E-3</v>
      </c>
      <c r="AB85" s="33">
        <v>4.6923737995915194E-3</v>
      </c>
      <c r="AC85" s="33">
        <v>7.1647330039273649E-3</v>
      </c>
      <c r="AD85" s="33">
        <v>1.1076525869839116E-2</v>
      </c>
      <c r="AE85" s="33">
        <v>1.7215447490337803E-2</v>
      </c>
      <c r="AF85" s="33">
        <v>2.7241255375288469E-2</v>
      </c>
      <c r="AG85" s="33">
        <v>4.3058974571024498E-2</v>
      </c>
      <c r="AH85" s="33">
        <v>6.5942761472422159E-2</v>
      </c>
      <c r="AI85" s="33">
        <v>9.7172606369998721E-2</v>
      </c>
      <c r="AJ85" s="33">
        <v>0.13079294681675191</v>
      </c>
      <c r="AK85" s="33">
        <v>0.15974497508907906</v>
      </c>
      <c r="AL85" s="33">
        <v>0.17784872588826692</v>
      </c>
      <c r="AM85" s="33"/>
      <c r="AN85" s="39" t="s">
        <v>159</v>
      </c>
      <c r="AO85" s="37">
        <v>434</v>
      </c>
      <c r="AP85" s="72">
        <v>72.700999999999993</v>
      </c>
    </row>
    <row r="86" spans="1:42" x14ac:dyDescent="0.25">
      <c r="A86" s="39" t="s">
        <v>163</v>
      </c>
      <c r="B86" s="112">
        <v>732</v>
      </c>
      <c r="C86" s="38">
        <v>582.45799999999997</v>
      </c>
      <c r="D86" s="38">
        <v>597.33000000000004</v>
      </c>
      <c r="F86" s="43" t="s">
        <v>164</v>
      </c>
      <c r="G86" s="44">
        <v>922</v>
      </c>
      <c r="H86" s="59">
        <v>20.587</v>
      </c>
      <c r="I86" s="33"/>
      <c r="J86" s="54" t="s">
        <v>455</v>
      </c>
      <c r="K86" s="55" t="s">
        <v>326</v>
      </c>
      <c r="L86" s="56">
        <v>2014</v>
      </c>
      <c r="M86" s="57">
        <v>98.1</v>
      </c>
      <c r="O86" s="33" t="s">
        <v>171</v>
      </c>
      <c r="P86" s="33">
        <v>376</v>
      </c>
      <c r="Q86" s="33" t="s">
        <v>364</v>
      </c>
      <c r="R86" s="33">
        <v>2.7297900000000665E-3</v>
      </c>
      <c r="S86" s="33">
        <v>1.582620220852626E-4</v>
      </c>
      <c r="T86" s="33">
        <v>8.4307366332057236E-5</v>
      </c>
      <c r="U86" s="33">
        <v>8.6193919032450747E-5</v>
      </c>
      <c r="V86" s="33">
        <v>2.2678489366972614E-4</v>
      </c>
      <c r="W86" s="33">
        <v>3.3462882422529648E-4</v>
      </c>
      <c r="X86" s="33">
        <v>3.2740713666671548E-4</v>
      </c>
      <c r="Y86" s="33">
        <v>4.1524535983268737E-4</v>
      </c>
      <c r="Z86" s="33">
        <v>5.7089966717177587E-4</v>
      </c>
      <c r="AA86" s="33">
        <v>8.977583310170623E-4</v>
      </c>
      <c r="AB86" s="33">
        <v>1.4634950127184591E-3</v>
      </c>
      <c r="AC86" s="33">
        <v>2.375942257801441E-3</v>
      </c>
      <c r="AD86" s="33">
        <v>3.8968199736271127E-3</v>
      </c>
      <c r="AE86" s="33">
        <v>6.2106791914972922E-3</v>
      </c>
      <c r="AF86" s="33">
        <v>1.0139650531448524E-2</v>
      </c>
      <c r="AG86" s="33">
        <v>1.7005181168354453E-2</v>
      </c>
      <c r="AH86" s="33">
        <v>2.9199175629741676E-2</v>
      </c>
      <c r="AI86" s="33">
        <v>4.9222957229371658E-2</v>
      </c>
      <c r="AJ86" s="33">
        <v>8.0335601546465255E-2</v>
      </c>
      <c r="AK86" s="33">
        <v>0.11480465092052258</v>
      </c>
      <c r="AL86" s="33">
        <v>0.15310446493844848</v>
      </c>
      <c r="AM86" s="33"/>
      <c r="AN86" s="39" t="s">
        <v>160</v>
      </c>
      <c r="AO86" s="37">
        <v>504</v>
      </c>
      <c r="AP86" s="72">
        <v>76.33</v>
      </c>
    </row>
    <row r="87" spans="1:42" x14ac:dyDescent="0.25">
      <c r="A87" s="43" t="s">
        <v>164</v>
      </c>
      <c r="B87" s="114">
        <v>922</v>
      </c>
      <c r="C87" s="45">
        <v>275324.79300000001</v>
      </c>
      <c r="D87" s="45">
        <v>279636.77399999998</v>
      </c>
      <c r="F87" s="39" t="s">
        <v>165</v>
      </c>
      <c r="G87" s="37">
        <v>51</v>
      </c>
      <c r="H87" s="53">
        <v>14.163</v>
      </c>
      <c r="I87" s="33"/>
      <c r="J87" s="54" t="s">
        <v>456</v>
      </c>
      <c r="K87" s="55" t="s">
        <v>174</v>
      </c>
      <c r="L87" s="56">
        <v>2000</v>
      </c>
      <c r="M87" s="57">
        <v>99.9</v>
      </c>
      <c r="O87" s="33" t="s">
        <v>172</v>
      </c>
      <c r="P87" s="33">
        <v>400</v>
      </c>
      <c r="Q87" s="33" t="s">
        <v>364</v>
      </c>
      <c r="R87" s="33">
        <v>1.4632749999999941E-2</v>
      </c>
      <c r="S87" s="33">
        <v>6.0964833162461E-4</v>
      </c>
      <c r="T87" s="33">
        <v>3.2828657853446503E-4</v>
      </c>
      <c r="U87" s="33">
        <v>2.7577292513125776E-4</v>
      </c>
      <c r="V87" s="33">
        <v>5.1201955857610687E-4</v>
      </c>
      <c r="W87" s="33">
        <v>7.1612071515947645E-4</v>
      </c>
      <c r="X87" s="33">
        <v>7.7178297825039046E-4</v>
      </c>
      <c r="Y87" s="33">
        <v>9.1062710482887714E-4</v>
      </c>
      <c r="Z87" s="33">
        <v>1.2224606282356869E-3</v>
      </c>
      <c r="AA87" s="33">
        <v>1.8512747911948806E-3</v>
      </c>
      <c r="AB87" s="33">
        <v>3.1122471683366691E-3</v>
      </c>
      <c r="AC87" s="33">
        <v>5.0729302808490678E-3</v>
      </c>
      <c r="AD87" s="33">
        <v>8.369964446812107E-3</v>
      </c>
      <c r="AE87" s="33">
        <v>1.3391899499446925E-2</v>
      </c>
      <c r="AF87" s="33">
        <v>2.212427567931665E-2</v>
      </c>
      <c r="AG87" s="33">
        <v>3.618751162717259E-2</v>
      </c>
      <c r="AH87" s="33">
        <v>5.7640347386947753E-2</v>
      </c>
      <c r="AI87" s="33">
        <v>8.8864944342642305E-2</v>
      </c>
      <c r="AJ87" s="33">
        <v>0.1233822091096403</v>
      </c>
      <c r="AK87" s="33">
        <v>0.15471847178241849</v>
      </c>
      <c r="AL87" s="33">
        <v>0.17654961686173334</v>
      </c>
      <c r="AM87" s="33"/>
      <c r="AN87" s="39" t="s">
        <v>161</v>
      </c>
      <c r="AO87" s="37">
        <v>729</v>
      </c>
      <c r="AP87" s="72">
        <v>64.947999999999993</v>
      </c>
    </row>
    <row r="88" spans="1:42" x14ac:dyDescent="0.25">
      <c r="A88" s="39" t="s">
        <v>165</v>
      </c>
      <c r="B88" s="112">
        <v>51</v>
      </c>
      <c r="C88" s="38">
        <v>2957.7280000000001</v>
      </c>
      <c r="D88" s="38">
        <v>2963.2339999999999</v>
      </c>
      <c r="F88" s="39" t="s">
        <v>166</v>
      </c>
      <c r="G88" s="37">
        <v>31</v>
      </c>
      <c r="H88" s="53">
        <v>17.084</v>
      </c>
      <c r="I88" s="33"/>
      <c r="J88" s="54" t="s">
        <v>457</v>
      </c>
      <c r="K88" s="55" t="s">
        <v>134</v>
      </c>
      <c r="L88" s="56">
        <v>2018</v>
      </c>
      <c r="M88" s="57">
        <v>89.4</v>
      </c>
      <c r="O88" s="33" t="s">
        <v>173</v>
      </c>
      <c r="P88" s="33">
        <v>414</v>
      </c>
      <c r="Q88" s="33" t="s">
        <v>364</v>
      </c>
      <c r="R88" s="33">
        <v>7.1196600000000033E-3</v>
      </c>
      <c r="S88" s="33">
        <v>2.9605531317096554E-4</v>
      </c>
      <c r="T88" s="33">
        <v>1.7200082423741349E-4</v>
      </c>
      <c r="U88" s="33">
        <v>2.1427021247014252E-4</v>
      </c>
      <c r="V88" s="33">
        <v>5.1390288161392065E-4</v>
      </c>
      <c r="W88" s="33">
        <v>6.0035238400608351E-4</v>
      </c>
      <c r="X88" s="33">
        <v>5.4182770557223306E-4</v>
      </c>
      <c r="Y88" s="33">
        <v>4.7370826911572557E-4</v>
      </c>
      <c r="Z88" s="33">
        <v>6.6560140026086746E-4</v>
      </c>
      <c r="AA88" s="33">
        <v>9.3353427741644103E-4</v>
      </c>
      <c r="AB88" s="33">
        <v>1.5215163320606605E-3</v>
      </c>
      <c r="AC88" s="33">
        <v>2.6601310693825419E-3</v>
      </c>
      <c r="AD88" s="33">
        <v>4.2380903248296154E-3</v>
      </c>
      <c r="AE88" s="33">
        <v>1.1150468263187959E-2</v>
      </c>
      <c r="AF88" s="33">
        <v>2.3803254054197569E-2</v>
      </c>
      <c r="AG88" s="33">
        <v>4.3095784306852486E-2</v>
      </c>
      <c r="AH88" s="33">
        <v>7.3084076612299848E-2</v>
      </c>
      <c r="AI88" s="33">
        <v>0.11135725543511732</v>
      </c>
      <c r="AJ88" s="33">
        <v>0.1492091079902749</v>
      </c>
      <c r="AK88" s="33">
        <v>0.17697648787114409</v>
      </c>
      <c r="AL88" s="33">
        <v>0.18745954328473147</v>
      </c>
      <c r="AM88" s="33"/>
      <c r="AN88" s="39" t="s">
        <v>162</v>
      </c>
      <c r="AO88" s="37">
        <v>788</v>
      </c>
      <c r="AP88" s="72">
        <v>76.412000000000006</v>
      </c>
    </row>
    <row r="89" spans="1:42" x14ac:dyDescent="0.25">
      <c r="A89" s="39" t="s">
        <v>166</v>
      </c>
      <c r="B89" s="112">
        <v>31</v>
      </c>
      <c r="C89" s="38">
        <v>10047.718999999999</v>
      </c>
      <c r="D89" s="38">
        <v>10139.174999999999</v>
      </c>
      <c r="F89" s="39" t="s">
        <v>167</v>
      </c>
      <c r="G89" s="37">
        <v>48</v>
      </c>
      <c r="H89" s="53">
        <v>14.19</v>
      </c>
      <c r="I89" s="33"/>
      <c r="J89" s="54" t="s">
        <v>458</v>
      </c>
      <c r="K89" s="55" t="s">
        <v>146</v>
      </c>
      <c r="L89" s="56">
        <v>2020</v>
      </c>
      <c r="M89" s="57">
        <v>79.8</v>
      </c>
      <c r="O89" s="33" t="s">
        <v>174</v>
      </c>
      <c r="P89" s="33">
        <v>422</v>
      </c>
      <c r="Q89" s="33" t="s">
        <v>364</v>
      </c>
      <c r="R89" s="33">
        <v>9.4147199999999424E-3</v>
      </c>
      <c r="S89" s="33">
        <v>3.7654506636725825E-4</v>
      </c>
      <c r="T89" s="33">
        <v>1.8321426670696398E-4</v>
      </c>
      <c r="U89" s="33">
        <v>1.5346484957506218E-4</v>
      </c>
      <c r="V89" s="33">
        <v>2.8772095741896333E-4</v>
      </c>
      <c r="W89" s="33">
        <v>4.0111422172237402E-4</v>
      </c>
      <c r="X89" s="33">
        <v>4.2937675606144276E-4</v>
      </c>
      <c r="Y89" s="33">
        <v>5.0556751508178588E-4</v>
      </c>
      <c r="Z89" s="33">
        <v>6.8056297450641372E-4</v>
      </c>
      <c r="AA89" s="33">
        <v>1.0466309847889622E-3</v>
      </c>
      <c r="AB89" s="33">
        <v>1.825483717098368E-3</v>
      </c>
      <c r="AC89" s="33">
        <v>3.1195015372933455E-3</v>
      </c>
      <c r="AD89" s="33">
        <v>5.4403402361517779E-3</v>
      </c>
      <c r="AE89" s="33">
        <v>8.641925489763367E-3</v>
      </c>
      <c r="AF89" s="33">
        <v>1.4734147857251618E-2</v>
      </c>
      <c r="AG89" s="33">
        <v>2.550437110398128E-2</v>
      </c>
      <c r="AH89" s="33">
        <v>4.216949255502267E-2</v>
      </c>
      <c r="AI89" s="33">
        <v>6.8128564206291431E-2</v>
      </c>
      <c r="AJ89" s="33">
        <v>0.10198240505659194</v>
      </c>
      <c r="AK89" s="33">
        <v>0.13605351302737792</v>
      </c>
      <c r="AL89" s="33">
        <v>0.1630731895776322</v>
      </c>
      <c r="AM89" s="33"/>
      <c r="AN89" s="39" t="s">
        <v>163</v>
      </c>
      <c r="AO89" s="37">
        <v>732</v>
      </c>
      <c r="AP89" s="72">
        <v>69.864000000000004</v>
      </c>
    </row>
    <row r="90" spans="1:42" x14ac:dyDescent="0.25">
      <c r="A90" s="39" t="s">
        <v>167</v>
      </c>
      <c r="B90" s="112">
        <v>48</v>
      </c>
      <c r="C90" s="38">
        <v>1641.164</v>
      </c>
      <c r="D90" s="38">
        <v>1701.5830000000001</v>
      </c>
      <c r="F90" s="39" t="s">
        <v>168</v>
      </c>
      <c r="G90" s="37">
        <v>196</v>
      </c>
      <c r="H90" s="53">
        <v>10.599</v>
      </c>
      <c r="I90" s="33"/>
      <c r="J90" s="54" t="s">
        <v>459</v>
      </c>
      <c r="K90" s="55" t="s">
        <v>159</v>
      </c>
      <c r="L90" s="56">
        <v>2013</v>
      </c>
      <c r="M90" s="57">
        <v>99.9</v>
      </c>
      <c r="O90" s="33" t="s">
        <v>175</v>
      </c>
      <c r="P90" s="33">
        <v>512</v>
      </c>
      <c r="Q90" s="33" t="s">
        <v>364</v>
      </c>
      <c r="R90" s="33">
        <v>7.2773500000000062E-3</v>
      </c>
      <c r="S90" s="33">
        <v>2.8313799428268525E-4</v>
      </c>
      <c r="T90" s="33">
        <v>2.1560544363153573E-4</v>
      </c>
      <c r="U90" s="33">
        <v>2.395607916199555E-4</v>
      </c>
      <c r="V90" s="33">
        <v>4.7712071843724317E-4</v>
      </c>
      <c r="W90" s="33">
        <v>7.6177219433211341E-4</v>
      </c>
      <c r="X90" s="33">
        <v>8.0803809144298694E-4</v>
      </c>
      <c r="Y90" s="33">
        <v>8.5785152702010418E-4</v>
      </c>
      <c r="Z90" s="33">
        <v>9.5513999793938708E-4</v>
      </c>
      <c r="AA90" s="33">
        <v>1.4318407478576853E-3</v>
      </c>
      <c r="AB90" s="33">
        <v>2.3482786774628845E-3</v>
      </c>
      <c r="AC90" s="33">
        <v>4.0668759528653779E-3</v>
      </c>
      <c r="AD90" s="33">
        <v>7.2290095657714182E-3</v>
      </c>
      <c r="AE90" s="33">
        <v>1.1613441638478373E-2</v>
      </c>
      <c r="AF90" s="33">
        <v>2.2863899842420064E-2</v>
      </c>
      <c r="AG90" s="33">
        <v>2.7688650866329372E-2</v>
      </c>
      <c r="AH90" s="33">
        <v>4.659515578730667E-2</v>
      </c>
      <c r="AI90" s="33">
        <v>6.6037269645150901E-2</v>
      </c>
      <c r="AJ90" s="33">
        <v>8.6187153854286477E-2</v>
      </c>
      <c r="AK90" s="33">
        <v>0.10520369783722942</v>
      </c>
      <c r="AL90" s="33">
        <v>0.12510295318567452</v>
      </c>
      <c r="AM90" s="33"/>
      <c r="AN90" s="43" t="s">
        <v>164</v>
      </c>
      <c r="AO90" s="44">
        <v>922</v>
      </c>
      <c r="AP90" s="77">
        <v>74.572940808860494</v>
      </c>
    </row>
    <row r="91" spans="1:42" x14ac:dyDescent="0.25">
      <c r="A91" s="39" t="s">
        <v>168</v>
      </c>
      <c r="B91" s="112">
        <v>196</v>
      </c>
      <c r="C91" s="38">
        <v>1198.5740000000001</v>
      </c>
      <c r="D91" s="38">
        <v>1207.3610000000001</v>
      </c>
      <c r="F91" s="39" t="s">
        <v>169</v>
      </c>
      <c r="G91" s="37">
        <v>268</v>
      </c>
      <c r="H91" s="53">
        <v>13.596</v>
      </c>
      <c r="I91" s="33"/>
      <c r="J91" s="54" t="s">
        <v>460</v>
      </c>
      <c r="K91" s="55" t="s">
        <v>354</v>
      </c>
      <c r="L91" s="56">
        <v>2009</v>
      </c>
      <c r="M91" s="57">
        <v>99.9</v>
      </c>
      <c r="O91" s="33" t="s">
        <v>176</v>
      </c>
      <c r="P91" s="33">
        <v>634</v>
      </c>
      <c r="Q91" s="33" t="s">
        <v>364</v>
      </c>
      <c r="R91" s="33">
        <v>6.2883599999999573E-3</v>
      </c>
      <c r="S91" s="33">
        <v>3.1989662514169992E-4</v>
      </c>
      <c r="T91" s="33">
        <v>1.8417030911990675E-4</v>
      </c>
      <c r="U91" s="33">
        <v>1.833496665710956E-4</v>
      </c>
      <c r="V91" s="33">
        <v>3.7768977630240485E-4</v>
      </c>
      <c r="W91" s="33">
        <v>4.4098259766278772E-4</v>
      </c>
      <c r="X91" s="33">
        <v>3.9024235976412735E-4</v>
      </c>
      <c r="Y91" s="33">
        <v>4.1410405859433299E-4</v>
      </c>
      <c r="Z91" s="33">
        <v>4.7780248268811023E-4</v>
      </c>
      <c r="AA91" s="33">
        <v>6.4091675389478704E-4</v>
      </c>
      <c r="AB91" s="33">
        <v>1.0055531702997417E-3</v>
      </c>
      <c r="AC91" s="33">
        <v>1.5473607408145605E-3</v>
      </c>
      <c r="AD91" s="33">
        <v>2.7998998921392989E-3</v>
      </c>
      <c r="AE91" s="33">
        <v>5.1277701463935234E-3</v>
      </c>
      <c r="AF91" s="33">
        <v>2.2525663489785755E-2</v>
      </c>
      <c r="AG91" s="33">
        <v>3.8446914465845916E-2</v>
      </c>
      <c r="AH91" s="33">
        <v>4.4574382389120676E-2</v>
      </c>
      <c r="AI91" s="33">
        <v>6.051465695666923E-2</v>
      </c>
      <c r="AJ91" s="33">
        <v>7.0439935403317513E-2</v>
      </c>
      <c r="AK91" s="33">
        <v>9.0478933408334711E-2</v>
      </c>
      <c r="AL91" s="33">
        <v>0.11031985565700296</v>
      </c>
      <c r="AM91" s="33"/>
      <c r="AN91" s="39" t="s">
        <v>165</v>
      </c>
      <c r="AO91" s="37">
        <v>51</v>
      </c>
      <c r="AP91" s="72">
        <v>74.866</v>
      </c>
    </row>
    <row r="92" spans="1:42" x14ac:dyDescent="0.25">
      <c r="A92" s="39" t="s">
        <v>169</v>
      </c>
      <c r="B92" s="112">
        <v>268</v>
      </c>
      <c r="C92" s="38">
        <v>3996.7620000000002</v>
      </c>
      <c r="D92" s="38">
        <v>3989.1750000000002</v>
      </c>
      <c r="F92" s="39" t="s">
        <v>170</v>
      </c>
      <c r="G92" s="37">
        <v>368</v>
      </c>
      <c r="H92" s="53">
        <v>29.131</v>
      </c>
      <c r="I92" s="33"/>
      <c r="J92" s="54" t="s">
        <v>461</v>
      </c>
      <c r="K92" s="55" t="s">
        <v>107</v>
      </c>
      <c r="L92" s="56">
        <v>2018</v>
      </c>
      <c r="M92" s="57">
        <v>38.700000000000003</v>
      </c>
      <c r="O92" s="33" t="s">
        <v>177</v>
      </c>
      <c r="P92" s="33">
        <v>682</v>
      </c>
      <c r="Q92" s="33" t="s">
        <v>364</v>
      </c>
      <c r="R92" s="33">
        <v>6.3046000000000638E-3</v>
      </c>
      <c r="S92" s="33">
        <v>2.6434911543313325E-4</v>
      </c>
      <c r="T92" s="33">
        <v>5.4203685997731438E-4</v>
      </c>
      <c r="U92" s="33">
        <v>5.6136725971686944E-4</v>
      </c>
      <c r="V92" s="33">
        <v>8.9401504562843751E-4</v>
      </c>
      <c r="W92" s="33">
        <v>9.8317292216415085E-4</v>
      </c>
      <c r="X92" s="33">
        <v>6.0727336944423537E-4</v>
      </c>
      <c r="Y92" s="33">
        <v>5.2825209058802666E-4</v>
      </c>
      <c r="Z92" s="33">
        <v>9.4507393920289736E-4</v>
      </c>
      <c r="AA92" s="33">
        <v>1.7011332139661329E-3</v>
      </c>
      <c r="AB92" s="33">
        <v>2.1420987601828007E-3</v>
      </c>
      <c r="AC92" s="33">
        <v>3.9361795243808145E-3</v>
      </c>
      <c r="AD92" s="33">
        <v>6.1827356498385493E-3</v>
      </c>
      <c r="AE92" s="33">
        <v>1.6174905849190006E-2</v>
      </c>
      <c r="AF92" s="33">
        <v>2.2736208807191901E-2</v>
      </c>
      <c r="AG92" s="33">
        <v>4.4361671065687787E-2</v>
      </c>
      <c r="AH92" s="33">
        <v>5.7476921505394594E-2</v>
      </c>
      <c r="AI92" s="33">
        <v>8.8502250922717546E-2</v>
      </c>
      <c r="AJ92" s="33">
        <v>0.1152856130458887</v>
      </c>
      <c r="AK92" s="33">
        <v>0.14102691709911666</v>
      </c>
      <c r="AL92" s="33">
        <v>0.16476286706702531</v>
      </c>
      <c r="AM92" s="33"/>
      <c r="AN92" s="39" t="s">
        <v>166</v>
      </c>
      <c r="AO92" s="37">
        <v>31</v>
      </c>
      <c r="AP92" s="72">
        <v>72.81</v>
      </c>
    </row>
    <row r="93" spans="1:42" x14ac:dyDescent="0.25">
      <c r="A93" s="39" t="s">
        <v>170</v>
      </c>
      <c r="B93" s="112">
        <v>368</v>
      </c>
      <c r="C93" s="38">
        <v>39309.788999999997</v>
      </c>
      <c r="D93" s="38">
        <v>40222.502999999997</v>
      </c>
      <c r="F93" s="39" t="s">
        <v>171</v>
      </c>
      <c r="G93" s="37">
        <v>376</v>
      </c>
      <c r="H93" s="53">
        <v>20.411999999999999</v>
      </c>
      <c r="I93" s="33"/>
      <c r="J93" s="54" t="s">
        <v>462</v>
      </c>
      <c r="K93" s="55" t="s">
        <v>108</v>
      </c>
      <c r="L93" s="56">
        <v>2016</v>
      </c>
      <c r="M93" s="57">
        <v>91.4</v>
      </c>
      <c r="O93" s="33" t="s">
        <v>178</v>
      </c>
      <c r="P93" s="33">
        <v>275</v>
      </c>
      <c r="Q93" s="33" t="s">
        <v>364</v>
      </c>
      <c r="R93" s="33">
        <v>1.7460470000000058E-2</v>
      </c>
      <c r="S93" s="33">
        <v>7.4073864488685887E-4</v>
      </c>
      <c r="T93" s="33">
        <v>3.4575358484691089E-4</v>
      </c>
      <c r="U93" s="33">
        <v>2.8989254866038777E-4</v>
      </c>
      <c r="V93" s="33">
        <v>5.3542933720537921E-4</v>
      </c>
      <c r="W93" s="33">
        <v>7.4845441486471589E-4</v>
      </c>
      <c r="X93" s="33">
        <v>8.0682837486210641E-4</v>
      </c>
      <c r="Y93" s="33">
        <v>9.5173952660739143E-4</v>
      </c>
      <c r="Z93" s="33">
        <v>1.2720951211125267E-3</v>
      </c>
      <c r="AA93" s="33">
        <v>1.9246599931460912E-3</v>
      </c>
      <c r="AB93" s="33">
        <v>3.212954825090839E-3</v>
      </c>
      <c r="AC93" s="33">
        <v>5.2190032385301894E-3</v>
      </c>
      <c r="AD93" s="33">
        <v>8.5994648304891976E-3</v>
      </c>
      <c r="AE93" s="33">
        <v>1.3737244480887655E-2</v>
      </c>
      <c r="AF93" s="33">
        <v>2.272003479426319E-2</v>
      </c>
      <c r="AG93" s="33">
        <v>3.7139162675311227E-2</v>
      </c>
      <c r="AH93" s="33">
        <v>5.8500772115384979E-2</v>
      </c>
      <c r="AI93" s="33">
        <v>8.9398134198135609E-2</v>
      </c>
      <c r="AJ93" s="33">
        <v>0.12462482607452673</v>
      </c>
      <c r="AK93" s="33">
        <v>0.15492547024658945</v>
      </c>
      <c r="AL93" s="33">
        <v>0.17603319334635315</v>
      </c>
      <c r="AM93" s="33"/>
      <c r="AN93" s="39" t="s">
        <v>167</v>
      </c>
      <c r="AO93" s="37">
        <v>48</v>
      </c>
      <c r="AP93" s="72">
        <v>77.099999999999994</v>
      </c>
    </row>
    <row r="94" spans="1:42" x14ac:dyDescent="0.25">
      <c r="A94" s="39" t="s">
        <v>171</v>
      </c>
      <c r="B94" s="112">
        <v>376</v>
      </c>
      <c r="C94" s="38">
        <v>8519.3729999999996</v>
      </c>
      <c r="D94" s="38">
        <v>8655.5409999999993</v>
      </c>
      <c r="F94" s="39" t="s">
        <v>172</v>
      </c>
      <c r="G94" s="37">
        <v>400</v>
      </c>
      <c r="H94" s="53">
        <v>22.048999999999999</v>
      </c>
      <c r="I94" s="33"/>
      <c r="J94" s="54" t="s">
        <v>463</v>
      </c>
      <c r="K94" s="55" t="s">
        <v>215</v>
      </c>
      <c r="L94" s="56">
        <v>2014</v>
      </c>
      <c r="M94" s="57">
        <v>98.9</v>
      </c>
      <c r="O94" s="33" t="s">
        <v>179</v>
      </c>
      <c r="P94" s="33">
        <v>760</v>
      </c>
      <c r="Q94" s="33" t="s">
        <v>364</v>
      </c>
      <c r="R94" s="33">
        <v>1.5543830000000017E-2</v>
      </c>
      <c r="S94" s="33">
        <v>5.6625933889975239E-4</v>
      </c>
      <c r="T94" s="33">
        <v>3.5458222388945384E-4</v>
      </c>
      <c r="U94" s="33">
        <v>3.160905255719894E-4</v>
      </c>
      <c r="V94" s="33">
        <v>2.1476597437748864E-3</v>
      </c>
      <c r="W94" s="33">
        <v>3.1342040401075512E-3</v>
      </c>
      <c r="X94" s="33">
        <v>4.6487466182035487E-3</v>
      </c>
      <c r="Y94" s="33">
        <v>3.9935579591588938E-3</v>
      </c>
      <c r="Z94" s="33">
        <v>2.7207746224425407E-3</v>
      </c>
      <c r="AA94" s="33">
        <v>2.7222126681832074E-3</v>
      </c>
      <c r="AB94" s="33">
        <v>4.0660547201637901E-3</v>
      </c>
      <c r="AC94" s="33">
        <v>6.6229891408634122E-3</v>
      </c>
      <c r="AD94" s="33">
        <v>8.1106364299420378E-3</v>
      </c>
      <c r="AE94" s="33">
        <v>1.3012347206928504E-2</v>
      </c>
      <c r="AF94" s="33">
        <v>2.1574450519031115E-2</v>
      </c>
      <c r="AG94" s="33">
        <v>3.549759510730266E-2</v>
      </c>
      <c r="AH94" s="33">
        <v>5.2152995053446186E-2</v>
      </c>
      <c r="AI94" s="33">
        <v>8.2738468449409353E-2</v>
      </c>
      <c r="AJ94" s="33">
        <v>0.11748124899706361</v>
      </c>
      <c r="AK94" s="33">
        <v>0.15074816066722091</v>
      </c>
      <c r="AL94" s="33">
        <v>0.17290816915071688</v>
      </c>
      <c r="AM94" s="33"/>
      <c r="AN94" s="39" t="s">
        <v>168</v>
      </c>
      <c r="AO94" s="37">
        <v>196</v>
      </c>
      <c r="AP94" s="72">
        <v>80.747</v>
      </c>
    </row>
    <row r="95" spans="1:42" x14ac:dyDescent="0.25">
      <c r="A95" s="39" t="s">
        <v>172</v>
      </c>
      <c r="B95" s="112">
        <v>400</v>
      </c>
      <c r="C95" s="38">
        <v>10101.697</v>
      </c>
      <c r="D95" s="38">
        <v>10203.14</v>
      </c>
      <c r="F95" s="39" t="s">
        <v>173</v>
      </c>
      <c r="G95" s="37">
        <v>414</v>
      </c>
      <c r="H95" s="53">
        <v>14.379</v>
      </c>
      <c r="I95" s="33"/>
      <c r="J95" s="54" t="s">
        <v>464</v>
      </c>
      <c r="K95" s="55" t="s">
        <v>196</v>
      </c>
      <c r="L95" s="56">
        <v>2017</v>
      </c>
      <c r="M95" s="57">
        <v>94.5</v>
      </c>
      <c r="O95" s="33" t="s">
        <v>180</v>
      </c>
      <c r="P95" s="33">
        <v>792</v>
      </c>
      <c r="Q95" s="33" t="s">
        <v>364</v>
      </c>
      <c r="R95" s="33">
        <v>8.9014999999999424E-3</v>
      </c>
      <c r="S95" s="33">
        <v>1.097020124639483E-3</v>
      </c>
      <c r="T95" s="33">
        <v>6.8233732436322344E-4</v>
      </c>
      <c r="U95" s="33">
        <v>5.8293869224911119E-4</v>
      </c>
      <c r="V95" s="33">
        <v>6.9161083369162935E-4</v>
      </c>
      <c r="W95" s="33">
        <v>9.610203211651119E-4</v>
      </c>
      <c r="X95" s="33">
        <v>1.1743539157698713E-3</v>
      </c>
      <c r="Y95" s="33">
        <v>1.3773674385343317E-3</v>
      </c>
      <c r="Z95" s="33">
        <v>1.63236314837688E-3</v>
      </c>
      <c r="AA95" s="33">
        <v>2.0036536018016877E-3</v>
      </c>
      <c r="AB95" s="33">
        <v>2.5905013303449825E-3</v>
      </c>
      <c r="AC95" s="33">
        <v>3.5336754952400335E-3</v>
      </c>
      <c r="AD95" s="33">
        <v>5.2342069954233695E-3</v>
      </c>
      <c r="AE95" s="33">
        <v>8.141221637455922E-3</v>
      </c>
      <c r="AF95" s="33">
        <v>1.3253706198103562E-2</v>
      </c>
      <c r="AG95" s="33">
        <v>2.3686231366021757E-2</v>
      </c>
      <c r="AH95" s="33">
        <v>4.1915463863461941E-2</v>
      </c>
      <c r="AI95" s="33">
        <v>6.9301655157393394E-2</v>
      </c>
      <c r="AJ95" s="33">
        <v>0.10394418678596659</v>
      </c>
      <c r="AK95" s="33">
        <v>0.13985879158367465</v>
      </c>
      <c r="AL95" s="33">
        <v>0.16827629047061654</v>
      </c>
      <c r="AM95" s="33"/>
      <c r="AN95" s="39" t="s">
        <v>169</v>
      </c>
      <c r="AO95" s="37">
        <v>268</v>
      </c>
      <c r="AP95" s="72">
        <v>73.52</v>
      </c>
    </row>
    <row r="96" spans="1:42" x14ac:dyDescent="0.25">
      <c r="A96" s="39" t="s">
        <v>173</v>
      </c>
      <c r="B96" s="112">
        <v>414</v>
      </c>
      <c r="C96" s="38">
        <v>4207.0770000000002</v>
      </c>
      <c r="D96" s="38">
        <v>4270.5630000000001</v>
      </c>
      <c r="F96" s="39" t="s">
        <v>174</v>
      </c>
      <c r="G96" s="37">
        <v>422</v>
      </c>
      <c r="H96" s="53">
        <v>17.568000000000001</v>
      </c>
      <c r="I96" s="33"/>
      <c r="J96" s="54" t="s">
        <v>465</v>
      </c>
      <c r="K96" s="55" t="s">
        <v>147</v>
      </c>
      <c r="L96" s="56">
        <v>2018</v>
      </c>
      <c r="M96" s="57">
        <v>66.8</v>
      </c>
      <c r="O96" s="33" t="s">
        <v>181</v>
      </c>
      <c r="P96" s="33">
        <v>784</v>
      </c>
      <c r="Q96" s="33" t="s">
        <v>364</v>
      </c>
      <c r="R96" s="33">
        <v>5.514189999999944E-3</v>
      </c>
      <c r="S96" s="33">
        <v>2.3025466798770077E-4</v>
      </c>
      <c r="T96" s="33">
        <v>1.3247583685280394E-4</v>
      </c>
      <c r="U96" s="33">
        <v>1.2633952614622367E-4</v>
      </c>
      <c r="V96" s="33">
        <v>7.222404243266557E-4</v>
      </c>
      <c r="W96" s="33">
        <v>5.4601936910787558E-4</v>
      </c>
      <c r="X96" s="33">
        <v>4.6054473280245079E-4</v>
      </c>
      <c r="Y96" s="33">
        <v>4.2074287652388829E-4</v>
      </c>
      <c r="Z96" s="33">
        <v>5.3995369240955008E-4</v>
      </c>
      <c r="AA96" s="33">
        <v>8.2146311428148296E-4</v>
      </c>
      <c r="AB96" s="33">
        <v>1.6161530338462003E-3</v>
      </c>
      <c r="AC96" s="33">
        <v>2.5690263439209736E-3</v>
      </c>
      <c r="AD96" s="33">
        <v>5.2479129229528023E-3</v>
      </c>
      <c r="AE96" s="33">
        <v>1.458414684390099E-2</v>
      </c>
      <c r="AF96" s="33">
        <v>1.9145741454288726E-2</v>
      </c>
      <c r="AG96" s="33">
        <v>3.0290268615561285E-2</v>
      </c>
      <c r="AH96" s="33">
        <v>5.1087255811427167E-2</v>
      </c>
      <c r="AI96" s="33">
        <v>7.4542348169602868E-2</v>
      </c>
      <c r="AJ96" s="33">
        <v>0.1022270187765482</v>
      </c>
      <c r="AK96" s="33">
        <v>0.12889743836312095</v>
      </c>
      <c r="AL96" s="33">
        <v>0.15139212685096617</v>
      </c>
      <c r="AM96" s="33"/>
      <c r="AN96" s="39" t="s">
        <v>170</v>
      </c>
      <c r="AO96" s="37">
        <v>368</v>
      </c>
      <c r="AP96" s="72">
        <v>70.367999999999995</v>
      </c>
    </row>
    <row r="97" spans="1:42" x14ac:dyDescent="0.25">
      <c r="A97" s="39" t="s">
        <v>174</v>
      </c>
      <c r="B97" s="112">
        <v>422</v>
      </c>
      <c r="C97" s="38">
        <v>6855.7089999999998</v>
      </c>
      <c r="D97" s="38">
        <v>6825.442</v>
      </c>
      <c r="F97" s="39" t="s">
        <v>175</v>
      </c>
      <c r="G97" s="37">
        <v>512</v>
      </c>
      <c r="H97" s="53">
        <v>19.606000000000002</v>
      </c>
      <c r="I97" s="33"/>
      <c r="J97" s="54" t="s">
        <v>466</v>
      </c>
      <c r="K97" s="55" t="s">
        <v>340</v>
      </c>
      <c r="L97" s="56">
        <v>2013</v>
      </c>
      <c r="M97" s="57">
        <v>99.9</v>
      </c>
      <c r="O97" s="33" t="s">
        <v>182</v>
      </c>
      <c r="P97" s="33">
        <v>887</v>
      </c>
      <c r="Q97" s="33" t="s">
        <v>364</v>
      </c>
      <c r="R97" s="33">
        <v>4.3243819999999975E-2</v>
      </c>
      <c r="S97" s="33">
        <v>3.1878628680506588E-3</v>
      </c>
      <c r="T97" s="33">
        <v>1.0755104394799659E-3</v>
      </c>
      <c r="U97" s="33">
        <v>8.2982149371977341E-4</v>
      </c>
      <c r="V97" s="33">
        <v>1.446398804521814E-3</v>
      </c>
      <c r="W97" s="33">
        <v>1.8867766078899048E-3</v>
      </c>
      <c r="X97" s="33">
        <v>2.0189155952171694E-3</v>
      </c>
      <c r="Y97" s="33">
        <v>2.3586579614804717E-3</v>
      </c>
      <c r="Z97" s="33">
        <v>3.054114436365872E-3</v>
      </c>
      <c r="AA97" s="33">
        <v>4.1560499368770336E-3</v>
      </c>
      <c r="AB97" s="33">
        <v>5.9924111580954504E-3</v>
      </c>
      <c r="AC97" s="33">
        <v>8.8663325937431287E-3</v>
      </c>
      <c r="AD97" s="33">
        <v>1.3350100903980642E-2</v>
      </c>
      <c r="AE97" s="33">
        <v>2.0719238188878747E-2</v>
      </c>
      <c r="AF97" s="33">
        <v>3.1931810153579147E-2</v>
      </c>
      <c r="AG97" s="33">
        <v>4.9280370540045165E-2</v>
      </c>
      <c r="AH97" s="33">
        <v>7.3902786181256466E-2</v>
      </c>
      <c r="AI97" s="33">
        <v>0.10372426533424323</v>
      </c>
      <c r="AJ97" s="33">
        <v>0.13277904193486845</v>
      </c>
      <c r="AK97" s="33">
        <v>0.15834114184673809</v>
      </c>
      <c r="AL97" s="33">
        <v>0.17720592465305168</v>
      </c>
      <c r="AM97" s="33"/>
      <c r="AN97" s="39" t="s">
        <v>171</v>
      </c>
      <c r="AO97" s="37">
        <v>376</v>
      </c>
      <c r="AP97" s="72">
        <v>82.738</v>
      </c>
    </row>
    <row r="98" spans="1:42" x14ac:dyDescent="0.25">
      <c r="A98" s="39" t="s">
        <v>175</v>
      </c>
      <c r="B98" s="112">
        <v>512</v>
      </c>
      <c r="C98" s="38">
        <v>4974.9920000000002</v>
      </c>
      <c r="D98" s="38">
        <v>5106.6220000000003</v>
      </c>
      <c r="F98" s="39" t="s">
        <v>176</v>
      </c>
      <c r="G98" s="37">
        <v>634</v>
      </c>
      <c r="H98" s="53">
        <v>9.6609999999999996</v>
      </c>
      <c r="I98" s="33"/>
      <c r="J98" s="54" t="s">
        <v>467</v>
      </c>
      <c r="K98" s="55" t="s">
        <v>289</v>
      </c>
      <c r="L98" s="56">
        <v>2007</v>
      </c>
      <c r="M98" s="57">
        <v>85.1</v>
      </c>
      <c r="O98" s="33" t="s">
        <v>183</v>
      </c>
      <c r="P98" s="33">
        <v>921</v>
      </c>
      <c r="Q98" s="33" t="s">
        <v>364</v>
      </c>
      <c r="R98" s="33">
        <v>3.5237252108554967E-2</v>
      </c>
      <c r="S98" s="33">
        <v>2.0866627890282785E-3</v>
      </c>
      <c r="T98" s="33">
        <v>7.4945680890130153E-4</v>
      </c>
      <c r="U98" s="33">
        <v>6.0562512177437426E-4</v>
      </c>
      <c r="V98" s="33">
        <v>9.1465043951694382E-4</v>
      </c>
      <c r="W98" s="33">
        <v>1.255010609557369E-3</v>
      </c>
      <c r="X98" s="33">
        <v>1.4516424306947851E-3</v>
      </c>
      <c r="Y98" s="33">
        <v>1.800631817643356E-3</v>
      </c>
      <c r="Z98" s="33">
        <v>2.4444688803030865E-3</v>
      </c>
      <c r="AA98" s="33">
        <v>3.3647485814347249E-3</v>
      </c>
      <c r="AB98" s="33">
        <v>4.9690182574128675E-3</v>
      </c>
      <c r="AC98" s="33">
        <v>7.7416318559718859E-3</v>
      </c>
      <c r="AD98" s="33">
        <v>1.1799379825076025E-2</v>
      </c>
      <c r="AE98" s="33">
        <v>1.7752352611797095E-2</v>
      </c>
      <c r="AF98" s="33">
        <v>2.7175525371847906E-2</v>
      </c>
      <c r="AG98" s="33">
        <v>4.1300305970822543E-2</v>
      </c>
      <c r="AH98" s="33">
        <v>6.1250356813968322E-2</v>
      </c>
      <c r="AI98" s="33">
        <v>8.6730720103555745E-2</v>
      </c>
      <c r="AJ98" s="33">
        <v>0.11560121578169577</v>
      </c>
      <c r="AK98" s="33">
        <v>0.14356451706333964</v>
      </c>
      <c r="AL98" s="33">
        <v>0.16607461128869802</v>
      </c>
      <c r="AM98" s="33"/>
      <c r="AN98" s="39" t="s">
        <v>172</v>
      </c>
      <c r="AO98" s="37">
        <v>400</v>
      </c>
      <c r="AP98" s="72">
        <v>74.326999999999998</v>
      </c>
    </row>
    <row r="99" spans="1:42" x14ac:dyDescent="0.25">
      <c r="A99" s="39" t="s">
        <v>176</v>
      </c>
      <c r="B99" s="112">
        <v>634</v>
      </c>
      <c r="C99" s="38">
        <v>2832.0709999999999</v>
      </c>
      <c r="D99" s="38">
        <v>2881.06</v>
      </c>
      <c r="F99" s="39" t="s">
        <v>177</v>
      </c>
      <c r="G99" s="37">
        <v>682</v>
      </c>
      <c r="H99" s="53">
        <v>18.027999999999999</v>
      </c>
      <c r="I99" s="33"/>
      <c r="J99" s="54" t="s">
        <v>468</v>
      </c>
      <c r="K99" s="55" t="s">
        <v>148</v>
      </c>
      <c r="L99" s="56">
        <v>2015</v>
      </c>
      <c r="M99" s="57">
        <v>69.3</v>
      </c>
      <c r="O99" s="33" t="s">
        <v>184</v>
      </c>
      <c r="P99" s="33">
        <v>5500</v>
      </c>
      <c r="Q99" s="33" t="s">
        <v>364</v>
      </c>
      <c r="R99" s="33">
        <v>2.056173783094593E-2</v>
      </c>
      <c r="S99" s="33">
        <v>1.0175980429065596E-3</v>
      </c>
      <c r="T99" s="33">
        <v>3.0451485125021586E-4</v>
      </c>
      <c r="U99" s="33">
        <v>2.920623072900628E-4</v>
      </c>
      <c r="V99" s="33">
        <v>5.1066321993284501E-4</v>
      </c>
      <c r="W99" s="33">
        <v>7.6443807623614954E-4</v>
      </c>
      <c r="X99" s="33">
        <v>1.0483463134563925E-3</v>
      </c>
      <c r="Y99" s="33">
        <v>1.5129145653281374E-3</v>
      </c>
      <c r="Z99" s="33">
        <v>2.2090114847482666E-3</v>
      </c>
      <c r="AA99" s="33">
        <v>3.1109167765801513E-3</v>
      </c>
      <c r="AB99" s="33">
        <v>4.4563222792615145E-3</v>
      </c>
      <c r="AC99" s="33">
        <v>6.7640813921949709E-3</v>
      </c>
      <c r="AD99" s="33">
        <v>1.0977112017134397E-2</v>
      </c>
      <c r="AE99" s="33">
        <v>1.7564318239657026E-2</v>
      </c>
      <c r="AF99" s="33">
        <v>2.7114153039824819E-2</v>
      </c>
      <c r="AG99" s="33">
        <v>4.1814699149720955E-2</v>
      </c>
      <c r="AH99" s="33">
        <v>6.2980610922106717E-2</v>
      </c>
      <c r="AI99" s="33">
        <v>9.0080535229518394E-2</v>
      </c>
      <c r="AJ99" s="33">
        <v>0.12040612481029953</v>
      </c>
      <c r="AK99" s="33">
        <v>0.14885915682600212</v>
      </c>
      <c r="AL99" s="33">
        <v>0.1706153399106087</v>
      </c>
      <c r="AM99" s="33"/>
      <c r="AN99" s="39" t="s">
        <v>173</v>
      </c>
      <c r="AO99" s="37">
        <v>414</v>
      </c>
      <c r="AP99" s="72">
        <v>75.328999999999994</v>
      </c>
    </row>
    <row r="100" spans="1:42" x14ac:dyDescent="0.25">
      <c r="A100" s="39" t="s">
        <v>177</v>
      </c>
      <c r="B100" s="112">
        <v>682</v>
      </c>
      <c r="C100" s="38">
        <v>34268.529000000002</v>
      </c>
      <c r="D100" s="38">
        <v>34813.866999999998</v>
      </c>
      <c r="F100" s="39" t="s">
        <v>178</v>
      </c>
      <c r="G100" s="37">
        <v>275</v>
      </c>
      <c r="H100" s="53">
        <v>29.425999999999998</v>
      </c>
      <c r="I100" s="33"/>
      <c r="J100" s="54" t="s">
        <v>469</v>
      </c>
      <c r="K100" s="55" t="s">
        <v>109</v>
      </c>
      <c r="L100" s="56">
        <v>2003</v>
      </c>
      <c r="M100" s="57">
        <v>98.4</v>
      </c>
      <c r="O100" s="33" t="s">
        <v>185</v>
      </c>
      <c r="P100" s="33">
        <v>398</v>
      </c>
      <c r="Q100" s="33" t="s">
        <v>364</v>
      </c>
      <c r="R100" s="33">
        <v>7.6736500000000527E-3</v>
      </c>
      <c r="S100" s="33">
        <v>5.5877282710469801E-4</v>
      </c>
      <c r="T100" s="33">
        <v>2.7353974298632871E-4</v>
      </c>
      <c r="U100" s="33">
        <v>2.9288976803779922E-4</v>
      </c>
      <c r="V100" s="33">
        <v>5.9057460042845128E-4</v>
      </c>
      <c r="W100" s="33">
        <v>8.6802308517955622E-4</v>
      </c>
      <c r="X100" s="33">
        <v>1.1322508451784348E-3</v>
      </c>
      <c r="Y100" s="33">
        <v>1.7362060675387271E-3</v>
      </c>
      <c r="Z100" s="33">
        <v>2.7651398905049469E-3</v>
      </c>
      <c r="AA100" s="33">
        <v>3.8116304279226295E-3</v>
      </c>
      <c r="AB100" s="33">
        <v>5.1108571994989476E-3</v>
      </c>
      <c r="AC100" s="33">
        <v>7.1501039862457566E-3</v>
      </c>
      <c r="AD100" s="33">
        <v>1.0725561526911859E-2</v>
      </c>
      <c r="AE100" s="33">
        <v>1.6538686927187084E-2</v>
      </c>
      <c r="AF100" s="33">
        <v>2.4728424144013106E-2</v>
      </c>
      <c r="AG100" s="33">
        <v>3.4583943415142905E-2</v>
      </c>
      <c r="AH100" s="33">
        <v>5.4274969562793166E-2</v>
      </c>
      <c r="AI100" s="33">
        <v>7.9683684738573041E-2</v>
      </c>
      <c r="AJ100" s="33">
        <v>0.11119078253863507</v>
      </c>
      <c r="AK100" s="33">
        <v>0.14423617153627075</v>
      </c>
      <c r="AL100" s="33">
        <v>0.16970912047030279</v>
      </c>
      <c r="AM100" s="33"/>
      <c r="AN100" s="39" t="s">
        <v>174</v>
      </c>
      <c r="AO100" s="37">
        <v>422</v>
      </c>
      <c r="AP100" s="72">
        <v>78.822999999999993</v>
      </c>
    </row>
    <row r="101" spans="1:42" x14ac:dyDescent="0.25">
      <c r="A101" s="39" t="s">
        <v>178</v>
      </c>
      <c r="B101" s="112">
        <v>275</v>
      </c>
      <c r="C101" s="38">
        <v>4981.4219999999996</v>
      </c>
      <c r="D101" s="38">
        <v>5101.4160000000002</v>
      </c>
      <c r="F101" s="39" t="s">
        <v>179</v>
      </c>
      <c r="G101" s="37">
        <v>760</v>
      </c>
      <c r="H101" s="53">
        <v>24.004000000000001</v>
      </c>
      <c r="I101" s="33"/>
      <c r="J101" s="54" t="s">
        <v>470</v>
      </c>
      <c r="K101" s="55" t="s">
        <v>258</v>
      </c>
      <c r="L101" s="56">
        <v>2015</v>
      </c>
      <c r="M101" s="57">
        <v>96.9</v>
      </c>
      <c r="O101" s="33" t="s">
        <v>186</v>
      </c>
      <c r="P101" s="33">
        <v>417</v>
      </c>
      <c r="Q101" s="33" t="s">
        <v>364</v>
      </c>
      <c r="R101" s="33">
        <v>1.5506239999999961E-2</v>
      </c>
      <c r="S101" s="33">
        <v>7.1685827648111742E-4</v>
      </c>
      <c r="T101" s="33">
        <v>3.0037972302301221E-4</v>
      </c>
      <c r="U101" s="33">
        <v>3.6101335689432674E-4</v>
      </c>
      <c r="V101" s="33">
        <v>5.6671978934353512E-4</v>
      </c>
      <c r="W101" s="33">
        <v>7.7358931817911216E-4</v>
      </c>
      <c r="X101" s="33">
        <v>9.9358270100702176E-4</v>
      </c>
      <c r="Y101" s="33">
        <v>1.5947136196713724E-3</v>
      </c>
      <c r="Z101" s="33">
        <v>2.3740632079430881E-3</v>
      </c>
      <c r="AA101" s="33">
        <v>3.6025352620456053E-3</v>
      </c>
      <c r="AB101" s="33">
        <v>5.013988446982612E-3</v>
      </c>
      <c r="AC101" s="33">
        <v>7.2274466341115369E-3</v>
      </c>
      <c r="AD101" s="33">
        <v>1.0588233088434732E-2</v>
      </c>
      <c r="AE101" s="33">
        <v>1.6698751635160103E-2</v>
      </c>
      <c r="AF101" s="33">
        <v>2.4245073689476284E-2</v>
      </c>
      <c r="AG101" s="33">
        <v>4.8767202109432098E-2</v>
      </c>
      <c r="AH101" s="33">
        <v>8.2569526074183053E-2</v>
      </c>
      <c r="AI101" s="33">
        <v>0.10646327196220833</v>
      </c>
      <c r="AJ101" s="33">
        <v>0.12628511928546515</v>
      </c>
      <c r="AK101" s="33">
        <v>0.14146019066301066</v>
      </c>
      <c r="AL101" s="33">
        <v>0.15891810353796404</v>
      </c>
      <c r="AM101" s="33"/>
      <c r="AN101" s="39" t="s">
        <v>175</v>
      </c>
      <c r="AO101" s="37">
        <v>512</v>
      </c>
      <c r="AP101" s="72">
        <v>77.531999999999996</v>
      </c>
    </row>
    <row r="102" spans="1:42" x14ac:dyDescent="0.25">
      <c r="A102" s="39" t="s">
        <v>179</v>
      </c>
      <c r="B102" s="112">
        <v>760</v>
      </c>
      <c r="C102" s="38">
        <v>17070.132000000001</v>
      </c>
      <c r="D102" s="38">
        <v>17500.656999999999</v>
      </c>
      <c r="F102" s="39" t="s">
        <v>180</v>
      </c>
      <c r="G102" s="37">
        <v>792</v>
      </c>
      <c r="H102" s="53">
        <v>16.178999999999998</v>
      </c>
      <c r="I102" s="33"/>
      <c r="J102" s="54" t="s">
        <v>471</v>
      </c>
      <c r="K102" s="55" t="s">
        <v>472</v>
      </c>
      <c r="L102" s="56">
        <v>2006</v>
      </c>
      <c r="M102" s="57">
        <v>87</v>
      </c>
      <c r="O102" s="33" t="s">
        <v>187</v>
      </c>
      <c r="P102" s="33">
        <v>762</v>
      </c>
      <c r="Q102" s="33" t="s">
        <v>364</v>
      </c>
      <c r="R102" s="33">
        <v>2.927524000000005E-2</v>
      </c>
      <c r="S102" s="33">
        <v>7.7581466037807297E-4</v>
      </c>
      <c r="T102" s="33">
        <v>1.9153625558257422E-4</v>
      </c>
      <c r="U102" s="33">
        <v>2.0033190606407914E-4</v>
      </c>
      <c r="V102" s="33">
        <v>3.3197793536914093E-4</v>
      </c>
      <c r="W102" s="33">
        <v>5.1082433407809646E-4</v>
      </c>
      <c r="X102" s="33">
        <v>8.5562449911040473E-4</v>
      </c>
      <c r="Y102" s="33">
        <v>1.3151874984257913E-3</v>
      </c>
      <c r="Z102" s="33">
        <v>2.0121145398065451E-3</v>
      </c>
      <c r="AA102" s="33">
        <v>2.5521857039043322E-3</v>
      </c>
      <c r="AB102" s="33">
        <v>3.6395738031344445E-3</v>
      </c>
      <c r="AC102" s="33">
        <v>5.9855955396087698E-3</v>
      </c>
      <c r="AD102" s="33">
        <v>1.0656165622609622E-2</v>
      </c>
      <c r="AE102" s="33">
        <v>1.8402639796966141E-2</v>
      </c>
      <c r="AF102" s="33">
        <v>2.8834750727873303E-2</v>
      </c>
      <c r="AG102" s="33">
        <v>4.7612475607663025E-2</v>
      </c>
      <c r="AH102" s="33">
        <v>7.3903502966553611E-2</v>
      </c>
      <c r="AI102" s="33">
        <v>0.10565750197029085</v>
      </c>
      <c r="AJ102" s="33">
        <v>0.13716167840228499</v>
      </c>
      <c r="AK102" s="33">
        <v>0.16443487588606648</v>
      </c>
      <c r="AL102" s="33">
        <v>0.18225710446641838</v>
      </c>
      <c r="AM102" s="33"/>
      <c r="AN102" s="39" t="s">
        <v>176</v>
      </c>
      <c r="AO102" s="37">
        <v>634</v>
      </c>
      <c r="AP102" s="72">
        <v>80.021000000000001</v>
      </c>
    </row>
    <row r="103" spans="1:42" x14ac:dyDescent="0.25">
      <c r="A103" s="39" t="s">
        <v>180</v>
      </c>
      <c r="B103" s="112">
        <v>792</v>
      </c>
      <c r="C103" s="38">
        <v>83429.607000000004</v>
      </c>
      <c r="D103" s="38">
        <v>84339.066999999995</v>
      </c>
      <c r="F103" s="39" t="s">
        <v>181</v>
      </c>
      <c r="G103" s="37">
        <v>784</v>
      </c>
      <c r="H103" s="53">
        <v>10.381</v>
      </c>
      <c r="I103" s="33"/>
      <c r="J103" s="54" t="s">
        <v>473</v>
      </c>
      <c r="K103" s="55" t="s">
        <v>208</v>
      </c>
      <c r="L103" s="56">
        <v>2018</v>
      </c>
      <c r="M103" s="57">
        <v>98.4</v>
      </c>
      <c r="O103" s="33" t="s">
        <v>188</v>
      </c>
      <c r="P103" s="33">
        <v>795</v>
      </c>
      <c r="Q103" s="33" t="s">
        <v>364</v>
      </c>
      <c r="R103" s="33">
        <v>4.3312250000000059E-2</v>
      </c>
      <c r="S103" s="33">
        <v>2.129730938856475E-3</v>
      </c>
      <c r="T103" s="33">
        <v>3.8614591848633219E-4</v>
      </c>
      <c r="U103" s="33">
        <v>3.7855029673770072E-4</v>
      </c>
      <c r="V103" s="33">
        <v>8.7258683867233228E-4</v>
      </c>
      <c r="W103" s="33">
        <v>1.1692106846790363E-3</v>
      </c>
      <c r="X103" s="33">
        <v>1.5081578317309081E-3</v>
      </c>
      <c r="Y103" s="33">
        <v>2.0588723473310682E-3</v>
      </c>
      <c r="Z103" s="33">
        <v>2.9092955576564454E-3</v>
      </c>
      <c r="AA103" s="33">
        <v>4.1052005978659692E-3</v>
      </c>
      <c r="AB103" s="33">
        <v>5.6972405639618157E-3</v>
      </c>
      <c r="AC103" s="33">
        <v>8.9457697662400984E-3</v>
      </c>
      <c r="AD103" s="33">
        <v>1.3143500886882237E-2</v>
      </c>
      <c r="AE103" s="33">
        <v>2.1633277094430886E-2</v>
      </c>
      <c r="AF103" s="33">
        <v>2.7878235961389927E-2</v>
      </c>
      <c r="AG103" s="33">
        <v>5.0225199226431996E-2</v>
      </c>
      <c r="AH103" s="33">
        <v>5.4753581410580343E-2</v>
      </c>
      <c r="AI103" s="33">
        <v>8.982279599249865E-2</v>
      </c>
      <c r="AJ103" s="33">
        <v>0.1190525940821109</v>
      </c>
      <c r="AK103" s="33">
        <v>0.14721758250382633</v>
      </c>
      <c r="AL103" s="33">
        <v>0.16884971526321041</v>
      </c>
      <c r="AM103" s="33"/>
      <c r="AN103" s="39" t="s">
        <v>177</v>
      </c>
      <c r="AO103" s="37">
        <v>682</v>
      </c>
      <c r="AP103" s="72">
        <v>74.900999999999996</v>
      </c>
    </row>
    <row r="104" spans="1:42" x14ac:dyDescent="0.25">
      <c r="A104" s="39" t="s">
        <v>181</v>
      </c>
      <c r="B104" s="112">
        <v>784</v>
      </c>
      <c r="C104" s="38">
        <v>9770.5259999999998</v>
      </c>
      <c r="D104" s="38">
        <v>9890.4</v>
      </c>
      <c r="F104" s="39" t="s">
        <v>182</v>
      </c>
      <c r="G104" s="37">
        <v>887</v>
      </c>
      <c r="H104" s="53">
        <v>30.707000000000001</v>
      </c>
      <c r="I104" s="33"/>
      <c r="J104" s="54" t="s">
        <v>474</v>
      </c>
      <c r="K104" s="55" t="s">
        <v>341</v>
      </c>
      <c r="L104" s="56">
        <v>2018</v>
      </c>
      <c r="M104" s="57">
        <v>98.6</v>
      </c>
      <c r="O104" s="33" t="s">
        <v>189</v>
      </c>
      <c r="P104" s="33">
        <v>860</v>
      </c>
      <c r="Q104" s="33" t="s">
        <v>364</v>
      </c>
      <c r="R104" s="33">
        <v>2.0835470000000061E-2</v>
      </c>
      <c r="S104" s="33">
        <v>1.2221924542139809E-3</v>
      </c>
      <c r="T104" s="33">
        <v>2.8759897009950872E-4</v>
      </c>
      <c r="U104" s="33">
        <v>3.0645962075525354E-4</v>
      </c>
      <c r="V104" s="33">
        <v>5.0447480651230712E-4</v>
      </c>
      <c r="W104" s="33">
        <v>7.2446909122894415E-4</v>
      </c>
      <c r="X104" s="33">
        <v>9.7348908487552329E-4</v>
      </c>
      <c r="Y104" s="33">
        <v>1.319865314538814E-3</v>
      </c>
      <c r="Z104" s="33">
        <v>1.8403965508041662E-3</v>
      </c>
      <c r="AA104" s="33">
        <v>2.5695807395264944E-3</v>
      </c>
      <c r="AB104" s="33">
        <v>3.8966223465779679E-3</v>
      </c>
      <c r="AC104" s="33">
        <v>6.2610641946699601E-3</v>
      </c>
      <c r="AD104" s="33">
        <v>1.0593543607104964E-2</v>
      </c>
      <c r="AE104" s="33">
        <v>1.8161334786417935E-2</v>
      </c>
      <c r="AF104" s="33">
        <v>2.8615281557734854E-2</v>
      </c>
      <c r="AG104" s="33">
        <v>4.4290652552574764E-2</v>
      </c>
      <c r="AH104" s="33">
        <v>6.6937789309553714E-2</v>
      </c>
      <c r="AI104" s="33">
        <v>9.5342529249283853E-2</v>
      </c>
      <c r="AJ104" s="33">
        <v>0.12569422224177099</v>
      </c>
      <c r="AK104" s="33">
        <v>0.15364270326612647</v>
      </c>
      <c r="AL104" s="33">
        <v>0.17363588120761062</v>
      </c>
      <c r="AM104" s="33"/>
      <c r="AN104" s="39" t="s">
        <v>178</v>
      </c>
      <c r="AO104" s="37">
        <v>275</v>
      </c>
      <c r="AP104" s="72">
        <v>73.816000000000003</v>
      </c>
    </row>
    <row r="105" spans="1:42" x14ac:dyDescent="0.25">
      <c r="A105" s="39" t="s">
        <v>182</v>
      </c>
      <c r="B105" s="112">
        <v>887</v>
      </c>
      <c r="C105" s="38">
        <v>29161.921999999999</v>
      </c>
      <c r="D105" s="38">
        <v>29825.968000000001</v>
      </c>
      <c r="F105" s="40" t="s">
        <v>183</v>
      </c>
      <c r="G105" s="41">
        <v>921</v>
      </c>
      <c r="H105" s="58">
        <v>19.699000000000002</v>
      </c>
      <c r="I105" s="33"/>
      <c r="J105" s="54" t="s">
        <v>475</v>
      </c>
      <c r="K105" s="55" t="s">
        <v>160</v>
      </c>
      <c r="L105" s="56">
        <v>2018</v>
      </c>
      <c r="M105" s="57">
        <v>86.1</v>
      </c>
      <c r="O105" s="33" t="s">
        <v>190</v>
      </c>
      <c r="P105" s="33">
        <v>5501</v>
      </c>
      <c r="Q105" s="33" t="s">
        <v>364</v>
      </c>
      <c r="R105" s="33">
        <v>3.5900569868758031E-2</v>
      </c>
      <c r="S105" s="33">
        <v>2.1357553143931877E-3</v>
      </c>
      <c r="T105" s="33">
        <v>7.676468056150447E-4</v>
      </c>
      <c r="U105" s="33">
        <v>6.1550825452773685E-4</v>
      </c>
      <c r="V105" s="33">
        <v>9.271077219324609E-4</v>
      </c>
      <c r="W105" s="33">
        <v>1.2728654584510551E-3</v>
      </c>
      <c r="X105" s="33">
        <v>1.4684635445813199E-3</v>
      </c>
      <c r="Y105" s="33">
        <v>1.8122189200630427E-3</v>
      </c>
      <c r="Z105" s="33">
        <v>2.4530677885126755E-3</v>
      </c>
      <c r="AA105" s="33">
        <v>3.374158509195189E-3</v>
      </c>
      <c r="AB105" s="33">
        <v>4.9877429007842708E-3</v>
      </c>
      <c r="AC105" s="33">
        <v>7.781614426911207E-3</v>
      </c>
      <c r="AD105" s="33">
        <v>1.1835073577828743E-2</v>
      </c>
      <c r="AE105" s="33">
        <v>1.7760652839183586E-2</v>
      </c>
      <c r="AF105" s="33">
        <v>2.717768670370788E-2</v>
      </c>
      <c r="AG105" s="33">
        <v>4.1279875840073511E-2</v>
      </c>
      <c r="AH105" s="33">
        <v>6.1182497814616731E-2</v>
      </c>
      <c r="AI105" s="33">
        <v>8.6599418213446674E-2</v>
      </c>
      <c r="AJ105" s="33">
        <v>0.11541108576388076</v>
      </c>
      <c r="AK105" s="33">
        <v>0.14335069874245623</v>
      </c>
      <c r="AL105" s="33">
        <v>0.16588583066776183</v>
      </c>
      <c r="AM105" s="33"/>
      <c r="AN105" s="39" t="s">
        <v>179</v>
      </c>
      <c r="AO105" s="37">
        <v>760</v>
      </c>
      <c r="AP105" s="72">
        <v>71.319999999999993</v>
      </c>
    </row>
    <row r="106" spans="1:42" x14ac:dyDescent="0.25">
      <c r="A106" s="40" t="s">
        <v>183</v>
      </c>
      <c r="B106" s="113">
        <v>921</v>
      </c>
      <c r="C106" s="42">
        <v>1991423.507</v>
      </c>
      <c r="D106" s="42">
        <v>2014708.531</v>
      </c>
      <c r="F106" s="43" t="s">
        <v>184</v>
      </c>
      <c r="G106" s="44">
        <v>5500</v>
      </c>
      <c r="H106" s="59">
        <v>23.327999999999999</v>
      </c>
      <c r="I106" s="33"/>
      <c r="J106" s="54" t="s">
        <v>476</v>
      </c>
      <c r="K106" s="55" t="s">
        <v>111</v>
      </c>
      <c r="L106" s="56">
        <v>2011</v>
      </c>
      <c r="M106" s="57">
        <v>54.8</v>
      </c>
      <c r="O106" s="33" t="s">
        <v>191</v>
      </c>
      <c r="P106" s="33">
        <v>4</v>
      </c>
      <c r="Q106" s="33" t="s">
        <v>364</v>
      </c>
      <c r="R106" s="33">
        <v>5.1705920000000044E-2</v>
      </c>
      <c r="S106" s="33">
        <v>4.2606139648156119E-3</v>
      </c>
      <c r="T106" s="33">
        <v>1.3223737793075733E-3</v>
      </c>
      <c r="U106" s="33">
        <v>1.0403429192195591E-3</v>
      </c>
      <c r="V106" s="33">
        <v>1.6776300094756157E-3</v>
      </c>
      <c r="W106" s="33">
        <v>2.3376621044886147E-3</v>
      </c>
      <c r="X106" s="33">
        <v>2.5459831968737906E-3</v>
      </c>
      <c r="Y106" s="33">
        <v>2.9144424789079464E-3</v>
      </c>
      <c r="Z106" s="33">
        <v>3.609036825722695E-3</v>
      </c>
      <c r="AA106" s="33">
        <v>4.7646755307516097E-3</v>
      </c>
      <c r="AB106" s="33">
        <v>6.6693979477904005E-3</v>
      </c>
      <c r="AC106" s="33">
        <v>9.7111120253384389E-3</v>
      </c>
      <c r="AD106" s="33">
        <v>1.4319291152050998E-2</v>
      </c>
      <c r="AE106" s="33">
        <v>2.1576406530464876E-2</v>
      </c>
      <c r="AF106" s="33">
        <v>3.2497417745205051E-2</v>
      </c>
      <c r="AG106" s="33">
        <v>4.9541629377470205E-2</v>
      </c>
      <c r="AH106" s="33">
        <v>7.3784124546607335E-2</v>
      </c>
      <c r="AI106" s="33">
        <v>0.10484693966590136</v>
      </c>
      <c r="AJ106" s="33">
        <v>0.13730355211350781</v>
      </c>
      <c r="AK106" s="33">
        <v>0.16337379458024129</v>
      </c>
      <c r="AL106" s="33">
        <v>0.18004602647935439</v>
      </c>
      <c r="AM106" s="33"/>
      <c r="AN106" s="39" t="s">
        <v>180</v>
      </c>
      <c r="AO106" s="37">
        <v>792</v>
      </c>
      <c r="AP106" s="72">
        <v>77.307000000000002</v>
      </c>
    </row>
    <row r="107" spans="1:42" x14ac:dyDescent="0.25">
      <c r="A107" s="43" t="s">
        <v>184</v>
      </c>
      <c r="B107" s="114">
        <v>5500</v>
      </c>
      <c r="C107" s="45">
        <v>73212.111000000004</v>
      </c>
      <c r="D107" s="45">
        <v>74338.926000000007</v>
      </c>
      <c r="F107" s="39" t="s">
        <v>185</v>
      </c>
      <c r="G107" s="37">
        <v>398</v>
      </c>
      <c r="H107" s="53">
        <v>21.376999999999999</v>
      </c>
      <c r="I107" s="33"/>
      <c r="J107" s="54" t="s">
        <v>477</v>
      </c>
      <c r="K107" s="55" t="s">
        <v>216</v>
      </c>
      <c r="L107" s="56">
        <v>2016</v>
      </c>
      <c r="M107" s="57">
        <v>37.1</v>
      </c>
      <c r="O107" s="33" t="s">
        <v>192</v>
      </c>
      <c r="P107" s="33">
        <v>50</v>
      </c>
      <c r="Q107" s="33" t="s">
        <v>364</v>
      </c>
      <c r="R107" s="33">
        <v>2.6850380000000004E-2</v>
      </c>
      <c r="S107" s="33">
        <v>1.4273267660526731E-3</v>
      </c>
      <c r="T107" s="33">
        <v>7.482190792888853E-4</v>
      </c>
      <c r="U107" s="33">
        <v>6.3599449673810602E-4</v>
      </c>
      <c r="V107" s="33">
        <v>1.0125835727474277E-3</v>
      </c>
      <c r="W107" s="33">
        <v>1.0393796582485581E-3</v>
      </c>
      <c r="X107" s="33">
        <v>9.9616762036654053E-4</v>
      </c>
      <c r="Y107" s="33">
        <v>1.2461830091039462E-3</v>
      </c>
      <c r="Z107" s="33">
        <v>1.6949130194405298E-3</v>
      </c>
      <c r="AA107" s="33">
        <v>2.489878107246931E-3</v>
      </c>
      <c r="AB107" s="33">
        <v>3.8789128867372309E-3</v>
      </c>
      <c r="AC107" s="33">
        <v>6.3676250349223636E-3</v>
      </c>
      <c r="AD107" s="33">
        <v>1.0023350220130806E-2</v>
      </c>
      <c r="AE107" s="33">
        <v>1.6649733439551947E-2</v>
      </c>
      <c r="AF107" s="33">
        <v>2.4135128950878319E-2</v>
      </c>
      <c r="AG107" s="33">
        <v>3.9140132002183678E-2</v>
      </c>
      <c r="AH107" s="33">
        <v>5.2963838292764784E-2</v>
      </c>
      <c r="AI107" s="33">
        <v>7.6193501220783055E-2</v>
      </c>
      <c r="AJ107" s="33">
        <v>0.1006864161525354</v>
      </c>
      <c r="AK107" s="33">
        <v>0.12459803655517622</v>
      </c>
      <c r="AL107" s="33">
        <v>0.14122794249867238</v>
      </c>
      <c r="AM107" s="33"/>
      <c r="AN107" s="39" t="s">
        <v>181</v>
      </c>
      <c r="AO107" s="37">
        <v>784</v>
      </c>
      <c r="AP107" s="72">
        <v>77.745000000000005</v>
      </c>
    </row>
    <row r="108" spans="1:42" x14ac:dyDescent="0.25">
      <c r="A108" s="39" t="s">
        <v>185</v>
      </c>
      <c r="B108" s="112">
        <v>398</v>
      </c>
      <c r="C108" s="38">
        <v>18551.428</v>
      </c>
      <c r="D108" s="38">
        <v>18776.706999999999</v>
      </c>
      <c r="F108" s="39" t="s">
        <v>186</v>
      </c>
      <c r="G108" s="37">
        <v>417</v>
      </c>
      <c r="H108" s="53">
        <v>24.812000000000001</v>
      </c>
      <c r="I108" s="33"/>
      <c r="J108" s="54" t="s">
        <v>478</v>
      </c>
      <c r="K108" s="55" t="s">
        <v>135</v>
      </c>
      <c r="L108" s="56">
        <v>2013</v>
      </c>
      <c r="M108" s="57">
        <v>87.4</v>
      </c>
      <c r="O108" s="33" t="s">
        <v>193</v>
      </c>
      <c r="P108" s="33">
        <v>64</v>
      </c>
      <c r="Q108" s="33" t="s">
        <v>364</v>
      </c>
      <c r="R108" s="33">
        <v>2.4070130000000065E-2</v>
      </c>
      <c r="S108" s="33">
        <v>1.4172022422061688E-3</v>
      </c>
      <c r="T108" s="33">
        <v>7.7363966030787946E-4</v>
      </c>
      <c r="U108" s="33">
        <v>6.2697757691140463E-4</v>
      </c>
      <c r="V108" s="33">
        <v>8.483255994234341E-4</v>
      </c>
      <c r="W108" s="33">
        <v>1.3815089011482156E-3</v>
      </c>
      <c r="X108" s="33">
        <v>1.9994181120536001E-3</v>
      </c>
      <c r="Y108" s="33">
        <v>2.8979871281534348E-3</v>
      </c>
      <c r="Z108" s="33">
        <v>3.9402642111488967E-3</v>
      </c>
      <c r="AA108" s="33">
        <v>5.1523072116535949E-3</v>
      </c>
      <c r="AB108" s="33">
        <v>6.6891671323214023E-3</v>
      </c>
      <c r="AC108" s="33">
        <v>8.7964781237764387E-3</v>
      </c>
      <c r="AD108" s="33">
        <v>1.1914330293210212E-2</v>
      </c>
      <c r="AE108" s="33">
        <v>1.5987378758992074E-2</v>
      </c>
      <c r="AF108" s="33">
        <v>2.2371298753324709E-2</v>
      </c>
      <c r="AG108" s="33">
        <v>3.1664751710371884E-2</v>
      </c>
      <c r="AH108" s="33">
        <v>4.5224866527438595E-2</v>
      </c>
      <c r="AI108" s="33">
        <v>6.3852175373826578E-2</v>
      </c>
      <c r="AJ108" s="33">
        <v>8.4138014119133742E-2</v>
      </c>
      <c r="AK108" s="33">
        <v>0.10757180391387827</v>
      </c>
      <c r="AL108" s="33">
        <v>0.13047884280399449</v>
      </c>
      <c r="AM108" s="33"/>
      <c r="AN108" s="39" t="s">
        <v>182</v>
      </c>
      <c r="AO108" s="37">
        <v>887</v>
      </c>
      <c r="AP108" s="72">
        <v>66.033000000000001</v>
      </c>
    </row>
    <row r="109" spans="1:42" x14ac:dyDescent="0.25">
      <c r="A109" s="39" t="s">
        <v>186</v>
      </c>
      <c r="B109" s="112">
        <v>417</v>
      </c>
      <c r="C109" s="38">
        <v>6415.8509999999997</v>
      </c>
      <c r="D109" s="38">
        <v>6524.1909999999998</v>
      </c>
      <c r="F109" s="39" t="s">
        <v>187</v>
      </c>
      <c r="G109" s="37">
        <v>762</v>
      </c>
      <c r="H109" s="53">
        <v>31.212</v>
      </c>
      <c r="I109" s="33"/>
      <c r="J109" s="54" t="s">
        <v>479</v>
      </c>
      <c r="K109" s="55" t="s">
        <v>291</v>
      </c>
      <c r="L109" s="56">
        <v>2007</v>
      </c>
      <c r="M109" s="57">
        <v>98.7</v>
      </c>
      <c r="O109" s="33" t="s">
        <v>194</v>
      </c>
      <c r="P109" s="33">
        <v>356</v>
      </c>
      <c r="Q109" s="33" t="s">
        <v>364</v>
      </c>
      <c r="R109" s="33">
        <v>3.2000000000000001E-2</v>
      </c>
      <c r="S109" s="33">
        <v>1.9125568181818215E-3</v>
      </c>
      <c r="T109" s="33">
        <v>7.1535069456670386E-4</v>
      </c>
      <c r="U109" s="33">
        <v>6.0160552047179691E-4</v>
      </c>
      <c r="V109" s="33">
        <v>9.4642282045615737E-4</v>
      </c>
      <c r="W109" s="33">
        <v>1.3732150365588049E-3</v>
      </c>
      <c r="X109" s="33">
        <v>1.5526608369193016E-3</v>
      </c>
      <c r="Y109" s="33">
        <v>1.9815753059753876E-3</v>
      </c>
      <c r="Z109" s="33">
        <v>2.7437178237789267E-3</v>
      </c>
      <c r="AA109" s="33">
        <v>3.6892655629956312E-3</v>
      </c>
      <c r="AB109" s="33">
        <v>5.2984072107780398E-3</v>
      </c>
      <c r="AC109" s="33">
        <v>8.4786050471113063E-3</v>
      </c>
      <c r="AD109" s="33">
        <v>1.2597229022773913E-2</v>
      </c>
      <c r="AE109" s="33">
        <v>1.8597386074553211E-2</v>
      </c>
      <c r="AF109" s="33">
        <v>2.7897493448943371E-2</v>
      </c>
      <c r="AG109" s="33">
        <v>4.2849663503968405E-2</v>
      </c>
      <c r="AH109" s="33">
        <v>6.0679978133540674E-2</v>
      </c>
      <c r="AI109" s="33">
        <v>8.6620117768741622E-2</v>
      </c>
      <c r="AJ109" s="33">
        <v>0.11600615643086354</v>
      </c>
      <c r="AK109" s="33">
        <v>0.14310718338796444</v>
      </c>
      <c r="AL109" s="33">
        <v>0.13800656426699495</v>
      </c>
      <c r="AM109" s="33"/>
      <c r="AN109" s="40" t="s">
        <v>183</v>
      </c>
      <c r="AO109" s="41">
        <v>921</v>
      </c>
      <c r="AP109" s="76">
        <v>69.484387707990805</v>
      </c>
    </row>
    <row r="110" spans="1:42" x14ac:dyDescent="0.25">
      <c r="A110" s="39" t="s">
        <v>187</v>
      </c>
      <c r="B110" s="112">
        <v>762</v>
      </c>
      <c r="C110" s="38">
        <v>9321.0229999999992</v>
      </c>
      <c r="D110" s="38">
        <v>9537.6419999999998</v>
      </c>
      <c r="F110" s="39" t="s">
        <v>188</v>
      </c>
      <c r="G110" s="37">
        <v>795</v>
      </c>
      <c r="H110" s="53">
        <v>23.984000000000002</v>
      </c>
      <c r="I110" s="33"/>
      <c r="J110" s="54" t="s">
        <v>480</v>
      </c>
      <c r="K110" s="55" t="s">
        <v>197</v>
      </c>
      <c r="L110" s="56">
        <v>2016</v>
      </c>
      <c r="M110" s="57">
        <v>57.4</v>
      </c>
      <c r="O110" s="33" t="s">
        <v>195</v>
      </c>
      <c r="P110" s="33">
        <v>364</v>
      </c>
      <c r="Q110" s="33" t="s">
        <v>364</v>
      </c>
      <c r="R110" s="33">
        <v>1.2817449999999954E-2</v>
      </c>
      <c r="S110" s="33">
        <v>5.3182159672496157E-4</v>
      </c>
      <c r="T110" s="33">
        <v>1.7592028558257154E-4</v>
      </c>
      <c r="U110" s="33">
        <v>1.9594478265212644E-4</v>
      </c>
      <c r="V110" s="33">
        <v>4.2671877566580852E-4</v>
      </c>
      <c r="W110" s="33">
        <v>7.5940989198300228E-4</v>
      </c>
      <c r="X110" s="33">
        <v>5.9178552242656799E-4</v>
      </c>
      <c r="Y110" s="33">
        <v>6.4505960424462386E-4</v>
      </c>
      <c r="Z110" s="33">
        <v>7.0583163378969431E-4</v>
      </c>
      <c r="AA110" s="33">
        <v>1.0396719641485451E-3</v>
      </c>
      <c r="AB110" s="33">
        <v>1.7397054894052362E-3</v>
      </c>
      <c r="AC110" s="33">
        <v>3.2391255839095967E-3</v>
      </c>
      <c r="AD110" s="33">
        <v>4.7982650573979374E-3</v>
      </c>
      <c r="AE110" s="33">
        <v>8.8699861339129743E-3</v>
      </c>
      <c r="AF110" s="33">
        <v>1.6162894890085929E-2</v>
      </c>
      <c r="AG110" s="33">
        <v>3.2220010103701673E-2</v>
      </c>
      <c r="AH110" s="33">
        <v>6.4028553202138627E-2</v>
      </c>
      <c r="AI110" s="33">
        <v>9.215112094519777E-2</v>
      </c>
      <c r="AJ110" s="33">
        <v>0.12562970555941547</v>
      </c>
      <c r="AK110" s="33">
        <v>0.1577032486213901</v>
      </c>
      <c r="AL110" s="33">
        <v>0.17881396894351279</v>
      </c>
      <c r="AM110" s="33"/>
      <c r="AN110" s="43" t="s">
        <v>184</v>
      </c>
      <c r="AO110" s="44">
        <v>5500</v>
      </c>
      <c r="AP110" s="77">
        <v>71.640992057930205</v>
      </c>
    </row>
    <row r="111" spans="1:42" x14ac:dyDescent="0.25">
      <c r="A111" s="39" t="s">
        <v>188</v>
      </c>
      <c r="B111" s="112">
        <v>795</v>
      </c>
      <c r="C111" s="38">
        <v>5942.0940000000001</v>
      </c>
      <c r="D111" s="38">
        <v>6031.1869999999999</v>
      </c>
      <c r="F111" s="39" t="s">
        <v>189</v>
      </c>
      <c r="G111" s="37">
        <v>860</v>
      </c>
      <c r="H111" s="53">
        <v>21.821000000000002</v>
      </c>
      <c r="I111" s="33"/>
      <c r="J111" s="54" t="s">
        <v>481</v>
      </c>
      <c r="K111" s="55" t="s">
        <v>278</v>
      </c>
      <c r="L111" s="56">
        <v>2014</v>
      </c>
      <c r="M111" s="57">
        <v>96.6</v>
      </c>
      <c r="O111" s="33" t="s">
        <v>196</v>
      </c>
      <c r="P111" s="33">
        <v>462</v>
      </c>
      <c r="Q111" s="33" t="s">
        <v>364</v>
      </c>
      <c r="R111" s="33">
        <v>6.7649199999999833E-3</v>
      </c>
      <c r="S111" s="33">
        <v>2.9123014865724918E-4</v>
      </c>
      <c r="T111" s="33">
        <v>2.5260512771759484E-4</v>
      </c>
      <c r="U111" s="33">
        <v>3.3917391387631318E-4</v>
      </c>
      <c r="V111" s="33">
        <v>3.4635377062271487E-4</v>
      </c>
      <c r="W111" s="33">
        <v>5.0681376719770885E-4</v>
      </c>
      <c r="X111" s="33">
        <v>4.7059813985474115E-4</v>
      </c>
      <c r="Y111" s="33">
        <v>5.2614053691732215E-4</v>
      </c>
      <c r="Z111" s="33">
        <v>5.8598587836906652E-4</v>
      </c>
      <c r="AA111" s="33">
        <v>9.3398019856857613E-4</v>
      </c>
      <c r="AB111" s="33">
        <v>1.6451496022383042E-3</v>
      </c>
      <c r="AC111" s="33">
        <v>2.391987245178574E-3</v>
      </c>
      <c r="AD111" s="33">
        <v>4.6062935003459019E-3</v>
      </c>
      <c r="AE111" s="33">
        <v>8.6002253429168663E-3</v>
      </c>
      <c r="AF111" s="33">
        <v>1.6108011387115002E-2</v>
      </c>
      <c r="AG111" s="33">
        <v>2.9711186944390157E-2</v>
      </c>
      <c r="AH111" s="33">
        <v>5.3190452689782043E-2</v>
      </c>
      <c r="AI111" s="33">
        <v>7.2476092400483749E-2</v>
      </c>
      <c r="AJ111" s="33">
        <v>9.8242350837951881E-2</v>
      </c>
      <c r="AK111" s="33">
        <v>0.12436013823733552</v>
      </c>
      <c r="AL111" s="33">
        <v>0.14743768263290524</v>
      </c>
      <c r="AM111" s="33"/>
      <c r="AN111" s="39" t="s">
        <v>185</v>
      </c>
      <c r="AO111" s="37">
        <v>398</v>
      </c>
      <c r="AP111" s="72">
        <v>73.224999999999994</v>
      </c>
    </row>
    <row r="112" spans="1:42" x14ac:dyDescent="0.25">
      <c r="A112" s="39" t="s">
        <v>189</v>
      </c>
      <c r="B112" s="112">
        <v>860</v>
      </c>
      <c r="C112" s="38">
        <v>32981.714999999997</v>
      </c>
      <c r="D112" s="38">
        <v>33469.199000000001</v>
      </c>
      <c r="F112" s="43" t="s">
        <v>190</v>
      </c>
      <c r="G112" s="44">
        <v>5501</v>
      </c>
      <c r="H112" s="59">
        <v>19.562000000000001</v>
      </c>
      <c r="I112" s="33"/>
      <c r="J112" s="54" t="s">
        <v>482</v>
      </c>
      <c r="K112" s="55" t="s">
        <v>259</v>
      </c>
      <c r="L112" s="56">
        <v>2013</v>
      </c>
      <c r="M112" s="57">
        <v>71</v>
      </c>
      <c r="O112" s="33" t="s">
        <v>197</v>
      </c>
      <c r="P112" s="33">
        <v>524</v>
      </c>
      <c r="Q112" s="33" t="s">
        <v>364</v>
      </c>
      <c r="R112" s="33">
        <v>2.7942580000000015E-2</v>
      </c>
      <c r="S112" s="33">
        <v>1.4641933395251625E-3</v>
      </c>
      <c r="T112" s="33">
        <v>5.9734201687707217E-4</v>
      </c>
      <c r="U112" s="33">
        <v>4.8948909630063052E-4</v>
      </c>
      <c r="V112" s="33">
        <v>8.5947021037404889E-4</v>
      </c>
      <c r="W112" s="33">
        <v>1.187279211316897E-3</v>
      </c>
      <c r="X112" s="33">
        <v>1.2900965422736341E-3</v>
      </c>
      <c r="Y112" s="33">
        <v>1.5188384974273346E-3</v>
      </c>
      <c r="Z112" s="33">
        <v>1.9839414185007548E-3</v>
      </c>
      <c r="AA112" s="33">
        <v>2.8502541968265169E-3</v>
      </c>
      <c r="AB112" s="33">
        <v>4.4543849074185305E-3</v>
      </c>
      <c r="AC112" s="33">
        <v>6.9522169793429268E-3</v>
      </c>
      <c r="AD112" s="33">
        <v>1.0951608108868135E-2</v>
      </c>
      <c r="AE112" s="33">
        <v>1.718090029554491E-2</v>
      </c>
      <c r="AF112" s="33">
        <v>2.7261169312703379E-2</v>
      </c>
      <c r="AG112" s="33">
        <v>4.320931980586707E-2</v>
      </c>
      <c r="AH112" s="33">
        <v>6.6773009751530027E-2</v>
      </c>
      <c r="AI112" s="33">
        <v>9.8636927081093451E-2</v>
      </c>
      <c r="AJ112" s="33">
        <v>0.13300884083462092</v>
      </c>
      <c r="AK112" s="33">
        <v>0.16119652230409756</v>
      </c>
      <c r="AL112" s="33">
        <v>0.17936089322120757</v>
      </c>
      <c r="AM112" s="33"/>
      <c r="AN112" s="39" t="s">
        <v>186</v>
      </c>
      <c r="AO112" s="37">
        <v>417</v>
      </c>
      <c r="AP112" s="72">
        <v>71.182000000000002</v>
      </c>
    </row>
    <row r="113" spans="1:42" x14ac:dyDescent="0.25">
      <c r="A113" s="43" t="s">
        <v>190</v>
      </c>
      <c r="B113" s="114">
        <v>5501</v>
      </c>
      <c r="C113" s="45">
        <v>1918211.3959999999</v>
      </c>
      <c r="D113" s="45">
        <v>1940369.605</v>
      </c>
      <c r="F113" s="39" t="s">
        <v>191</v>
      </c>
      <c r="G113" s="37">
        <v>4</v>
      </c>
      <c r="H113" s="53">
        <v>32.856000000000002</v>
      </c>
      <c r="I113" s="33"/>
      <c r="J113" s="54" t="s">
        <v>483</v>
      </c>
      <c r="K113" s="55" t="s">
        <v>149</v>
      </c>
      <c r="L113" s="56">
        <v>2015</v>
      </c>
      <c r="M113" s="57">
        <v>58.8</v>
      </c>
      <c r="O113" s="33" t="s">
        <v>198</v>
      </c>
      <c r="P113" s="33">
        <v>586</v>
      </c>
      <c r="Q113" s="33" t="s">
        <v>364</v>
      </c>
      <c r="R113" s="33">
        <v>6.1333549999999959E-2</v>
      </c>
      <c r="S113" s="33">
        <v>3.6129553794108892E-3</v>
      </c>
      <c r="T113" s="33">
        <v>1.0619705193057707E-3</v>
      </c>
      <c r="U113" s="33">
        <v>6.8420954367996202E-4</v>
      </c>
      <c r="V113" s="33">
        <v>9.0135788389363882E-4</v>
      </c>
      <c r="W113" s="33">
        <v>1.2077077563812004E-3</v>
      </c>
      <c r="X113" s="33">
        <v>1.3477014775401645E-3</v>
      </c>
      <c r="Y113" s="33">
        <v>1.6936719012837615E-3</v>
      </c>
      <c r="Z113" s="33">
        <v>2.2590628339365332E-3</v>
      </c>
      <c r="AA113" s="33">
        <v>3.1841570458575586E-3</v>
      </c>
      <c r="AB113" s="33">
        <v>4.6948988446102128E-3</v>
      </c>
      <c r="AC113" s="33">
        <v>7.1550045387534346E-3</v>
      </c>
      <c r="AD113" s="33">
        <v>1.1082944675981268E-2</v>
      </c>
      <c r="AE113" s="33">
        <v>1.7741453448018207E-2</v>
      </c>
      <c r="AF113" s="33">
        <v>2.7639274904056904E-2</v>
      </c>
      <c r="AG113" s="33">
        <v>4.2169339516370995E-2</v>
      </c>
      <c r="AH113" s="33">
        <v>6.3864951916216758E-2</v>
      </c>
      <c r="AI113" s="33">
        <v>9.4417697921603955E-2</v>
      </c>
      <c r="AJ113" s="33">
        <v>0.13203036500012194</v>
      </c>
      <c r="AK113" s="33">
        <v>0.16360120386365906</v>
      </c>
      <c r="AL113" s="33">
        <v>0.18117845350801109</v>
      </c>
      <c r="AM113" s="33"/>
      <c r="AN113" s="39" t="s">
        <v>187</v>
      </c>
      <c r="AO113" s="37">
        <v>762</v>
      </c>
      <c r="AP113" s="72">
        <v>70.77</v>
      </c>
    </row>
    <row r="114" spans="1:42" x14ac:dyDescent="0.25">
      <c r="A114" s="39" t="s">
        <v>191</v>
      </c>
      <c r="B114" s="112">
        <v>4</v>
      </c>
      <c r="C114" s="38">
        <v>38041.756999999998</v>
      </c>
      <c r="D114" s="38">
        <v>38928.341</v>
      </c>
      <c r="F114" s="39" t="s">
        <v>192</v>
      </c>
      <c r="G114" s="37">
        <v>50</v>
      </c>
      <c r="H114" s="53">
        <v>18.361000000000001</v>
      </c>
      <c r="I114" s="33"/>
      <c r="J114" s="54" t="s">
        <v>484</v>
      </c>
      <c r="K114" s="55" t="s">
        <v>150</v>
      </c>
      <c r="L114" s="56">
        <v>2018</v>
      </c>
      <c r="M114" s="57">
        <v>39.4</v>
      </c>
      <c r="O114" s="33" t="s">
        <v>199</v>
      </c>
      <c r="P114" s="33">
        <v>144</v>
      </c>
      <c r="Q114" s="33" t="s">
        <v>364</v>
      </c>
      <c r="R114" s="33">
        <v>7.5732899999999791E-3</v>
      </c>
      <c r="S114" s="33">
        <v>2.570063838769638E-4</v>
      </c>
      <c r="T114" s="33">
        <v>2.9705474889629041E-4</v>
      </c>
      <c r="U114" s="33">
        <v>2.9040321033130473E-4</v>
      </c>
      <c r="V114" s="33">
        <v>5.5490936660418171E-4</v>
      </c>
      <c r="W114" s="33">
        <v>7.8892305303817484E-4</v>
      </c>
      <c r="X114" s="33">
        <v>8.6288803443153816E-4</v>
      </c>
      <c r="Y114" s="33">
        <v>9.8763610104937098E-4</v>
      </c>
      <c r="Z114" s="33">
        <v>1.4206987324034202E-3</v>
      </c>
      <c r="AA114" s="33">
        <v>2.0799897247237836E-3</v>
      </c>
      <c r="AB114" s="33">
        <v>3.2074787270406683E-3</v>
      </c>
      <c r="AC114" s="33">
        <v>4.9123247462211569E-3</v>
      </c>
      <c r="AD114" s="33">
        <v>6.9758110547406063E-3</v>
      </c>
      <c r="AE114" s="33">
        <v>9.9942876670689289E-3</v>
      </c>
      <c r="AF114" s="33">
        <v>1.7504151558826845E-2</v>
      </c>
      <c r="AG114" s="33">
        <v>3.1457895529108021E-2</v>
      </c>
      <c r="AH114" s="33">
        <v>4.3127788074325546E-2</v>
      </c>
      <c r="AI114" s="33">
        <v>6.9941554014886095E-2</v>
      </c>
      <c r="AJ114" s="33">
        <v>0.10666038153787064</v>
      </c>
      <c r="AK114" s="33">
        <v>0.14422443039010532</v>
      </c>
      <c r="AL114" s="33">
        <v>0.17174300385827795</v>
      </c>
      <c r="AM114" s="33"/>
      <c r="AN114" s="39" t="s">
        <v>188</v>
      </c>
      <c r="AO114" s="37">
        <v>795</v>
      </c>
      <c r="AP114" s="72">
        <v>67.983000000000004</v>
      </c>
    </row>
    <row r="115" spans="1:42" x14ac:dyDescent="0.25">
      <c r="A115" s="39" t="s">
        <v>192</v>
      </c>
      <c r="B115" s="112">
        <v>50</v>
      </c>
      <c r="C115" s="38">
        <v>163046.17300000001</v>
      </c>
      <c r="D115" s="38">
        <v>164689.383</v>
      </c>
      <c r="F115" s="39" t="s">
        <v>193</v>
      </c>
      <c r="G115" s="37">
        <v>64</v>
      </c>
      <c r="H115" s="53">
        <v>17.492000000000001</v>
      </c>
      <c r="I115" s="33"/>
      <c r="J115" s="54" t="s">
        <v>485</v>
      </c>
      <c r="K115" s="55" t="s">
        <v>342</v>
      </c>
      <c r="L115" s="56">
        <v>2019</v>
      </c>
      <c r="M115" s="57">
        <v>99.1</v>
      </c>
      <c r="O115" s="33" t="s">
        <v>200</v>
      </c>
      <c r="P115" s="33">
        <v>1832</v>
      </c>
      <c r="Q115" s="33" t="s">
        <v>364</v>
      </c>
      <c r="R115" s="33">
        <v>1.3144559529106046E-2</v>
      </c>
      <c r="S115" s="33">
        <v>8.14894449333953E-4</v>
      </c>
      <c r="T115" s="33">
        <v>3.9521758923750586E-4</v>
      </c>
      <c r="U115" s="33">
        <v>3.6462483339950937E-4</v>
      </c>
      <c r="V115" s="33">
        <v>5.5097970414470419E-4</v>
      </c>
      <c r="W115" s="33">
        <v>7.5950204757506629E-4</v>
      </c>
      <c r="X115" s="33">
        <v>8.6407871745152636E-4</v>
      </c>
      <c r="Y115" s="33">
        <v>1.0522931225943075E-3</v>
      </c>
      <c r="Z115" s="33">
        <v>1.4052121966003032E-3</v>
      </c>
      <c r="AA115" s="33">
        <v>1.8899402286220053E-3</v>
      </c>
      <c r="AB115" s="33">
        <v>2.7080887245762185E-3</v>
      </c>
      <c r="AC115" s="33">
        <v>4.2097345677724546E-3</v>
      </c>
      <c r="AD115" s="33">
        <v>6.8770123170917583E-3</v>
      </c>
      <c r="AE115" s="33">
        <v>1.1402545338939243E-2</v>
      </c>
      <c r="AF115" s="33">
        <v>1.9115322495274877E-2</v>
      </c>
      <c r="AG115" s="33">
        <v>3.0720755465708498E-2</v>
      </c>
      <c r="AH115" s="33">
        <v>4.6697921365313533E-2</v>
      </c>
      <c r="AI115" s="33">
        <v>6.8433683866168174E-2</v>
      </c>
      <c r="AJ115" s="33">
        <v>9.5325343404989271E-2</v>
      </c>
      <c r="AK115" s="33">
        <v>0.12449859511560954</v>
      </c>
      <c r="AL115" s="33">
        <v>0.15126597568121711</v>
      </c>
      <c r="AM115" s="33"/>
      <c r="AN115" s="39" t="s">
        <v>189</v>
      </c>
      <c r="AO115" s="37">
        <v>860</v>
      </c>
      <c r="AP115" s="72">
        <v>71.531999999999996</v>
      </c>
    </row>
    <row r="116" spans="1:42" x14ac:dyDescent="0.25">
      <c r="A116" s="39" t="s">
        <v>193</v>
      </c>
      <c r="B116" s="112">
        <v>64</v>
      </c>
      <c r="C116" s="38">
        <v>763.09400000000005</v>
      </c>
      <c r="D116" s="38">
        <v>771.61199999999997</v>
      </c>
      <c r="F116" s="39" t="s">
        <v>194</v>
      </c>
      <c r="G116" s="37">
        <v>356</v>
      </c>
      <c r="H116" s="53">
        <v>18.02</v>
      </c>
      <c r="I116" s="33"/>
      <c r="J116" s="54" t="s">
        <v>486</v>
      </c>
      <c r="K116" s="55" t="s">
        <v>328</v>
      </c>
      <c r="L116" s="56">
        <v>2014</v>
      </c>
      <c r="M116" s="57">
        <v>99.1</v>
      </c>
      <c r="O116" s="33" t="s">
        <v>201</v>
      </c>
      <c r="P116" s="33">
        <v>906</v>
      </c>
      <c r="Q116" s="33" t="s">
        <v>364</v>
      </c>
      <c r="R116" s="33">
        <v>9.3350327191330136E-3</v>
      </c>
      <c r="S116" s="33">
        <v>4.0960105154419887E-4</v>
      </c>
      <c r="T116" s="33">
        <v>2.8414761030153766E-4</v>
      </c>
      <c r="U116" s="33">
        <v>2.4833795444839565E-4</v>
      </c>
      <c r="V116" s="33">
        <v>3.2740344006095456E-4</v>
      </c>
      <c r="W116" s="33">
        <v>4.7980215983796918E-4</v>
      </c>
      <c r="X116" s="33">
        <v>6.3371478577357887E-4</v>
      </c>
      <c r="Y116" s="33">
        <v>7.9190807010645224E-4</v>
      </c>
      <c r="Z116" s="33">
        <v>1.0189879438880969E-3</v>
      </c>
      <c r="AA116" s="33">
        <v>1.4177253424861411E-3</v>
      </c>
      <c r="AB116" s="33">
        <v>2.1363138604729537E-3</v>
      </c>
      <c r="AC116" s="33">
        <v>3.4099029789497206E-3</v>
      </c>
      <c r="AD116" s="33">
        <v>5.8113200681356924E-3</v>
      </c>
      <c r="AE116" s="33">
        <v>1.0381330440438014E-2</v>
      </c>
      <c r="AF116" s="33">
        <v>1.8279576589891315E-2</v>
      </c>
      <c r="AG116" s="33">
        <v>2.9782830365610208E-2</v>
      </c>
      <c r="AH116" s="33">
        <v>4.5595719168069947E-2</v>
      </c>
      <c r="AI116" s="33">
        <v>6.7288551437180086E-2</v>
      </c>
      <c r="AJ116" s="33">
        <v>9.4338177289629871E-2</v>
      </c>
      <c r="AK116" s="33">
        <v>0.12386514660339386</v>
      </c>
      <c r="AL116" s="33">
        <v>0.15104047547674579</v>
      </c>
      <c r="AM116" s="33"/>
      <c r="AN116" s="43" t="s">
        <v>190</v>
      </c>
      <c r="AO116" s="44">
        <v>5501</v>
      </c>
      <c r="AP116" s="77">
        <v>69.394304257789301</v>
      </c>
    </row>
    <row r="117" spans="1:42" x14ac:dyDescent="0.25">
      <c r="A117" s="39" t="s">
        <v>194</v>
      </c>
      <c r="B117" s="112">
        <v>356</v>
      </c>
      <c r="C117" s="38">
        <v>1366417.7560000001</v>
      </c>
      <c r="D117" s="38">
        <v>1380004.385</v>
      </c>
      <c r="F117" s="39" t="s">
        <v>195</v>
      </c>
      <c r="G117" s="37">
        <v>364</v>
      </c>
      <c r="H117" s="53">
        <v>19.097000000000001</v>
      </c>
      <c r="I117" s="33"/>
      <c r="J117" s="54" t="s">
        <v>487</v>
      </c>
      <c r="K117" s="55" t="s">
        <v>175</v>
      </c>
      <c r="L117" s="56">
        <v>2014</v>
      </c>
      <c r="M117" s="57">
        <v>99.2</v>
      </c>
      <c r="O117" s="33" t="s">
        <v>202</v>
      </c>
      <c r="P117" s="33">
        <v>156</v>
      </c>
      <c r="Q117" s="33" t="s">
        <v>364</v>
      </c>
      <c r="R117" s="33">
        <v>9.8941700000000129E-3</v>
      </c>
      <c r="S117" s="33">
        <v>4.1349115174888618E-4</v>
      </c>
      <c r="T117" s="33">
        <v>3.1192504790974275E-4</v>
      </c>
      <c r="U117" s="33">
        <v>2.3281974802200089E-4</v>
      </c>
      <c r="V117" s="33">
        <v>3.3838460396917025E-4</v>
      </c>
      <c r="W117" s="33">
        <v>4.7513191743787025E-4</v>
      </c>
      <c r="X117" s="33">
        <v>6.3559567612006638E-4</v>
      </c>
      <c r="Y117" s="33">
        <v>8.0382412585949207E-4</v>
      </c>
      <c r="Z117" s="33">
        <v>1.0182795635051796E-3</v>
      </c>
      <c r="AA117" s="33">
        <v>1.4416102180106471E-3</v>
      </c>
      <c r="AB117" s="33">
        <v>2.1173871312260202E-3</v>
      </c>
      <c r="AC117" s="33">
        <v>3.512568221798414E-3</v>
      </c>
      <c r="AD117" s="33">
        <v>5.8831350606262144E-3</v>
      </c>
      <c r="AE117" s="33">
        <v>1.0955642853977677E-2</v>
      </c>
      <c r="AF117" s="33">
        <v>1.943896708122141E-2</v>
      </c>
      <c r="AG117" s="33">
        <v>3.4256869399675968E-2</v>
      </c>
      <c r="AH117" s="33">
        <v>5.4431970137010864E-2</v>
      </c>
      <c r="AI117" s="33">
        <v>7.7417050050061387E-2</v>
      </c>
      <c r="AJ117" s="33">
        <v>0.10718323055323137</v>
      </c>
      <c r="AK117" s="33">
        <v>0.13326657184885557</v>
      </c>
      <c r="AL117" s="33">
        <v>0.15465995088238757</v>
      </c>
      <c r="AM117" s="33"/>
      <c r="AN117" s="39" t="s">
        <v>191</v>
      </c>
      <c r="AO117" s="37">
        <v>4</v>
      </c>
      <c r="AP117" s="72">
        <v>64.278999999999996</v>
      </c>
    </row>
    <row r="118" spans="1:42" x14ac:dyDescent="0.25">
      <c r="A118" s="39" t="s">
        <v>195</v>
      </c>
      <c r="B118" s="112">
        <v>364</v>
      </c>
      <c r="C118" s="38">
        <v>82913.892999999996</v>
      </c>
      <c r="D118" s="38">
        <v>83992.952999999994</v>
      </c>
      <c r="F118" s="39" t="s">
        <v>196</v>
      </c>
      <c r="G118" s="37">
        <v>462</v>
      </c>
      <c r="H118" s="53">
        <v>14.401</v>
      </c>
      <c r="I118" s="33"/>
      <c r="J118" s="54" t="s">
        <v>488</v>
      </c>
      <c r="K118" s="55" t="s">
        <v>198</v>
      </c>
      <c r="L118" s="56">
        <v>2018</v>
      </c>
      <c r="M118" s="57">
        <v>66.2</v>
      </c>
      <c r="O118" s="33" t="s">
        <v>203</v>
      </c>
      <c r="P118" s="33">
        <v>344</v>
      </c>
      <c r="Q118" s="33" t="s">
        <v>364</v>
      </c>
      <c r="R118" s="33">
        <v>1.3216300000000046E-3</v>
      </c>
      <c r="S118" s="33">
        <v>1.9577624375702378E-4</v>
      </c>
      <c r="T118" s="33">
        <v>8.06516669117003E-5</v>
      </c>
      <c r="U118" s="33">
        <v>8.0431570362783251E-5</v>
      </c>
      <c r="V118" s="33">
        <v>1.4113230831467978E-4</v>
      </c>
      <c r="W118" s="33">
        <v>2.149882947839862E-4</v>
      </c>
      <c r="X118" s="33">
        <v>2.6971679515473668E-4</v>
      </c>
      <c r="Y118" s="33">
        <v>3.6968304459726841E-4</v>
      </c>
      <c r="Z118" s="33">
        <v>5.629314745283692E-4</v>
      </c>
      <c r="AA118" s="33">
        <v>8.5572085858456057E-4</v>
      </c>
      <c r="AB118" s="33">
        <v>1.3758097205846438E-3</v>
      </c>
      <c r="AC118" s="33">
        <v>2.2151543733431602E-3</v>
      </c>
      <c r="AD118" s="33">
        <v>3.5261191079487787E-3</v>
      </c>
      <c r="AE118" s="33">
        <v>5.5129982612632392E-3</v>
      </c>
      <c r="AF118" s="33">
        <v>8.6836490375041004E-3</v>
      </c>
      <c r="AG118" s="33">
        <v>1.4259866158345116E-2</v>
      </c>
      <c r="AH118" s="33">
        <v>2.4551063102901696E-2</v>
      </c>
      <c r="AI118" s="33">
        <v>4.1612706301447672E-2</v>
      </c>
      <c r="AJ118" s="33">
        <v>6.5327801887258521E-2</v>
      </c>
      <c r="AK118" s="33">
        <v>9.5982015483548538E-2</v>
      </c>
      <c r="AL118" s="33">
        <v>0.13133059216182599</v>
      </c>
      <c r="AM118" s="33"/>
      <c r="AN118" s="39" t="s">
        <v>192</v>
      </c>
      <c r="AO118" s="37">
        <v>50</v>
      </c>
      <c r="AP118" s="72">
        <v>72.150000000000006</v>
      </c>
    </row>
    <row r="119" spans="1:42" x14ac:dyDescent="0.25">
      <c r="A119" s="39" t="s">
        <v>196</v>
      </c>
      <c r="B119" s="112">
        <v>462</v>
      </c>
      <c r="C119" s="38">
        <v>530.95699999999999</v>
      </c>
      <c r="D119" s="38">
        <v>540.54200000000003</v>
      </c>
      <c r="F119" s="39" t="s">
        <v>197</v>
      </c>
      <c r="G119" s="37">
        <v>524</v>
      </c>
      <c r="H119" s="53">
        <v>20.018999999999998</v>
      </c>
      <c r="I119" s="33"/>
      <c r="J119" s="54" t="s">
        <v>489</v>
      </c>
      <c r="K119" s="55" t="s">
        <v>293</v>
      </c>
      <c r="L119" s="56">
        <v>2010</v>
      </c>
      <c r="M119" s="57">
        <v>100</v>
      </c>
      <c r="O119" s="33" t="s">
        <v>204</v>
      </c>
      <c r="P119" s="33">
        <v>446</v>
      </c>
      <c r="Q119" s="33" t="s">
        <v>364</v>
      </c>
      <c r="R119" s="33">
        <v>2.6205100000000676E-3</v>
      </c>
      <c r="S119" s="33">
        <v>2.27370827527223E-4</v>
      </c>
      <c r="T119" s="33">
        <v>6.0609807763974187E-5</v>
      </c>
      <c r="U119" s="33">
        <v>6.0674357914305963E-5</v>
      </c>
      <c r="V119" s="33">
        <v>1.4166332452427802E-4</v>
      </c>
      <c r="W119" s="33">
        <v>2.7557500867621688E-4</v>
      </c>
      <c r="X119" s="33">
        <v>3.2942721592737584E-4</v>
      </c>
      <c r="Y119" s="33">
        <v>3.8661511543123877E-4</v>
      </c>
      <c r="Z119" s="33">
        <v>5.4428800352173084E-4</v>
      </c>
      <c r="AA119" s="33">
        <v>7.3709479327313933E-4</v>
      </c>
      <c r="AB119" s="33">
        <v>1.1689534027436754E-3</v>
      </c>
      <c r="AC119" s="33">
        <v>1.821147021095417E-3</v>
      </c>
      <c r="AD119" s="33">
        <v>2.8964094192584101E-3</v>
      </c>
      <c r="AE119" s="33">
        <v>4.8015541072128293E-3</v>
      </c>
      <c r="AF119" s="33">
        <v>8.147447266705337E-3</v>
      </c>
      <c r="AG119" s="33">
        <v>1.4629282133605939E-2</v>
      </c>
      <c r="AH119" s="33">
        <v>2.5753879179206539E-2</v>
      </c>
      <c r="AI119" s="33">
        <v>4.6632710011497928E-2</v>
      </c>
      <c r="AJ119" s="33">
        <v>7.451684543028346E-2</v>
      </c>
      <c r="AK119" s="33">
        <v>0.11257379540915551</v>
      </c>
      <c r="AL119" s="33">
        <v>0.14935540414497334</v>
      </c>
      <c r="AM119" s="33"/>
      <c r="AN119" s="39" t="s">
        <v>193</v>
      </c>
      <c r="AO119" s="37">
        <v>64</v>
      </c>
      <c r="AP119" s="72">
        <v>71.283000000000001</v>
      </c>
    </row>
    <row r="120" spans="1:42" x14ac:dyDescent="0.25">
      <c r="A120" s="39" t="s">
        <v>197</v>
      </c>
      <c r="B120" s="112">
        <v>524</v>
      </c>
      <c r="C120" s="38">
        <v>28608.715</v>
      </c>
      <c r="D120" s="38">
        <v>29136.808000000001</v>
      </c>
      <c r="F120" s="39" t="s">
        <v>198</v>
      </c>
      <c r="G120" s="37">
        <v>586</v>
      </c>
      <c r="H120" s="53">
        <v>28.521999999999998</v>
      </c>
      <c r="I120" s="33"/>
      <c r="J120" s="54" t="s">
        <v>490</v>
      </c>
      <c r="K120" s="55" t="s">
        <v>260</v>
      </c>
      <c r="L120" s="56">
        <v>2015</v>
      </c>
      <c r="M120" s="57">
        <v>96</v>
      </c>
      <c r="O120" s="33" t="s">
        <v>205</v>
      </c>
      <c r="P120" s="33">
        <v>158</v>
      </c>
      <c r="Q120" s="33" t="s">
        <v>364</v>
      </c>
      <c r="R120" s="33">
        <v>3.7128299999999582E-3</v>
      </c>
      <c r="S120" s="33">
        <v>2.3532120763938358E-4</v>
      </c>
      <c r="T120" s="33">
        <v>1.2152114868447148E-4</v>
      </c>
      <c r="U120" s="33">
        <v>1.2093757533343245E-4</v>
      </c>
      <c r="V120" s="33">
        <v>3.417777615896153E-4</v>
      </c>
      <c r="W120" s="33">
        <v>4.8484337472228591E-4</v>
      </c>
      <c r="X120" s="33">
        <v>6.6038454612934257E-4</v>
      </c>
      <c r="Y120" s="33">
        <v>9.549608192099382E-4</v>
      </c>
      <c r="Z120" s="33">
        <v>1.4299262370187631E-3</v>
      </c>
      <c r="AA120" s="33">
        <v>2.1346466793082546E-3</v>
      </c>
      <c r="AB120" s="33">
        <v>2.9437809755581659E-3</v>
      </c>
      <c r="AC120" s="33">
        <v>4.056110446371915E-3</v>
      </c>
      <c r="AD120" s="33">
        <v>5.7062106513951858E-3</v>
      </c>
      <c r="AE120" s="33">
        <v>8.5761370391942322E-3</v>
      </c>
      <c r="AF120" s="33">
        <v>1.3030568306163282E-2</v>
      </c>
      <c r="AG120" s="33">
        <v>2.0939529822432551E-2</v>
      </c>
      <c r="AH120" s="33">
        <v>3.2605441273501311E-2</v>
      </c>
      <c r="AI120" s="33">
        <v>5.1510326455591726E-2</v>
      </c>
      <c r="AJ120" s="33">
        <v>7.9650091136303308E-2</v>
      </c>
      <c r="AK120" s="33">
        <v>0.11446622771270393</v>
      </c>
      <c r="AL120" s="33">
        <v>0.14637085375976144</v>
      </c>
      <c r="AM120" s="33"/>
      <c r="AN120" s="39" t="s">
        <v>194</v>
      </c>
      <c r="AO120" s="37">
        <v>356</v>
      </c>
      <c r="AP120" s="72">
        <v>69.272000000000006</v>
      </c>
    </row>
    <row r="121" spans="1:42" x14ac:dyDescent="0.25">
      <c r="A121" s="39" t="s">
        <v>198</v>
      </c>
      <c r="B121" s="112">
        <v>586</v>
      </c>
      <c r="C121" s="38">
        <v>216565.31700000001</v>
      </c>
      <c r="D121" s="38">
        <v>220892.33100000001</v>
      </c>
      <c r="F121" s="39" t="s">
        <v>199</v>
      </c>
      <c r="G121" s="37">
        <v>144</v>
      </c>
      <c r="H121" s="53">
        <v>16.021999999999998</v>
      </c>
      <c r="I121" s="33"/>
      <c r="J121" s="54" t="s">
        <v>491</v>
      </c>
      <c r="K121" s="55" t="s">
        <v>283</v>
      </c>
      <c r="L121" s="56">
        <v>2018</v>
      </c>
      <c r="M121" s="57">
        <v>54.7</v>
      </c>
      <c r="O121" s="33" t="s">
        <v>206</v>
      </c>
      <c r="P121" s="33">
        <v>408</v>
      </c>
      <c r="Q121" s="33" t="s">
        <v>364</v>
      </c>
      <c r="R121" s="33">
        <v>1.3898110000000016E-2</v>
      </c>
      <c r="S121" s="33">
        <v>1.1525710593658816E-3</v>
      </c>
      <c r="T121" s="33">
        <v>6.4473978694718382E-4</v>
      </c>
      <c r="U121" s="33">
        <v>5.9891366179574187E-4</v>
      </c>
      <c r="V121" s="33">
        <v>8.6491156320066926E-4</v>
      </c>
      <c r="W121" s="33">
        <v>1.2403650027324735E-3</v>
      </c>
      <c r="X121" s="33">
        <v>1.5396702549552246E-3</v>
      </c>
      <c r="Y121" s="33">
        <v>1.7486773131445052E-3</v>
      </c>
      <c r="Z121" s="33">
        <v>2.0164190836135585E-3</v>
      </c>
      <c r="AA121" s="33">
        <v>2.4495057763126563E-3</v>
      </c>
      <c r="AB121" s="33">
        <v>3.3431663826267301E-3</v>
      </c>
      <c r="AC121" s="33">
        <v>4.7975882404791299E-3</v>
      </c>
      <c r="AD121" s="33">
        <v>9.6814078851944693E-3</v>
      </c>
      <c r="AE121" s="33">
        <v>1.9800397704221529E-2</v>
      </c>
      <c r="AF121" s="33">
        <v>2.8866401546664689E-2</v>
      </c>
      <c r="AG121" s="33">
        <v>4.0468624095642045E-2</v>
      </c>
      <c r="AH121" s="33">
        <v>6.3035874753407231E-2</v>
      </c>
      <c r="AI121" s="33">
        <v>8.8046589269959522E-2</v>
      </c>
      <c r="AJ121" s="33">
        <v>0.11891714167014793</v>
      </c>
      <c r="AK121" s="33">
        <v>0.14850683038408077</v>
      </c>
      <c r="AL121" s="33">
        <v>0.1703078733072366</v>
      </c>
      <c r="AM121" s="33"/>
      <c r="AN121" s="39" t="s">
        <v>195</v>
      </c>
      <c r="AO121" s="37">
        <v>364</v>
      </c>
      <c r="AP121" s="72">
        <v>76.346000000000004</v>
      </c>
    </row>
    <row r="122" spans="1:42" x14ac:dyDescent="0.25">
      <c r="A122" s="39" t="s">
        <v>199</v>
      </c>
      <c r="B122" s="112">
        <v>144</v>
      </c>
      <c r="C122" s="38">
        <v>21323.734</v>
      </c>
      <c r="D122" s="38">
        <v>21413.25</v>
      </c>
      <c r="F122" s="40" t="s">
        <v>200</v>
      </c>
      <c r="G122" s="41">
        <v>1832</v>
      </c>
      <c r="H122" s="58">
        <v>13.18</v>
      </c>
      <c r="I122" s="33"/>
      <c r="J122" s="54" t="s">
        <v>492</v>
      </c>
      <c r="K122" s="55" t="s">
        <v>271</v>
      </c>
      <c r="L122" s="56">
        <v>2016</v>
      </c>
      <c r="M122" s="57">
        <v>93.2</v>
      </c>
      <c r="O122" s="33" t="s">
        <v>207</v>
      </c>
      <c r="P122" s="33">
        <v>392</v>
      </c>
      <c r="Q122" s="33" t="s">
        <v>364</v>
      </c>
      <c r="R122" s="33">
        <v>1.7640799999999581E-3</v>
      </c>
      <c r="S122" s="33">
        <v>1.7562732064382055E-4</v>
      </c>
      <c r="T122" s="33">
        <v>8.1212216538029933E-5</v>
      </c>
      <c r="U122" s="33">
        <v>7.9995620228262665E-5</v>
      </c>
      <c r="V122" s="33">
        <v>2.0131213769304115E-4</v>
      </c>
      <c r="W122" s="33">
        <v>3.6097024899853404E-4</v>
      </c>
      <c r="X122" s="33">
        <v>4.0279683581451506E-4</v>
      </c>
      <c r="Y122" s="33">
        <v>4.7805054192457639E-4</v>
      </c>
      <c r="Z122" s="33">
        <v>6.4712148194946597E-4</v>
      </c>
      <c r="AA122" s="33">
        <v>1.0013364244288265E-3</v>
      </c>
      <c r="AB122" s="33">
        <v>1.5620081094136844E-3</v>
      </c>
      <c r="AC122" s="33">
        <v>2.4568275062658929E-3</v>
      </c>
      <c r="AD122" s="33">
        <v>3.6896214085303915E-3</v>
      </c>
      <c r="AE122" s="33">
        <v>5.684751489225732E-3</v>
      </c>
      <c r="AF122" s="33">
        <v>8.5064163091584048E-3</v>
      </c>
      <c r="AG122" s="33">
        <v>1.2940456296907786E-2</v>
      </c>
      <c r="AH122" s="33">
        <v>2.1861964643369577E-2</v>
      </c>
      <c r="AI122" s="33">
        <v>3.8870452038048647E-2</v>
      </c>
      <c r="AJ122" s="33">
        <v>6.6774307829078325E-2</v>
      </c>
      <c r="AK122" s="33">
        <v>0.10490640503696572</v>
      </c>
      <c r="AL122" s="33">
        <v>0.14589587068684609</v>
      </c>
      <c r="AM122" s="33"/>
      <c r="AN122" s="39" t="s">
        <v>196</v>
      </c>
      <c r="AO122" s="37">
        <v>462</v>
      </c>
      <c r="AP122" s="72">
        <v>78.465999999999994</v>
      </c>
    </row>
    <row r="123" spans="1:42" x14ac:dyDescent="0.25">
      <c r="A123" s="40" t="s">
        <v>200</v>
      </c>
      <c r="B123" s="113">
        <v>1832</v>
      </c>
      <c r="C123" s="42">
        <v>2334622.966</v>
      </c>
      <c r="D123" s="42">
        <v>2346709.4810000001</v>
      </c>
      <c r="F123" s="43" t="s">
        <v>201</v>
      </c>
      <c r="G123" s="44">
        <v>906</v>
      </c>
      <c r="H123" s="59">
        <v>11.452999999999999</v>
      </c>
      <c r="I123" s="33"/>
      <c r="J123" s="54" t="s">
        <v>493</v>
      </c>
      <c r="K123" s="55" t="s">
        <v>272</v>
      </c>
      <c r="L123" s="56">
        <v>2015</v>
      </c>
      <c r="M123" s="57">
        <v>91</v>
      </c>
      <c r="O123" s="33" t="s">
        <v>208</v>
      </c>
      <c r="P123" s="33">
        <v>496</v>
      </c>
      <c r="Q123" s="33" t="s">
        <v>364</v>
      </c>
      <c r="R123" s="33">
        <v>1.8091659999999975E-2</v>
      </c>
      <c r="S123" s="33">
        <v>1.089134246481696E-3</v>
      </c>
      <c r="T123" s="33">
        <v>3.6072929057807485E-4</v>
      </c>
      <c r="U123" s="33">
        <v>3.3589812188814335E-4</v>
      </c>
      <c r="V123" s="33">
        <v>5.2098873409926738E-4</v>
      </c>
      <c r="W123" s="33">
        <v>9.0125812173430834E-4</v>
      </c>
      <c r="X123" s="33">
        <v>1.2885255419651149E-3</v>
      </c>
      <c r="Y123" s="33">
        <v>1.9471744177746583E-3</v>
      </c>
      <c r="Z123" s="33">
        <v>2.8349576770170136E-3</v>
      </c>
      <c r="AA123" s="33">
        <v>4.345514061239268E-3</v>
      </c>
      <c r="AB123" s="33">
        <v>7.4750551799561129E-3</v>
      </c>
      <c r="AC123" s="33">
        <v>1.117685746018055E-2</v>
      </c>
      <c r="AD123" s="33">
        <v>1.5155314954888392E-2</v>
      </c>
      <c r="AE123" s="33">
        <v>2.128058637037436E-2</v>
      </c>
      <c r="AF123" s="33">
        <v>2.9015889101694226E-2</v>
      </c>
      <c r="AG123" s="33">
        <v>4.6152979981666467E-2</v>
      </c>
      <c r="AH123" s="33">
        <v>6.588315657394142E-2</v>
      </c>
      <c r="AI123" s="33">
        <v>9.0022095675955552E-2</v>
      </c>
      <c r="AJ123" s="33">
        <v>0.11735601180715931</v>
      </c>
      <c r="AK123" s="33">
        <v>0.1436109653144062</v>
      </c>
      <c r="AL123" s="33">
        <v>0.16511405527935535</v>
      </c>
      <c r="AM123" s="33"/>
      <c r="AN123" s="39" t="s">
        <v>197</v>
      </c>
      <c r="AO123" s="37">
        <v>524</v>
      </c>
      <c r="AP123" s="72">
        <v>70.305999999999997</v>
      </c>
    </row>
    <row r="124" spans="1:42" x14ac:dyDescent="0.25">
      <c r="A124" s="43" t="s">
        <v>201</v>
      </c>
      <c r="B124" s="114">
        <v>906</v>
      </c>
      <c r="C124" s="45">
        <v>1672611.12</v>
      </c>
      <c r="D124" s="45">
        <v>1678089.6270000001</v>
      </c>
      <c r="F124" s="39" t="s">
        <v>202</v>
      </c>
      <c r="G124" s="37">
        <v>156</v>
      </c>
      <c r="H124" s="53">
        <v>11.93</v>
      </c>
      <c r="I124" s="33"/>
      <c r="J124" s="54" t="s">
        <v>494</v>
      </c>
      <c r="K124" s="55" t="s">
        <v>217</v>
      </c>
      <c r="L124" s="56">
        <v>2017</v>
      </c>
      <c r="M124" s="57">
        <v>77.7</v>
      </c>
      <c r="O124" s="33" t="s">
        <v>209</v>
      </c>
      <c r="P124" s="33">
        <v>410</v>
      </c>
      <c r="Q124" s="33" t="s">
        <v>364</v>
      </c>
      <c r="R124" s="33">
        <v>2.1066300000000047E-3</v>
      </c>
      <c r="S124" s="33">
        <v>1.2718042209259147E-4</v>
      </c>
      <c r="T124" s="33">
        <v>7.0093243364265827E-5</v>
      </c>
      <c r="U124" s="33">
        <v>7.6173766093163859E-5</v>
      </c>
      <c r="V124" s="33">
        <v>1.94215372693669E-4</v>
      </c>
      <c r="W124" s="33">
        <v>2.9803896519455518E-4</v>
      </c>
      <c r="X124" s="33">
        <v>4.1790784701777734E-4</v>
      </c>
      <c r="Y124" s="33">
        <v>5.5470497034959207E-4</v>
      </c>
      <c r="Z124" s="33">
        <v>7.4430976276949618E-4</v>
      </c>
      <c r="AA124" s="33">
        <v>1.1452239169226673E-3</v>
      </c>
      <c r="AB124" s="33">
        <v>1.8171653574640689E-3</v>
      </c>
      <c r="AC124" s="33">
        <v>2.7194931376566985E-3</v>
      </c>
      <c r="AD124" s="33">
        <v>3.8336959013385869E-3</v>
      </c>
      <c r="AE124" s="33">
        <v>5.5644431192153334E-3</v>
      </c>
      <c r="AF124" s="33">
        <v>8.7033903672225979E-3</v>
      </c>
      <c r="AG124" s="33">
        <v>1.5788910914588023E-2</v>
      </c>
      <c r="AH124" s="33">
        <v>2.8520270358517202E-2</v>
      </c>
      <c r="AI124" s="33">
        <v>5.0327262970718489E-2</v>
      </c>
      <c r="AJ124" s="33">
        <v>8.2045886197023965E-2</v>
      </c>
      <c r="AK124" s="33">
        <v>0.11969966661294328</v>
      </c>
      <c r="AL124" s="33">
        <v>0.1540304610111391</v>
      </c>
      <c r="AM124" s="33"/>
      <c r="AN124" s="39" t="s">
        <v>198</v>
      </c>
      <c r="AO124" s="37">
        <v>586</v>
      </c>
      <c r="AP124" s="72">
        <v>67.016999999999996</v>
      </c>
    </row>
    <row r="125" spans="1:42" x14ac:dyDescent="0.25">
      <c r="A125" s="39" t="s">
        <v>202</v>
      </c>
      <c r="B125" s="112">
        <v>156</v>
      </c>
      <c r="C125" s="38">
        <v>1433783.692</v>
      </c>
      <c r="D125" s="38">
        <v>1439323.774</v>
      </c>
      <c r="F125" s="39" t="s">
        <v>203</v>
      </c>
      <c r="G125" s="37">
        <v>344</v>
      </c>
      <c r="H125" s="53">
        <v>11.085000000000001</v>
      </c>
      <c r="I125" s="33"/>
      <c r="J125" s="54" t="s">
        <v>495</v>
      </c>
      <c r="K125" s="55" t="s">
        <v>311</v>
      </c>
      <c r="L125" s="56">
        <v>2014</v>
      </c>
      <c r="M125" s="57">
        <v>99.8</v>
      </c>
      <c r="O125" s="33" t="s">
        <v>210</v>
      </c>
      <c r="P125" s="33">
        <v>920</v>
      </c>
      <c r="Q125" s="33" t="s">
        <v>364</v>
      </c>
      <c r="R125" s="33">
        <v>1.9472823830215057E-2</v>
      </c>
      <c r="S125" s="33">
        <v>1.4951500130959948E-3</v>
      </c>
      <c r="T125" s="33">
        <v>5.9061783773091219E-4</v>
      </c>
      <c r="U125" s="33">
        <v>5.5966093287075961E-4</v>
      </c>
      <c r="V125" s="33">
        <v>9.3957117416887533E-4</v>
      </c>
      <c r="W125" s="33">
        <v>1.2842682254090791E-3</v>
      </c>
      <c r="X125" s="33">
        <v>1.4307695765618548E-3</v>
      </c>
      <c r="Y125" s="33">
        <v>1.7122496493844144E-3</v>
      </c>
      <c r="Z125" s="33">
        <v>2.2720867779572268E-3</v>
      </c>
      <c r="AA125" s="33">
        <v>3.1967675357204056E-3</v>
      </c>
      <c r="AB125" s="33">
        <v>4.6855507320447826E-3</v>
      </c>
      <c r="AC125" s="33">
        <v>6.9968781303240074E-3</v>
      </c>
      <c r="AD125" s="33">
        <v>1.0360437020347356E-2</v>
      </c>
      <c r="AE125" s="33">
        <v>1.5296762243139481E-2</v>
      </c>
      <c r="AF125" s="33">
        <v>2.2954897757840324E-2</v>
      </c>
      <c r="AG125" s="33">
        <v>3.5037192616434405E-2</v>
      </c>
      <c r="AH125" s="33">
        <v>5.1849227951349261E-2</v>
      </c>
      <c r="AI125" s="33">
        <v>7.3959553273580364E-2</v>
      </c>
      <c r="AJ125" s="33">
        <v>0.10041427392197062</v>
      </c>
      <c r="AK125" s="33">
        <v>0.1282839313170753</v>
      </c>
      <c r="AL125" s="33">
        <v>0.15335316588137712</v>
      </c>
      <c r="AM125" s="33"/>
      <c r="AN125" s="39" t="s">
        <v>199</v>
      </c>
      <c r="AO125" s="37">
        <v>144</v>
      </c>
      <c r="AP125" s="72">
        <v>76.724999999999994</v>
      </c>
    </row>
    <row r="126" spans="1:42" x14ac:dyDescent="0.25">
      <c r="A126" s="39" t="s">
        <v>203</v>
      </c>
      <c r="B126" s="112">
        <v>344</v>
      </c>
      <c r="C126" s="38">
        <v>7436.1570000000002</v>
      </c>
      <c r="D126" s="38">
        <v>7496.9880000000003</v>
      </c>
      <c r="F126" s="39" t="s">
        <v>204</v>
      </c>
      <c r="G126" s="37">
        <v>446</v>
      </c>
      <c r="H126" s="53">
        <v>11.028</v>
      </c>
      <c r="I126" s="33"/>
      <c r="J126" s="54" t="s">
        <v>496</v>
      </c>
      <c r="K126" s="55" t="s">
        <v>343</v>
      </c>
      <c r="L126" s="56">
        <v>2015</v>
      </c>
      <c r="M126" s="57">
        <v>98.9</v>
      </c>
      <c r="O126" s="33" t="s">
        <v>211</v>
      </c>
      <c r="P126" s="33">
        <v>96</v>
      </c>
      <c r="Q126" s="33" t="s">
        <v>364</v>
      </c>
      <c r="R126" s="33">
        <v>7.9225400000000074E-3</v>
      </c>
      <c r="S126" s="33">
        <v>5.5566981634679459E-4</v>
      </c>
      <c r="T126" s="33">
        <v>2.578514186055747E-4</v>
      </c>
      <c r="U126" s="33">
        <v>2.6240643310593666E-4</v>
      </c>
      <c r="V126" s="33">
        <v>6.8244768616830011E-4</v>
      </c>
      <c r="W126" s="33">
        <v>9.2078074398405693E-4</v>
      </c>
      <c r="X126" s="33">
        <v>9.6302196354239257E-4</v>
      </c>
      <c r="Y126" s="33">
        <v>1.1570494235272363E-3</v>
      </c>
      <c r="Z126" s="33">
        <v>1.5835415958086925E-3</v>
      </c>
      <c r="AA126" s="33">
        <v>2.3469725802671782E-3</v>
      </c>
      <c r="AB126" s="33">
        <v>3.6649590098906198E-3</v>
      </c>
      <c r="AC126" s="33">
        <v>5.757109964567078E-3</v>
      </c>
      <c r="AD126" s="33">
        <v>8.9763568228692671E-3</v>
      </c>
      <c r="AE126" s="33">
        <v>1.3002108236686563E-2</v>
      </c>
      <c r="AF126" s="33">
        <v>1.883849094864317E-2</v>
      </c>
      <c r="AG126" s="33">
        <v>2.9051403560232419E-2</v>
      </c>
      <c r="AH126" s="33">
        <v>4.6724930377016312E-2</v>
      </c>
      <c r="AI126" s="33">
        <v>7.2923845143776769E-2</v>
      </c>
      <c r="AJ126" s="33">
        <v>0.10646418435821052</v>
      </c>
      <c r="AK126" s="33">
        <v>0.13932550784452424</v>
      </c>
      <c r="AL126" s="33">
        <v>0.16457379187771048</v>
      </c>
      <c r="AM126" s="33"/>
      <c r="AN126" s="40" t="s">
        <v>200</v>
      </c>
      <c r="AO126" s="41">
        <v>1832</v>
      </c>
      <c r="AP126" s="76">
        <v>76.260253808076001</v>
      </c>
    </row>
    <row r="127" spans="1:42" x14ac:dyDescent="0.25">
      <c r="A127" s="39" t="s">
        <v>204</v>
      </c>
      <c r="B127" s="112">
        <v>446</v>
      </c>
      <c r="C127" s="38">
        <v>640.44600000000003</v>
      </c>
      <c r="D127" s="38">
        <v>649.34199999999998</v>
      </c>
      <c r="F127" s="39" t="s">
        <v>205</v>
      </c>
      <c r="G127" s="37">
        <v>158</v>
      </c>
      <c r="H127" s="53">
        <v>8.4250000000000007</v>
      </c>
      <c r="I127" s="33"/>
      <c r="J127" s="54" t="s">
        <v>497</v>
      </c>
      <c r="K127" s="55" t="s">
        <v>176</v>
      </c>
      <c r="L127" s="56">
        <v>2012</v>
      </c>
      <c r="M127" s="57">
        <v>98.9</v>
      </c>
      <c r="O127" s="33" t="s">
        <v>212</v>
      </c>
      <c r="P127" s="33">
        <v>116</v>
      </c>
      <c r="Q127" s="33" t="s">
        <v>364</v>
      </c>
      <c r="R127" s="33">
        <v>2.3772909999999974E-2</v>
      </c>
      <c r="S127" s="33">
        <v>9.7424053249741489E-4</v>
      </c>
      <c r="T127" s="33">
        <v>1.6717461274585335E-3</v>
      </c>
      <c r="U127" s="33">
        <v>1.194425499967817E-3</v>
      </c>
      <c r="V127" s="33">
        <v>1.1093254475269168E-3</v>
      </c>
      <c r="W127" s="33">
        <v>1.3370400435358479E-3</v>
      </c>
      <c r="X127" s="33">
        <v>1.8276034080960189E-3</v>
      </c>
      <c r="Y127" s="33">
        <v>2.4019140769418047E-3</v>
      </c>
      <c r="Z127" s="33">
        <v>3.1654986404268596E-3</v>
      </c>
      <c r="AA127" s="33">
        <v>4.0670161869690961E-3</v>
      </c>
      <c r="AB127" s="33">
        <v>5.1147043764609547E-3</v>
      </c>
      <c r="AC127" s="33">
        <v>6.6590983524453693E-3</v>
      </c>
      <c r="AD127" s="33">
        <v>1.0262420003263018E-2</v>
      </c>
      <c r="AE127" s="33">
        <v>1.7905784673707129E-2</v>
      </c>
      <c r="AF127" s="33">
        <v>2.7932062680663994E-2</v>
      </c>
      <c r="AG127" s="33">
        <v>4.4392905636891383E-2</v>
      </c>
      <c r="AH127" s="33">
        <v>6.773773252768292E-2</v>
      </c>
      <c r="AI127" s="33">
        <v>9.5873096646979544E-2</v>
      </c>
      <c r="AJ127" s="33">
        <v>0.12561634576764696</v>
      </c>
      <c r="AK127" s="33">
        <v>0.15292352428423295</v>
      </c>
      <c r="AL127" s="33">
        <v>0.17773889336070817</v>
      </c>
      <c r="AM127" s="33"/>
      <c r="AN127" s="43" t="s">
        <v>201</v>
      </c>
      <c r="AO127" s="44">
        <v>906</v>
      </c>
      <c r="AP127" s="77">
        <v>77.764913129857305</v>
      </c>
    </row>
    <row r="128" spans="1:42" x14ac:dyDescent="0.25">
      <c r="A128" s="39" t="s">
        <v>205</v>
      </c>
      <c r="B128" s="112">
        <v>158</v>
      </c>
      <c r="C128" s="38">
        <v>23773.881000000001</v>
      </c>
      <c r="D128" s="38">
        <v>23816.775000000001</v>
      </c>
      <c r="F128" s="39" t="s">
        <v>206</v>
      </c>
      <c r="G128" s="37">
        <v>408</v>
      </c>
      <c r="H128" s="53">
        <v>13.939</v>
      </c>
      <c r="I128" s="33"/>
      <c r="J128" s="54" t="s">
        <v>498</v>
      </c>
      <c r="K128" s="55" t="s">
        <v>209</v>
      </c>
      <c r="L128" s="56">
        <v>2015</v>
      </c>
      <c r="M128" s="57">
        <v>100</v>
      </c>
      <c r="O128" s="33" t="s">
        <v>213</v>
      </c>
      <c r="P128" s="33">
        <v>360</v>
      </c>
      <c r="Q128" s="33" t="s">
        <v>364</v>
      </c>
      <c r="R128" s="33">
        <v>1.8922880000000003E-2</v>
      </c>
      <c r="S128" s="33">
        <v>1.5222172340539479E-3</v>
      </c>
      <c r="T128" s="33">
        <v>5.0644471606688178E-4</v>
      </c>
      <c r="U128" s="33">
        <v>4.4754539756151283E-4</v>
      </c>
      <c r="V128" s="33">
        <v>9.3833652529765749E-4</v>
      </c>
      <c r="W128" s="33">
        <v>1.2329000732080504E-3</v>
      </c>
      <c r="X128" s="33">
        <v>1.3065425046960614E-3</v>
      </c>
      <c r="Y128" s="33">
        <v>1.5542100671743552E-3</v>
      </c>
      <c r="Z128" s="33">
        <v>2.0910096495578398E-3</v>
      </c>
      <c r="AA128" s="33">
        <v>2.9997705513160125E-3</v>
      </c>
      <c r="AB128" s="33">
        <v>4.5961967641964313E-3</v>
      </c>
      <c r="AC128" s="33">
        <v>7.1074352798496023E-3</v>
      </c>
      <c r="AD128" s="33">
        <v>1.103758984314274E-2</v>
      </c>
      <c r="AE128" s="33">
        <v>1.7008872501062953E-2</v>
      </c>
      <c r="AF128" s="33">
        <v>2.5792433130569472E-2</v>
      </c>
      <c r="AG128" s="33">
        <v>3.948314467635939E-2</v>
      </c>
      <c r="AH128" s="33">
        <v>6.1004167044676857E-2</v>
      </c>
      <c r="AI128" s="33">
        <v>8.9419563865003923E-2</v>
      </c>
      <c r="AJ128" s="33">
        <v>0.12285940751319926</v>
      </c>
      <c r="AK128" s="33">
        <v>0.1523510213088739</v>
      </c>
      <c r="AL128" s="33">
        <v>0.17417010285041848</v>
      </c>
      <c r="AM128" s="33"/>
      <c r="AN128" s="39" t="s">
        <v>202</v>
      </c>
      <c r="AO128" s="37">
        <v>156</v>
      </c>
      <c r="AP128" s="72">
        <v>76.623000000000005</v>
      </c>
    </row>
    <row r="129" spans="1:42" x14ac:dyDescent="0.25">
      <c r="A129" s="39" t="s">
        <v>206</v>
      </c>
      <c r="B129" s="112">
        <v>408</v>
      </c>
      <c r="C129" s="38">
        <v>25666.157999999999</v>
      </c>
      <c r="D129" s="38">
        <v>25778.814999999999</v>
      </c>
      <c r="F129" s="39" t="s">
        <v>207</v>
      </c>
      <c r="G129" s="37">
        <v>392</v>
      </c>
      <c r="H129" s="53">
        <v>7.4930000000000003</v>
      </c>
      <c r="I129" s="33"/>
      <c r="J129" s="54" t="s">
        <v>499</v>
      </c>
      <c r="K129" s="55" t="s">
        <v>312</v>
      </c>
      <c r="L129" s="56">
        <v>2012</v>
      </c>
      <c r="M129" s="57">
        <v>99.4</v>
      </c>
      <c r="O129" s="33" t="s">
        <v>214</v>
      </c>
      <c r="P129" s="33">
        <v>418</v>
      </c>
      <c r="Q129" s="33" t="s">
        <v>364</v>
      </c>
      <c r="R129" s="33">
        <v>3.8777789999999951E-2</v>
      </c>
      <c r="S129" s="33">
        <v>2.4870862066326935E-3</v>
      </c>
      <c r="T129" s="33">
        <v>8.9982170516343662E-4</v>
      </c>
      <c r="U129" s="33">
        <v>7.2067114244427197E-4</v>
      </c>
      <c r="V129" s="33">
        <v>1.2190482461900062E-3</v>
      </c>
      <c r="W129" s="33">
        <v>1.7133573391022912E-3</v>
      </c>
      <c r="X129" s="33">
        <v>1.8585034609793296E-3</v>
      </c>
      <c r="Y129" s="33">
        <v>2.1439161974078557E-3</v>
      </c>
      <c r="Z129" s="33">
        <v>2.7328262475156515E-3</v>
      </c>
      <c r="AA129" s="33">
        <v>3.7683474278791974E-3</v>
      </c>
      <c r="AB129" s="33">
        <v>5.5663928498959694E-3</v>
      </c>
      <c r="AC129" s="33">
        <v>8.3716908971744435E-3</v>
      </c>
      <c r="AD129" s="33">
        <v>1.2747389066357426E-2</v>
      </c>
      <c r="AE129" s="33">
        <v>1.9536607225944226E-2</v>
      </c>
      <c r="AF129" s="33">
        <v>3.0001178093193585E-2</v>
      </c>
      <c r="AG129" s="33">
        <v>4.6408078320223686E-2</v>
      </c>
      <c r="AH129" s="33">
        <v>7.0293631090044384E-2</v>
      </c>
      <c r="AI129" s="33">
        <v>0.10184859739279212</v>
      </c>
      <c r="AJ129" s="33">
        <v>0.13523986958288475</v>
      </c>
      <c r="AK129" s="33">
        <v>0.1623042397327624</v>
      </c>
      <c r="AL129" s="33">
        <v>0.17970482443827956</v>
      </c>
      <c r="AM129" s="33"/>
      <c r="AN129" s="39" t="s">
        <v>203</v>
      </c>
      <c r="AO129" s="37">
        <v>344</v>
      </c>
      <c r="AP129" s="72">
        <v>84.632999999999996</v>
      </c>
    </row>
    <row r="130" spans="1:42" x14ac:dyDescent="0.25">
      <c r="A130" s="39" t="s">
        <v>207</v>
      </c>
      <c r="B130" s="112">
        <v>392</v>
      </c>
      <c r="C130" s="38">
        <v>126860.299</v>
      </c>
      <c r="D130" s="38">
        <v>126476.458</v>
      </c>
      <c r="F130" s="39" t="s">
        <v>208</v>
      </c>
      <c r="G130" s="37">
        <v>496</v>
      </c>
      <c r="H130" s="53">
        <v>24.440999999999999</v>
      </c>
      <c r="I130" s="33"/>
      <c r="J130" s="54" t="s">
        <v>500</v>
      </c>
      <c r="K130" s="55" t="s">
        <v>313</v>
      </c>
      <c r="L130" s="56">
        <v>2015</v>
      </c>
      <c r="M130" s="57">
        <v>94.9</v>
      </c>
      <c r="O130" s="33" t="s">
        <v>215</v>
      </c>
      <c r="P130" s="33">
        <v>458</v>
      </c>
      <c r="Q130" s="33" t="s">
        <v>364</v>
      </c>
      <c r="R130" s="33">
        <v>5.8979700000000596E-3</v>
      </c>
      <c r="S130" s="33">
        <v>2.6909712678084167E-4</v>
      </c>
      <c r="T130" s="33">
        <v>1.7400849291871552E-4</v>
      </c>
      <c r="U130" s="33">
        <v>2.4153772101562508E-4</v>
      </c>
      <c r="V130" s="33">
        <v>5.646226668990904E-4</v>
      </c>
      <c r="W130" s="33">
        <v>5.9202841739643076E-4</v>
      </c>
      <c r="X130" s="33">
        <v>6.2242664157026385E-4</v>
      </c>
      <c r="Y130" s="33">
        <v>1.0762478651970475E-3</v>
      </c>
      <c r="Z130" s="33">
        <v>1.6023413600468642E-3</v>
      </c>
      <c r="AA130" s="33">
        <v>2.3803138200106798E-3</v>
      </c>
      <c r="AB130" s="33">
        <v>4.156809154903132E-3</v>
      </c>
      <c r="AC130" s="33">
        <v>6.3012350789853847E-3</v>
      </c>
      <c r="AD130" s="33">
        <v>9.1705967903937639E-3</v>
      </c>
      <c r="AE130" s="33">
        <v>1.2626792371675308E-2</v>
      </c>
      <c r="AF130" s="33">
        <v>2.027641545913441E-2</v>
      </c>
      <c r="AG130" s="33">
        <v>3.4072207188760729E-2</v>
      </c>
      <c r="AH130" s="33">
        <v>4.8375820325353806E-2</v>
      </c>
      <c r="AI130" s="33">
        <v>7.0341666492662908E-2</v>
      </c>
      <c r="AJ130" s="33">
        <v>9.6056109352087651E-2</v>
      </c>
      <c r="AK130" s="33">
        <v>0.1214232580964457</v>
      </c>
      <c r="AL130" s="33">
        <v>0.14118617022765484</v>
      </c>
      <c r="AM130" s="33"/>
      <c r="AN130" s="39" t="s">
        <v>204</v>
      </c>
      <c r="AO130" s="37">
        <v>446</v>
      </c>
      <c r="AP130" s="72">
        <v>84.040999999999997</v>
      </c>
    </row>
    <row r="131" spans="1:42" x14ac:dyDescent="0.25">
      <c r="A131" s="39" t="s">
        <v>208</v>
      </c>
      <c r="B131" s="112">
        <v>496</v>
      </c>
      <c r="C131" s="38">
        <v>3225.1660000000002</v>
      </c>
      <c r="D131" s="38">
        <v>3278.2919999999999</v>
      </c>
      <c r="F131" s="39" t="s">
        <v>209</v>
      </c>
      <c r="G131" s="37">
        <v>410</v>
      </c>
      <c r="H131" s="53">
        <v>7.4359999999999999</v>
      </c>
      <c r="I131" s="33"/>
      <c r="J131" s="54" t="s">
        <v>501</v>
      </c>
      <c r="K131" s="55" t="s">
        <v>314</v>
      </c>
      <c r="L131" s="56">
        <v>2011</v>
      </c>
      <c r="M131" s="57">
        <v>98.7</v>
      </c>
      <c r="O131" s="33" t="s">
        <v>216</v>
      </c>
      <c r="P131" s="33">
        <v>104</v>
      </c>
      <c r="Q131" s="33" t="s">
        <v>364</v>
      </c>
      <c r="R131" s="33">
        <v>3.8420489999999988E-2</v>
      </c>
      <c r="S131" s="33">
        <v>2.5121089570637632E-3</v>
      </c>
      <c r="T131" s="33">
        <v>1.072942126034219E-3</v>
      </c>
      <c r="U131" s="33">
        <v>8.7112479692080282E-4</v>
      </c>
      <c r="V131" s="33">
        <v>1.4119117000549067E-3</v>
      </c>
      <c r="W131" s="33">
        <v>1.9952469974620956E-3</v>
      </c>
      <c r="X131" s="33">
        <v>2.1617354546634828E-3</v>
      </c>
      <c r="Y131" s="33">
        <v>2.4882808240389428E-3</v>
      </c>
      <c r="Z131" s="33">
        <v>3.1455396410933912E-3</v>
      </c>
      <c r="AA131" s="33">
        <v>4.2459501679441188E-3</v>
      </c>
      <c r="AB131" s="33">
        <v>6.0693848277694161E-3</v>
      </c>
      <c r="AC131" s="33">
        <v>8.8967903272355962E-3</v>
      </c>
      <c r="AD131" s="33">
        <v>1.3179930547476956E-2</v>
      </c>
      <c r="AE131" s="33">
        <v>1.9910283306697023E-2</v>
      </c>
      <c r="AF131" s="33">
        <v>3.0515748414164622E-2</v>
      </c>
      <c r="AG131" s="33">
        <v>4.7180281289428097E-2</v>
      </c>
      <c r="AH131" s="33">
        <v>7.0924878976329722E-2</v>
      </c>
      <c r="AI131" s="33">
        <v>0.1021432707507926</v>
      </c>
      <c r="AJ131" s="33">
        <v>0.13520896153602316</v>
      </c>
      <c r="AK131" s="33">
        <v>0.16209297935634789</v>
      </c>
      <c r="AL131" s="33">
        <v>0.17949869669630888</v>
      </c>
      <c r="AM131" s="33"/>
      <c r="AN131" s="39" t="s">
        <v>205</v>
      </c>
      <c r="AO131" s="37">
        <v>158</v>
      </c>
      <c r="AP131" s="72">
        <v>80.194000000000003</v>
      </c>
    </row>
    <row r="132" spans="1:42" x14ac:dyDescent="0.25">
      <c r="A132" s="39" t="s">
        <v>209</v>
      </c>
      <c r="B132" s="112">
        <v>410</v>
      </c>
      <c r="C132" s="38">
        <v>51225.321000000004</v>
      </c>
      <c r="D132" s="38">
        <v>51269.182999999997</v>
      </c>
      <c r="F132" s="43" t="s">
        <v>210</v>
      </c>
      <c r="G132" s="44">
        <v>920</v>
      </c>
      <c r="H132" s="59">
        <v>17.585000000000001</v>
      </c>
      <c r="I132" s="33"/>
      <c r="J132" s="54" t="s">
        <v>502</v>
      </c>
      <c r="K132" s="55" t="s">
        <v>113</v>
      </c>
      <c r="L132" s="56">
        <v>2015</v>
      </c>
      <c r="M132" s="57">
        <v>90.7</v>
      </c>
      <c r="O132" s="33" t="s">
        <v>217</v>
      </c>
      <c r="P132" s="33">
        <v>608</v>
      </c>
      <c r="Q132" s="33" t="s">
        <v>364</v>
      </c>
      <c r="R132" s="33">
        <v>1.9655559999999968E-2</v>
      </c>
      <c r="S132" s="33">
        <v>2.0443376003642061E-3</v>
      </c>
      <c r="T132" s="33">
        <v>6.1298667768243517E-4</v>
      </c>
      <c r="U132" s="33">
        <v>5.320691429917348E-4</v>
      </c>
      <c r="V132" s="33">
        <v>1.1381458381625571E-3</v>
      </c>
      <c r="W132" s="33">
        <v>1.5920150741009446E-3</v>
      </c>
      <c r="X132" s="33">
        <v>1.7398898876981228E-3</v>
      </c>
      <c r="Y132" s="33">
        <v>2.0763306089954213E-3</v>
      </c>
      <c r="Z132" s="33">
        <v>2.7556563770900324E-3</v>
      </c>
      <c r="AA132" s="33">
        <v>3.8685630787111411E-3</v>
      </c>
      <c r="AB132" s="33">
        <v>5.7316624437884853E-3</v>
      </c>
      <c r="AC132" s="33">
        <v>8.5754099849576666E-3</v>
      </c>
      <c r="AD132" s="33">
        <v>1.2794705988173357E-2</v>
      </c>
      <c r="AE132" s="33">
        <v>1.7438643523268835E-2</v>
      </c>
      <c r="AF132" s="33">
        <v>2.3532339127382024E-2</v>
      </c>
      <c r="AG132" s="33">
        <v>3.3756875691732344E-2</v>
      </c>
      <c r="AH132" s="33">
        <v>5.1734961024254754E-2</v>
      </c>
      <c r="AI132" s="33">
        <v>7.5994633645582468E-2</v>
      </c>
      <c r="AJ132" s="33">
        <v>0.10475854851534883</v>
      </c>
      <c r="AK132" s="33">
        <v>0.13224402180451308</v>
      </c>
      <c r="AL132" s="33">
        <v>0.15679146956316309</v>
      </c>
      <c r="AM132" s="33"/>
      <c r="AN132" s="39" t="s">
        <v>206</v>
      </c>
      <c r="AO132" s="37">
        <v>408</v>
      </c>
      <c r="AP132" s="72">
        <v>71.963999999999999</v>
      </c>
    </row>
    <row r="133" spans="1:42" x14ac:dyDescent="0.25">
      <c r="A133" s="43" t="s">
        <v>210</v>
      </c>
      <c r="B133" s="114">
        <v>920</v>
      </c>
      <c r="C133" s="45">
        <v>662011.84600000002</v>
      </c>
      <c r="D133" s="45">
        <v>668619.85400000005</v>
      </c>
      <c r="F133" s="39" t="s">
        <v>211</v>
      </c>
      <c r="G133" s="37">
        <v>96</v>
      </c>
      <c r="H133" s="53">
        <v>14.996</v>
      </c>
      <c r="I133" s="33"/>
      <c r="J133" s="54" t="s">
        <v>503</v>
      </c>
      <c r="K133" s="55" t="s">
        <v>245</v>
      </c>
      <c r="L133" s="56">
        <v>2012</v>
      </c>
      <c r="M133" s="57">
        <v>100</v>
      </c>
      <c r="O133" s="33" t="s">
        <v>218</v>
      </c>
      <c r="P133" s="33">
        <v>702</v>
      </c>
      <c r="Q133" s="33" t="s">
        <v>364</v>
      </c>
      <c r="R133" s="33">
        <v>1.6261900000000605E-3</v>
      </c>
      <c r="S133" s="33">
        <v>9.624401104832085E-5</v>
      </c>
      <c r="T133" s="33">
        <v>5.0156842337776101E-5</v>
      </c>
      <c r="U133" s="33">
        <v>8.4765639853916886E-5</v>
      </c>
      <c r="V133" s="33">
        <v>1.7049355184013063E-4</v>
      </c>
      <c r="W133" s="33">
        <v>2.433339104059537E-4</v>
      </c>
      <c r="X133" s="33">
        <v>2.4171925760924998E-4</v>
      </c>
      <c r="Y133" s="33">
        <v>3.3439937532374201E-4</v>
      </c>
      <c r="Z133" s="33">
        <v>4.7309882613049542E-4</v>
      </c>
      <c r="AA133" s="33">
        <v>8.163436727532345E-4</v>
      </c>
      <c r="AB133" s="33">
        <v>1.3886953319252942E-3</v>
      </c>
      <c r="AC133" s="33">
        <v>2.3523285948415101E-3</v>
      </c>
      <c r="AD133" s="33">
        <v>3.9883176920085502E-3</v>
      </c>
      <c r="AE133" s="33">
        <v>6.2569328281833004E-3</v>
      </c>
      <c r="AF133" s="33">
        <v>1.0062559924083506E-2</v>
      </c>
      <c r="AG133" s="33">
        <v>1.7071975977033634E-2</v>
      </c>
      <c r="AH133" s="33">
        <v>2.8896226783595845E-2</v>
      </c>
      <c r="AI133" s="33">
        <v>4.6252592918060595E-2</v>
      </c>
      <c r="AJ133" s="33">
        <v>7.2877258440184667E-2</v>
      </c>
      <c r="AK133" s="33">
        <v>0.10735421882711463</v>
      </c>
      <c r="AL133" s="33">
        <v>0.14391000922397881</v>
      </c>
      <c r="AM133" s="33"/>
      <c r="AN133" s="39" t="s">
        <v>207</v>
      </c>
      <c r="AO133" s="37">
        <v>392</v>
      </c>
      <c r="AP133" s="72">
        <v>84.426000000000002</v>
      </c>
    </row>
    <row r="134" spans="1:42" x14ac:dyDescent="0.25">
      <c r="A134" s="39" t="s">
        <v>211</v>
      </c>
      <c r="B134" s="112">
        <v>96</v>
      </c>
      <c r="C134" s="38">
        <v>433.29599999999999</v>
      </c>
      <c r="D134" s="38">
        <v>437.483</v>
      </c>
      <c r="F134" s="39" t="s">
        <v>212</v>
      </c>
      <c r="G134" s="37">
        <v>116</v>
      </c>
      <c r="H134" s="53">
        <v>22.725000000000001</v>
      </c>
      <c r="I134" s="33"/>
      <c r="J134" s="60" t="s">
        <v>504</v>
      </c>
      <c r="K134" s="61" t="s">
        <v>299</v>
      </c>
      <c r="L134" s="62">
        <v>2014</v>
      </c>
      <c r="M134" s="63">
        <v>81.900000000000006</v>
      </c>
      <c r="O134" s="33" t="s">
        <v>219</v>
      </c>
      <c r="P134" s="33">
        <v>764</v>
      </c>
      <c r="Q134" s="33" t="s">
        <v>364</v>
      </c>
      <c r="R134" s="33">
        <v>7.7542100000000209E-3</v>
      </c>
      <c r="S134" s="33">
        <v>3.1376046453168293E-4</v>
      </c>
      <c r="T134" s="33">
        <v>2.6511793415073733E-4</v>
      </c>
      <c r="U134" s="33">
        <v>4.1268610609565656E-4</v>
      </c>
      <c r="V134" s="33">
        <v>1.0755852102153319E-3</v>
      </c>
      <c r="W134" s="33">
        <v>1.030660482926388E-3</v>
      </c>
      <c r="X134" s="33">
        <v>1.1309371496397516E-3</v>
      </c>
      <c r="Y134" s="33">
        <v>1.6092497209941237E-3</v>
      </c>
      <c r="Z134" s="33">
        <v>2.4445801003348941E-3</v>
      </c>
      <c r="AA134" s="33">
        <v>3.3453934851654273E-3</v>
      </c>
      <c r="AB134" s="33">
        <v>4.3620359040103997E-3</v>
      </c>
      <c r="AC134" s="33">
        <v>5.7565773076573038E-3</v>
      </c>
      <c r="AD134" s="33">
        <v>7.698281466240583E-3</v>
      </c>
      <c r="AE134" s="33">
        <v>1.1153551833355365E-2</v>
      </c>
      <c r="AF134" s="33">
        <v>1.551458711682388E-2</v>
      </c>
      <c r="AG134" s="33">
        <v>2.4142227644320099E-2</v>
      </c>
      <c r="AH134" s="33">
        <v>3.8239856574070391E-2</v>
      </c>
      <c r="AI134" s="33">
        <v>5.8128074558650787E-2</v>
      </c>
      <c r="AJ134" s="33">
        <v>8.4472703489192891E-2</v>
      </c>
      <c r="AK134" s="33">
        <v>0.11348109923047969</v>
      </c>
      <c r="AL134" s="33">
        <v>0.14059689474071249</v>
      </c>
      <c r="AM134" s="33"/>
      <c r="AN134" s="39" t="s">
        <v>208</v>
      </c>
      <c r="AO134" s="37">
        <v>496</v>
      </c>
      <c r="AP134" s="72">
        <v>69.549000000000007</v>
      </c>
    </row>
    <row r="135" spans="1:42" x14ac:dyDescent="0.25">
      <c r="A135" s="39" t="s">
        <v>212</v>
      </c>
      <c r="B135" s="112">
        <v>116</v>
      </c>
      <c r="C135" s="38">
        <v>16486.542000000001</v>
      </c>
      <c r="D135" s="38">
        <v>16718.971000000001</v>
      </c>
      <c r="F135" s="39" t="s">
        <v>213</v>
      </c>
      <c r="G135" s="37">
        <v>360</v>
      </c>
      <c r="H135" s="53">
        <v>18.204999999999998</v>
      </c>
      <c r="I135" s="33"/>
      <c r="J135" s="54" t="s">
        <v>505</v>
      </c>
      <c r="K135" s="55" t="s">
        <v>130</v>
      </c>
      <c r="L135" s="56">
        <v>2014</v>
      </c>
      <c r="M135" s="57">
        <v>91</v>
      </c>
      <c r="O135" s="33" t="s">
        <v>220</v>
      </c>
      <c r="P135" s="33">
        <v>626</v>
      </c>
      <c r="Q135" s="33" t="s">
        <v>364</v>
      </c>
      <c r="R135" s="33">
        <v>3.7353289999999977E-2</v>
      </c>
      <c r="S135" s="33">
        <v>2.4417628768502436E-3</v>
      </c>
      <c r="T135" s="33">
        <v>7.5046224500073598E-4</v>
      </c>
      <c r="U135" s="33">
        <v>5.7988920376164806E-4</v>
      </c>
      <c r="V135" s="33">
        <v>9.9963659850836736E-4</v>
      </c>
      <c r="W135" s="33">
        <v>1.2610949192515483E-3</v>
      </c>
      <c r="X135" s="33">
        <v>1.2042655371105656E-3</v>
      </c>
      <c r="Y135" s="33">
        <v>1.3393810969544002E-3</v>
      </c>
      <c r="Z135" s="33">
        <v>1.7495403549045371E-3</v>
      </c>
      <c r="AA135" s="33">
        <v>2.5167331458246425E-3</v>
      </c>
      <c r="AB135" s="33">
        <v>4.0084334484345617E-3</v>
      </c>
      <c r="AC135" s="33">
        <v>6.5767792764623734E-3</v>
      </c>
      <c r="AD135" s="33">
        <v>1.127669195844757E-2</v>
      </c>
      <c r="AE135" s="33">
        <v>1.8097948710298718E-2</v>
      </c>
      <c r="AF135" s="33">
        <v>2.8766280262766567E-2</v>
      </c>
      <c r="AG135" s="33">
        <v>4.5617304860966094E-2</v>
      </c>
      <c r="AH135" s="33">
        <v>7.006155706294212E-2</v>
      </c>
      <c r="AI135" s="33">
        <v>0.10010623874858736</v>
      </c>
      <c r="AJ135" s="33">
        <v>0.13269986785632931</v>
      </c>
      <c r="AK135" s="33">
        <v>0.15930605284793065</v>
      </c>
      <c r="AL135" s="33">
        <v>0.17797230829114155</v>
      </c>
      <c r="AM135" s="33"/>
      <c r="AN135" s="39" t="s">
        <v>209</v>
      </c>
      <c r="AO135" s="37">
        <v>410</v>
      </c>
      <c r="AP135" s="72">
        <v>82.765000000000001</v>
      </c>
    </row>
    <row r="136" spans="1:42" x14ac:dyDescent="0.25">
      <c r="A136" s="39" t="s">
        <v>213</v>
      </c>
      <c r="B136" s="112">
        <v>360</v>
      </c>
      <c r="C136" s="38">
        <v>270625.56699999998</v>
      </c>
      <c r="D136" s="38">
        <v>273523.62099999998</v>
      </c>
      <c r="F136" s="39" t="s">
        <v>214</v>
      </c>
      <c r="G136" s="37">
        <v>418</v>
      </c>
      <c r="H136" s="53">
        <v>23.827999999999999</v>
      </c>
      <c r="I136" s="33"/>
      <c r="J136" s="54" t="s">
        <v>506</v>
      </c>
      <c r="K136" s="55" t="s">
        <v>177</v>
      </c>
      <c r="L136" s="56">
        <v>1996</v>
      </c>
      <c r="M136" s="57">
        <v>91</v>
      </c>
      <c r="O136" s="33" t="s">
        <v>221</v>
      </c>
      <c r="P136" s="33">
        <v>704</v>
      </c>
      <c r="Q136" s="33" t="s">
        <v>364</v>
      </c>
      <c r="R136" s="33">
        <v>1.6719989999999962E-2</v>
      </c>
      <c r="S136" s="33">
        <v>1.074007392868686E-3</v>
      </c>
      <c r="T136" s="33">
        <v>5.1986004761057371E-4</v>
      </c>
      <c r="U136" s="33">
        <v>4.6425695482473959E-4</v>
      </c>
      <c r="V136" s="33">
        <v>7.4709195853657256E-4</v>
      </c>
      <c r="W136" s="33">
        <v>1.0949769120276764E-3</v>
      </c>
      <c r="X136" s="33">
        <v>1.3478919967957097E-3</v>
      </c>
      <c r="Y136" s="33">
        <v>1.5740664399944847E-3</v>
      </c>
      <c r="Z136" s="33">
        <v>1.9469040335993407E-3</v>
      </c>
      <c r="AA136" s="33">
        <v>2.7465583305660434E-3</v>
      </c>
      <c r="AB136" s="33">
        <v>3.8466848305787659E-3</v>
      </c>
      <c r="AC136" s="33">
        <v>6.0966317411740006E-3</v>
      </c>
      <c r="AD136" s="33">
        <v>9.0932409918666086E-3</v>
      </c>
      <c r="AE136" s="33">
        <v>1.2370075602446197E-2</v>
      </c>
      <c r="AF136" s="33">
        <v>1.9666568842624615E-2</v>
      </c>
      <c r="AG136" s="33">
        <v>2.8573098496802996E-2</v>
      </c>
      <c r="AH136" s="33">
        <v>4.1358156500670547E-2</v>
      </c>
      <c r="AI136" s="33">
        <v>5.8806692514714494E-2</v>
      </c>
      <c r="AJ136" s="33">
        <v>8.1261666688670561E-2</v>
      </c>
      <c r="AK136" s="33">
        <v>0.10752480831792274</v>
      </c>
      <c r="AL136" s="33">
        <v>0.13494558564392925</v>
      </c>
      <c r="AM136" s="33"/>
      <c r="AN136" s="43" t="s">
        <v>210</v>
      </c>
      <c r="AO136" s="44">
        <v>920</v>
      </c>
      <c r="AP136" s="77">
        <v>72.455136339203193</v>
      </c>
    </row>
    <row r="137" spans="1:42" x14ac:dyDescent="0.25">
      <c r="A137" s="39" t="s">
        <v>214</v>
      </c>
      <c r="B137" s="112">
        <v>418</v>
      </c>
      <c r="C137" s="38">
        <v>7169.4560000000001</v>
      </c>
      <c r="D137" s="38">
        <v>7275.5559999999996</v>
      </c>
      <c r="F137" s="39" t="s">
        <v>215</v>
      </c>
      <c r="G137" s="37">
        <v>458</v>
      </c>
      <c r="H137" s="53">
        <v>16.835999999999999</v>
      </c>
      <c r="I137" s="33"/>
      <c r="J137" s="54" t="s">
        <v>507</v>
      </c>
      <c r="K137" s="55" t="s">
        <v>152</v>
      </c>
      <c r="L137" s="56">
        <v>2018</v>
      </c>
      <c r="M137" s="57">
        <v>81.7</v>
      </c>
      <c r="O137" s="33" t="s">
        <v>222</v>
      </c>
      <c r="P137" s="33">
        <v>1830</v>
      </c>
      <c r="Q137" s="33" t="s">
        <v>364</v>
      </c>
      <c r="R137" s="33">
        <v>1.5453585898541932E-2</v>
      </c>
      <c r="S137" s="33">
        <v>9.169609801595337E-4</v>
      </c>
      <c r="T137" s="33">
        <v>3.7146309420652262E-4</v>
      </c>
      <c r="U137" s="33">
        <v>4.3309962151737245E-4</v>
      </c>
      <c r="V137" s="33">
        <v>9.6396757058252961E-4</v>
      </c>
      <c r="W137" s="33">
        <v>1.508616626836039E-3</v>
      </c>
      <c r="X137" s="33">
        <v>1.6964239641074745E-3</v>
      </c>
      <c r="Y137" s="33">
        <v>1.8614175656294458E-3</v>
      </c>
      <c r="Z137" s="33">
        <v>2.2011972438902463E-3</v>
      </c>
      <c r="AA137" s="33">
        <v>2.8077455551355208E-3</v>
      </c>
      <c r="AB137" s="33">
        <v>3.9136101753235713E-3</v>
      </c>
      <c r="AC137" s="33">
        <v>5.6625753206649377E-3</v>
      </c>
      <c r="AD137" s="33">
        <v>8.3115531026180262E-3</v>
      </c>
      <c r="AE137" s="33">
        <v>1.2418093799390692E-2</v>
      </c>
      <c r="AF137" s="33">
        <v>1.8321456474721418E-2</v>
      </c>
      <c r="AG137" s="33">
        <v>2.7530357003697416E-2</v>
      </c>
      <c r="AH137" s="33">
        <v>4.132008792196136E-2</v>
      </c>
      <c r="AI137" s="33">
        <v>6.0204599725350312E-2</v>
      </c>
      <c r="AJ137" s="33">
        <v>8.4166873268793546E-2</v>
      </c>
      <c r="AK137" s="33">
        <v>0.11150505119055561</v>
      </c>
      <c r="AL137" s="33">
        <v>0.13865091836820378</v>
      </c>
      <c r="AM137" s="33"/>
      <c r="AN137" s="39" t="s">
        <v>211</v>
      </c>
      <c r="AO137" s="37">
        <v>96</v>
      </c>
      <c r="AP137" s="72">
        <v>75.656000000000006</v>
      </c>
    </row>
    <row r="138" spans="1:42" x14ac:dyDescent="0.25">
      <c r="A138" s="39" t="s">
        <v>215</v>
      </c>
      <c r="B138" s="112">
        <v>458</v>
      </c>
      <c r="C138" s="38">
        <v>31949.789000000001</v>
      </c>
      <c r="D138" s="38">
        <v>32365.998</v>
      </c>
      <c r="F138" s="39" t="s">
        <v>216</v>
      </c>
      <c r="G138" s="37">
        <v>104</v>
      </c>
      <c r="H138" s="53">
        <v>17.699000000000002</v>
      </c>
      <c r="I138" s="33"/>
      <c r="J138" s="54" t="s">
        <v>508</v>
      </c>
      <c r="K138" s="55" t="s">
        <v>345</v>
      </c>
      <c r="L138" s="56">
        <v>2014</v>
      </c>
      <c r="M138" s="57">
        <v>98.2</v>
      </c>
      <c r="O138" s="33" t="s">
        <v>223</v>
      </c>
      <c r="P138" s="33">
        <v>915</v>
      </c>
      <c r="Q138" s="33" t="s">
        <v>364</v>
      </c>
      <c r="R138" s="33">
        <v>3.0659762819814931E-2</v>
      </c>
      <c r="S138" s="33">
        <v>2.9804829372563155E-3</v>
      </c>
      <c r="T138" s="33">
        <v>1.0532096360810596E-3</v>
      </c>
      <c r="U138" s="33">
        <v>8.9260187211961863E-4</v>
      </c>
      <c r="V138" s="33">
        <v>1.2612115570594495E-3</v>
      </c>
      <c r="W138" s="33">
        <v>1.7460369066940663E-3</v>
      </c>
      <c r="X138" s="33">
        <v>2.0466783064399746E-3</v>
      </c>
      <c r="Y138" s="33">
        <v>2.3385105379156966E-3</v>
      </c>
      <c r="Z138" s="33">
        <v>2.7184907491364261E-3</v>
      </c>
      <c r="AA138" s="33">
        <v>3.1431862533263214E-3</v>
      </c>
      <c r="AB138" s="33">
        <v>4.0385048056340309E-3</v>
      </c>
      <c r="AC138" s="33">
        <v>5.7233431872494162E-3</v>
      </c>
      <c r="AD138" s="33">
        <v>8.4909203132815577E-3</v>
      </c>
      <c r="AE138" s="33">
        <v>1.2627912831734847E-2</v>
      </c>
      <c r="AF138" s="33">
        <v>1.8283355396470809E-2</v>
      </c>
      <c r="AG138" s="33">
        <v>2.7675953040181358E-2</v>
      </c>
      <c r="AH138" s="33">
        <v>4.1653940955687925E-2</v>
      </c>
      <c r="AI138" s="33">
        <v>6.0816602889936885E-2</v>
      </c>
      <c r="AJ138" s="33">
        <v>8.5110929554075079E-2</v>
      </c>
      <c r="AK138" s="33">
        <v>0.11272803034025197</v>
      </c>
      <c r="AL138" s="33">
        <v>0.13995870652881753</v>
      </c>
      <c r="AM138" s="33"/>
      <c r="AN138" s="39" t="s">
        <v>212</v>
      </c>
      <c r="AO138" s="37">
        <v>116</v>
      </c>
      <c r="AP138" s="72">
        <v>69.435000000000002</v>
      </c>
    </row>
    <row r="139" spans="1:42" x14ac:dyDescent="0.25">
      <c r="A139" s="39" t="s">
        <v>216</v>
      </c>
      <c r="B139" s="112">
        <v>104</v>
      </c>
      <c r="C139" s="38">
        <v>54045.421999999999</v>
      </c>
      <c r="D139" s="38">
        <v>54409.794000000002</v>
      </c>
      <c r="F139" s="39" t="s">
        <v>217</v>
      </c>
      <c r="G139" s="37">
        <v>608</v>
      </c>
      <c r="H139" s="53">
        <v>20.576000000000001</v>
      </c>
      <c r="I139" s="33"/>
      <c r="J139" s="54" t="s">
        <v>509</v>
      </c>
      <c r="K139" s="55" t="s">
        <v>153</v>
      </c>
      <c r="L139" s="56">
        <v>2019</v>
      </c>
      <c r="M139" s="57">
        <v>83.4</v>
      </c>
      <c r="O139" s="33" t="s">
        <v>225</v>
      </c>
      <c r="P139" s="33">
        <v>28</v>
      </c>
      <c r="Q139" s="33" t="s">
        <v>364</v>
      </c>
      <c r="R139" s="33">
        <v>5.1957399999999323E-3</v>
      </c>
      <c r="S139" s="33">
        <v>5.1622969527696067E-4</v>
      </c>
      <c r="T139" s="33">
        <v>1.9156483161971146E-4</v>
      </c>
      <c r="U139" s="33">
        <v>2.0200661789205205E-4</v>
      </c>
      <c r="V139" s="33">
        <v>5.6287993638741299E-4</v>
      </c>
      <c r="W139" s="33">
        <v>7.5471786722902038E-4</v>
      </c>
      <c r="X139" s="33">
        <v>7.7028440873467055E-4</v>
      </c>
      <c r="Y139" s="33">
        <v>9.2679401065010611E-4</v>
      </c>
      <c r="Z139" s="33">
        <v>1.2881591746823403E-3</v>
      </c>
      <c r="AA139" s="33">
        <v>1.9582383847027512E-3</v>
      </c>
      <c r="AB139" s="33">
        <v>3.103406602040623E-3</v>
      </c>
      <c r="AC139" s="33">
        <v>4.9160934099027184E-3</v>
      </c>
      <c r="AD139" s="33">
        <v>7.6588286316966779E-3</v>
      </c>
      <c r="AE139" s="33">
        <v>1.1667436109663445E-2</v>
      </c>
      <c r="AF139" s="33">
        <v>1.7747403028519692E-2</v>
      </c>
      <c r="AG139" s="33">
        <v>2.8121789861448136E-2</v>
      </c>
      <c r="AH139" s="33">
        <v>4.5428007904507163E-2</v>
      </c>
      <c r="AI139" s="33">
        <v>7.2093042950824346E-2</v>
      </c>
      <c r="AJ139" s="33">
        <v>0.1072531456206632</v>
      </c>
      <c r="AK139" s="33">
        <v>0.14222710869936378</v>
      </c>
      <c r="AL139" s="33">
        <v>0.16737184092343196</v>
      </c>
      <c r="AM139" s="33"/>
      <c r="AN139" s="39" t="s">
        <v>213</v>
      </c>
      <c r="AO139" s="37">
        <v>360</v>
      </c>
      <c r="AP139" s="72">
        <v>71.409000000000006</v>
      </c>
    </row>
    <row r="140" spans="1:42" x14ac:dyDescent="0.25">
      <c r="A140" s="39" t="s">
        <v>217</v>
      </c>
      <c r="B140" s="112">
        <v>608</v>
      </c>
      <c r="C140" s="38">
        <v>108116.622</v>
      </c>
      <c r="D140" s="38">
        <v>109581.08500000001</v>
      </c>
      <c r="F140" s="39" t="s">
        <v>218</v>
      </c>
      <c r="G140" s="37">
        <v>702</v>
      </c>
      <c r="H140" s="53">
        <v>8.75</v>
      </c>
      <c r="I140" s="33"/>
      <c r="J140" s="54" t="s">
        <v>510</v>
      </c>
      <c r="K140" s="55" t="s">
        <v>218</v>
      </c>
      <c r="L140" s="56">
        <v>2015</v>
      </c>
      <c r="M140" s="57">
        <v>99.6</v>
      </c>
      <c r="O140" s="33" t="s">
        <v>226</v>
      </c>
      <c r="P140" s="33">
        <v>533</v>
      </c>
      <c r="Q140" s="33" t="s">
        <v>364</v>
      </c>
      <c r="R140" s="33">
        <v>1.3606779999999999E-2</v>
      </c>
      <c r="S140" s="33">
        <v>5.5166640338425148E-4</v>
      </c>
      <c r="T140" s="33">
        <v>2.6713429273870305E-4</v>
      </c>
      <c r="U140" s="33">
        <v>2.2470195629575033E-4</v>
      </c>
      <c r="V140" s="33">
        <v>4.2214195879806287E-4</v>
      </c>
      <c r="W140" s="33">
        <v>5.9104928789229275E-4</v>
      </c>
      <c r="X140" s="33">
        <v>6.2878899704633495E-4</v>
      </c>
      <c r="Y140" s="33">
        <v>7.3284665095303821E-4</v>
      </c>
      <c r="Z140" s="33">
        <v>9.7704483702172541E-4</v>
      </c>
      <c r="AA140" s="33">
        <v>1.491097494934203E-3</v>
      </c>
      <c r="AB140" s="33">
        <v>2.5373977809501711E-3</v>
      </c>
      <c r="AC140" s="33">
        <v>4.1768127914034239E-3</v>
      </c>
      <c r="AD140" s="33">
        <v>7.0158021205441682E-3</v>
      </c>
      <c r="AE140" s="33">
        <v>1.1320063489024004E-2</v>
      </c>
      <c r="AF140" s="33">
        <v>1.9004096894481869E-2</v>
      </c>
      <c r="AG140" s="33">
        <v>3.1588862005270953E-2</v>
      </c>
      <c r="AH140" s="33">
        <v>5.0665803414967209E-2</v>
      </c>
      <c r="AI140" s="33">
        <v>7.9181714242077594E-2</v>
      </c>
      <c r="AJ140" s="33">
        <v>0.11368009459345887</v>
      </c>
      <c r="AK140" s="33">
        <v>0.14559092657905992</v>
      </c>
      <c r="AL140" s="33">
        <v>0.16924177589566741</v>
      </c>
      <c r="AM140" s="33"/>
      <c r="AN140" s="39" t="s">
        <v>214</v>
      </c>
      <c r="AO140" s="37">
        <v>418</v>
      </c>
      <c r="AP140" s="72">
        <v>67.441000000000003</v>
      </c>
    </row>
    <row r="141" spans="1:42" x14ac:dyDescent="0.25">
      <c r="A141" s="39" t="s">
        <v>218</v>
      </c>
      <c r="B141" s="112">
        <v>702</v>
      </c>
      <c r="C141" s="38">
        <v>5804.3429999999998</v>
      </c>
      <c r="D141" s="38">
        <v>5850.3429999999998</v>
      </c>
      <c r="F141" s="39" t="s">
        <v>219</v>
      </c>
      <c r="G141" s="37">
        <v>764</v>
      </c>
      <c r="H141" s="53">
        <v>10.462</v>
      </c>
      <c r="I141" s="33"/>
      <c r="J141" s="54" t="s">
        <v>511</v>
      </c>
      <c r="K141" s="55" t="s">
        <v>346</v>
      </c>
      <c r="L141" s="56">
        <v>2012</v>
      </c>
      <c r="M141" s="57">
        <v>99.8</v>
      </c>
      <c r="O141" s="33" t="s">
        <v>227</v>
      </c>
      <c r="P141" s="33">
        <v>44</v>
      </c>
      <c r="Q141" s="33" t="s">
        <v>364</v>
      </c>
      <c r="R141" s="33">
        <v>5.8690499999999885E-3</v>
      </c>
      <c r="S141" s="33">
        <v>3.3119882244890569E-4</v>
      </c>
      <c r="T141" s="33">
        <v>2.8521356464044555E-4</v>
      </c>
      <c r="U141" s="33">
        <v>3.2024874447259748E-4</v>
      </c>
      <c r="V141" s="33">
        <v>9.4206706042278298E-4</v>
      </c>
      <c r="W141" s="33">
        <v>1.3715051835342948E-3</v>
      </c>
      <c r="X141" s="33">
        <v>1.480383202399879E-3</v>
      </c>
      <c r="Y141" s="33">
        <v>1.7585119441408171E-3</v>
      </c>
      <c r="Z141" s="33">
        <v>2.3217128018820921E-3</v>
      </c>
      <c r="AA141" s="33">
        <v>3.3016850718050445E-3</v>
      </c>
      <c r="AB141" s="33">
        <v>4.8197361789447937E-3</v>
      </c>
      <c r="AC141" s="33">
        <v>7.078523131130908E-3</v>
      </c>
      <c r="AD141" s="33">
        <v>1.0186602138873827E-2</v>
      </c>
      <c r="AE141" s="33">
        <v>1.5071105734901585E-2</v>
      </c>
      <c r="AF141" s="33">
        <v>2.2310439102148839E-2</v>
      </c>
      <c r="AG141" s="33">
        <v>3.3589137847499943E-2</v>
      </c>
      <c r="AH141" s="33">
        <v>5.1194684122684707E-2</v>
      </c>
      <c r="AI141" s="33">
        <v>7.833197203735133E-2</v>
      </c>
      <c r="AJ141" s="33">
        <v>0.11336662245738814</v>
      </c>
      <c r="AK141" s="33">
        <v>0.14828738552768417</v>
      </c>
      <c r="AL141" s="33">
        <v>0.17419008891314855</v>
      </c>
      <c r="AM141" s="33"/>
      <c r="AN141" s="39" t="s">
        <v>215</v>
      </c>
      <c r="AO141" s="37">
        <v>458</v>
      </c>
      <c r="AP141" s="72">
        <v>75.927000000000007</v>
      </c>
    </row>
    <row r="142" spans="1:42" x14ac:dyDescent="0.25">
      <c r="A142" s="39" t="s">
        <v>219</v>
      </c>
      <c r="B142" s="112">
        <v>764</v>
      </c>
      <c r="C142" s="38">
        <v>69625.581000000006</v>
      </c>
      <c r="D142" s="38">
        <v>69799.978000000003</v>
      </c>
      <c r="F142" s="39" t="s">
        <v>220</v>
      </c>
      <c r="G142" s="37">
        <v>626</v>
      </c>
      <c r="H142" s="53">
        <v>29.741</v>
      </c>
      <c r="I142" s="33"/>
      <c r="J142" s="54" t="s">
        <v>512</v>
      </c>
      <c r="K142" s="55" t="s">
        <v>284</v>
      </c>
      <c r="L142" s="56">
        <v>2015</v>
      </c>
      <c r="M142" s="57">
        <v>84.5</v>
      </c>
      <c r="O142" s="33" t="s">
        <v>228</v>
      </c>
      <c r="P142" s="33">
        <v>52</v>
      </c>
      <c r="Q142" s="33" t="s">
        <v>364</v>
      </c>
      <c r="R142" s="33">
        <v>1.00375E-2</v>
      </c>
      <c r="S142" s="33">
        <v>5.1994646261854175E-4</v>
      </c>
      <c r="T142" s="33">
        <v>2.5304898426372052E-4</v>
      </c>
      <c r="U142" s="33">
        <v>2.4636811509288624E-4</v>
      </c>
      <c r="V142" s="33">
        <v>6.0012486830098044E-4</v>
      </c>
      <c r="W142" s="33">
        <v>7.7471803738722274E-4</v>
      </c>
      <c r="X142" s="33">
        <v>7.9787419649445435E-4</v>
      </c>
      <c r="Y142" s="33">
        <v>9.6226880051011594E-4</v>
      </c>
      <c r="Z142" s="33">
        <v>1.3412937243107129E-3</v>
      </c>
      <c r="AA142" s="33">
        <v>2.0315024403225264E-3</v>
      </c>
      <c r="AB142" s="33">
        <v>3.2594833078101906E-3</v>
      </c>
      <c r="AC142" s="33">
        <v>5.2151610503752962E-3</v>
      </c>
      <c r="AD142" s="33">
        <v>8.2777873983954538E-3</v>
      </c>
      <c r="AE142" s="33">
        <v>1.0177924869063069E-2</v>
      </c>
      <c r="AF142" s="33">
        <v>1.2537309619722246E-2</v>
      </c>
      <c r="AG142" s="33">
        <v>1.8136101872590425E-2</v>
      </c>
      <c r="AH142" s="33">
        <v>3.1262028290477119E-2</v>
      </c>
      <c r="AI142" s="33">
        <v>5.1308631036319219E-2</v>
      </c>
      <c r="AJ142" s="33">
        <v>7.8986431850794903E-2</v>
      </c>
      <c r="AK142" s="33">
        <v>0.10977626280277393</v>
      </c>
      <c r="AL142" s="33">
        <v>0.13866529421573423</v>
      </c>
      <c r="AM142" s="33"/>
      <c r="AN142" s="39" t="s">
        <v>216</v>
      </c>
      <c r="AO142" s="37">
        <v>104</v>
      </c>
      <c r="AP142" s="72">
        <v>66.759</v>
      </c>
    </row>
    <row r="143" spans="1:42" x14ac:dyDescent="0.25">
      <c r="A143" s="39" t="s">
        <v>220</v>
      </c>
      <c r="B143" s="112">
        <v>626</v>
      </c>
      <c r="C143" s="38">
        <v>1293.1199999999999</v>
      </c>
      <c r="D143" s="38">
        <v>1318.442</v>
      </c>
      <c r="F143" s="39" t="s">
        <v>221</v>
      </c>
      <c r="G143" s="37">
        <v>704</v>
      </c>
      <c r="H143" s="53">
        <v>16.945</v>
      </c>
      <c r="I143" s="33"/>
      <c r="J143" s="54" t="s">
        <v>513</v>
      </c>
      <c r="K143" s="55" t="s">
        <v>115</v>
      </c>
      <c r="L143" s="56">
        <v>2020</v>
      </c>
      <c r="M143" s="57">
        <v>20.7</v>
      </c>
      <c r="O143" s="33" t="s">
        <v>232</v>
      </c>
      <c r="P143" s="33">
        <v>192</v>
      </c>
      <c r="Q143" s="33" t="s">
        <v>364</v>
      </c>
      <c r="R143" s="33">
        <v>4.4860099999999509E-3</v>
      </c>
      <c r="S143" s="33">
        <v>2.7286407095093327E-4</v>
      </c>
      <c r="T143" s="33">
        <v>1.6058487043142235E-4</v>
      </c>
      <c r="U143" s="33">
        <v>2.0419291715907133E-4</v>
      </c>
      <c r="V143" s="33">
        <v>4.2856112965182892E-4</v>
      </c>
      <c r="W143" s="33">
        <v>5.7381236719039597E-4</v>
      </c>
      <c r="X143" s="33">
        <v>6.3449671839327154E-4</v>
      </c>
      <c r="Y143" s="33">
        <v>7.9041557705802586E-4</v>
      </c>
      <c r="Z143" s="33">
        <v>1.0684936873866888E-3</v>
      </c>
      <c r="AA143" s="33">
        <v>1.6980494435071534E-3</v>
      </c>
      <c r="AB143" s="33">
        <v>2.8320069798676538E-3</v>
      </c>
      <c r="AC143" s="33">
        <v>4.5622141489087241E-3</v>
      </c>
      <c r="AD143" s="33">
        <v>7.0343698713799694E-3</v>
      </c>
      <c r="AE143" s="33">
        <v>1.1144826118651127E-2</v>
      </c>
      <c r="AF143" s="33">
        <v>1.7004870824126817E-2</v>
      </c>
      <c r="AG143" s="33">
        <v>2.4790327704297923E-2</v>
      </c>
      <c r="AH143" s="33">
        <v>3.7568422963982953E-2</v>
      </c>
      <c r="AI143" s="33">
        <v>6.0408823783307579E-2</v>
      </c>
      <c r="AJ143" s="33">
        <v>8.5664354340569099E-2</v>
      </c>
      <c r="AK143" s="33">
        <v>0.11387042910074163</v>
      </c>
      <c r="AL143" s="33">
        <v>0.14301913227179722</v>
      </c>
      <c r="AM143" s="33"/>
      <c r="AN143" s="39" t="s">
        <v>217</v>
      </c>
      <c r="AO143" s="37">
        <v>608</v>
      </c>
      <c r="AP143" s="72">
        <v>71.034999999999997</v>
      </c>
    </row>
    <row r="144" spans="1:42" x14ac:dyDescent="0.25">
      <c r="A144" s="39" t="s">
        <v>221</v>
      </c>
      <c r="B144" s="112">
        <v>704</v>
      </c>
      <c r="C144" s="38">
        <v>96462.107999999993</v>
      </c>
      <c r="D144" s="38">
        <v>97338.582999999999</v>
      </c>
      <c r="F144" s="40" t="s">
        <v>222</v>
      </c>
      <c r="G144" s="41">
        <v>1830</v>
      </c>
      <c r="H144" s="58">
        <v>16.510000000000002</v>
      </c>
      <c r="I144" s="33"/>
      <c r="J144" s="60" t="s">
        <v>514</v>
      </c>
      <c r="K144" s="61" t="s">
        <v>136</v>
      </c>
      <c r="L144" s="62">
        <v>2016</v>
      </c>
      <c r="M144" s="63">
        <v>95.9</v>
      </c>
      <c r="O144" s="33" t="s">
        <v>233</v>
      </c>
      <c r="P144" s="33">
        <v>531</v>
      </c>
      <c r="Q144" s="33" t="s">
        <v>364</v>
      </c>
      <c r="R144" s="33">
        <v>9.0435599999999974E-3</v>
      </c>
      <c r="S144" s="33">
        <v>4.3152754524710215E-4</v>
      </c>
      <c r="T144" s="33">
        <v>1.677115803982939E-4</v>
      </c>
      <c r="U144" s="33">
        <v>1.7868380168520209E-4</v>
      </c>
      <c r="V144" s="33">
        <v>5.9035982107054558E-4</v>
      </c>
      <c r="W144" s="33">
        <v>1.1831183358123993E-3</v>
      </c>
      <c r="X144" s="33">
        <v>1.3342566058325684E-3</v>
      </c>
      <c r="Y144" s="33">
        <v>1.1783487759167556E-3</v>
      </c>
      <c r="Z144" s="33">
        <v>1.2317725413504908E-3</v>
      </c>
      <c r="AA144" s="33">
        <v>1.6129832343557303E-3</v>
      </c>
      <c r="AB144" s="33">
        <v>2.4744535997235674E-3</v>
      </c>
      <c r="AC144" s="33">
        <v>4.0405098971297978E-3</v>
      </c>
      <c r="AD144" s="33">
        <v>6.2319985243084576E-3</v>
      </c>
      <c r="AE144" s="33">
        <v>9.501255394434768E-3</v>
      </c>
      <c r="AF144" s="33">
        <v>1.5042361893066503E-2</v>
      </c>
      <c r="AG144" s="33">
        <v>2.3717370870109951E-2</v>
      </c>
      <c r="AH144" s="33">
        <v>3.6788830879594787E-2</v>
      </c>
      <c r="AI144" s="33">
        <v>5.5831790899365442E-2</v>
      </c>
      <c r="AJ144" s="33">
        <v>8.1192115669270273E-2</v>
      </c>
      <c r="AK144" s="33">
        <v>0.11130452521330796</v>
      </c>
      <c r="AL144" s="33">
        <v>0.14177471601365532</v>
      </c>
      <c r="AM144" s="33"/>
      <c r="AN144" s="39" t="s">
        <v>218</v>
      </c>
      <c r="AO144" s="37">
        <v>702</v>
      </c>
      <c r="AP144" s="72">
        <v>83.388999999999996</v>
      </c>
    </row>
    <row r="145" spans="1:42" x14ac:dyDescent="0.25">
      <c r="A145" s="40" t="s">
        <v>222</v>
      </c>
      <c r="B145" s="113">
        <v>1830</v>
      </c>
      <c r="C145" s="42">
        <v>648120.95600000001</v>
      </c>
      <c r="D145" s="42">
        <v>653962.33200000005</v>
      </c>
      <c r="F145" s="43" t="s">
        <v>223</v>
      </c>
      <c r="G145" s="44">
        <v>915</v>
      </c>
      <c r="H145" s="59">
        <v>16.637</v>
      </c>
      <c r="I145" s="33"/>
      <c r="J145" s="54" t="s">
        <v>515</v>
      </c>
      <c r="K145" s="55" t="s">
        <v>116</v>
      </c>
      <c r="L145" s="56">
        <v>2010</v>
      </c>
      <c r="M145" s="57">
        <v>11.5</v>
      </c>
      <c r="O145" s="33" t="s">
        <v>235</v>
      </c>
      <c r="P145" s="33">
        <v>214</v>
      </c>
      <c r="Q145" s="33" t="s">
        <v>364</v>
      </c>
      <c r="R145" s="33">
        <v>2.5863129999999946E-2</v>
      </c>
      <c r="S145" s="33">
        <v>7.7357455939433485E-4</v>
      </c>
      <c r="T145" s="33">
        <v>3.7187683614816214E-4</v>
      </c>
      <c r="U145" s="33">
        <v>3.7267275157720303E-4</v>
      </c>
      <c r="V145" s="33">
        <v>9.3912551170492601E-4</v>
      </c>
      <c r="W145" s="33">
        <v>1.6595884607338623E-3</v>
      </c>
      <c r="X145" s="33">
        <v>2.0990892974385718E-3</v>
      </c>
      <c r="Y145" s="33">
        <v>2.5592100458552546E-3</v>
      </c>
      <c r="Z145" s="33">
        <v>2.842646430570593E-3</v>
      </c>
      <c r="AA145" s="33">
        <v>3.5714677964116342E-3</v>
      </c>
      <c r="AB145" s="33">
        <v>4.7655679490866583E-3</v>
      </c>
      <c r="AC145" s="33">
        <v>6.3086682489530439E-3</v>
      </c>
      <c r="AD145" s="33">
        <v>9.1492027847737221E-3</v>
      </c>
      <c r="AE145" s="33">
        <v>1.349657537567036E-2</v>
      </c>
      <c r="AF145" s="33">
        <v>1.986574936550884E-2</v>
      </c>
      <c r="AG145" s="33">
        <v>2.8805916843350335E-2</v>
      </c>
      <c r="AH145" s="33">
        <v>4.1771450280558585E-2</v>
      </c>
      <c r="AI145" s="33">
        <v>5.7749967357403655E-2</v>
      </c>
      <c r="AJ145" s="33">
        <v>7.6204519482658148E-2</v>
      </c>
      <c r="AK145" s="33">
        <v>9.5852149000280579E-2</v>
      </c>
      <c r="AL145" s="33">
        <v>0.11520297024996774</v>
      </c>
      <c r="AM145" s="33"/>
      <c r="AN145" s="39" t="s">
        <v>219</v>
      </c>
      <c r="AO145" s="37">
        <v>764</v>
      </c>
      <c r="AP145" s="72">
        <v>76.831999999999994</v>
      </c>
    </row>
    <row r="146" spans="1:42" x14ac:dyDescent="0.25">
      <c r="A146" s="43" t="s">
        <v>223</v>
      </c>
      <c r="B146" s="114">
        <v>915</v>
      </c>
      <c r="C146" s="45">
        <v>43335.006000000001</v>
      </c>
      <c r="D146" s="45">
        <v>43532.374000000003</v>
      </c>
      <c r="F146" s="39" t="s">
        <v>225</v>
      </c>
      <c r="G146" s="37">
        <v>28</v>
      </c>
      <c r="H146" s="53">
        <v>15.457000000000001</v>
      </c>
      <c r="I146" s="33"/>
      <c r="J146" s="54" t="s">
        <v>516</v>
      </c>
      <c r="K146" s="55" t="s">
        <v>199</v>
      </c>
      <c r="L146" s="56">
        <v>2016</v>
      </c>
      <c r="M146" s="57">
        <v>99.5</v>
      </c>
      <c r="O146" s="33" t="s">
        <v>236</v>
      </c>
      <c r="P146" s="33">
        <v>308</v>
      </c>
      <c r="Q146" s="33" t="s">
        <v>364</v>
      </c>
      <c r="R146" s="33">
        <v>1.4997749999999942E-2</v>
      </c>
      <c r="S146" s="33">
        <v>3.6735449081464562E-4</v>
      </c>
      <c r="T146" s="33">
        <v>3.8824880202159074E-4</v>
      </c>
      <c r="U146" s="33">
        <v>3.6831624204885594E-4</v>
      </c>
      <c r="V146" s="33">
        <v>8.6481254953050981E-4</v>
      </c>
      <c r="W146" s="33">
        <v>1.1755032326795176E-3</v>
      </c>
      <c r="X146" s="33">
        <v>1.261220638983001E-3</v>
      </c>
      <c r="Y146" s="33">
        <v>1.5091060374845919E-3</v>
      </c>
      <c r="Z146" s="33">
        <v>2.0339689951691491E-3</v>
      </c>
      <c r="AA146" s="33">
        <v>2.9493189580010646E-3</v>
      </c>
      <c r="AB146" s="33">
        <v>4.5325803150417527E-3</v>
      </c>
      <c r="AC146" s="33">
        <v>6.9671995741876248E-3</v>
      </c>
      <c r="AD146" s="33">
        <v>1.0670981013797255E-2</v>
      </c>
      <c r="AE146" s="33">
        <v>1.6546205211132935E-2</v>
      </c>
      <c r="AF146" s="33">
        <v>2.5387032279184138E-2</v>
      </c>
      <c r="AG146" s="33">
        <v>3.8551274376297302E-2</v>
      </c>
      <c r="AH146" s="33">
        <v>5.9001782501401222E-2</v>
      </c>
      <c r="AI146" s="33">
        <v>8.7282692380791893E-2</v>
      </c>
      <c r="AJ146" s="33">
        <v>0.12067409114223994</v>
      </c>
      <c r="AK146" s="33">
        <v>0.15141543034416774</v>
      </c>
      <c r="AL146" s="33">
        <v>0.17455656914973092</v>
      </c>
      <c r="AM146" s="33"/>
      <c r="AN146" s="39" t="s">
        <v>220</v>
      </c>
      <c r="AO146" s="37">
        <v>626</v>
      </c>
      <c r="AP146" s="72">
        <v>69.153000000000006</v>
      </c>
    </row>
    <row r="147" spans="1:42" x14ac:dyDescent="0.25">
      <c r="A147" s="39" t="s">
        <v>224</v>
      </c>
      <c r="B147" s="112">
        <v>660</v>
      </c>
      <c r="C147" s="38">
        <v>14.872</v>
      </c>
      <c r="D147" s="38">
        <v>15.002000000000001</v>
      </c>
      <c r="F147" s="39" t="s">
        <v>226</v>
      </c>
      <c r="G147" s="37">
        <v>533</v>
      </c>
      <c r="H147" s="53">
        <v>11.657</v>
      </c>
      <c r="I147" s="33"/>
      <c r="J147" s="54" t="s">
        <v>517</v>
      </c>
      <c r="K147" s="55" t="s">
        <v>178</v>
      </c>
      <c r="L147" s="56">
        <v>2014</v>
      </c>
      <c r="M147" s="57">
        <v>99.3</v>
      </c>
      <c r="O147" s="33" t="s">
        <v>237</v>
      </c>
      <c r="P147" s="33">
        <v>312</v>
      </c>
      <c r="Q147" s="33" t="s">
        <v>364</v>
      </c>
      <c r="R147" s="33">
        <v>4.659600000000064E-3</v>
      </c>
      <c r="S147" s="33">
        <v>1.1149200816121695E-4</v>
      </c>
      <c r="T147" s="33">
        <v>1.1270720006846062E-4</v>
      </c>
      <c r="U147" s="33">
        <v>2.5998459172523749E-4</v>
      </c>
      <c r="V147" s="33">
        <v>4.2481330295279215E-4</v>
      </c>
      <c r="W147" s="33">
        <v>7.0828733296060076E-4</v>
      </c>
      <c r="X147" s="33">
        <v>9.0783229063944428E-4</v>
      </c>
      <c r="Y147" s="33">
        <v>9.5766732419237622E-4</v>
      </c>
      <c r="Z147" s="33">
        <v>1.0575587833908193E-3</v>
      </c>
      <c r="AA147" s="33">
        <v>1.415116686868498E-3</v>
      </c>
      <c r="AB147" s="33">
        <v>2.0906391153110767E-3</v>
      </c>
      <c r="AC147" s="33">
        <v>3.0649070707137764E-3</v>
      </c>
      <c r="AD147" s="33">
        <v>5.1321487318104816E-3</v>
      </c>
      <c r="AE147" s="33">
        <v>8.2365791336765515E-3</v>
      </c>
      <c r="AF147" s="33">
        <v>1.1868934712758966E-2</v>
      </c>
      <c r="AG147" s="33">
        <v>1.8116364102018428E-2</v>
      </c>
      <c r="AH147" s="33">
        <v>2.873712541234805E-2</v>
      </c>
      <c r="AI147" s="33">
        <v>4.4490753678384565E-2</v>
      </c>
      <c r="AJ147" s="33">
        <v>6.658085211130596E-2</v>
      </c>
      <c r="AK147" s="33">
        <v>9.499920071909547E-2</v>
      </c>
      <c r="AL147" s="33">
        <v>0.12670585575143575</v>
      </c>
      <c r="AM147" s="33"/>
      <c r="AN147" s="39" t="s">
        <v>221</v>
      </c>
      <c r="AO147" s="37">
        <v>704</v>
      </c>
      <c r="AP147" s="72">
        <v>75.274000000000001</v>
      </c>
    </row>
    <row r="148" spans="1:42" x14ac:dyDescent="0.25">
      <c r="A148" s="39" t="s">
        <v>225</v>
      </c>
      <c r="B148" s="112">
        <v>28</v>
      </c>
      <c r="C148" s="38">
        <v>97.114999999999995</v>
      </c>
      <c r="D148" s="38">
        <v>97.927999999999997</v>
      </c>
      <c r="F148" s="39" t="s">
        <v>227</v>
      </c>
      <c r="G148" s="37">
        <v>44</v>
      </c>
      <c r="H148" s="53">
        <v>14.036</v>
      </c>
      <c r="I148" s="33"/>
      <c r="J148" s="54" t="s">
        <v>518</v>
      </c>
      <c r="K148" s="55" t="s">
        <v>161</v>
      </c>
      <c r="L148" s="56">
        <v>2014</v>
      </c>
      <c r="M148" s="57">
        <v>27.7</v>
      </c>
      <c r="O148" s="33" t="s">
        <v>238</v>
      </c>
      <c r="P148" s="33">
        <v>332</v>
      </c>
      <c r="Q148" s="33" t="s">
        <v>364</v>
      </c>
      <c r="R148" s="33">
        <v>5.4323950000000037E-2</v>
      </c>
      <c r="S148" s="33">
        <v>7.0672060479907532E-3</v>
      </c>
      <c r="T148" s="33">
        <v>2.5147090205495702E-3</v>
      </c>
      <c r="U148" s="33">
        <v>2.0463406122182312E-3</v>
      </c>
      <c r="V148" s="33">
        <v>2.5321978157550663E-3</v>
      </c>
      <c r="W148" s="33">
        <v>3.1994076777362313E-3</v>
      </c>
      <c r="X148" s="33">
        <v>3.8000275973229503E-3</v>
      </c>
      <c r="Y148" s="33">
        <v>4.3188296372958738E-3</v>
      </c>
      <c r="Z148" s="33">
        <v>4.8464719263578938E-3</v>
      </c>
      <c r="AA148" s="33">
        <v>5.5476557359873113E-3</v>
      </c>
      <c r="AB148" s="33">
        <v>6.6683811519541334E-3</v>
      </c>
      <c r="AC148" s="33">
        <v>8.5753634458676023E-3</v>
      </c>
      <c r="AD148" s="33">
        <v>1.1809821325573164E-2</v>
      </c>
      <c r="AE148" s="33">
        <v>1.7189555412017703E-2</v>
      </c>
      <c r="AF148" s="33">
        <v>2.5854649298542358E-2</v>
      </c>
      <c r="AG148" s="33">
        <v>3.9417013017763521E-2</v>
      </c>
      <c r="AH148" s="33">
        <v>5.940574491064482E-2</v>
      </c>
      <c r="AI148" s="33">
        <v>8.1802999388428346E-2</v>
      </c>
      <c r="AJ148" s="33">
        <v>0.10584042768294169</v>
      </c>
      <c r="AK148" s="33">
        <v>0.12856894104263286</v>
      </c>
      <c r="AL148" s="33">
        <v>0.14823456044166194</v>
      </c>
      <c r="AM148" s="33"/>
      <c r="AN148" s="40" t="s">
        <v>222</v>
      </c>
      <c r="AO148" s="41">
        <v>1830</v>
      </c>
      <c r="AP148" s="76">
        <v>75.243557350276006</v>
      </c>
    </row>
    <row r="149" spans="1:42" x14ac:dyDescent="0.25">
      <c r="A149" s="39" t="s">
        <v>226</v>
      </c>
      <c r="B149" s="112">
        <v>533</v>
      </c>
      <c r="C149" s="38">
        <v>106.31</v>
      </c>
      <c r="D149" s="38">
        <v>106.76600000000001</v>
      </c>
      <c r="F149" s="39" t="s">
        <v>228</v>
      </c>
      <c r="G149" s="37">
        <v>52</v>
      </c>
      <c r="H149" s="53">
        <v>10.693</v>
      </c>
      <c r="I149" s="33"/>
      <c r="J149" s="54" t="s">
        <v>519</v>
      </c>
      <c r="K149" s="55" t="s">
        <v>273</v>
      </c>
      <c r="L149" s="56">
        <v>2018</v>
      </c>
      <c r="M149" s="57">
        <v>92.9</v>
      </c>
      <c r="O149" s="33" t="s">
        <v>239</v>
      </c>
      <c r="P149" s="33">
        <v>388</v>
      </c>
      <c r="Q149" s="33" t="s">
        <v>364</v>
      </c>
      <c r="R149" s="33">
        <v>1.1772590000000055E-2</v>
      </c>
      <c r="S149" s="33">
        <v>8.0799974977416777E-4</v>
      </c>
      <c r="T149" s="33">
        <v>3.4310915692144765E-4</v>
      </c>
      <c r="U149" s="33">
        <v>3.2715319779528731E-4</v>
      </c>
      <c r="V149" s="33">
        <v>7.8892363496803233E-4</v>
      </c>
      <c r="W149" s="33">
        <v>1.0780534073041913E-3</v>
      </c>
      <c r="X149" s="33">
        <v>1.1480297032394698E-3</v>
      </c>
      <c r="Y149" s="33">
        <v>1.3736876876624586E-3</v>
      </c>
      <c r="Z149" s="33">
        <v>1.8588291620629529E-3</v>
      </c>
      <c r="AA149" s="33">
        <v>2.71750082356649E-3</v>
      </c>
      <c r="AB149" s="33">
        <v>4.2168369679111565E-3</v>
      </c>
      <c r="AC149" s="33">
        <v>6.5686598199869517E-3</v>
      </c>
      <c r="AD149" s="33">
        <v>1.0107070536801569E-2</v>
      </c>
      <c r="AE149" s="33">
        <v>1.4161193888885175E-2</v>
      </c>
      <c r="AF149" s="33">
        <v>2.0022560666233091E-2</v>
      </c>
      <c r="AG149" s="33">
        <v>3.0245210004194729E-2</v>
      </c>
      <c r="AH149" s="33">
        <v>4.8588944964654886E-2</v>
      </c>
      <c r="AI149" s="33">
        <v>7.4875270638348451E-2</v>
      </c>
      <c r="AJ149" s="33">
        <v>0.10766867269478904</v>
      </c>
      <c r="AK149" s="33">
        <v>0.13925038964471201</v>
      </c>
      <c r="AL149" s="33">
        <v>0.16398700606550246</v>
      </c>
      <c r="AM149" s="33"/>
      <c r="AN149" s="43" t="s">
        <v>223</v>
      </c>
      <c r="AO149" s="44">
        <v>915</v>
      </c>
      <c r="AP149" s="77">
        <v>72.528600967123197</v>
      </c>
    </row>
    <row r="150" spans="1:42" x14ac:dyDescent="0.25">
      <c r="A150" s="39" t="s">
        <v>227</v>
      </c>
      <c r="B150" s="112">
        <v>44</v>
      </c>
      <c r="C150" s="38">
        <v>389.48599999999999</v>
      </c>
      <c r="D150" s="38">
        <v>393.24799999999999</v>
      </c>
      <c r="F150" s="39" t="s">
        <v>232</v>
      </c>
      <c r="G150" s="37">
        <v>192</v>
      </c>
      <c r="H150" s="53">
        <v>10.217000000000001</v>
      </c>
      <c r="I150" s="33"/>
      <c r="J150" s="54" t="s">
        <v>520</v>
      </c>
      <c r="K150" s="55" t="s">
        <v>179</v>
      </c>
      <c r="L150" s="56">
        <v>2009</v>
      </c>
      <c r="M150" s="57">
        <v>78.2</v>
      </c>
      <c r="O150" s="33" t="s">
        <v>240</v>
      </c>
      <c r="P150" s="33">
        <v>474</v>
      </c>
      <c r="Q150" s="33" t="s">
        <v>364</v>
      </c>
      <c r="R150" s="33">
        <v>5.5656600000000616E-3</v>
      </c>
      <c r="S150" s="33">
        <v>2.2098492696860035E-4</v>
      </c>
      <c r="T150" s="33">
        <v>1.5545385032010025E-4</v>
      </c>
      <c r="U150" s="33">
        <v>2.1548514335044459E-4</v>
      </c>
      <c r="V150" s="33">
        <v>4.0611934449891754E-4</v>
      </c>
      <c r="W150" s="33">
        <v>6.6784504438135875E-4</v>
      </c>
      <c r="X150" s="33">
        <v>8.2892163635775841E-4</v>
      </c>
      <c r="Y150" s="33">
        <v>9.1402624103335405E-4</v>
      </c>
      <c r="Z150" s="33">
        <v>1.0542930452490014E-3</v>
      </c>
      <c r="AA150" s="33">
        <v>1.2337287005705017E-3</v>
      </c>
      <c r="AB150" s="33">
        <v>1.7070151392401883E-3</v>
      </c>
      <c r="AC150" s="33">
        <v>2.568625375652544E-3</v>
      </c>
      <c r="AD150" s="33">
        <v>3.5724621720190143E-3</v>
      </c>
      <c r="AE150" s="33">
        <v>5.9100048295118585E-3</v>
      </c>
      <c r="AF150" s="33">
        <v>1.0165230073469153E-2</v>
      </c>
      <c r="AG150" s="33">
        <v>1.7165895722229579E-2</v>
      </c>
      <c r="AH150" s="33">
        <v>2.8844006918313677E-2</v>
      </c>
      <c r="AI150" s="33">
        <v>4.6742707734675676E-2</v>
      </c>
      <c r="AJ150" s="33">
        <v>7.2184520197909316E-2</v>
      </c>
      <c r="AK150" s="33">
        <v>0.10354140059948728</v>
      </c>
      <c r="AL150" s="33">
        <v>0.13671355805089042</v>
      </c>
      <c r="AM150" s="33"/>
      <c r="AN150" s="39" t="s">
        <v>225</v>
      </c>
      <c r="AO150" s="37">
        <v>28</v>
      </c>
      <c r="AP150" s="72">
        <v>76.820999999999998</v>
      </c>
    </row>
    <row r="151" spans="1:42" x14ac:dyDescent="0.25">
      <c r="A151" s="39" t="s">
        <v>228</v>
      </c>
      <c r="B151" s="112">
        <v>52</v>
      </c>
      <c r="C151" s="38">
        <v>287.02100000000002</v>
      </c>
      <c r="D151" s="38">
        <v>287.37099999999998</v>
      </c>
      <c r="F151" s="39" t="s">
        <v>233</v>
      </c>
      <c r="G151" s="37">
        <v>531</v>
      </c>
      <c r="H151" s="53">
        <v>10.834</v>
      </c>
      <c r="I151" s="33"/>
      <c r="J151" s="54" t="s">
        <v>521</v>
      </c>
      <c r="K151" s="55" t="s">
        <v>187</v>
      </c>
      <c r="L151" s="56">
        <v>2017</v>
      </c>
      <c r="M151" s="57">
        <v>88.2</v>
      </c>
      <c r="O151" s="33" t="s">
        <v>242</v>
      </c>
      <c r="P151" s="33">
        <v>630</v>
      </c>
      <c r="Q151" s="33" t="s">
        <v>364</v>
      </c>
      <c r="R151" s="33">
        <v>5.445709999999963E-3</v>
      </c>
      <c r="S151" s="33">
        <v>1.1149466762646632E-4</v>
      </c>
      <c r="T151" s="33">
        <v>6.6314543588975877E-5</v>
      </c>
      <c r="U151" s="33">
        <v>9.1114630956141212E-5</v>
      </c>
      <c r="V151" s="33">
        <v>5.0292935353361519E-4</v>
      </c>
      <c r="W151" s="33">
        <v>1.1197374210852682E-3</v>
      </c>
      <c r="X151" s="33">
        <v>1.2557689507247849E-3</v>
      </c>
      <c r="Y151" s="33">
        <v>1.4191284391188719E-3</v>
      </c>
      <c r="Z151" s="33">
        <v>1.6814246863702126E-3</v>
      </c>
      <c r="AA151" s="33">
        <v>2.098953831256582E-3</v>
      </c>
      <c r="AB151" s="33">
        <v>3.0348131592642922E-3</v>
      </c>
      <c r="AC151" s="33">
        <v>4.4133199461460848E-3</v>
      </c>
      <c r="AD151" s="33">
        <v>6.4250832843732574E-3</v>
      </c>
      <c r="AE151" s="33">
        <v>9.104592110731136E-3</v>
      </c>
      <c r="AF151" s="33">
        <v>1.2662155134137806E-2</v>
      </c>
      <c r="AG151" s="33">
        <v>1.8953823553927159E-2</v>
      </c>
      <c r="AH151" s="33">
        <v>3.0592235639396469E-2</v>
      </c>
      <c r="AI151" s="33">
        <v>4.8727821751180539E-2</v>
      </c>
      <c r="AJ151" s="33">
        <v>7.484224630793869E-2</v>
      </c>
      <c r="AK151" s="33">
        <v>0.10755643201351189</v>
      </c>
      <c r="AL151" s="33">
        <v>0.14324677970733252</v>
      </c>
      <c r="AM151" s="33"/>
      <c r="AN151" s="39" t="s">
        <v>226</v>
      </c>
      <c r="AO151" s="37">
        <v>533</v>
      </c>
      <c r="AP151" s="72">
        <v>76.081999999999994</v>
      </c>
    </row>
    <row r="152" spans="1:42" x14ac:dyDescent="0.25">
      <c r="A152" s="39" t="s">
        <v>229</v>
      </c>
      <c r="B152" s="112">
        <v>535</v>
      </c>
      <c r="C152" s="38">
        <v>25.983000000000001</v>
      </c>
      <c r="D152" s="38">
        <v>26.221</v>
      </c>
      <c r="F152" s="39" t="s">
        <v>235</v>
      </c>
      <c r="G152" s="37">
        <v>214</v>
      </c>
      <c r="H152" s="53">
        <v>19.684999999999999</v>
      </c>
      <c r="I152" s="33"/>
      <c r="J152" s="54" t="s">
        <v>522</v>
      </c>
      <c r="K152" s="55" t="s">
        <v>219</v>
      </c>
      <c r="L152" s="56">
        <v>2016</v>
      </c>
      <c r="M152" s="57">
        <v>98.6</v>
      </c>
      <c r="O152" s="33" t="s">
        <v>245</v>
      </c>
      <c r="P152" s="33">
        <v>662</v>
      </c>
      <c r="Q152" s="33" t="s">
        <v>364</v>
      </c>
      <c r="R152" s="33">
        <v>1.2490420000000012E-2</v>
      </c>
      <c r="S152" s="33">
        <v>9.2312775335302464E-4</v>
      </c>
      <c r="T152" s="33">
        <v>3.3742292970631696E-4</v>
      </c>
      <c r="U152" s="33">
        <v>3.1346870856574597E-4</v>
      </c>
      <c r="V152" s="33">
        <v>7.4059424133965563E-4</v>
      </c>
      <c r="W152" s="33">
        <v>1.0104761307423585E-3</v>
      </c>
      <c r="X152" s="33">
        <v>1.0727766082889746E-3</v>
      </c>
      <c r="Y152" s="33">
        <v>1.2882669138309208E-3</v>
      </c>
      <c r="Z152" s="33">
        <v>1.7721116466167417E-3</v>
      </c>
      <c r="AA152" s="33">
        <v>2.6183216643979705E-3</v>
      </c>
      <c r="AB152" s="33">
        <v>4.0960461176379557E-3</v>
      </c>
      <c r="AC152" s="33">
        <v>6.43236570231818E-3</v>
      </c>
      <c r="AD152" s="33">
        <v>9.9748084184115276E-3</v>
      </c>
      <c r="AE152" s="33">
        <v>1.2586773384993059E-2</v>
      </c>
      <c r="AF152" s="33">
        <v>1.6071267253651128E-2</v>
      </c>
      <c r="AG152" s="33">
        <v>2.3499034000018664E-2</v>
      </c>
      <c r="AH152" s="33">
        <v>3.9290589182046941E-2</v>
      </c>
      <c r="AI152" s="33">
        <v>6.2232041134619775E-2</v>
      </c>
      <c r="AJ152" s="33">
        <v>9.2049360282274645E-2</v>
      </c>
      <c r="AK152" s="33">
        <v>0.12202210839818785</v>
      </c>
      <c r="AL152" s="33">
        <v>0.14660362315352721</v>
      </c>
      <c r="AM152" s="33"/>
      <c r="AN152" s="39" t="s">
        <v>227</v>
      </c>
      <c r="AO152" s="37">
        <v>44</v>
      </c>
      <c r="AP152" s="72">
        <v>73.727999999999994</v>
      </c>
    </row>
    <row r="153" spans="1:42" x14ac:dyDescent="0.25">
      <c r="A153" s="39" t="s">
        <v>230</v>
      </c>
      <c r="B153" s="112">
        <v>92</v>
      </c>
      <c r="C153" s="38">
        <v>30.033000000000001</v>
      </c>
      <c r="D153" s="38">
        <v>30.236999999999998</v>
      </c>
      <c r="F153" s="39" t="s">
        <v>236</v>
      </c>
      <c r="G153" s="37">
        <v>308</v>
      </c>
      <c r="H153" s="53">
        <v>16.596</v>
      </c>
      <c r="I153" s="33"/>
      <c r="J153" s="54" t="s">
        <v>523</v>
      </c>
      <c r="K153" s="55" t="s">
        <v>220</v>
      </c>
      <c r="L153" s="56">
        <v>2016</v>
      </c>
      <c r="M153" s="57">
        <v>48.5</v>
      </c>
      <c r="O153" s="33" t="s">
        <v>247</v>
      </c>
      <c r="P153" s="33">
        <v>670</v>
      </c>
      <c r="Q153" s="33" t="s">
        <v>364</v>
      </c>
      <c r="R153" s="33">
        <v>1.4663530000000029E-2</v>
      </c>
      <c r="S153" s="33">
        <v>3.4021119709491893E-4</v>
      </c>
      <c r="T153" s="33">
        <v>4.2637996402383369E-4</v>
      </c>
      <c r="U153" s="33">
        <v>4.1149089039611527E-4</v>
      </c>
      <c r="V153" s="33">
        <v>9.9843491675323634E-4</v>
      </c>
      <c r="W153" s="33">
        <v>1.4048347182713413E-3</v>
      </c>
      <c r="X153" s="33">
        <v>1.5309211275176661E-3</v>
      </c>
      <c r="Y153" s="33">
        <v>1.8245563678469204E-3</v>
      </c>
      <c r="Z153" s="33">
        <v>2.4303381208869196E-3</v>
      </c>
      <c r="AA153" s="33">
        <v>3.4715823014823954E-3</v>
      </c>
      <c r="AB153" s="33">
        <v>5.2094440885795262E-3</v>
      </c>
      <c r="AC153" s="33">
        <v>7.8502048685519903E-3</v>
      </c>
      <c r="AD153" s="33">
        <v>1.1806079853077847E-2</v>
      </c>
      <c r="AE153" s="33">
        <v>1.6595125843905906E-2</v>
      </c>
      <c r="AF153" s="33">
        <v>2.3201225558910875E-2</v>
      </c>
      <c r="AG153" s="33">
        <v>3.4377183914039114E-2</v>
      </c>
      <c r="AH153" s="33">
        <v>5.3208603413858246E-2</v>
      </c>
      <c r="AI153" s="33">
        <v>7.9564291851780072E-2</v>
      </c>
      <c r="AJ153" s="33">
        <v>0.11207246301287309</v>
      </c>
      <c r="AK153" s="33">
        <v>0.14369697243231228</v>
      </c>
      <c r="AL153" s="33">
        <v>0.1687400645780878</v>
      </c>
      <c r="AM153" s="33"/>
      <c r="AN153" s="39" t="s">
        <v>228</v>
      </c>
      <c r="AO153" s="37">
        <v>52</v>
      </c>
      <c r="AP153" s="72">
        <v>79.02</v>
      </c>
    </row>
    <row r="154" spans="1:42" x14ac:dyDescent="0.25">
      <c r="A154" s="39" t="s">
        <v>231</v>
      </c>
      <c r="B154" s="112">
        <v>136</v>
      </c>
      <c r="C154" s="38">
        <v>64.947999999999993</v>
      </c>
      <c r="D154" s="38">
        <v>65.72</v>
      </c>
      <c r="F154" s="39" t="s">
        <v>237</v>
      </c>
      <c r="G154" s="37">
        <v>312</v>
      </c>
      <c r="H154" s="53">
        <v>11.721</v>
      </c>
      <c r="I154" s="33"/>
      <c r="J154" s="54" t="s">
        <v>524</v>
      </c>
      <c r="K154" s="55" t="s">
        <v>154</v>
      </c>
      <c r="L154" s="56">
        <v>2017</v>
      </c>
      <c r="M154" s="57">
        <v>80</v>
      </c>
      <c r="O154" s="33" t="s">
        <v>249</v>
      </c>
      <c r="P154" s="33">
        <v>780</v>
      </c>
      <c r="Q154" s="33" t="s">
        <v>364</v>
      </c>
      <c r="R154" s="33">
        <v>2.1984320000000009E-2</v>
      </c>
      <c r="S154" s="33">
        <v>1.0051858268775419E-3</v>
      </c>
      <c r="T154" s="33">
        <v>4.7381161938168736E-4</v>
      </c>
      <c r="U154" s="33">
        <v>4.0688814528560944E-4</v>
      </c>
      <c r="V154" s="33">
        <v>8.5256253965708558E-4</v>
      </c>
      <c r="W154" s="33">
        <v>1.1353424602153122E-3</v>
      </c>
      <c r="X154" s="33">
        <v>1.2051851211078832E-3</v>
      </c>
      <c r="Y154" s="33">
        <v>1.443862777451306E-3</v>
      </c>
      <c r="Z154" s="33">
        <v>1.9672346380241886E-3</v>
      </c>
      <c r="AA154" s="33">
        <v>2.8698483370359694E-3</v>
      </c>
      <c r="AB154" s="33">
        <v>4.4509706398096231E-3</v>
      </c>
      <c r="AC154" s="33">
        <v>6.9453861260171208E-3</v>
      </c>
      <c r="AD154" s="33">
        <v>1.0836281496534834E-2</v>
      </c>
      <c r="AE154" s="33">
        <v>1.4728534139413028E-2</v>
      </c>
      <c r="AF154" s="33">
        <v>1.9913166322784594E-2</v>
      </c>
      <c r="AG154" s="33">
        <v>2.9606230437205203E-2</v>
      </c>
      <c r="AH154" s="33">
        <v>4.7798444618801839E-2</v>
      </c>
      <c r="AI154" s="33">
        <v>7.2643363975104194E-2</v>
      </c>
      <c r="AJ154" s="33">
        <v>0.10312988718928791</v>
      </c>
      <c r="AK154" s="33">
        <v>0.13317056094094457</v>
      </c>
      <c r="AL154" s="33">
        <v>0.158683134300209</v>
      </c>
      <c r="AM154" s="33"/>
      <c r="AN154" s="39" t="s">
        <v>232</v>
      </c>
      <c r="AO154" s="37">
        <v>192</v>
      </c>
      <c r="AP154" s="72">
        <v>78.685000000000002</v>
      </c>
    </row>
    <row r="155" spans="1:42" x14ac:dyDescent="0.25">
      <c r="A155" s="39" t="s">
        <v>232</v>
      </c>
      <c r="B155" s="112">
        <v>192</v>
      </c>
      <c r="C155" s="38">
        <v>11333.484</v>
      </c>
      <c r="D155" s="38">
        <v>11326.616</v>
      </c>
      <c r="F155" s="39" t="s">
        <v>238</v>
      </c>
      <c r="G155" s="37">
        <v>332</v>
      </c>
      <c r="H155" s="53">
        <v>24.533000000000001</v>
      </c>
      <c r="I155" s="33"/>
      <c r="J155" s="54" t="s">
        <v>525</v>
      </c>
      <c r="K155" s="55" t="s">
        <v>301</v>
      </c>
      <c r="L155" s="56">
        <v>2012</v>
      </c>
      <c r="M155" s="57">
        <v>98</v>
      </c>
      <c r="O155" s="33" t="s">
        <v>251</v>
      </c>
      <c r="P155" s="33">
        <v>850</v>
      </c>
      <c r="Q155" s="33" t="s">
        <v>364</v>
      </c>
      <c r="R155" s="33">
        <v>8.1288800000000622E-3</v>
      </c>
      <c r="S155" s="33">
        <v>3.2070446813691595E-4</v>
      </c>
      <c r="T155" s="33">
        <v>1.5741389048621975E-4</v>
      </c>
      <c r="U155" s="33">
        <v>1.3159374805332135E-4</v>
      </c>
      <c r="V155" s="33">
        <v>2.5051968180239909E-4</v>
      </c>
      <c r="W155" s="33">
        <v>3.488551138039551E-4</v>
      </c>
      <c r="X155" s="33">
        <v>3.6468259953194125E-4</v>
      </c>
      <c r="Y155" s="33">
        <v>4.2433249782550866E-4</v>
      </c>
      <c r="Z155" s="33">
        <v>5.7140925852269971E-4</v>
      </c>
      <c r="AA155" s="33">
        <v>8.8095689510421884E-4</v>
      </c>
      <c r="AB155" s="33">
        <v>1.5344869121554513E-3</v>
      </c>
      <c r="AC155" s="33">
        <v>2.5827033108666944E-3</v>
      </c>
      <c r="AD155" s="33">
        <v>4.4955057839727889E-3</v>
      </c>
      <c r="AE155" s="33">
        <v>7.3556490492637612E-3</v>
      </c>
      <c r="AF155" s="33">
        <v>1.2827946470600139E-2</v>
      </c>
      <c r="AG155" s="33">
        <v>2.2384451678347673E-2</v>
      </c>
      <c r="AH155" s="33">
        <v>3.7576046647999753E-2</v>
      </c>
      <c r="AI155" s="33">
        <v>6.1522150375905402E-2</v>
      </c>
      <c r="AJ155" s="33">
        <v>9.3346048799984788E-2</v>
      </c>
      <c r="AK155" s="33">
        <v>0.12592245550388292</v>
      </c>
      <c r="AL155" s="33">
        <v>0.15442539300998792</v>
      </c>
      <c r="AM155" s="33"/>
      <c r="AN155" s="39" t="s">
        <v>233</v>
      </c>
      <c r="AO155" s="37">
        <v>531</v>
      </c>
      <c r="AP155" s="72">
        <v>78.631</v>
      </c>
    </row>
    <row r="156" spans="1:42" x14ac:dyDescent="0.25">
      <c r="A156" s="39" t="s">
        <v>233</v>
      </c>
      <c r="B156" s="112">
        <v>531</v>
      </c>
      <c r="C156" s="38">
        <v>163.423</v>
      </c>
      <c r="D156" s="38">
        <v>164.1</v>
      </c>
      <c r="F156" s="39" t="s">
        <v>239</v>
      </c>
      <c r="G156" s="37">
        <v>388</v>
      </c>
      <c r="H156" s="53">
        <v>16.228999999999999</v>
      </c>
      <c r="I156" s="33"/>
      <c r="J156" s="54" t="s">
        <v>526</v>
      </c>
      <c r="K156" s="55" t="s">
        <v>249</v>
      </c>
      <c r="L156" s="56">
        <v>2011</v>
      </c>
      <c r="M156" s="57">
        <v>97.9</v>
      </c>
      <c r="O156" s="33" t="s">
        <v>252</v>
      </c>
      <c r="P156" s="33">
        <v>916</v>
      </c>
      <c r="Q156" s="33" t="s">
        <v>364</v>
      </c>
      <c r="R156" s="33">
        <v>1.4596693025092972E-2</v>
      </c>
      <c r="S156" s="33">
        <v>7.2804198928548547E-4</v>
      </c>
      <c r="T156" s="33">
        <v>3.2107637873854888E-4</v>
      </c>
      <c r="U156" s="33">
        <v>4.2038074948710208E-4</v>
      </c>
      <c r="V156" s="33">
        <v>8.6488879302057679E-4</v>
      </c>
      <c r="W156" s="33">
        <v>1.391212797143003E-3</v>
      </c>
      <c r="X156" s="33">
        <v>1.7474666627471009E-3</v>
      </c>
      <c r="Y156" s="33">
        <v>1.9978531099885933E-3</v>
      </c>
      <c r="Z156" s="33">
        <v>2.3530873884244651E-3</v>
      </c>
      <c r="AA156" s="33">
        <v>3.0074643846928267E-3</v>
      </c>
      <c r="AB156" s="33">
        <v>4.1376353495770277E-3</v>
      </c>
      <c r="AC156" s="33">
        <v>5.969671008341098E-3</v>
      </c>
      <c r="AD156" s="33">
        <v>8.8050696796064514E-3</v>
      </c>
      <c r="AE156" s="33">
        <v>1.3080730729522181E-2</v>
      </c>
      <c r="AF156" s="33">
        <v>1.9228028790130851E-2</v>
      </c>
      <c r="AG156" s="33">
        <v>2.8733393515298078E-2</v>
      </c>
      <c r="AH156" s="33">
        <v>4.2819412065655919E-2</v>
      </c>
      <c r="AI156" s="33">
        <v>6.1931275792768171E-2</v>
      </c>
      <c r="AJ156" s="33">
        <v>8.594686166467666E-2</v>
      </c>
      <c r="AK156" s="33">
        <v>0.11308496136778545</v>
      </c>
      <c r="AL156" s="33">
        <v>0.13980958203965274</v>
      </c>
      <c r="AM156" s="33"/>
      <c r="AN156" s="39" t="s">
        <v>235</v>
      </c>
      <c r="AO156" s="37">
        <v>214</v>
      </c>
      <c r="AP156" s="72">
        <v>73.811000000000007</v>
      </c>
    </row>
    <row r="157" spans="1:42" x14ac:dyDescent="0.25">
      <c r="A157" s="39" t="s">
        <v>234</v>
      </c>
      <c r="B157" s="112">
        <v>212</v>
      </c>
      <c r="C157" s="38">
        <v>71.808000000000007</v>
      </c>
      <c r="D157" s="38">
        <v>71.991</v>
      </c>
      <c r="F157" s="39" t="s">
        <v>240</v>
      </c>
      <c r="G157" s="37">
        <v>474</v>
      </c>
      <c r="H157" s="53">
        <v>9.907</v>
      </c>
      <c r="I157" s="33"/>
      <c r="J157" s="54" t="s">
        <v>527</v>
      </c>
      <c r="K157" s="55" t="s">
        <v>162</v>
      </c>
      <c r="L157" s="56">
        <v>2018</v>
      </c>
      <c r="M157" s="57">
        <v>99.7</v>
      </c>
      <c r="O157" s="33" t="s">
        <v>253</v>
      </c>
      <c r="P157" s="33">
        <v>84</v>
      </c>
      <c r="Q157" s="33" t="s">
        <v>364</v>
      </c>
      <c r="R157" s="33">
        <v>1.2816070000000035E-2</v>
      </c>
      <c r="S157" s="33">
        <v>5.2839444013232247E-4</v>
      </c>
      <c r="T157" s="33">
        <v>3.0433131569198077E-4</v>
      </c>
      <c r="U157" s="33">
        <v>3.30102184177905E-4</v>
      </c>
      <c r="V157" s="33">
        <v>9.9336946473442696E-4</v>
      </c>
      <c r="W157" s="33">
        <v>1.5584234821144477E-3</v>
      </c>
      <c r="X157" s="33">
        <v>2.3286180141758603E-3</v>
      </c>
      <c r="Y157" s="33">
        <v>2.7513090350750114E-3</v>
      </c>
      <c r="Z157" s="33">
        <v>2.8670260585765784E-3</v>
      </c>
      <c r="AA157" s="33">
        <v>3.5152753041282894E-3</v>
      </c>
      <c r="AB157" s="33">
        <v>4.8447417606571758E-3</v>
      </c>
      <c r="AC157" s="33">
        <v>6.7217168056650269E-3</v>
      </c>
      <c r="AD157" s="33">
        <v>1.0577857985131261E-2</v>
      </c>
      <c r="AE157" s="33">
        <v>1.4086050361921973E-2</v>
      </c>
      <c r="AF157" s="33">
        <v>1.9026925168537715E-2</v>
      </c>
      <c r="AG157" s="33">
        <v>2.6552083204686317E-2</v>
      </c>
      <c r="AH157" s="33">
        <v>3.867017588830339E-2</v>
      </c>
      <c r="AI157" s="33">
        <v>6.118915184078795E-2</v>
      </c>
      <c r="AJ157" s="33">
        <v>8.5259662158690394E-2</v>
      </c>
      <c r="AK157" s="33">
        <v>0.10937780472241215</v>
      </c>
      <c r="AL157" s="33">
        <v>0.15112605195352843</v>
      </c>
      <c r="AM157" s="33"/>
      <c r="AN157" s="39" t="s">
        <v>236</v>
      </c>
      <c r="AO157" s="37">
        <v>308</v>
      </c>
      <c r="AP157" s="72">
        <v>72.393000000000001</v>
      </c>
    </row>
    <row r="158" spans="1:42" x14ac:dyDescent="0.25">
      <c r="A158" s="39" t="s">
        <v>235</v>
      </c>
      <c r="B158" s="112">
        <v>214</v>
      </c>
      <c r="C158" s="38">
        <v>10738.957</v>
      </c>
      <c r="D158" s="38">
        <v>10847.904</v>
      </c>
      <c r="F158" s="39" t="s">
        <v>242</v>
      </c>
      <c r="G158" s="37">
        <v>630</v>
      </c>
      <c r="H158" s="53">
        <v>7.3769999999999998</v>
      </c>
      <c r="I158" s="33"/>
      <c r="J158" s="54" t="s">
        <v>528</v>
      </c>
      <c r="K158" s="55" t="s">
        <v>180</v>
      </c>
      <c r="L158" s="56">
        <v>2014</v>
      </c>
      <c r="M158" s="57">
        <v>97.2</v>
      </c>
      <c r="O158" s="33" t="s">
        <v>254</v>
      </c>
      <c r="P158" s="33">
        <v>188</v>
      </c>
      <c r="Q158" s="33" t="s">
        <v>364</v>
      </c>
      <c r="R158" s="33">
        <v>7.3181299999999462E-3</v>
      </c>
      <c r="S158" s="33">
        <v>4.6142426273991451E-4</v>
      </c>
      <c r="T158" s="33">
        <v>1.8918914118232766E-4</v>
      </c>
      <c r="U158" s="33">
        <v>2.5232738020382442E-4</v>
      </c>
      <c r="V158" s="33">
        <v>5.2172454069002096E-4</v>
      </c>
      <c r="W158" s="33">
        <v>7.908633138036745E-4</v>
      </c>
      <c r="X158" s="33">
        <v>9.1949466879533679E-4</v>
      </c>
      <c r="Y158" s="33">
        <v>1.0856776487376807E-3</v>
      </c>
      <c r="Z158" s="33">
        <v>1.3319622395929988E-3</v>
      </c>
      <c r="AA158" s="33">
        <v>1.7484039146829294E-3</v>
      </c>
      <c r="AB158" s="33">
        <v>2.4687342957337038E-3</v>
      </c>
      <c r="AC158" s="33">
        <v>3.6194176823825556E-3</v>
      </c>
      <c r="AD158" s="33">
        <v>5.4910944339037924E-3</v>
      </c>
      <c r="AE158" s="33">
        <v>8.4570007585224993E-3</v>
      </c>
      <c r="AF158" s="33">
        <v>1.3241919781259413E-2</v>
      </c>
      <c r="AG158" s="33">
        <v>2.0486290411796466E-2</v>
      </c>
      <c r="AH158" s="33">
        <v>3.2474185601327671E-2</v>
      </c>
      <c r="AI158" s="33">
        <v>5.0450906422022219E-2</v>
      </c>
      <c r="AJ158" s="33">
        <v>7.5109505569320376E-2</v>
      </c>
      <c r="AK158" s="33">
        <v>0.10663738143527123</v>
      </c>
      <c r="AL158" s="33">
        <v>0.14167834271936142</v>
      </c>
      <c r="AM158" s="33"/>
      <c r="AN158" s="39" t="s">
        <v>237</v>
      </c>
      <c r="AO158" s="37">
        <v>312</v>
      </c>
      <c r="AP158" s="72">
        <v>81.84</v>
      </c>
    </row>
    <row r="159" spans="1:42" x14ac:dyDescent="0.25">
      <c r="A159" s="39" t="s">
        <v>236</v>
      </c>
      <c r="B159" s="112">
        <v>308</v>
      </c>
      <c r="C159" s="38">
        <v>112.002</v>
      </c>
      <c r="D159" s="38">
        <v>112.51900000000001</v>
      </c>
      <c r="F159" s="39" t="s">
        <v>245</v>
      </c>
      <c r="G159" s="37">
        <v>662</v>
      </c>
      <c r="H159" s="53">
        <v>12.106</v>
      </c>
      <c r="I159" s="33"/>
      <c r="J159" s="54" t="s">
        <v>529</v>
      </c>
      <c r="K159" s="55" t="s">
        <v>188</v>
      </c>
      <c r="L159" s="56">
        <v>2019</v>
      </c>
      <c r="M159" s="57">
        <v>100</v>
      </c>
      <c r="O159" s="33" t="s">
        <v>255</v>
      </c>
      <c r="P159" s="33">
        <v>222</v>
      </c>
      <c r="Q159" s="33" t="s">
        <v>364</v>
      </c>
      <c r="R159" s="33">
        <v>1.4574100000000034E-2</v>
      </c>
      <c r="S159" s="33">
        <v>5.8787271574654756E-4</v>
      </c>
      <c r="T159" s="33">
        <v>2.7359335287326406E-4</v>
      </c>
      <c r="U159" s="33">
        <v>5.6615653243363045E-4</v>
      </c>
      <c r="V159" s="33">
        <v>1.5467045213967004E-3</v>
      </c>
      <c r="W159" s="33">
        <v>2.5678802993155231E-3</v>
      </c>
      <c r="X159" s="33">
        <v>3.1928440582634624E-3</v>
      </c>
      <c r="Y159" s="33">
        <v>3.3442466916200142E-3</v>
      </c>
      <c r="Z159" s="33">
        <v>3.5035388763385374E-3</v>
      </c>
      <c r="AA159" s="33">
        <v>4.1767442776819916E-3</v>
      </c>
      <c r="AB159" s="33">
        <v>5.3286807808323637E-3</v>
      </c>
      <c r="AC159" s="33">
        <v>7.0022786397334483E-3</v>
      </c>
      <c r="AD159" s="33">
        <v>9.2354011811787394E-3</v>
      </c>
      <c r="AE159" s="33">
        <v>1.2596566492475666E-2</v>
      </c>
      <c r="AF159" s="33">
        <v>1.7923417547505406E-2</v>
      </c>
      <c r="AG159" s="33">
        <v>2.5981559241636625E-2</v>
      </c>
      <c r="AH159" s="33">
        <v>4.006102477670364E-2</v>
      </c>
      <c r="AI159" s="33">
        <v>6.487128410649827E-2</v>
      </c>
      <c r="AJ159" s="33">
        <v>9.7752780082995316E-2</v>
      </c>
      <c r="AK159" s="33">
        <v>0.13331544574056195</v>
      </c>
      <c r="AL159" s="33">
        <v>0.16445094512423067</v>
      </c>
      <c r="AM159" s="33"/>
      <c r="AN159" s="39" t="s">
        <v>238</v>
      </c>
      <c r="AO159" s="37">
        <v>332</v>
      </c>
      <c r="AP159" s="72">
        <v>63.518999999999998</v>
      </c>
    </row>
    <row r="160" spans="1:42" x14ac:dyDescent="0.25">
      <c r="A160" s="39" t="s">
        <v>237</v>
      </c>
      <c r="B160" s="112">
        <v>312</v>
      </c>
      <c r="C160" s="38">
        <v>400.048</v>
      </c>
      <c r="D160" s="38">
        <v>400.12700000000001</v>
      </c>
      <c r="F160" s="39" t="s">
        <v>247</v>
      </c>
      <c r="G160" s="37">
        <v>670</v>
      </c>
      <c r="H160" s="53">
        <v>14.336</v>
      </c>
      <c r="I160" s="33"/>
      <c r="J160" s="54" t="s">
        <v>530</v>
      </c>
      <c r="K160" s="55" t="s">
        <v>302</v>
      </c>
      <c r="L160" s="56">
        <v>2007</v>
      </c>
      <c r="M160" s="57">
        <v>93</v>
      </c>
      <c r="O160" s="33" t="s">
        <v>256</v>
      </c>
      <c r="P160" s="33">
        <v>320</v>
      </c>
      <c r="Q160" s="33" t="s">
        <v>364</v>
      </c>
      <c r="R160" s="33">
        <v>2.0742189999999973E-2</v>
      </c>
      <c r="S160" s="33">
        <v>1.368431771812982E-3</v>
      </c>
      <c r="T160" s="33">
        <v>3.6245288288105519E-4</v>
      </c>
      <c r="U160" s="33">
        <v>5.2137122931350153E-4</v>
      </c>
      <c r="V160" s="33">
        <v>1.1096552392384836E-3</v>
      </c>
      <c r="W160" s="33">
        <v>1.9003611057800845E-3</v>
      </c>
      <c r="X160" s="33">
        <v>2.5229613775001329E-3</v>
      </c>
      <c r="Y160" s="33">
        <v>2.9107288532517787E-3</v>
      </c>
      <c r="Z160" s="33">
        <v>3.2086735075177934E-3</v>
      </c>
      <c r="AA160" s="33">
        <v>3.6432711183425706E-3</v>
      </c>
      <c r="AB160" s="33">
        <v>4.4425458558329557E-3</v>
      </c>
      <c r="AC160" s="33">
        <v>5.8420898780306516E-3</v>
      </c>
      <c r="AD160" s="33">
        <v>8.1244104977409928E-3</v>
      </c>
      <c r="AE160" s="33">
        <v>1.1786110862698037E-2</v>
      </c>
      <c r="AF160" s="33">
        <v>1.5896801658864184E-2</v>
      </c>
      <c r="AG160" s="33">
        <v>2.2905563498596741E-2</v>
      </c>
      <c r="AH160" s="33">
        <v>3.8229745445683708E-2</v>
      </c>
      <c r="AI160" s="33">
        <v>6.2634535527386723E-2</v>
      </c>
      <c r="AJ160" s="33">
        <v>9.3292937507748516E-2</v>
      </c>
      <c r="AK160" s="33">
        <v>0.12614651709186733</v>
      </c>
      <c r="AL160" s="33">
        <v>0.15412626562601031</v>
      </c>
      <c r="AM160" s="33"/>
      <c r="AN160" s="39" t="s">
        <v>239</v>
      </c>
      <c r="AO160" s="37">
        <v>388</v>
      </c>
      <c r="AP160" s="72">
        <v>74.331999999999994</v>
      </c>
    </row>
    <row r="161" spans="1:42" x14ac:dyDescent="0.25">
      <c r="A161" s="39" t="s">
        <v>238</v>
      </c>
      <c r="B161" s="112">
        <v>332</v>
      </c>
      <c r="C161" s="38">
        <v>11263.079</v>
      </c>
      <c r="D161" s="38">
        <v>11402.532999999999</v>
      </c>
      <c r="F161" s="39" t="s">
        <v>249</v>
      </c>
      <c r="G161" s="37">
        <v>780</v>
      </c>
      <c r="H161" s="53">
        <v>13.103999999999999</v>
      </c>
      <c r="I161" s="33"/>
      <c r="J161" s="54" t="s">
        <v>531</v>
      </c>
      <c r="K161" s="55" t="s">
        <v>117</v>
      </c>
      <c r="L161" s="56">
        <v>2016</v>
      </c>
      <c r="M161" s="57">
        <v>73.400000000000006</v>
      </c>
      <c r="O161" s="33" t="s">
        <v>257</v>
      </c>
      <c r="P161" s="33">
        <v>340</v>
      </c>
      <c r="Q161" s="33" t="s">
        <v>364</v>
      </c>
      <c r="R161" s="33">
        <v>1.5040069999999978E-2</v>
      </c>
      <c r="S161" s="33">
        <v>1.592156139793422E-3</v>
      </c>
      <c r="T161" s="33">
        <v>8.5894052204161684E-4</v>
      </c>
      <c r="U161" s="33">
        <v>6.946384502681366E-4</v>
      </c>
      <c r="V161" s="33">
        <v>9.9773107664010677E-4</v>
      </c>
      <c r="W161" s="33">
        <v>1.4592485313942006E-3</v>
      </c>
      <c r="X161" s="33">
        <v>1.9275132097957353E-3</v>
      </c>
      <c r="Y161" s="33">
        <v>2.3727893342589956E-3</v>
      </c>
      <c r="Z161" s="33">
        <v>2.8322039723949009E-3</v>
      </c>
      <c r="AA161" s="33">
        <v>3.4012113823321507E-3</v>
      </c>
      <c r="AB161" s="33">
        <v>4.2241871053381088E-3</v>
      </c>
      <c r="AC161" s="33">
        <v>5.5211588533185313E-3</v>
      </c>
      <c r="AD161" s="33">
        <v>7.6225523309263613E-3</v>
      </c>
      <c r="AE161" s="33">
        <v>1.1032521485562581E-2</v>
      </c>
      <c r="AF161" s="33">
        <v>1.6510135285567287E-2</v>
      </c>
      <c r="AG161" s="33">
        <v>2.5137394862241397E-2</v>
      </c>
      <c r="AH161" s="33">
        <v>3.8304070266972842E-2</v>
      </c>
      <c r="AI161" s="33">
        <v>5.7440275631066996E-2</v>
      </c>
      <c r="AJ161" s="33">
        <v>8.3308930896146577E-2</v>
      </c>
      <c r="AK161" s="33">
        <v>0.11473305560186088</v>
      </c>
      <c r="AL161" s="33">
        <v>0.14934101990927171</v>
      </c>
      <c r="AM161" s="33"/>
      <c r="AN161" s="39" t="s">
        <v>240</v>
      </c>
      <c r="AO161" s="37">
        <v>474</v>
      </c>
      <c r="AP161" s="72">
        <v>82.266000000000005</v>
      </c>
    </row>
    <row r="162" spans="1:42" x14ac:dyDescent="0.25">
      <c r="A162" s="39" t="s">
        <v>239</v>
      </c>
      <c r="B162" s="112">
        <v>388</v>
      </c>
      <c r="C162" s="38">
        <v>2948.277</v>
      </c>
      <c r="D162" s="38">
        <v>2961.1610000000001</v>
      </c>
      <c r="F162" s="39" t="s">
        <v>251</v>
      </c>
      <c r="G162" s="37">
        <v>850</v>
      </c>
      <c r="H162" s="53">
        <v>11.768000000000001</v>
      </c>
      <c r="I162" s="33"/>
      <c r="J162" s="54" t="s">
        <v>532</v>
      </c>
      <c r="K162" s="55" t="s">
        <v>316</v>
      </c>
      <c r="L162" s="56">
        <v>2012</v>
      </c>
      <c r="M162" s="57">
        <v>98.9</v>
      </c>
      <c r="O162" s="33" t="s">
        <v>258</v>
      </c>
      <c r="P162" s="33">
        <v>484</v>
      </c>
      <c r="Q162" s="33" t="s">
        <v>364</v>
      </c>
      <c r="R162" s="33">
        <v>1.3512949999999982E-2</v>
      </c>
      <c r="S162" s="33">
        <v>5.2048326432669505E-4</v>
      </c>
      <c r="T162" s="33">
        <v>2.5512141122823124E-4</v>
      </c>
      <c r="U162" s="33">
        <v>3.6238420834488225E-4</v>
      </c>
      <c r="V162" s="33">
        <v>7.665508663240487E-4</v>
      </c>
      <c r="W162" s="33">
        <v>1.2482475431183713E-3</v>
      </c>
      <c r="X162" s="33">
        <v>1.5675062635033927E-3</v>
      </c>
      <c r="Y162" s="33">
        <v>1.805884966171544E-3</v>
      </c>
      <c r="Z162" s="33">
        <v>2.1867916613655036E-3</v>
      </c>
      <c r="AA162" s="33">
        <v>2.9009136323384387E-3</v>
      </c>
      <c r="AB162" s="33">
        <v>4.1225920614060153E-3</v>
      </c>
      <c r="AC162" s="33">
        <v>6.0784860347484725E-3</v>
      </c>
      <c r="AD162" s="33">
        <v>9.0887769205922671E-3</v>
      </c>
      <c r="AE162" s="33">
        <v>1.3602529193538508E-2</v>
      </c>
      <c r="AF162" s="33">
        <v>2.0289766374395436E-2</v>
      </c>
      <c r="AG162" s="33">
        <v>2.999065893376187E-2</v>
      </c>
      <c r="AH162" s="33">
        <v>4.3632283426271401E-2</v>
      </c>
      <c r="AI162" s="33">
        <v>6.2085984793593195E-2</v>
      </c>
      <c r="AJ162" s="33">
        <v>8.625858645970115E-2</v>
      </c>
      <c r="AK162" s="33">
        <v>0.11671433425367923</v>
      </c>
      <c r="AL162" s="33">
        <v>0.15014208419615915</v>
      </c>
      <c r="AM162" s="33"/>
      <c r="AN162" s="39" t="s">
        <v>242</v>
      </c>
      <c r="AO162" s="37">
        <v>630</v>
      </c>
      <c r="AP162" s="72">
        <v>79.850999999999999</v>
      </c>
    </row>
    <row r="163" spans="1:42" x14ac:dyDescent="0.25">
      <c r="A163" s="39" t="s">
        <v>240</v>
      </c>
      <c r="B163" s="112">
        <v>474</v>
      </c>
      <c r="C163" s="38">
        <v>375.55700000000002</v>
      </c>
      <c r="D163" s="38">
        <v>375.26499999999999</v>
      </c>
      <c r="F163" s="43" t="s">
        <v>252</v>
      </c>
      <c r="G163" s="44">
        <v>916</v>
      </c>
      <c r="H163" s="59">
        <v>18.721</v>
      </c>
      <c r="I163" s="33"/>
      <c r="J163" s="54" t="s">
        <v>533</v>
      </c>
      <c r="K163" s="55" t="s">
        <v>181</v>
      </c>
      <c r="L163" s="56">
        <v>2011</v>
      </c>
      <c r="M163" s="57">
        <v>99.9</v>
      </c>
      <c r="O163" s="33" t="s">
        <v>259</v>
      </c>
      <c r="P163" s="33">
        <v>558</v>
      </c>
      <c r="Q163" s="33" t="s">
        <v>364</v>
      </c>
      <c r="R163" s="33">
        <v>1.6784030000000057E-2</v>
      </c>
      <c r="S163" s="33">
        <v>8.8147724044798431E-4</v>
      </c>
      <c r="T163" s="33">
        <v>4.6097509603578243E-4</v>
      </c>
      <c r="U163" s="33">
        <v>4.6068964478693019E-4</v>
      </c>
      <c r="V163" s="33">
        <v>1.1313016626973249E-3</v>
      </c>
      <c r="W163" s="33">
        <v>1.5077006682083468E-3</v>
      </c>
      <c r="X163" s="33">
        <v>1.7689583137579586E-3</v>
      </c>
      <c r="Y163" s="33">
        <v>2.1274003253107052E-3</v>
      </c>
      <c r="Z163" s="33">
        <v>2.6992125859102468E-3</v>
      </c>
      <c r="AA163" s="33">
        <v>3.435031499270829E-3</v>
      </c>
      <c r="AB163" s="33">
        <v>4.5176356272025875E-3</v>
      </c>
      <c r="AC163" s="33">
        <v>6.3558040790504715E-3</v>
      </c>
      <c r="AD163" s="33">
        <v>9.0428108391956679E-3</v>
      </c>
      <c r="AE163" s="33">
        <v>1.3025627257113315E-2</v>
      </c>
      <c r="AF163" s="33">
        <v>1.9025422928980271E-2</v>
      </c>
      <c r="AG163" s="33">
        <v>2.753133862434114E-2</v>
      </c>
      <c r="AH163" s="33">
        <v>4.0388362115475675E-2</v>
      </c>
      <c r="AI163" s="33">
        <v>6.5754084012881131E-2</v>
      </c>
      <c r="AJ163" s="33">
        <v>9.2723844812142964E-2</v>
      </c>
      <c r="AK163" s="33">
        <v>0.12102861703819505</v>
      </c>
      <c r="AL163" s="33">
        <v>0.14543309127054091</v>
      </c>
      <c r="AM163" s="33"/>
      <c r="AN163" s="39" t="s">
        <v>245</v>
      </c>
      <c r="AO163" s="37">
        <v>662</v>
      </c>
      <c r="AP163" s="72">
        <v>75.992000000000004</v>
      </c>
    </row>
    <row r="164" spans="1:42" x14ac:dyDescent="0.25">
      <c r="A164" s="39" t="s">
        <v>241</v>
      </c>
      <c r="B164" s="112">
        <v>500</v>
      </c>
      <c r="C164" s="38">
        <v>4.9909999999999997</v>
      </c>
      <c r="D164" s="38">
        <v>4.9989999999999997</v>
      </c>
      <c r="F164" s="39" t="s">
        <v>253</v>
      </c>
      <c r="G164" s="37">
        <v>84</v>
      </c>
      <c r="H164" s="53">
        <v>20.888000000000002</v>
      </c>
      <c r="I164" s="33"/>
      <c r="J164" s="54" t="s">
        <v>534</v>
      </c>
      <c r="K164" s="55" t="s">
        <v>118</v>
      </c>
      <c r="L164" s="56">
        <v>2016</v>
      </c>
      <c r="M164" s="57">
        <v>62.6</v>
      </c>
      <c r="O164" s="33" t="s">
        <v>260</v>
      </c>
      <c r="P164" s="33">
        <v>591</v>
      </c>
      <c r="Q164" s="33" t="s">
        <v>364</v>
      </c>
      <c r="R164" s="33">
        <v>1.413224000000002E-2</v>
      </c>
      <c r="S164" s="33">
        <v>1.1138512126616035E-3</v>
      </c>
      <c r="T164" s="33">
        <v>3.0639384798796833E-4</v>
      </c>
      <c r="U164" s="33">
        <v>3.8170692944374657E-4</v>
      </c>
      <c r="V164" s="33">
        <v>9.7134507789593263E-4</v>
      </c>
      <c r="W164" s="33">
        <v>1.6607533325206612E-3</v>
      </c>
      <c r="X164" s="33">
        <v>1.8900149209250675E-3</v>
      </c>
      <c r="Y164" s="33">
        <v>1.8371051028351244E-3</v>
      </c>
      <c r="Z164" s="33">
        <v>1.884245126477248E-3</v>
      </c>
      <c r="AA164" s="33">
        <v>2.2385074988437873E-3</v>
      </c>
      <c r="AB164" s="33">
        <v>2.991627130499067E-3</v>
      </c>
      <c r="AC164" s="33">
        <v>4.282420735785517E-3</v>
      </c>
      <c r="AD164" s="33">
        <v>6.3168680854062773E-3</v>
      </c>
      <c r="AE164" s="33">
        <v>9.4326403376612522E-3</v>
      </c>
      <c r="AF164" s="33">
        <v>1.415255906684024E-2</v>
      </c>
      <c r="AG164" s="33">
        <v>2.1217554666294346E-2</v>
      </c>
      <c r="AH164" s="33">
        <v>3.1566551093796046E-2</v>
      </c>
      <c r="AI164" s="33">
        <v>4.6310214771181211E-2</v>
      </c>
      <c r="AJ164" s="33">
        <v>6.6516038629262628E-2</v>
      </c>
      <c r="AK164" s="33">
        <v>9.2380497501255515E-2</v>
      </c>
      <c r="AL164" s="33">
        <v>0.12395385755026662</v>
      </c>
      <c r="AM164" s="33"/>
      <c r="AN164" s="39" t="s">
        <v>247</v>
      </c>
      <c r="AO164" s="37">
        <v>670</v>
      </c>
      <c r="AP164" s="72">
        <v>72.36</v>
      </c>
    </row>
    <row r="165" spans="1:42" x14ac:dyDescent="0.25">
      <c r="A165" s="39" t="s">
        <v>242</v>
      </c>
      <c r="B165" s="112">
        <v>630</v>
      </c>
      <c r="C165" s="38">
        <v>2933.404</v>
      </c>
      <c r="D165" s="38">
        <v>2860.84</v>
      </c>
      <c r="F165" s="39" t="s">
        <v>254</v>
      </c>
      <c r="G165" s="37">
        <v>188</v>
      </c>
      <c r="H165" s="53">
        <v>14.111000000000001</v>
      </c>
      <c r="I165" s="33"/>
      <c r="J165" s="54" t="s">
        <v>535</v>
      </c>
      <c r="K165" s="55" t="s">
        <v>274</v>
      </c>
      <c r="L165" s="56">
        <v>2013</v>
      </c>
      <c r="M165" s="57">
        <v>99.5</v>
      </c>
      <c r="O165" s="33" t="s">
        <v>261</v>
      </c>
      <c r="P165" s="33">
        <v>931</v>
      </c>
      <c r="Q165" s="33" t="s">
        <v>364</v>
      </c>
      <c r="R165" s="33">
        <v>1.4220326944268018E-2</v>
      </c>
      <c r="S165" s="33">
        <v>7.8942489337448956E-4</v>
      </c>
      <c r="T165" s="33">
        <v>3.2068811507052122E-4</v>
      </c>
      <c r="U165" s="33">
        <v>3.9163288368336422E-4</v>
      </c>
      <c r="V165" s="33">
        <v>9.7916552755595069E-4</v>
      </c>
      <c r="W165" s="33">
        <v>1.5383337927540499E-3</v>
      </c>
      <c r="X165" s="33">
        <v>1.6419619193961551E-3</v>
      </c>
      <c r="Y165" s="33">
        <v>1.7629885983244727E-3</v>
      </c>
      <c r="Z165" s="33">
        <v>2.0990214572431686E-3</v>
      </c>
      <c r="AA165" s="33">
        <v>2.700894718927638E-3</v>
      </c>
      <c r="AB165" s="33">
        <v>3.8164329708731074E-3</v>
      </c>
      <c r="AC165" s="33">
        <v>5.5508820482935012E-3</v>
      </c>
      <c r="AD165" s="33">
        <v>8.1298525602901874E-3</v>
      </c>
      <c r="AE165" s="33">
        <v>1.2182844123942398E-2</v>
      </c>
      <c r="AF165" s="33">
        <v>1.8050194245203082E-2</v>
      </c>
      <c r="AG165" s="33">
        <v>2.7147045678462434E-2</v>
      </c>
      <c r="AH165" s="33">
        <v>4.082031044672263E-2</v>
      </c>
      <c r="AI165" s="33">
        <v>5.9596916857853698E-2</v>
      </c>
      <c r="AJ165" s="33">
        <v>8.3497534661459358E-2</v>
      </c>
      <c r="AK165" s="33">
        <v>0.11086013474326106</v>
      </c>
      <c r="AL165" s="33">
        <v>0.13812613687625511</v>
      </c>
      <c r="AM165" s="33"/>
      <c r="AN165" s="39" t="s">
        <v>249</v>
      </c>
      <c r="AO165" s="37">
        <v>780</v>
      </c>
      <c r="AP165" s="72">
        <v>73.313999999999993</v>
      </c>
    </row>
    <row r="166" spans="1:42" x14ac:dyDescent="0.25">
      <c r="A166" s="39" t="s">
        <v>243</v>
      </c>
      <c r="B166" s="112">
        <v>652</v>
      </c>
      <c r="C166" s="38">
        <v>9.8529999999999998</v>
      </c>
      <c r="D166" s="38">
        <v>9.8849999999999998</v>
      </c>
      <c r="F166" s="39" t="s">
        <v>255</v>
      </c>
      <c r="G166" s="37">
        <v>222</v>
      </c>
      <c r="H166" s="53">
        <v>18.382000000000001</v>
      </c>
      <c r="I166" s="33"/>
      <c r="J166" s="54" t="s">
        <v>536</v>
      </c>
      <c r="K166" s="55" t="s">
        <v>189</v>
      </c>
      <c r="L166" s="56">
        <v>2018</v>
      </c>
      <c r="M166" s="57">
        <v>99.6</v>
      </c>
      <c r="O166" s="33" t="s">
        <v>262</v>
      </c>
      <c r="P166" s="33">
        <v>32</v>
      </c>
      <c r="Q166" s="33" t="s">
        <v>364</v>
      </c>
      <c r="R166" s="33">
        <v>1.0225190000000002E-2</v>
      </c>
      <c r="S166" s="33">
        <v>4.1349304494828876E-4</v>
      </c>
      <c r="T166" s="33">
        <v>1.8230049403534799E-4</v>
      </c>
      <c r="U166" s="33">
        <v>2.3865392573492675E-4</v>
      </c>
      <c r="V166" s="33">
        <v>7.4298392402514536E-4</v>
      </c>
      <c r="W166" s="33">
        <v>1.0220930382760516E-3</v>
      </c>
      <c r="X166" s="33">
        <v>1.0279796384069062E-3</v>
      </c>
      <c r="Y166" s="33">
        <v>1.1651318209136255E-3</v>
      </c>
      <c r="Z166" s="33">
        <v>1.4105183290987842E-3</v>
      </c>
      <c r="AA166" s="33">
        <v>1.9883118699651511E-3</v>
      </c>
      <c r="AB166" s="33">
        <v>3.1481691974343147E-3</v>
      </c>
      <c r="AC166" s="33">
        <v>5.078685662527325E-3</v>
      </c>
      <c r="AD166" s="33">
        <v>8.3544362477530054E-3</v>
      </c>
      <c r="AE166" s="33">
        <v>1.2550556467869704E-2</v>
      </c>
      <c r="AF166" s="33">
        <v>1.8900764978139851E-2</v>
      </c>
      <c r="AG166" s="33">
        <v>2.7591517362266494E-2</v>
      </c>
      <c r="AH166" s="33">
        <v>4.1750753259783509E-2</v>
      </c>
      <c r="AI166" s="33">
        <v>6.4603599400937683E-2</v>
      </c>
      <c r="AJ166" s="33">
        <v>9.5142112696072714E-2</v>
      </c>
      <c r="AK166" s="33">
        <v>0.12948673666319993</v>
      </c>
      <c r="AL166" s="33">
        <v>0.16126569820237008</v>
      </c>
      <c r="AM166" s="33"/>
      <c r="AN166" s="39" t="s">
        <v>251</v>
      </c>
      <c r="AO166" s="37">
        <v>850</v>
      </c>
      <c r="AP166" s="72">
        <v>80.314999999999998</v>
      </c>
    </row>
    <row r="167" spans="1:42" x14ac:dyDescent="0.25">
      <c r="A167" s="39" t="s">
        <v>244</v>
      </c>
      <c r="B167" s="112">
        <v>659</v>
      </c>
      <c r="C167" s="38">
        <v>52.834000000000003</v>
      </c>
      <c r="D167" s="38">
        <v>53.192</v>
      </c>
      <c r="F167" s="39" t="s">
        <v>256</v>
      </c>
      <c r="G167" s="37">
        <v>320</v>
      </c>
      <c r="H167" s="53">
        <v>24.762</v>
      </c>
      <c r="I167" s="33"/>
      <c r="J167" s="60" t="s">
        <v>537</v>
      </c>
      <c r="K167" s="61" t="s">
        <v>285</v>
      </c>
      <c r="L167" s="62">
        <v>2013</v>
      </c>
      <c r="M167" s="63">
        <v>88.5</v>
      </c>
      <c r="O167" s="33" t="s">
        <v>263</v>
      </c>
      <c r="P167" s="33">
        <v>68</v>
      </c>
      <c r="Q167" s="33" t="s">
        <v>364</v>
      </c>
      <c r="R167" s="33">
        <v>2.9709100000000033E-2</v>
      </c>
      <c r="S167" s="33">
        <v>4.897193717883979E-3</v>
      </c>
      <c r="T167" s="33">
        <v>1.3668198739663531E-3</v>
      </c>
      <c r="U167" s="33">
        <v>8.0145182980234653E-4</v>
      </c>
      <c r="V167" s="33">
        <v>1.5902899917005938E-3</v>
      </c>
      <c r="W167" s="33">
        <v>2.2167108166616686E-3</v>
      </c>
      <c r="X167" s="33">
        <v>2.3808256434544035E-3</v>
      </c>
      <c r="Y167" s="33">
        <v>2.7017673416474927E-3</v>
      </c>
      <c r="Z167" s="33">
        <v>3.4050648103696583E-3</v>
      </c>
      <c r="AA167" s="33">
        <v>4.0223318978457098E-3</v>
      </c>
      <c r="AB167" s="33">
        <v>5.4458134444849886E-3</v>
      </c>
      <c r="AC167" s="33">
        <v>7.3660074965235349E-3</v>
      </c>
      <c r="AD167" s="33">
        <v>1.0344997560068297E-2</v>
      </c>
      <c r="AE167" s="33">
        <v>1.5273457306002375E-2</v>
      </c>
      <c r="AF167" s="33">
        <v>2.021988914621773E-2</v>
      </c>
      <c r="AG167" s="33">
        <v>2.6226459693234751E-2</v>
      </c>
      <c r="AH167" s="33">
        <v>3.7707929298066836E-2</v>
      </c>
      <c r="AI167" s="33">
        <v>5.3415839354835411E-2</v>
      </c>
      <c r="AJ167" s="33">
        <v>7.5058941457281939E-2</v>
      </c>
      <c r="AK167" s="33">
        <v>0.10012328168132084</v>
      </c>
      <c r="AL167" s="33">
        <v>0.12450695537268339</v>
      </c>
      <c r="AM167" s="33"/>
      <c r="AN167" s="43" t="s">
        <v>252</v>
      </c>
      <c r="AO167" s="44">
        <v>916</v>
      </c>
      <c r="AP167" s="77">
        <v>74.914557925456805</v>
      </c>
    </row>
    <row r="168" spans="1:42" x14ac:dyDescent="0.25">
      <c r="A168" s="39" t="s">
        <v>245</v>
      </c>
      <c r="B168" s="112">
        <v>662</v>
      </c>
      <c r="C168" s="38">
        <v>182.79499999999999</v>
      </c>
      <c r="D168" s="38">
        <v>183.62899999999999</v>
      </c>
      <c r="F168" s="39" t="s">
        <v>257</v>
      </c>
      <c r="G168" s="37">
        <v>340</v>
      </c>
      <c r="H168" s="53">
        <v>21.803999999999998</v>
      </c>
      <c r="I168" s="33"/>
      <c r="J168" s="64" t="s">
        <v>538</v>
      </c>
      <c r="K168" s="65" t="s">
        <v>275</v>
      </c>
      <c r="L168" s="66">
        <v>2013</v>
      </c>
      <c r="M168" s="63">
        <v>98.9</v>
      </c>
      <c r="O168" s="33" t="s">
        <v>264</v>
      </c>
      <c r="P168" s="33">
        <v>76</v>
      </c>
      <c r="Q168" s="33" t="s">
        <v>364</v>
      </c>
      <c r="R168" s="33">
        <v>1.3017090000000026E-2</v>
      </c>
      <c r="S168" s="33">
        <v>5.6547331706076689E-4</v>
      </c>
      <c r="T168" s="33">
        <v>2.2605523840020086E-4</v>
      </c>
      <c r="U168" s="33">
        <v>3.1057988826817137E-4</v>
      </c>
      <c r="V168" s="33">
        <v>1.0834225044440882E-3</v>
      </c>
      <c r="W168" s="33">
        <v>1.646481274941336E-3</v>
      </c>
      <c r="X168" s="33">
        <v>1.5739236317706482E-3</v>
      </c>
      <c r="Y168" s="33">
        <v>1.8152815796892621E-3</v>
      </c>
      <c r="Z168" s="33">
        <v>2.2928846495734894E-3</v>
      </c>
      <c r="AA168" s="33">
        <v>2.9492000185282218E-3</v>
      </c>
      <c r="AB168" s="33">
        <v>4.254119071000209E-3</v>
      </c>
      <c r="AC168" s="33">
        <v>6.0649824775330236E-3</v>
      </c>
      <c r="AD168" s="33">
        <v>8.5723717159903456E-3</v>
      </c>
      <c r="AE168" s="33">
        <v>1.2759457491334723E-2</v>
      </c>
      <c r="AF168" s="33">
        <v>1.8896658395500792E-2</v>
      </c>
      <c r="AG168" s="33">
        <v>2.6861635507597945E-2</v>
      </c>
      <c r="AH168" s="33">
        <v>4.0189189323367715E-2</v>
      </c>
      <c r="AI168" s="33">
        <v>5.8274971982341994E-2</v>
      </c>
      <c r="AJ168" s="33">
        <v>8.0933496732912821E-2</v>
      </c>
      <c r="AK168" s="33">
        <v>0.10629084029109252</v>
      </c>
      <c r="AL168" s="33">
        <v>0.1376155916216682</v>
      </c>
      <c r="AM168" s="33"/>
      <c r="AN168" s="39" t="s">
        <v>253</v>
      </c>
      <c r="AO168" s="37">
        <v>84</v>
      </c>
      <c r="AP168" s="72">
        <v>74.37</v>
      </c>
    </row>
    <row r="169" spans="1:42" x14ac:dyDescent="0.25">
      <c r="A169" s="39" t="s">
        <v>246</v>
      </c>
      <c r="B169" s="112">
        <v>663</v>
      </c>
      <c r="C169" s="38">
        <v>38.002000000000002</v>
      </c>
      <c r="D169" s="38">
        <v>38.658999999999999</v>
      </c>
      <c r="F169" s="39" t="s">
        <v>258</v>
      </c>
      <c r="G169" s="37">
        <v>484</v>
      </c>
      <c r="H169" s="53">
        <v>17.736000000000001</v>
      </c>
      <c r="I169" s="33"/>
      <c r="J169" s="64" t="s">
        <v>539</v>
      </c>
      <c r="K169" s="65" t="s">
        <v>221</v>
      </c>
      <c r="L169" s="66">
        <v>2014</v>
      </c>
      <c r="M169" s="63">
        <v>93.6</v>
      </c>
      <c r="O169" s="33" t="s">
        <v>265</v>
      </c>
      <c r="P169" s="33">
        <v>152</v>
      </c>
      <c r="Q169" s="33" t="s">
        <v>364</v>
      </c>
      <c r="R169" s="33">
        <v>6.7175999999999477E-3</v>
      </c>
      <c r="S169" s="33">
        <v>2.5511123523383505E-4</v>
      </c>
      <c r="T169" s="33">
        <v>1.3637836706768326E-4</v>
      </c>
      <c r="U169" s="33">
        <v>1.8171986610743769E-4</v>
      </c>
      <c r="V169" s="33">
        <v>4.4224273591280137E-4</v>
      </c>
      <c r="W169" s="33">
        <v>6.3246699091532022E-4</v>
      </c>
      <c r="X169" s="33">
        <v>7.2683421938719687E-4</v>
      </c>
      <c r="Y169" s="33">
        <v>8.9488054419097085E-4</v>
      </c>
      <c r="Z169" s="33">
        <v>1.1820577123197418E-3</v>
      </c>
      <c r="AA169" s="33">
        <v>1.6968890073160629E-3</v>
      </c>
      <c r="AB169" s="33">
        <v>2.5126153197284652E-3</v>
      </c>
      <c r="AC169" s="33">
        <v>3.7873858939377041E-3</v>
      </c>
      <c r="AD169" s="33">
        <v>5.6522439757788721E-3</v>
      </c>
      <c r="AE169" s="33">
        <v>8.7302242078849419E-3</v>
      </c>
      <c r="AF169" s="33">
        <v>1.386383034312823E-2</v>
      </c>
      <c r="AG169" s="33">
        <v>2.1413156662083693E-2</v>
      </c>
      <c r="AH169" s="33">
        <v>3.3596895717522272E-2</v>
      </c>
      <c r="AI169" s="33">
        <v>5.3390155595591522E-2</v>
      </c>
      <c r="AJ169" s="33">
        <v>8.0117410261730401E-2</v>
      </c>
      <c r="AK169" s="33">
        <v>0.10943395324192236</v>
      </c>
      <c r="AL169" s="33">
        <v>0.13957986380081333</v>
      </c>
      <c r="AM169" s="33"/>
      <c r="AN169" s="39" t="s">
        <v>254</v>
      </c>
      <c r="AO169" s="37">
        <v>188</v>
      </c>
      <c r="AP169" s="72">
        <v>80.003</v>
      </c>
    </row>
    <row r="170" spans="1:42" x14ac:dyDescent="0.25">
      <c r="A170" s="39" t="s">
        <v>247</v>
      </c>
      <c r="B170" s="112">
        <v>670</v>
      </c>
      <c r="C170" s="38">
        <v>110.593</v>
      </c>
      <c r="D170" s="38">
        <v>110.947</v>
      </c>
      <c r="F170" s="39" t="s">
        <v>259</v>
      </c>
      <c r="G170" s="37">
        <v>558</v>
      </c>
      <c r="H170" s="53">
        <v>20.867000000000001</v>
      </c>
      <c r="I170" s="33"/>
      <c r="J170" s="60" t="s">
        <v>540</v>
      </c>
      <c r="K170" s="61" t="s">
        <v>182</v>
      </c>
      <c r="L170" s="62">
        <v>2013</v>
      </c>
      <c r="M170" s="63">
        <v>29.8</v>
      </c>
      <c r="O170" s="33" t="s">
        <v>266</v>
      </c>
      <c r="P170" s="33">
        <v>170</v>
      </c>
      <c r="Q170" s="33" t="s">
        <v>364</v>
      </c>
      <c r="R170" s="33">
        <v>1.2637350000000006E-2</v>
      </c>
      <c r="S170" s="33">
        <v>5.3865213556538111E-4</v>
      </c>
      <c r="T170" s="33">
        <v>4.0049114360269359E-4</v>
      </c>
      <c r="U170" s="33">
        <v>3.6850387787640276E-4</v>
      </c>
      <c r="V170" s="33">
        <v>9.3549477319647498E-4</v>
      </c>
      <c r="W170" s="33">
        <v>1.7994247056837621E-3</v>
      </c>
      <c r="X170" s="33">
        <v>1.864232983062206E-3</v>
      </c>
      <c r="Y170" s="33">
        <v>1.825573792480839E-3</v>
      </c>
      <c r="Z170" s="33">
        <v>1.9885352256190023E-3</v>
      </c>
      <c r="AA170" s="33">
        <v>2.2528131865802684E-3</v>
      </c>
      <c r="AB170" s="33">
        <v>2.8462647968053767E-3</v>
      </c>
      <c r="AC170" s="33">
        <v>4.3761225358191951E-3</v>
      </c>
      <c r="AD170" s="33">
        <v>6.5323439574352634E-3</v>
      </c>
      <c r="AE170" s="33">
        <v>1.0092265971036027E-2</v>
      </c>
      <c r="AF170" s="33">
        <v>1.559690302839245E-2</v>
      </c>
      <c r="AG170" s="33">
        <v>2.3838540259638542E-2</v>
      </c>
      <c r="AH170" s="33">
        <v>3.5819227461109215E-2</v>
      </c>
      <c r="AI170" s="33">
        <v>5.6040589677096839E-2</v>
      </c>
      <c r="AJ170" s="33">
        <v>8.7598910727402585E-2</v>
      </c>
      <c r="AK170" s="33">
        <v>0.10396421786115767</v>
      </c>
      <c r="AL170" s="33">
        <v>0.15253600286363886</v>
      </c>
      <c r="AM170" s="33"/>
      <c r="AN170" s="39" t="s">
        <v>255</v>
      </c>
      <c r="AO170" s="37">
        <v>222</v>
      </c>
      <c r="AP170" s="72">
        <v>72.986000000000004</v>
      </c>
    </row>
    <row r="171" spans="1:42" x14ac:dyDescent="0.25">
      <c r="A171" s="39" t="s">
        <v>248</v>
      </c>
      <c r="B171" s="112">
        <v>534</v>
      </c>
      <c r="C171" s="38">
        <v>42.389000000000003</v>
      </c>
      <c r="D171" s="38">
        <v>42.881999999999998</v>
      </c>
      <c r="F171" s="39" t="s">
        <v>260</v>
      </c>
      <c r="G171" s="37">
        <v>591</v>
      </c>
      <c r="H171" s="53">
        <v>19.077999999999999</v>
      </c>
      <c r="I171" s="33"/>
      <c r="J171" s="60" t="s">
        <v>541</v>
      </c>
      <c r="K171" s="61" t="s">
        <v>119</v>
      </c>
      <c r="L171" s="62">
        <v>2018</v>
      </c>
      <c r="M171" s="63">
        <v>83.8</v>
      </c>
      <c r="O171" s="33" t="s">
        <v>267</v>
      </c>
      <c r="P171" s="33">
        <v>218</v>
      </c>
      <c r="Q171" s="33" t="s">
        <v>364</v>
      </c>
      <c r="R171" s="33">
        <v>1.3603999999999943E-2</v>
      </c>
      <c r="S171" s="33">
        <v>6.8767006354446118E-4</v>
      </c>
      <c r="T171" s="33">
        <v>3.9370417335979569E-4</v>
      </c>
      <c r="U171" s="33">
        <v>4.9526642493011395E-4</v>
      </c>
      <c r="V171" s="33">
        <v>1.0292681964982182E-3</v>
      </c>
      <c r="W171" s="33">
        <v>1.6221000035185156E-3</v>
      </c>
      <c r="X171" s="33">
        <v>1.9509558964916247E-3</v>
      </c>
      <c r="Y171" s="33">
        <v>2.024378160246552E-3</v>
      </c>
      <c r="Z171" s="33">
        <v>2.1684233691174424E-3</v>
      </c>
      <c r="AA171" s="33">
        <v>2.710723957563381E-3</v>
      </c>
      <c r="AB171" s="33">
        <v>3.4507564595453277E-3</v>
      </c>
      <c r="AC171" s="33">
        <v>5.0299162268145599E-3</v>
      </c>
      <c r="AD171" s="33">
        <v>6.85829796409302E-3</v>
      </c>
      <c r="AE171" s="33">
        <v>9.9720927830648891E-3</v>
      </c>
      <c r="AF171" s="33">
        <v>1.3981656629861733E-2</v>
      </c>
      <c r="AG171" s="33">
        <v>2.2815887117368309E-2</v>
      </c>
      <c r="AH171" s="33">
        <v>3.6522283012411859E-2</v>
      </c>
      <c r="AI171" s="33">
        <v>5.592534206364163E-2</v>
      </c>
      <c r="AJ171" s="33">
        <v>8.5126930812053858E-2</v>
      </c>
      <c r="AK171" s="33">
        <v>0.10901687879307558</v>
      </c>
      <c r="AL171" s="33">
        <v>0.13971960254114565</v>
      </c>
      <c r="AM171" s="33"/>
      <c r="AN171" s="39" t="s">
        <v>256</v>
      </c>
      <c r="AO171" s="37">
        <v>320</v>
      </c>
      <c r="AP171" s="72">
        <v>73.936000000000007</v>
      </c>
    </row>
    <row r="172" spans="1:42" x14ac:dyDescent="0.25">
      <c r="A172" s="39" t="s">
        <v>249</v>
      </c>
      <c r="B172" s="112">
        <v>780</v>
      </c>
      <c r="C172" s="38">
        <v>1394.9690000000001</v>
      </c>
      <c r="D172" s="38">
        <v>1399.491</v>
      </c>
      <c r="F172" s="43" t="s">
        <v>261</v>
      </c>
      <c r="G172" s="44">
        <v>931</v>
      </c>
      <c r="H172" s="59">
        <v>15.583</v>
      </c>
      <c r="I172" s="33"/>
      <c r="J172" s="67" t="s">
        <v>542</v>
      </c>
      <c r="K172" s="68" t="s">
        <v>120</v>
      </c>
      <c r="L172" s="69">
        <v>2019</v>
      </c>
      <c r="M172" s="70">
        <v>85.5</v>
      </c>
      <c r="O172" s="33" t="s">
        <v>269</v>
      </c>
      <c r="P172" s="33">
        <v>254</v>
      </c>
      <c r="Q172" s="33" t="s">
        <v>364</v>
      </c>
      <c r="R172" s="33">
        <v>8.6906200000000534E-3</v>
      </c>
      <c r="S172" s="33">
        <v>3.4010825157326232E-4</v>
      </c>
      <c r="T172" s="33">
        <v>1.6894406835941733E-4</v>
      </c>
      <c r="U172" s="33">
        <v>1.4121578806663811E-4</v>
      </c>
      <c r="V172" s="33">
        <v>2.6802812264787733E-4</v>
      </c>
      <c r="W172" s="33">
        <v>3.7270736595982701E-4</v>
      </c>
      <c r="X172" s="33">
        <v>3.8889960233928143E-4</v>
      </c>
      <c r="Y172" s="33">
        <v>4.5335205254678178E-4</v>
      </c>
      <c r="Z172" s="33">
        <v>6.1268320505864307E-4</v>
      </c>
      <c r="AA172" s="33">
        <v>9.5160104330836899E-4</v>
      </c>
      <c r="AB172" s="33">
        <v>1.6638544918006104E-3</v>
      </c>
      <c r="AC172" s="33">
        <v>2.8178835721739681E-3</v>
      </c>
      <c r="AD172" s="33">
        <v>4.9024252396284171E-3</v>
      </c>
      <c r="AE172" s="33">
        <v>8.0977410964314534E-3</v>
      </c>
      <c r="AF172" s="33">
        <v>1.4214384613201713E-2</v>
      </c>
      <c r="AG172" s="33">
        <v>2.4112415072091397E-2</v>
      </c>
      <c r="AH172" s="33">
        <v>3.9548732761235848E-2</v>
      </c>
      <c r="AI172" s="33">
        <v>6.2824539979058541E-2</v>
      </c>
      <c r="AJ172" s="33">
        <v>9.2108578792623033E-2</v>
      </c>
      <c r="AK172" s="33">
        <v>0.12649984733186276</v>
      </c>
      <c r="AL172" s="33">
        <v>0.1536481621408923</v>
      </c>
      <c r="AM172" s="33"/>
      <c r="AN172" s="39" t="s">
        <v>257</v>
      </c>
      <c r="AO172" s="37">
        <v>340</v>
      </c>
      <c r="AP172" s="72">
        <v>74.992000000000004</v>
      </c>
    </row>
    <row r="173" spans="1:42" x14ac:dyDescent="0.25">
      <c r="A173" s="39" t="s">
        <v>250</v>
      </c>
      <c r="B173" s="112">
        <v>796</v>
      </c>
      <c r="C173" s="38">
        <v>38.194000000000003</v>
      </c>
      <c r="D173" s="38">
        <v>38.718000000000004</v>
      </c>
      <c r="F173" s="39" t="s">
        <v>262</v>
      </c>
      <c r="G173" s="37">
        <v>32</v>
      </c>
      <c r="H173" s="53">
        <v>17.111999999999998</v>
      </c>
      <c r="I173" s="33"/>
      <c r="J173" s="33"/>
      <c r="K173" s="33"/>
      <c r="L173" s="33"/>
      <c r="M173" s="33"/>
      <c r="O173" s="33" t="s">
        <v>270</v>
      </c>
      <c r="P173" s="33">
        <v>328</v>
      </c>
      <c r="Q173" s="33" t="s">
        <v>364</v>
      </c>
      <c r="R173" s="33">
        <v>2.6771110000000046E-2</v>
      </c>
      <c r="S173" s="33">
        <v>1.4198715371057048E-3</v>
      </c>
      <c r="T173" s="33">
        <v>9.4566769534137896E-4</v>
      </c>
      <c r="U173" s="33">
        <v>7.7207149558016159E-4</v>
      </c>
      <c r="V173" s="33">
        <v>1.7255706754610489E-3</v>
      </c>
      <c r="W173" s="33">
        <v>2.81382930343111E-3</v>
      </c>
      <c r="X173" s="33">
        <v>3.515961527428555E-3</v>
      </c>
      <c r="Y173" s="33">
        <v>3.7766081952088477E-3</v>
      </c>
      <c r="Z173" s="33">
        <v>4.3904317727484999E-3</v>
      </c>
      <c r="AA173" s="33">
        <v>5.0105637274453878E-3</v>
      </c>
      <c r="AB173" s="33">
        <v>5.9847837354568721E-3</v>
      </c>
      <c r="AC173" s="33">
        <v>1.0955838327829502E-2</v>
      </c>
      <c r="AD173" s="33">
        <v>1.253980659148783E-2</v>
      </c>
      <c r="AE173" s="33">
        <v>1.7388029464346286E-2</v>
      </c>
      <c r="AF173" s="33">
        <v>2.2959833950200511E-2</v>
      </c>
      <c r="AG173" s="33">
        <v>3.0883582504884172E-2</v>
      </c>
      <c r="AH173" s="33">
        <v>4.6713681331453642E-2</v>
      </c>
      <c r="AI173" s="33">
        <v>5.9747572996195611E-2</v>
      </c>
      <c r="AJ173" s="33">
        <v>7.8704938447834924E-2</v>
      </c>
      <c r="AK173" s="33">
        <v>9.9134878394333367E-2</v>
      </c>
      <c r="AL173" s="33">
        <v>0.11975067867203804</v>
      </c>
      <c r="AM173" s="33"/>
      <c r="AN173" s="39" t="s">
        <v>258</v>
      </c>
      <c r="AO173" s="37">
        <v>484</v>
      </c>
      <c r="AP173" s="72">
        <v>74.977000000000004</v>
      </c>
    </row>
    <row r="174" spans="1:42" x14ac:dyDescent="0.25">
      <c r="A174" s="39" t="s">
        <v>251</v>
      </c>
      <c r="B174" s="112">
        <v>850</v>
      </c>
      <c r="C174" s="38">
        <v>104.57899999999999</v>
      </c>
      <c r="D174" s="38">
        <v>104.423</v>
      </c>
      <c r="F174" s="39" t="s">
        <v>263</v>
      </c>
      <c r="G174" s="37">
        <v>68</v>
      </c>
      <c r="H174" s="53">
        <v>21.882000000000001</v>
      </c>
      <c r="I174" s="33"/>
      <c r="J174" s="33"/>
      <c r="K174" s="33"/>
      <c r="L174" s="33"/>
      <c r="M174" s="33"/>
      <c r="O174" s="33" t="s">
        <v>271</v>
      </c>
      <c r="P174" s="33">
        <v>600</v>
      </c>
      <c r="Q174" s="33" t="s">
        <v>364</v>
      </c>
      <c r="R174" s="33">
        <v>1.9024909999999947E-2</v>
      </c>
      <c r="S174" s="33">
        <v>6.278472371811307E-4</v>
      </c>
      <c r="T174" s="33">
        <v>5.5158882755264598E-4</v>
      </c>
      <c r="U174" s="33">
        <v>4.4901030197594676E-4</v>
      </c>
      <c r="V174" s="33">
        <v>1.0518106076171873E-3</v>
      </c>
      <c r="W174" s="33">
        <v>1.5998030442320856E-3</v>
      </c>
      <c r="X174" s="33">
        <v>1.9494092279500465E-3</v>
      </c>
      <c r="Y174" s="33">
        <v>1.9855513743289219E-3</v>
      </c>
      <c r="Z174" s="33">
        <v>2.3511564587472703E-3</v>
      </c>
      <c r="AA174" s="33">
        <v>2.8780787796453219E-3</v>
      </c>
      <c r="AB174" s="33">
        <v>4.2017750305114133E-3</v>
      </c>
      <c r="AC174" s="33">
        <v>6.0993079365806143E-3</v>
      </c>
      <c r="AD174" s="33">
        <v>8.5341548530337569E-3</v>
      </c>
      <c r="AE174" s="33">
        <v>1.3219074302824709E-2</v>
      </c>
      <c r="AF174" s="33">
        <v>1.9267994677544E-2</v>
      </c>
      <c r="AG174" s="33">
        <v>2.770434970007523E-2</v>
      </c>
      <c r="AH174" s="33">
        <v>3.8953956844954209E-2</v>
      </c>
      <c r="AI174" s="33">
        <v>6.9897340351625897E-2</v>
      </c>
      <c r="AJ174" s="33">
        <v>9.9908909951128749E-2</v>
      </c>
      <c r="AK174" s="33">
        <v>0.12902920587158662</v>
      </c>
      <c r="AL174" s="33">
        <v>0.15310330880431902</v>
      </c>
      <c r="AM174" s="33"/>
      <c r="AN174" s="39" t="s">
        <v>259</v>
      </c>
      <c r="AO174" s="37">
        <v>558</v>
      </c>
      <c r="AP174" s="72">
        <v>74.153999999999996</v>
      </c>
    </row>
    <row r="175" spans="1:42" x14ac:dyDescent="0.25">
      <c r="A175" s="43" t="s">
        <v>252</v>
      </c>
      <c r="B175" s="114">
        <v>916</v>
      </c>
      <c r="C175" s="45">
        <v>177586.52499999999</v>
      </c>
      <c r="D175" s="45">
        <v>179670.18599999999</v>
      </c>
      <c r="F175" s="39" t="s">
        <v>264</v>
      </c>
      <c r="G175" s="37">
        <v>76</v>
      </c>
      <c r="H175" s="53">
        <v>14.073</v>
      </c>
      <c r="I175" s="33"/>
      <c r="J175" s="33"/>
      <c r="K175" s="33"/>
      <c r="L175" s="33"/>
      <c r="M175" s="33"/>
      <c r="O175" s="33" t="s">
        <v>272</v>
      </c>
      <c r="P175" s="33">
        <v>604</v>
      </c>
      <c r="Q175" s="33" t="s">
        <v>364</v>
      </c>
      <c r="R175" s="33">
        <v>1.2787390000000015E-2</v>
      </c>
      <c r="S175" s="33">
        <v>8.7522433490795247E-4</v>
      </c>
      <c r="T175" s="33">
        <v>4.9495175879300042E-4</v>
      </c>
      <c r="U175" s="33">
        <v>3.3588977610933221E-4</v>
      </c>
      <c r="V175" s="33">
        <v>7.9450728213790762E-4</v>
      </c>
      <c r="W175" s="33">
        <v>1.1802881596356459E-3</v>
      </c>
      <c r="X175" s="33">
        <v>1.5314102741404792E-3</v>
      </c>
      <c r="Y175" s="33">
        <v>1.6834351931294556E-3</v>
      </c>
      <c r="Z175" s="33">
        <v>2.0130924493192257E-3</v>
      </c>
      <c r="AA175" s="33">
        <v>2.5656252273752395E-3</v>
      </c>
      <c r="AB175" s="33">
        <v>3.422439258637406E-3</v>
      </c>
      <c r="AC175" s="33">
        <v>4.7595238704757313E-3</v>
      </c>
      <c r="AD175" s="33">
        <v>6.7924367911430502E-3</v>
      </c>
      <c r="AE175" s="33">
        <v>1.0242694670813113E-2</v>
      </c>
      <c r="AF175" s="33">
        <v>1.5274182462903733E-2</v>
      </c>
      <c r="AG175" s="33">
        <v>2.5769485758631069E-2</v>
      </c>
      <c r="AH175" s="33">
        <v>3.9878393519136877E-2</v>
      </c>
      <c r="AI175" s="33">
        <v>6.2565796568882795E-2</v>
      </c>
      <c r="AJ175" s="33">
        <v>9.315916672397026E-2</v>
      </c>
      <c r="AK175" s="33">
        <v>0.12365207423575721</v>
      </c>
      <c r="AL175" s="33">
        <v>0.14992852678644919</v>
      </c>
      <c r="AM175" s="33"/>
      <c r="AN175" s="39" t="s">
        <v>260</v>
      </c>
      <c r="AO175" s="37">
        <v>591</v>
      </c>
      <c r="AP175" s="72">
        <v>78.242999999999995</v>
      </c>
    </row>
    <row r="176" spans="1:42" x14ac:dyDescent="0.25">
      <c r="A176" s="39" t="s">
        <v>253</v>
      </c>
      <c r="B176" s="112">
        <v>84</v>
      </c>
      <c r="C176" s="38">
        <v>390.351</v>
      </c>
      <c r="D176" s="38">
        <v>397.62099999999998</v>
      </c>
      <c r="F176" s="39" t="s">
        <v>265</v>
      </c>
      <c r="G176" s="37">
        <v>152</v>
      </c>
      <c r="H176" s="53">
        <v>12.465</v>
      </c>
      <c r="I176" s="33"/>
      <c r="J176" s="33"/>
      <c r="K176" s="33"/>
      <c r="L176" s="33"/>
      <c r="M176" s="33"/>
      <c r="O176" s="33" t="s">
        <v>273</v>
      </c>
      <c r="P176" s="33">
        <v>740</v>
      </c>
      <c r="Q176" s="33" t="s">
        <v>364</v>
      </c>
      <c r="R176" s="33">
        <v>1.7496539999999949E-2</v>
      </c>
      <c r="S176" s="33">
        <v>5.2713045916398212E-4</v>
      </c>
      <c r="T176" s="33">
        <v>5.5092254603772059E-4</v>
      </c>
      <c r="U176" s="33">
        <v>3.1541800571920048E-4</v>
      </c>
      <c r="V176" s="33">
        <v>5.7519180580934001E-4</v>
      </c>
      <c r="W176" s="33">
        <v>1.1746985126604994E-3</v>
      </c>
      <c r="X176" s="33">
        <v>1.8961984882942902E-3</v>
      </c>
      <c r="Y176" s="33">
        <v>2.568637902467637E-3</v>
      </c>
      <c r="Z176" s="33">
        <v>3.2158150706266654E-3</v>
      </c>
      <c r="AA176" s="33">
        <v>3.9342196188770747E-3</v>
      </c>
      <c r="AB176" s="33">
        <v>5.0566020039156468E-3</v>
      </c>
      <c r="AC176" s="33">
        <v>7.3277731125225339E-3</v>
      </c>
      <c r="AD176" s="33">
        <v>1.1357376285848873E-2</v>
      </c>
      <c r="AE176" s="33">
        <v>1.7535594509055171E-2</v>
      </c>
      <c r="AF176" s="33">
        <v>2.6472253876052673E-2</v>
      </c>
      <c r="AG176" s="33">
        <v>3.9200376957628798E-2</v>
      </c>
      <c r="AH176" s="33">
        <v>5.680284239063222E-2</v>
      </c>
      <c r="AI176" s="33">
        <v>7.981422650900577E-2</v>
      </c>
      <c r="AJ176" s="33">
        <v>0.10661921371183349</v>
      </c>
      <c r="AK176" s="33">
        <v>0.13385074379608689</v>
      </c>
      <c r="AL176" s="33">
        <v>0.15756882013185389</v>
      </c>
      <c r="AM176" s="33"/>
      <c r="AN176" s="43" t="s">
        <v>261</v>
      </c>
      <c r="AO176" s="44">
        <v>931</v>
      </c>
      <c r="AP176" s="77">
        <v>75.628998102296507</v>
      </c>
    </row>
    <row r="177" spans="1:42" x14ac:dyDescent="0.25">
      <c r="A177" s="39" t="s">
        <v>254</v>
      </c>
      <c r="B177" s="112">
        <v>188</v>
      </c>
      <c r="C177" s="38">
        <v>5047.5609999999997</v>
      </c>
      <c r="D177" s="38">
        <v>5094.1139999999996</v>
      </c>
      <c r="F177" s="39" t="s">
        <v>266</v>
      </c>
      <c r="G177" s="37">
        <v>170</v>
      </c>
      <c r="H177" s="53">
        <v>15.029</v>
      </c>
      <c r="I177" s="33"/>
      <c r="J177" s="33"/>
      <c r="K177" s="33"/>
      <c r="L177" s="33"/>
      <c r="M177" s="33"/>
      <c r="O177" s="33" t="s">
        <v>274</v>
      </c>
      <c r="P177" s="33">
        <v>858</v>
      </c>
      <c r="Q177" s="33" t="s">
        <v>364</v>
      </c>
      <c r="R177" s="33">
        <v>8.7008199999999494E-3</v>
      </c>
      <c r="S177" s="33">
        <v>4.1577760611080449E-4</v>
      </c>
      <c r="T177" s="33">
        <v>2.0500367735868898E-4</v>
      </c>
      <c r="U177" s="33">
        <v>2.3054589356349617E-4</v>
      </c>
      <c r="V177" s="33">
        <v>6.0311909966261101E-4</v>
      </c>
      <c r="W177" s="33">
        <v>8.3076946610485683E-4</v>
      </c>
      <c r="X177" s="33">
        <v>9.8819795296360138E-4</v>
      </c>
      <c r="Y177" s="33">
        <v>1.134589246052E-3</v>
      </c>
      <c r="Z177" s="33">
        <v>1.4243508228655537E-3</v>
      </c>
      <c r="AA177" s="33">
        <v>2.2110927208356785E-3</v>
      </c>
      <c r="AB177" s="33">
        <v>3.2495200231728374E-3</v>
      </c>
      <c r="AC177" s="33">
        <v>4.8147519360777482E-3</v>
      </c>
      <c r="AD177" s="33">
        <v>7.4845038978770383E-3</v>
      </c>
      <c r="AE177" s="33">
        <v>1.1696409472520734E-2</v>
      </c>
      <c r="AF177" s="33">
        <v>1.8032279511222188E-2</v>
      </c>
      <c r="AG177" s="33">
        <v>2.6847638798403933E-2</v>
      </c>
      <c r="AH177" s="33">
        <v>3.9570290614711186E-2</v>
      </c>
      <c r="AI177" s="33">
        <v>5.6844621012110269E-2</v>
      </c>
      <c r="AJ177" s="33">
        <v>7.8420467595300553E-2</v>
      </c>
      <c r="AK177" s="33">
        <v>0.10390638882982306</v>
      </c>
      <c r="AL177" s="33">
        <v>0.13112650279293683</v>
      </c>
      <c r="AM177" s="33"/>
      <c r="AN177" s="39" t="s">
        <v>262</v>
      </c>
      <c r="AO177" s="37">
        <v>32</v>
      </c>
      <c r="AP177" s="72">
        <v>76.447999999999993</v>
      </c>
    </row>
    <row r="178" spans="1:42" x14ac:dyDescent="0.25">
      <c r="A178" s="39" t="s">
        <v>255</v>
      </c>
      <c r="B178" s="112">
        <v>222</v>
      </c>
      <c r="C178" s="38">
        <v>6453.55</v>
      </c>
      <c r="D178" s="38">
        <v>6486.201</v>
      </c>
      <c r="F178" s="39" t="s">
        <v>267</v>
      </c>
      <c r="G178" s="37">
        <v>218</v>
      </c>
      <c r="H178" s="53">
        <v>19.856000000000002</v>
      </c>
      <c r="I178" s="33"/>
      <c r="J178" s="33"/>
      <c r="K178" s="33"/>
      <c r="L178" s="33"/>
      <c r="M178" s="33"/>
      <c r="O178" s="33" t="s">
        <v>275</v>
      </c>
      <c r="P178" s="33">
        <v>862</v>
      </c>
      <c r="Q178" s="33" t="s">
        <v>364</v>
      </c>
      <c r="R178" s="33">
        <v>2.5699989999999961E-2</v>
      </c>
      <c r="S178" s="33">
        <v>1.3222108044523197E-3</v>
      </c>
      <c r="T178" s="33">
        <v>2.4073538723623375E-4</v>
      </c>
      <c r="U178" s="33">
        <v>3.4713920646440243E-4</v>
      </c>
      <c r="V178" s="33">
        <v>1.4184656835969935E-3</v>
      </c>
      <c r="W178" s="33">
        <v>2.2033272891926218E-3</v>
      </c>
      <c r="X178" s="33">
        <v>2.1654139598228104E-3</v>
      </c>
      <c r="Y178" s="33">
        <v>2.1285661497573356E-3</v>
      </c>
      <c r="Z178" s="33">
        <v>2.0966897267258268E-3</v>
      </c>
      <c r="AA178" s="33">
        <v>2.6490402944047372E-3</v>
      </c>
      <c r="AB178" s="33">
        <v>3.9420058344002418E-3</v>
      </c>
      <c r="AC178" s="33">
        <v>6.3232546972606593E-3</v>
      </c>
      <c r="AD178" s="33">
        <v>9.5742306335507461E-3</v>
      </c>
      <c r="AE178" s="33">
        <v>1.4907524922666745E-2</v>
      </c>
      <c r="AF178" s="33">
        <v>2.4610677860725554E-2</v>
      </c>
      <c r="AG178" s="33">
        <v>3.6409941346616043E-2</v>
      </c>
      <c r="AH178" s="33">
        <v>5.2218420994053362E-2</v>
      </c>
      <c r="AI178" s="33">
        <v>6.5955992816426945E-2</v>
      </c>
      <c r="AJ178" s="33">
        <v>9.2410300253510005E-2</v>
      </c>
      <c r="AK178" s="33">
        <v>0.11340137220322517</v>
      </c>
      <c r="AL178" s="33">
        <v>0.14518603818032744</v>
      </c>
      <c r="AM178" s="33"/>
      <c r="AN178" s="39" t="s">
        <v>263</v>
      </c>
      <c r="AO178" s="37">
        <v>68</v>
      </c>
      <c r="AP178" s="72">
        <v>71.081999999999994</v>
      </c>
    </row>
    <row r="179" spans="1:42" x14ac:dyDescent="0.25">
      <c r="A179" s="39" t="s">
        <v>256</v>
      </c>
      <c r="B179" s="112">
        <v>320</v>
      </c>
      <c r="C179" s="38">
        <v>17581.475999999999</v>
      </c>
      <c r="D179" s="38">
        <v>17915.566999999999</v>
      </c>
      <c r="F179" s="39" t="s">
        <v>269</v>
      </c>
      <c r="G179" s="37">
        <v>254</v>
      </c>
      <c r="H179" s="53">
        <v>25.565000000000001</v>
      </c>
      <c r="I179" s="33"/>
      <c r="J179" s="33"/>
      <c r="K179" s="33"/>
      <c r="L179" s="33"/>
      <c r="M179" s="33"/>
      <c r="O179" s="33" t="s">
        <v>276</v>
      </c>
      <c r="P179" s="33">
        <v>927</v>
      </c>
      <c r="Q179" s="33" t="s">
        <v>364</v>
      </c>
      <c r="R179" s="33">
        <v>3.2156829279649537E-3</v>
      </c>
      <c r="S179" s="33">
        <v>1.5103200765986802E-4</v>
      </c>
      <c r="T179" s="33">
        <v>7.6153778695664645E-5</v>
      </c>
      <c r="U179" s="33">
        <v>1.1626030079891596E-4</v>
      </c>
      <c r="V179" s="33">
        <v>2.9395050276830254E-4</v>
      </c>
      <c r="W179" s="33">
        <v>4.3172828721304418E-4</v>
      </c>
      <c r="X179" s="33">
        <v>4.7480125932894841E-4</v>
      </c>
      <c r="Y179" s="33">
        <v>5.8927875022020371E-4</v>
      </c>
      <c r="Z179" s="33">
        <v>7.9682542221648728E-4</v>
      </c>
      <c r="AA179" s="33">
        <v>1.13447921900926E-3</v>
      </c>
      <c r="AB179" s="33">
        <v>1.6836011698369081E-3</v>
      </c>
      <c r="AC179" s="33">
        <v>2.516283553935318E-3</v>
      </c>
      <c r="AD179" s="33">
        <v>3.7545272585537614E-3</v>
      </c>
      <c r="AE179" s="33">
        <v>5.7181071759633603E-3</v>
      </c>
      <c r="AF179" s="33">
        <v>8.7027216187177212E-3</v>
      </c>
      <c r="AG179" s="33">
        <v>1.4842637204419435E-2</v>
      </c>
      <c r="AH179" s="33">
        <v>2.6940376454188123E-2</v>
      </c>
      <c r="AI179" s="33">
        <v>4.7041908335707795E-2</v>
      </c>
      <c r="AJ179" s="33">
        <v>7.7009506758606475E-2</v>
      </c>
      <c r="AK179" s="33">
        <v>0.11444908795509418</v>
      </c>
      <c r="AL179" s="33">
        <v>0.15059910601554399</v>
      </c>
      <c r="AM179" s="33"/>
      <c r="AN179" s="39" t="s">
        <v>264</v>
      </c>
      <c r="AO179" s="37">
        <v>76</v>
      </c>
      <c r="AP179" s="72">
        <v>75.561000000000007</v>
      </c>
    </row>
    <row r="180" spans="1:42" x14ac:dyDescent="0.25">
      <c r="A180" s="39" t="s">
        <v>257</v>
      </c>
      <c r="B180" s="112">
        <v>340</v>
      </c>
      <c r="C180" s="38">
        <v>9746.1149999999998</v>
      </c>
      <c r="D180" s="38">
        <v>9904.6080000000002</v>
      </c>
      <c r="F180" s="39" t="s">
        <v>270</v>
      </c>
      <c r="G180" s="37">
        <v>328</v>
      </c>
      <c r="H180" s="53">
        <v>20.067</v>
      </c>
      <c r="I180" s="33"/>
      <c r="J180" s="33"/>
      <c r="K180" s="33"/>
      <c r="L180" s="33"/>
      <c r="M180" s="33"/>
      <c r="O180" s="33" t="s">
        <v>277</v>
      </c>
      <c r="P180" s="33">
        <v>36</v>
      </c>
      <c r="Q180" s="33" t="s">
        <v>364</v>
      </c>
      <c r="R180" s="33">
        <v>3.1076900000000024E-3</v>
      </c>
      <c r="S180" s="33">
        <v>1.4289407047386073E-4</v>
      </c>
      <c r="T180" s="33">
        <v>8.3280262331939621E-5</v>
      </c>
      <c r="U180" s="33">
        <v>8.3762787480959295E-5</v>
      </c>
      <c r="V180" s="33">
        <v>2.8957984874472526E-4</v>
      </c>
      <c r="W180" s="33">
        <v>3.9118588067430047E-4</v>
      </c>
      <c r="X180" s="33">
        <v>4.5108134131946768E-4</v>
      </c>
      <c r="Y180" s="33">
        <v>5.8593511647338453E-4</v>
      </c>
      <c r="Z180" s="33">
        <v>7.9347310486856386E-4</v>
      </c>
      <c r="AA180" s="33">
        <v>1.1087861173680227E-3</v>
      </c>
      <c r="AB180" s="33">
        <v>1.6479125045675636E-3</v>
      </c>
      <c r="AC180" s="33">
        <v>2.4596279096008302E-3</v>
      </c>
      <c r="AD180" s="33">
        <v>3.6800201014380216E-3</v>
      </c>
      <c r="AE180" s="33">
        <v>5.5930798579540298E-3</v>
      </c>
      <c r="AF180" s="33">
        <v>8.7889253709624426E-3</v>
      </c>
      <c r="AG180" s="33">
        <v>1.4513580457488866E-2</v>
      </c>
      <c r="AH180" s="33">
        <v>2.4746643502465367E-2</v>
      </c>
      <c r="AI180" s="33">
        <v>4.469472730188017E-2</v>
      </c>
      <c r="AJ180" s="33">
        <v>7.7113373300055341E-2</v>
      </c>
      <c r="AK180" s="33">
        <v>0.12003540014149074</v>
      </c>
      <c r="AL180" s="33">
        <v>0.16005086511529268</v>
      </c>
      <c r="AM180" s="33"/>
      <c r="AN180" s="39" t="s">
        <v>265</v>
      </c>
      <c r="AO180" s="37">
        <v>152</v>
      </c>
      <c r="AP180" s="72">
        <v>79.956000000000003</v>
      </c>
    </row>
    <row r="181" spans="1:42" x14ac:dyDescent="0.25">
      <c r="A181" s="39" t="s">
        <v>258</v>
      </c>
      <c r="B181" s="112">
        <v>484</v>
      </c>
      <c r="C181" s="38">
        <v>127575.52899999999</v>
      </c>
      <c r="D181" s="38">
        <v>128932.753</v>
      </c>
      <c r="F181" s="39" t="s">
        <v>271</v>
      </c>
      <c r="G181" s="37">
        <v>600</v>
      </c>
      <c r="H181" s="53">
        <v>20.716000000000001</v>
      </c>
      <c r="I181" s="33"/>
      <c r="J181" s="33"/>
      <c r="K181" s="33"/>
      <c r="L181" s="33"/>
      <c r="M181" s="33"/>
      <c r="O181" s="33" t="s">
        <v>278</v>
      </c>
      <c r="P181" s="33">
        <v>554</v>
      </c>
      <c r="Q181" s="33" t="s">
        <v>364</v>
      </c>
      <c r="R181" s="33">
        <v>3.7987699999999314E-3</v>
      </c>
      <c r="S181" s="33">
        <v>1.9421527917608386E-4</v>
      </c>
      <c r="T181" s="33">
        <v>6.5696408653931565E-5</v>
      </c>
      <c r="U181" s="33">
        <v>1.1598629340233682E-4</v>
      </c>
      <c r="V181" s="33">
        <v>4.883626400891026E-4</v>
      </c>
      <c r="W181" s="33">
        <v>5.8392403040591454E-4</v>
      </c>
      <c r="X181" s="33">
        <v>5.1554881914624704E-4</v>
      </c>
      <c r="Y181" s="33">
        <v>6.1647291831029767E-4</v>
      </c>
      <c r="Z181" s="33">
        <v>7.8602518509525074E-4</v>
      </c>
      <c r="AA181" s="33">
        <v>1.2187460148925231E-3</v>
      </c>
      <c r="AB181" s="33">
        <v>1.8170552141417945E-3</v>
      </c>
      <c r="AC181" s="33">
        <v>2.7344054589987549E-3</v>
      </c>
      <c r="AD181" s="33">
        <v>4.0209293011592567E-3</v>
      </c>
      <c r="AE181" s="33">
        <v>6.1978549159739244E-3</v>
      </c>
      <c r="AF181" s="33">
        <v>1.0133919004576067E-2</v>
      </c>
      <c r="AG181" s="33">
        <v>1.6491654305381499E-2</v>
      </c>
      <c r="AH181" s="33">
        <v>2.7664541035710276E-2</v>
      </c>
      <c r="AI181" s="33">
        <v>4.8126645967625621E-2</v>
      </c>
      <c r="AJ181" s="33">
        <v>8.3692962498016513E-2</v>
      </c>
      <c r="AK181" s="33">
        <v>0.12555977377651995</v>
      </c>
      <c r="AL181" s="33">
        <v>0.16388988174898697</v>
      </c>
      <c r="AM181" s="33"/>
      <c r="AN181" s="39" t="s">
        <v>266</v>
      </c>
      <c r="AO181" s="37">
        <v>170</v>
      </c>
      <c r="AP181" s="72">
        <v>77.021000000000001</v>
      </c>
    </row>
    <row r="182" spans="1:42" x14ac:dyDescent="0.25">
      <c r="A182" s="39" t="s">
        <v>259</v>
      </c>
      <c r="B182" s="112">
        <v>558</v>
      </c>
      <c r="C182" s="38">
        <v>6545.5029999999997</v>
      </c>
      <c r="D182" s="38">
        <v>6624.5540000000001</v>
      </c>
      <c r="F182" s="39" t="s">
        <v>272</v>
      </c>
      <c r="G182" s="37">
        <v>604</v>
      </c>
      <c r="H182" s="53">
        <v>18.097999999999999</v>
      </c>
      <c r="I182" s="33"/>
      <c r="J182" s="33"/>
      <c r="K182" s="33"/>
      <c r="L182" s="33"/>
      <c r="M182" s="33"/>
      <c r="O182" s="33" t="s">
        <v>279</v>
      </c>
      <c r="P182" s="33">
        <v>1835</v>
      </c>
      <c r="Q182" s="33" t="s">
        <v>364</v>
      </c>
      <c r="R182" s="33">
        <v>3.5980662688729063E-2</v>
      </c>
      <c r="S182" s="33">
        <v>2.4293813269886701E-3</v>
      </c>
      <c r="T182" s="33">
        <v>9.823516799829905E-4</v>
      </c>
      <c r="U182" s="33">
        <v>8.6487715850470774E-4</v>
      </c>
      <c r="V182" s="33">
        <v>1.4127332064613066E-3</v>
      </c>
      <c r="W182" s="33">
        <v>1.9649978164612467E-3</v>
      </c>
      <c r="X182" s="33">
        <v>2.18542662101812E-3</v>
      </c>
      <c r="Y182" s="33">
        <v>2.5265898406218175E-3</v>
      </c>
      <c r="Z182" s="33">
        <v>3.2187345414919307E-3</v>
      </c>
      <c r="AA182" s="33">
        <v>4.3026533549557116E-3</v>
      </c>
      <c r="AB182" s="33">
        <v>6.0838652644425919E-3</v>
      </c>
      <c r="AC182" s="33">
        <v>8.8138426303635952E-3</v>
      </c>
      <c r="AD182" s="33">
        <v>1.3355430494014131E-2</v>
      </c>
      <c r="AE182" s="33">
        <v>2.1690093904615976E-2</v>
      </c>
      <c r="AF182" s="33">
        <v>3.5136357608358891E-2</v>
      </c>
      <c r="AG182" s="33">
        <v>5.3488428422668363E-2</v>
      </c>
      <c r="AH182" s="33">
        <v>7.7998822673239265E-2</v>
      </c>
      <c r="AI182" s="33">
        <v>0.10713611712607919</v>
      </c>
      <c r="AJ182" s="33">
        <v>0.13678640280657139</v>
      </c>
      <c r="AK182" s="33">
        <v>0.16171835619785449</v>
      </c>
      <c r="AL182" s="33">
        <v>0.17882217395065353</v>
      </c>
      <c r="AM182" s="33"/>
      <c r="AN182" s="39" t="s">
        <v>267</v>
      </c>
      <c r="AO182" s="37">
        <v>218</v>
      </c>
      <c r="AP182" s="72">
        <v>76.701999999999998</v>
      </c>
    </row>
    <row r="183" spans="1:42" x14ac:dyDescent="0.25">
      <c r="A183" s="39" t="s">
        <v>260</v>
      </c>
      <c r="B183" s="112">
        <v>591</v>
      </c>
      <c r="C183" s="38">
        <v>4246.4399999999996</v>
      </c>
      <c r="D183" s="38">
        <v>4314.768</v>
      </c>
      <c r="F183" s="39" t="s">
        <v>273</v>
      </c>
      <c r="G183" s="37">
        <v>740</v>
      </c>
      <c r="H183" s="53">
        <v>18.666</v>
      </c>
      <c r="I183" s="33"/>
      <c r="J183" s="33"/>
      <c r="K183" s="33"/>
      <c r="L183" s="33"/>
      <c r="M183" s="33"/>
      <c r="O183" s="33" t="s">
        <v>280</v>
      </c>
      <c r="P183" s="33">
        <v>928</v>
      </c>
      <c r="Q183" s="33" t="s">
        <v>364</v>
      </c>
      <c r="R183" s="33">
        <v>3.7530736534780007E-2</v>
      </c>
      <c r="S183" s="33">
        <v>2.5469160177288446E-3</v>
      </c>
      <c r="T183" s="33">
        <v>1.0484348690497837E-3</v>
      </c>
      <c r="U183" s="33">
        <v>9.1761441894993071E-4</v>
      </c>
      <c r="V183" s="33">
        <v>1.4964592700846126E-3</v>
      </c>
      <c r="W183" s="33">
        <v>2.082526740151166E-3</v>
      </c>
      <c r="X183" s="33">
        <v>2.3186579445685636E-3</v>
      </c>
      <c r="Y183" s="33">
        <v>2.6785672356520133E-3</v>
      </c>
      <c r="Z183" s="33">
        <v>3.4029348385903862E-3</v>
      </c>
      <c r="AA183" s="33">
        <v>4.5665064631402333E-3</v>
      </c>
      <c r="AB183" s="33">
        <v>6.4827880317979382E-3</v>
      </c>
      <c r="AC183" s="33">
        <v>9.3690622918683637E-3</v>
      </c>
      <c r="AD183" s="33">
        <v>1.413976764029245E-2</v>
      </c>
      <c r="AE183" s="33">
        <v>2.3021939357801603E-2</v>
      </c>
      <c r="AF183" s="33">
        <v>3.722894019264477E-2</v>
      </c>
      <c r="AG183" s="33">
        <v>5.6874481459958472E-2</v>
      </c>
      <c r="AH183" s="33">
        <v>8.3174761499634514E-2</v>
      </c>
      <c r="AI183" s="33">
        <v>0.11377429324240636</v>
      </c>
      <c r="AJ183" s="33">
        <v>0.14368511070368925</v>
      </c>
      <c r="AK183" s="33">
        <v>0.16740977268890989</v>
      </c>
      <c r="AL183" s="33">
        <v>0.18260891678870037</v>
      </c>
      <c r="AM183" s="33"/>
      <c r="AN183" s="39" t="s">
        <v>269</v>
      </c>
      <c r="AO183" s="37">
        <v>254</v>
      </c>
      <c r="AP183" s="72">
        <v>79.73</v>
      </c>
    </row>
    <row r="184" spans="1:42" x14ac:dyDescent="0.25">
      <c r="A184" s="43" t="s">
        <v>261</v>
      </c>
      <c r="B184" s="114">
        <v>931</v>
      </c>
      <c r="C184" s="45">
        <v>427199.42499999999</v>
      </c>
      <c r="D184" s="45">
        <v>430759.772</v>
      </c>
      <c r="F184" s="39" t="s">
        <v>274</v>
      </c>
      <c r="G184" s="37">
        <v>858</v>
      </c>
      <c r="H184" s="53">
        <v>13.922000000000001</v>
      </c>
      <c r="I184" s="33"/>
      <c r="J184" s="33"/>
      <c r="K184" s="33"/>
      <c r="L184" s="33"/>
      <c r="M184" s="33"/>
      <c r="O184" s="33" t="s">
        <v>281</v>
      </c>
      <c r="P184" s="33">
        <v>242</v>
      </c>
      <c r="Q184" s="33" t="s">
        <v>364</v>
      </c>
      <c r="R184" s="33">
        <v>2.0327489999999962E-2</v>
      </c>
      <c r="S184" s="33">
        <v>1.0965807339025986E-3</v>
      </c>
      <c r="T184" s="33">
        <v>7.2825092411859626E-4</v>
      </c>
      <c r="U184" s="33">
        <v>6.7875887290512428E-4</v>
      </c>
      <c r="V184" s="33">
        <v>1.5185453179404377E-3</v>
      </c>
      <c r="W184" s="33">
        <v>2.1563365818124533E-3</v>
      </c>
      <c r="X184" s="33">
        <v>2.3915281641432853E-3</v>
      </c>
      <c r="Y184" s="33">
        <v>2.8039936499999326E-3</v>
      </c>
      <c r="Z184" s="33">
        <v>3.5914512687979555E-3</v>
      </c>
      <c r="AA184" s="33">
        <v>4.8388408359874143E-3</v>
      </c>
      <c r="AB184" s="33">
        <v>6.8665980996010702E-3</v>
      </c>
      <c r="AC184" s="33">
        <v>9.9144025039840707E-3</v>
      </c>
      <c r="AD184" s="33">
        <v>1.4400169866841899E-2</v>
      </c>
      <c r="AE184" s="33">
        <v>2.2381014757687345E-2</v>
      </c>
      <c r="AF184" s="33">
        <v>3.4740935896048833E-2</v>
      </c>
      <c r="AG184" s="33">
        <v>5.2248719569785697E-2</v>
      </c>
      <c r="AH184" s="33">
        <v>7.6233131228191808E-2</v>
      </c>
      <c r="AI184" s="33">
        <v>0.1074735981205143</v>
      </c>
      <c r="AJ184" s="33">
        <v>0.14106182345401735</v>
      </c>
      <c r="AK184" s="33">
        <v>0.16739284900489815</v>
      </c>
      <c r="AL184" s="33">
        <v>0.18357140929969654</v>
      </c>
      <c r="AM184" s="33"/>
      <c r="AN184" s="39" t="s">
        <v>270</v>
      </c>
      <c r="AO184" s="37">
        <v>328</v>
      </c>
      <c r="AP184" s="72">
        <v>69.712999999999994</v>
      </c>
    </row>
    <row r="185" spans="1:42" x14ac:dyDescent="0.25">
      <c r="A185" s="39" t="s">
        <v>262</v>
      </c>
      <c r="B185" s="112">
        <v>32</v>
      </c>
      <c r="C185" s="38">
        <v>44780.675000000003</v>
      </c>
      <c r="D185" s="38">
        <v>45195.777000000002</v>
      </c>
      <c r="F185" s="39" t="s">
        <v>275</v>
      </c>
      <c r="G185" s="37">
        <v>862</v>
      </c>
      <c r="H185" s="53">
        <v>18.029</v>
      </c>
      <c r="I185" s="33"/>
      <c r="J185" s="33"/>
      <c r="K185" s="33"/>
      <c r="L185" s="33"/>
      <c r="M185" s="33"/>
      <c r="O185" s="33" t="s">
        <v>282</v>
      </c>
      <c r="P185" s="33">
        <v>540</v>
      </c>
      <c r="Q185" s="33" t="s">
        <v>364</v>
      </c>
      <c r="R185" s="33">
        <v>1.1514809999999997E-2</v>
      </c>
      <c r="S185" s="33">
        <v>4.589244275880491E-4</v>
      </c>
      <c r="T185" s="33">
        <v>2.253132841300827E-4</v>
      </c>
      <c r="U185" s="33">
        <v>1.8970552227065454E-4</v>
      </c>
      <c r="V185" s="33">
        <v>3.5989769701487792E-4</v>
      </c>
      <c r="W185" s="33">
        <v>5.0450503541003822E-4</v>
      </c>
      <c r="X185" s="33">
        <v>5.3154045955318429E-4</v>
      </c>
      <c r="Y185" s="33">
        <v>6.193209793549883E-4</v>
      </c>
      <c r="Z185" s="33">
        <v>8.300655725723559E-4</v>
      </c>
      <c r="AA185" s="33">
        <v>1.2779738281576694E-3</v>
      </c>
      <c r="AB185" s="33">
        <v>2.2079110349268478E-3</v>
      </c>
      <c r="AC185" s="33">
        <v>3.6810959274061845E-3</v>
      </c>
      <c r="AD185" s="33">
        <v>6.2657841350223379E-3</v>
      </c>
      <c r="AE185" s="33">
        <v>1.0227670085717792E-2</v>
      </c>
      <c r="AF185" s="33">
        <v>1.7513854746024831E-2</v>
      </c>
      <c r="AG185" s="33">
        <v>2.9411914084189913E-2</v>
      </c>
      <c r="AH185" s="33">
        <v>4.7098811020886124E-2</v>
      </c>
      <c r="AI185" s="33">
        <v>7.3733946916846746E-2</v>
      </c>
      <c r="AJ185" s="33">
        <v>0.10717540644108771</v>
      </c>
      <c r="AK185" s="33">
        <v>0.13825919946378704</v>
      </c>
      <c r="AL185" s="33">
        <v>0.16387531142014236</v>
      </c>
      <c r="AM185" s="33"/>
      <c r="AN185" s="39" t="s">
        <v>271</v>
      </c>
      <c r="AO185" s="37">
        <v>600</v>
      </c>
      <c r="AP185" s="72">
        <v>74.081999999999994</v>
      </c>
    </row>
    <row r="186" spans="1:42" x14ac:dyDescent="0.25">
      <c r="A186" s="39" t="s">
        <v>263</v>
      </c>
      <c r="B186" s="112">
        <v>68</v>
      </c>
      <c r="C186" s="38">
        <v>11513.102000000001</v>
      </c>
      <c r="D186" s="38">
        <v>11673.029</v>
      </c>
      <c r="F186" s="40" t="s">
        <v>276</v>
      </c>
      <c r="G186" s="41">
        <v>927</v>
      </c>
      <c r="H186" s="58">
        <v>12.84</v>
      </c>
      <c r="I186" s="33"/>
      <c r="J186" s="33"/>
      <c r="K186" s="33"/>
      <c r="L186" s="33"/>
      <c r="M186" s="33"/>
      <c r="O186" s="33" t="s">
        <v>283</v>
      </c>
      <c r="P186" s="33">
        <v>598</v>
      </c>
      <c r="Q186" s="33" t="s">
        <v>364</v>
      </c>
      <c r="R186" s="33">
        <v>4.1960449999999982E-2</v>
      </c>
      <c r="S186" s="33">
        <v>2.8868510699793046E-3</v>
      </c>
      <c r="T186" s="33">
        <v>1.1712305312523608E-3</v>
      </c>
      <c r="U186" s="33">
        <v>9.248048587818115E-4</v>
      </c>
      <c r="V186" s="33">
        <v>1.6757583340141643E-3</v>
      </c>
      <c r="W186" s="33">
        <v>2.2605603074540904E-3</v>
      </c>
      <c r="X186" s="33">
        <v>2.4566479965569413E-3</v>
      </c>
      <c r="Y186" s="33">
        <v>2.8560635238641728E-3</v>
      </c>
      <c r="Z186" s="33">
        <v>3.6425364864785927E-3</v>
      </c>
      <c r="AA186" s="33">
        <v>4.8603904915195039E-3</v>
      </c>
      <c r="AB186" s="33">
        <v>6.8645362056300981E-3</v>
      </c>
      <c r="AC186" s="33">
        <v>9.99024337893069E-3</v>
      </c>
      <c r="AD186" s="33">
        <v>1.4667525481532696E-2</v>
      </c>
      <c r="AE186" s="33">
        <v>2.42748708132936E-2</v>
      </c>
      <c r="AF186" s="33">
        <v>3.9886843246269926E-2</v>
      </c>
      <c r="AG186" s="33">
        <v>6.1973035660190877E-2</v>
      </c>
      <c r="AH186" s="33">
        <v>8.9624425079758457E-2</v>
      </c>
      <c r="AI186" s="33">
        <v>0.12175499341576297</v>
      </c>
      <c r="AJ186" s="33">
        <v>0.15312804646691991</v>
      </c>
      <c r="AK186" s="33">
        <v>0.17494144093367678</v>
      </c>
      <c r="AL186" s="33">
        <v>0.18642112453012549</v>
      </c>
      <c r="AM186" s="33"/>
      <c r="AN186" s="39" t="s">
        <v>272</v>
      </c>
      <c r="AO186" s="37">
        <v>604</v>
      </c>
      <c r="AP186" s="72">
        <v>76.409000000000006</v>
      </c>
    </row>
    <row r="187" spans="1:42" x14ac:dyDescent="0.25">
      <c r="A187" s="39" t="s">
        <v>264</v>
      </c>
      <c r="B187" s="112">
        <v>76</v>
      </c>
      <c r="C187" s="38">
        <v>211049.519</v>
      </c>
      <c r="D187" s="38">
        <v>212559.40900000001</v>
      </c>
      <c r="F187" s="39" t="s">
        <v>277</v>
      </c>
      <c r="G187" s="37">
        <v>36</v>
      </c>
      <c r="H187" s="53">
        <v>12.879</v>
      </c>
      <c r="I187" s="33"/>
      <c r="J187" s="33"/>
      <c r="K187" s="33"/>
      <c r="L187" s="33"/>
      <c r="M187" s="33"/>
      <c r="O187" s="33" t="s">
        <v>284</v>
      </c>
      <c r="P187" s="33">
        <v>90</v>
      </c>
      <c r="Q187" s="33" t="s">
        <v>364</v>
      </c>
      <c r="R187" s="33">
        <v>1.5456410000000033E-2</v>
      </c>
      <c r="S187" s="33">
        <v>1.185059261825066E-3</v>
      </c>
      <c r="T187" s="33">
        <v>4.3456899706413371E-4</v>
      </c>
      <c r="U187" s="33">
        <v>4.0021784765494707E-4</v>
      </c>
      <c r="V187" s="33">
        <v>8.7837052473555433E-4</v>
      </c>
      <c r="W187" s="33">
        <v>1.1512833469450293E-3</v>
      </c>
      <c r="X187" s="33">
        <v>1.214610400427136E-3</v>
      </c>
      <c r="Y187" s="33">
        <v>1.4435251908193217E-3</v>
      </c>
      <c r="Z187" s="33">
        <v>1.9439613398437219E-3</v>
      </c>
      <c r="AA187" s="33">
        <v>2.7999278701697052E-3</v>
      </c>
      <c r="AB187" s="33">
        <v>4.3143020320886979E-3</v>
      </c>
      <c r="AC187" s="33">
        <v>6.7067196149096986E-3</v>
      </c>
      <c r="AD187" s="33">
        <v>1.0468477461403398E-2</v>
      </c>
      <c r="AE187" s="33">
        <v>1.5597674100623312E-2</v>
      </c>
      <c r="AF187" s="33">
        <v>2.2999236052853578E-2</v>
      </c>
      <c r="AG187" s="33">
        <v>3.5236499263685224E-2</v>
      </c>
      <c r="AH187" s="33">
        <v>5.5711063082160645E-2</v>
      </c>
      <c r="AI187" s="33">
        <v>8.329784520348002E-2</v>
      </c>
      <c r="AJ187" s="33">
        <v>0.11646687399081383</v>
      </c>
      <c r="AK187" s="33">
        <v>0.14696431176372771</v>
      </c>
      <c r="AL187" s="33">
        <v>0.17021019311485017</v>
      </c>
      <c r="AM187" s="33"/>
      <c r="AN187" s="39" t="s">
        <v>273</v>
      </c>
      <c r="AO187" s="37">
        <v>740</v>
      </c>
      <c r="AP187" s="72">
        <v>71.488</v>
      </c>
    </row>
    <row r="188" spans="1:42" x14ac:dyDescent="0.25">
      <c r="A188" s="39" t="s">
        <v>265</v>
      </c>
      <c r="B188" s="112">
        <v>152</v>
      </c>
      <c r="C188" s="38">
        <v>18952.035</v>
      </c>
      <c r="D188" s="38">
        <v>19116.208999999999</v>
      </c>
      <c r="F188" s="39" t="s">
        <v>278</v>
      </c>
      <c r="G188" s="37">
        <v>554</v>
      </c>
      <c r="H188" s="53">
        <v>12.635</v>
      </c>
      <c r="I188" s="33"/>
      <c r="J188" s="33"/>
      <c r="K188" s="33"/>
      <c r="L188" s="33"/>
      <c r="M188" s="33"/>
      <c r="O188" s="33" t="s">
        <v>285</v>
      </c>
      <c r="P188" s="33">
        <v>548</v>
      </c>
      <c r="Q188" s="33" t="s">
        <v>364</v>
      </c>
      <c r="R188" s="33">
        <v>2.2365599999999975E-2</v>
      </c>
      <c r="S188" s="33">
        <v>1.0929417991020081E-3</v>
      </c>
      <c r="T188" s="33">
        <v>4.2713469309892517E-4</v>
      </c>
      <c r="U188" s="33">
        <v>3.6316758096208623E-4</v>
      </c>
      <c r="V188" s="33">
        <v>7.3020412598037775E-4</v>
      </c>
      <c r="W188" s="33">
        <v>9.042212246174623E-4</v>
      </c>
      <c r="X188" s="33">
        <v>9.2983137088334909E-4</v>
      </c>
      <c r="Y188" s="33">
        <v>1.1272768136882424E-3</v>
      </c>
      <c r="Z188" s="33">
        <v>1.5717165040655993E-3</v>
      </c>
      <c r="AA188" s="33">
        <v>2.351146667285709E-3</v>
      </c>
      <c r="AB188" s="33">
        <v>3.7690140973061256E-3</v>
      </c>
      <c r="AC188" s="33">
        <v>6.0679485172212225E-3</v>
      </c>
      <c r="AD188" s="33">
        <v>9.7874537245933452E-3</v>
      </c>
      <c r="AE188" s="33">
        <v>1.8251739662412808E-2</v>
      </c>
      <c r="AF188" s="33">
        <v>3.3313885056041562E-2</v>
      </c>
      <c r="AG188" s="33">
        <v>5.4982650823014151E-2</v>
      </c>
      <c r="AH188" s="33">
        <v>8.3190798891907114E-2</v>
      </c>
      <c r="AI188" s="33">
        <v>0.11701161385805187</v>
      </c>
      <c r="AJ188" s="33">
        <v>0.15147798322094647</v>
      </c>
      <c r="AK188" s="33">
        <v>0.17593865686013324</v>
      </c>
      <c r="AL188" s="33">
        <v>0.18801125334265398</v>
      </c>
      <c r="AM188" s="33"/>
      <c r="AN188" s="39" t="s">
        <v>274</v>
      </c>
      <c r="AO188" s="37">
        <v>858</v>
      </c>
      <c r="AP188" s="72">
        <v>77.694999999999993</v>
      </c>
    </row>
    <row r="189" spans="1:42" x14ac:dyDescent="0.25">
      <c r="A189" s="39" t="s">
        <v>266</v>
      </c>
      <c r="B189" s="112">
        <v>170</v>
      </c>
      <c r="C189" s="38">
        <v>50339.442999999999</v>
      </c>
      <c r="D189" s="38">
        <v>50882.883999999998</v>
      </c>
      <c r="F189" s="40" t="s">
        <v>279</v>
      </c>
      <c r="G189" s="41">
        <v>1835</v>
      </c>
      <c r="H189" s="58">
        <v>26.137</v>
      </c>
      <c r="I189" s="33"/>
      <c r="J189" s="33"/>
      <c r="K189" s="33"/>
      <c r="L189" s="33"/>
      <c r="M189" s="33"/>
      <c r="O189" s="33" t="s">
        <v>286</v>
      </c>
      <c r="P189" s="33">
        <v>954</v>
      </c>
      <c r="Q189" s="33" t="s">
        <v>364</v>
      </c>
      <c r="R189" s="33">
        <v>2.497205614691702E-2</v>
      </c>
      <c r="S189" s="33">
        <v>1.7055676434165096E-3</v>
      </c>
      <c r="T189" s="33">
        <v>5.4056429642598282E-4</v>
      </c>
      <c r="U189" s="33">
        <v>4.5259636909206154E-4</v>
      </c>
      <c r="V189" s="33">
        <v>7.6467701011813426E-4</v>
      </c>
      <c r="W189" s="33">
        <v>1.0626247180489841E-3</v>
      </c>
      <c r="X189" s="33">
        <v>1.1643042260481384E-3</v>
      </c>
      <c r="Y189" s="33">
        <v>1.3576571903851328E-3</v>
      </c>
      <c r="Z189" s="33">
        <v>1.7363126965332933E-3</v>
      </c>
      <c r="AA189" s="33">
        <v>2.3093959617821896E-3</v>
      </c>
      <c r="AB189" s="33">
        <v>3.4748954389028424E-3</v>
      </c>
      <c r="AC189" s="33">
        <v>5.50487834207698E-3</v>
      </c>
      <c r="AD189" s="33">
        <v>8.5880687511889382E-3</v>
      </c>
      <c r="AE189" s="33">
        <v>1.3803428384297397E-2</v>
      </c>
      <c r="AF189" s="33">
        <v>2.221292572949176E-2</v>
      </c>
      <c r="AG189" s="33">
        <v>3.4354168972784725E-2</v>
      </c>
      <c r="AH189" s="33">
        <v>5.2035784843150558E-2</v>
      </c>
      <c r="AI189" s="33">
        <v>7.5629969665603772E-2</v>
      </c>
      <c r="AJ189" s="33">
        <v>0.10391250933789685</v>
      </c>
      <c r="AK189" s="33">
        <v>0.13321488383004759</v>
      </c>
      <c r="AL189" s="33">
        <v>0.15855828394683363</v>
      </c>
      <c r="AM189" s="33"/>
      <c r="AN189" s="39" t="s">
        <v>275</v>
      </c>
      <c r="AO189" s="37">
        <v>862</v>
      </c>
      <c r="AP189" s="72">
        <v>72.126000000000005</v>
      </c>
    </row>
    <row r="190" spans="1:42" x14ac:dyDescent="0.25">
      <c r="A190" s="39" t="s">
        <v>267</v>
      </c>
      <c r="B190" s="112">
        <v>218</v>
      </c>
      <c r="C190" s="38">
        <v>17373.656999999999</v>
      </c>
      <c r="D190" s="38">
        <v>17643.060000000001</v>
      </c>
      <c r="F190" s="43" t="s">
        <v>280</v>
      </c>
      <c r="G190" s="44">
        <v>928</v>
      </c>
      <c r="H190" s="59">
        <v>26.814</v>
      </c>
      <c r="I190" s="33"/>
      <c r="J190" s="33"/>
      <c r="K190" s="33"/>
      <c r="L190" s="33"/>
      <c r="M190" s="33"/>
      <c r="O190" s="33" t="s">
        <v>287</v>
      </c>
      <c r="P190" s="33">
        <v>316</v>
      </c>
      <c r="Q190" s="33" t="s">
        <v>364</v>
      </c>
      <c r="R190" s="33">
        <v>8.6983400000000249E-3</v>
      </c>
      <c r="S190" s="33">
        <v>3.3815387739790493E-4</v>
      </c>
      <c r="T190" s="33">
        <v>1.6921275903843575E-4</v>
      </c>
      <c r="U190" s="33">
        <v>1.4216024284291641E-4</v>
      </c>
      <c r="V190" s="33">
        <v>2.7269577066603207E-4</v>
      </c>
      <c r="W190" s="33">
        <v>3.8033073315955359E-4</v>
      </c>
      <c r="X190" s="33">
        <v>3.9418372848488829E-4</v>
      </c>
      <c r="Y190" s="33">
        <v>4.5697058013523543E-4</v>
      </c>
      <c r="Z190" s="33">
        <v>6.1512705902182544E-4</v>
      </c>
      <c r="AA190" s="33">
        <v>9.5536777855753684E-4</v>
      </c>
      <c r="AB190" s="33">
        <v>1.6815981323106213E-3</v>
      </c>
      <c r="AC190" s="33">
        <v>2.8638412276854532E-3</v>
      </c>
      <c r="AD190" s="33">
        <v>4.9767955299327565E-3</v>
      </c>
      <c r="AE190" s="33">
        <v>8.1019008560263197E-3</v>
      </c>
      <c r="AF190" s="33">
        <v>1.390171449968289E-2</v>
      </c>
      <c r="AG190" s="33">
        <v>2.3645697299824964E-2</v>
      </c>
      <c r="AH190" s="33">
        <v>3.8782906134773705E-2</v>
      </c>
      <c r="AI190" s="33">
        <v>6.2425648916811877E-2</v>
      </c>
      <c r="AJ190" s="33">
        <v>9.4032200121162188E-2</v>
      </c>
      <c r="AK190" s="33">
        <v>0.12629129308850098</v>
      </c>
      <c r="AL190" s="33">
        <v>0.15286961515893369</v>
      </c>
      <c r="AM190" s="33"/>
      <c r="AN190" s="40" t="s">
        <v>276</v>
      </c>
      <c r="AO190" s="41">
        <v>927</v>
      </c>
      <c r="AP190" s="76">
        <v>83.011220872670194</v>
      </c>
    </row>
    <row r="191" spans="1:42" x14ac:dyDescent="0.25">
      <c r="A191" s="39" t="s">
        <v>268</v>
      </c>
      <c r="B191" s="112">
        <v>238</v>
      </c>
      <c r="C191" s="38">
        <v>3.3719999999999999</v>
      </c>
      <c r="D191" s="38">
        <v>3.4830000000000001</v>
      </c>
      <c r="F191" s="39" t="s">
        <v>281</v>
      </c>
      <c r="G191" s="37">
        <v>242</v>
      </c>
      <c r="H191" s="53">
        <v>21.472999999999999</v>
      </c>
      <c r="I191" s="33"/>
      <c r="J191" s="33"/>
      <c r="K191" s="33"/>
      <c r="L191" s="33"/>
      <c r="M191" s="33"/>
      <c r="O191" s="33" t="s">
        <v>288</v>
      </c>
      <c r="P191" s="33">
        <v>296</v>
      </c>
      <c r="Q191" s="33" t="s">
        <v>364</v>
      </c>
      <c r="R191" s="33">
        <v>4.2810580000000042E-2</v>
      </c>
      <c r="S191" s="33">
        <v>2.9734736307469594E-3</v>
      </c>
      <c r="T191" s="33">
        <v>1.0102677539002773E-3</v>
      </c>
      <c r="U191" s="33">
        <v>7.7028172397112474E-4</v>
      </c>
      <c r="V191" s="33">
        <v>1.3611415838985282E-3</v>
      </c>
      <c r="W191" s="33">
        <v>1.8087283671869372E-3</v>
      </c>
      <c r="X191" s="33">
        <v>1.9320481092567449E-3</v>
      </c>
      <c r="Y191" s="33">
        <v>2.2648100574510369E-3</v>
      </c>
      <c r="Z191" s="33">
        <v>2.9664223068404175E-3</v>
      </c>
      <c r="AA191" s="33">
        <v>4.090306331880492E-3</v>
      </c>
      <c r="AB191" s="33">
        <v>5.9454738142292783E-3</v>
      </c>
      <c r="AC191" s="33">
        <v>8.8883732613264464E-3</v>
      </c>
      <c r="AD191" s="33">
        <v>1.3344731434740999E-2</v>
      </c>
      <c r="AE191" s="33">
        <v>1.8650319566401743E-2</v>
      </c>
      <c r="AF191" s="33">
        <v>2.5792278768542693E-2</v>
      </c>
      <c r="AG191" s="33">
        <v>3.7261687144411811E-2</v>
      </c>
      <c r="AH191" s="33">
        <v>5.6245524282747067E-2</v>
      </c>
      <c r="AI191" s="33">
        <v>8.1681558971999441E-2</v>
      </c>
      <c r="AJ191" s="33">
        <v>0.10897725065418802</v>
      </c>
      <c r="AK191" s="33">
        <v>0.13173376074294296</v>
      </c>
      <c r="AL191" s="33">
        <v>0.15341759745752365</v>
      </c>
      <c r="AM191" s="33"/>
      <c r="AN191" s="39" t="s">
        <v>277</v>
      </c>
      <c r="AO191" s="37">
        <v>36</v>
      </c>
      <c r="AP191" s="72">
        <v>83.198999999999998</v>
      </c>
    </row>
    <row r="192" spans="1:42" x14ac:dyDescent="0.25">
      <c r="A192" s="39" t="s">
        <v>269</v>
      </c>
      <c r="B192" s="112">
        <v>254</v>
      </c>
      <c r="C192" s="38">
        <v>290.82299999999998</v>
      </c>
      <c r="D192" s="38">
        <v>298.68200000000002</v>
      </c>
      <c r="F192" s="39" t="s">
        <v>282</v>
      </c>
      <c r="G192" s="37">
        <v>540</v>
      </c>
      <c r="H192" s="53">
        <v>14.29</v>
      </c>
      <c r="I192" s="33"/>
      <c r="J192" s="33"/>
      <c r="K192" s="33"/>
      <c r="L192" s="33"/>
      <c r="M192" s="33"/>
      <c r="O192" s="33" t="s">
        <v>290</v>
      </c>
      <c r="P192" s="33">
        <v>583</v>
      </c>
      <c r="Q192" s="33" t="s">
        <v>364</v>
      </c>
      <c r="R192" s="33">
        <v>2.3440869999999996E-2</v>
      </c>
      <c r="S192" s="33">
        <v>2.1648868307646732E-3</v>
      </c>
      <c r="T192" s="33">
        <v>6.4018629761514146E-4</v>
      </c>
      <c r="U192" s="33">
        <v>5.4743414776815629E-4</v>
      </c>
      <c r="V192" s="33">
        <v>1.0747219997257551E-3</v>
      </c>
      <c r="W192" s="33">
        <v>1.3907297498618539E-3</v>
      </c>
      <c r="X192" s="33">
        <v>1.4766862405901995E-3</v>
      </c>
      <c r="Y192" s="33">
        <v>1.7383537476311204E-3</v>
      </c>
      <c r="Z192" s="33">
        <v>2.3014617765703032E-3</v>
      </c>
      <c r="AA192" s="33">
        <v>3.2324636179329146E-3</v>
      </c>
      <c r="AB192" s="33">
        <v>4.8579253902303852E-3</v>
      </c>
      <c r="AC192" s="33">
        <v>7.4483614104042797E-3</v>
      </c>
      <c r="AD192" s="33">
        <v>1.1546852725601551E-2</v>
      </c>
      <c r="AE192" s="33">
        <v>2.1899808913202371E-2</v>
      </c>
      <c r="AF192" s="33">
        <v>4.0487706625867939E-2</v>
      </c>
      <c r="AG192" s="33">
        <v>6.4035401977734774E-2</v>
      </c>
      <c r="AH192" s="33">
        <v>9.1371027832408427E-2</v>
      </c>
      <c r="AI192" s="33">
        <v>0.12448796858623369</v>
      </c>
      <c r="AJ192" s="33">
        <v>0.15754479641058214</v>
      </c>
      <c r="AK192" s="33">
        <v>0.17929461044094072</v>
      </c>
      <c r="AL192" s="33">
        <v>0.18928679973190748</v>
      </c>
      <c r="AM192" s="33"/>
      <c r="AN192" s="39" t="s">
        <v>278</v>
      </c>
      <c r="AO192" s="37">
        <v>554</v>
      </c>
      <c r="AP192" s="72">
        <v>82.063000000000002</v>
      </c>
    </row>
    <row r="193" spans="1:42" x14ac:dyDescent="0.25">
      <c r="A193" s="39" t="s">
        <v>270</v>
      </c>
      <c r="B193" s="112">
        <v>328</v>
      </c>
      <c r="C193" s="38">
        <v>782.77499999999998</v>
      </c>
      <c r="D193" s="38">
        <v>786.55899999999997</v>
      </c>
      <c r="F193" s="39" t="s">
        <v>283</v>
      </c>
      <c r="G193" s="37">
        <v>598</v>
      </c>
      <c r="H193" s="53">
        <v>27.228999999999999</v>
      </c>
      <c r="I193" s="33"/>
      <c r="J193" s="33"/>
      <c r="K193" s="33"/>
      <c r="L193" s="33"/>
      <c r="M193" s="33"/>
      <c r="O193" s="33" t="s">
        <v>294</v>
      </c>
      <c r="P193" s="33">
        <v>957</v>
      </c>
      <c r="Q193" s="33" t="s">
        <v>364</v>
      </c>
      <c r="R193" s="33">
        <v>1.1979284297595004E-2</v>
      </c>
      <c r="S193" s="33">
        <v>5.7309001105124646E-4</v>
      </c>
      <c r="T193" s="33">
        <v>2.548889230643739E-4</v>
      </c>
      <c r="U193" s="33">
        <v>2.6503429476685739E-4</v>
      </c>
      <c r="V193" s="33">
        <v>5.0914216584103228E-4</v>
      </c>
      <c r="W193" s="33">
        <v>7.3766655425088693E-4</v>
      </c>
      <c r="X193" s="33">
        <v>8.2251937920406969E-4</v>
      </c>
      <c r="Y193" s="33">
        <v>9.6562000037187369E-4</v>
      </c>
      <c r="Z193" s="33">
        <v>1.3242781302069736E-3</v>
      </c>
      <c r="AA193" s="33">
        <v>1.9722870297208149E-3</v>
      </c>
      <c r="AB193" s="33">
        <v>3.1708343943335775E-3</v>
      </c>
      <c r="AC193" s="33">
        <v>5.1359454330277433E-3</v>
      </c>
      <c r="AD193" s="33">
        <v>8.3925762590761344E-3</v>
      </c>
      <c r="AE193" s="33">
        <v>1.3820540581927589E-2</v>
      </c>
      <c r="AF193" s="33">
        <v>2.2622970859379189E-2</v>
      </c>
      <c r="AG193" s="33">
        <v>3.5806001328406001E-2</v>
      </c>
      <c r="AH193" s="33">
        <v>5.5453181483443345E-2</v>
      </c>
      <c r="AI193" s="33">
        <v>8.1724946025171913E-2</v>
      </c>
      <c r="AJ193" s="33">
        <v>0.11257063008121085</v>
      </c>
      <c r="AK193" s="33">
        <v>0.1429324978857249</v>
      </c>
      <c r="AL193" s="33">
        <v>0.16708901668741963</v>
      </c>
      <c r="AM193" s="33"/>
      <c r="AN193" s="40" t="s">
        <v>279</v>
      </c>
      <c r="AO193" s="41">
        <v>1835</v>
      </c>
      <c r="AP193" s="76">
        <v>66.292892483955995</v>
      </c>
    </row>
    <row r="194" spans="1:42" x14ac:dyDescent="0.25">
      <c r="A194" s="39" t="s">
        <v>271</v>
      </c>
      <c r="B194" s="112">
        <v>600</v>
      </c>
      <c r="C194" s="38">
        <v>7044.6390000000001</v>
      </c>
      <c r="D194" s="38">
        <v>7132.53</v>
      </c>
      <c r="F194" s="39" t="s">
        <v>284</v>
      </c>
      <c r="G194" s="37">
        <v>90</v>
      </c>
      <c r="H194" s="53">
        <v>32.71</v>
      </c>
      <c r="I194" s="33"/>
      <c r="J194" s="33"/>
      <c r="K194" s="33"/>
      <c r="L194" s="33"/>
      <c r="M194" s="33"/>
      <c r="O194" s="33" t="s">
        <v>297</v>
      </c>
      <c r="P194" s="33">
        <v>258</v>
      </c>
      <c r="Q194" s="33" t="s">
        <v>364</v>
      </c>
      <c r="R194" s="33">
        <v>6.638940000000002E-3</v>
      </c>
      <c r="S194" s="33">
        <v>1.4233243650599967E-4</v>
      </c>
      <c r="T194" s="33">
        <v>7.8471346027760767E-5</v>
      </c>
      <c r="U194" s="33">
        <v>1.379959439583425E-4</v>
      </c>
      <c r="V194" s="33">
        <v>3.1125480381965533E-4</v>
      </c>
      <c r="W194" s="33">
        <v>4.6557090728703066E-4</v>
      </c>
      <c r="X194" s="33">
        <v>6.1841358816152703E-4</v>
      </c>
      <c r="Y194" s="33">
        <v>7.2242362598688692E-4</v>
      </c>
      <c r="Z194" s="33">
        <v>1.0228613893463357E-3</v>
      </c>
      <c r="AA194" s="33">
        <v>1.5680795880908865E-3</v>
      </c>
      <c r="AB194" s="33">
        <v>2.5660786091792976E-3</v>
      </c>
      <c r="AC194" s="33">
        <v>4.3595898866575873E-3</v>
      </c>
      <c r="AD194" s="33">
        <v>7.3646213570264596E-3</v>
      </c>
      <c r="AE194" s="33">
        <v>1.2057130751483555E-2</v>
      </c>
      <c r="AF194" s="33">
        <v>1.9066619588704425E-2</v>
      </c>
      <c r="AG194" s="33">
        <v>2.9904721151401945E-2</v>
      </c>
      <c r="AH194" s="33">
        <v>4.5389608007932972E-2</v>
      </c>
      <c r="AI194" s="33">
        <v>7.1040807573548082E-2</v>
      </c>
      <c r="AJ194" s="33">
        <v>0.10093113031133455</v>
      </c>
      <c r="AK194" s="33">
        <v>0.13117411748524505</v>
      </c>
      <c r="AL194" s="33">
        <v>0.15655511300831118</v>
      </c>
      <c r="AM194" s="33"/>
      <c r="AN194" s="43" t="s">
        <v>280</v>
      </c>
      <c r="AO194" s="44">
        <v>928</v>
      </c>
      <c r="AP194" s="77">
        <v>65.393835513297006</v>
      </c>
    </row>
    <row r="195" spans="1:42" x14ac:dyDescent="0.25">
      <c r="A195" s="39" t="s">
        <v>272</v>
      </c>
      <c r="B195" s="112">
        <v>604</v>
      </c>
      <c r="C195" s="38">
        <v>32510.462</v>
      </c>
      <c r="D195" s="38">
        <v>32971.845999999998</v>
      </c>
      <c r="F195" s="39" t="s">
        <v>285</v>
      </c>
      <c r="G195" s="37">
        <v>548</v>
      </c>
      <c r="H195" s="53">
        <v>29.797000000000001</v>
      </c>
      <c r="I195" s="33"/>
      <c r="J195" s="33"/>
      <c r="K195" s="33"/>
      <c r="L195" s="33"/>
      <c r="M195" s="33"/>
      <c r="O195" s="33" t="s">
        <v>299</v>
      </c>
      <c r="P195" s="33">
        <v>882</v>
      </c>
      <c r="Q195" s="33" t="s">
        <v>364</v>
      </c>
      <c r="R195" s="33">
        <v>1.3451919999999954E-2</v>
      </c>
      <c r="S195" s="33">
        <v>6.925258016821634E-4</v>
      </c>
      <c r="T195" s="33">
        <v>2.7272193913159863E-4</v>
      </c>
      <c r="U195" s="33">
        <v>2.4867230542658183E-4</v>
      </c>
      <c r="V195" s="33">
        <v>5.7632282540880791E-4</v>
      </c>
      <c r="W195" s="33">
        <v>7.4883444767236248E-4</v>
      </c>
      <c r="X195" s="33">
        <v>7.6641544443991705E-4</v>
      </c>
      <c r="Y195" s="33">
        <v>9.1812391512278697E-4</v>
      </c>
      <c r="Z195" s="33">
        <v>1.2856951280974299E-3</v>
      </c>
      <c r="AA195" s="33">
        <v>1.9815388611344529E-3</v>
      </c>
      <c r="AB195" s="33">
        <v>3.2649687793858671E-3</v>
      </c>
      <c r="AC195" s="33">
        <v>5.3189558398148307E-3</v>
      </c>
      <c r="AD195" s="33">
        <v>8.6035405736889538E-3</v>
      </c>
      <c r="AE195" s="33">
        <v>1.5215103235341637E-2</v>
      </c>
      <c r="AF195" s="33">
        <v>2.6465545199367089E-2</v>
      </c>
      <c r="AG195" s="33">
        <v>4.328396945983462E-2</v>
      </c>
      <c r="AH195" s="33">
        <v>6.7514354289343895E-2</v>
      </c>
      <c r="AI195" s="33">
        <v>9.9671727651561334E-2</v>
      </c>
      <c r="AJ195" s="33">
        <v>0.13589694453866549</v>
      </c>
      <c r="AK195" s="33">
        <v>0.16605347519569352</v>
      </c>
      <c r="AL195" s="33">
        <v>0.18409343663613717</v>
      </c>
      <c r="AM195" s="33"/>
      <c r="AN195" s="39" t="s">
        <v>281</v>
      </c>
      <c r="AO195" s="37">
        <v>242</v>
      </c>
      <c r="AP195" s="72">
        <v>67.272999999999996</v>
      </c>
    </row>
    <row r="196" spans="1:42" x14ac:dyDescent="0.25">
      <c r="A196" s="39" t="s">
        <v>273</v>
      </c>
      <c r="B196" s="112">
        <v>740</v>
      </c>
      <c r="C196" s="38">
        <v>581.36300000000006</v>
      </c>
      <c r="D196" s="38">
        <v>586.63400000000001</v>
      </c>
      <c r="F196" s="43" t="s">
        <v>286</v>
      </c>
      <c r="G196" s="44">
        <v>954</v>
      </c>
      <c r="H196" s="59">
        <v>20.93</v>
      </c>
      <c r="I196" s="33"/>
      <c r="J196" s="33"/>
      <c r="K196" s="33"/>
      <c r="L196" s="33"/>
      <c r="M196" s="33"/>
      <c r="O196" s="33" t="s">
        <v>301</v>
      </c>
      <c r="P196" s="33">
        <v>776</v>
      </c>
      <c r="Q196" s="33" t="s">
        <v>364</v>
      </c>
      <c r="R196" s="33">
        <v>1.2516630000000004E-2</v>
      </c>
      <c r="S196" s="33">
        <v>7.8586133556862703E-4</v>
      </c>
      <c r="T196" s="33">
        <v>3.9811078102040137E-4</v>
      </c>
      <c r="U196" s="33">
        <v>3.7813773319574111E-4</v>
      </c>
      <c r="V196" s="33">
        <v>9.4484556800651653E-4</v>
      </c>
      <c r="W196" s="33">
        <v>1.3732255950006816E-3</v>
      </c>
      <c r="X196" s="33">
        <v>1.5029202074101973E-3</v>
      </c>
      <c r="Y196" s="33">
        <v>1.7968539659716511E-3</v>
      </c>
      <c r="Z196" s="33">
        <v>2.4218398057659412E-3</v>
      </c>
      <c r="AA196" s="33">
        <v>3.4808012206002121E-3</v>
      </c>
      <c r="AB196" s="33">
        <v>5.2317906143452856E-3</v>
      </c>
      <c r="AC196" s="33">
        <v>7.9078565328276531E-3</v>
      </c>
      <c r="AD196" s="33">
        <v>1.1677580060920043E-2</v>
      </c>
      <c r="AE196" s="33">
        <v>1.8528062502888052E-2</v>
      </c>
      <c r="AF196" s="33">
        <v>2.9504773065557197E-2</v>
      </c>
      <c r="AG196" s="33">
        <v>4.5748277535170925E-2</v>
      </c>
      <c r="AH196" s="33">
        <v>6.8800985138411583E-2</v>
      </c>
      <c r="AI196" s="33">
        <v>9.9582487239060005E-2</v>
      </c>
      <c r="AJ196" s="33">
        <v>0.13436603086610061</v>
      </c>
      <c r="AK196" s="33">
        <v>0.16388950357319268</v>
      </c>
      <c r="AL196" s="33">
        <v>0.18198957321540954</v>
      </c>
      <c r="AM196" s="33"/>
      <c r="AN196" s="39" t="s">
        <v>282</v>
      </c>
      <c r="AO196" s="37">
        <v>540</v>
      </c>
      <c r="AP196" s="72">
        <v>77.28</v>
      </c>
    </row>
    <row r="197" spans="1:42" x14ac:dyDescent="0.25">
      <c r="A197" s="39" t="s">
        <v>274</v>
      </c>
      <c r="B197" s="112">
        <v>858</v>
      </c>
      <c r="C197" s="38">
        <v>3461.7310000000002</v>
      </c>
      <c r="D197" s="38">
        <v>3473.7269999999999</v>
      </c>
      <c r="F197" s="39" t="s">
        <v>287</v>
      </c>
      <c r="G197" s="37">
        <v>316</v>
      </c>
      <c r="H197" s="53">
        <v>16.617999999999999</v>
      </c>
      <c r="I197" s="33"/>
      <c r="J197" s="33"/>
      <c r="K197" s="33"/>
      <c r="L197" s="33"/>
      <c r="M197" s="33"/>
      <c r="O197" s="33" t="s">
        <v>304</v>
      </c>
      <c r="P197" s="33">
        <v>1829</v>
      </c>
      <c r="Q197" s="33" t="s">
        <v>364</v>
      </c>
      <c r="R197" s="33">
        <v>4.7120753154340491E-3</v>
      </c>
      <c r="S197" s="33">
        <v>2.2563107884173355E-4</v>
      </c>
      <c r="T197" s="33">
        <v>1.1413976468795762E-4</v>
      </c>
      <c r="U197" s="33">
        <v>1.5532103035216031E-4</v>
      </c>
      <c r="V197" s="33">
        <v>3.8381350134359808E-4</v>
      </c>
      <c r="W197" s="33">
        <v>6.8151729661503698E-4</v>
      </c>
      <c r="X197" s="33">
        <v>9.5828394301257286E-4</v>
      </c>
      <c r="Y197" s="33">
        <v>1.3225065589063452E-3</v>
      </c>
      <c r="Z197" s="33">
        <v>1.7378978143787734E-3</v>
      </c>
      <c r="AA197" s="33">
        <v>2.2723019098340761E-3</v>
      </c>
      <c r="AB197" s="33">
        <v>3.1776648591361149E-3</v>
      </c>
      <c r="AC197" s="33">
        <v>4.8460161206734529E-3</v>
      </c>
      <c r="AD197" s="33">
        <v>7.4636935383950338E-3</v>
      </c>
      <c r="AE197" s="33">
        <v>1.089183873312982E-2</v>
      </c>
      <c r="AF197" s="33">
        <v>1.4711563441531074E-2</v>
      </c>
      <c r="AG197" s="33">
        <v>2.2579723200206115E-2</v>
      </c>
      <c r="AH197" s="33">
        <v>3.661557101409111E-2</v>
      </c>
      <c r="AI197" s="33">
        <v>5.7263949755819797E-2</v>
      </c>
      <c r="AJ197" s="33">
        <v>8.4852868185686742E-2</v>
      </c>
      <c r="AK197" s="33">
        <v>0.11683433135199386</v>
      </c>
      <c r="AL197" s="33">
        <v>0.14743464204195755</v>
      </c>
      <c r="AM197" s="33"/>
      <c r="AN197" s="39" t="s">
        <v>283</v>
      </c>
      <c r="AO197" s="37">
        <v>598</v>
      </c>
      <c r="AP197" s="72">
        <v>64.150999999999996</v>
      </c>
    </row>
    <row r="198" spans="1:42" x14ac:dyDescent="0.25">
      <c r="A198" s="39" t="s">
        <v>275</v>
      </c>
      <c r="B198" s="112">
        <v>862</v>
      </c>
      <c r="C198" s="38">
        <v>28515.829000000002</v>
      </c>
      <c r="D198" s="38">
        <v>28435.942999999999</v>
      </c>
      <c r="F198" s="39" t="s">
        <v>288</v>
      </c>
      <c r="G198" s="37">
        <v>296</v>
      </c>
      <c r="H198" s="53">
        <v>28.073</v>
      </c>
      <c r="I198" s="33"/>
      <c r="J198" s="33"/>
      <c r="K198" s="33"/>
      <c r="L198" s="33"/>
      <c r="M198" s="33"/>
      <c r="O198" s="33" t="s">
        <v>305</v>
      </c>
      <c r="P198" s="33">
        <v>917</v>
      </c>
      <c r="Q198" s="33" t="s">
        <v>364</v>
      </c>
      <c r="R198" s="33">
        <v>4.1667084989900471E-3</v>
      </c>
      <c r="S198" s="33">
        <v>2.1324507540226989E-4</v>
      </c>
      <c r="T198" s="33">
        <v>1.1401282544049505E-4</v>
      </c>
      <c r="U198" s="33">
        <v>1.4876870084763228E-4</v>
      </c>
      <c r="V198" s="33">
        <v>3.1328174795831177E-4</v>
      </c>
      <c r="W198" s="33">
        <v>5.3542155418565527E-4</v>
      </c>
      <c r="X198" s="33">
        <v>8.4149167953037553E-4</v>
      </c>
      <c r="Y198" s="33">
        <v>1.299629325409714E-3</v>
      </c>
      <c r="Z198" s="33">
        <v>1.7837894869022757E-3</v>
      </c>
      <c r="AA198" s="33">
        <v>2.3590362247742623E-3</v>
      </c>
      <c r="AB198" s="33">
        <v>3.2475877990262121E-3</v>
      </c>
      <c r="AC198" s="33">
        <v>4.9214090227037138E-3</v>
      </c>
      <c r="AD198" s="33">
        <v>7.6775867797023757E-3</v>
      </c>
      <c r="AE198" s="33">
        <v>1.1344276771102803E-2</v>
      </c>
      <c r="AF198" s="33">
        <v>1.5173701417371104E-2</v>
      </c>
      <c r="AG198" s="33">
        <v>2.3203216289122499E-2</v>
      </c>
      <c r="AH198" s="33">
        <v>3.7716577624903866E-2</v>
      </c>
      <c r="AI198" s="33">
        <v>5.902844843742254E-2</v>
      </c>
      <c r="AJ198" s="33">
        <v>8.7322850999950311E-2</v>
      </c>
      <c r="AK198" s="33">
        <v>0.11970771216416264</v>
      </c>
      <c r="AL198" s="33">
        <v>0.15008359700200657</v>
      </c>
      <c r="AM198" s="33"/>
      <c r="AN198" s="39" t="s">
        <v>284</v>
      </c>
      <c r="AO198" s="37">
        <v>90</v>
      </c>
      <c r="AP198" s="72">
        <v>72.772999999999996</v>
      </c>
    </row>
    <row r="199" spans="1:42" x14ac:dyDescent="0.25">
      <c r="A199" s="40" t="s">
        <v>276</v>
      </c>
      <c r="B199" s="113">
        <v>927</v>
      </c>
      <c r="C199" s="42">
        <v>29986.261999999999</v>
      </c>
      <c r="D199" s="42">
        <v>30322.114000000001</v>
      </c>
      <c r="F199" s="39" t="s">
        <v>290</v>
      </c>
      <c r="G199" s="37">
        <v>583</v>
      </c>
      <c r="H199" s="53">
        <v>22.856999999999999</v>
      </c>
      <c r="I199" s="33"/>
      <c r="J199" s="33"/>
      <c r="K199" s="33"/>
      <c r="L199" s="33"/>
      <c r="M199" s="33"/>
      <c r="O199" s="33" t="s">
        <v>306</v>
      </c>
      <c r="P199" s="33">
        <v>923</v>
      </c>
      <c r="Q199" s="33" t="s">
        <v>364</v>
      </c>
      <c r="R199" s="33">
        <v>5.533989227701968E-3</v>
      </c>
      <c r="S199" s="33">
        <v>3.0002228666096612E-4</v>
      </c>
      <c r="T199" s="33">
        <v>1.7333839048616867E-4</v>
      </c>
      <c r="U199" s="33">
        <v>2.3008934266769234E-4</v>
      </c>
      <c r="V199" s="33">
        <v>4.7811826994895629E-4</v>
      </c>
      <c r="W199" s="33">
        <v>8.4415672776669943E-4</v>
      </c>
      <c r="X199" s="33">
        <v>1.375915128348761E-3</v>
      </c>
      <c r="Y199" s="33">
        <v>2.228046524738782E-3</v>
      </c>
      <c r="Z199" s="33">
        <v>3.1055532645151776E-3</v>
      </c>
      <c r="AA199" s="33">
        <v>3.9801113784578282E-3</v>
      </c>
      <c r="AB199" s="33">
        <v>5.3584834329405574E-3</v>
      </c>
      <c r="AC199" s="33">
        <v>7.814675312146184E-3</v>
      </c>
      <c r="AD199" s="33">
        <v>1.1533401146708073E-2</v>
      </c>
      <c r="AE199" s="33">
        <v>1.6308237502921281E-2</v>
      </c>
      <c r="AF199" s="33">
        <v>2.1993665837875244E-2</v>
      </c>
      <c r="AG199" s="33">
        <v>3.2729337136846573E-2</v>
      </c>
      <c r="AH199" s="33">
        <v>4.9910758813268341E-2</v>
      </c>
      <c r="AI199" s="33">
        <v>7.3095636220662716E-2</v>
      </c>
      <c r="AJ199" s="33">
        <v>0.10125871267988412</v>
      </c>
      <c r="AK199" s="33">
        <v>0.13087134928418154</v>
      </c>
      <c r="AL199" s="33">
        <v>0.15686285926958504</v>
      </c>
      <c r="AM199" s="33"/>
      <c r="AN199" s="39" t="s">
        <v>285</v>
      </c>
      <c r="AO199" s="37">
        <v>548</v>
      </c>
      <c r="AP199" s="72">
        <v>70.247</v>
      </c>
    </row>
    <row r="200" spans="1:42" x14ac:dyDescent="0.25">
      <c r="A200" s="39" t="s">
        <v>277</v>
      </c>
      <c r="B200" s="112">
        <v>36</v>
      </c>
      <c r="C200" s="38">
        <v>25203.200000000001</v>
      </c>
      <c r="D200" s="38">
        <v>25499.881000000001</v>
      </c>
      <c r="F200" s="43" t="s">
        <v>294</v>
      </c>
      <c r="G200" s="44">
        <v>957</v>
      </c>
      <c r="H200" s="59">
        <v>19.617999999999999</v>
      </c>
      <c r="I200" s="33"/>
      <c r="J200" s="33"/>
      <c r="K200" s="33"/>
      <c r="L200" s="33"/>
      <c r="M200" s="33"/>
      <c r="O200" s="33" t="s">
        <v>307</v>
      </c>
      <c r="P200" s="33">
        <v>112</v>
      </c>
      <c r="Q200" s="33" t="s">
        <v>364</v>
      </c>
      <c r="R200" s="33">
        <v>2.965920000000042E-3</v>
      </c>
      <c r="S200" s="33">
        <v>2.1812945451173097E-4</v>
      </c>
      <c r="T200" s="33">
        <v>1.386980248184975E-4</v>
      </c>
      <c r="U200" s="33">
        <v>1.3168610083894215E-4</v>
      </c>
      <c r="V200" s="33">
        <v>3.5169653717617841E-4</v>
      </c>
      <c r="W200" s="33">
        <v>5.987260697524903E-4</v>
      </c>
      <c r="X200" s="33">
        <v>8.7460441447060428E-4</v>
      </c>
      <c r="Y200" s="33">
        <v>1.4330866848499505E-3</v>
      </c>
      <c r="Z200" s="33">
        <v>2.2944909907093732E-3</v>
      </c>
      <c r="AA200" s="33">
        <v>3.3156186518019663E-3</v>
      </c>
      <c r="AB200" s="33">
        <v>4.9758308884574175E-3</v>
      </c>
      <c r="AC200" s="33">
        <v>7.303794833465097E-3</v>
      </c>
      <c r="AD200" s="33">
        <v>1.0865495846746462E-2</v>
      </c>
      <c r="AE200" s="33">
        <v>1.6436042866597753E-2</v>
      </c>
      <c r="AF200" s="33">
        <v>2.3166982628810194E-2</v>
      </c>
      <c r="AG200" s="33">
        <v>3.328192282230763E-2</v>
      </c>
      <c r="AH200" s="33">
        <v>5.0327355600297066E-2</v>
      </c>
      <c r="AI200" s="33">
        <v>7.7358215440379449E-2</v>
      </c>
      <c r="AJ200" s="33">
        <v>0.10976028096120835</v>
      </c>
      <c r="AK200" s="33">
        <v>0.14532450263334859</v>
      </c>
      <c r="AL200" s="33">
        <v>0.17200342448771944</v>
      </c>
      <c r="AM200" s="33"/>
      <c r="AN200" s="43" t="s">
        <v>286</v>
      </c>
      <c r="AO200" s="44">
        <v>954</v>
      </c>
      <c r="AP200" s="77">
        <v>73.142014351167703</v>
      </c>
    </row>
    <row r="201" spans="1:42" x14ac:dyDescent="0.25">
      <c r="A201" s="39" t="s">
        <v>278</v>
      </c>
      <c r="B201" s="112">
        <v>554</v>
      </c>
      <c r="C201" s="38">
        <v>4783.0619999999999</v>
      </c>
      <c r="D201" s="38">
        <v>4822.2330000000002</v>
      </c>
      <c r="F201" s="39" t="s">
        <v>297</v>
      </c>
      <c r="G201" s="37">
        <v>258</v>
      </c>
      <c r="H201" s="53">
        <v>14.824999999999999</v>
      </c>
      <c r="I201" s="33"/>
      <c r="J201" s="33"/>
      <c r="K201" s="33"/>
      <c r="L201" s="33"/>
      <c r="M201" s="33"/>
      <c r="O201" s="33" t="s">
        <v>308</v>
      </c>
      <c r="P201" s="33">
        <v>100</v>
      </c>
      <c r="Q201" s="33" t="s">
        <v>364</v>
      </c>
      <c r="R201" s="33">
        <v>6.2872199999999432E-3</v>
      </c>
      <c r="S201" s="33">
        <v>2.9419466659171174E-4</v>
      </c>
      <c r="T201" s="33">
        <v>1.4199479841383962E-4</v>
      </c>
      <c r="U201" s="33">
        <v>1.6836809920065034E-4</v>
      </c>
      <c r="V201" s="33">
        <v>4.41219319301264E-4</v>
      </c>
      <c r="W201" s="33">
        <v>5.8236631127583406E-4</v>
      </c>
      <c r="X201" s="33">
        <v>6.8015417152451484E-4</v>
      </c>
      <c r="Y201" s="33">
        <v>9.7709788609903043E-4</v>
      </c>
      <c r="Z201" s="33">
        <v>1.451836741961423E-3</v>
      </c>
      <c r="AA201" s="33">
        <v>2.4327225167702225E-3</v>
      </c>
      <c r="AB201" s="33">
        <v>4.3091716106383278E-3</v>
      </c>
      <c r="AC201" s="33">
        <v>7.0797041205687443E-3</v>
      </c>
      <c r="AD201" s="33">
        <v>1.0891843655815784E-2</v>
      </c>
      <c r="AE201" s="33">
        <v>1.5697542549870307E-2</v>
      </c>
      <c r="AF201" s="33">
        <v>2.1988035741056983E-2</v>
      </c>
      <c r="AG201" s="33">
        <v>3.1315833409297673E-2</v>
      </c>
      <c r="AH201" s="33">
        <v>4.7939476495177831E-2</v>
      </c>
      <c r="AI201" s="33">
        <v>7.7214375970854052E-2</v>
      </c>
      <c r="AJ201" s="33">
        <v>0.12904744450444883</v>
      </c>
      <c r="AK201" s="33">
        <v>0.15072573325399216</v>
      </c>
      <c r="AL201" s="33">
        <v>0.17740366801760049</v>
      </c>
      <c r="AM201" s="33"/>
      <c r="AN201" s="39" t="s">
        <v>287</v>
      </c>
      <c r="AO201" s="37">
        <v>316</v>
      </c>
      <c r="AP201" s="72">
        <v>79.765000000000001</v>
      </c>
    </row>
    <row r="202" spans="1:42" x14ac:dyDescent="0.25">
      <c r="A202" s="40" t="s">
        <v>279</v>
      </c>
      <c r="B202" s="113">
        <v>1835</v>
      </c>
      <c r="C202" s="42">
        <v>12141.786</v>
      </c>
      <c r="D202" s="42">
        <v>12355.695</v>
      </c>
      <c r="F202" s="39" t="s">
        <v>299</v>
      </c>
      <c r="G202" s="37">
        <v>882</v>
      </c>
      <c r="H202" s="53">
        <v>24.536999999999999</v>
      </c>
      <c r="I202" s="33"/>
      <c r="J202" s="33"/>
      <c r="K202" s="33"/>
      <c r="L202" s="33"/>
      <c r="M202" s="33"/>
      <c r="O202" s="33" t="s">
        <v>309</v>
      </c>
      <c r="P202" s="33">
        <v>203</v>
      </c>
      <c r="Q202" s="33" t="s">
        <v>364</v>
      </c>
      <c r="R202" s="33">
        <v>2.2733800000000336E-3</v>
      </c>
      <c r="S202" s="33">
        <v>1.3250122563631235E-4</v>
      </c>
      <c r="T202" s="33">
        <v>7.510445620508901E-5</v>
      </c>
      <c r="U202" s="33">
        <v>8.7833014746297537E-5</v>
      </c>
      <c r="V202" s="33">
        <v>2.8905677257996543E-4</v>
      </c>
      <c r="W202" s="33">
        <v>4.4049246033089657E-4</v>
      </c>
      <c r="X202" s="33">
        <v>4.844059132099748E-4</v>
      </c>
      <c r="Y202" s="33">
        <v>5.8087157919196365E-4</v>
      </c>
      <c r="Z202" s="33">
        <v>8.2766990640294126E-4</v>
      </c>
      <c r="AA202" s="33">
        <v>1.3640816660486963E-3</v>
      </c>
      <c r="AB202" s="33">
        <v>2.2823263760239289E-3</v>
      </c>
      <c r="AC202" s="33">
        <v>3.7705901808186694E-3</v>
      </c>
      <c r="AD202" s="33">
        <v>6.4214571486300373E-3</v>
      </c>
      <c r="AE202" s="33">
        <v>1.0725432021027577E-2</v>
      </c>
      <c r="AF202" s="33">
        <v>1.6394059939291706E-2</v>
      </c>
      <c r="AG202" s="33">
        <v>2.4178255234083616E-2</v>
      </c>
      <c r="AH202" s="33">
        <v>3.7326728986076516E-2</v>
      </c>
      <c r="AI202" s="33">
        <v>6.2323613419346717E-2</v>
      </c>
      <c r="AJ202" s="33">
        <v>0.10101055955148742</v>
      </c>
      <c r="AK202" s="33">
        <v>0.13979986500956521</v>
      </c>
      <c r="AL202" s="33">
        <v>0.17231954330678009</v>
      </c>
      <c r="AM202" s="33"/>
      <c r="AN202" s="39" t="s">
        <v>288</v>
      </c>
      <c r="AO202" s="37">
        <v>296</v>
      </c>
      <c r="AP202" s="72">
        <v>67.989999999999995</v>
      </c>
    </row>
    <row r="203" spans="1:42" x14ac:dyDescent="0.25">
      <c r="A203" s="43" t="s">
        <v>280</v>
      </c>
      <c r="B203" s="114">
        <v>928</v>
      </c>
      <c r="C203" s="45">
        <v>10918.534</v>
      </c>
      <c r="D203" s="45">
        <v>11122.99</v>
      </c>
      <c r="F203" s="39" t="s">
        <v>301</v>
      </c>
      <c r="G203" s="37">
        <v>776</v>
      </c>
      <c r="H203" s="53">
        <v>24.454000000000001</v>
      </c>
      <c r="I203" s="33"/>
      <c r="J203" s="33"/>
      <c r="K203" s="33"/>
      <c r="L203" s="33"/>
      <c r="M203" s="33"/>
      <c r="O203" s="33" t="s">
        <v>310</v>
      </c>
      <c r="P203" s="33">
        <v>348</v>
      </c>
      <c r="Q203" s="33" t="s">
        <v>364</v>
      </c>
      <c r="R203" s="33">
        <v>4.0543700000000536E-3</v>
      </c>
      <c r="S203" s="33">
        <v>1.473222991098113E-4</v>
      </c>
      <c r="T203" s="33">
        <v>6.8992211481402776E-5</v>
      </c>
      <c r="U203" s="33">
        <v>1.1523842088991023E-4</v>
      </c>
      <c r="V203" s="33">
        <v>2.4471813113696012E-4</v>
      </c>
      <c r="W203" s="33">
        <v>3.5425599224087371E-4</v>
      </c>
      <c r="X203" s="33">
        <v>4.3480664863557948E-4</v>
      </c>
      <c r="Y203" s="33">
        <v>5.3444292767539667E-4</v>
      </c>
      <c r="Z203" s="33">
        <v>8.4456268090895735E-4</v>
      </c>
      <c r="AA203" s="33">
        <v>1.5784442374849313E-3</v>
      </c>
      <c r="AB203" s="33">
        <v>3.5112769812918596E-3</v>
      </c>
      <c r="AC203" s="33">
        <v>7.0500144831025435E-3</v>
      </c>
      <c r="AD203" s="33">
        <v>1.1209389150327737E-2</v>
      </c>
      <c r="AE203" s="33">
        <v>1.5859036454135795E-2</v>
      </c>
      <c r="AF203" s="33">
        <v>2.0114015801543265E-2</v>
      </c>
      <c r="AG203" s="33">
        <v>2.8152705965446501E-2</v>
      </c>
      <c r="AH203" s="33">
        <v>4.2673622709565366E-2</v>
      </c>
      <c r="AI203" s="33">
        <v>6.764288558223977E-2</v>
      </c>
      <c r="AJ203" s="33">
        <v>0.10254073498840785</v>
      </c>
      <c r="AK203" s="33">
        <v>0.13381464971244209</v>
      </c>
      <c r="AL203" s="33">
        <v>0.16529658985865139</v>
      </c>
      <c r="AM203" s="33"/>
      <c r="AN203" s="39" t="s">
        <v>290</v>
      </c>
      <c r="AO203" s="37">
        <v>583</v>
      </c>
      <c r="AP203" s="72">
        <v>67.695999999999998</v>
      </c>
    </row>
    <row r="204" spans="1:42" x14ac:dyDescent="0.25">
      <c r="A204" s="39" t="s">
        <v>281</v>
      </c>
      <c r="B204" s="112">
        <v>242</v>
      </c>
      <c r="C204" s="38">
        <v>889.95500000000004</v>
      </c>
      <c r="D204" s="38">
        <v>896.44399999999996</v>
      </c>
      <c r="F204" s="40" t="s">
        <v>304</v>
      </c>
      <c r="G204" s="41">
        <v>1829</v>
      </c>
      <c r="H204" s="58">
        <v>10.879</v>
      </c>
      <c r="I204" s="33"/>
      <c r="J204" s="33"/>
      <c r="K204" s="33"/>
      <c r="L204" s="33"/>
      <c r="M204" s="33"/>
      <c r="O204" s="33" t="s">
        <v>311</v>
      </c>
      <c r="P204" s="33">
        <v>616</v>
      </c>
      <c r="Q204" s="33" t="s">
        <v>364</v>
      </c>
      <c r="R204" s="33">
        <v>3.2766800000000513E-3</v>
      </c>
      <c r="S204" s="33">
        <v>1.4436804789515206E-4</v>
      </c>
      <c r="T204" s="33">
        <v>8.0726981321061316E-5</v>
      </c>
      <c r="U204" s="33">
        <v>1.1542505743887287E-4</v>
      </c>
      <c r="V204" s="33">
        <v>3.4214622755432818E-4</v>
      </c>
      <c r="W204" s="33">
        <v>5.4318580723625371E-4</v>
      </c>
      <c r="X204" s="33">
        <v>6.0552883128827881E-4</v>
      </c>
      <c r="Y204" s="33">
        <v>7.9541340483062055E-4</v>
      </c>
      <c r="Z204" s="33">
        <v>1.1898757747939601E-3</v>
      </c>
      <c r="AA204" s="33">
        <v>1.9418194857927674E-3</v>
      </c>
      <c r="AB204" s="33">
        <v>3.2916687644262616E-3</v>
      </c>
      <c r="AC204" s="33">
        <v>5.46519915054454E-3</v>
      </c>
      <c r="AD204" s="33">
        <v>8.5436509014097228E-3</v>
      </c>
      <c r="AE204" s="33">
        <v>1.2551845674090324E-2</v>
      </c>
      <c r="AF204" s="33">
        <v>1.7394983531497626E-2</v>
      </c>
      <c r="AG204" s="33">
        <v>2.401289161379078E-2</v>
      </c>
      <c r="AH204" s="33">
        <v>3.5860687328996985E-2</v>
      </c>
      <c r="AI204" s="33">
        <v>5.6726257779482557E-2</v>
      </c>
      <c r="AJ204" s="33">
        <v>8.5797377038107886E-2</v>
      </c>
      <c r="AK204" s="33">
        <v>0.11996968051970491</v>
      </c>
      <c r="AL204" s="33">
        <v>0.15210891581364874</v>
      </c>
      <c r="AM204" s="33"/>
      <c r="AN204" s="43" t="s">
        <v>294</v>
      </c>
      <c r="AO204" s="44">
        <v>957</v>
      </c>
      <c r="AP204" s="77">
        <v>74.7285861889129</v>
      </c>
    </row>
    <row r="205" spans="1:42" x14ac:dyDescent="0.25">
      <c r="A205" s="39" t="s">
        <v>282</v>
      </c>
      <c r="B205" s="112">
        <v>540</v>
      </c>
      <c r="C205" s="38">
        <v>282.75700000000001</v>
      </c>
      <c r="D205" s="38">
        <v>285.49099999999999</v>
      </c>
      <c r="F205" s="46" t="s">
        <v>305</v>
      </c>
      <c r="G205" s="47">
        <v>917</v>
      </c>
      <c r="H205" s="71">
        <v>10.423999999999999</v>
      </c>
      <c r="I205" s="33"/>
      <c r="J205" s="33"/>
      <c r="K205" s="33"/>
      <c r="L205" s="33"/>
      <c r="M205" s="33"/>
      <c r="O205" s="33" t="s">
        <v>312</v>
      </c>
      <c r="P205" s="33">
        <v>498</v>
      </c>
      <c r="Q205" s="33" t="s">
        <v>364</v>
      </c>
      <c r="R205" s="33">
        <v>1.2356070000000037E-2</v>
      </c>
      <c r="S205" s="33">
        <v>5.1653230937185452E-4</v>
      </c>
      <c r="T205" s="33">
        <v>2.2573381524593341E-4</v>
      </c>
      <c r="U205" s="33">
        <v>1.7649731270754883E-4</v>
      </c>
      <c r="V205" s="33">
        <v>4.1222334865976097E-4</v>
      </c>
      <c r="W205" s="33">
        <v>5.5838521956235755E-4</v>
      </c>
      <c r="X205" s="33">
        <v>8.3978185065986986E-4</v>
      </c>
      <c r="Y205" s="33">
        <v>1.2911409393618447E-3</v>
      </c>
      <c r="Z205" s="33">
        <v>2.3089872457516974E-3</v>
      </c>
      <c r="AA205" s="33">
        <v>3.2472068089578732E-3</v>
      </c>
      <c r="AB205" s="33">
        <v>5.7588767309607655E-3</v>
      </c>
      <c r="AC205" s="33">
        <v>8.5519787927547056E-3</v>
      </c>
      <c r="AD205" s="33">
        <v>1.2821928563051331E-2</v>
      </c>
      <c r="AE205" s="33">
        <v>2.1091767696511721E-2</v>
      </c>
      <c r="AF205" s="33">
        <v>2.7372341396522927E-2</v>
      </c>
      <c r="AG205" s="33">
        <v>4.2432166669116665E-2</v>
      </c>
      <c r="AH205" s="33">
        <v>6.3749925590814951E-2</v>
      </c>
      <c r="AI205" s="33">
        <v>9.2125842449112899E-2</v>
      </c>
      <c r="AJ205" s="33">
        <v>0.12388987526553405</v>
      </c>
      <c r="AK205" s="33">
        <v>0.15013067830054949</v>
      </c>
      <c r="AL205" s="33">
        <v>0.17315483450424698</v>
      </c>
      <c r="AM205" s="33"/>
      <c r="AN205" s="39" t="s">
        <v>297</v>
      </c>
      <c r="AO205" s="37">
        <v>258</v>
      </c>
      <c r="AP205" s="72">
        <v>77.382999999999996</v>
      </c>
    </row>
    <row r="206" spans="1:42" x14ac:dyDescent="0.25">
      <c r="A206" s="39" t="s">
        <v>283</v>
      </c>
      <c r="B206" s="112">
        <v>598</v>
      </c>
      <c r="C206" s="38">
        <v>8776.1190000000006</v>
      </c>
      <c r="D206" s="38">
        <v>8947.027</v>
      </c>
      <c r="F206" s="43" t="s">
        <v>306</v>
      </c>
      <c r="G206" s="44">
        <v>923</v>
      </c>
      <c r="H206" s="59">
        <v>11.326000000000001</v>
      </c>
      <c r="I206" s="33"/>
      <c r="J206" s="33"/>
      <c r="K206" s="33"/>
      <c r="L206" s="33"/>
      <c r="M206" s="33"/>
      <c r="O206" s="33" t="s">
        <v>313</v>
      </c>
      <c r="P206" s="33">
        <v>642</v>
      </c>
      <c r="Q206" s="33" t="s">
        <v>364</v>
      </c>
      <c r="R206" s="33">
        <v>6.6842399999999906E-3</v>
      </c>
      <c r="S206" s="33">
        <v>3.0318405498771953E-4</v>
      </c>
      <c r="T206" s="33">
        <v>1.425041970852647E-4</v>
      </c>
      <c r="U206" s="33">
        <v>1.9484080676153404E-4</v>
      </c>
      <c r="V206" s="33">
        <v>3.6115118315283815E-4</v>
      </c>
      <c r="W206" s="33">
        <v>4.6925407599540003E-4</v>
      </c>
      <c r="X206" s="33">
        <v>6.5122811246581824E-4</v>
      </c>
      <c r="Y206" s="33">
        <v>7.452833973323812E-4</v>
      </c>
      <c r="Z206" s="33">
        <v>1.2024848958624565E-3</v>
      </c>
      <c r="AA206" s="33">
        <v>2.244420495152142E-3</v>
      </c>
      <c r="AB206" s="33">
        <v>3.5371117722346442E-3</v>
      </c>
      <c r="AC206" s="33">
        <v>6.3403521554464513E-3</v>
      </c>
      <c r="AD206" s="33">
        <v>1.0636469267600703E-2</v>
      </c>
      <c r="AE206" s="33">
        <v>1.5360327551154048E-2</v>
      </c>
      <c r="AF206" s="33">
        <v>1.9967948167314984E-2</v>
      </c>
      <c r="AG206" s="33">
        <v>2.892221027925896E-2</v>
      </c>
      <c r="AH206" s="33">
        <v>4.6247457209238875E-2</v>
      </c>
      <c r="AI206" s="33">
        <v>7.3521818180244697E-2</v>
      </c>
      <c r="AJ206" s="33">
        <v>0.10865451213048771</v>
      </c>
      <c r="AK206" s="33">
        <v>0.1428225858078819</v>
      </c>
      <c r="AL206" s="33">
        <v>0.16836792437782133</v>
      </c>
      <c r="AM206" s="33"/>
      <c r="AN206" s="39" t="s">
        <v>299</v>
      </c>
      <c r="AO206" s="37">
        <v>882</v>
      </c>
      <c r="AP206" s="72">
        <v>73.111000000000004</v>
      </c>
    </row>
    <row r="207" spans="1:42" x14ac:dyDescent="0.25">
      <c r="A207" s="39" t="s">
        <v>284</v>
      </c>
      <c r="B207" s="112">
        <v>90</v>
      </c>
      <c r="C207" s="38">
        <v>669.82100000000003</v>
      </c>
      <c r="D207" s="38">
        <v>686.87800000000004</v>
      </c>
      <c r="F207" s="39" t="s">
        <v>307</v>
      </c>
      <c r="G207" s="37">
        <v>112</v>
      </c>
      <c r="H207" s="53">
        <v>11.84</v>
      </c>
      <c r="I207" s="33"/>
      <c r="J207" s="33"/>
      <c r="K207" s="33"/>
      <c r="L207" s="33"/>
      <c r="M207" s="33"/>
      <c r="O207" s="33" t="s">
        <v>314</v>
      </c>
      <c r="P207" s="33">
        <v>643</v>
      </c>
      <c r="Q207" s="33" t="s">
        <v>364</v>
      </c>
      <c r="R207" s="33">
        <v>5.7585300000000282E-3</v>
      </c>
      <c r="S207" s="33">
        <v>3.4070948579522677E-4</v>
      </c>
      <c r="T207" s="33">
        <v>1.9714841922312582E-4</v>
      </c>
      <c r="U207" s="33">
        <v>2.5998183802878542E-4</v>
      </c>
      <c r="V207" s="33">
        <v>6.2632596472367275E-4</v>
      </c>
      <c r="W207" s="33">
        <v>1.1106532732919165E-3</v>
      </c>
      <c r="X207" s="33">
        <v>1.7836849479177434E-3</v>
      </c>
      <c r="Y207" s="33">
        <v>2.9934016833225176E-3</v>
      </c>
      <c r="Z207" s="33">
        <v>4.3898125745385399E-3</v>
      </c>
      <c r="AA207" s="33">
        <v>5.2677703075963362E-3</v>
      </c>
      <c r="AB207" s="33">
        <v>6.4730403752590159E-3</v>
      </c>
      <c r="AC207" s="33">
        <v>8.8325844058803841E-3</v>
      </c>
      <c r="AD207" s="33">
        <v>1.233125297976251E-2</v>
      </c>
      <c r="AE207" s="33">
        <v>1.7735855405113039E-2</v>
      </c>
      <c r="AF207" s="33">
        <v>2.3978999371009283E-2</v>
      </c>
      <c r="AG207" s="33">
        <v>3.3078415956344559E-2</v>
      </c>
      <c r="AH207" s="33">
        <v>4.968099062017043E-2</v>
      </c>
      <c r="AI207" s="33">
        <v>7.4722581691289675E-2</v>
      </c>
      <c r="AJ207" s="33">
        <v>0.10067078718006313</v>
      </c>
      <c r="AK207" s="33">
        <v>0.13171700181276355</v>
      </c>
      <c r="AL207" s="33">
        <v>0.15851054982588345</v>
      </c>
      <c r="AM207" s="33"/>
      <c r="AN207" s="39" t="s">
        <v>301</v>
      </c>
      <c r="AO207" s="37">
        <v>776</v>
      </c>
      <c r="AP207" s="72">
        <v>70.741</v>
      </c>
    </row>
    <row r="208" spans="1:42" x14ac:dyDescent="0.25">
      <c r="A208" s="39" t="s">
        <v>285</v>
      </c>
      <c r="B208" s="112">
        <v>548</v>
      </c>
      <c r="C208" s="38">
        <v>299.88200000000001</v>
      </c>
      <c r="D208" s="38">
        <v>307.14999999999998</v>
      </c>
      <c r="F208" s="39" t="s">
        <v>308</v>
      </c>
      <c r="G208" s="37">
        <v>100</v>
      </c>
      <c r="H208" s="53">
        <v>8.9559999999999995</v>
      </c>
      <c r="I208" s="33"/>
      <c r="J208" s="33"/>
      <c r="K208" s="33"/>
      <c r="L208" s="33"/>
      <c r="M208" s="33"/>
      <c r="O208" s="33" t="s">
        <v>315</v>
      </c>
      <c r="P208" s="33">
        <v>703</v>
      </c>
      <c r="Q208" s="33" t="s">
        <v>364</v>
      </c>
      <c r="R208" s="33">
        <v>4.7597100000000498E-3</v>
      </c>
      <c r="S208" s="33">
        <v>2.3288345772253617E-4</v>
      </c>
      <c r="T208" s="33">
        <v>1.1317761961903995E-4</v>
      </c>
      <c r="U208" s="33">
        <v>1.295959070290527E-4</v>
      </c>
      <c r="V208" s="33">
        <v>3.4657508415082309E-4</v>
      </c>
      <c r="W208" s="33">
        <v>4.9372713339430039E-4</v>
      </c>
      <c r="X208" s="33">
        <v>5.5904802715243376E-4</v>
      </c>
      <c r="Y208" s="33">
        <v>7.2658174094778914E-4</v>
      </c>
      <c r="Z208" s="33">
        <v>1.0833863589407684E-3</v>
      </c>
      <c r="AA208" s="33">
        <v>1.8060867724950655E-3</v>
      </c>
      <c r="AB208" s="33">
        <v>3.0897930545251305E-3</v>
      </c>
      <c r="AC208" s="33">
        <v>5.3554526799954004E-3</v>
      </c>
      <c r="AD208" s="33">
        <v>8.2503977771829339E-3</v>
      </c>
      <c r="AE208" s="33">
        <v>1.3037676944279425E-2</v>
      </c>
      <c r="AF208" s="33">
        <v>1.8122421031056841E-2</v>
      </c>
      <c r="AG208" s="33">
        <v>2.6504540140799865E-2</v>
      </c>
      <c r="AH208" s="33">
        <v>4.1204910107868649E-2</v>
      </c>
      <c r="AI208" s="33">
        <v>6.8608918355187454E-2</v>
      </c>
      <c r="AJ208" s="33">
        <v>0.10538294252220487</v>
      </c>
      <c r="AK208" s="33">
        <v>0.14770996879651446</v>
      </c>
      <c r="AL208" s="33">
        <v>0.17747594670992714</v>
      </c>
      <c r="AM208" s="33"/>
      <c r="AN208" s="40" t="s">
        <v>304</v>
      </c>
      <c r="AO208" s="41">
        <v>1829</v>
      </c>
      <c r="AP208" s="76">
        <v>78.527204906936802</v>
      </c>
    </row>
    <row r="209" spans="1:42" x14ac:dyDescent="0.25">
      <c r="A209" s="43" t="s">
        <v>286</v>
      </c>
      <c r="B209" s="114">
        <v>954</v>
      </c>
      <c r="C209" s="45">
        <v>543.48299999999995</v>
      </c>
      <c r="D209" s="45">
        <v>548.92700000000002</v>
      </c>
      <c r="F209" s="39" t="s">
        <v>309</v>
      </c>
      <c r="G209" s="37">
        <v>203</v>
      </c>
      <c r="H209" s="53">
        <v>10.451000000000001</v>
      </c>
      <c r="I209" s="33"/>
      <c r="J209" s="33"/>
      <c r="K209" s="33"/>
      <c r="L209" s="33"/>
      <c r="M209" s="33"/>
      <c r="O209" s="33" t="s">
        <v>316</v>
      </c>
      <c r="P209" s="33">
        <v>804</v>
      </c>
      <c r="Q209" s="33" t="s">
        <v>364</v>
      </c>
      <c r="R209" s="33">
        <v>7.1988199999999782E-3</v>
      </c>
      <c r="S209" s="33">
        <v>3.4605619626682644E-4</v>
      </c>
      <c r="T209" s="33">
        <v>2.0387382662555634E-4</v>
      </c>
      <c r="U209" s="33">
        <v>2.4994944297614867E-4</v>
      </c>
      <c r="V209" s="33">
        <v>4.9423232522274234E-4</v>
      </c>
      <c r="W209" s="33">
        <v>9.1381254585202055E-4</v>
      </c>
      <c r="X209" s="33">
        <v>1.483689618571862E-3</v>
      </c>
      <c r="Y209" s="33">
        <v>2.5375493725730974E-3</v>
      </c>
      <c r="Z209" s="33">
        <v>3.5228549990708184E-3</v>
      </c>
      <c r="AA209" s="33">
        <v>4.5385057197526437E-3</v>
      </c>
      <c r="AB209" s="33">
        <v>6.1813399154259591E-3</v>
      </c>
      <c r="AC209" s="33">
        <v>8.7357550999179606E-3</v>
      </c>
      <c r="AD209" s="33">
        <v>1.2623879431564428E-2</v>
      </c>
      <c r="AE209" s="33">
        <v>1.8374976740519189E-2</v>
      </c>
      <c r="AF209" s="33">
        <v>2.5077379297346596E-2</v>
      </c>
      <c r="AG209" s="33">
        <v>3.8590807488594267E-2</v>
      </c>
      <c r="AH209" s="33">
        <v>5.8432410142430218E-2</v>
      </c>
      <c r="AI209" s="33">
        <v>8.5062359967624401E-2</v>
      </c>
      <c r="AJ209" s="33">
        <v>0.1170299537619949</v>
      </c>
      <c r="AK209" s="33">
        <v>0.14961991461844867</v>
      </c>
      <c r="AL209" s="33">
        <v>0.17362844380260056</v>
      </c>
      <c r="AM209" s="33"/>
      <c r="AN209" s="46" t="s">
        <v>305</v>
      </c>
      <c r="AO209" s="47">
        <v>917</v>
      </c>
      <c r="AP209" s="78">
        <v>78.326606795227406</v>
      </c>
    </row>
    <row r="210" spans="1:42" x14ac:dyDescent="0.25">
      <c r="A210" s="39" t="s">
        <v>287</v>
      </c>
      <c r="B210" s="112">
        <v>316</v>
      </c>
      <c r="C210" s="38">
        <v>167.29499999999999</v>
      </c>
      <c r="D210" s="38">
        <v>168.78299999999999</v>
      </c>
      <c r="F210" s="39" t="s">
        <v>310</v>
      </c>
      <c r="G210" s="37">
        <v>348</v>
      </c>
      <c r="H210" s="53">
        <v>9.4909999999999997</v>
      </c>
      <c r="I210" s="33"/>
      <c r="J210" s="33"/>
      <c r="K210" s="33"/>
      <c r="L210" s="33"/>
      <c r="M210" s="33"/>
      <c r="O210" s="33" t="s">
        <v>317</v>
      </c>
      <c r="P210" s="33">
        <v>924</v>
      </c>
      <c r="Q210" s="33" t="s">
        <v>364</v>
      </c>
      <c r="R210" s="33">
        <v>3.3130744462540316E-3</v>
      </c>
      <c r="S210" s="33">
        <v>1.5255671727611077E-4</v>
      </c>
      <c r="T210" s="33">
        <v>7.4075263388320877E-5</v>
      </c>
      <c r="U210" s="33">
        <v>1.0218324902714452E-4</v>
      </c>
      <c r="V210" s="33">
        <v>2.3315802203407416E-4</v>
      </c>
      <c r="W210" s="33">
        <v>3.8781080711669779E-4</v>
      </c>
      <c r="X210" s="33">
        <v>5.0843750730504859E-4</v>
      </c>
      <c r="Y210" s="33">
        <v>6.6749726820572312E-4</v>
      </c>
      <c r="Z210" s="33">
        <v>9.4041468406712856E-4</v>
      </c>
      <c r="AA210" s="33">
        <v>1.4112248046208714E-3</v>
      </c>
      <c r="AB210" s="33">
        <v>2.1310328642960147E-3</v>
      </c>
      <c r="AC210" s="33">
        <v>3.2721398503520994E-3</v>
      </c>
      <c r="AD210" s="33">
        <v>5.1767976818820893E-3</v>
      </c>
      <c r="AE210" s="33">
        <v>7.9861675869179853E-3</v>
      </c>
      <c r="AF210" s="33">
        <v>1.1735385850597337E-2</v>
      </c>
      <c r="AG210" s="33">
        <v>1.9288815511707122E-2</v>
      </c>
      <c r="AH210" s="33">
        <v>3.3097596925092655E-2</v>
      </c>
      <c r="AI210" s="33">
        <v>5.4560068180945588E-2</v>
      </c>
      <c r="AJ210" s="33">
        <v>8.4465491312067306E-2</v>
      </c>
      <c r="AK210" s="33">
        <v>0.11968050583941275</v>
      </c>
      <c r="AL210" s="33">
        <v>0.15251910081067463</v>
      </c>
      <c r="AM210" s="33"/>
      <c r="AN210" s="43" t="s">
        <v>306</v>
      </c>
      <c r="AO210" s="44">
        <v>923</v>
      </c>
      <c r="AP210" s="77">
        <v>73.751669841167697</v>
      </c>
    </row>
    <row r="211" spans="1:42" x14ac:dyDescent="0.25">
      <c r="A211" s="39" t="s">
        <v>288</v>
      </c>
      <c r="B211" s="112">
        <v>296</v>
      </c>
      <c r="C211" s="38">
        <v>117.608</v>
      </c>
      <c r="D211" s="38">
        <v>119.446</v>
      </c>
      <c r="F211" s="39" t="s">
        <v>311</v>
      </c>
      <c r="G211" s="37">
        <v>616</v>
      </c>
      <c r="H211" s="53">
        <v>9.875</v>
      </c>
      <c r="I211" s="33"/>
      <c r="J211" s="33"/>
      <c r="K211" s="33"/>
      <c r="L211" s="33"/>
      <c r="M211" s="33"/>
      <c r="O211" s="33" t="s">
        <v>318</v>
      </c>
      <c r="P211" s="33">
        <v>830</v>
      </c>
      <c r="Q211" s="33" t="s">
        <v>364</v>
      </c>
      <c r="R211" s="33">
        <v>6.12125E-3</v>
      </c>
      <c r="S211" s="33">
        <v>2.4847095281994619E-4</v>
      </c>
      <c r="T211" s="33">
        <v>1.1822647794301943E-4</v>
      </c>
      <c r="U211" s="33">
        <v>9.7329042363464668E-5</v>
      </c>
      <c r="V211" s="33">
        <v>1.808249455304909E-4</v>
      </c>
      <c r="W211" s="33">
        <v>2.5330287813380624E-4</v>
      </c>
      <c r="X211" s="33">
        <v>2.6844116636650593E-4</v>
      </c>
      <c r="Y211" s="33">
        <v>3.137216715570465E-4</v>
      </c>
      <c r="Z211" s="33">
        <v>4.2239554525193252E-4</v>
      </c>
      <c r="AA211" s="33">
        <v>6.4847943595140148E-4</v>
      </c>
      <c r="AB211" s="33">
        <v>1.1244630259001414E-3</v>
      </c>
      <c r="AC211" s="33">
        <v>1.8852752016956039E-3</v>
      </c>
      <c r="AD211" s="33">
        <v>3.2755764006889045E-3</v>
      </c>
      <c r="AE211" s="33">
        <v>5.4193541928436771E-3</v>
      </c>
      <c r="AF211" s="33">
        <v>9.7254876359351115E-3</v>
      </c>
      <c r="AG211" s="33">
        <v>1.7296013540141247E-2</v>
      </c>
      <c r="AH211" s="33">
        <v>3.0020421014505132E-2</v>
      </c>
      <c r="AI211" s="33">
        <v>5.1147654093970867E-2</v>
      </c>
      <c r="AJ211" s="33">
        <v>8.0632698475813475E-2</v>
      </c>
      <c r="AK211" s="33">
        <v>0.11357936544852555</v>
      </c>
      <c r="AL211" s="33">
        <v>0.14426377044789848</v>
      </c>
      <c r="AM211" s="33"/>
      <c r="AN211" s="39" t="s">
        <v>307</v>
      </c>
      <c r="AO211" s="37">
        <v>112</v>
      </c>
      <c r="AP211" s="72">
        <v>74.489999999999995</v>
      </c>
    </row>
    <row r="212" spans="1:42" x14ac:dyDescent="0.25">
      <c r="A212" s="39" t="s">
        <v>289</v>
      </c>
      <c r="B212" s="112">
        <v>584</v>
      </c>
      <c r="C212" s="38">
        <v>58.790999999999997</v>
      </c>
      <c r="D212" s="38">
        <v>59.194000000000003</v>
      </c>
      <c r="F212" s="39" t="s">
        <v>312</v>
      </c>
      <c r="G212" s="37">
        <v>498</v>
      </c>
      <c r="H212" s="53">
        <v>10.15</v>
      </c>
      <c r="I212" s="33"/>
      <c r="J212" s="33"/>
      <c r="K212" s="33"/>
      <c r="L212" s="33"/>
      <c r="M212" s="33"/>
      <c r="O212" s="33" t="s">
        <v>319</v>
      </c>
      <c r="P212" s="33">
        <v>208</v>
      </c>
      <c r="Q212" s="33" t="s">
        <v>364</v>
      </c>
      <c r="R212" s="33">
        <v>3.133530000000028E-3</v>
      </c>
      <c r="S212" s="33">
        <v>1.2790579665096253E-4</v>
      </c>
      <c r="T212" s="33">
        <v>5.8188010927208939E-5</v>
      </c>
      <c r="U212" s="33">
        <v>6.3047994874496649E-5</v>
      </c>
      <c r="V212" s="33">
        <v>1.8727744785031192E-4</v>
      </c>
      <c r="W212" s="33">
        <v>3.0092474201569161E-4</v>
      </c>
      <c r="X212" s="33">
        <v>3.2274687437372908E-4</v>
      </c>
      <c r="Y212" s="33">
        <v>4.6014382058120128E-4</v>
      </c>
      <c r="Z212" s="33">
        <v>6.6203798173651595E-4</v>
      </c>
      <c r="AA212" s="33">
        <v>1.1271133375078087E-3</v>
      </c>
      <c r="AB212" s="33">
        <v>1.9977648920481883E-3</v>
      </c>
      <c r="AC212" s="33">
        <v>3.5692825743035101E-3</v>
      </c>
      <c r="AD212" s="33">
        <v>5.8373569664614362E-3</v>
      </c>
      <c r="AE212" s="33">
        <v>8.7190629712468101E-3</v>
      </c>
      <c r="AF212" s="33">
        <v>1.3131555073560487E-2</v>
      </c>
      <c r="AG212" s="33">
        <v>2.06277656635858E-2</v>
      </c>
      <c r="AH212" s="33">
        <v>3.4665496995697501E-2</v>
      </c>
      <c r="AI212" s="33">
        <v>5.7089884501294964E-2</v>
      </c>
      <c r="AJ212" s="33">
        <v>8.7225958145559085E-2</v>
      </c>
      <c r="AK212" s="33">
        <v>0.12686405899600486</v>
      </c>
      <c r="AL212" s="33">
        <v>0.16085563962609919</v>
      </c>
      <c r="AM212" s="33"/>
      <c r="AN212" s="39" t="s">
        <v>308</v>
      </c>
      <c r="AO212" s="37">
        <v>100</v>
      </c>
      <c r="AP212" s="72">
        <v>74.846999999999994</v>
      </c>
    </row>
    <row r="213" spans="1:42" x14ac:dyDescent="0.25">
      <c r="A213" s="39" t="s">
        <v>290</v>
      </c>
      <c r="B213" s="112">
        <v>583</v>
      </c>
      <c r="C213" s="38">
        <v>113.81100000000001</v>
      </c>
      <c r="D213" s="38">
        <v>115.021</v>
      </c>
      <c r="F213" s="39" t="s">
        <v>313</v>
      </c>
      <c r="G213" s="37">
        <v>642</v>
      </c>
      <c r="H213" s="53">
        <v>9.7840000000000007</v>
      </c>
      <c r="I213" s="33"/>
      <c r="J213" s="33"/>
      <c r="K213" s="33"/>
      <c r="L213" s="33"/>
      <c r="M213" s="33"/>
      <c r="O213" s="33" t="s">
        <v>320</v>
      </c>
      <c r="P213" s="33">
        <v>233</v>
      </c>
      <c r="Q213" s="33" t="s">
        <v>364</v>
      </c>
      <c r="R213" s="33">
        <v>1.9987699999999315E-3</v>
      </c>
      <c r="S213" s="33">
        <v>1.6388757356544946E-4</v>
      </c>
      <c r="T213" s="33">
        <v>8.8169915667953193E-5</v>
      </c>
      <c r="U213" s="33">
        <v>1.4855944832023132E-4</v>
      </c>
      <c r="V213" s="33">
        <v>3.9803775433954472E-4</v>
      </c>
      <c r="W213" s="33">
        <v>5.7183565320010786E-4</v>
      </c>
      <c r="X213" s="33">
        <v>7.6999081144270764E-4</v>
      </c>
      <c r="Y213" s="33">
        <v>1.1872427584320195E-3</v>
      </c>
      <c r="Z213" s="33">
        <v>1.4438377686711377E-3</v>
      </c>
      <c r="AA213" s="33">
        <v>2.0756121345925503E-3</v>
      </c>
      <c r="AB213" s="33">
        <v>3.005375328978788E-3</v>
      </c>
      <c r="AC213" s="33">
        <v>4.905728244514922E-3</v>
      </c>
      <c r="AD213" s="33">
        <v>7.6132067205111975E-3</v>
      </c>
      <c r="AE213" s="33">
        <v>1.2200014485192751E-2</v>
      </c>
      <c r="AF213" s="33">
        <v>1.7009036842696328E-2</v>
      </c>
      <c r="AG213" s="33">
        <v>2.4244155372384092E-2</v>
      </c>
      <c r="AH213" s="33">
        <v>3.5119630988885993E-2</v>
      </c>
      <c r="AI213" s="33">
        <v>5.6769878925175515E-2</v>
      </c>
      <c r="AJ213" s="33">
        <v>8.950702788669912E-2</v>
      </c>
      <c r="AK213" s="33">
        <v>0.12948744086880293</v>
      </c>
      <c r="AL213" s="33">
        <v>0.16601236611325967</v>
      </c>
      <c r="AM213" s="33"/>
      <c r="AN213" s="39" t="s">
        <v>309</v>
      </c>
      <c r="AO213" s="37">
        <v>203</v>
      </c>
      <c r="AP213" s="72">
        <v>79.149000000000001</v>
      </c>
    </row>
    <row r="214" spans="1:42" x14ac:dyDescent="0.25">
      <c r="A214" s="39" t="s">
        <v>291</v>
      </c>
      <c r="B214" s="112">
        <v>520</v>
      </c>
      <c r="C214" s="38">
        <v>10.763999999999999</v>
      </c>
      <c r="D214" s="38">
        <v>10.834</v>
      </c>
      <c r="F214" s="39" t="s">
        <v>314</v>
      </c>
      <c r="G214" s="37">
        <v>643</v>
      </c>
      <c r="H214" s="53">
        <v>12.77</v>
      </c>
      <c r="I214" s="33"/>
      <c r="J214" s="33"/>
      <c r="K214" s="33"/>
      <c r="L214" s="33"/>
      <c r="M214" s="33"/>
      <c r="O214" s="33" t="s">
        <v>322</v>
      </c>
      <c r="P214" s="33">
        <v>246</v>
      </c>
      <c r="Q214" s="33" t="s">
        <v>364</v>
      </c>
      <c r="R214" s="33">
        <v>1.7049999999999999E-3</v>
      </c>
      <c r="S214" s="33">
        <v>1.2125173420683546E-4</v>
      </c>
      <c r="T214" s="33">
        <v>7.322430117563161E-5</v>
      </c>
      <c r="U214" s="33">
        <v>8.121747002719378E-5</v>
      </c>
      <c r="V214" s="33">
        <v>2.9005643652672662E-4</v>
      </c>
      <c r="W214" s="33">
        <v>5.3288564904228224E-4</v>
      </c>
      <c r="X214" s="33">
        <v>6.2097901269677724E-4</v>
      </c>
      <c r="Y214" s="33">
        <v>6.9307461521860307E-4</v>
      </c>
      <c r="Z214" s="33">
        <v>8.6304273266376956E-4</v>
      </c>
      <c r="AA214" s="33">
        <v>1.2565702474630995E-3</v>
      </c>
      <c r="AB214" s="33">
        <v>2.0720858431026181E-3</v>
      </c>
      <c r="AC214" s="33">
        <v>3.3150342035062294E-3</v>
      </c>
      <c r="AD214" s="33">
        <v>5.2346639757990237E-3</v>
      </c>
      <c r="AE214" s="33">
        <v>7.7893727473411301E-3</v>
      </c>
      <c r="AF214" s="33">
        <v>1.1437306849239106E-2</v>
      </c>
      <c r="AG214" s="33">
        <v>1.6672559981314148E-2</v>
      </c>
      <c r="AH214" s="33">
        <v>2.7715022779646936E-2</v>
      </c>
      <c r="AI214" s="33">
        <v>4.8562432263238253E-2</v>
      </c>
      <c r="AJ214" s="33">
        <v>8.4046611015477585E-2</v>
      </c>
      <c r="AK214" s="33">
        <v>0.12819407618916562</v>
      </c>
      <c r="AL214" s="33">
        <v>0.16712201485726383</v>
      </c>
      <c r="AM214" s="33"/>
      <c r="AN214" s="39" t="s">
        <v>310</v>
      </c>
      <c r="AO214" s="37">
        <v>348</v>
      </c>
      <c r="AP214" s="72">
        <v>76.632999999999996</v>
      </c>
    </row>
    <row r="215" spans="1:42" x14ac:dyDescent="0.25">
      <c r="A215" s="39" t="s">
        <v>292</v>
      </c>
      <c r="B215" s="112">
        <v>580</v>
      </c>
      <c r="C215" s="38">
        <v>57.213000000000001</v>
      </c>
      <c r="D215" s="38">
        <v>57.557000000000002</v>
      </c>
      <c r="F215" s="39" t="s">
        <v>315</v>
      </c>
      <c r="G215" s="37">
        <v>703</v>
      </c>
      <c r="H215" s="53">
        <v>10.478999999999999</v>
      </c>
      <c r="I215" s="33"/>
      <c r="J215" s="33"/>
      <c r="K215" s="33"/>
      <c r="L215" s="33"/>
      <c r="M215" s="33"/>
      <c r="O215" s="33" t="s">
        <v>323</v>
      </c>
      <c r="P215" s="33">
        <v>352</v>
      </c>
      <c r="Q215" s="33" t="s">
        <v>364</v>
      </c>
      <c r="R215" s="33">
        <v>1.2596099999999568E-3</v>
      </c>
      <c r="S215" s="33">
        <v>1.2790360866453204E-4</v>
      </c>
      <c r="T215" s="33">
        <v>7.9244308387536891E-5</v>
      </c>
      <c r="U215" s="33">
        <v>1.2014224010630661E-4</v>
      </c>
      <c r="V215" s="33">
        <v>1.849936016553028E-4</v>
      </c>
      <c r="W215" s="33">
        <v>3.5037214443890636E-4</v>
      </c>
      <c r="X215" s="33">
        <v>4.0256727683658642E-4</v>
      </c>
      <c r="Y215" s="33">
        <v>5.4116971589502488E-4</v>
      </c>
      <c r="Z215" s="33">
        <v>5.7736346677908729E-4</v>
      </c>
      <c r="AA215" s="33">
        <v>1.0287496791483259E-3</v>
      </c>
      <c r="AB215" s="33">
        <v>1.24661022070432E-3</v>
      </c>
      <c r="AC215" s="33">
        <v>1.9457013736955432E-3</v>
      </c>
      <c r="AD215" s="33">
        <v>3.3593449960357077E-3</v>
      </c>
      <c r="AE215" s="33">
        <v>6.1241462670039533E-3</v>
      </c>
      <c r="AF215" s="33">
        <v>1.0528661620717175E-2</v>
      </c>
      <c r="AG215" s="33">
        <v>1.5607152632174163E-2</v>
      </c>
      <c r="AH215" s="33">
        <v>2.8621800104013509E-2</v>
      </c>
      <c r="AI215" s="33">
        <v>5.0502534250734733E-2</v>
      </c>
      <c r="AJ215" s="33">
        <v>8.590652945358887E-2</v>
      </c>
      <c r="AK215" s="33">
        <v>0.12714161211341857</v>
      </c>
      <c r="AL215" s="33">
        <v>0.16120515347786724</v>
      </c>
      <c r="AM215" s="33"/>
      <c r="AN215" s="39" t="s">
        <v>311</v>
      </c>
      <c r="AO215" s="37">
        <v>616</v>
      </c>
      <c r="AP215" s="72">
        <v>78.456999999999994</v>
      </c>
    </row>
    <row r="216" spans="1:42" x14ac:dyDescent="0.25">
      <c r="A216" s="39" t="s">
        <v>293</v>
      </c>
      <c r="B216" s="112">
        <v>585</v>
      </c>
      <c r="C216" s="38">
        <v>18.001000000000001</v>
      </c>
      <c r="D216" s="38">
        <v>18.091999999999999</v>
      </c>
      <c r="F216" s="39" t="s">
        <v>316</v>
      </c>
      <c r="G216" s="37">
        <v>804</v>
      </c>
      <c r="H216" s="53">
        <v>9.6059999999999999</v>
      </c>
      <c r="I216" s="33"/>
      <c r="J216" s="33"/>
      <c r="K216" s="33"/>
      <c r="L216" s="33"/>
      <c r="M216" s="33"/>
      <c r="O216" s="33" t="s">
        <v>324</v>
      </c>
      <c r="P216" s="33">
        <v>372</v>
      </c>
      <c r="Q216" s="33" t="s">
        <v>364</v>
      </c>
      <c r="R216" s="33">
        <v>2.7034200000000418E-3</v>
      </c>
      <c r="S216" s="33">
        <v>1.1869337805209856E-4</v>
      </c>
      <c r="T216" s="33">
        <v>6.7546589435438223E-5</v>
      </c>
      <c r="U216" s="33">
        <v>8.2261029886758965E-5</v>
      </c>
      <c r="V216" s="33">
        <v>2.4402340876266239E-4</v>
      </c>
      <c r="W216" s="33">
        <v>4.7922462030985133E-4</v>
      </c>
      <c r="X216" s="33">
        <v>4.8616924215598228E-4</v>
      </c>
      <c r="Y216" s="33">
        <v>5.8634137781292471E-4</v>
      </c>
      <c r="Z216" s="33">
        <v>7.2228650468407246E-4</v>
      </c>
      <c r="AA216" s="33">
        <v>1.0846167295999484E-3</v>
      </c>
      <c r="AB216" s="33">
        <v>1.7780799641536032E-3</v>
      </c>
      <c r="AC216" s="33">
        <v>2.7029497343935109E-3</v>
      </c>
      <c r="AD216" s="33">
        <v>4.2298636904217419E-3</v>
      </c>
      <c r="AE216" s="33">
        <v>6.6792449327596828E-3</v>
      </c>
      <c r="AF216" s="33">
        <v>1.0422807657501098E-2</v>
      </c>
      <c r="AG216" s="33">
        <v>1.6714097954503179E-2</v>
      </c>
      <c r="AH216" s="33">
        <v>2.8974576785836929E-2</v>
      </c>
      <c r="AI216" s="33">
        <v>5.2672722994978736E-2</v>
      </c>
      <c r="AJ216" s="33">
        <v>8.5625857322407267E-2</v>
      </c>
      <c r="AK216" s="33">
        <v>0.12338493464353138</v>
      </c>
      <c r="AL216" s="33">
        <v>0.15884806250971367</v>
      </c>
      <c r="AM216" s="33"/>
      <c r="AN216" s="39" t="s">
        <v>312</v>
      </c>
      <c r="AO216" s="37">
        <v>498</v>
      </c>
      <c r="AP216" s="72">
        <v>71.683999999999997</v>
      </c>
    </row>
    <row r="217" spans="1:42" x14ac:dyDescent="0.25">
      <c r="A217" s="43" t="s">
        <v>294</v>
      </c>
      <c r="B217" s="114">
        <v>957</v>
      </c>
      <c r="C217" s="45">
        <v>679.76900000000001</v>
      </c>
      <c r="D217" s="45">
        <v>683.77800000000002</v>
      </c>
      <c r="F217" s="43" t="s">
        <v>317</v>
      </c>
      <c r="G217" s="44">
        <v>924</v>
      </c>
      <c r="H217" s="59">
        <v>11.391999999999999</v>
      </c>
      <c r="I217" s="33"/>
      <c r="J217" s="33"/>
      <c r="K217" s="33"/>
      <c r="L217" s="33"/>
      <c r="M217" s="33"/>
      <c r="O217" s="33" t="s">
        <v>326</v>
      </c>
      <c r="P217" s="33">
        <v>428</v>
      </c>
      <c r="Q217" s="33" t="s">
        <v>364</v>
      </c>
      <c r="R217" s="33">
        <v>3.3437399999999614E-3</v>
      </c>
      <c r="S217" s="33">
        <v>5.3263850467363751E-4</v>
      </c>
      <c r="T217" s="33">
        <v>1.4799310345539753E-4</v>
      </c>
      <c r="U217" s="33">
        <v>1.7653103791600243E-4</v>
      </c>
      <c r="V217" s="33">
        <v>4.43135519121966E-4</v>
      </c>
      <c r="W217" s="33">
        <v>8.0084605965355024E-4</v>
      </c>
      <c r="X217" s="33">
        <v>1.2348788476042518E-3</v>
      </c>
      <c r="Y217" s="33">
        <v>1.6871411925642979E-3</v>
      </c>
      <c r="Z217" s="33">
        <v>2.5368075737624493E-3</v>
      </c>
      <c r="AA217" s="33">
        <v>3.6968327532425202E-3</v>
      </c>
      <c r="AB217" s="33">
        <v>5.1091919083095473E-3</v>
      </c>
      <c r="AC217" s="33">
        <v>7.3866628762094865E-3</v>
      </c>
      <c r="AD217" s="33">
        <v>1.1127902500973997E-2</v>
      </c>
      <c r="AE217" s="33">
        <v>1.5954866121416635E-2</v>
      </c>
      <c r="AF217" s="33">
        <v>2.2288754316130571E-2</v>
      </c>
      <c r="AG217" s="33">
        <v>3.1383852621771201E-2</v>
      </c>
      <c r="AH217" s="33">
        <v>4.4150083181236068E-2</v>
      </c>
      <c r="AI217" s="33">
        <v>6.6715554958458004E-2</v>
      </c>
      <c r="AJ217" s="33">
        <v>8.2787241335758044E-2</v>
      </c>
      <c r="AK217" s="33">
        <v>0.10893596083910624</v>
      </c>
      <c r="AL217" s="33">
        <v>0.13781796014471456</v>
      </c>
      <c r="AM217" s="33"/>
      <c r="AN217" s="39" t="s">
        <v>313</v>
      </c>
      <c r="AO217" s="37">
        <v>642</v>
      </c>
      <c r="AP217" s="72">
        <v>75.826999999999998</v>
      </c>
    </row>
    <row r="218" spans="1:42" x14ac:dyDescent="0.25">
      <c r="A218" s="39" t="s">
        <v>295</v>
      </c>
      <c r="B218" s="112">
        <v>16</v>
      </c>
      <c r="C218" s="38">
        <v>55.311999999999998</v>
      </c>
      <c r="D218" s="38">
        <v>55.197000000000003</v>
      </c>
      <c r="F218" s="39" t="s">
        <v>318</v>
      </c>
      <c r="G218" s="37">
        <v>830</v>
      </c>
      <c r="H218" s="53">
        <v>9.8369999999999997</v>
      </c>
      <c r="I218" s="33"/>
      <c r="J218" s="33"/>
      <c r="K218" s="33"/>
      <c r="L218" s="33"/>
      <c r="M218" s="33"/>
      <c r="O218" s="33" t="s">
        <v>327</v>
      </c>
      <c r="P218" s="33">
        <v>440</v>
      </c>
      <c r="Q218" s="33" t="s">
        <v>364</v>
      </c>
      <c r="R218" s="33">
        <v>4.0417799999999992E-3</v>
      </c>
      <c r="S218" s="33">
        <v>2.0956702380547037E-4</v>
      </c>
      <c r="T218" s="33">
        <v>9.2776439149737199E-5</v>
      </c>
      <c r="U218" s="33">
        <v>1.9654722411557309E-4</v>
      </c>
      <c r="V218" s="33">
        <v>4.1994829685482892E-4</v>
      </c>
      <c r="W218" s="33">
        <v>6.6608259246249326E-4</v>
      </c>
      <c r="X218" s="33">
        <v>1.1227312095336297E-3</v>
      </c>
      <c r="Y218" s="33">
        <v>1.8327131213792848E-3</v>
      </c>
      <c r="Z218" s="33">
        <v>2.6541653388849847E-3</v>
      </c>
      <c r="AA218" s="33">
        <v>3.7637619234929401E-3</v>
      </c>
      <c r="AB218" s="33">
        <v>5.4514548823880035E-3</v>
      </c>
      <c r="AC218" s="33">
        <v>7.5277305580001E-3</v>
      </c>
      <c r="AD218" s="33">
        <v>1.0764304591444155E-2</v>
      </c>
      <c r="AE218" s="33">
        <v>1.5885136199027559E-2</v>
      </c>
      <c r="AF218" s="33">
        <v>2.1376663372767543E-2</v>
      </c>
      <c r="AG218" s="33">
        <v>2.8886850591035636E-2</v>
      </c>
      <c r="AH218" s="33">
        <v>4.0321548097540801E-2</v>
      </c>
      <c r="AI218" s="33">
        <v>6.3365079589824611E-2</v>
      </c>
      <c r="AJ218" s="33">
        <v>7.6834210061493061E-2</v>
      </c>
      <c r="AK218" s="33">
        <v>0.1022697221704119</v>
      </c>
      <c r="AL218" s="33">
        <v>0.13020279674656426</v>
      </c>
      <c r="AM218" s="33"/>
      <c r="AN218" s="39" t="s">
        <v>314</v>
      </c>
      <c r="AO218" s="37">
        <v>643</v>
      </c>
      <c r="AP218" s="72">
        <v>72.289000000000001</v>
      </c>
    </row>
    <row r="219" spans="1:42" x14ac:dyDescent="0.25">
      <c r="A219" s="39" t="s">
        <v>296</v>
      </c>
      <c r="B219" s="112">
        <v>184</v>
      </c>
      <c r="C219" s="38">
        <v>17.547000000000001</v>
      </c>
      <c r="D219" s="38">
        <v>17.564</v>
      </c>
      <c r="F219" s="39" t="s">
        <v>319</v>
      </c>
      <c r="G219" s="37">
        <v>208</v>
      </c>
      <c r="H219" s="53">
        <v>10.676</v>
      </c>
      <c r="I219" s="33"/>
      <c r="J219" s="33"/>
      <c r="K219" s="33"/>
      <c r="L219" s="33"/>
      <c r="M219" s="33"/>
      <c r="O219" s="33" t="s">
        <v>328</v>
      </c>
      <c r="P219" s="33">
        <v>578</v>
      </c>
      <c r="Q219" s="33" t="s">
        <v>364</v>
      </c>
      <c r="R219" s="33">
        <v>2.0661999999999534E-3</v>
      </c>
      <c r="S219" s="33">
        <v>1.0354394249400468E-4</v>
      </c>
      <c r="T219" s="33">
        <v>6.430344166968906E-5</v>
      </c>
      <c r="U219" s="33">
        <v>7.8383492591283571E-5</v>
      </c>
      <c r="V219" s="33">
        <v>2.715244508140104E-4</v>
      </c>
      <c r="W219" s="33">
        <v>4.2551770136620609E-4</v>
      </c>
      <c r="X219" s="33">
        <v>4.6496975404327289E-4</v>
      </c>
      <c r="Y219" s="33">
        <v>5.5524545679756429E-4</v>
      </c>
      <c r="Z219" s="33">
        <v>6.8241592780080994E-4</v>
      </c>
      <c r="AA219" s="33">
        <v>9.3314180351837539E-4</v>
      </c>
      <c r="AB219" s="33">
        <v>1.5539191497739716E-3</v>
      </c>
      <c r="AC219" s="33">
        <v>2.6369242803701296E-3</v>
      </c>
      <c r="AD219" s="33">
        <v>4.2106830697192597E-3</v>
      </c>
      <c r="AE219" s="33">
        <v>6.6977099524872883E-3</v>
      </c>
      <c r="AF219" s="33">
        <v>1.0832465592935738E-2</v>
      </c>
      <c r="AG219" s="33">
        <v>1.6869772634958976E-2</v>
      </c>
      <c r="AH219" s="33">
        <v>2.9080697915797597E-2</v>
      </c>
      <c r="AI219" s="33">
        <v>5.0832460228725097E-2</v>
      </c>
      <c r="AJ219" s="33">
        <v>8.4509942891118295E-2</v>
      </c>
      <c r="AK219" s="33">
        <v>0.12884395719973013</v>
      </c>
      <c r="AL219" s="33">
        <v>0.16579055838211046</v>
      </c>
      <c r="AM219" s="33"/>
      <c r="AN219" s="39" t="s">
        <v>315</v>
      </c>
      <c r="AO219" s="37">
        <v>703</v>
      </c>
      <c r="AP219" s="72">
        <v>77.31</v>
      </c>
    </row>
    <row r="220" spans="1:42" x14ac:dyDescent="0.25">
      <c r="A220" s="39" t="s">
        <v>297</v>
      </c>
      <c r="B220" s="112">
        <v>258</v>
      </c>
      <c r="C220" s="38">
        <v>279.28500000000003</v>
      </c>
      <c r="D220" s="38">
        <v>280.904</v>
      </c>
      <c r="F220" s="39" t="s">
        <v>320</v>
      </c>
      <c r="G220" s="37">
        <v>233</v>
      </c>
      <c r="H220" s="53">
        <v>10.355</v>
      </c>
      <c r="I220" s="33"/>
      <c r="J220" s="33"/>
      <c r="K220" s="33"/>
      <c r="L220" s="33"/>
      <c r="M220" s="33"/>
      <c r="O220" s="33" t="s">
        <v>329</v>
      </c>
      <c r="P220" s="33">
        <v>752</v>
      </c>
      <c r="Q220" s="33" t="s">
        <v>364</v>
      </c>
      <c r="R220" s="33">
        <v>2.0417699999999606E-3</v>
      </c>
      <c r="S220" s="33">
        <v>1.0600894588546559E-4</v>
      </c>
      <c r="T220" s="33">
        <v>6.2520108315771856E-5</v>
      </c>
      <c r="U220" s="33">
        <v>7.9705323350717319E-5</v>
      </c>
      <c r="V220" s="33">
        <v>2.3172754726324588E-4</v>
      </c>
      <c r="W220" s="33">
        <v>4.1252186904939961E-4</v>
      </c>
      <c r="X220" s="33">
        <v>4.6762879510224266E-4</v>
      </c>
      <c r="Y220" s="33">
        <v>4.9366184470307859E-4</v>
      </c>
      <c r="Z220" s="33">
        <v>5.6300512294554079E-4</v>
      </c>
      <c r="AA220" s="33">
        <v>8.1302269072935972E-4</v>
      </c>
      <c r="AB220" s="33">
        <v>1.3882500923777029E-3</v>
      </c>
      <c r="AC220" s="33">
        <v>2.3787969371795109E-3</v>
      </c>
      <c r="AD220" s="33">
        <v>3.8741629021859549E-3</v>
      </c>
      <c r="AE220" s="33">
        <v>6.3553157070479959E-3</v>
      </c>
      <c r="AF220" s="33">
        <v>1.0200119041110702E-2</v>
      </c>
      <c r="AG220" s="33">
        <v>1.624533816334793E-2</v>
      </c>
      <c r="AH220" s="33">
        <v>2.8005395547595211E-2</v>
      </c>
      <c r="AI220" s="33">
        <v>4.9811930515486415E-2</v>
      </c>
      <c r="AJ220" s="33">
        <v>8.5475441755493972E-2</v>
      </c>
      <c r="AK220" s="33">
        <v>0.1289581317894628</v>
      </c>
      <c r="AL220" s="33">
        <v>0.16721250812830224</v>
      </c>
      <c r="AM220" s="33"/>
      <c r="AN220" s="39" t="s">
        <v>316</v>
      </c>
      <c r="AO220" s="37">
        <v>804</v>
      </c>
      <c r="AP220" s="72">
        <v>71.819000000000003</v>
      </c>
    </row>
    <row r="221" spans="1:42" x14ac:dyDescent="0.25">
      <c r="A221" s="39" t="s">
        <v>298</v>
      </c>
      <c r="B221" s="112">
        <v>570</v>
      </c>
      <c r="C221" s="38">
        <v>1.6140000000000001</v>
      </c>
      <c r="D221" s="38">
        <v>1.6180000000000001</v>
      </c>
      <c r="F221" s="39" t="s">
        <v>322</v>
      </c>
      <c r="G221" s="37">
        <v>246</v>
      </c>
      <c r="H221" s="53">
        <v>9.3510000000000009</v>
      </c>
      <c r="I221" s="33"/>
      <c r="J221" s="33"/>
      <c r="K221" s="33"/>
      <c r="L221" s="33"/>
      <c r="M221" s="33"/>
      <c r="O221" s="33" t="s">
        <v>330</v>
      </c>
      <c r="P221" s="33">
        <v>826</v>
      </c>
      <c r="Q221" s="33" t="s">
        <v>364</v>
      </c>
      <c r="R221" s="33">
        <v>3.7631200000000533E-3</v>
      </c>
      <c r="S221" s="33">
        <v>1.5676241578207114E-4</v>
      </c>
      <c r="T221" s="33">
        <v>7.3659202585678614E-5</v>
      </c>
      <c r="U221" s="33">
        <v>9.2767060059382667E-5</v>
      </c>
      <c r="V221" s="33">
        <v>2.3084813155597195E-4</v>
      </c>
      <c r="W221" s="33">
        <v>3.4895688023113466E-4</v>
      </c>
      <c r="X221" s="33">
        <v>4.6309817830991539E-4</v>
      </c>
      <c r="Y221" s="33">
        <v>6.3481676794680528E-4</v>
      </c>
      <c r="Z221" s="33">
        <v>9.2146683688401349E-4</v>
      </c>
      <c r="AA221" s="33">
        <v>1.4203674074275807E-3</v>
      </c>
      <c r="AB221" s="33">
        <v>2.0898803856522164E-3</v>
      </c>
      <c r="AC221" s="33">
        <v>3.0922672174368343E-3</v>
      </c>
      <c r="AD221" s="33">
        <v>4.8405350070438039E-3</v>
      </c>
      <c r="AE221" s="33">
        <v>7.70248796413765E-3</v>
      </c>
      <c r="AF221" s="33">
        <v>1.1610224462873367E-2</v>
      </c>
      <c r="AG221" s="33">
        <v>1.9060413407788745E-2</v>
      </c>
      <c r="AH221" s="33">
        <v>3.1302568404328636E-2</v>
      </c>
      <c r="AI221" s="33">
        <v>5.3180287866324248E-2</v>
      </c>
      <c r="AJ221" s="33">
        <v>8.6575724329581327E-2</v>
      </c>
      <c r="AK221" s="33">
        <v>0.12630159742837155</v>
      </c>
      <c r="AL221" s="33">
        <v>0.1613094174399155</v>
      </c>
      <c r="AM221" s="33"/>
      <c r="AN221" s="43" t="s">
        <v>317</v>
      </c>
      <c r="AO221" s="44">
        <v>924</v>
      </c>
      <c r="AP221" s="77">
        <v>81.018720367962501</v>
      </c>
    </row>
    <row r="222" spans="1:42" x14ac:dyDescent="0.25">
      <c r="A222" s="39" t="s">
        <v>299</v>
      </c>
      <c r="B222" s="112">
        <v>882</v>
      </c>
      <c r="C222" s="38">
        <v>197.09299999999999</v>
      </c>
      <c r="D222" s="38">
        <v>198.41</v>
      </c>
      <c r="F222" s="39" t="s">
        <v>323</v>
      </c>
      <c r="G222" s="37">
        <v>352</v>
      </c>
      <c r="H222" s="53">
        <v>12.124000000000001</v>
      </c>
      <c r="I222" s="33"/>
      <c r="J222" s="33"/>
      <c r="K222" s="33"/>
      <c r="L222" s="33"/>
      <c r="M222" s="33"/>
      <c r="O222" s="33" t="s">
        <v>331</v>
      </c>
      <c r="P222" s="33">
        <v>925</v>
      </c>
      <c r="Q222" s="33" t="s">
        <v>364</v>
      </c>
      <c r="R222" s="33">
        <v>3.118758131772047E-3</v>
      </c>
      <c r="S222" s="33">
        <v>1.4663922989540195E-4</v>
      </c>
      <c r="T222" s="33">
        <v>7.6293967082801639E-5</v>
      </c>
      <c r="U222" s="33">
        <v>9.7271581955711035E-5</v>
      </c>
      <c r="V222" s="33">
        <v>1.9324394421408751E-4</v>
      </c>
      <c r="W222" s="33">
        <v>2.8610289234922565E-4</v>
      </c>
      <c r="X222" s="33">
        <v>3.3899629029585218E-4</v>
      </c>
      <c r="Y222" s="33">
        <v>4.2860425213237972E-4</v>
      </c>
      <c r="Z222" s="33">
        <v>6.1838150871602209E-4</v>
      </c>
      <c r="AA222" s="33">
        <v>1.035019151197717E-3</v>
      </c>
      <c r="AB222" s="33">
        <v>1.8049240667730711E-3</v>
      </c>
      <c r="AC222" s="33">
        <v>2.9763740232196445E-3</v>
      </c>
      <c r="AD222" s="33">
        <v>4.6814406896703445E-3</v>
      </c>
      <c r="AE222" s="33">
        <v>7.2792921924743738E-3</v>
      </c>
      <c r="AF222" s="33">
        <v>1.0438988630875425E-2</v>
      </c>
      <c r="AG222" s="33">
        <v>1.721050789454899E-2</v>
      </c>
      <c r="AH222" s="33">
        <v>3.0441189835114114E-2</v>
      </c>
      <c r="AI222" s="33">
        <v>5.169731338202127E-2</v>
      </c>
      <c r="AJ222" s="33">
        <v>8.2215823805150343E-2</v>
      </c>
      <c r="AK222" s="33">
        <v>0.11889570893904522</v>
      </c>
      <c r="AL222" s="33">
        <v>0.15317945583062717</v>
      </c>
      <c r="AM222" s="33"/>
      <c r="AN222" s="39" t="s">
        <v>318</v>
      </c>
      <c r="AO222" s="37">
        <v>830</v>
      </c>
      <c r="AP222" s="72">
        <v>82.841999999999999</v>
      </c>
    </row>
    <row r="223" spans="1:42" x14ac:dyDescent="0.25">
      <c r="A223" s="39" t="s">
        <v>300</v>
      </c>
      <c r="B223" s="112">
        <v>772</v>
      </c>
      <c r="C223" s="38">
        <v>1.33</v>
      </c>
      <c r="D223" s="38">
        <v>1.35</v>
      </c>
      <c r="F223" s="39" t="s">
        <v>324</v>
      </c>
      <c r="G223" s="37">
        <v>372</v>
      </c>
      <c r="H223" s="53">
        <v>13.028</v>
      </c>
      <c r="I223" s="33"/>
      <c r="J223" s="33"/>
      <c r="K223" s="33"/>
      <c r="L223" s="33"/>
      <c r="M223" s="33"/>
      <c r="O223" s="33" t="s">
        <v>332</v>
      </c>
      <c r="P223" s="33">
        <v>8</v>
      </c>
      <c r="Q223" s="33" t="s">
        <v>364</v>
      </c>
      <c r="R223" s="33">
        <v>8.0318399999999377E-3</v>
      </c>
      <c r="S223" s="33">
        <v>8.4250436022062644E-4</v>
      </c>
      <c r="T223" s="33">
        <v>2.2317860981916986E-4</v>
      </c>
      <c r="U223" s="33">
        <v>2.6798997624367677E-4</v>
      </c>
      <c r="V223" s="33">
        <v>3.7176075192468263E-4</v>
      </c>
      <c r="W223" s="33">
        <v>4.2405787776233654E-4</v>
      </c>
      <c r="X223" s="33">
        <v>4.8909551098896039E-4</v>
      </c>
      <c r="Y223" s="33">
        <v>6.2990804911251211E-4</v>
      </c>
      <c r="Z223" s="33">
        <v>1.0313924221536234E-3</v>
      </c>
      <c r="AA223" s="33">
        <v>1.3959762528935795E-3</v>
      </c>
      <c r="AB223" s="33">
        <v>2.1704545902039244E-3</v>
      </c>
      <c r="AC223" s="33">
        <v>3.3020118804220071E-3</v>
      </c>
      <c r="AD223" s="33">
        <v>5.0602741383161285E-3</v>
      </c>
      <c r="AE223" s="33">
        <v>7.866762211831288E-3</v>
      </c>
      <c r="AF223" s="33">
        <v>1.3123521533742875E-2</v>
      </c>
      <c r="AG223" s="33">
        <v>2.3054826475283081E-2</v>
      </c>
      <c r="AH223" s="33">
        <v>4.1927826476598151E-2</v>
      </c>
      <c r="AI223" s="33">
        <v>7.6053886195852127E-2</v>
      </c>
      <c r="AJ223" s="33">
        <v>0.11294501020573071</v>
      </c>
      <c r="AK223" s="33">
        <v>0.15012019915822183</v>
      </c>
      <c r="AL223" s="33">
        <v>0.177809734375277</v>
      </c>
      <c r="AM223" s="33"/>
      <c r="AN223" s="39" t="s">
        <v>319</v>
      </c>
      <c r="AO223" s="37">
        <v>208</v>
      </c>
      <c r="AP223" s="72">
        <v>80.680000000000007</v>
      </c>
    </row>
    <row r="224" spans="1:42" x14ac:dyDescent="0.25">
      <c r="A224" s="39" t="s">
        <v>301</v>
      </c>
      <c r="B224" s="112">
        <v>776</v>
      </c>
      <c r="C224" s="38">
        <v>104.497</v>
      </c>
      <c r="D224" s="38">
        <v>105.697</v>
      </c>
      <c r="F224" s="39" t="s">
        <v>326</v>
      </c>
      <c r="G224" s="37">
        <v>428</v>
      </c>
      <c r="H224" s="53">
        <v>10.757</v>
      </c>
      <c r="I224" s="33"/>
      <c r="J224" s="33"/>
      <c r="K224" s="33"/>
      <c r="L224" s="33"/>
      <c r="M224" s="33"/>
      <c r="O224" s="33" t="s">
        <v>334</v>
      </c>
      <c r="P224" s="33">
        <v>70</v>
      </c>
      <c r="Q224" s="33" t="s">
        <v>364</v>
      </c>
      <c r="R224" s="33">
        <v>6.0063199999999782E-3</v>
      </c>
      <c r="S224" s="33">
        <v>1.9382668509522699E-4</v>
      </c>
      <c r="T224" s="33">
        <v>7.8816134579568219E-5</v>
      </c>
      <c r="U224" s="33">
        <v>1.4236250855910915E-4</v>
      </c>
      <c r="V224" s="33">
        <v>2.3216834662481817E-4</v>
      </c>
      <c r="W224" s="33">
        <v>3.5394296885179403E-4</v>
      </c>
      <c r="X224" s="33">
        <v>4.1900509701857375E-4</v>
      </c>
      <c r="Y224" s="33">
        <v>6.3276490838450202E-4</v>
      </c>
      <c r="Z224" s="33">
        <v>8.7107643029025658E-4</v>
      </c>
      <c r="AA224" s="33">
        <v>1.4272141124412998E-3</v>
      </c>
      <c r="AB224" s="33">
        <v>2.5831558042264573E-3</v>
      </c>
      <c r="AC224" s="33">
        <v>4.5597254547808585E-3</v>
      </c>
      <c r="AD224" s="33">
        <v>7.2805632907693195E-3</v>
      </c>
      <c r="AE224" s="33">
        <v>1.1803545063804526E-2</v>
      </c>
      <c r="AF224" s="33">
        <v>1.8687882479733471E-2</v>
      </c>
      <c r="AG224" s="33">
        <v>3.0730713953492684E-2</v>
      </c>
      <c r="AH224" s="33">
        <v>5.0403647743064516E-2</v>
      </c>
      <c r="AI224" s="33">
        <v>7.5853994123620261E-2</v>
      </c>
      <c r="AJ224" s="33">
        <v>0.1080398902564598</v>
      </c>
      <c r="AK224" s="33">
        <v>0.14120156540971807</v>
      </c>
      <c r="AL224" s="33">
        <v>0.1682036960272317</v>
      </c>
      <c r="AM224" s="33"/>
      <c r="AN224" s="39" t="s">
        <v>320</v>
      </c>
      <c r="AO224" s="37">
        <v>233</v>
      </c>
      <c r="AP224" s="72">
        <v>78.460999999999999</v>
      </c>
    </row>
    <row r="225" spans="1:42" x14ac:dyDescent="0.25">
      <c r="A225" s="39" t="s">
        <v>302</v>
      </c>
      <c r="B225" s="112">
        <v>798</v>
      </c>
      <c r="C225" s="38">
        <v>11.654999999999999</v>
      </c>
      <c r="D225" s="38">
        <v>11.792</v>
      </c>
      <c r="F225" s="39" t="s">
        <v>327</v>
      </c>
      <c r="G225" s="37">
        <v>440</v>
      </c>
      <c r="H225" s="53">
        <v>10.332000000000001</v>
      </c>
      <c r="I225" s="33"/>
      <c r="J225" s="33"/>
      <c r="K225" s="33"/>
      <c r="L225" s="33"/>
      <c r="M225" s="33"/>
      <c r="O225" s="33" t="s">
        <v>335</v>
      </c>
      <c r="P225" s="33">
        <v>191</v>
      </c>
      <c r="Q225" s="33" t="s">
        <v>364</v>
      </c>
      <c r="R225" s="33">
        <v>4.0010000000000583E-3</v>
      </c>
      <c r="S225" s="33">
        <v>1.4325315587666282E-4</v>
      </c>
      <c r="T225" s="33">
        <v>1.0720410716076714E-4</v>
      </c>
      <c r="U225" s="33">
        <v>1.0401301661360542E-4</v>
      </c>
      <c r="V225" s="33">
        <v>2.7453965411316676E-4</v>
      </c>
      <c r="W225" s="33">
        <v>3.8358033664677411E-4</v>
      </c>
      <c r="X225" s="33">
        <v>4.1817246482832413E-4</v>
      </c>
      <c r="Y225" s="33">
        <v>5.7224232233107648E-4</v>
      </c>
      <c r="Z225" s="33">
        <v>8.4044534684349413E-4</v>
      </c>
      <c r="AA225" s="33">
        <v>1.3607539528203779E-3</v>
      </c>
      <c r="AB225" s="33">
        <v>2.4097445617410947E-3</v>
      </c>
      <c r="AC225" s="33">
        <v>4.2271493558741144E-3</v>
      </c>
      <c r="AD225" s="33">
        <v>7.1177928696824991E-3</v>
      </c>
      <c r="AE225" s="33">
        <v>1.1370891999271085E-2</v>
      </c>
      <c r="AF225" s="33">
        <v>1.7083253396676597E-2</v>
      </c>
      <c r="AG225" s="33">
        <v>2.4706540060491933E-2</v>
      </c>
      <c r="AH225" s="33">
        <v>4.2792751281385044E-2</v>
      </c>
      <c r="AI225" s="33">
        <v>7.0564862698694816E-2</v>
      </c>
      <c r="AJ225" s="33">
        <v>0.10621709718948193</v>
      </c>
      <c r="AK225" s="33">
        <v>0.14749549740212584</v>
      </c>
      <c r="AL225" s="33">
        <v>0.17621079280128843</v>
      </c>
      <c r="AM225" s="33"/>
      <c r="AN225" s="39" t="s">
        <v>322</v>
      </c>
      <c r="AO225" s="37">
        <v>246</v>
      </c>
      <c r="AP225" s="72">
        <v>81.641000000000005</v>
      </c>
    </row>
    <row r="226" spans="1:42" x14ac:dyDescent="0.25">
      <c r="A226" s="39" t="s">
        <v>303</v>
      </c>
      <c r="B226" s="112">
        <v>876</v>
      </c>
      <c r="C226" s="38">
        <v>11.436</v>
      </c>
      <c r="D226" s="38">
        <v>11.246</v>
      </c>
      <c r="F226" s="39" t="s">
        <v>328</v>
      </c>
      <c r="G226" s="37">
        <v>578</v>
      </c>
      <c r="H226" s="53">
        <v>11.064</v>
      </c>
      <c r="I226" s="33"/>
      <c r="J226" s="33"/>
      <c r="K226" s="33"/>
      <c r="L226" s="33"/>
      <c r="M226" s="33"/>
      <c r="O226" s="33" t="s">
        <v>337</v>
      </c>
      <c r="P226" s="33">
        <v>300</v>
      </c>
      <c r="Q226" s="33" t="s">
        <v>364</v>
      </c>
      <c r="R226" s="33">
        <v>2.8157499999999711E-3</v>
      </c>
      <c r="S226" s="33">
        <v>1.2587944504740823E-4</v>
      </c>
      <c r="T226" s="33">
        <v>8.8003984018374912E-5</v>
      </c>
      <c r="U226" s="33">
        <v>8.6035183423362896E-5</v>
      </c>
      <c r="V226" s="33">
        <v>1.8015795563959346E-4</v>
      </c>
      <c r="W226" s="33">
        <v>3.5054747878169706E-4</v>
      </c>
      <c r="X226" s="33">
        <v>4.1671039011506426E-4</v>
      </c>
      <c r="Y226" s="33">
        <v>5.8648083499944091E-4</v>
      </c>
      <c r="Z226" s="33">
        <v>7.1012856090768757E-4</v>
      </c>
      <c r="AA226" s="33">
        <v>1.1608224352565059E-3</v>
      </c>
      <c r="AB226" s="33">
        <v>2.0915600113563756E-3</v>
      </c>
      <c r="AC226" s="33">
        <v>3.3257997411102239E-3</v>
      </c>
      <c r="AD226" s="33">
        <v>5.4657670495550431E-3</v>
      </c>
      <c r="AE226" s="33">
        <v>7.3563363775671535E-3</v>
      </c>
      <c r="AF226" s="33">
        <v>1.072724384860684E-2</v>
      </c>
      <c r="AG226" s="33">
        <v>1.4956061375636534E-2</v>
      </c>
      <c r="AH226" s="33">
        <v>2.6848365059959457E-2</v>
      </c>
      <c r="AI226" s="33">
        <v>5.0610668968232977E-2</v>
      </c>
      <c r="AJ226" s="33">
        <v>8.6534235669026127E-2</v>
      </c>
      <c r="AK226" s="33">
        <v>0.11993247874116945</v>
      </c>
      <c r="AL226" s="33">
        <v>0.15638154691225759</v>
      </c>
      <c r="AM226" s="33"/>
      <c r="AN226" s="39" t="s">
        <v>323</v>
      </c>
      <c r="AO226" s="37">
        <v>352</v>
      </c>
      <c r="AP226" s="72">
        <v>82.77</v>
      </c>
    </row>
    <row r="227" spans="1:42" x14ac:dyDescent="0.25">
      <c r="A227" s="40" t="s">
        <v>304</v>
      </c>
      <c r="B227" s="113">
        <v>1829</v>
      </c>
      <c r="C227" s="42">
        <v>1113783.7590000001</v>
      </c>
      <c r="D227" s="42">
        <v>1116505.689</v>
      </c>
      <c r="F227" s="39" t="s">
        <v>329</v>
      </c>
      <c r="G227" s="37">
        <v>752</v>
      </c>
      <c r="H227" s="53">
        <v>11.888999999999999</v>
      </c>
      <c r="I227" s="33"/>
      <c r="J227" s="33"/>
      <c r="K227" s="33"/>
      <c r="L227" s="33"/>
      <c r="M227" s="33"/>
      <c r="O227" s="33" t="s">
        <v>339</v>
      </c>
      <c r="P227" s="33">
        <v>380</v>
      </c>
      <c r="Q227" s="33" t="s">
        <v>364</v>
      </c>
      <c r="R227" s="33">
        <v>2.6010000000000581E-3</v>
      </c>
      <c r="S227" s="33">
        <v>1.1326209470831334E-4</v>
      </c>
      <c r="T227" s="33">
        <v>6.2665309042031682E-5</v>
      </c>
      <c r="U227" s="33">
        <v>7.4402381871571348E-5</v>
      </c>
      <c r="V227" s="33">
        <v>1.9545220945450177E-4</v>
      </c>
      <c r="W227" s="33">
        <v>2.71902554992019E-4</v>
      </c>
      <c r="X227" s="33">
        <v>2.8480066669799654E-4</v>
      </c>
      <c r="Y227" s="33">
        <v>3.5837193760287871E-4</v>
      </c>
      <c r="Z227" s="33">
        <v>5.0097328425437507E-4</v>
      </c>
      <c r="AA227" s="33">
        <v>8.3351600254656113E-4</v>
      </c>
      <c r="AB227" s="33">
        <v>1.4648560614319568E-3</v>
      </c>
      <c r="AC227" s="33">
        <v>2.3744794395066026E-3</v>
      </c>
      <c r="AD227" s="33">
        <v>3.6963425009526028E-3</v>
      </c>
      <c r="AE227" s="33">
        <v>5.9099477998487962E-3</v>
      </c>
      <c r="AF227" s="33">
        <v>9.2363336436841453E-3</v>
      </c>
      <c r="AG227" s="33">
        <v>1.4411406710845237E-2</v>
      </c>
      <c r="AH227" s="33">
        <v>2.5619697355039675E-2</v>
      </c>
      <c r="AI227" s="33">
        <v>4.7627150001595286E-2</v>
      </c>
      <c r="AJ227" s="33">
        <v>8.215653698251954E-2</v>
      </c>
      <c r="AK227" s="33">
        <v>0.12111105355604006</v>
      </c>
      <c r="AL227" s="33">
        <v>0.15973330340766601</v>
      </c>
      <c r="AM227" s="33"/>
      <c r="AN227" s="39" t="s">
        <v>324</v>
      </c>
      <c r="AO227" s="37">
        <v>372</v>
      </c>
      <c r="AP227" s="72">
        <v>82.046000000000006</v>
      </c>
    </row>
    <row r="228" spans="1:42" x14ac:dyDescent="0.25">
      <c r="A228" s="46" t="s">
        <v>305</v>
      </c>
      <c r="B228" s="115">
        <v>917</v>
      </c>
      <c r="C228" s="48">
        <v>747182.81499999994</v>
      </c>
      <c r="D228" s="48">
        <v>747636.04500000004</v>
      </c>
      <c r="F228" s="39" t="s">
        <v>330</v>
      </c>
      <c r="G228" s="37">
        <v>826</v>
      </c>
      <c r="H228" s="53">
        <v>11.542999999999999</v>
      </c>
      <c r="I228" s="33"/>
      <c r="J228" s="33"/>
      <c r="K228" s="33"/>
      <c r="L228" s="33"/>
      <c r="M228" s="33"/>
      <c r="O228" s="33" t="s">
        <v>340</v>
      </c>
      <c r="P228" s="33">
        <v>470</v>
      </c>
      <c r="Q228" s="33" t="s">
        <v>364</v>
      </c>
      <c r="R228" s="33">
        <v>4.9704399999999441E-3</v>
      </c>
      <c r="S228" s="33">
        <v>1.5657575037269028E-4</v>
      </c>
      <c r="T228" s="33">
        <v>1.3465722268051194E-4</v>
      </c>
      <c r="U228" s="33">
        <v>1.2872824430329959E-4</v>
      </c>
      <c r="V228" s="33">
        <v>1.5386610076572533E-4</v>
      </c>
      <c r="W228" s="33">
        <v>3.5316161238661131E-4</v>
      </c>
      <c r="X228" s="33">
        <v>3.1529578678047556E-4</v>
      </c>
      <c r="Y228" s="33">
        <v>6.0816405487407904E-4</v>
      </c>
      <c r="Z228" s="33">
        <v>6.4913213166222167E-4</v>
      </c>
      <c r="AA228" s="33">
        <v>9.5553814315363914E-4</v>
      </c>
      <c r="AB228" s="33">
        <v>1.1794346777211802E-3</v>
      </c>
      <c r="AC228" s="33">
        <v>2.3926373516048125E-3</v>
      </c>
      <c r="AD228" s="33">
        <v>3.7209910496296991E-3</v>
      </c>
      <c r="AE228" s="33">
        <v>5.8816270378597895E-3</v>
      </c>
      <c r="AF228" s="33">
        <v>9.3784308556522696E-3</v>
      </c>
      <c r="AG228" s="33">
        <v>1.6454507244073786E-2</v>
      </c>
      <c r="AH228" s="33">
        <v>3.0755614869282327E-2</v>
      </c>
      <c r="AI228" s="33">
        <v>5.2760648612578238E-2</v>
      </c>
      <c r="AJ228" s="33">
        <v>8.6089337049518877E-2</v>
      </c>
      <c r="AK228" s="33">
        <v>0.12321185778744732</v>
      </c>
      <c r="AL228" s="33">
        <v>0.15592628839772604</v>
      </c>
      <c r="AM228" s="33"/>
      <c r="AN228" s="39" t="s">
        <v>326</v>
      </c>
      <c r="AO228" s="37">
        <v>428</v>
      </c>
      <c r="AP228" s="72">
        <v>75.052999999999997</v>
      </c>
    </row>
    <row r="229" spans="1:42" x14ac:dyDescent="0.25">
      <c r="A229" s="43" t="s">
        <v>306</v>
      </c>
      <c r="B229" s="114">
        <v>923</v>
      </c>
      <c r="C229" s="45">
        <v>293444.92099999997</v>
      </c>
      <c r="D229" s="45">
        <v>293013.21000000002</v>
      </c>
      <c r="F229" s="43" t="s">
        <v>331</v>
      </c>
      <c r="G229" s="44">
        <v>925</v>
      </c>
      <c r="H229" s="59">
        <v>8.2629999999999999</v>
      </c>
      <c r="I229" s="33"/>
      <c r="J229" s="33"/>
      <c r="K229" s="33"/>
      <c r="L229" s="33"/>
      <c r="M229" s="33"/>
      <c r="O229" s="33" t="s">
        <v>341</v>
      </c>
      <c r="P229" s="33">
        <v>499</v>
      </c>
      <c r="Q229" s="33" t="s">
        <v>364</v>
      </c>
      <c r="R229" s="33">
        <v>2.7589900000000488E-3</v>
      </c>
      <c r="S229" s="33">
        <v>1.0978288989539571E-4</v>
      </c>
      <c r="T229" s="33">
        <v>1.2963041677568015E-4</v>
      </c>
      <c r="U229" s="33">
        <v>1.4090750613701859E-4</v>
      </c>
      <c r="V229" s="33">
        <v>2.598449485189175E-4</v>
      </c>
      <c r="W229" s="33">
        <v>3.8511837498975804E-4</v>
      </c>
      <c r="X229" s="33">
        <v>5.8594049785019419E-4</v>
      </c>
      <c r="Y229" s="33">
        <v>5.8344926577957336E-4</v>
      </c>
      <c r="Z229" s="33">
        <v>9.7097040585871115E-4</v>
      </c>
      <c r="AA229" s="33">
        <v>1.506992281523925E-3</v>
      </c>
      <c r="AB229" s="33">
        <v>2.5610333053270123E-3</v>
      </c>
      <c r="AC229" s="33">
        <v>4.7821152331354623E-3</v>
      </c>
      <c r="AD229" s="33">
        <v>8.5308074137273905E-3</v>
      </c>
      <c r="AE229" s="33">
        <v>1.2795081982261316E-2</v>
      </c>
      <c r="AF229" s="33">
        <v>2.1186155006874843E-2</v>
      </c>
      <c r="AG229" s="33">
        <v>3.0975367630566662E-2</v>
      </c>
      <c r="AH229" s="33">
        <v>5.1451402750234264E-2</v>
      </c>
      <c r="AI229" s="33">
        <v>8.1119943211650655E-2</v>
      </c>
      <c r="AJ229" s="33">
        <v>0.11760632921694675</v>
      </c>
      <c r="AK229" s="33">
        <v>0.15578243420900695</v>
      </c>
      <c r="AL229" s="33">
        <v>0.17912229417993825</v>
      </c>
      <c r="AM229" s="33"/>
      <c r="AN229" s="39" t="s">
        <v>327</v>
      </c>
      <c r="AO229" s="37">
        <v>440</v>
      </c>
      <c r="AP229" s="72">
        <v>75.653999999999996</v>
      </c>
    </row>
    <row r="230" spans="1:42" x14ac:dyDescent="0.25">
      <c r="A230" s="39" t="s">
        <v>307</v>
      </c>
      <c r="B230" s="112">
        <v>112</v>
      </c>
      <c r="C230" s="38">
        <v>9452.4089999999997</v>
      </c>
      <c r="D230" s="38">
        <v>9449.3209999999999</v>
      </c>
      <c r="F230" s="39" t="s">
        <v>332</v>
      </c>
      <c r="G230" s="37">
        <v>8</v>
      </c>
      <c r="H230" s="53">
        <v>11.794</v>
      </c>
      <c r="I230" s="33"/>
      <c r="J230" s="33"/>
      <c r="K230" s="33"/>
      <c r="L230" s="33"/>
      <c r="M230" s="33"/>
      <c r="O230" s="33" t="s">
        <v>342</v>
      </c>
      <c r="P230" s="33">
        <v>807</v>
      </c>
      <c r="Q230" s="33" t="s">
        <v>364</v>
      </c>
      <c r="R230" s="33">
        <v>1.0689299999999929E-2</v>
      </c>
      <c r="S230" s="33">
        <v>2.8470833278163265E-4</v>
      </c>
      <c r="T230" s="33">
        <v>1.3947401943468035E-4</v>
      </c>
      <c r="U230" s="33">
        <v>1.8519791661506717E-4</v>
      </c>
      <c r="V230" s="33">
        <v>2.9154437980480287E-4</v>
      </c>
      <c r="W230" s="33">
        <v>3.1370898138433545E-4</v>
      </c>
      <c r="X230" s="33">
        <v>4.6769149685376116E-4</v>
      </c>
      <c r="Y230" s="33">
        <v>5.5872788768333251E-4</v>
      </c>
      <c r="Z230" s="33">
        <v>8.9107250634433259E-4</v>
      </c>
      <c r="AA230" s="33">
        <v>1.6274428777812763E-3</v>
      </c>
      <c r="AB230" s="33">
        <v>2.5136345377276231E-3</v>
      </c>
      <c r="AC230" s="33">
        <v>4.6889487105831202E-3</v>
      </c>
      <c r="AD230" s="33">
        <v>7.9706071269026232E-3</v>
      </c>
      <c r="AE230" s="33">
        <v>1.3170471970922691E-2</v>
      </c>
      <c r="AF230" s="33">
        <v>2.0383363398228289E-2</v>
      </c>
      <c r="AG230" s="33">
        <v>3.2018214713456158E-2</v>
      </c>
      <c r="AH230" s="33">
        <v>5.6817453075315598E-2</v>
      </c>
      <c r="AI230" s="33">
        <v>9.1528949975634752E-2</v>
      </c>
      <c r="AJ230" s="33">
        <v>0.12972083487733699</v>
      </c>
      <c r="AK230" s="33">
        <v>0.16675336952493727</v>
      </c>
      <c r="AL230" s="33">
        <v>0.18624753508657874</v>
      </c>
      <c r="AM230" s="33"/>
      <c r="AN230" s="39" t="s">
        <v>328</v>
      </c>
      <c r="AO230" s="37">
        <v>578</v>
      </c>
      <c r="AP230" s="72">
        <v>82.179000000000002</v>
      </c>
    </row>
    <row r="231" spans="1:42" x14ac:dyDescent="0.25">
      <c r="A231" s="39" t="s">
        <v>308</v>
      </c>
      <c r="B231" s="112">
        <v>100</v>
      </c>
      <c r="C231" s="38">
        <v>7000.1170000000002</v>
      </c>
      <c r="D231" s="38">
        <v>6948.4449999999997</v>
      </c>
      <c r="F231" s="39" t="s">
        <v>334</v>
      </c>
      <c r="G231" s="37">
        <v>70</v>
      </c>
      <c r="H231" s="53">
        <v>8.1940000000000008</v>
      </c>
      <c r="I231" s="33"/>
      <c r="J231" s="33"/>
      <c r="K231" s="33"/>
      <c r="L231" s="33"/>
      <c r="M231" s="33"/>
      <c r="O231" s="33" t="s">
        <v>343</v>
      </c>
      <c r="P231" s="33">
        <v>620</v>
      </c>
      <c r="Q231" s="33" t="s">
        <v>364</v>
      </c>
      <c r="R231" s="33">
        <v>2.9583400000000254E-3</v>
      </c>
      <c r="S231" s="33">
        <v>1.0957415761342683E-4</v>
      </c>
      <c r="T231" s="33">
        <v>7.0547532860211576E-5</v>
      </c>
      <c r="U231" s="33">
        <v>7.9339274741760233E-5</v>
      </c>
      <c r="V231" s="33">
        <v>1.8607674663143693E-4</v>
      </c>
      <c r="W231" s="33">
        <v>3.0209520580204538E-4</v>
      </c>
      <c r="X231" s="33">
        <v>3.4657751333421334E-4</v>
      </c>
      <c r="Y231" s="33">
        <v>5.1467819539371181E-4</v>
      </c>
      <c r="Z231" s="33">
        <v>7.7175366073313424E-4</v>
      </c>
      <c r="AA231" s="33">
        <v>1.3339035741528986E-3</v>
      </c>
      <c r="AB231" s="33">
        <v>2.2785110840957026E-3</v>
      </c>
      <c r="AC231" s="33">
        <v>3.672567490662167E-3</v>
      </c>
      <c r="AD231" s="33">
        <v>4.9092783879821295E-3</v>
      </c>
      <c r="AE231" s="33">
        <v>7.0477161285089221E-3</v>
      </c>
      <c r="AF231" s="33">
        <v>9.9926754357756511E-3</v>
      </c>
      <c r="AG231" s="33">
        <v>1.6138331177200812E-2</v>
      </c>
      <c r="AH231" s="33">
        <v>2.8117671604038285E-2</v>
      </c>
      <c r="AI231" s="33">
        <v>5.2206037118409945E-2</v>
      </c>
      <c r="AJ231" s="33">
        <v>8.8708210821016362E-2</v>
      </c>
      <c r="AK231" s="33">
        <v>0.12793002731370046</v>
      </c>
      <c r="AL231" s="33">
        <v>0.16320748153345108</v>
      </c>
      <c r="AM231" s="33"/>
      <c r="AN231" s="39" t="s">
        <v>329</v>
      </c>
      <c r="AO231" s="37">
        <v>752</v>
      </c>
      <c r="AP231" s="72">
        <v>82.566999999999993</v>
      </c>
    </row>
    <row r="232" spans="1:42" x14ac:dyDescent="0.25">
      <c r="A232" s="39" t="s">
        <v>309</v>
      </c>
      <c r="B232" s="112">
        <v>203</v>
      </c>
      <c r="C232" s="38">
        <v>10689.213</v>
      </c>
      <c r="D232" s="38">
        <v>10708.982</v>
      </c>
      <c r="F232" s="39" t="s">
        <v>335</v>
      </c>
      <c r="G232" s="37">
        <v>191</v>
      </c>
      <c r="H232" s="53">
        <v>8.9309999999999992</v>
      </c>
      <c r="I232" s="33"/>
      <c r="J232" s="33"/>
      <c r="K232" s="33"/>
      <c r="L232" s="33"/>
      <c r="M232" s="33"/>
      <c r="O232" s="33" t="s">
        <v>345</v>
      </c>
      <c r="P232" s="33">
        <v>688</v>
      </c>
      <c r="Q232" s="33" t="s">
        <v>364</v>
      </c>
      <c r="R232" s="33">
        <v>4.8995299999999411E-3</v>
      </c>
      <c r="S232" s="33">
        <v>1.7083953341918287E-4</v>
      </c>
      <c r="T232" s="33">
        <v>1.0017090758570446E-4</v>
      </c>
      <c r="U232" s="33">
        <v>1.1698901242191568E-4</v>
      </c>
      <c r="V232" s="33">
        <v>3.0176746654203036E-4</v>
      </c>
      <c r="W232" s="33">
        <v>4.1528984317687332E-4</v>
      </c>
      <c r="X232" s="33">
        <v>5.3377776219185849E-4</v>
      </c>
      <c r="Y232" s="33">
        <v>7.715269962067933E-4</v>
      </c>
      <c r="Z232" s="33">
        <v>1.0787494523981423E-3</v>
      </c>
      <c r="AA232" s="33">
        <v>1.8174140218163799E-3</v>
      </c>
      <c r="AB232" s="33">
        <v>3.1902679586234893E-3</v>
      </c>
      <c r="AC232" s="33">
        <v>5.6146180614289696E-3</v>
      </c>
      <c r="AD232" s="33">
        <v>9.1625996944298422E-3</v>
      </c>
      <c r="AE232" s="33">
        <v>1.4191375580089568E-2</v>
      </c>
      <c r="AF232" s="33">
        <v>2.0881851655931701E-2</v>
      </c>
      <c r="AG232" s="33">
        <v>3.1816428853184232E-2</v>
      </c>
      <c r="AH232" s="33">
        <v>5.3497565689160982E-2</v>
      </c>
      <c r="AI232" s="33">
        <v>8.5797755667433112E-2</v>
      </c>
      <c r="AJ232" s="33">
        <v>0.12234204064157438</v>
      </c>
      <c r="AK232" s="33">
        <v>0.16031023685506621</v>
      </c>
      <c r="AL232" s="33">
        <v>0.18252897881819899</v>
      </c>
      <c r="AM232" s="33"/>
      <c r="AN232" s="39" t="s">
        <v>330</v>
      </c>
      <c r="AO232" s="37">
        <v>826</v>
      </c>
      <c r="AP232" s="72">
        <v>81.150999999999996</v>
      </c>
    </row>
    <row r="233" spans="1:42" x14ac:dyDescent="0.25">
      <c r="A233" s="39" t="s">
        <v>310</v>
      </c>
      <c r="B233" s="112">
        <v>348</v>
      </c>
      <c r="C233" s="38">
        <v>9684.68</v>
      </c>
      <c r="D233" s="38">
        <v>9660.35</v>
      </c>
      <c r="F233" s="39" t="s">
        <v>337</v>
      </c>
      <c r="G233" s="37">
        <v>300</v>
      </c>
      <c r="H233" s="53">
        <v>7.8390000000000004</v>
      </c>
      <c r="I233" s="33"/>
      <c r="J233" s="33"/>
      <c r="K233" s="33"/>
      <c r="L233" s="33"/>
      <c r="M233" s="33"/>
      <c r="O233" s="33" t="s">
        <v>346</v>
      </c>
      <c r="P233" s="33">
        <v>705</v>
      </c>
      <c r="Q233" s="33" t="s">
        <v>364</v>
      </c>
      <c r="R233" s="33">
        <v>1.8667799999999989E-3</v>
      </c>
      <c r="S233" s="33">
        <v>8.4036878363782052E-5</v>
      </c>
      <c r="T233" s="33">
        <v>5.8364536218117582E-5</v>
      </c>
      <c r="U233" s="33">
        <v>9.5409902684136228E-5</v>
      </c>
      <c r="V233" s="33">
        <v>2.6048145801254826E-4</v>
      </c>
      <c r="W233" s="33">
        <v>4.260905031365235E-4</v>
      </c>
      <c r="X233" s="33">
        <v>4.260461108533016E-4</v>
      </c>
      <c r="Y233" s="33">
        <v>5.248704747766005E-4</v>
      </c>
      <c r="Z233" s="33">
        <v>6.4095162009129077E-4</v>
      </c>
      <c r="AA233" s="33">
        <v>9.7187145739072492E-4</v>
      </c>
      <c r="AB233" s="33">
        <v>1.7803887252357414E-3</v>
      </c>
      <c r="AC233" s="33">
        <v>3.3442372540420451E-3</v>
      </c>
      <c r="AD233" s="33">
        <v>5.5723051929348205E-3</v>
      </c>
      <c r="AE233" s="33">
        <v>8.9576814565519476E-3</v>
      </c>
      <c r="AF233" s="33">
        <v>1.2824120492514029E-2</v>
      </c>
      <c r="AG233" s="33">
        <v>1.923863497445236E-2</v>
      </c>
      <c r="AH233" s="33">
        <v>3.0387712071346117E-2</v>
      </c>
      <c r="AI233" s="33">
        <v>5.4153681815051688E-2</v>
      </c>
      <c r="AJ233" s="33">
        <v>8.9470662238258086E-2</v>
      </c>
      <c r="AK233" s="33">
        <v>0.13179624241563648</v>
      </c>
      <c r="AL233" s="33">
        <v>0.16661761512757695</v>
      </c>
      <c r="AM233" s="33"/>
      <c r="AN233" s="43" t="s">
        <v>331</v>
      </c>
      <c r="AO233" s="44">
        <v>925</v>
      </c>
      <c r="AP233" s="77">
        <v>82.071107563374397</v>
      </c>
    </row>
    <row r="234" spans="1:42" x14ac:dyDescent="0.25">
      <c r="A234" s="39" t="s">
        <v>311</v>
      </c>
      <c r="B234" s="112">
        <v>616</v>
      </c>
      <c r="C234" s="38">
        <v>37887.771000000001</v>
      </c>
      <c r="D234" s="38">
        <v>37846.605000000003</v>
      </c>
      <c r="F234" s="39" t="s">
        <v>339</v>
      </c>
      <c r="G234" s="37">
        <v>380</v>
      </c>
      <c r="H234" s="53">
        <v>7.6269999999999998</v>
      </c>
      <c r="I234" s="33"/>
      <c r="J234" s="33"/>
      <c r="K234" s="33"/>
      <c r="L234" s="33"/>
      <c r="M234" s="33"/>
      <c r="O234" s="33" t="s">
        <v>347</v>
      </c>
      <c r="P234" s="33">
        <v>724</v>
      </c>
      <c r="Q234" s="33" t="s">
        <v>364</v>
      </c>
      <c r="R234" s="33">
        <v>2.3489400000000025E-3</v>
      </c>
      <c r="S234" s="33">
        <v>1.2511889678138821E-4</v>
      </c>
      <c r="T234" s="33">
        <v>7.0308254783612331E-5</v>
      </c>
      <c r="U234" s="33">
        <v>8.0298858382231745E-5</v>
      </c>
      <c r="V234" s="33">
        <v>1.5615198944850177E-4</v>
      </c>
      <c r="W234" s="33">
        <v>2.3211394882717779E-4</v>
      </c>
      <c r="X234" s="33">
        <v>2.610723645819813E-4</v>
      </c>
      <c r="Y234" s="33">
        <v>3.448172986959532E-4</v>
      </c>
      <c r="Z234" s="33">
        <v>5.2520879571676168E-4</v>
      </c>
      <c r="AA234" s="33">
        <v>9.529601609039026E-4</v>
      </c>
      <c r="AB234" s="33">
        <v>1.7324535604025142E-3</v>
      </c>
      <c r="AC234" s="33">
        <v>2.8365272713802478E-3</v>
      </c>
      <c r="AD234" s="33">
        <v>4.2991324108286062E-3</v>
      </c>
      <c r="AE234" s="33">
        <v>6.2338312581154782E-3</v>
      </c>
      <c r="AF234" s="33">
        <v>9.0886266236670319E-3</v>
      </c>
      <c r="AG234" s="33">
        <v>1.4308960079358521E-2</v>
      </c>
      <c r="AH234" s="33">
        <v>2.4620955416378234E-2</v>
      </c>
      <c r="AI234" s="33">
        <v>4.4522647600455975E-2</v>
      </c>
      <c r="AJ234" s="33">
        <v>7.7376607955382495E-2</v>
      </c>
      <c r="AK234" s="33">
        <v>0.11908574997884441</v>
      </c>
      <c r="AL234" s="33">
        <v>0.15755630741893012</v>
      </c>
      <c r="AM234" s="33"/>
      <c r="AN234" s="39" t="s">
        <v>332</v>
      </c>
      <c r="AO234" s="37">
        <v>8</v>
      </c>
      <c r="AP234" s="72">
        <v>78.376999999999995</v>
      </c>
    </row>
    <row r="235" spans="1:42" x14ac:dyDescent="0.25">
      <c r="A235" s="39" t="s">
        <v>312</v>
      </c>
      <c r="B235" s="112">
        <v>498</v>
      </c>
      <c r="C235" s="38">
        <v>4043.2579999999998</v>
      </c>
      <c r="D235" s="38">
        <v>4033.9630000000002</v>
      </c>
      <c r="F235" s="39" t="s">
        <v>340</v>
      </c>
      <c r="G235" s="37">
        <v>470</v>
      </c>
      <c r="H235" s="53">
        <v>9.8309999999999995</v>
      </c>
      <c r="I235" s="33"/>
      <c r="J235" s="33"/>
      <c r="K235" s="33"/>
      <c r="L235" s="33"/>
      <c r="M235" s="33"/>
      <c r="O235" s="33" t="s">
        <v>348</v>
      </c>
      <c r="P235" s="33">
        <v>926</v>
      </c>
      <c r="Q235" s="33" t="s">
        <v>364</v>
      </c>
      <c r="R235" s="33">
        <v>3.0560127317109434E-3</v>
      </c>
      <c r="S235" s="33">
        <v>1.4707976258829437E-4</v>
      </c>
      <c r="T235" s="33">
        <v>6.6102278515506378E-5</v>
      </c>
      <c r="U235" s="33">
        <v>9.5262464335572986E-5</v>
      </c>
      <c r="V235" s="33">
        <v>2.3698569965636981E-4</v>
      </c>
      <c r="W235" s="33">
        <v>3.6066302743059203E-4</v>
      </c>
      <c r="X235" s="33">
        <v>3.9939826748447763E-4</v>
      </c>
      <c r="Y235" s="33">
        <v>4.9394496206482457E-4</v>
      </c>
      <c r="Z235" s="33">
        <v>7.4344265992387073E-4</v>
      </c>
      <c r="AA235" s="33">
        <v>1.2509406446010389E-3</v>
      </c>
      <c r="AB235" s="33">
        <v>2.144410847720225E-3</v>
      </c>
      <c r="AC235" s="33">
        <v>3.4966235965159954E-3</v>
      </c>
      <c r="AD235" s="33">
        <v>5.3143801144519259E-3</v>
      </c>
      <c r="AE235" s="33">
        <v>7.7218902910935576E-3</v>
      </c>
      <c r="AF235" s="33">
        <v>1.0926934585204816E-2</v>
      </c>
      <c r="AG235" s="33">
        <v>1.7933808637043937E-2</v>
      </c>
      <c r="AH235" s="33">
        <v>3.0750361653378768E-2</v>
      </c>
      <c r="AI235" s="33">
        <v>5.0822988574383464E-2</v>
      </c>
      <c r="AJ235" s="33">
        <v>7.9263131616349763E-2</v>
      </c>
      <c r="AK235" s="33">
        <v>0.11375043326905117</v>
      </c>
      <c r="AL235" s="33">
        <v>0.14732836701894189</v>
      </c>
      <c r="AM235" s="33"/>
      <c r="AN235" s="39" t="s">
        <v>334</v>
      </c>
      <c r="AO235" s="37">
        <v>70</v>
      </c>
      <c r="AP235" s="72">
        <v>77.176000000000002</v>
      </c>
    </row>
    <row r="236" spans="1:42" x14ac:dyDescent="0.25">
      <c r="A236" s="39" t="s">
        <v>313</v>
      </c>
      <c r="B236" s="112">
        <v>642</v>
      </c>
      <c r="C236" s="38">
        <v>19364.558000000001</v>
      </c>
      <c r="D236" s="38">
        <v>19237.682000000001</v>
      </c>
      <c r="F236" s="39" t="s">
        <v>341</v>
      </c>
      <c r="G236" s="37">
        <v>499</v>
      </c>
      <c r="H236" s="53">
        <v>11.821</v>
      </c>
      <c r="I236" s="33"/>
      <c r="J236" s="33"/>
      <c r="K236" s="33"/>
      <c r="L236" s="33"/>
      <c r="M236" s="33"/>
      <c r="O236" s="33" t="s">
        <v>349</v>
      </c>
      <c r="P236" s="33">
        <v>40</v>
      </c>
      <c r="Q236" s="33" t="s">
        <v>364</v>
      </c>
      <c r="R236" s="33">
        <v>3.1491599999999742E-3</v>
      </c>
      <c r="S236" s="33">
        <v>1.4087363361204054E-4</v>
      </c>
      <c r="T236" s="33">
        <v>7.1886763151639494E-5</v>
      </c>
      <c r="U236" s="33">
        <v>9.2922098158961254E-5</v>
      </c>
      <c r="V236" s="33">
        <v>2.8291207263958545E-4</v>
      </c>
      <c r="W236" s="33">
        <v>3.88091203535312E-4</v>
      </c>
      <c r="X236" s="33">
        <v>3.8056659480992309E-4</v>
      </c>
      <c r="Y236" s="33">
        <v>4.9589426179033635E-4</v>
      </c>
      <c r="Z236" s="33">
        <v>6.996561448686673E-4</v>
      </c>
      <c r="AA236" s="33">
        <v>1.0776988247832998E-3</v>
      </c>
      <c r="AB236" s="33">
        <v>1.7485416281825142E-3</v>
      </c>
      <c r="AC236" s="33">
        <v>2.9284868825652077E-3</v>
      </c>
      <c r="AD236" s="33">
        <v>5.0496149024721604E-3</v>
      </c>
      <c r="AE236" s="33">
        <v>8.1360594680040307E-3</v>
      </c>
      <c r="AF236" s="33">
        <v>1.2900006120577744E-2</v>
      </c>
      <c r="AG236" s="33">
        <v>1.8740004732936046E-2</v>
      </c>
      <c r="AH236" s="33">
        <v>2.8696185206908448E-2</v>
      </c>
      <c r="AI236" s="33">
        <v>5.1074458772833738E-2</v>
      </c>
      <c r="AJ236" s="33">
        <v>8.8389470011235663E-2</v>
      </c>
      <c r="AK236" s="33">
        <v>0.13214568187260878</v>
      </c>
      <c r="AL236" s="33">
        <v>0.16878186301684095</v>
      </c>
      <c r="AM236" s="33"/>
      <c r="AN236" s="39" t="s">
        <v>335</v>
      </c>
      <c r="AO236" s="37">
        <v>191</v>
      </c>
      <c r="AP236" s="72">
        <v>78.247</v>
      </c>
    </row>
    <row r="237" spans="1:42" x14ac:dyDescent="0.25">
      <c r="A237" s="39" t="s">
        <v>314</v>
      </c>
      <c r="B237" s="112">
        <v>643</v>
      </c>
      <c r="C237" s="38">
        <v>145872.26</v>
      </c>
      <c r="D237" s="38">
        <v>145934.46</v>
      </c>
      <c r="F237" s="39" t="s">
        <v>342</v>
      </c>
      <c r="G237" s="37">
        <v>807</v>
      </c>
      <c r="H237" s="53">
        <v>10.885999999999999</v>
      </c>
      <c r="I237" s="33"/>
      <c r="J237" s="33"/>
      <c r="K237" s="33"/>
      <c r="L237" s="33"/>
      <c r="M237" s="33"/>
      <c r="O237" s="33" t="s">
        <v>350</v>
      </c>
      <c r="P237" s="33">
        <v>56</v>
      </c>
      <c r="Q237" s="33" t="s">
        <v>364</v>
      </c>
      <c r="R237" s="33">
        <v>2.829389999999985E-3</v>
      </c>
      <c r="S237" s="33">
        <v>1.6560355704828617E-4</v>
      </c>
      <c r="T237" s="33">
        <v>7.5122171118638102E-5</v>
      </c>
      <c r="U237" s="33">
        <v>9.0503727217836524E-5</v>
      </c>
      <c r="V237" s="33">
        <v>2.5182864058411885E-4</v>
      </c>
      <c r="W237" s="33">
        <v>4.0333807275915883E-4</v>
      </c>
      <c r="X237" s="33">
        <v>4.8123898588976863E-4</v>
      </c>
      <c r="Y237" s="33">
        <v>5.640046937194893E-4</v>
      </c>
      <c r="Z237" s="33">
        <v>8.0951663178796898E-4</v>
      </c>
      <c r="AA237" s="33">
        <v>1.2417228957555921E-3</v>
      </c>
      <c r="AB237" s="33">
        <v>1.9943297074483338E-3</v>
      </c>
      <c r="AC237" s="33">
        <v>3.366355813345788E-3</v>
      </c>
      <c r="AD237" s="33">
        <v>5.4682838629646737E-3</v>
      </c>
      <c r="AE237" s="33">
        <v>8.120630982414067E-3</v>
      </c>
      <c r="AF237" s="33">
        <v>1.18206924548171E-2</v>
      </c>
      <c r="AG237" s="33">
        <v>1.7716330302619574E-2</v>
      </c>
      <c r="AH237" s="33">
        <v>2.8464554453213286E-2</v>
      </c>
      <c r="AI237" s="33">
        <v>5.0331995465774514E-2</v>
      </c>
      <c r="AJ237" s="33">
        <v>8.6519082504042319E-2</v>
      </c>
      <c r="AK237" s="33">
        <v>0.12773589329526674</v>
      </c>
      <c r="AL237" s="33">
        <v>0.16401056629801844</v>
      </c>
      <c r="AM237" s="33"/>
      <c r="AN237" s="39" t="s">
        <v>337</v>
      </c>
      <c r="AO237" s="37">
        <v>300</v>
      </c>
      <c r="AP237" s="72">
        <v>81.980999999999995</v>
      </c>
    </row>
    <row r="238" spans="1:42" x14ac:dyDescent="0.25">
      <c r="A238" s="39" t="s">
        <v>315</v>
      </c>
      <c r="B238" s="112">
        <v>703</v>
      </c>
      <c r="C238" s="38">
        <v>5457.0119999999997</v>
      </c>
      <c r="D238" s="38">
        <v>5459.643</v>
      </c>
      <c r="F238" s="39" t="s">
        <v>343</v>
      </c>
      <c r="G238" s="37">
        <v>620</v>
      </c>
      <c r="H238" s="53">
        <v>7.8360000000000003</v>
      </c>
      <c r="I238" s="33"/>
      <c r="J238" s="33"/>
      <c r="K238" s="33"/>
      <c r="L238" s="33"/>
      <c r="M238" s="33"/>
      <c r="O238" s="33" t="s">
        <v>351</v>
      </c>
      <c r="P238" s="33">
        <v>250</v>
      </c>
      <c r="Q238" s="33" t="s">
        <v>364</v>
      </c>
      <c r="R238" s="33">
        <v>3.0322500000000583E-3</v>
      </c>
      <c r="S238" s="33">
        <v>1.4912217571730251E-4</v>
      </c>
      <c r="T238" s="33">
        <v>6.9610472310343999E-5</v>
      </c>
      <c r="U238" s="33">
        <v>8.1174564992385944E-5</v>
      </c>
      <c r="V238" s="33">
        <v>2.4634449125583144E-4</v>
      </c>
      <c r="W238" s="33">
        <v>3.9549246236175115E-4</v>
      </c>
      <c r="X238" s="33">
        <v>4.4686104645579527E-4</v>
      </c>
      <c r="Y238" s="33">
        <v>5.3917145331880097E-4</v>
      </c>
      <c r="Z238" s="33">
        <v>8.3279052966279824E-4</v>
      </c>
      <c r="AA238" s="33">
        <v>1.3900628267154275E-3</v>
      </c>
      <c r="AB238" s="33">
        <v>2.3933047716535086E-3</v>
      </c>
      <c r="AC238" s="33">
        <v>3.8590425496909742E-3</v>
      </c>
      <c r="AD238" s="33">
        <v>5.532042401560253E-3</v>
      </c>
      <c r="AE238" s="33">
        <v>7.3394763627913934E-3</v>
      </c>
      <c r="AF238" s="33">
        <v>1.0022713369952441E-2</v>
      </c>
      <c r="AG238" s="33">
        <v>1.4856833514220845E-2</v>
      </c>
      <c r="AH238" s="33">
        <v>2.4127256680453648E-2</v>
      </c>
      <c r="AI238" s="33">
        <v>4.2507265303301969E-2</v>
      </c>
      <c r="AJ238" s="33">
        <v>7.4422932623281868E-2</v>
      </c>
      <c r="AK238" s="33">
        <v>0.11596329680702192</v>
      </c>
      <c r="AL238" s="33">
        <v>0.1551180437216865</v>
      </c>
      <c r="AM238" s="33"/>
      <c r="AN238" s="39" t="s">
        <v>339</v>
      </c>
      <c r="AO238" s="37">
        <v>380</v>
      </c>
      <c r="AP238" s="72">
        <v>83.278999999999996</v>
      </c>
    </row>
    <row r="239" spans="1:42" x14ac:dyDescent="0.25">
      <c r="A239" s="39" t="s">
        <v>316</v>
      </c>
      <c r="B239" s="112">
        <v>804</v>
      </c>
      <c r="C239" s="38">
        <v>43993.642999999996</v>
      </c>
      <c r="D239" s="38">
        <v>43733.758999999998</v>
      </c>
      <c r="F239" s="39" t="s">
        <v>345</v>
      </c>
      <c r="G239" s="37">
        <v>688</v>
      </c>
      <c r="H239" s="53">
        <v>9.5519999999999996</v>
      </c>
      <c r="I239" s="33"/>
      <c r="J239" s="33"/>
      <c r="K239" s="33"/>
      <c r="L239" s="33"/>
      <c r="M239" s="33"/>
      <c r="O239" s="33" t="s">
        <v>352</v>
      </c>
      <c r="P239" s="33">
        <v>276</v>
      </c>
      <c r="Q239" s="33" t="s">
        <v>364</v>
      </c>
      <c r="R239" s="33">
        <v>3.1893899999999847E-3</v>
      </c>
      <c r="S239" s="33">
        <v>1.5436733764301252E-4</v>
      </c>
      <c r="T239" s="33">
        <v>6.6878465203478772E-5</v>
      </c>
      <c r="U239" s="33">
        <v>7.821766548194116E-5</v>
      </c>
      <c r="V239" s="33">
        <v>2.7436618742623014E-4</v>
      </c>
      <c r="W239" s="33">
        <v>3.6332913492502126E-4</v>
      </c>
      <c r="X239" s="33">
        <v>3.7156267590431362E-4</v>
      </c>
      <c r="Y239" s="33">
        <v>4.7996206197447781E-4</v>
      </c>
      <c r="Z239" s="33">
        <v>7.3182900657065844E-4</v>
      </c>
      <c r="AA239" s="33">
        <v>1.2572676402181164E-3</v>
      </c>
      <c r="AB239" s="33">
        <v>2.1981969041405891E-3</v>
      </c>
      <c r="AC239" s="33">
        <v>3.6069612776884557E-3</v>
      </c>
      <c r="AD239" s="33">
        <v>5.5103965476409845E-3</v>
      </c>
      <c r="AE239" s="33">
        <v>8.2392249668537584E-3</v>
      </c>
      <c r="AF239" s="33">
        <v>1.2315653691386364E-2</v>
      </c>
      <c r="AG239" s="33">
        <v>1.9151213049004349E-2</v>
      </c>
      <c r="AH239" s="33">
        <v>3.2229238562335269E-2</v>
      </c>
      <c r="AI239" s="33">
        <v>5.6111545912221984E-2</v>
      </c>
      <c r="AJ239" s="33">
        <v>8.2026187647277968E-2</v>
      </c>
      <c r="AK239" s="33">
        <v>0.11588933528320622</v>
      </c>
      <c r="AL239" s="33">
        <v>0.14959134452618128</v>
      </c>
      <c r="AM239" s="33"/>
      <c r="AN239" s="39" t="s">
        <v>340</v>
      </c>
      <c r="AO239" s="37">
        <v>470</v>
      </c>
      <c r="AP239" s="72">
        <v>82.289000000000001</v>
      </c>
    </row>
    <row r="240" spans="1:42" x14ac:dyDescent="0.25">
      <c r="A240" s="43" t="s">
        <v>317</v>
      </c>
      <c r="B240" s="114">
        <v>924</v>
      </c>
      <c r="C240" s="45">
        <v>105768.53200000001</v>
      </c>
      <c r="D240" s="45">
        <v>106261.27099999999</v>
      </c>
      <c r="F240" s="39" t="s">
        <v>346</v>
      </c>
      <c r="G240" s="37">
        <v>705</v>
      </c>
      <c r="H240" s="53">
        <v>9.7210000000000001</v>
      </c>
      <c r="I240" s="33"/>
      <c r="J240" s="33"/>
      <c r="K240" s="33"/>
      <c r="L240" s="33"/>
      <c r="M240" s="33"/>
      <c r="O240" s="33" t="s">
        <v>354</v>
      </c>
      <c r="P240" s="33">
        <v>442</v>
      </c>
      <c r="Q240" s="33" t="s">
        <v>364</v>
      </c>
      <c r="R240" s="33">
        <v>2.871889999999985E-3</v>
      </c>
      <c r="S240" s="33">
        <v>1.6050094104759331E-4</v>
      </c>
      <c r="T240" s="33">
        <v>5.0224390570914361E-5</v>
      </c>
      <c r="U240" s="33">
        <v>7.0198105630813037E-5</v>
      </c>
      <c r="V240" s="33">
        <v>1.7100315814618826E-4</v>
      </c>
      <c r="W240" s="33">
        <v>3.2276603631057585E-4</v>
      </c>
      <c r="X240" s="33">
        <v>4.0743455165147464E-4</v>
      </c>
      <c r="Y240" s="33">
        <v>4.7923610943488934E-4</v>
      </c>
      <c r="Z240" s="33">
        <v>6.1532124957740426E-4</v>
      </c>
      <c r="AA240" s="33">
        <v>9.1889511731413896E-4</v>
      </c>
      <c r="AB240" s="33">
        <v>1.6617902839649735E-3</v>
      </c>
      <c r="AC240" s="33">
        <v>2.9840312192859976E-3</v>
      </c>
      <c r="AD240" s="33">
        <v>4.8361960202304667E-3</v>
      </c>
      <c r="AE240" s="33">
        <v>7.4247237355957903E-3</v>
      </c>
      <c r="AF240" s="33">
        <v>1.1255831217523332E-2</v>
      </c>
      <c r="AG240" s="33">
        <v>1.7150784816744508E-2</v>
      </c>
      <c r="AH240" s="33">
        <v>2.8205314889906494E-2</v>
      </c>
      <c r="AI240" s="33">
        <v>4.9861951433595453E-2</v>
      </c>
      <c r="AJ240" s="33">
        <v>8.4621772119247651E-2</v>
      </c>
      <c r="AK240" s="33">
        <v>0.12808032319306153</v>
      </c>
      <c r="AL240" s="33">
        <v>0.16830341306759625</v>
      </c>
      <c r="AM240" s="33"/>
      <c r="AN240" s="39" t="s">
        <v>341</v>
      </c>
      <c r="AO240" s="37">
        <v>499</v>
      </c>
      <c r="AP240" s="72">
        <v>76.652000000000001</v>
      </c>
    </row>
    <row r="241" spans="1:42" x14ac:dyDescent="0.25">
      <c r="A241" s="39" t="s">
        <v>318</v>
      </c>
      <c r="B241" s="112">
        <v>830</v>
      </c>
      <c r="C241" s="38">
        <v>172.26400000000001</v>
      </c>
      <c r="D241" s="38">
        <v>173.85900000000001</v>
      </c>
      <c r="F241" s="39" t="s">
        <v>347</v>
      </c>
      <c r="G241" s="37">
        <v>724</v>
      </c>
      <c r="H241" s="53">
        <v>8.516</v>
      </c>
      <c r="I241" s="33"/>
      <c r="J241" s="33"/>
      <c r="K241" s="33"/>
      <c r="L241" s="33"/>
      <c r="M241" s="33"/>
      <c r="O241" s="33" t="s">
        <v>356</v>
      </c>
      <c r="P241" s="33">
        <v>528</v>
      </c>
      <c r="Q241" s="33" t="s">
        <v>364</v>
      </c>
      <c r="R241" s="33">
        <v>2.5127599999999802E-3</v>
      </c>
      <c r="S241" s="33">
        <v>1.150992167077723E-4</v>
      </c>
      <c r="T241" s="33">
        <v>5.5127839940309819E-5</v>
      </c>
      <c r="U241" s="33">
        <v>8.0260591694324973E-5</v>
      </c>
      <c r="V241" s="33">
        <v>1.9145821364268575E-4</v>
      </c>
      <c r="W241" s="33">
        <v>2.7198329177178019E-4</v>
      </c>
      <c r="X241" s="33">
        <v>2.9108922676111896E-4</v>
      </c>
      <c r="Y241" s="33">
        <v>3.8540037127181477E-4</v>
      </c>
      <c r="Z241" s="33">
        <v>5.6975861781459176E-4</v>
      </c>
      <c r="AA241" s="33">
        <v>9.5304420161343559E-4</v>
      </c>
      <c r="AB241" s="33">
        <v>1.6543957317885934E-3</v>
      </c>
      <c r="AC241" s="33">
        <v>2.7324048159229771E-3</v>
      </c>
      <c r="AD241" s="33">
        <v>4.3101743147131453E-3</v>
      </c>
      <c r="AE241" s="33">
        <v>6.8560295954347688E-3</v>
      </c>
      <c r="AF241" s="33">
        <v>1.0728378799686437E-2</v>
      </c>
      <c r="AG241" s="33">
        <v>1.7775228660370332E-2</v>
      </c>
      <c r="AH241" s="33">
        <v>3.0468116829135517E-2</v>
      </c>
      <c r="AI241" s="33">
        <v>5.2727433664320235E-2</v>
      </c>
      <c r="AJ241" s="33">
        <v>8.670956604151811E-2</v>
      </c>
      <c r="AK241" s="33">
        <v>0.12840493546163578</v>
      </c>
      <c r="AL241" s="33">
        <v>0.16241295680002524</v>
      </c>
      <c r="AM241" s="33"/>
      <c r="AN241" s="39" t="s">
        <v>342</v>
      </c>
      <c r="AO241" s="37">
        <v>807</v>
      </c>
      <c r="AP241" s="72">
        <v>75.602999999999994</v>
      </c>
    </row>
    <row r="242" spans="1:42" x14ac:dyDescent="0.25">
      <c r="A242" s="39" t="s">
        <v>319</v>
      </c>
      <c r="B242" s="112">
        <v>208</v>
      </c>
      <c r="C242" s="38">
        <v>5771.8770000000004</v>
      </c>
      <c r="D242" s="38">
        <v>5792.2030000000004</v>
      </c>
      <c r="F242" s="43" t="s">
        <v>348</v>
      </c>
      <c r="G242" s="44">
        <v>926</v>
      </c>
      <c r="H242" s="59">
        <v>10.234</v>
      </c>
      <c r="I242" s="33"/>
      <c r="J242" s="33"/>
      <c r="K242" s="33"/>
      <c r="L242" s="33"/>
      <c r="M242" s="33"/>
      <c r="O242" s="33" t="s">
        <v>357</v>
      </c>
      <c r="P242" s="33">
        <v>756</v>
      </c>
      <c r="Q242" s="33" t="s">
        <v>364</v>
      </c>
      <c r="R242" s="33">
        <v>3.3686000000000059E-3</v>
      </c>
      <c r="S242" s="33">
        <v>1.0510405351465492E-4</v>
      </c>
      <c r="T242" s="33">
        <v>5.9991222755332777E-5</v>
      </c>
      <c r="U242" s="33">
        <v>7.5114951239032204E-5</v>
      </c>
      <c r="V242" s="33">
        <v>2.0682051463268499E-4</v>
      </c>
      <c r="W242" s="33">
        <v>2.7174989332687146E-4</v>
      </c>
      <c r="X242" s="33">
        <v>3.1110635322796002E-4</v>
      </c>
      <c r="Y242" s="33">
        <v>3.6539424362833518E-4</v>
      </c>
      <c r="Z242" s="33">
        <v>5.0008576460858548E-4</v>
      </c>
      <c r="AA242" s="33">
        <v>8.1969374106939891E-4</v>
      </c>
      <c r="AB242" s="33">
        <v>1.3334299351082579E-3</v>
      </c>
      <c r="AC242" s="33">
        <v>2.2487556068489581E-3</v>
      </c>
      <c r="AD242" s="33">
        <v>3.6879480358646298E-3</v>
      </c>
      <c r="AE242" s="33">
        <v>5.7502405623930126E-3</v>
      </c>
      <c r="AF242" s="33">
        <v>8.9663182679145716E-3</v>
      </c>
      <c r="AG242" s="33">
        <v>1.3774616499267509E-2</v>
      </c>
      <c r="AH242" s="33">
        <v>2.3485157792430073E-2</v>
      </c>
      <c r="AI242" s="33">
        <v>4.397329409411229E-2</v>
      </c>
      <c r="AJ242" s="33">
        <v>7.972607289649794E-2</v>
      </c>
      <c r="AK242" s="33">
        <v>0.12529283059552473</v>
      </c>
      <c r="AL242" s="33">
        <v>0.16464508579419343</v>
      </c>
      <c r="AM242" s="33"/>
      <c r="AN242" s="39" t="s">
        <v>343</v>
      </c>
      <c r="AO242" s="37">
        <v>620</v>
      </c>
      <c r="AP242" s="72">
        <v>81.754000000000005</v>
      </c>
    </row>
    <row r="243" spans="1:42" x14ac:dyDescent="0.25">
      <c r="A243" s="39" t="s">
        <v>320</v>
      </c>
      <c r="B243" s="112">
        <v>233</v>
      </c>
      <c r="C243" s="38">
        <v>1325.6489999999999</v>
      </c>
      <c r="D243" s="38">
        <v>1326.539</v>
      </c>
      <c r="F243" s="39" t="s">
        <v>349</v>
      </c>
      <c r="G243" s="37">
        <v>40</v>
      </c>
      <c r="H243" s="53">
        <v>9.9350000000000005</v>
      </c>
      <c r="I243" s="33"/>
      <c r="J243" s="33"/>
      <c r="K243" s="33"/>
      <c r="L243" s="33"/>
      <c r="M243" s="33"/>
      <c r="O243" s="33" t="s">
        <v>358</v>
      </c>
      <c r="P243" s="33">
        <v>918</v>
      </c>
      <c r="Q243" s="33" t="s">
        <v>364</v>
      </c>
      <c r="R243" s="33">
        <v>5.7003184219919789E-3</v>
      </c>
      <c r="S243" s="33">
        <v>2.4811007596069315E-4</v>
      </c>
      <c r="T243" s="33">
        <v>1.1478211242578045E-4</v>
      </c>
      <c r="U243" s="33">
        <v>1.6676765829122737E-4</v>
      </c>
      <c r="V243" s="33">
        <v>4.9889429357727853E-4</v>
      </c>
      <c r="W243" s="33">
        <v>9.2693659636623922E-4</v>
      </c>
      <c r="X243" s="33">
        <v>1.176828541766692E-3</v>
      </c>
      <c r="Y243" s="33">
        <v>1.3759033905551101E-3</v>
      </c>
      <c r="Z243" s="33">
        <v>1.6351412261359798E-3</v>
      </c>
      <c r="AA243" s="33">
        <v>2.0712170590123087E-3</v>
      </c>
      <c r="AB243" s="33">
        <v>3.0179049378580339E-3</v>
      </c>
      <c r="AC243" s="33">
        <v>4.6833985156998102E-3</v>
      </c>
      <c r="AD243" s="33">
        <v>7.0151359921173263E-3</v>
      </c>
      <c r="AE243" s="33">
        <v>9.9252256675063221E-3</v>
      </c>
      <c r="AF243" s="33">
        <v>1.3656284778107869E-2</v>
      </c>
      <c r="AG243" s="33">
        <v>2.0982988197281373E-2</v>
      </c>
      <c r="AH243" s="33">
        <v>3.373937180269581E-2</v>
      </c>
      <c r="AI243" s="33">
        <v>5.2554998599862235E-2</v>
      </c>
      <c r="AJ243" s="33">
        <v>7.8071852833879435E-2</v>
      </c>
      <c r="AK243" s="33">
        <v>0.10862422021249125</v>
      </c>
      <c r="AL243" s="33">
        <v>0.13945387231325954</v>
      </c>
      <c r="AM243" s="33"/>
      <c r="AN243" s="39" t="s">
        <v>345</v>
      </c>
      <c r="AO243" s="37">
        <v>688</v>
      </c>
      <c r="AP243" s="72">
        <v>75.772000000000006</v>
      </c>
    </row>
    <row r="244" spans="1:42" x14ac:dyDescent="0.25">
      <c r="A244" s="39" t="s">
        <v>321</v>
      </c>
      <c r="B244" s="112">
        <v>234</v>
      </c>
      <c r="C244" s="38">
        <v>48.677</v>
      </c>
      <c r="D244" s="38">
        <v>48.865000000000002</v>
      </c>
      <c r="F244" s="39" t="s">
        <v>350</v>
      </c>
      <c r="G244" s="37">
        <v>56</v>
      </c>
      <c r="H244" s="53">
        <v>10.872999999999999</v>
      </c>
      <c r="I244" s="33"/>
      <c r="J244" s="33"/>
      <c r="K244" s="33"/>
      <c r="L244" s="33"/>
      <c r="M244" s="33"/>
      <c r="O244" s="33" t="s">
        <v>360</v>
      </c>
      <c r="P244" s="33">
        <v>124</v>
      </c>
      <c r="Q244" s="33" t="s">
        <v>364</v>
      </c>
      <c r="R244" s="33">
        <v>4.504980000000069E-3</v>
      </c>
      <c r="S244" s="33">
        <v>1.4648993422386705E-4</v>
      </c>
      <c r="T244" s="33">
        <v>7.2269730067504344E-5</v>
      </c>
      <c r="U244" s="33">
        <v>9.290613497115137E-5</v>
      </c>
      <c r="V244" s="33">
        <v>3.3304825188948623E-4</v>
      </c>
      <c r="W244" s="33">
        <v>4.8367711897726897E-4</v>
      </c>
      <c r="X244" s="33">
        <v>4.6968050715798145E-4</v>
      </c>
      <c r="Y244" s="33">
        <v>5.3171493607888332E-4</v>
      </c>
      <c r="Z244" s="33">
        <v>7.2294763146040853E-4</v>
      </c>
      <c r="AA244" s="33">
        <v>1.1315965317490525E-3</v>
      </c>
      <c r="AB244" s="33">
        <v>1.8387561562628347E-3</v>
      </c>
      <c r="AC244" s="33">
        <v>2.9119189642727648E-3</v>
      </c>
      <c r="AD244" s="33">
        <v>4.3673639319143061E-3</v>
      </c>
      <c r="AE244" s="33">
        <v>6.7308914928096899E-3</v>
      </c>
      <c r="AF244" s="33">
        <v>1.0611001429603422E-2</v>
      </c>
      <c r="AG244" s="33">
        <v>1.6940064885588857E-2</v>
      </c>
      <c r="AH244" s="33">
        <v>2.7606665141720929E-2</v>
      </c>
      <c r="AI244" s="33">
        <v>4.593016497914635E-2</v>
      </c>
      <c r="AJ244" s="33">
        <v>7.8369498723120032E-2</v>
      </c>
      <c r="AK244" s="33">
        <v>0.1194218186102004</v>
      </c>
      <c r="AL244" s="33">
        <v>0.15724049797985309</v>
      </c>
      <c r="AM244" s="33"/>
      <c r="AN244" s="39" t="s">
        <v>346</v>
      </c>
      <c r="AO244" s="37">
        <v>705</v>
      </c>
      <c r="AP244" s="72">
        <v>81.075999999999993</v>
      </c>
    </row>
    <row r="245" spans="1:42" x14ac:dyDescent="0.25">
      <c r="A245" s="39" t="s">
        <v>322</v>
      </c>
      <c r="B245" s="112">
        <v>246</v>
      </c>
      <c r="C245" s="38">
        <v>5532.1589999999997</v>
      </c>
      <c r="D245" s="38">
        <v>5540.7179999999998</v>
      </c>
      <c r="F245" s="39" t="s">
        <v>351</v>
      </c>
      <c r="G245" s="37">
        <v>250</v>
      </c>
      <c r="H245" s="53">
        <v>11.234999999999999</v>
      </c>
      <c r="I245" s="33"/>
      <c r="J245" s="33"/>
      <c r="K245" s="33"/>
      <c r="L245" s="33"/>
      <c r="M245" s="33"/>
      <c r="O245" s="33" t="s">
        <v>363</v>
      </c>
      <c r="P245" s="33">
        <v>840</v>
      </c>
      <c r="Q245" s="33" t="s">
        <v>364</v>
      </c>
      <c r="R245" s="33">
        <v>5.8155400000000374E-3</v>
      </c>
      <c r="S245" s="33">
        <v>2.5788473901510486E-4</v>
      </c>
      <c r="T245" s="33">
        <v>1.2018620343257995E-4</v>
      </c>
      <c r="U245" s="33">
        <v>1.4797462042930181E-4</v>
      </c>
      <c r="V245" s="33">
        <v>5.2624864602243368E-4</v>
      </c>
      <c r="W245" s="33">
        <v>9.9823093593353826E-4</v>
      </c>
      <c r="X245" s="33">
        <v>1.2307871743694263E-3</v>
      </c>
      <c r="Y245" s="33">
        <v>1.4714736188342174E-3</v>
      </c>
      <c r="Z245" s="33">
        <v>1.7536291241545229E-3</v>
      </c>
      <c r="AA245" s="33">
        <v>2.1635549139013555E-3</v>
      </c>
      <c r="AB245" s="33">
        <v>3.1151561018866155E-3</v>
      </c>
      <c r="AC245" s="33">
        <v>4.898264882532379E-3</v>
      </c>
      <c r="AD245" s="33">
        <v>7.3169925292836903E-3</v>
      </c>
      <c r="AE245" s="33">
        <v>1.036574636379046E-2</v>
      </c>
      <c r="AF245" s="33">
        <v>1.4247863797189644E-2</v>
      </c>
      <c r="AG245" s="33">
        <v>2.1327865490128977E-2</v>
      </c>
      <c r="AH245" s="33">
        <v>3.2630561555603878E-2</v>
      </c>
      <c r="AI245" s="33">
        <v>5.1316625332697312E-2</v>
      </c>
      <c r="AJ245" s="33">
        <v>7.9660913986890972E-2</v>
      </c>
      <c r="AK245" s="33">
        <v>0.11399278493593433</v>
      </c>
      <c r="AL245" s="33">
        <v>0.14964743683982928</v>
      </c>
      <c r="AM245" s="33"/>
      <c r="AN245" s="39" t="s">
        <v>347</v>
      </c>
      <c r="AO245" s="37">
        <v>724</v>
      </c>
      <c r="AP245" s="72">
        <v>83.356999999999999</v>
      </c>
    </row>
    <row r="246" spans="1:42" x14ac:dyDescent="0.25">
      <c r="A246" s="39" t="s">
        <v>323</v>
      </c>
      <c r="B246" s="112">
        <v>352</v>
      </c>
      <c r="C246" s="38">
        <v>339.03699999999998</v>
      </c>
      <c r="D246" s="38">
        <v>341.25</v>
      </c>
      <c r="F246" s="39" t="s">
        <v>352</v>
      </c>
      <c r="G246" s="37">
        <v>276</v>
      </c>
      <c r="H246" s="53">
        <v>9.4130000000000003</v>
      </c>
      <c r="I246" s="33"/>
      <c r="J246" s="33"/>
      <c r="K246" s="33"/>
      <c r="L246" s="33"/>
      <c r="M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43" t="s">
        <v>348</v>
      </c>
      <c r="AO246" s="44">
        <v>926</v>
      </c>
      <c r="AP246" s="77">
        <v>81.717045468240201</v>
      </c>
    </row>
    <row r="247" spans="1:42" x14ac:dyDescent="0.25">
      <c r="A247" s="39" t="s">
        <v>324</v>
      </c>
      <c r="B247" s="112">
        <v>372</v>
      </c>
      <c r="C247" s="38">
        <v>4882.4979999999996</v>
      </c>
      <c r="D247" s="38">
        <v>4937.7960000000003</v>
      </c>
      <c r="F247" s="39" t="s">
        <v>354</v>
      </c>
      <c r="G247" s="37">
        <v>442</v>
      </c>
      <c r="H247" s="53">
        <v>10.667999999999999</v>
      </c>
      <c r="I247" s="33"/>
      <c r="J247" s="33"/>
      <c r="K247" s="33"/>
      <c r="L247" s="33"/>
      <c r="M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9" t="s">
        <v>349</v>
      </c>
      <c r="AO247" s="37">
        <v>40</v>
      </c>
      <c r="AP247" s="72">
        <v>81.352000000000004</v>
      </c>
    </row>
    <row r="248" spans="1:42" x14ac:dyDescent="0.25">
      <c r="A248" s="39" t="s">
        <v>325</v>
      </c>
      <c r="B248" s="112">
        <v>833</v>
      </c>
      <c r="C248" s="38">
        <v>84.588999999999999</v>
      </c>
      <c r="D248" s="38">
        <v>85.031999999999996</v>
      </c>
      <c r="F248" s="39" t="s">
        <v>356</v>
      </c>
      <c r="G248" s="37">
        <v>528</v>
      </c>
      <c r="H248" s="53">
        <v>10.081</v>
      </c>
      <c r="I248" s="33"/>
      <c r="J248" s="33"/>
      <c r="K248" s="33"/>
      <c r="L248" s="33"/>
      <c r="M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9" t="s">
        <v>350</v>
      </c>
      <c r="AO248" s="37">
        <v>56</v>
      </c>
      <c r="AP248" s="72">
        <v>81.387</v>
      </c>
    </row>
    <row r="249" spans="1:42" x14ac:dyDescent="0.25">
      <c r="A249" s="39" t="s">
        <v>326</v>
      </c>
      <c r="B249" s="112">
        <v>428</v>
      </c>
      <c r="C249" s="38">
        <v>1906.74</v>
      </c>
      <c r="D249" s="38">
        <v>1886.202</v>
      </c>
      <c r="F249" s="39" t="s">
        <v>357</v>
      </c>
      <c r="G249" s="37">
        <v>756</v>
      </c>
      <c r="H249" s="53">
        <v>10.32</v>
      </c>
      <c r="I249" s="33"/>
      <c r="J249" s="33"/>
      <c r="K249" s="33"/>
      <c r="L249" s="33"/>
      <c r="M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9" t="s">
        <v>351</v>
      </c>
      <c r="AO249" s="37">
        <v>250</v>
      </c>
      <c r="AP249" s="72">
        <v>82.456999999999994</v>
      </c>
    </row>
    <row r="250" spans="1:42" x14ac:dyDescent="0.25">
      <c r="A250" s="39" t="s">
        <v>327</v>
      </c>
      <c r="B250" s="112">
        <v>440</v>
      </c>
      <c r="C250" s="38">
        <v>2759.6309999999999</v>
      </c>
      <c r="D250" s="38">
        <v>2722.2910000000002</v>
      </c>
      <c r="F250" s="46" t="s">
        <v>358</v>
      </c>
      <c r="G250" s="47">
        <v>918</v>
      </c>
      <c r="H250" s="71">
        <v>11.813000000000001</v>
      </c>
      <c r="I250" s="33"/>
      <c r="J250" s="33"/>
      <c r="K250" s="33"/>
      <c r="L250" s="33"/>
      <c r="M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9" t="s">
        <v>352</v>
      </c>
      <c r="AO250" s="37">
        <v>276</v>
      </c>
      <c r="AP250" s="72">
        <v>81.100999999999999</v>
      </c>
    </row>
    <row r="251" spans="1:42" x14ac:dyDescent="0.25">
      <c r="A251" s="39" t="s">
        <v>328</v>
      </c>
      <c r="B251" s="112">
        <v>578</v>
      </c>
      <c r="C251" s="38">
        <v>5378.8590000000004</v>
      </c>
      <c r="D251" s="38">
        <v>5421.2420000000002</v>
      </c>
      <c r="F251" s="39" t="s">
        <v>360</v>
      </c>
      <c r="G251" s="37">
        <v>124</v>
      </c>
      <c r="H251" s="53">
        <v>10.452</v>
      </c>
      <c r="I251" s="33"/>
      <c r="J251" s="33"/>
      <c r="K251" s="33"/>
      <c r="L251" s="33"/>
      <c r="M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9" t="s">
        <v>354</v>
      </c>
      <c r="AO251" s="37">
        <v>442</v>
      </c>
      <c r="AP251" s="72">
        <v>81.998000000000005</v>
      </c>
    </row>
    <row r="252" spans="1:42" x14ac:dyDescent="0.25">
      <c r="A252" s="39" t="s">
        <v>329</v>
      </c>
      <c r="B252" s="112">
        <v>752</v>
      </c>
      <c r="C252" s="38">
        <v>10036.391</v>
      </c>
      <c r="D252" s="38">
        <v>10099.27</v>
      </c>
      <c r="F252" s="39" t="s">
        <v>363</v>
      </c>
      <c r="G252" s="37">
        <v>840</v>
      </c>
      <c r="H252" s="53">
        <v>11.968</v>
      </c>
      <c r="I252" s="33"/>
      <c r="J252" s="33"/>
      <c r="K252" s="33"/>
      <c r="L252" s="33"/>
      <c r="M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9" t="s">
        <v>356</v>
      </c>
      <c r="AO252" s="37">
        <v>528</v>
      </c>
      <c r="AP252" s="72">
        <v>82.06</v>
      </c>
    </row>
    <row r="253" spans="1:42" x14ac:dyDescent="0.25">
      <c r="A253" s="39" t="s">
        <v>330</v>
      </c>
      <c r="B253" s="112">
        <v>826</v>
      </c>
      <c r="C253" s="38">
        <v>67530.160999999993</v>
      </c>
      <c r="D253" s="38">
        <v>67886.004000000001</v>
      </c>
      <c r="F253" s="156" t="s">
        <v>302</v>
      </c>
      <c r="G253" s="157">
        <v>798</v>
      </c>
      <c r="H253" s="158">
        <v>22.97</v>
      </c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9" t="s">
        <v>357</v>
      </c>
      <c r="AO253" s="37">
        <v>756</v>
      </c>
      <c r="AP253" s="72">
        <v>83.555999999999997</v>
      </c>
    </row>
    <row r="254" spans="1:42" x14ac:dyDescent="0.25">
      <c r="A254" s="43" t="s">
        <v>331</v>
      </c>
      <c r="B254" s="114">
        <v>925</v>
      </c>
      <c r="C254" s="45">
        <v>152446.95000000001</v>
      </c>
      <c r="D254" s="45">
        <v>152215.24299999999</v>
      </c>
      <c r="F254" s="156" t="s">
        <v>291</v>
      </c>
      <c r="G254" s="157">
        <v>520</v>
      </c>
      <c r="H254" s="158">
        <v>21.49</v>
      </c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46" t="s">
        <v>358</v>
      </c>
      <c r="AO254" s="47">
        <v>918</v>
      </c>
      <c r="AP254" s="78">
        <v>79.154859524565097</v>
      </c>
    </row>
    <row r="255" spans="1:42" x14ac:dyDescent="0.25">
      <c r="A255" s="39" t="s">
        <v>332</v>
      </c>
      <c r="B255" s="112">
        <v>8</v>
      </c>
      <c r="C255" s="38">
        <v>2880.913</v>
      </c>
      <c r="D255" s="38">
        <v>2877.8</v>
      </c>
      <c r="F255" s="156" t="s">
        <v>289</v>
      </c>
      <c r="G255" s="157">
        <v>584</v>
      </c>
      <c r="H255" s="158">
        <v>29.03</v>
      </c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9" t="s">
        <v>360</v>
      </c>
      <c r="AO255" s="37">
        <v>124</v>
      </c>
      <c r="AP255" s="72">
        <v>82.221000000000004</v>
      </c>
    </row>
    <row r="256" spans="1:42" x14ac:dyDescent="0.25">
      <c r="A256" s="39" t="s">
        <v>333</v>
      </c>
      <c r="B256" s="112">
        <v>20</v>
      </c>
      <c r="C256" s="38">
        <v>77.146000000000001</v>
      </c>
      <c r="D256" s="38">
        <v>77.265000000000001</v>
      </c>
      <c r="F256" s="156" t="s">
        <v>234</v>
      </c>
      <c r="G256" s="157">
        <v>212</v>
      </c>
      <c r="H256" s="158">
        <v>12</v>
      </c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9" t="s">
        <v>363</v>
      </c>
      <c r="AO256" s="37">
        <v>840</v>
      </c>
      <c r="AP256" s="72">
        <v>78.811999999999998</v>
      </c>
    </row>
    <row r="257" spans="1:4" x14ac:dyDescent="0.25">
      <c r="A257" s="39" t="s">
        <v>334</v>
      </c>
      <c r="B257" s="112">
        <v>70</v>
      </c>
      <c r="C257" s="38">
        <v>3300.998</v>
      </c>
      <c r="D257" s="38">
        <v>3280.8150000000001</v>
      </c>
    </row>
    <row r="258" spans="1:4" x14ac:dyDescent="0.25">
      <c r="A258" s="39" t="s">
        <v>335</v>
      </c>
      <c r="B258" s="112">
        <v>191</v>
      </c>
      <c r="C258" s="38">
        <v>4130.299</v>
      </c>
      <c r="D258" s="38">
        <v>4105.268</v>
      </c>
    </row>
    <row r="259" spans="1:4" x14ac:dyDescent="0.25">
      <c r="A259" s="39" t="s">
        <v>336</v>
      </c>
      <c r="B259" s="112">
        <v>292</v>
      </c>
      <c r="C259" s="38">
        <v>33.706000000000003</v>
      </c>
      <c r="D259" s="38">
        <v>33.691000000000003</v>
      </c>
    </row>
    <row r="260" spans="1:4" x14ac:dyDescent="0.25">
      <c r="A260" s="39" t="s">
        <v>337</v>
      </c>
      <c r="B260" s="112">
        <v>300</v>
      </c>
      <c r="C260" s="38">
        <v>10473.451999999999</v>
      </c>
      <c r="D260" s="38">
        <v>10423.056</v>
      </c>
    </row>
    <row r="261" spans="1:4" x14ac:dyDescent="0.25">
      <c r="A261" s="39" t="s">
        <v>338</v>
      </c>
      <c r="B261" s="112">
        <v>336</v>
      </c>
      <c r="C261" s="38">
        <v>0.81499999999999995</v>
      </c>
      <c r="D261" s="38">
        <v>0.80900000000000005</v>
      </c>
    </row>
    <row r="262" spans="1:4" x14ac:dyDescent="0.25">
      <c r="A262" s="39" t="s">
        <v>339</v>
      </c>
      <c r="B262" s="112">
        <v>380</v>
      </c>
      <c r="C262" s="38">
        <v>60550.091999999997</v>
      </c>
      <c r="D262" s="38">
        <v>60461.828000000001</v>
      </c>
    </row>
    <row r="263" spans="1:4" x14ac:dyDescent="0.25">
      <c r="A263" s="39" t="s">
        <v>340</v>
      </c>
      <c r="B263" s="112">
        <v>470</v>
      </c>
      <c r="C263" s="38">
        <v>440.37700000000001</v>
      </c>
      <c r="D263" s="38">
        <v>441.53899999999999</v>
      </c>
    </row>
    <row r="264" spans="1:4" x14ac:dyDescent="0.25">
      <c r="A264" s="39" t="s">
        <v>341</v>
      </c>
      <c r="B264" s="112">
        <v>499</v>
      </c>
      <c r="C264" s="38">
        <v>627.98800000000006</v>
      </c>
      <c r="D264" s="38">
        <v>628.06200000000001</v>
      </c>
    </row>
    <row r="265" spans="1:4" x14ac:dyDescent="0.25">
      <c r="A265" s="39" t="s">
        <v>342</v>
      </c>
      <c r="B265" s="112">
        <v>807</v>
      </c>
      <c r="C265" s="38">
        <v>2083.4580000000001</v>
      </c>
      <c r="D265" s="38">
        <v>2083.38</v>
      </c>
    </row>
    <row r="266" spans="1:4" x14ac:dyDescent="0.25">
      <c r="A266" s="39" t="s">
        <v>343</v>
      </c>
      <c r="B266" s="112">
        <v>620</v>
      </c>
      <c r="C266" s="38">
        <v>10226.178</v>
      </c>
      <c r="D266" s="38">
        <v>10196.707</v>
      </c>
    </row>
    <row r="267" spans="1:4" x14ac:dyDescent="0.25">
      <c r="A267" s="39" t="s">
        <v>344</v>
      </c>
      <c r="B267" s="112">
        <v>674</v>
      </c>
      <c r="C267" s="38">
        <v>33.863999999999997</v>
      </c>
      <c r="D267" s="38">
        <v>33.938000000000002</v>
      </c>
    </row>
    <row r="268" spans="1:4" x14ac:dyDescent="0.25">
      <c r="A268" s="39" t="s">
        <v>345</v>
      </c>
      <c r="B268" s="112">
        <v>688</v>
      </c>
      <c r="C268" s="38">
        <v>8772.2279999999992</v>
      </c>
      <c r="D268" s="38">
        <v>8737.3700000000008</v>
      </c>
    </row>
    <row r="269" spans="1:4" x14ac:dyDescent="0.25">
      <c r="A269" s="39" t="s">
        <v>346</v>
      </c>
      <c r="B269" s="112">
        <v>705</v>
      </c>
      <c r="C269" s="38">
        <v>2078.654</v>
      </c>
      <c r="D269" s="38">
        <v>2078.9319999999998</v>
      </c>
    </row>
    <row r="270" spans="1:4" x14ac:dyDescent="0.25">
      <c r="A270" s="39" t="s">
        <v>347</v>
      </c>
      <c r="B270" s="112">
        <v>724</v>
      </c>
      <c r="C270" s="38">
        <v>46736.781999999999</v>
      </c>
      <c r="D270" s="38">
        <v>46754.783000000003</v>
      </c>
    </row>
    <row r="271" spans="1:4" x14ac:dyDescent="0.25">
      <c r="A271" s="43" t="s">
        <v>348</v>
      </c>
      <c r="B271" s="114">
        <v>926</v>
      </c>
      <c r="C271" s="45">
        <v>195522.41200000001</v>
      </c>
      <c r="D271" s="45">
        <v>196146.321</v>
      </c>
    </row>
    <row r="272" spans="1:4" x14ac:dyDescent="0.25">
      <c r="A272" s="39" t="s">
        <v>349</v>
      </c>
      <c r="B272" s="112">
        <v>40</v>
      </c>
      <c r="C272" s="38">
        <v>8955.1080000000002</v>
      </c>
      <c r="D272" s="38">
        <v>9006.4</v>
      </c>
    </row>
    <row r="273" spans="1:4" x14ac:dyDescent="0.25">
      <c r="A273" s="39" t="s">
        <v>350</v>
      </c>
      <c r="B273" s="112">
        <v>56</v>
      </c>
      <c r="C273" s="38">
        <v>11539.325999999999</v>
      </c>
      <c r="D273" s="38">
        <v>11589.616</v>
      </c>
    </row>
    <row r="274" spans="1:4" x14ac:dyDescent="0.25">
      <c r="A274" s="39" t="s">
        <v>351</v>
      </c>
      <c r="B274" s="112">
        <v>250</v>
      </c>
      <c r="C274" s="38">
        <v>65129.731</v>
      </c>
      <c r="D274" s="38">
        <v>65273.512000000002</v>
      </c>
    </row>
    <row r="275" spans="1:4" x14ac:dyDescent="0.25">
      <c r="A275" s="39" t="s">
        <v>352</v>
      </c>
      <c r="B275" s="112">
        <v>276</v>
      </c>
      <c r="C275" s="38">
        <v>83517.046000000002</v>
      </c>
      <c r="D275" s="38">
        <v>83783.945000000007</v>
      </c>
    </row>
    <row r="276" spans="1:4" x14ac:dyDescent="0.25">
      <c r="A276" s="39" t="s">
        <v>353</v>
      </c>
      <c r="B276" s="112">
        <v>438</v>
      </c>
      <c r="C276" s="38">
        <v>38.020000000000003</v>
      </c>
      <c r="D276" s="38">
        <v>38.137</v>
      </c>
    </row>
    <row r="277" spans="1:4" x14ac:dyDescent="0.25">
      <c r="A277" s="39" t="s">
        <v>354</v>
      </c>
      <c r="B277" s="112">
        <v>442</v>
      </c>
      <c r="C277" s="38">
        <v>615.73</v>
      </c>
      <c r="D277" s="38">
        <v>625.976</v>
      </c>
    </row>
    <row r="278" spans="1:4" x14ac:dyDescent="0.25">
      <c r="A278" s="39" t="s">
        <v>355</v>
      </c>
      <c r="B278" s="112">
        <v>492</v>
      </c>
      <c r="C278" s="38">
        <v>38.966999999999999</v>
      </c>
      <c r="D278" s="38">
        <v>39.244</v>
      </c>
    </row>
    <row r="279" spans="1:4" x14ac:dyDescent="0.25">
      <c r="A279" s="39" t="s">
        <v>356</v>
      </c>
      <c r="B279" s="112">
        <v>528</v>
      </c>
      <c r="C279" s="38">
        <v>17097.123</v>
      </c>
      <c r="D279" s="38">
        <v>17134.873</v>
      </c>
    </row>
    <row r="280" spans="1:4" x14ac:dyDescent="0.25">
      <c r="A280" s="39" t="s">
        <v>357</v>
      </c>
      <c r="B280" s="112">
        <v>756</v>
      </c>
      <c r="C280" s="38">
        <v>8591.3610000000008</v>
      </c>
      <c r="D280" s="38">
        <v>8654.6180000000004</v>
      </c>
    </row>
    <row r="281" spans="1:4" x14ac:dyDescent="0.25">
      <c r="A281" s="46" t="s">
        <v>358</v>
      </c>
      <c r="B281" s="115">
        <v>918</v>
      </c>
      <c r="C281" s="48">
        <v>366600.94400000002</v>
      </c>
      <c r="D281" s="48">
        <v>368869.64399999997</v>
      </c>
    </row>
    <row r="282" spans="1:4" x14ac:dyDescent="0.25">
      <c r="A282" s="39" t="s">
        <v>359</v>
      </c>
      <c r="B282" s="112">
        <v>60</v>
      </c>
      <c r="C282" s="38">
        <v>62.508000000000003</v>
      </c>
      <c r="D282" s="38">
        <v>62.273000000000003</v>
      </c>
    </row>
    <row r="283" spans="1:4" x14ac:dyDescent="0.25">
      <c r="A283" s="39" t="s">
        <v>360</v>
      </c>
      <c r="B283" s="112">
        <v>124</v>
      </c>
      <c r="C283" s="38">
        <v>37411.038</v>
      </c>
      <c r="D283" s="38">
        <v>37742.156999999999</v>
      </c>
    </row>
    <row r="284" spans="1:4" x14ac:dyDescent="0.25">
      <c r="A284" s="39" t="s">
        <v>361</v>
      </c>
      <c r="B284" s="112">
        <v>304</v>
      </c>
      <c r="C284" s="38">
        <v>56.66</v>
      </c>
      <c r="D284" s="38">
        <v>56.771999999999998</v>
      </c>
    </row>
    <row r="285" spans="1:4" x14ac:dyDescent="0.25">
      <c r="A285" s="39" t="s">
        <v>362</v>
      </c>
      <c r="B285" s="112">
        <v>666</v>
      </c>
      <c r="C285" s="38">
        <v>5.8209999999999997</v>
      </c>
      <c r="D285" s="38">
        <v>5.7949999999999999</v>
      </c>
    </row>
    <row r="286" spans="1:4" x14ac:dyDescent="0.25">
      <c r="A286" s="39" t="s">
        <v>363</v>
      </c>
      <c r="B286" s="112">
        <v>840</v>
      </c>
      <c r="C286" s="38">
        <v>329064.91700000002</v>
      </c>
      <c r="D286" s="38">
        <v>331002.647</v>
      </c>
    </row>
    <row r="287" spans="1:4" x14ac:dyDescent="0.25">
      <c r="B287" s="116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10"/>
  <sheetViews>
    <sheetView workbookViewId="0"/>
  </sheetViews>
  <sheetFormatPr defaultRowHeight="15" x14ac:dyDescent="0.25"/>
  <cols>
    <col min="12" max="12" width="34.5703125" customWidth="1"/>
    <col min="13" max="13" width="27.28515625" customWidth="1"/>
    <col min="14" max="14" width="15.28515625" customWidth="1"/>
    <col min="15" max="15" width="13.140625" customWidth="1"/>
    <col min="16" max="16" width="13.28515625" customWidth="1"/>
  </cols>
  <sheetData>
    <row r="1" spans="1:18" x14ac:dyDescent="0.25">
      <c r="A1" s="80" t="s">
        <v>570</v>
      </c>
      <c r="B1" s="80" t="s">
        <v>571</v>
      </c>
      <c r="C1" s="33" t="s">
        <v>572</v>
      </c>
      <c r="D1" s="33" t="s">
        <v>573</v>
      </c>
      <c r="E1" s="33"/>
      <c r="F1" s="33" t="s">
        <v>570</v>
      </c>
      <c r="G1" s="33" t="s">
        <v>571</v>
      </c>
      <c r="H1" s="33" t="s">
        <v>574</v>
      </c>
      <c r="I1" s="33" t="s">
        <v>44</v>
      </c>
      <c r="J1" s="33" t="s">
        <v>45</v>
      </c>
      <c r="K1" s="33"/>
      <c r="L1" s="88" t="s">
        <v>570</v>
      </c>
      <c r="M1" s="88" t="s">
        <v>575</v>
      </c>
      <c r="N1" s="89" t="s">
        <v>576</v>
      </c>
      <c r="O1" s="89" t="s">
        <v>577</v>
      </c>
      <c r="P1" s="89" t="s">
        <v>578</v>
      </c>
      <c r="Q1" s="33"/>
      <c r="R1" s="33"/>
    </row>
    <row r="2" spans="1:18" x14ac:dyDescent="0.25">
      <c r="A2" s="82" t="s">
        <v>191</v>
      </c>
      <c r="B2" s="82" t="s">
        <v>369</v>
      </c>
      <c r="C2" s="86">
        <v>37</v>
      </c>
      <c r="D2" s="86">
        <v>66</v>
      </c>
      <c r="E2" s="33"/>
      <c r="F2" s="33" t="s">
        <v>157</v>
      </c>
      <c r="G2" s="33" t="s">
        <v>371</v>
      </c>
      <c r="H2" s="90">
        <v>1.75</v>
      </c>
      <c r="I2" s="90">
        <v>1.23</v>
      </c>
      <c r="J2" s="90">
        <v>2.4300000000000002</v>
      </c>
      <c r="K2" s="33"/>
      <c r="L2" s="82" t="s">
        <v>191</v>
      </c>
      <c r="M2" s="82" t="s">
        <v>579</v>
      </c>
      <c r="N2" s="89">
        <v>0.26918419033691254</v>
      </c>
      <c r="O2" s="89">
        <v>0.14980000000000002</v>
      </c>
      <c r="P2" s="89">
        <v>0.37619999999999998</v>
      </c>
      <c r="Q2" s="33"/>
      <c r="R2" s="33"/>
    </row>
    <row r="3" spans="1:18" x14ac:dyDescent="0.25">
      <c r="A3" s="82" t="s">
        <v>122</v>
      </c>
      <c r="B3" s="82" t="s">
        <v>372</v>
      </c>
      <c r="C3" s="86"/>
      <c r="D3" s="86">
        <v>53</v>
      </c>
      <c r="E3" s="33"/>
      <c r="F3" s="33" t="s">
        <v>122</v>
      </c>
      <c r="G3" s="33" t="s">
        <v>372</v>
      </c>
      <c r="H3" s="90">
        <v>9.39</v>
      </c>
      <c r="I3" s="90">
        <v>7.15</v>
      </c>
      <c r="J3" s="90">
        <v>11.82</v>
      </c>
      <c r="K3" s="33"/>
      <c r="L3" s="82" t="s">
        <v>332</v>
      </c>
      <c r="M3" s="82" t="s">
        <v>580</v>
      </c>
      <c r="N3" s="89">
        <v>0.30532311464421369</v>
      </c>
      <c r="O3" s="89">
        <v>0.16329999999999997</v>
      </c>
      <c r="P3" s="89">
        <v>0.42849999999999999</v>
      </c>
      <c r="Q3" s="33"/>
      <c r="R3" s="33"/>
    </row>
    <row r="4" spans="1:18" x14ac:dyDescent="0.25">
      <c r="A4" s="84" t="s">
        <v>332</v>
      </c>
      <c r="B4" s="84" t="s">
        <v>370</v>
      </c>
      <c r="C4" s="87">
        <v>99</v>
      </c>
      <c r="D4" s="87">
        <v>99</v>
      </c>
      <c r="E4" s="33"/>
      <c r="F4" s="33" t="s">
        <v>138</v>
      </c>
      <c r="G4" s="33" t="s">
        <v>383</v>
      </c>
      <c r="H4" s="90">
        <v>10.95</v>
      </c>
      <c r="I4" s="90">
        <v>8.15</v>
      </c>
      <c r="J4" s="90">
        <v>14.2</v>
      </c>
      <c r="K4" s="33"/>
      <c r="L4" s="84" t="s">
        <v>157</v>
      </c>
      <c r="M4" s="84" t="s">
        <v>579</v>
      </c>
      <c r="N4" s="89">
        <v>0.23968205779100432</v>
      </c>
      <c r="O4" s="89">
        <v>0.14980000000000002</v>
      </c>
      <c r="P4" s="89">
        <v>0.37619999999999998</v>
      </c>
      <c r="Q4" s="33"/>
      <c r="R4" s="33"/>
    </row>
    <row r="5" spans="1:18" x14ac:dyDescent="0.25">
      <c r="A5" s="84" t="s">
        <v>333</v>
      </c>
      <c r="B5" s="84" t="s">
        <v>581</v>
      </c>
      <c r="C5" s="87"/>
      <c r="D5" s="87">
        <v>98</v>
      </c>
      <c r="E5" s="33"/>
      <c r="F5" s="33" t="s">
        <v>132</v>
      </c>
      <c r="G5" s="33" t="s">
        <v>387</v>
      </c>
      <c r="H5" s="90">
        <v>1.34</v>
      </c>
      <c r="I5" s="90">
        <v>0.15</v>
      </c>
      <c r="J5" s="90">
        <v>13.37</v>
      </c>
      <c r="K5" s="33"/>
      <c r="L5" s="84" t="s">
        <v>122</v>
      </c>
      <c r="M5" s="84" t="s">
        <v>582</v>
      </c>
      <c r="N5" s="89">
        <v>0.29386253285476716</v>
      </c>
      <c r="O5" s="89">
        <v>0.15279999999999999</v>
      </c>
      <c r="P5" s="89">
        <v>0.40200000000000002</v>
      </c>
      <c r="Q5" s="33"/>
      <c r="R5" s="33"/>
    </row>
    <row r="6" spans="1:18" x14ac:dyDescent="0.25">
      <c r="A6" s="84" t="s">
        <v>181</v>
      </c>
      <c r="B6" s="84" t="s">
        <v>533</v>
      </c>
      <c r="C6" s="87">
        <v>91</v>
      </c>
      <c r="D6" s="87">
        <v>98</v>
      </c>
      <c r="E6" s="33"/>
      <c r="F6" s="33" t="s">
        <v>139</v>
      </c>
      <c r="G6" s="33" t="s">
        <v>391</v>
      </c>
      <c r="H6" s="90">
        <v>10.050000000000001</v>
      </c>
      <c r="I6" s="90">
        <v>8.1999999999999993</v>
      </c>
      <c r="J6" s="90">
        <v>12.28</v>
      </c>
      <c r="K6" s="33"/>
      <c r="L6" s="84" t="s">
        <v>225</v>
      </c>
      <c r="M6" s="84" t="s">
        <v>223</v>
      </c>
      <c r="N6" s="89">
        <v>0.30207064864864863</v>
      </c>
      <c r="O6" s="89">
        <v>0.16309999999999999</v>
      </c>
      <c r="P6" s="89">
        <v>0.43</v>
      </c>
      <c r="Q6" s="33"/>
      <c r="R6" s="33"/>
    </row>
    <row r="7" spans="1:18" x14ac:dyDescent="0.25">
      <c r="A7" s="82" t="s">
        <v>262</v>
      </c>
      <c r="B7" s="82" t="s">
        <v>373</v>
      </c>
      <c r="C7" s="86">
        <v>82</v>
      </c>
      <c r="D7" s="86">
        <v>86</v>
      </c>
      <c r="E7" s="33"/>
      <c r="F7" s="33" t="s">
        <v>101</v>
      </c>
      <c r="G7" s="33" t="s">
        <v>392</v>
      </c>
      <c r="H7" s="90">
        <v>6.37</v>
      </c>
      <c r="I7" s="90">
        <v>3.87</v>
      </c>
      <c r="J7" s="90">
        <v>10</v>
      </c>
      <c r="K7" s="33"/>
      <c r="L7" s="84" t="s">
        <v>262</v>
      </c>
      <c r="M7" s="84" t="s">
        <v>583</v>
      </c>
      <c r="N7" s="89">
        <v>0.32111653802265411</v>
      </c>
      <c r="O7" s="89">
        <v>0.17660000000000001</v>
      </c>
      <c r="P7" s="89">
        <v>0.45710000000000001</v>
      </c>
      <c r="Q7" s="33"/>
      <c r="R7" s="33"/>
    </row>
    <row r="8" spans="1:18" x14ac:dyDescent="0.25">
      <c r="A8" s="84" t="s">
        <v>165</v>
      </c>
      <c r="B8" s="84" t="s">
        <v>374</v>
      </c>
      <c r="C8" s="87">
        <v>96</v>
      </c>
      <c r="D8" s="87">
        <v>92</v>
      </c>
      <c r="E8" s="33"/>
      <c r="F8" s="33" t="s">
        <v>140</v>
      </c>
      <c r="G8" s="33" t="s">
        <v>393</v>
      </c>
      <c r="H8" s="90">
        <v>5.23</v>
      </c>
      <c r="I8" s="90">
        <v>2.76</v>
      </c>
      <c r="J8" s="90">
        <v>8.4700000000000006</v>
      </c>
      <c r="K8" s="33"/>
      <c r="L8" s="84" t="s">
        <v>165</v>
      </c>
      <c r="M8" s="84" t="s">
        <v>184</v>
      </c>
      <c r="N8" s="89">
        <v>0.29983118977846629</v>
      </c>
      <c r="O8" s="89">
        <v>0.16309999999999999</v>
      </c>
      <c r="P8" s="89">
        <v>0.43079999999999996</v>
      </c>
      <c r="Q8" s="33"/>
      <c r="R8" s="33"/>
    </row>
    <row r="9" spans="1:18" x14ac:dyDescent="0.25">
      <c r="A9" s="84" t="s">
        <v>225</v>
      </c>
      <c r="B9" s="84" t="s">
        <v>584</v>
      </c>
      <c r="C9" s="87"/>
      <c r="D9" s="87">
        <v>99</v>
      </c>
      <c r="E9" s="33"/>
      <c r="F9" s="33" t="s">
        <v>123</v>
      </c>
      <c r="G9" s="33" t="s">
        <v>395</v>
      </c>
      <c r="H9" s="90">
        <v>4.43</v>
      </c>
      <c r="I9" s="90">
        <v>3.49</v>
      </c>
      <c r="J9" s="90">
        <v>5.73</v>
      </c>
      <c r="K9" s="33"/>
      <c r="L9" s="84" t="s">
        <v>277</v>
      </c>
      <c r="M9" s="84" t="s">
        <v>585</v>
      </c>
      <c r="N9" s="89">
        <v>0.28903696153730163</v>
      </c>
      <c r="O9" s="89">
        <v>0.17379999999999998</v>
      </c>
      <c r="P9" s="89">
        <v>0.45860000000000001</v>
      </c>
      <c r="Q9" s="33"/>
      <c r="R9" s="33"/>
    </row>
    <row r="10" spans="1:18" x14ac:dyDescent="0.25">
      <c r="A10" s="82" t="s">
        <v>277</v>
      </c>
      <c r="B10" s="82" t="s">
        <v>375</v>
      </c>
      <c r="C10" s="86"/>
      <c r="D10" s="86">
        <v>95</v>
      </c>
      <c r="E10" s="33"/>
      <c r="F10" s="33" t="s">
        <v>124</v>
      </c>
      <c r="G10" s="33" t="s">
        <v>397</v>
      </c>
      <c r="H10" s="90">
        <v>10.199999999999999</v>
      </c>
      <c r="I10" s="90">
        <v>8.17</v>
      </c>
      <c r="J10" s="90">
        <v>12.63</v>
      </c>
      <c r="K10" s="33"/>
      <c r="L10" s="84" t="s">
        <v>349</v>
      </c>
      <c r="M10" s="84" t="s">
        <v>348</v>
      </c>
      <c r="N10" s="89">
        <v>0.25227753433140276</v>
      </c>
      <c r="O10" s="89">
        <v>0.15609999999999999</v>
      </c>
      <c r="P10" s="89">
        <v>0.41389999999999999</v>
      </c>
      <c r="Q10" s="33"/>
      <c r="R10" s="33"/>
    </row>
    <row r="11" spans="1:18" x14ac:dyDescent="0.25">
      <c r="A11" s="84" t="s">
        <v>349</v>
      </c>
      <c r="B11" s="84" t="s">
        <v>376</v>
      </c>
      <c r="C11" s="87"/>
      <c r="D11" s="87">
        <v>85</v>
      </c>
      <c r="E11" s="33"/>
      <c r="F11" s="33" t="s">
        <v>125</v>
      </c>
      <c r="G11" s="33" t="s">
        <v>398</v>
      </c>
      <c r="H11" s="90">
        <v>4.87</v>
      </c>
      <c r="I11" s="90">
        <v>0.48</v>
      </c>
      <c r="J11" s="90">
        <v>36.43</v>
      </c>
      <c r="K11" s="33"/>
      <c r="L11" s="82" t="s">
        <v>166</v>
      </c>
      <c r="M11" s="82" t="s">
        <v>184</v>
      </c>
      <c r="N11" s="89">
        <v>0.31329991410247759</v>
      </c>
      <c r="O11" s="89">
        <v>0.16309999999999999</v>
      </c>
      <c r="P11" s="89">
        <v>0.43079999999999996</v>
      </c>
      <c r="Q11" s="33"/>
      <c r="R11" s="33"/>
    </row>
    <row r="12" spans="1:18" x14ac:dyDescent="0.25">
      <c r="A12" s="82" t="s">
        <v>166</v>
      </c>
      <c r="B12" s="82" t="s">
        <v>377</v>
      </c>
      <c r="C12" s="86">
        <v>98</v>
      </c>
      <c r="D12" s="86">
        <v>94</v>
      </c>
      <c r="E12" s="33"/>
      <c r="F12" s="33" t="s">
        <v>102</v>
      </c>
      <c r="G12" s="33" t="s">
        <v>402</v>
      </c>
      <c r="H12" s="90">
        <v>4.3099999999999996</v>
      </c>
      <c r="I12" s="90">
        <v>0.36</v>
      </c>
      <c r="J12" s="90">
        <v>34.94</v>
      </c>
      <c r="K12" s="33"/>
      <c r="L12" s="82" t="s">
        <v>586</v>
      </c>
      <c r="M12" s="82" t="s">
        <v>223</v>
      </c>
      <c r="N12" s="89">
        <v>0.29511081733447214</v>
      </c>
      <c r="O12" s="89">
        <v>0.16309999999999999</v>
      </c>
      <c r="P12" s="89">
        <v>0.43</v>
      </c>
      <c r="Q12" s="33"/>
      <c r="R12" s="33"/>
    </row>
    <row r="13" spans="1:18" x14ac:dyDescent="0.25">
      <c r="A13" s="84" t="s">
        <v>101</v>
      </c>
      <c r="B13" s="84" t="s">
        <v>392</v>
      </c>
      <c r="C13" s="87"/>
      <c r="D13" s="87">
        <v>93</v>
      </c>
      <c r="E13" s="33"/>
      <c r="F13" s="33" t="s">
        <v>126</v>
      </c>
      <c r="G13" s="33" t="s">
        <v>403</v>
      </c>
      <c r="H13" s="90">
        <v>9.5</v>
      </c>
      <c r="I13" s="90">
        <v>6.83</v>
      </c>
      <c r="J13" s="90">
        <v>12.82</v>
      </c>
      <c r="K13" s="33"/>
      <c r="L13" s="82" t="s">
        <v>167</v>
      </c>
      <c r="M13" s="82" t="s">
        <v>579</v>
      </c>
      <c r="N13" s="89">
        <v>0.2480594042061432</v>
      </c>
      <c r="O13" s="89">
        <v>0.14980000000000002</v>
      </c>
      <c r="P13" s="89">
        <v>0.37619999999999998</v>
      </c>
      <c r="Q13" s="33"/>
      <c r="R13" s="33"/>
    </row>
    <row r="14" spans="1:18" x14ac:dyDescent="0.25">
      <c r="A14" s="82" t="s">
        <v>350</v>
      </c>
      <c r="B14" s="82" t="s">
        <v>587</v>
      </c>
      <c r="C14" s="86"/>
      <c r="D14" s="86">
        <v>97</v>
      </c>
      <c r="E14" s="33"/>
      <c r="F14" s="33" t="s">
        <v>588</v>
      </c>
      <c r="G14" s="33" t="s">
        <v>406</v>
      </c>
      <c r="H14" s="90">
        <v>6.07</v>
      </c>
      <c r="I14" s="90">
        <v>4.59</v>
      </c>
      <c r="J14" s="90">
        <v>7.88</v>
      </c>
      <c r="K14" s="33"/>
      <c r="L14" s="84" t="s">
        <v>192</v>
      </c>
      <c r="M14" s="84" t="s">
        <v>589</v>
      </c>
      <c r="N14" s="89">
        <v>0.28521070936823062</v>
      </c>
      <c r="O14" s="89">
        <v>0.1482</v>
      </c>
      <c r="P14" s="89">
        <v>0.35830000000000001</v>
      </c>
      <c r="Q14" s="33"/>
      <c r="R14" s="33"/>
    </row>
    <row r="15" spans="1:18" x14ac:dyDescent="0.25">
      <c r="A15" s="82" t="s">
        <v>138</v>
      </c>
      <c r="B15" s="82" t="s">
        <v>383</v>
      </c>
      <c r="C15" s="86"/>
      <c r="D15" s="86">
        <v>76</v>
      </c>
      <c r="E15" s="33"/>
      <c r="F15" s="33" t="s">
        <v>590</v>
      </c>
      <c r="G15" s="33" t="s">
        <v>412</v>
      </c>
      <c r="H15" s="90">
        <v>3.15</v>
      </c>
      <c r="I15" s="90">
        <v>2.37</v>
      </c>
      <c r="J15" s="90">
        <v>4.18</v>
      </c>
      <c r="K15" s="33"/>
      <c r="L15" s="84" t="s">
        <v>228</v>
      </c>
      <c r="M15" s="84" t="s">
        <v>223</v>
      </c>
      <c r="N15" s="89">
        <v>0.28998139124755062</v>
      </c>
      <c r="O15" s="89">
        <v>0.16309999999999999</v>
      </c>
      <c r="P15" s="89">
        <v>0.43</v>
      </c>
      <c r="Q15" s="33"/>
      <c r="R15" s="33"/>
    </row>
    <row r="16" spans="1:18" x14ac:dyDescent="0.25">
      <c r="A16" s="82" t="s">
        <v>139</v>
      </c>
      <c r="B16" s="82" t="s">
        <v>391</v>
      </c>
      <c r="C16" s="86"/>
      <c r="D16" s="86">
        <v>91</v>
      </c>
      <c r="E16" s="33"/>
      <c r="F16" s="33" t="s">
        <v>128</v>
      </c>
      <c r="G16" s="33" t="s">
        <v>419</v>
      </c>
      <c r="H16" s="90">
        <v>9.34</v>
      </c>
      <c r="I16" s="90">
        <v>7.48</v>
      </c>
      <c r="J16" s="90">
        <v>11.4</v>
      </c>
      <c r="K16" s="33"/>
      <c r="L16" s="84" t="s">
        <v>307</v>
      </c>
      <c r="M16" s="84" t="s">
        <v>306</v>
      </c>
      <c r="N16" s="89">
        <v>0.28713486462847726</v>
      </c>
      <c r="O16" s="89">
        <v>0.16339999999999999</v>
      </c>
      <c r="P16" s="89">
        <v>0.42969999999999997</v>
      </c>
      <c r="Q16" s="33"/>
      <c r="R16" s="33"/>
    </row>
    <row r="17" spans="1:18" x14ac:dyDescent="0.25">
      <c r="A17" s="84" t="s">
        <v>192</v>
      </c>
      <c r="B17" s="84" t="s">
        <v>379</v>
      </c>
      <c r="C17" s="87"/>
      <c r="D17" s="87">
        <v>98</v>
      </c>
      <c r="E17" s="33"/>
      <c r="F17" s="33" t="s">
        <v>104</v>
      </c>
      <c r="G17" s="33" t="s">
        <v>420</v>
      </c>
      <c r="H17" s="90">
        <v>1.85</v>
      </c>
      <c r="I17" s="90">
        <v>1.49</v>
      </c>
      <c r="J17" s="90">
        <v>2.27</v>
      </c>
      <c r="K17" s="33"/>
      <c r="L17" s="82" t="s">
        <v>350</v>
      </c>
      <c r="M17" s="82" t="s">
        <v>348</v>
      </c>
      <c r="N17" s="89">
        <v>0.24910368547326303</v>
      </c>
      <c r="O17" s="89">
        <v>0.15609999999999999</v>
      </c>
      <c r="P17" s="89">
        <v>0.41389999999999999</v>
      </c>
      <c r="Q17" s="33"/>
      <c r="R17" s="33"/>
    </row>
    <row r="18" spans="1:18" x14ac:dyDescent="0.25">
      <c r="A18" s="84" t="s">
        <v>308</v>
      </c>
      <c r="B18" s="84" t="s">
        <v>390</v>
      </c>
      <c r="C18" s="87">
        <v>96</v>
      </c>
      <c r="D18" s="87">
        <v>85</v>
      </c>
      <c r="E18" s="33"/>
      <c r="F18" s="33" t="s">
        <v>105</v>
      </c>
      <c r="G18" s="33" t="s">
        <v>423</v>
      </c>
      <c r="H18" s="90">
        <v>5.68</v>
      </c>
      <c r="I18" s="90">
        <v>4.72</v>
      </c>
      <c r="J18" s="90">
        <v>6.82</v>
      </c>
      <c r="K18" s="33"/>
      <c r="L18" s="82" t="s">
        <v>253</v>
      </c>
      <c r="M18" s="82" t="s">
        <v>223</v>
      </c>
      <c r="N18" s="89">
        <v>0.3153977532060992</v>
      </c>
      <c r="O18" s="89">
        <v>0.16309999999999999</v>
      </c>
      <c r="P18" s="89">
        <v>0.43</v>
      </c>
      <c r="Q18" s="33"/>
      <c r="R18" s="33"/>
    </row>
    <row r="19" spans="1:18" x14ac:dyDescent="0.25">
      <c r="A19" s="82" t="s">
        <v>167</v>
      </c>
      <c r="B19" s="82" t="s">
        <v>378</v>
      </c>
      <c r="C19" s="86">
        <v>98</v>
      </c>
      <c r="D19" s="86">
        <v>99</v>
      </c>
      <c r="E19" s="33"/>
      <c r="F19" s="33" t="s">
        <v>129</v>
      </c>
      <c r="G19" s="33" t="s">
        <v>427</v>
      </c>
      <c r="H19" s="90">
        <v>9.1300000000000008</v>
      </c>
      <c r="I19" s="90">
        <v>7.43</v>
      </c>
      <c r="J19" s="90">
        <v>11.15</v>
      </c>
      <c r="K19" s="33"/>
      <c r="L19" s="82" t="s">
        <v>138</v>
      </c>
      <c r="M19" s="82" t="s">
        <v>591</v>
      </c>
      <c r="N19" s="89">
        <v>0.29308008391498708</v>
      </c>
      <c r="O19" s="89">
        <v>0.155</v>
      </c>
      <c r="P19" s="89">
        <v>0.41070000000000001</v>
      </c>
      <c r="Q19" s="33"/>
      <c r="R19" s="33"/>
    </row>
    <row r="20" spans="1:18" x14ac:dyDescent="0.25">
      <c r="A20" s="84" t="s">
        <v>227</v>
      </c>
      <c r="B20" s="84" t="s">
        <v>592</v>
      </c>
      <c r="C20" s="87"/>
      <c r="D20" s="87">
        <v>86</v>
      </c>
      <c r="E20" s="33"/>
      <c r="F20" s="33" t="s">
        <v>143</v>
      </c>
      <c r="G20" s="33" t="s">
        <v>431</v>
      </c>
      <c r="H20" s="90">
        <v>8.6300000000000008</v>
      </c>
      <c r="I20" s="90">
        <v>7.19</v>
      </c>
      <c r="J20" s="90">
        <v>10.34</v>
      </c>
      <c r="K20" s="33"/>
      <c r="L20" s="82" t="s">
        <v>193</v>
      </c>
      <c r="M20" s="82" t="s">
        <v>589</v>
      </c>
      <c r="N20" s="89">
        <v>0.26254910100193679</v>
      </c>
      <c r="O20" s="89">
        <v>0.1482</v>
      </c>
      <c r="P20" s="89">
        <v>0.35830000000000001</v>
      </c>
      <c r="Q20" s="33"/>
      <c r="R20" s="33"/>
    </row>
    <row r="21" spans="1:18" x14ac:dyDescent="0.25">
      <c r="A21" s="84" t="s">
        <v>334</v>
      </c>
      <c r="B21" s="84" t="s">
        <v>386</v>
      </c>
      <c r="C21" s="87"/>
      <c r="D21" s="87">
        <v>80</v>
      </c>
      <c r="E21" s="33"/>
      <c r="F21" s="33" t="s">
        <v>144</v>
      </c>
      <c r="G21" s="33" t="s">
        <v>433</v>
      </c>
      <c r="H21" s="90">
        <v>13</v>
      </c>
      <c r="I21" s="90">
        <v>6.61</v>
      </c>
      <c r="J21" s="90">
        <v>21.79</v>
      </c>
      <c r="K21" s="33"/>
      <c r="L21" s="91" t="s">
        <v>263</v>
      </c>
      <c r="M21" s="82" t="s">
        <v>593</v>
      </c>
      <c r="N21" s="89">
        <v>0.30395745525404161</v>
      </c>
      <c r="O21" s="89">
        <v>0.16269999999999998</v>
      </c>
      <c r="P21" s="89">
        <v>0.43020000000000003</v>
      </c>
      <c r="Q21" s="33"/>
      <c r="R21" s="33"/>
    </row>
    <row r="22" spans="1:18" x14ac:dyDescent="0.25">
      <c r="A22" s="84" t="s">
        <v>307</v>
      </c>
      <c r="B22" s="84" t="s">
        <v>381</v>
      </c>
      <c r="C22" s="87">
        <v>98</v>
      </c>
      <c r="D22" s="87">
        <v>97</v>
      </c>
      <c r="E22" s="33"/>
      <c r="F22" s="33" t="s">
        <v>145</v>
      </c>
      <c r="G22" s="33" t="s">
        <v>434</v>
      </c>
      <c r="H22" s="90">
        <v>5.1100000000000003</v>
      </c>
      <c r="I22" s="90">
        <v>0.41</v>
      </c>
      <c r="J22" s="90">
        <v>38.31</v>
      </c>
      <c r="K22" s="33"/>
      <c r="L22" s="84" t="s">
        <v>334</v>
      </c>
      <c r="M22" s="84" t="s">
        <v>580</v>
      </c>
      <c r="N22" s="89">
        <v>0.28477767915605673</v>
      </c>
      <c r="O22" s="89">
        <v>0.16329999999999997</v>
      </c>
      <c r="P22" s="89">
        <v>0.42849999999999999</v>
      </c>
      <c r="Q22" s="33"/>
      <c r="R22" s="33"/>
    </row>
    <row r="23" spans="1:18" x14ac:dyDescent="0.25">
      <c r="A23" s="84" t="s">
        <v>253</v>
      </c>
      <c r="B23" s="84" t="s">
        <v>382</v>
      </c>
      <c r="C23" s="87">
        <v>70</v>
      </c>
      <c r="D23" s="87">
        <v>98</v>
      </c>
      <c r="E23" s="33"/>
      <c r="F23" s="33" t="s">
        <v>106</v>
      </c>
      <c r="G23" s="33" t="s">
        <v>448</v>
      </c>
      <c r="H23" s="90">
        <v>2.17</v>
      </c>
      <c r="I23" s="90">
        <v>1.63</v>
      </c>
      <c r="J23" s="90">
        <v>2.85</v>
      </c>
      <c r="K23" s="33"/>
      <c r="L23" s="82" t="s">
        <v>132</v>
      </c>
      <c r="M23" s="82" t="s">
        <v>594</v>
      </c>
      <c r="N23" s="89">
        <v>0.25755155919454675</v>
      </c>
      <c r="O23" s="89">
        <v>0.15109999999999998</v>
      </c>
      <c r="P23" s="89">
        <v>0.3679</v>
      </c>
      <c r="Q23" s="33"/>
      <c r="R23" s="33"/>
    </row>
    <row r="24" spans="1:18" x14ac:dyDescent="0.25">
      <c r="A24" s="82" t="s">
        <v>263</v>
      </c>
      <c r="B24" s="82" t="s">
        <v>385</v>
      </c>
      <c r="C24" s="86"/>
      <c r="D24" s="86">
        <v>75</v>
      </c>
      <c r="E24" s="33"/>
      <c r="F24" s="33" t="s">
        <v>134</v>
      </c>
      <c r="G24" s="33" t="s">
        <v>457</v>
      </c>
      <c r="H24" s="90">
        <v>4.46</v>
      </c>
      <c r="I24" s="90">
        <v>0.46</v>
      </c>
      <c r="J24" s="90">
        <v>35.31</v>
      </c>
      <c r="K24" s="33"/>
      <c r="L24" s="82" t="s">
        <v>264</v>
      </c>
      <c r="M24" s="82" t="s">
        <v>595</v>
      </c>
      <c r="N24" s="89">
        <v>0.30724885463432083</v>
      </c>
      <c r="O24" s="89">
        <v>0.17010000000000003</v>
      </c>
      <c r="P24" s="89">
        <v>0.433</v>
      </c>
      <c r="Q24" s="33"/>
      <c r="R24" s="33"/>
    </row>
    <row r="25" spans="1:18" x14ac:dyDescent="0.25">
      <c r="A25" s="84" t="s">
        <v>264</v>
      </c>
      <c r="B25" s="84" t="s">
        <v>388</v>
      </c>
      <c r="C25" s="87">
        <v>78</v>
      </c>
      <c r="D25" s="87">
        <v>80</v>
      </c>
      <c r="E25" s="33"/>
      <c r="F25" s="33" t="s">
        <v>146</v>
      </c>
      <c r="G25" s="33" t="s">
        <v>458</v>
      </c>
      <c r="H25" s="90">
        <v>14.9</v>
      </c>
      <c r="I25" s="90">
        <v>11.94</v>
      </c>
      <c r="J25" s="90">
        <v>18.39</v>
      </c>
      <c r="K25" s="33"/>
      <c r="L25" s="82" t="s">
        <v>211</v>
      </c>
      <c r="M25" s="82" t="s">
        <v>596</v>
      </c>
      <c r="N25" s="89">
        <v>0.30039016116413708</v>
      </c>
      <c r="O25" s="89">
        <v>0.16300000000000001</v>
      </c>
      <c r="P25" s="89">
        <v>0.4632</v>
      </c>
      <c r="Q25" s="33"/>
      <c r="R25" s="33"/>
    </row>
    <row r="26" spans="1:18" x14ac:dyDescent="0.25">
      <c r="A26" s="82" t="s">
        <v>228</v>
      </c>
      <c r="B26" s="82" t="s">
        <v>380</v>
      </c>
      <c r="C26" s="86"/>
      <c r="D26" s="86">
        <v>90</v>
      </c>
      <c r="E26" s="33"/>
      <c r="F26" s="33" t="s">
        <v>107</v>
      </c>
      <c r="G26" s="33" t="s">
        <v>461</v>
      </c>
      <c r="H26" s="90">
        <v>8.16</v>
      </c>
      <c r="I26" s="90">
        <v>6.54</v>
      </c>
      <c r="J26" s="90">
        <v>10.11</v>
      </c>
      <c r="K26" s="33"/>
      <c r="L26" s="82" t="s">
        <v>308</v>
      </c>
      <c r="M26" s="82" t="s">
        <v>580</v>
      </c>
      <c r="N26" s="89">
        <v>0.29457918010947859</v>
      </c>
      <c r="O26" s="89">
        <v>0.16329999999999997</v>
      </c>
      <c r="P26" s="89">
        <v>0.42849999999999999</v>
      </c>
      <c r="Q26" s="33"/>
      <c r="R26" s="33"/>
    </row>
    <row r="27" spans="1:18" x14ac:dyDescent="0.25">
      <c r="A27" s="82" t="s">
        <v>211</v>
      </c>
      <c r="B27" s="82" t="s">
        <v>389</v>
      </c>
      <c r="C27" s="86"/>
      <c r="D27" s="86">
        <v>99</v>
      </c>
      <c r="E27" s="33"/>
      <c r="F27" s="33" t="s">
        <v>108</v>
      </c>
      <c r="G27" s="33" t="s">
        <v>462</v>
      </c>
      <c r="H27" s="90">
        <v>6.91</v>
      </c>
      <c r="I27" s="90">
        <v>5.25</v>
      </c>
      <c r="J27" s="90">
        <v>8.8800000000000008</v>
      </c>
      <c r="K27" s="33"/>
      <c r="L27" s="84" t="s">
        <v>139</v>
      </c>
      <c r="M27" s="84" t="s">
        <v>591</v>
      </c>
      <c r="N27" s="89">
        <v>0.29335469441802142</v>
      </c>
      <c r="O27" s="89">
        <v>0.155</v>
      </c>
      <c r="P27" s="89">
        <v>0.41070000000000001</v>
      </c>
      <c r="Q27" s="33"/>
      <c r="R27" s="33"/>
    </row>
    <row r="28" spans="1:18" x14ac:dyDescent="0.25">
      <c r="A28" s="84" t="s">
        <v>193</v>
      </c>
      <c r="B28" s="84" t="s">
        <v>384</v>
      </c>
      <c r="C28" s="87">
        <v>86</v>
      </c>
      <c r="D28" s="87">
        <v>97</v>
      </c>
      <c r="E28" s="33"/>
      <c r="F28" s="33" t="s">
        <v>147</v>
      </c>
      <c r="G28" s="33" t="s">
        <v>465</v>
      </c>
      <c r="H28" s="90">
        <v>8.5399999999999991</v>
      </c>
      <c r="I28" s="90">
        <v>6.48</v>
      </c>
      <c r="J28" s="90">
        <v>11.06</v>
      </c>
      <c r="K28" s="33"/>
      <c r="L28" s="82" t="s">
        <v>101</v>
      </c>
      <c r="M28" s="82" t="s">
        <v>597</v>
      </c>
      <c r="N28" s="89">
        <v>0.27469611022005852</v>
      </c>
      <c r="O28" s="89">
        <v>0.15560000000000002</v>
      </c>
      <c r="P28" s="89">
        <v>0.39960000000000001</v>
      </c>
      <c r="Q28" s="33"/>
      <c r="R28" s="33"/>
    </row>
    <row r="29" spans="1:18" x14ac:dyDescent="0.25">
      <c r="A29" s="82" t="s">
        <v>132</v>
      </c>
      <c r="B29" s="82" t="s">
        <v>387</v>
      </c>
      <c r="C29" s="86"/>
      <c r="D29" s="86">
        <v>95</v>
      </c>
      <c r="E29" s="33"/>
      <c r="F29" s="33" t="s">
        <v>148</v>
      </c>
      <c r="G29" s="33" t="s">
        <v>468</v>
      </c>
      <c r="H29" s="90">
        <v>10.220000000000001</v>
      </c>
      <c r="I29" s="90">
        <v>7.92</v>
      </c>
      <c r="J29" s="90">
        <v>12.8</v>
      </c>
      <c r="K29" s="33"/>
      <c r="L29" s="82" t="s">
        <v>140</v>
      </c>
      <c r="M29" s="82" t="s">
        <v>591</v>
      </c>
      <c r="N29" s="89">
        <v>0.3000704220321459</v>
      </c>
      <c r="O29" s="89">
        <v>0.155</v>
      </c>
      <c r="P29" s="89">
        <v>0.41070000000000001</v>
      </c>
      <c r="Q29" s="33"/>
      <c r="R29" s="33"/>
    </row>
    <row r="30" spans="1:18" x14ac:dyDescent="0.25">
      <c r="A30" s="82" t="s">
        <v>124</v>
      </c>
      <c r="B30" s="82" t="s">
        <v>397</v>
      </c>
      <c r="C30" s="86"/>
      <c r="D30" s="86">
        <v>47</v>
      </c>
      <c r="E30" s="33"/>
      <c r="F30" s="33" t="s">
        <v>109</v>
      </c>
      <c r="G30" s="33" t="s">
        <v>469</v>
      </c>
      <c r="H30" s="90">
        <v>1.86</v>
      </c>
      <c r="I30" s="90">
        <v>0.21</v>
      </c>
      <c r="J30" s="90">
        <v>18.22</v>
      </c>
      <c r="K30" s="33"/>
      <c r="L30" s="82" t="s">
        <v>212</v>
      </c>
      <c r="M30" s="82" t="s">
        <v>598</v>
      </c>
      <c r="N30" s="89">
        <v>0.34253523319202128</v>
      </c>
      <c r="O30" s="89">
        <v>0.18100000000000002</v>
      </c>
      <c r="P30" s="89">
        <v>0.47729999999999995</v>
      </c>
      <c r="Q30" s="33"/>
      <c r="R30" s="33"/>
    </row>
    <row r="31" spans="1:18" x14ac:dyDescent="0.25">
      <c r="A31" s="84" t="s">
        <v>360</v>
      </c>
      <c r="B31" s="84" t="s">
        <v>396</v>
      </c>
      <c r="C31" s="87"/>
      <c r="D31" s="87">
        <v>74</v>
      </c>
      <c r="E31" s="33"/>
      <c r="F31" s="33" t="s">
        <v>111</v>
      </c>
      <c r="G31" s="33" t="s">
        <v>476</v>
      </c>
      <c r="H31" s="90">
        <v>7.24</v>
      </c>
      <c r="I31" s="90">
        <v>5.2</v>
      </c>
      <c r="J31" s="90">
        <v>9.7799999999999994</v>
      </c>
      <c r="K31" s="33"/>
      <c r="L31" s="84" t="s">
        <v>123</v>
      </c>
      <c r="M31" s="84" t="s">
        <v>591</v>
      </c>
      <c r="N31" s="89">
        <v>0.29497789261106083</v>
      </c>
      <c r="O31" s="89">
        <v>0.155</v>
      </c>
      <c r="P31" s="89">
        <v>0.41070000000000001</v>
      </c>
      <c r="Q31" s="33"/>
      <c r="R31" s="33"/>
    </row>
    <row r="32" spans="1:18" x14ac:dyDescent="0.25">
      <c r="A32" s="84" t="s">
        <v>357</v>
      </c>
      <c r="B32" s="84" t="s">
        <v>599</v>
      </c>
      <c r="C32" s="87"/>
      <c r="D32" s="87">
        <v>69</v>
      </c>
      <c r="E32" s="33"/>
      <c r="F32" s="33" t="s">
        <v>135</v>
      </c>
      <c r="G32" s="33" t="s">
        <v>478</v>
      </c>
      <c r="H32" s="90">
        <v>2.2200000000000002</v>
      </c>
      <c r="I32" s="90">
        <v>1.82</v>
      </c>
      <c r="J32" s="90">
        <v>2.77</v>
      </c>
      <c r="K32" s="33"/>
      <c r="L32" s="82" t="s">
        <v>360</v>
      </c>
      <c r="M32" s="82" t="s">
        <v>600</v>
      </c>
      <c r="N32" s="89">
        <v>0.29155932314967747</v>
      </c>
      <c r="O32" s="89">
        <v>0.17489999999999997</v>
      </c>
      <c r="P32" s="89">
        <v>0.45979999999999999</v>
      </c>
      <c r="Q32" s="33"/>
      <c r="R32" s="33"/>
    </row>
    <row r="33" spans="1:18" x14ac:dyDescent="0.25">
      <c r="A33" s="82" t="s">
        <v>265</v>
      </c>
      <c r="B33" s="82" t="s">
        <v>399</v>
      </c>
      <c r="C33" s="86">
        <v>65</v>
      </c>
      <c r="D33" s="86">
        <v>96</v>
      </c>
      <c r="E33" s="33"/>
      <c r="F33" s="33" t="s">
        <v>149</v>
      </c>
      <c r="G33" s="33" t="s">
        <v>483</v>
      </c>
      <c r="H33" s="90">
        <v>11.61</v>
      </c>
      <c r="I33" s="90">
        <v>8.18</v>
      </c>
      <c r="J33" s="90">
        <v>16.22</v>
      </c>
      <c r="K33" s="33"/>
      <c r="L33" s="82" t="s">
        <v>601</v>
      </c>
      <c r="M33" s="82" t="s">
        <v>582</v>
      </c>
      <c r="N33" s="89">
        <v>0.29820485243263806</v>
      </c>
      <c r="O33" s="89">
        <v>0.15279999999999999</v>
      </c>
      <c r="P33" s="89">
        <v>0.40200000000000002</v>
      </c>
      <c r="Q33" s="33"/>
      <c r="R33" s="33"/>
    </row>
    <row r="34" spans="1:18" x14ac:dyDescent="0.25">
      <c r="A34" s="84" t="s">
        <v>202</v>
      </c>
      <c r="B34" s="84" t="s">
        <v>400</v>
      </c>
      <c r="C34" s="87">
        <v>96</v>
      </c>
      <c r="D34" s="87">
        <v>99</v>
      </c>
      <c r="E34" s="33"/>
      <c r="F34" s="33" t="s">
        <v>150</v>
      </c>
      <c r="G34" s="33" t="s">
        <v>484</v>
      </c>
      <c r="H34" s="90">
        <v>5.47</v>
      </c>
      <c r="I34" s="90">
        <v>4.3899999999999997</v>
      </c>
      <c r="J34" s="90">
        <v>6.95</v>
      </c>
      <c r="K34" s="33"/>
      <c r="L34" s="82" t="s">
        <v>125</v>
      </c>
      <c r="M34" s="82" t="s">
        <v>591</v>
      </c>
      <c r="N34" s="89">
        <v>0.30401743635557654</v>
      </c>
      <c r="O34" s="89">
        <v>0.155</v>
      </c>
      <c r="P34" s="89">
        <v>0.41070000000000001</v>
      </c>
      <c r="Q34" s="33"/>
      <c r="R34" s="33"/>
    </row>
    <row r="35" spans="1:18" x14ac:dyDescent="0.25">
      <c r="A35" s="84" t="s">
        <v>602</v>
      </c>
      <c r="B35" s="84" t="s">
        <v>406</v>
      </c>
      <c r="C35" s="87">
        <v>9</v>
      </c>
      <c r="D35" s="87">
        <v>84</v>
      </c>
      <c r="E35" s="33"/>
      <c r="F35" s="33" t="s">
        <v>113</v>
      </c>
      <c r="G35" s="33" t="s">
        <v>502</v>
      </c>
      <c r="H35" s="90">
        <v>4.5199999999999996</v>
      </c>
      <c r="I35" s="90">
        <v>2.5</v>
      </c>
      <c r="J35" s="90">
        <v>7.74</v>
      </c>
      <c r="K35" s="33"/>
      <c r="L35" s="82" t="s">
        <v>265</v>
      </c>
      <c r="M35" s="82" t="s">
        <v>583</v>
      </c>
      <c r="N35" s="89">
        <v>0.31290583011673218</v>
      </c>
      <c r="O35" s="89">
        <v>0.17660000000000001</v>
      </c>
      <c r="P35" s="89">
        <v>0.45710000000000001</v>
      </c>
      <c r="Q35" s="33"/>
      <c r="R35" s="33"/>
    </row>
    <row r="36" spans="1:18" x14ac:dyDescent="0.25">
      <c r="A36" s="82" t="s">
        <v>123</v>
      </c>
      <c r="B36" s="82" t="s">
        <v>395</v>
      </c>
      <c r="C36" s="86"/>
      <c r="D36" s="86">
        <v>67</v>
      </c>
      <c r="E36" s="33"/>
      <c r="F36" s="33" t="s">
        <v>130</v>
      </c>
      <c r="G36" s="33" t="s">
        <v>505</v>
      </c>
      <c r="H36" s="90">
        <v>3.54</v>
      </c>
      <c r="I36" s="90">
        <v>0.28999999999999998</v>
      </c>
      <c r="J36" s="90">
        <v>24.66</v>
      </c>
      <c r="K36" s="33"/>
      <c r="L36" s="84" t="s">
        <v>202</v>
      </c>
      <c r="M36" s="84" t="s">
        <v>603</v>
      </c>
      <c r="N36" s="89">
        <v>0.33366275035206483</v>
      </c>
      <c r="O36" s="89">
        <v>0.18350000000000002</v>
      </c>
      <c r="P36" s="89">
        <v>0.49159999999999998</v>
      </c>
      <c r="Q36" s="33"/>
      <c r="R36" s="33"/>
    </row>
    <row r="37" spans="1:18" x14ac:dyDescent="0.25">
      <c r="A37" s="84" t="s">
        <v>127</v>
      </c>
      <c r="B37" s="84" t="s">
        <v>412</v>
      </c>
      <c r="C37" s="87"/>
      <c r="D37" s="87">
        <v>57</v>
      </c>
      <c r="E37" s="33"/>
      <c r="F37" s="33" t="s">
        <v>152</v>
      </c>
      <c r="G37" s="33" t="s">
        <v>507</v>
      </c>
      <c r="H37" s="90">
        <v>8.18</v>
      </c>
      <c r="I37" s="90">
        <v>6.71</v>
      </c>
      <c r="J37" s="90">
        <v>9.99</v>
      </c>
      <c r="K37" s="33"/>
      <c r="L37" s="82" t="s">
        <v>266</v>
      </c>
      <c r="M37" s="82" t="s">
        <v>604</v>
      </c>
      <c r="N37" s="89">
        <v>0.31514724266997862</v>
      </c>
      <c r="O37" s="89">
        <v>0.16440000000000002</v>
      </c>
      <c r="P37" s="89">
        <v>0.42950000000000005</v>
      </c>
      <c r="Q37" s="33"/>
      <c r="R37" s="33"/>
    </row>
    <row r="38" spans="1:18" x14ac:dyDescent="0.25">
      <c r="A38" s="82" t="s">
        <v>126</v>
      </c>
      <c r="B38" s="82" t="s">
        <v>403</v>
      </c>
      <c r="C38" s="86"/>
      <c r="D38" s="86">
        <v>79</v>
      </c>
      <c r="E38" s="33"/>
      <c r="F38" s="33" t="s">
        <v>114</v>
      </c>
      <c r="G38" s="33" t="s">
        <v>605</v>
      </c>
      <c r="H38" s="90">
        <v>0.43</v>
      </c>
      <c r="I38" s="90">
        <v>0.12</v>
      </c>
      <c r="J38" s="90">
        <v>1.1599999999999999</v>
      </c>
      <c r="K38" s="33"/>
      <c r="L38" s="92" t="s">
        <v>606</v>
      </c>
      <c r="M38" s="84" t="s">
        <v>597</v>
      </c>
      <c r="N38" s="89">
        <v>0.27833288120198318</v>
      </c>
      <c r="O38" s="89">
        <v>0.15560000000000002</v>
      </c>
      <c r="P38" s="89">
        <v>0.39960000000000001</v>
      </c>
      <c r="Q38" s="33"/>
      <c r="R38" s="33"/>
    </row>
    <row r="39" spans="1:18" x14ac:dyDescent="0.25">
      <c r="A39" s="84" t="s">
        <v>296</v>
      </c>
      <c r="B39" s="84" t="s">
        <v>404</v>
      </c>
      <c r="C39" s="87">
        <v>99</v>
      </c>
      <c r="D39" s="87">
        <v>98</v>
      </c>
      <c r="E39" s="33"/>
      <c r="F39" s="33" t="s">
        <v>153</v>
      </c>
      <c r="G39" s="33" t="s">
        <v>509</v>
      </c>
      <c r="H39" s="90">
        <v>18.64</v>
      </c>
      <c r="I39" s="90">
        <v>13.79</v>
      </c>
      <c r="J39" s="90">
        <v>24.66</v>
      </c>
      <c r="K39" s="33"/>
      <c r="L39" s="84" t="s">
        <v>607</v>
      </c>
      <c r="M39" s="84" t="s">
        <v>582</v>
      </c>
      <c r="N39" s="89">
        <v>0.28670054073476925</v>
      </c>
      <c r="O39" s="89">
        <v>0.15279999999999999</v>
      </c>
      <c r="P39" s="89">
        <v>0.40200000000000002</v>
      </c>
      <c r="Q39" s="33"/>
      <c r="R39" s="33"/>
    </row>
    <row r="40" spans="1:18" x14ac:dyDescent="0.25">
      <c r="A40" s="82" t="s">
        <v>266</v>
      </c>
      <c r="B40" s="82" t="s">
        <v>401</v>
      </c>
      <c r="C40" s="86">
        <v>77</v>
      </c>
      <c r="D40" s="86">
        <v>92</v>
      </c>
      <c r="E40" s="33"/>
      <c r="F40" s="33" t="s">
        <v>136</v>
      </c>
      <c r="G40" s="33" t="s">
        <v>514</v>
      </c>
      <c r="H40" s="90">
        <v>3.53</v>
      </c>
      <c r="I40" s="90">
        <v>2.59</v>
      </c>
      <c r="J40" s="90">
        <v>4.7699999999999996</v>
      </c>
      <c r="K40" s="33"/>
      <c r="L40" s="84" t="s">
        <v>254</v>
      </c>
      <c r="M40" s="84" t="s">
        <v>604</v>
      </c>
      <c r="N40" s="89">
        <v>0.30752866335744444</v>
      </c>
      <c r="O40" s="89">
        <v>0.16440000000000002</v>
      </c>
      <c r="P40" s="89">
        <v>0.42950000000000005</v>
      </c>
      <c r="Q40" s="33"/>
      <c r="R40" s="33"/>
    </row>
    <row r="41" spans="1:18" x14ac:dyDescent="0.25">
      <c r="A41" s="84" t="s">
        <v>102</v>
      </c>
      <c r="B41" s="84" t="s">
        <v>402</v>
      </c>
      <c r="C41" s="87"/>
      <c r="D41" s="87">
        <v>91</v>
      </c>
      <c r="E41" s="33"/>
      <c r="F41" s="33" t="s">
        <v>116</v>
      </c>
      <c r="G41" s="33" t="s">
        <v>515</v>
      </c>
      <c r="H41" s="90">
        <v>22.16</v>
      </c>
      <c r="I41" s="90">
        <v>17.98</v>
      </c>
      <c r="J41" s="90">
        <v>26.63</v>
      </c>
      <c r="K41" s="33"/>
      <c r="L41" s="91" t="s">
        <v>141</v>
      </c>
      <c r="M41" s="84" t="s">
        <v>591</v>
      </c>
      <c r="N41" s="89">
        <v>0.29747114568885691</v>
      </c>
      <c r="O41" s="89">
        <v>0.155</v>
      </c>
      <c r="P41" s="89">
        <v>0.41070000000000001</v>
      </c>
      <c r="Q41" s="33"/>
      <c r="R41" s="33"/>
    </row>
    <row r="42" spans="1:18" x14ac:dyDescent="0.25">
      <c r="A42" s="82" t="s">
        <v>140</v>
      </c>
      <c r="B42" s="82" t="s">
        <v>393</v>
      </c>
      <c r="C42" s="86">
        <v>96</v>
      </c>
      <c r="D42" s="86">
        <v>97</v>
      </c>
      <c r="E42" s="33"/>
      <c r="F42" s="33" t="s">
        <v>608</v>
      </c>
      <c r="G42" s="33" t="s">
        <v>422</v>
      </c>
      <c r="H42" s="90">
        <v>2.1</v>
      </c>
      <c r="I42" s="90">
        <v>0.17</v>
      </c>
      <c r="J42" s="90">
        <v>18.329999999999998</v>
      </c>
      <c r="K42" s="33"/>
      <c r="L42" s="84" t="s">
        <v>335</v>
      </c>
      <c r="M42" s="84" t="s">
        <v>580</v>
      </c>
      <c r="N42" s="89">
        <v>0.27617185222188206</v>
      </c>
      <c r="O42" s="89">
        <v>0.16329999999999997</v>
      </c>
      <c r="P42" s="89">
        <v>0.42849999999999999</v>
      </c>
      <c r="Q42" s="33"/>
      <c r="R42" s="33"/>
    </row>
    <row r="43" spans="1:18" x14ac:dyDescent="0.25">
      <c r="A43" s="82" t="s">
        <v>254</v>
      </c>
      <c r="B43" s="82" t="s">
        <v>405</v>
      </c>
      <c r="C43" s="86">
        <v>87</v>
      </c>
      <c r="D43" s="86">
        <v>98</v>
      </c>
      <c r="E43" s="33"/>
      <c r="F43" s="33" t="s">
        <v>142</v>
      </c>
      <c r="G43" s="33" t="s">
        <v>428</v>
      </c>
      <c r="H43" s="90">
        <v>5.8</v>
      </c>
      <c r="I43" s="90">
        <v>4.7300000000000004</v>
      </c>
      <c r="J43" s="90">
        <v>7.08</v>
      </c>
      <c r="K43" s="33"/>
      <c r="L43" s="84" t="s">
        <v>232</v>
      </c>
      <c r="M43" s="84" t="s">
        <v>223</v>
      </c>
      <c r="N43" s="89">
        <v>0.31223161166773539</v>
      </c>
      <c r="O43" s="89">
        <v>0.16309999999999999</v>
      </c>
      <c r="P43" s="89">
        <v>0.43</v>
      </c>
      <c r="Q43" s="33"/>
      <c r="R43" s="33"/>
    </row>
    <row r="44" spans="1:18" x14ac:dyDescent="0.25">
      <c r="A44" s="84" t="s">
        <v>232</v>
      </c>
      <c r="B44" s="84" t="s">
        <v>407</v>
      </c>
      <c r="C44" s="87">
        <v>99</v>
      </c>
      <c r="D44" s="87">
        <v>99</v>
      </c>
      <c r="E44" s="33"/>
      <c r="F44" s="33" t="s">
        <v>154</v>
      </c>
      <c r="G44" s="33" t="s">
        <v>524</v>
      </c>
      <c r="H44" s="90">
        <v>8.44</v>
      </c>
      <c r="I44" s="90">
        <v>5.28</v>
      </c>
      <c r="J44" s="90">
        <v>12.43</v>
      </c>
      <c r="K44" s="33"/>
      <c r="L44" s="84" t="s">
        <v>168</v>
      </c>
      <c r="M44" s="84" t="s">
        <v>348</v>
      </c>
      <c r="N44" s="89">
        <v>0.2599197832842004</v>
      </c>
      <c r="O44" s="89">
        <v>0.15609999999999999</v>
      </c>
      <c r="P44" s="89">
        <v>0.41389999999999999</v>
      </c>
      <c r="Q44" s="33"/>
      <c r="R44" s="33"/>
    </row>
    <row r="45" spans="1:18" x14ac:dyDescent="0.25">
      <c r="A45" s="82" t="s">
        <v>168</v>
      </c>
      <c r="B45" s="82" t="s">
        <v>408</v>
      </c>
      <c r="C45" s="86"/>
      <c r="D45" s="86">
        <v>94</v>
      </c>
      <c r="E45" s="33"/>
      <c r="F45" s="33" t="s">
        <v>117</v>
      </c>
      <c r="G45" s="33" t="s">
        <v>531</v>
      </c>
      <c r="H45" s="90">
        <v>6.29</v>
      </c>
      <c r="I45" s="90">
        <v>5.09</v>
      </c>
      <c r="J45" s="90">
        <v>7.75</v>
      </c>
      <c r="K45" s="33"/>
      <c r="L45" s="82" t="s">
        <v>309</v>
      </c>
      <c r="M45" s="82" t="s">
        <v>580</v>
      </c>
      <c r="N45" s="89">
        <v>0.27528803532397367</v>
      </c>
      <c r="O45" s="89">
        <v>0.16329999999999997</v>
      </c>
      <c r="P45" s="89">
        <v>0.42849999999999999</v>
      </c>
      <c r="Q45" s="33"/>
      <c r="R45" s="33"/>
    </row>
    <row r="46" spans="1:18" x14ac:dyDescent="0.25">
      <c r="A46" s="84" t="s">
        <v>309</v>
      </c>
      <c r="B46" s="84" t="s">
        <v>409</v>
      </c>
      <c r="C46" s="87"/>
      <c r="D46" s="87">
        <v>97</v>
      </c>
      <c r="E46" s="33"/>
      <c r="F46" s="33" t="s">
        <v>609</v>
      </c>
      <c r="G46" s="33" t="s">
        <v>534</v>
      </c>
      <c r="H46" s="90">
        <v>4.03</v>
      </c>
      <c r="I46" s="90">
        <v>3.06</v>
      </c>
      <c r="J46" s="90">
        <v>5.16</v>
      </c>
      <c r="K46" s="33"/>
      <c r="L46" s="33" t="s">
        <v>610</v>
      </c>
      <c r="M46" s="82" t="s">
        <v>603</v>
      </c>
      <c r="N46" s="89">
        <v>0.328432494471814</v>
      </c>
      <c r="O46" s="89">
        <v>0.18350000000000002</v>
      </c>
      <c r="P46" s="89">
        <v>0.49159999999999998</v>
      </c>
      <c r="Q46" s="33"/>
      <c r="R46" s="33"/>
    </row>
    <row r="47" spans="1:18" x14ac:dyDescent="0.25">
      <c r="A47" s="82" t="s">
        <v>352</v>
      </c>
      <c r="B47" s="82" t="s">
        <v>430</v>
      </c>
      <c r="C47" s="86"/>
      <c r="D47" s="86">
        <v>87</v>
      </c>
      <c r="E47" s="33"/>
      <c r="F47" s="33" t="s">
        <v>119</v>
      </c>
      <c r="G47" s="33" t="s">
        <v>541</v>
      </c>
      <c r="H47" s="90">
        <v>4.0599999999999996</v>
      </c>
      <c r="I47" s="90">
        <v>2.89</v>
      </c>
      <c r="J47" s="90">
        <v>5.5</v>
      </c>
      <c r="K47" s="33"/>
      <c r="L47" s="33" t="s">
        <v>611</v>
      </c>
      <c r="M47" s="82" t="s">
        <v>582</v>
      </c>
      <c r="N47" s="89">
        <v>0.28784992441120982</v>
      </c>
      <c r="O47" s="89">
        <v>0.15279999999999999</v>
      </c>
      <c r="P47" s="89">
        <v>0.40200000000000002</v>
      </c>
      <c r="Q47" s="33"/>
      <c r="R47" s="33"/>
    </row>
    <row r="48" spans="1:18" x14ac:dyDescent="0.25">
      <c r="A48" s="84" t="s">
        <v>103</v>
      </c>
      <c r="B48" s="84" t="s">
        <v>414</v>
      </c>
      <c r="C48" s="87">
        <v>95</v>
      </c>
      <c r="D48" s="87">
        <v>85</v>
      </c>
      <c r="E48" s="33"/>
      <c r="F48" s="33" t="s">
        <v>120</v>
      </c>
      <c r="G48" s="33" t="s">
        <v>542</v>
      </c>
      <c r="H48" s="90">
        <v>10.050000000000001</v>
      </c>
      <c r="I48" s="90">
        <v>8.14</v>
      </c>
      <c r="J48" s="90">
        <v>12.3</v>
      </c>
      <c r="K48" s="33"/>
      <c r="L48" s="82" t="s">
        <v>319</v>
      </c>
      <c r="M48" s="82" t="s">
        <v>348</v>
      </c>
      <c r="N48" s="89">
        <v>0.25243798043816673</v>
      </c>
      <c r="O48" s="89">
        <v>0.15609999999999999</v>
      </c>
      <c r="P48" s="89">
        <v>0.41389999999999999</v>
      </c>
      <c r="Q48" s="33"/>
      <c r="R48" s="33"/>
    </row>
    <row r="49" spans="1:18" x14ac:dyDescent="0.25">
      <c r="A49" s="82" t="s">
        <v>234</v>
      </c>
      <c r="B49" s="82" t="s">
        <v>612</v>
      </c>
      <c r="C49" s="86">
        <v>97</v>
      </c>
      <c r="D49" s="86">
        <v>99</v>
      </c>
      <c r="E49" s="33"/>
      <c r="F49" s="33" t="s">
        <v>225</v>
      </c>
      <c r="G49" s="33" t="s">
        <v>584</v>
      </c>
      <c r="H49" s="90">
        <v>1.22</v>
      </c>
      <c r="I49" s="90">
        <v>0.14000000000000001</v>
      </c>
      <c r="J49" s="90">
        <v>12.45</v>
      </c>
      <c r="K49" s="33"/>
      <c r="L49" s="82" t="s">
        <v>103</v>
      </c>
      <c r="M49" s="82" t="s">
        <v>597</v>
      </c>
      <c r="N49" s="89">
        <v>0.2560195816126718</v>
      </c>
      <c r="O49" s="89">
        <v>0.15560000000000002</v>
      </c>
      <c r="P49" s="89">
        <v>0.39960000000000001</v>
      </c>
      <c r="Q49" s="33"/>
      <c r="R49" s="33"/>
    </row>
    <row r="50" spans="1:18" x14ac:dyDescent="0.25">
      <c r="A50" s="82" t="s">
        <v>319</v>
      </c>
      <c r="B50" s="82" t="s">
        <v>613</v>
      </c>
      <c r="C50" s="86"/>
      <c r="D50" s="86"/>
      <c r="E50" s="33"/>
      <c r="F50" s="33" t="s">
        <v>262</v>
      </c>
      <c r="G50" s="33" t="s">
        <v>373</v>
      </c>
      <c r="H50" s="90">
        <v>0.06</v>
      </c>
      <c r="I50" s="90">
        <v>0.05</v>
      </c>
      <c r="J50" s="90">
        <v>0.09</v>
      </c>
      <c r="K50" s="33"/>
      <c r="L50" s="84" t="s">
        <v>614</v>
      </c>
      <c r="M50" s="84" t="s">
        <v>223</v>
      </c>
      <c r="N50" s="89">
        <v>0.32463206947122436</v>
      </c>
      <c r="O50" s="89">
        <v>0.16309999999999999</v>
      </c>
      <c r="P50" s="89">
        <v>0.43</v>
      </c>
      <c r="Q50" s="33"/>
      <c r="R50" s="33"/>
    </row>
    <row r="51" spans="1:18" x14ac:dyDescent="0.25">
      <c r="A51" s="84" t="s">
        <v>235</v>
      </c>
      <c r="B51" s="84" t="s">
        <v>415</v>
      </c>
      <c r="C51" s="87">
        <v>66</v>
      </c>
      <c r="D51" s="87">
        <v>87</v>
      </c>
      <c r="E51" s="33"/>
      <c r="F51" s="33" t="s">
        <v>227</v>
      </c>
      <c r="G51" s="33" t="s">
        <v>592</v>
      </c>
      <c r="H51" s="90">
        <v>0.97</v>
      </c>
      <c r="I51" s="90">
        <v>0.05</v>
      </c>
      <c r="J51" s="90">
        <v>16.559999999999999</v>
      </c>
      <c r="K51" s="33"/>
      <c r="L51" s="84" t="s">
        <v>267</v>
      </c>
      <c r="M51" s="84" t="s">
        <v>593</v>
      </c>
      <c r="N51" s="89">
        <v>0.31201435746723727</v>
      </c>
      <c r="O51" s="89">
        <v>0.16269999999999998</v>
      </c>
      <c r="P51" s="89">
        <v>0.43020000000000003</v>
      </c>
      <c r="Q51" s="33"/>
      <c r="R51" s="33"/>
    </row>
    <row r="52" spans="1:18" x14ac:dyDescent="0.25">
      <c r="A52" s="82" t="s">
        <v>157</v>
      </c>
      <c r="B52" s="82" t="s">
        <v>371</v>
      </c>
      <c r="C52" s="86">
        <v>99</v>
      </c>
      <c r="D52" s="86">
        <v>91</v>
      </c>
      <c r="E52" s="33"/>
      <c r="F52" s="33" t="s">
        <v>228</v>
      </c>
      <c r="G52" s="33" t="s">
        <v>380</v>
      </c>
      <c r="H52" s="90">
        <v>1.03</v>
      </c>
      <c r="I52" s="90">
        <v>0.08</v>
      </c>
      <c r="J52" s="90">
        <v>12.06</v>
      </c>
      <c r="K52" s="33"/>
      <c r="L52" s="84" t="s">
        <v>158</v>
      </c>
      <c r="M52" s="84" t="s">
        <v>579</v>
      </c>
      <c r="N52" s="89">
        <v>0.26878838285685103</v>
      </c>
      <c r="O52" s="89">
        <v>0.14980000000000002</v>
      </c>
      <c r="P52" s="89">
        <v>0.37619999999999998</v>
      </c>
      <c r="Q52" s="33"/>
      <c r="R52" s="33"/>
    </row>
    <row r="53" spans="1:18" x14ac:dyDescent="0.25">
      <c r="A53" s="82" t="s">
        <v>267</v>
      </c>
      <c r="B53" s="82" t="s">
        <v>416</v>
      </c>
      <c r="C53" s="86">
        <v>71</v>
      </c>
      <c r="D53" s="86">
        <v>85</v>
      </c>
      <c r="E53" s="33"/>
      <c r="F53" s="33" t="s">
        <v>253</v>
      </c>
      <c r="G53" s="33" t="s">
        <v>382</v>
      </c>
      <c r="H53" s="90">
        <v>4.01</v>
      </c>
      <c r="I53" s="90">
        <v>3.04</v>
      </c>
      <c r="J53" s="90">
        <v>5.25</v>
      </c>
      <c r="K53" s="33"/>
      <c r="L53" s="82" t="s">
        <v>255</v>
      </c>
      <c r="M53" s="82" t="s">
        <v>604</v>
      </c>
      <c r="N53" s="89">
        <v>0.31847101781109982</v>
      </c>
      <c r="O53" s="89">
        <v>0.16440000000000002</v>
      </c>
      <c r="P53" s="89">
        <v>0.42950000000000005</v>
      </c>
      <c r="Q53" s="33"/>
      <c r="R53" s="33"/>
    </row>
    <row r="54" spans="1:18" x14ac:dyDescent="0.25">
      <c r="A54" s="84" t="s">
        <v>158</v>
      </c>
      <c r="B54" s="84" t="s">
        <v>417</v>
      </c>
      <c r="C54" s="87">
        <v>91</v>
      </c>
      <c r="D54" s="87">
        <v>95</v>
      </c>
      <c r="E54" s="33"/>
      <c r="F54" s="33" t="s">
        <v>615</v>
      </c>
      <c r="G54" s="33" t="s">
        <v>385</v>
      </c>
      <c r="H54" s="90">
        <v>0.56999999999999995</v>
      </c>
      <c r="I54" s="90">
        <v>0.23</v>
      </c>
      <c r="J54" s="90">
        <v>1.25</v>
      </c>
      <c r="K54" s="33"/>
      <c r="L54" s="84" t="s">
        <v>128</v>
      </c>
      <c r="M54" s="84" t="s">
        <v>582</v>
      </c>
      <c r="N54" s="89">
        <v>0.29421756240904251</v>
      </c>
      <c r="O54" s="89">
        <v>0.15279999999999999</v>
      </c>
      <c r="P54" s="89">
        <v>0.40200000000000002</v>
      </c>
      <c r="Q54" s="33"/>
      <c r="R54" s="33"/>
    </row>
    <row r="55" spans="1:18" x14ac:dyDescent="0.25">
      <c r="A55" s="82" t="s">
        <v>104</v>
      </c>
      <c r="B55" s="82" t="s">
        <v>420</v>
      </c>
      <c r="C55" s="86"/>
      <c r="D55" s="86">
        <v>95</v>
      </c>
      <c r="E55" s="33"/>
      <c r="F55" s="33" t="s">
        <v>264</v>
      </c>
      <c r="G55" s="33" t="s">
        <v>388</v>
      </c>
      <c r="H55" s="90">
        <v>0.54</v>
      </c>
      <c r="I55" s="90">
        <v>0.43</v>
      </c>
      <c r="J55" s="90">
        <v>0.69</v>
      </c>
      <c r="K55" s="33"/>
      <c r="L55" s="84" t="s">
        <v>104</v>
      </c>
      <c r="M55" s="84" t="s">
        <v>597</v>
      </c>
      <c r="N55" s="89">
        <v>0.28032204375965358</v>
      </c>
      <c r="O55" s="89">
        <v>0.15560000000000002</v>
      </c>
      <c r="P55" s="89">
        <v>0.39960000000000001</v>
      </c>
      <c r="Q55" s="33"/>
      <c r="R55" s="33"/>
    </row>
    <row r="56" spans="1:18" x14ac:dyDescent="0.25">
      <c r="A56" s="84" t="s">
        <v>347</v>
      </c>
      <c r="B56" s="84" t="s">
        <v>616</v>
      </c>
      <c r="C56" s="87"/>
      <c r="D56" s="87">
        <v>96</v>
      </c>
      <c r="E56" s="33"/>
      <c r="F56" s="33" t="s">
        <v>360</v>
      </c>
      <c r="G56" s="33" t="s">
        <v>396</v>
      </c>
      <c r="H56" s="90">
        <v>2.2200000000000002</v>
      </c>
      <c r="I56" s="90">
        <v>1.71</v>
      </c>
      <c r="J56" s="90">
        <v>2.81</v>
      </c>
      <c r="K56" s="33"/>
      <c r="L56" s="82" t="s">
        <v>320</v>
      </c>
      <c r="M56" s="82" t="s">
        <v>306</v>
      </c>
      <c r="N56" s="89">
        <v>0.2742314802088055</v>
      </c>
      <c r="O56" s="89">
        <v>0.16339999999999999</v>
      </c>
      <c r="P56" s="89">
        <v>0.42969999999999997</v>
      </c>
      <c r="Q56" s="33"/>
      <c r="R56" s="33"/>
    </row>
    <row r="57" spans="1:18" x14ac:dyDescent="0.25">
      <c r="A57" s="84" t="s">
        <v>320</v>
      </c>
      <c r="B57" s="84" t="s">
        <v>421</v>
      </c>
      <c r="C57" s="87"/>
      <c r="D57" s="87">
        <v>91</v>
      </c>
      <c r="E57" s="33"/>
      <c r="F57" s="33" t="s">
        <v>265</v>
      </c>
      <c r="G57" s="33" t="s">
        <v>399</v>
      </c>
      <c r="H57" s="90">
        <v>0.88</v>
      </c>
      <c r="I57" s="90">
        <v>0.37</v>
      </c>
      <c r="J57" s="90">
        <v>1.71</v>
      </c>
      <c r="K57" s="33"/>
      <c r="L57" s="84" t="s">
        <v>133</v>
      </c>
      <c r="M57" s="84" t="s">
        <v>594</v>
      </c>
      <c r="N57" s="89">
        <v>0.26669916009179478</v>
      </c>
      <c r="O57" s="89">
        <v>0.15109999999999998</v>
      </c>
      <c r="P57" s="89">
        <v>0.3679</v>
      </c>
      <c r="Q57" s="33"/>
      <c r="R57" s="33"/>
    </row>
    <row r="58" spans="1:18" x14ac:dyDescent="0.25">
      <c r="A58" s="84" t="s">
        <v>105</v>
      </c>
      <c r="B58" s="84" t="s">
        <v>423</v>
      </c>
      <c r="C58" s="87"/>
      <c r="D58" s="87">
        <v>68</v>
      </c>
      <c r="E58" s="33"/>
      <c r="F58" s="33" t="s">
        <v>266</v>
      </c>
      <c r="G58" s="33" t="s">
        <v>401</v>
      </c>
      <c r="H58" s="90">
        <v>1.26</v>
      </c>
      <c r="I58" s="90">
        <v>0.91</v>
      </c>
      <c r="J58" s="90">
        <v>1.8</v>
      </c>
      <c r="K58" s="33"/>
      <c r="L58" s="82" t="s">
        <v>105</v>
      </c>
      <c r="M58" s="82" t="s">
        <v>597</v>
      </c>
      <c r="N58" s="89">
        <v>0.28503182774365166</v>
      </c>
      <c r="O58" s="89">
        <v>0.15560000000000002</v>
      </c>
      <c r="P58" s="89">
        <v>0.39960000000000001</v>
      </c>
      <c r="Q58" s="33"/>
      <c r="R58" s="33"/>
    </row>
    <row r="59" spans="1:18" x14ac:dyDescent="0.25">
      <c r="A59" s="84" t="s">
        <v>322</v>
      </c>
      <c r="B59" s="84" t="s">
        <v>425</v>
      </c>
      <c r="C59" s="87"/>
      <c r="D59" s="87"/>
      <c r="E59" s="33"/>
      <c r="F59" s="33" t="s">
        <v>254</v>
      </c>
      <c r="G59" s="33" t="s">
        <v>405</v>
      </c>
      <c r="H59" s="90">
        <v>1.19</v>
      </c>
      <c r="I59" s="90">
        <v>0.13</v>
      </c>
      <c r="J59" s="90">
        <v>9.99</v>
      </c>
      <c r="K59" s="33"/>
      <c r="L59" s="84" t="s">
        <v>281</v>
      </c>
      <c r="M59" s="84" t="s">
        <v>98</v>
      </c>
      <c r="N59" s="89">
        <v>0.33599766658927327</v>
      </c>
      <c r="O59" s="89">
        <v>0.1832</v>
      </c>
      <c r="P59" s="89">
        <v>0.47889999999999999</v>
      </c>
      <c r="Q59" s="33"/>
      <c r="R59" s="33"/>
    </row>
    <row r="60" spans="1:18" x14ac:dyDescent="0.25">
      <c r="A60" s="82" t="s">
        <v>281</v>
      </c>
      <c r="B60" s="82" t="s">
        <v>424</v>
      </c>
      <c r="C60" s="86">
        <v>99</v>
      </c>
      <c r="D60" s="86">
        <v>99</v>
      </c>
      <c r="E60" s="33"/>
      <c r="F60" s="33" t="s">
        <v>232</v>
      </c>
      <c r="G60" s="33" t="s">
        <v>407</v>
      </c>
      <c r="H60" s="90">
        <v>0.94</v>
      </c>
      <c r="I60" s="90">
        <v>0.41</v>
      </c>
      <c r="J60" s="90">
        <v>1.85</v>
      </c>
      <c r="K60" s="33"/>
      <c r="L60" s="84" t="s">
        <v>322</v>
      </c>
      <c r="M60" s="84" t="s">
        <v>348</v>
      </c>
      <c r="N60" s="89">
        <v>0.25337859382883754</v>
      </c>
      <c r="O60" s="89">
        <v>0.15609999999999999</v>
      </c>
      <c r="P60" s="89">
        <v>0.41389999999999999</v>
      </c>
      <c r="Q60" s="33"/>
      <c r="R60" s="33"/>
    </row>
    <row r="61" spans="1:18" x14ac:dyDescent="0.25">
      <c r="A61" s="82" t="s">
        <v>351</v>
      </c>
      <c r="B61" s="82" t="s">
        <v>426</v>
      </c>
      <c r="C61" s="86"/>
      <c r="D61" s="86">
        <v>91</v>
      </c>
      <c r="E61" s="33"/>
      <c r="F61" s="33" t="s">
        <v>234</v>
      </c>
      <c r="G61" s="33" t="s">
        <v>612</v>
      </c>
      <c r="H61" s="90">
        <v>1.23</v>
      </c>
      <c r="I61" s="90">
        <v>0.16</v>
      </c>
      <c r="J61" s="90">
        <v>8.25</v>
      </c>
      <c r="K61" s="33"/>
      <c r="L61" s="82" t="s">
        <v>351</v>
      </c>
      <c r="M61" s="82" t="s">
        <v>348</v>
      </c>
      <c r="N61" s="89">
        <v>0.24798010535661114</v>
      </c>
      <c r="O61" s="89">
        <v>0.15609999999999999</v>
      </c>
      <c r="P61" s="89">
        <v>0.41389999999999999</v>
      </c>
      <c r="Q61" s="33"/>
      <c r="R61" s="33"/>
    </row>
    <row r="62" spans="1:18" x14ac:dyDescent="0.25">
      <c r="A62" s="84" t="s">
        <v>472</v>
      </c>
      <c r="B62" s="84" t="s">
        <v>471</v>
      </c>
      <c r="C62" s="87">
        <v>70</v>
      </c>
      <c r="D62" s="87">
        <v>84</v>
      </c>
      <c r="E62" s="33"/>
      <c r="F62" s="33" t="s">
        <v>235</v>
      </c>
      <c r="G62" s="33" t="s">
        <v>415</v>
      </c>
      <c r="H62" s="90">
        <v>1.47</v>
      </c>
      <c r="I62" s="90">
        <v>0.11</v>
      </c>
      <c r="J62" s="90">
        <v>13.35</v>
      </c>
      <c r="K62" s="33"/>
      <c r="L62" s="82" t="s">
        <v>129</v>
      </c>
      <c r="M62" s="82" t="s">
        <v>582</v>
      </c>
      <c r="N62" s="89">
        <v>0.28132112561296718</v>
      </c>
      <c r="O62" s="89">
        <v>0.15279999999999999</v>
      </c>
      <c r="P62" s="89">
        <v>0.40200000000000002</v>
      </c>
      <c r="Q62" s="33"/>
      <c r="R62" s="33"/>
    </row>
    <row r="63" spans="1:18" x14ac:dyDescent="0.25">
      <c r="A63" s="84" t="s">
        <v>129</v>
      </c>
      <c r="B63" s="84" t="s">
        <v>427</v>
      </c>
      <c r="C63" s="87"/>
      <c r="D63" s="87">
        <v>70</v>
      </c>
      <c r="E63" s="33"/>
      <c r="F63" s="33" t="s">
        <v>267</v>
      </c>
      <c r="G63" s="33" t="s">
        <v>416</v>
      </c>
      <c r="H63" s="90">
        <v>1.36</v>
      </c>
      <c r="I63" s="90">
        <v>0.18</v>
      </c>
      <c r="J63" s="90">
        <v>11.43</v>
      </c>
      <c r="K63" s="33"/>
      <c r="L63" s="82" t="s">
        <v>617</v>
      </c>
      <c r="M63" s="82" t="s">
        <v>591</v>
      </c>
      <c r="N63" s="89">
        <v>0.28511757354019951</v>
      </c>
      <c r="O63" s="89">
        <v>0.155</v>
      </c>
      <c r="P63" s="89">
        <v>0.41070000000000001</v>
      </c>
      <c r="Q63" s="33"/>
      <c r="R63" s="33"/>
    </row>
    <row r="64" spans="1:18" x14ac:dyDescent="0.25">
      <c r="A64" s="82" t="s">
        <v>330</v>
      </c>
      <c r="B64" s="82" t="s">
        <v>618</v>
      </c>
      <c r="C64" s="86"/>
      <c r="D64" s="86">
        <v>93</v>
      </c>
      <c r="E64" s="33"/>
      <c r="F64" s="33" t="s">
        <v>255</v>
      </c>
      <c r="G64" s="33" t="s">
        <v>418</v>
      </c>
      <c r="H64" s="90">
        <v>1.81</v>
      </c>
      <c r="I64" s="90">
        <v>0.17</v>
      </c>
      <c r="J64" s="90">
        <v>19.28</v>
      </c>
      <c r="K64" s="33"/>
      <c r="L64" s="84" t="s">
        <v>169</v>
      </c>
      <c r="M64" s="84" t="s">
        <v>184</v>
      </c>
      <c r="N64" s="89">
        <v>0.30226538426236971</v>
      </c>
      <c r="O64" s="89">
        <v>0.16309999999999999</v>
      </c>
      <c r="P64" s="89">
        <v>0.43079999999999996</v>
      </c>
      <c r="Q64" s="33"/>
      <c r="R64" s="33"/>
    </row>
    <row r="65" spans="1:18" x14ac:dyDescent="0.25">
      <c r="A65" s="84" t="s">
        <v>169</v>
      </c>
      <c r="B65" s="84" t="s">
        <v>429</v>
      </c>
      <c r="C65" s="87">
        <v>94</v>
      </c>
      <c r="D65" s="87">
        <v>94</v>
      </c>
      <c r="E65" s="33"/>
      <c r="F65" s="33" t="s">
        <v>236</v>
      </c>
      <c r="G65" s="33" t="s">
        <v>619</v>
      </c>
      <c r="H65" s="90">
        <v>1.36</v>
      </c>
      <c r="I65" s="90">
        <v>0.17</v>
      </c>
      <c r="J65" s="90">
        <v>11.84</v>
      </c>
      <c r="K65" s="33"/>
      <c r="L65" s="84" t="s">
        <v>352</v>
      </c>
      <c r="M65" s="84" t="s">
        <v>348</v>
      </c>
      <c r="N65" s="89">
        <v>0.24797088441967033</v>
      </c>
      <c r="O65" s="89">
        <v>0.15609999999999999</v>
      </c>
      <c r="P65" s="89">
        <v>0.41389999999999999</v>
      </c>
      <c r="Q65" s="33"/>
      <c r="R65" s="33"/>
    </row>
    <row r="66" spans="1:18" x14ac:dyDescent="0.25">
      <c r="A66" s="84" t="s">
        <v>143</v>
      </c>
      <c r="B66" s="84" t="s">
        <v>431</v>
      </c>
      <c r="C66" s="87"/>
      <c r="D66" s="87">
        <v>97</v>
      </c>
      <c r="E66" s="33"/>
      <c r="F66" s="33" t="s">
        <v>256</v>
      </c>
      <c r="G66" s="33" t="s">
        <v>432</v>
      </c>
      <c r="H66" s="90">
        <v>0.15</v>
      </c>
      <c r="I66" s="90">
        <v>0.1</v>
      </c>
      <c r="J66" s="90">
        <v>0.25</v>
      </c>
      <c r="K66" s="33"/>
      <c r="L66" s="84" t="s">
        <v>143</v>
      </c>
      <c r="M66" s="84" t="s">
        <v>591</v>
      </c>
      <c r="N66" s="89">
        <v>0.28403638578377721</v>
      </c>
      <c r="O66" s="89">
        <v>0.155</v>
      </c>
      <c r="P66" s="89">
        <v>0.41070000000000001</v>
      </c>
      <c r="Q66" s="33"/>
      <c r="R66" s="33"/>
    </row>
    <row r="67" spans="1:18" x14ac:dyDescent="0.25">
      <c r="A67" s="84" t="s">
        <v>144</v>
      </c>
      <c r="B67" s="84" t="s">
        <v>433</v>
      </c>
      <c r="C67" s="87"/>
      <c r="D67" s="87">
        <v>47</v>
      </c>
      <c r="E67" s="33"/>
      <c r="F67" s="33" t="s">
        <v>270</v>
      </c>
      <c r="G67" s="33" t="s">
        <v>435</v>
      </c>
      <c r="H67" s="90">
        <v>2.78</v>
      </c>
      <c r="I67" s="90">
        <v>0.18</v>
      </c>
      <c r="J67" s="90">
        <v>32.71</v>
      </c>
      <c r="K67" s="33"/>
      <c r="L67" s="82" t="s">
        <v>337</v>
      </c>
      <c r="M67" s="82" t="s">
        <v>348</v>
      </c>
      <c r="N67" s="89">
        <v>0.24381511535035913</v>
      </c>
      <c r="O67" s="89">
        <v>0.15609999999999999</v>
      </c>
      <c r="P67" s="89">
        <v>0.41389999999999999</v>
      </c>
      <c r="Q67" s="33"/>
      <c r="R67" s="33"/>
    </row>
    <row r="68" spans="1:18" x14ac:dyDescent="0.25">
      <c r="A68" s="82" t="s">
        <v>142</v>
      </c>
      <c r="B68" s="82" t="s">
        <v>428</v>
      </c>
      <c r="C68" s="86"/>
      <c r="D68" s="86">
        <v>88</v>
      </c>
      <c r="E68" s="33"/>
      <c r="F68" s="33" t="s">
        <v>238</v>
      </c>
      <c r="G68" s="33" t="s">
        <v>436</v>
      </c>
      <c r="H68" s="90">
        <v>3.07</v>
      </c>
      <c r="I68" s="90">
        <v>2.02</v>
      </c>
      <c r="J68" s="90">
        <v>4.38</v>
      </c>
      <c r="K68" s="33"/>
      <c r="L68" s="82" t="s">
        <v>236</v>
      </c>
      <c r="M68" s="82" t="s">
        <v>223</v>
      </c>
      <c r="N68" s="89">
        <v>0.29613894314236111</v>
      </c>
      <c r="O68" s="89">
        <v>0.16309999999999999</v>
      </c>
      <c r="P68" s="89">
        <v>0.43</v>
      </c>
      <c r="Q68" s="33"/>
      <c r="R68" s="33"/>
    </row>
    <row r="69" spans="1:18" x14ac:dyDescent="0.25">
      <c r="A69" s="82" t="s">
        <v>145</v>
      </c>
      <c r="B69" s="82" t="s">
        <v>434</v>
      </c>
      <c r="C69" s="86"/>
      <c r="D69" s="86">
        <v>84</v>
      </c>
      <c r="E69" s="33"/>
      <c r="F69" s="33" t="s">
        <v>257</v>
      </c>
      <c r="G69" s="33" t="s">
        <v>437</v>
      </c>
      <c r="H69" s="90">
        <v>1.25</v>
      </c>
      <c r="I69" s="90">
        <v>0.08</v>
      </c>
      <c r="J69" s="90">
        <v>12.91</v>
      </c>
      <c r="K69" s="33"/>
      <c r="L69" s="84" t="s">
        <v>256</v>
      </c>
      <c r="M69" s="84" t="s">
        <v>604</v>
      </c>
      <c r="N69" s="89">
        <v>0.30839295792692983</v>
      </c>
      <c r="O69" s="89">
        <v>0.16440000000000002</v>
      </c>
      <c r="P69" s="89">
        <v>0.42950000000000005</v>
      </c>
      <c r="Q69" s="33"/>
      <c r="R69" s="33"/>
    </row>
    <row r="70" spans="1:18" x14ac:dyDescent="0.25">
      <c r="A70" s="84" t="s">
        <v>128</v>
      </c>
      <c r="B70" s="84" t="s">
        <v>419</v>
      </c>
      <c r="C70" s="87"/>
      <c r="D70" s="87">
        <v>53</v>
      </c>
      <c r="E70" s="33"/>
      <c r="F70" s="33" t="s">
        <v>239</v>
      </c>
      <c r="G70" s="33" t="s">
        <v>444</v>
      </c>
      <c r="H70" s="90">
        <v>0.49</v>
      </c>
      <c r="I70" s="90">
        <v>0.11</v>
      </c>
      <c r="J70" s="90">
        <v>1.41</v>
      </c>
      <c r="K70" s="33"/>
      <c r="L70" s="82" t="s">
        <v>144</v>
      </c>
      <c r="M70" s="82" t="s">
        <v>591</v>
      </c>
      <c r="N70" s="89">
        <v>0.30094942842571543</v>
      </c>
      <c r="O70" s="89">
        <v>0.155</v>
      </c>
      <c r="P70" s="89">
        <v>0.41070000000000001</v>
      </c>
      <c r="Q70" s="33"/>
      <c r="R70" s="33"/>
    </row>
    <row r="71" spans="1:18" x14ac:dyDescent="0.25">
      <c r="A71" s="82" t="s">
        <v>337</v>
      </c>
      <c r="B71" s="82" t="s">
        <v>620</v>
      </c>
      <c r="C71" s="86"/>
      <c r="D71" s="86">
        <v>96</v>
      </c>
      <c r="E71" s="33"/>
      <c r="F71" s="33" t="s">
        <v>258</v>
      </c>
      <c r="G71" s="33" t="s">
        <v>470</v>
      </c>
      <c r="H71" s="90">
        <v>0.28000000000000003</v>
      </c>
      <c r="I71" s="90">
        <v>0.2</v>
      </c>
      <c r="J71" s="90">
        <v>0.36</v>
      </c>
      <c r="K71" s="33"/>
      <c r="L71" s="84" t="s">
        <v>145</v>
      </c>
      <c r="M71" s="84" t="s">
        <v>591</v>
      </c>
      <c r="N71" s="89">
        <v>0.29135266850719183</v>
      </c>
      <c r="O71" s="89">
        <v>0.155</v>
      </c>
      <c r="P71" s="89">
        <v>0.41070000000000001</v>
      </c>
      <c r="Q71" s="33"/>
      <c r="R71" s="33"/>
    </row>
    <row r="72" spans="1:18" x14ac:dyDescent="0.25">
      <c r="A72" s="84" t="s">
        <v>236</v>
      </c>
      <c r="B72" s="84" t="s">
        <v>619</v>
      </c>
      <c r="C72" s="87">
        <v>96</v>
      </c>
      <c r="D72" s="87">
        <v>94</v>
      </c>
      <c r="E72" s="33"/>
      <c r="F72" s="33" t="s">
        <v>259</v>
      </c>
      <c r="G72" s="33" t="s">
        <v>482</v>
      </c>
      <c r="H72" s="90">
        <v>0.41</v>
      </c>
      <c r="I72" s="90">
        <v>0.19</v>
      </c>
      <c r="J72" s="90">
        <v>0.77</v>
      </c>
      <c r="K72" s="33"/>
      <c r="L72" s="84" t="s">
        <v>270</v>
      </c>
      <c r="M72" s="84" t="s">
        <v>223</v>
      </c>
      <c r="N72" s="89">
        <v>0.31994720950218708</v>
      </c>
      <c r="O72" s="89">
        <v>0.16309999999999999</v>
      </c>
      <c r="P72" s="89">
        <v>0.43</v>
      </c>
      <c r="Q72" s="33"/>
      <c r="R72" s="33"/>
    </row>
    <row r="73" spans="1:18" x14ac:dyDescent="0.25">
      <c r="A73" s="82" t="s">
        <v>256</v>
      </c>
      <c r="B73" s="82" t="s">
        <v>432</v>
      </c>
      <c r="C73" s="86">
        <v>48</v>
      </c>
      <c r="D73" s="86">
        <v>86</v>
      </c>
      <c r="E73" s="33"/>
      <c r="F73" s="33" t="s">
        <v>260</v>
      </c>
      <c r="G73" s="33" t="s">
        <v>490</v>
      </c>
      <c r="H73" s="90">
        <v>1.3</v>
      </c>
      <c r="I73" s="90">
        <v>0.97</v>
      </c>
      <c r="J73" s="90">
        <v>1.74</v>
      </c>
      <c r="K73" s="33"/>
      <c r="L73" s="82" t="s">
        <v>238</v>
      </c>
      <c r="M73" s="82" t="s">
        <v>223</v>
      </c>
      <c r="N73" s="89">
        <v>0.29443792053442375</v>
      </c>
      <c r="O73" s="89">
        <v>0.16309999999999999</v>
      </c>
      <c r="P73" s="89">
        <v>0.43</v>
      </c>
      <c r="Q73" s="33"/>
      <c r="R73" s="33"/>
    </row>
    <row r="74" spans="1:18" x14ac:dyDescent="0.25">
      <c r="A74" s="84" t="s">
        <v>270</v>
      </c>
      <c r="B74" s="84" t="s">
        <v>435</v>
      </c>
      <c r="C74" s="87"/>
      <c r="D74" s="87">
        <v>99</v>
      </c>
      <c r="E74" s="33"/>
      <c r="F74" s="33" t="s">
        <v>271</v>
      </c>
      <c r="G74" s="33" t="s">
        <v>492</v>
      </c>
      <c r="H74" s="90">
        <v>1.75</v>
      </c>
      <c r="I74" s="90">
        <v>0.13</v>
      </c>
      <c r="J74" s="90">
        <v>20.61</v>
      </c>
      <c r="K74" s="33"/>
      <c r="L74" s="82" t="s">
        <v>257</v>
      </c>
      <c r="M74" s="82" t="s">
        <v>604</v>
      </c>
      <c r="N74" s="89">
        <v>0.31422832861627031</v>
      </c>
      <c r="O74" s="89">
        <v>0.16440000000000002</v>
      </c>
      <c r="P74" s="89">
        <v>0.42950000000000005</v>
      </c>
      <c r="Q74" s="33"/>
      <c r="R74" s="33"/>
    </row>
    <row r="75" spans="1:18" x14ac:dyDescent="0.25">
      <c r="A75" s="84" t="s">
        <v>257</v>
      </c>
      <c r="B75" s="84" t="s">
        <v>437</v>
      </c>
      <c r="C75" s="87">
        <v>75</v>
      </c>
      <c r="D75" s="87">
        <v>87</v>
      </c>
      <c r="E75" s="33"/>
      <c r="F75" s="33" t="s">
        <v>272</v>
      </c>
      <c r="G75" s="33" t="s">
        <v>493</v>
      </c>
      <c r="H75" s="90">
        <v>1.51</v>
      </c>
      <c r="I75" s="90">
        <v>1.18</v>
      </c>
      <c r="J75" s="90">
        <v>1.9</v>
      </c>
      <c r="K75" s="33"/>
      <c r="L75" s="84" t="s">
        <v>310</v>
      </c>
      <c r="M75" s="84" t="s">
        <v>580</v>
      </c>
      <c r="N75" s="89">
        <v>0.28103138974466824</v>
      </c>
      <c r="O75" s="89">
        <v>0.16329999999999997</v>
      </c>
      <c r="P75" s="89">
        <v>0.42849999999999999</v>
      </c>
      <c r="Q75" s="33"/>
      <c r="R75" s="33"/>
    </row>
    <row r="76" spans="1:18" x14ac:dyDescent="0.25">
      <c r="A76" s="82" t="s">
        <v>335</v>
      </c>
      <c r="B76" s="82" t="s">
        <v>621</v>
      </c>
      <c r="C76" s="86"/>
      <c r="D76" s="86">
        <v>93</v>
      </c>
      <c r="E76" s="33"/>
      <c r="F76" s="33" t="s">
        <v>244</v>
      </c>
      <c r="G76" s="33" t="s">
        <v>622</v>
      </c>
      <c r="H76" s="90">
        <v>1.1299999999999999</v>
      </c>
      <c r="I76" s="90">
        <v>0.12</v>
      </c>
      <c r="J76" s="90">
        <v>7.88</v>
      </c>
      <c r="K76" s="33"/>
      <c r="L76" s="84" t="s">
        <v>323</v>
      </c>
      <c r="M76" s="84" t="s">
        <v>348</v>
      </c>
      <c r="N76" s="89">
        <v>0.25533686124213834</v>
      </c>
      <c r="O76" s="89">
        <v>0.15609999999999999</v>
      </c>
      <c r="P76" s="89">
        <v>0.41389999999999999</v>
      </c>
      <c r="Q76" s="33"/>
      <c r="R76" s="33"/>
    </row>
    <row r="77" spans="1:18" x14ac:dyDescent="0.25">
      <c r="A77" s="82" t="s">
        <v>238</v>
      </c>
      <c r="B77" s="82" t="s">
        <v>436</v>
      </c>
      <c r="C77" s="86"/>
      <c r="D77" s="86">
        <v>51</v>
      </c>
      <c r="E77" s="33"/>
      <c r="F77" s="33" t="s">
        <v>245</v>
      </c>
      <c r="G77" s="33" t="s">
        <v>503</v>
      </c>
      <c r="H77" s="90">
        <v>1.25</v>
      </c>
      <c r="I77" s="90">
        <v>0.14000000000000001</v>
      </c>
      <c r="J77" s="90">
        <v>9.19</v>
      </c>
      <c r="K77" s="33"/>
      <c r="L77" s="84" t="s">
        <v>194</v>
      </c>
      <c r="M77" s="84" t="s">
        <v>589</v>
      </c>
      <c r="N77" s="89">
        <v>0.26726619107184962</v>
      </c>
      <c r="O77" s="89">
        <v>0.1482</v>
      </c>
      <c r="P77" s="89">
        <v>0.35830000000000001</v>
      </c>
      <c r="Q77" s="33"/>
      <c r="R77" s="33"/>
    </row>
    <row r="78" spans="1:18" x14ac:dyDescent="0.25">
      <c r="A78" s="82" t="s">
        <v>310</v>
      </c>
      <c r="B78" s="82" t="s">
        <v>623</v>
      </c>
      <c r="C78" s="86"/>
      <c r="D78" s="86"/>
      <c r="E78" s="33"/>
      <c r="F78" s="33" t="s">
        <v>247</v>
      </c>
      <c r="G78" s="33" t="s">
        <v>624</v>
      </c>
      <c r="H78" s="90">
        <v>1.33</v>
      </c>
      <c r="I78" s="90">
        <v>0.17</v>
      </c>
      <c r="J78" s="90">
        <v>9.83</v>
      </c>
      <c r="K78" s="33"/>
      <c r="L78" s="84" t="s">
        <v>213</v>
      </c>
      <c r="M78" s="84" t="s">
        <v>598</v>
      </c>
      <c r="N78" s="89">
        <v>0.33277106999049344</v>
      </c>
      <c r="O78" s="89">
        <v>0.18100000000000002</v>
      </c>
      <c r="P78" s="89">
        <v>0.47729999999999995</v>
      </c>
      <c r="Q78" s="33"/>
      <c r="R78" s="33"/>
    </row>
    <row r="79" spans="1:18" x14ac:dyDescent="0.25">
      <c r="A79" s="84" t="s">
        <v>213</v>
      </c>
      <c r="B79" s="84" t="s">
        <v>439</v>
      </c>
      <c r="C79" s="87">
        <v>84</v>
      </c>
      <c r="D79" s="87">
        <v>85</v>
      </c>
      <c r="E79" s="33"/>
      <c r="F79" s="33" t="s">
        <v>273</v>
      </c>
      <c r="G79" s="33" t="s">
        <v>519</v>
      </c>
      <c r="H79" s="90">
        <v>1.66</v>
      </c>
      <c r="I79" s="90">
        <v>0.16</v>
      </c>
      <c r="J79" s="90">
        <v>14.94</v>
      </c>
      <c r="K79" s="33"/>
      <c r="L79" s="82" t="s">
        <v>195</v>
      </c>
      <c r="M79" s="82" t="s">
        <v>579</v>
      </c>
      <c r="N79" s="89">
        <v>0.25455968916822264</v>
      </c>
      <c r="O79" s="89">
        <v>0.14980000000000002</v>
      </c>
      <c r="P79" s="89">
        <v>0.37619999999999998</v>
      </c>
      <c r="Q79" s="33"/>
      <c r="R79" s="33"/>
    </row>
    <row r="80" spans="1:18" x14ac:dyDescent="0.25">
      <c r="A80" s="82" t="s">
        <v>194</v>
      </c>
      <c r="B80" s="82" t="s">
        <v>438</v>
      </c>
      <c r="C80" s="86">
        <v>56</v>
      </c>
      <c r="D80" s="86">
        <v>91</v>
      </c>
      <c r="E80" s="33"/>
      <c r="F80" s="33" t="s">
        <v>249</v>
      </c>
      <c r="G80" s="33" t="s">
        <v>526</v>
      </c>
      <c r="H80" s="90">
        <v>1.26</v>
      </c>
      <c r="I80" s="90">
        <v>0.15</v>
      </c>
      <c r="J80" s="90">
        <v>9.6300000000000008</v>
      </c>
      <c r="K80" s="33"/>
      <c r="L80" s="84" t="s">
        <v>170</v>
      </c>
      <c r="M80" s="84" t="s">
        <v>579</v>
      </c>
      <c r="N80" s="89">
        <v>0.26929919897622001</v>
      </c>
      <c r="O80" s="89">
        <v>0.14980000000000002</v>
      </c>
      <c r="P80" s="89">
        <v>0.37619999999999998</v>
      </c>
      <c r="Q80" s="33"/>
      <c r="R80" s="33"/>
    </row>
    <row r="81" spans="1:18" x14ac:dyDescent="0.25">
      <c r="A81" s="82" t="s">
        <v>324</v>
      </c>
      <c r="B81" s="82" t="s">
        <v>442</v>
      </c>
      <c r="C81" s="86"/>
      <c r="D81" s="86">
        <v>93</v>
      </c>
      <c r="E81" s="33"/>
      <c r="F81" s="33" t="s">
        <v>363</v>
      </c>
      <c r="G81" s="33" t="s">
        <v>625</v>
      </c>
      <c r="H81" s="90">
        <v>0.23</v>
      </c>
      <c r="I81" s="90">
        <v>0.18</v>
      </c>
      <c r="J81" s="90">
        <v>0.28000000000000003</v>
      </c>
      <c r="K81" s="33"/>
      <c r="L81" s="82" t="s">
        <v>324</v>
      </c>
      <c r="M81" s="82" t="s">
        <v>348</v>
      </c>
      <c r="N81" s="89">
        <v>0.23836487602644341</v>
      </c>
      <c r="O81" s="89">
        <v>0.15609999999999999</v>
      </c>
      <c r="P81" s="89">
        <v>0.41389999999999999</v>
      </c>
      <c r="Q81" s="33"/>
      <c r="R81" s="33"/>
    </row>
    <row r="82" spans="1:18" x14ac:dyDescent="0.25">
      <c r="A82" s="82" t="s">
        <v>195</v>
      </c>
      <c r="B82" s="82" t="s">
        <v>440</v>
      </c>
      <c r="C82" s="86">
        <v>95</v>
      </c>
      <c r="D82" s="86">
        <v>99</v>
      </c>
      <c r="E82" s="33"/>
      <c r="F82" s="33" t="s">
        <v>274</v>
      </c>
      <c r="G82" s="33" t="s">
        <v>535</v>
      </c>
      <c r="H82" s="90">
        <v>1.04</v>
      </c>
      <c r="I82" s="90">
        <v>0.1</v>
      </c>
      <c r="J82" s="90">
        <v>8.59</v>
      </c>
      <c r="K82" s="33"/>
      <c r="L82" s="84" t="s">
        <v>171</v>
      </c>
      <c r="M82" s="84" t="s">
        <v>348</v>
      </c>
      <c r="N82" s="89">
        <v>0.25364203421858383</v>
      </c>
      <c r="O82" s="89">
        <v>0.15609999999999999</v>
      </c>
      <c r="P82" s="89">
        <v>0.41389999999999999</v>
      </c>
      <c r="Q82" s="33"/>
      <c r="R82" s="33"/>
    </row>
    <row r="83" spans="1:18" x14ac:dyDescent="0.25">
      <c r="A83" s="84" t="s">
        <v>170</v>
      </c>
      <c r="B83" s="84" t="s">
        <v>441</v>
      </c>
      <c r="C83" s="87">
        <v>41</v>
      </c>
      <c r="D83" s="87">
        <v>84</v>
      </c>
      <c r="E83" s="33"/>
      <c r="F83" s="33" t="s">
        <v>275</v>
      </c>
      <c r="G83" s="33" t="s">
        <v>538</v>
      </c>
      <c r="H83" s="90">
        <v>2.83</v>
      </c>
      <c r="I83" s="90">
        <v>2.12</v>
      </c>
      <c r="J83" s="90">
        <v>3.85</v>
      </c>
      <c r="K83" s="33"/>
      <c r="L83" s="82" t="s">
        <v>339</v>
      </c>
      <c r="M83" s="82" t="s">
        <v>348</v>
      </c>
      <c r="N83" s="89">
        <v>0.24059046869909118</v>
      </c>
      <c r="O83" s="89">
        <v>0.15609999999999999</v>
      </c>
      <c r="P83" s="89">
        <v>0.41389999999999999</v>
      </c>
      <c r="Q83" s="33"/>
      <c r="R83" s="33"/>
    </row>
    <row r="84" spans="1:18" x14ac:dyDescent="0.25">
      <c r="A84" s="84" t="s">
        <v>323</v>
      </c>
      <c r="B84" s="84" t="s">
        <v>626</v>
      </c>
      <c r="C84" s="87"/>
      <c r="D84" s="87"/>
      <c r="E84" s="33"/>
      <c r="F84" s="33" t="s">
        <v>192</v>
      </c>
      <c r="G84" s="33" t="s">
        <v>379</v>
      </c>
      <c r="H84" s="90">
        <v>4</v>
      </c>
      <c r="I84" s="90">
        <v>3.22</v>
      </c>
      <c r="J84" s="90">
        <v>5.0199999999999996</v>
      </c>
      <c r="K84" s="33"/>
      <c r="L84" s="84" t="s">
        <v>239</v>
      </c>
      <c r="M84" s="84" t="s">
        <v>223</v>
      </c>
      <c r="N84" s="89">
        <v>0.307859973382413</v>
      </c>
      <c r="O84" s="89">
        <v>0.16309999999999999</v>
      </c>
      <c r="P84" s="89">
        <v>0.43</v>
      </c>
      <c r="Q84" s="33"/>
      <c r="R84" s="33"/>
    </row>
    <row r="85" spans="1:18" x14ac:dyDescent="0.25">
      <c r="A85" s="84" t="s">
        <v>171</v>
      </c>
      <c r="B85" s="84" t="s">
        <v>627</v>
      </c>
      <c r="C85" s="87">
        <v>95</v>
      </c>
      <c r="D85" s="87">
        <v>96</v>
      </c>
      <c r="E85" s="33"/>
      <c r="F85" s="33" t="s">
        <v>193</v>
      </c>
      <c r="G85" s="33" t="s">
        <v>384</v>
      </c>
      <c r="H85" s="90">
        <v>4.29</v>
      </c>
      <c r="I85" s="90">
        <v>3.31</v>
      </c>
      <c r="J85" s="90">
        <v>5.55</v>
      </c>
      <c r="K85" s="33"/>
      <c r="L85" s="84" t="s">
        <v>207</v>
      </c>
      <c r="M85" s="84" t="s">
        <v>596</v>
      </c>
      <c r="N85" s="89">
        <v>0.28492212334912481</v>
      </c>
      <c r="O85" s="89">
        <v>0.16300000000000001</v>
      </c>
      <c r="P85" s="89">
        <v>0.4632</v>
      </c>
      <c r="Q85" s="33"/>
      <c r="R85" s="33"/>
    </row>
    <row r="86" spans="1:18" x14ac:dyDescent="0.25">
      <c r="A86" s="82" t="s">
        <v>339</v>
      </c>
      <c r="B86" s="82" t="s">
        <v>443</v>
      </c>
      <c r="C86" s="86"/>
      <c r="D86" s="86">
        <v>95</v>
      </c>
      <c r="E86" s="33"/>
      <c r="F86" s="33" t="s">
        <v>411</v>
      </c>
      <c r="G86" s="33" t="s">
        <v>410</v>
      </c>
      <c r="H86" s="90">
        <v>4.4000000000000004</v>
      </c>
      <c r="I86" s="90">
        <v>0.35</v>
      </c>
      <c r="J86" s="90">
        <v>37.24</v>
      </c>
      <c r="K86" s="33"/>
      <c r="L86" s="82" t="s">
        <v>172</v>
      </c>
      <c r="M86" s="82" t="s">
        <v>579</v>
      </c>
      <c r="N86" s="89">
        <v>0.25738483729519801</v>
      </c>
      <c r="O86" s="89">
        <v>0.14980000000000002</v>
      </c>
      <c r="P86" s="89">
        <v>0.37619999999999998</v>
      </c>
      <c r="Q86" s="33"/>
      <c r="R86" s="33"/>
    </row>
    <row r="87" spans="1:18" x14ac:dyDescent="0.25">
      <c r="A87" s="84" t="s">
        <v>239</v>
      </c>
      <c r="B87" s="84" t="s">
        <v>444</v>
      </c>
      <c r="C87" s="87"/>
      <c r="D87" s="87">
        <v>96</v>
      </c>
      <c r="E87" s="33"/>
      <c r="F87" s="33" t="s">
        <v>194</v>
      </c>
      <c r="G87" s="33" t="s">
        <v>438</v>
      </c>
      <c r="H87" s="90">
        <v>1.65</v>
      </c>
      <c r="I87" s="90">
        <v>1.33</v>
      </c>
      <c r="J87" s="90">
        <v>2.02</v>
      </c>
      <c r="K87" s="33"/>
      <c r="L87" s="82" t="s">
        <v>185</v>
      </c>
      <c r="M87" s="82" t="s">
        <v>184</v>
      </c>
      <c r="N87" s="89">
        <v>0.29237590740285052</v>
      </c>
      <c r="O87" s="89">
        <v>0.16309999999999999</v>
      </c>
      <c r="P87" s="89">
        <v>0.43079999999999996</v>
      </c>
      <c r="Q87" s="33"/>
      <c r="R87" s="33"/>
    </row>
    <row r="88" spans="1:18" x14ac:dyDescent="0.25">
      <c r="A88" s="84" t="s">
        <v>172</v>
      </c>
      <c r="B88" s="84" t="s">
        <v>446</v>
      </c>
      <c r="C88" s="87"/>
      <c r="D88" s="87">
        <v>89</v>
      </c>
      <c r="E88" s="33"/>
      <c r="F88" s="33" t="s">
        <v>213</v>
      </c>
      <c r="G88" s="33" t="s">
        <v>439</v>
      </c>
      <c r="H88" s="90">
        <v>2.4300000000000002</v>
      </c>
      <c r="I88" s="90">
        <v>1.81</v>
      </c>
      <c r="J88" s="90">
        <v>3.14</v>
      </c>
      <c r="K88" s="33"/>
      <c r="L88" s="84" t="s">
        <v>106</v>
      </c>
      <c r="M88" s="84" t="s">
        <v>597</v>
      </c>
      <c r="N88" s="89">
        <v>0.29029165014939401</v>
      </c>
      <c r="O88" s="89">
        <v>0.15560000000000002</v>
      </c>
      <c r="P88" s="89">
        <v>0.39960000000000001</v>
      </c>
      <c r="Q88" s="33"/>
      <c r="R88" s="33"/>
    </row>
    <row r="89" spans="1:18" x14ac:dyDescent="0.25">
      <c r="A89" s="82" t="s">
        <v>207</v>
      </c>
      <c r="B89" s="82" t="s">
        <v>445</v>
      </c>
      <c r="C89" s="86"/>
      <c r="D89" s="86">
        <v>99</v>
      </c>
      <c r="E89" s="33"/>
      <c r="F89" s="33" t="s">
        <v>196</v>
      </c>
      <c r="G89" s="33" t="s">
        <v>464</v>
      </c>
      <c r="H89" s="90">
        <v>1.43</v>
      </c>
      <c r="I89" s="90">
        <v>0.12</v>
      </c>
      <c r="J89" s="90">
        <v>14.8</v>
      </c>
      <c r="K89" s="33"/>
      <c r="L89" s="82" t="s">
        <v>288</v>
      </c>
      <c r="M89" s="82" t="s">
        <v>98</v>
      </c>
      <c r="N89" s="89">
        <v>0.31472755890902343</v>
      </c>
      <c r="O89" s="89">
        <v>0.1832</v>
      </c>
      <c r="P89" s="89">
        <v>0.47889999999999999</v>
      </c>
      <c r="Q89" s="33"/>
      <c r="R89" s="33"/>
    </row>
    <row r="90" spans="1:18" x14ac:dyDescent="0.25">
      <c r="A90" s="82" t="s">
        <v>185</v>
      </c>
      <c r="B90" s="82" t="s">
        <v>447</v>
      </c>
      <c r="C90" s="86">
        <v>93</v>
      </c>
      <c r="D90" s="86">
        <v>97</v>
      </c>
      <c r="E90" s="33"/>
      <c r="F90" s="33" t="s">
        <v>216</v>
      </c>
      <c r="G90" s="33" t="s">
        <v>477</v>
      </c>
      <c r="H90" s="90">
        <v>4.18</v>
      </c>
      <c r="I90" s="90">
        <v>0.28000000000000003</v>
      </c>
      <c r="J90" s="90">
        <v>41.28</v>
      </c>
      <c r="K90" s="33"/>
      <c r="L90" s="84" t="s">
        <v>173</v>
      </c>
      <c r="M90" s="84" t="s">
        <v>579</v>
      </c>
      <c r="N90" s="89">
        <v>0.23970132976898054</v>
      </c>
      <c r="O90" s="89">
        <v>0.14980000000000002</v>
      </c>
      <c r="P90" s="89">
        <v>0.37619999999999998</v>
      </c>
      <c r="Q90" s="33"/>
      <c r="R90" s="33"/>
    </row>
    <row r="91" spans="1:18" x14ac:dyDescent="0.25">
      <c r="A91" s="84" t="s">
        <v>106</v>
      </c>
      <c r="B91" s="84" t="s">
        <v>448</v>
      </c>
      <c r="C91" s="87"/>
      <c r="D91" s="87">
        <v>92</v>
      </c>
      <c r="E91" s="33"/>
      <c r="F91" s="33" t="s">
        <v>197</v>
      </c>
      <c r="G91" s="33" t="s">
        <v>480</v>
      </c>
      <c r="H91" s="90">
        <v>0.87</v>
      </c>
      <c r="I91" s="90">
        <v>0.66</v>
      </c>
      <c r="J91" s="90">
        <v>1.1299999999999999</v>
      </c>
      <c r="K91" s="33"/>
      <c r="L91" s="84" t="s">
        <v>186</v>
      </c>
      <c r="M91" s="84" t="s">
        <v>184</v>
      </c>
      <c r="N91" s="89">
        <v>0.29813171303082237</v>
      </c>
      <c r="O91" s="89">
        <v>0.16309999999999999</v>
      </c>
      <c r="P91" s="89">
        <v>0.43079999999999996</v>
      </c>
      <c r="Q91" s="33"/>
      <c r="R91" s="33"/>
    </row>
    <row r="92" spans="1:18" x14ac:dyDescent="0.25">
      <c r="A92" s="82" t="s">
        <v>186</v>
      </c>
      <c r="B92" s="82" t="s">
        <v>453</v>
      </c>
      <c r="C92" s="86">
        <v>96</v>
      </c>
      <c r="D92" s="86">
        <v>95</v>
      </c>
      <c r="E92" s="33"/>
      <c r="F92" s="33" t="s">
        <v>199</v>
      </c>
      <c r="G92" s="33" t="s">
        <v>516</v>
      </c>
      <c r="H92" s="90">
        <v>2.04</v>
      </c>
      <c r="I92" s="90">
        <v>1.47</v>
      </c>
      <c r="J92" s="90">
        <v>2.78</v>
      </c>
      <c r="K92" s="33"/>
      <c r="L92" s="33" t="s">
        <v>628</v>
      </c>
      <c r="M92" s="82" t="s">
        <v>598</v>
      </c>
      <c r="N92" s="89">
        <v>0.34832736416125437</v>
      </c>
      <c r="O92" s="89">
        <v>0.18100000000000002</v>
      </c>
      <c r="P92" s="89">
        <v>0.47729999999999995</v>
      </c>
      <c r="Q92" s="33"/>
      <c r="R92" s="33"/>
    </row>
    <row r="93" spans="1:18" x14ac:dyDescent="0.25">
      <c r="A93" s="84" t="s">
        <v>212</v>
      </c>
      <c r="B93" s="84" t="s">
        <v>394</v>
      </c>
      <c r="C93" s="87">
        <v>88</v>
      </c>
      <c r="D93" s="87">
        <v>92</v>
      </c>
      <c r="E93" s="33"/>
      <c r="F93" s="33" t="s">
        <v>219</v>
      </c>
      <c r="G93" s="33" t="s">
        <v>522</v>
      </c>
      <c r="H93" s="90">
        <v>1.36</v>
      </c>
      <c r="I93" s="90">
        <v>0.98</v>
      </c>
      <c r="J93" s="90">
        <v>1.79</v>
      </c>
      <c r="K93" s="33"/>
      <c r="L93" s="84" t="s">
        <v>326</v>
      </c>
      <c r="M93" s="84" t="s">
        <v>306</v>
      </c>
      <c r="N93" s="89">
        <v>0.28026543384809804</v>
      </c>
      <c r="O93" s="89">
        <v>0.16339999999999999</v>
      </c>
      <c r="P93" s="89">
        <v>0.42969999999999997</v>
      </c>
      <c r="Q93" s="33"/>
      <c r="R93" s="33"/>
    </row>
    <row r="94" spans="1:18" x14ac:dyDescent="0.25">
      <c r="A94" s="82" t="s">
        <v>288</v>
      </c>
      <c r="B94" s="82" t="s">
        <v>449</v>
      </c>
      <c r="C94" s="86">
        <v>99</v>
      </c>
      <c r="D94" s="86">
        <v>94</v>
      </c>
      <c r="E94" s="33"/>
      <c r="F94" s="33" t="s">
        <v>220</v>
      </c>
      <c r="G94" s="33" t="s">
        <v>523</v>
      </c>
      <c r="H94" s="90">
        <v>2</v>
      </c>
      <c r="I94" s="90">
        <v>1.1599999999999999</v>
      </c>
      <c r="J94" s="90">
        <v>3.34</v>
      </c>
      <c r="K94" s="33"/>
      <c r="L94" s="82" t="s">
        <v>174</v>
      </c>
      <c r="M94" s="82" t="s">
        <v>579</v>
      </c>
      <c r="N94" s="89">
        <v>0.25404672198349698</v>
      </c>
      <c r="O94" s="89">
        <v>0.14980000000000002</v>
      </c>
      <c r="P94" s="89">
        <v>0.37619999999999998</v>
      </c>
      <c r="Q94" s="33"/>
      <c r="R94" s="33"/>
    </row>
    <row r="95" spans="1:18" x14ac:dyDescent="0.25">
      <c r="A95" s="84" t="s">
        <v>244</v>
      </c>
      <c r="B95" s="84" t="s">
        <v>622</v>
      </c>
      <c r="C95" s="87">
        <v>84</v>
      </c>
      <c r="D95" s="87">
        <v>97</v>
      </c>
      <c r="E95" s="33"/>
      <c r="F95" s="33" t="s">
        <v>332</v>
      </c>
      <c r="G95" s="33" t="s">
        <v>370</v>
      </c>
      <c r="H95" s="90">
        <v>9.42</v>
      </c>
      <c r="I95" s="90">
        <v>7.77</v>
      </c>
      <c r="J95" s="90">
        <v>11.37</v>
      </c>
      <c r="K95" s="33"/>
      <c r="L95" s="82" t="s">
        <v>134</v>
      </c>
      <c r="M95" s="82" t="s">
        <v>594</v>
      </c>
      <c r="N95" s="89">
        <v>0.26721730975121849</v>
      </c>
      <c r="O95" s="89">
        <v>0.15109999999999998</v>
      </c>
      <c r="P95" s="89">
        <v>0.3679</v>
      </c>
      <c r="Q95" s="33"/>
      <c r="R95" s="33"/>
    </row>
    <row r="96" spans="1:18" x14ac:dyDescent="0.25">
      <c r="A96" s="84" t="s">
        <v>209</v>
      </c>
      <c r="B96" s="84" t="s">
        <v>498</v>
      </c>
      <c r="C96" s="87">
        <v>92</v>
      </c>
      <c r="D96" s="87">
        <v>98</v>
      </c>
      <c r="E96" s="33"/>
      <c r="F96" s="33" t="s">
        <v>333</v>
      </c>
      <c r="G96" s="33" t="s">
        <v>581</v>
      </c>
      <c r="H96" s="90">
        <v>0.64</v>
      </c>
      <c r="I96" s="90">
        <v>0.04</v>
      </c>
      <c r="J96" s="90">
        <v>10.199999999999999</v>
      </c>
      <c r="K96" s="33"/>
      <c r="L96" s="82" t="s">
        <v>146</v>
      </c>
      <c r="M96" s="82" t="s">
        <v>591</v>
      </c>
      <c r="N96" s="89">
        <v>0.30108171495787017</v>
      </c>
      <c r="O96" s="89">
        <v>0.155</v>
      </c>
      <c r="P96" s="89">
        <v>0.41070000000000001</v>
      </c>
      <c r="Q96" s="33"/>
      <c r="R96" s="33"/>
    </row>
    <row r="97" spans="1:18" x14ac:dyDescent="0.25">
      <c r="A97" s="84" t="s">
        <v>173</v>
      </c>
      <c r="B97" s="84" t="s">
        <v>452</v>
      </c>
      <c r="C97" s="87">
        <v>93</v>
      </c>
      <c r="D97" s="87">
        <v>91</v>
      </c>
      <c r="E97" s="33"/>
      <c r="F97" s="33" t="s">
        <v>165</v>
      </c>
      <c r="G97" s="33" t="s">
        <v>374</v>
      </c>
      <c r="H97" s="90">
        <v>2.12</v>
      </c>
      <c r="I97" s="90">
        <v>0.36</v>
      </c>
      <c r="J97" s="90">
        <v>13.86</v>
      </c>
      <c r="K97" s="33"/>
      <c r="L97" s="84" t="s">
        <v>159</v>
      </c>
      <c r="M97" s="84" t="s">
        <v>579</v>
      </c>
      <c r="N97" s="89">
        <v>0.23149406092069991</v>
      </c>
      <c r="O97" s="89">
        <v>0.14980000000000002</v>
      </c>
      <c r="P97" s="89">
        <v>0.37619999999999998</v>
      </c>
      <c r="Q97" s="33"/>
      <c r="R97" s="33"/>
    </row>
    <row r="98" spans="1:18" x14ac:dyDescent="0.25">
      <c r="A98" s="84" t="s">
        <v>214</v>
      </c>
      <c r="B98" s="84" t="s">
        <v>454</v>
      </c>
      <c r="C98" s="87">
        <v>55</v>
      </c>
      <c r="D98" s="87">
        <v>68</v>
      </c>
      <c r="E98" s="33"/>
      <c r="F98" s="33" t="s">
        <v>349</v>
      </c>
      <c r="G98" s="33" t="s">
        <v>376</v>
      </c>
      <c r="H98" s="90">
        <v>1.03</v>
      </c>
      <c r="I98" s="90">
        <v>0.51</v>
      </c>
      <c r="J98" s="90">
        <v>1.89</v>
      </c>
      <c r="K98" s="33"/>
      <c r="L98" s="82" t="s">
        <v>327</v>
      </c>
      <c r="M98" s="82" t="s">
        <v>306</v>
      </c>
      <c r="N98" s="89">
        <v>0.28178109362803494</v>
      </c>
      <c r="O98" s="89">
        <v>0.16339999999999999</v>
      </c>
      <c r="P98" s="89">
        <v>0.42969999999999997</v>
      </c>
      <c r="Q98" s="33"/>
      <c r="R98" s="33"/>
    </row>
    <row r="99" spans="1:18" x14ac:dyDescent="0.25">
      <c r="A99" s="84" t="s">
        <v>174</v>
      </c>
      <c r="B99" s="84" t="s">
        <v>456</v>
      </c>
      <c r="C99" s="87">
        <v>80</v>
      </c>
      <c r="D99" s="87">
        <v>80</v>
      </c>
      <c r="E99" s="33"/>
      <c r="F99" s="33" t="s">
        <v>166</v>
      </c>
      <c r="G99" s="33" t="s">
        <v>377</v>
      </c>
      <c r="H99" s="90">
        <v>2.21</v>
      </c>
      <c r="I99" s="90">
        <v>1.26</v>
      </c>
      <c r="J99" s="90">
        <v>3.54</v>
      </c>
      <c r="K99" s="33"/>
      <c r="L99" s="82" t="s">
        <v>354</v>
      </c>
      <c r="M99" s="82" t="s">
        <v>348</v>
      </c>
      <c r="N99" s="89">
        <v>0.24292282372913324</v>
      </c>
      <c r="O99" s="89">
        <v>0.15609999999999999</v>
      </c>
      <c r="P99" s="89">
        <v>0.41389999999999999</v>
      </c>
      <c r="Q99" s="33"/>
      <c r="R99" s="33"/>
    </row>
    <row r="100" spans="1:18" x14ac:dyDescent="0.25">
      <c r="A100" s="84" t="s">
        <v>146</v>
      </c>
      <c r="B100" s="84" t="s">
        <v>458</v>
      </c>
      <c r="C100" s="87"/>
      <c r="D100" s="87">
        <v>74</v>
      </c>
      <c r="E100" s="33"/>
      <c r="F100" s="33" t="s">
        <v>307</v>
      </c>
      <c r="G100" s="33" t="s">
        <v>381</v>
      </c>
      <c r="H100" s="90">
        <v>1.94</v>
      </c>
      <c r="I100" s="90">
        <v>0.28000000000000003</v>
      </c>
      <c r="J100" s="90">
        <v>11.95</v>
      </c>
      <c r="K100" s="33"/>
      <c r="L100" s="82" t="s">
        <v>107</v>
      </c>
      <c r="M100" s="82" t="s">
        <v>597</v>
      </c>
      <c r="N100" s="89">
        <v>0.29788552997961965</v>
      </c>
      <c r="O100" s="89">
        <v>0.15560000000000002</v>
      </c>
      <c r="P100" s="89">
        <v>0.39960000000000001</v>
      </c>
      <c r="Q100" s="33"/>
      <c r="R100" s="33"/>
    </row>
    <row r="101" spans="1:18" x14ac:dyDescent="0.25">
      <c r="A101" s="82" t="s">
        <v>159</v>
      </c>
      <c r="B101" s="82" t="s">
        <v>459</v>
      </c>
      <c r="C101" s="86"/>
      <c r="D101" s="86">
        <v>73</v>
      </c>
      <c r="E101" s="33"/>
      <c r="F101" s="33" t="s">
        <v>350</v>
      </c>
      <c r="G101" s="33" t="s">
        <v>587</v>
      </c>
      <c r="H101" s="90">
        <v>0.59</v>
      </c>
      <c r="I101" s="90">
        <v>0.36</v>
      </c>
      <c r="J101" s="90">
        <v>0.86</v>
      </c>
      <c r="K101" s="33"/>
      <c r="L101" s="84" t="s">
        <v>108</v>
      </c>
      <c r="M101" s="84" t="s">
        <v>597</v>
      </c>
      <c r="N101" s="89">
        <v>0.30116230649348613</v>
      </c>
      <c r="O101" s="89">
        <v>0.15560000000000002</v>
      </c>
      <c r="P101" s="89">
        <v>0.39960000000000001</v>
      </c>
      <c r="Q101" s="33"/>
      <c r="R101" s="33"/>
    </row>
    <row r="102" spans="1:18" x14ac:dyDescent="0.25">
      <c r="A102" s="82" t="s">
        <v>245</v>
      </c>
      <c r="B102" s="82" t="s">
        <v>503</v>
      </c>
      <c r="C102" s="86">
        <v>85</v>
      </c>
      <c r="D102" s="86">
        <v>92</v>
      </c>
      <c r="E102" s="33"/>
      <c r="F102" s="33" t="s">
        <v>334</v>
      </c>
      <c r="G102" s="33" t="s">
        <v>386</v>
      </c>
      <c r="H102" s="90">
        <v>2.2000000000000002</v>
      </c>
      <c r="I102" s="90">
        <v>0.23</v>
      </c>
      <c r="J102" s="90">
        <v>14.61</v>
      </c>
      <c r="K102" s="33"/>
      <c r="L102" s="84" t="s">
        <v>215</v>
      </c>
      <c r="M102" s="84" t="s">
        <v>598</v>
      </c>
      <c r="N102" s="89">
        <v>0.30970485984598067</v>
      </c>
      <c r="O102" s="89">
        <v>0.18100000000000002</v>
      </c>
      <c r="P102" s="89">
        <v>0.47729999999999995</v>
      </c>
      <c r="Q102" s="33"/>
      <c r="R102" s="33"/>
    </row>
    <row r="103" spans="1:18" x14ac:dyDescent="0.25">
      <c r="A103" s="82" t="s">
        <v>199</v>
      </c>
      <c r="B103" s="82" t="s">
        <v>516</v>
      </c>
      <c r="C103" s="86"/>
      <c r="D103" s="86">
        <v>99</v>
      </c>
      <c r="E103" s="33"/>
      <c r="F103" s="33" t="s">
        <v>308</v>
      </c>
      <c r="G103" s="33" t="s">
        <v>390</v>
      </c>
      <c r="H103" s="90">
        <v>2.41</v>
      </c>
      <c r="I103" s="90">
        <v>1.8</v>
      </c>
      <c r="J103" s="90">
        <v>3.19</v>
      </c>
      <c r="K103" s="33"/>
      <c r="L103" s="82" t="s">
        <v>196</v>
      </c>
      <c r="M103" s="82" t="s">
        <v>598</v>
      </c>
      <c r="N103" s="89">
        <v>0.31966093082954322</v>
      </c>
      <c r="O103" s="89">
        <v>0.18100000000000002</v>
      </c>
      <c r="P103" s="89">
        <v>0.47729999999999995</v>
      </c>
      <c r="Q103" s="33"/>
      <c r="R103" s="33"/>
    </row>
    <row r="104" spans="1:18" x14ac:dyDescent="0.25">
      <c r="A104" s="82" t="s">
        <v>134</v>
      </c>
      <c r="B104" s="82" t="s">
        <v>457</v>
      </c>
      <c r="C104" s="86"/>
      <c r="D104" s="86">
        <v>87</v>
      </c>
      <c r="E104" s="33"/>
      <c r="F104" s="33" t="s">
        <v>335</v>
      </c>
      <c r="G104" s="33" t="s">
        <v>621</v>
      </c>
      <c r="H104" s="90">
        <v>0.88</v>
      </c>
      <c r="I104" s="90">
        <v>0.65</v>
      </c>
      <c r="J104" s="90">
        <v>1.18</v>
      </c>
      <c r="K104" s="33"/>
      <c r="L104" s="84" t="s">
        <v>147</v>
      </c>
      <c r="M104" s="84" t="s">
        <v>591</v>
      </c>
      <c r="N104" s="89">
        <v>0.3018127770078266</v>
      </c>
      <c r="O104" s="89">
        <v>0.155</v>
      </c>
      <c r="P104" s="89">
        <v>0.41070000000000001</v>
      </c>
      <c r="Q104" s="33"/>
      <c r="R104" s="33"/>
    </row>
    <row r="105" spans="1:18" x14ac:dyDescent="0.25">
      <c r="A105" s="84" t="s">
        <v>327</v>
      </c>
      <c r="B105" s="84" t="s">
        <v>629</v>
      </c>
      <c r="C105" s="87">
        <v>97</v>
      </c>
      <c r="D105" s="87">
        <v>92</v>
      </c>
      <c r="E105" s="33"/>
      <c r="F105" s="33" t="s">
        <v>168</v>
      </c>
      <c r="G105" s="33" t="s">
        <v>408</v>
      </c>
      <c r="H105" s="90">
        <v>1.72</v>
      </c>
      <c r="I105" s="90">
        <v>1.18</v>
      </c>
      <c r="J105" s="90">
        <v>2.4900000000000002</v>
      </c>
      <c r="K105" s="33"/>
      <c r="L105" s="84" t="s">
        <v>340</v>
      </c>
      <c r="M105" s="84" t="s">
        <v>348</v>
      </c>
      <c r="N105" s="89">
        <v>0.25356872326576158</v>
      </c>
      <c r="O105" s="89">
        <v>0.15609999999999999</v>
      </c>
      <c r="P105" s="89">
        <v>0.41389999999999999</v>
      </c>
      <c r="Q105" s="33"/>
      <c r="R105" s="33"/>
    </row>
    <row r="106" spans="1:18" x14ac:dyDescent="0.25">
      <c r="A106" s="82" t="s">
        <v>354</v>
      </c>
      <c r="B106" s="82" t="s">
        <v>460</v>
      </c>
      <c r="C106" s="86"/>
      <c r="D106" s="86">
        <v>96</v>
      </c>
      <c r="E106" s="33"/>
      <c r="F106" s="33" t="s">
        <v>319</v>
      </c>
      <c r="G106" s="33" t="s">
        <v>613</v>
      </c>
      <c r="H106" s="90">
        <v>0.8</v>
      </c>
      <c r="I106" s="90">
        <v>0.6</v>
      </c>
      <c r="J106" s="90">
        <v>1.03</v>
      </c>
      <c r="K106" s="33"/>
      <c r="L106" s="82" t="s">
        <v>148</v>
      </c>
      <c r="M106" s="82" t="s">
        <v>591</v>
      </c>
      <c r="N106" s="89">
        <v>0.27954724098923228</v>
      </c>
      <c r="O106" s="89">
        <v>0.155</v>
      </c>
      <c r="P106" s="89">
        <v>0.41070000000000001</v>
      </c>
      <c r="Q106" s="33"/>
      <c r="R106" s="33"/>
    </row>
    <row r="107" spans="1:18" x14ac:dyDescent="0.25">
      <c r="A107" s="82" t="s">
        <v>326</v>
      </c>
      <c r="B107" s="82" t="s">
        <v>455</v>
      </c>
      <c r="C107" s="86"/>
      <c r="D107" s="86">
        <v>99</v>
      </c>
      <c r="E107" s="33"/>
      <c r="F107" s="33" t="s">
        <v>320</v>
      </c>
      <c r="G107" s="33" t="s">
        <v>421</v>
      </c>
      <c r="H107" s="90">
        <v>1.1200000000000001</v>
      </c>
      <c r="I107" s="90">
        <v>0.18</v>
      </c>
      <c r="J107" s="90">
        <v>7.92</v>
      </c>
      <c r="K107" s="33"/>
      <c r="L107" s="84" t="s">
        <v>109</v>
      </c>
      <c r="M107" s="84" t="s">
        <v>598</v>
      </c>
      <c r="N107" s="89">
        <v>0.33273537315274737</v>
      </c>
      <c r="O107" s="89">
        <v>0.18100000000000002</v>
      </c>
      <c r="P107" s="89">
        <v>0.47729999999999995</v>
      </c>
      <c r="Q107" s="33"/>
      <c r="R107" s="33"/>
    </row>
    <row r="108" spans="1:18" x14ac:dyDescent="0.25">
      <c r="A108" s="84" t="s">
        <v>160</v>
      </c>
      <c r="B108" s="84" t="s">
        <v>475</v>
      </c>
      <c r="C108" s="87">
        <v>41</v>
      </c>
      <c r="D108" s="87">
        <v>99</v>
      </c>
      <c r="E108" s="33"/>
      <c r="F108" s="33" t="s">
        <v>322</v>
      </c>
      <c r="G108" s="33" t="s">
        <v>425</v>
      </c>
      <c r="H108" s="90">
        <v>1.05</v>
      </c>
      <c r="I108" s="90">
        <v>0.1</v>
      </c>
      <c r="J108" s="90">
        <v>10.75</v>
      </c>
      <c r="K108" s="33"/>
      <c r="L108" s="84" t="s">
        <v>258</v>
      </c>
      <c r="M108" s="84" t="s">
        <v>604</v>
      </c>
      <c r="N108" s="89">
        <v>0.31318377193893543</v>
      </c>
      <c r="O108" s="89">
        <v>0.16440000000000002</v>
      </c>
      <c r="P108" s="89">
        <v>0.42950000000000005</v>
      </c>
      <c r="Q108" s="33"/>
      <c r="R108" s="33"/>
    </row>
    <row r="109" spans="1:18" x14ac:dyDescent="0.25">
      <c r="A109" s="82" t="s">
        <v>355</v>
      </c>
      <c r="B109" s="82" t="s">
        <v>630</v>
      </c>
      <c r="C109" s="86"/>
      <c r="D109" s="86">
        <v>99</v>
      </c>
      <c r="E109" s="33"/>
      <c r="F109" s="33" t="s">
        <v>351</v>
      </c>
      <c r="G109" s="33" t="s">
        <v>426</v>
      </c>
      <c r="H109" s="90">
        <v>0.02</v>
      </c>
      <c r="I109" s="90">
        <v>0.02</v>
      </c>
      <c r="J109" s="90">
        <v>0.03</v>
      </c>
      <c r="K109" s="33"/>
      <c r="L109" s="33" t="s">
        <v>472</v>
      </c>
      <c r="M109" s="82" t="s">
        <v>98</v>
      </c>
      <c r="N109" s="89">
        <v>0.3179561234857366</v>
      </c>
      <c r="O109" s="89">
        <v>0.1832</v>
      </c>
      <c r="P109" s="89">
        <v>0.47889999999999999</v>
      </c>
      <c r="Q109" s="33"/>
      <c r="R109" s="33"/>
    </row>
    <row r="110" spans="1:18" x14ac:dyDescent="0.25">
      <c r="A110" s="82" t="s">
        <v>312</v>
      </c>
      <c r="B110" s="82" t="s">
        <v>499</v>
      </c>
      <c r="C110" s="86">
        <v>93</v>
      </c>
      <c r="D110" s="86">
        <v>94</v>
      </c>
      <c r="E110" s="33"/>
      <c r="F110" s="33" t="s">
        <v>169</v>
      </c>
      <c r="G110" s="33" t="s">
        <v>429</v>
      </c>
      <c r="H110" s="90">
        <v>2.09</v>
      </c>
      <c r="I110" s="90">
        <v>1.48</v>
      </c>
      <c r="J110" s="90">
        <v>2.83</v>
      </c>
      <c r="K110" s="33"/>
      <c r="L110" s="82" t="s">
        <v>208</v>
      </c>
      <c r="M110" s="82" t="s">
        <v>184</v>
      </c>
      <c r="N110" s="89">
        <v>0.28953580197018131</v>
      </c>
      <c r="O110" s="89">
        <v>0.16309999999999999</v>
      </c>
      <c r="P110" s="89">
        <v>0.43079999999999996</v>
      </c>
      <c r="Q110" s="33"/>
      <c r="R110" s="33"/>
    </row>
    <row r="111" spans="1:18" x14ac:dyDescent="0.25">
      <c r="A111" s="84" t="s">
        <v>107</v>
      </c>
      <c r="B111" s="84" t="s">
        <v>461</v>
      </c>
      <c r="C111" s="87"/>
      <c r="D111" s="87">
        <v>79</v>
      </c>
      <c r="E111" s="33"/>
      <c r="F111" s="33" t="s">
        <v>352</v>
      </c>
      <c r="G111" s="33" t="s">
        <v>430</v>
      </c>
      <c r="H111" s="90">
        <v>0.67</v>
      </c>
      <c r="I111" s="90">
        <v>0.51</v>
      </c>
      <c r="J111" s="90">
        <v>0.9</v>
      </c>
      <c r="K111" s="33"/>
      <c r="L111" s="84" t="s">
        <v>341</v>
      </c>
      <c r="M111" s="84" t="s">
        <v>580</v>
      </c>
      <c r="N111" s="89">
        <v>0.28213738136324418</v>
      </c>
      <c r="O111" s="89">
        <v>0.16329999999999997</v>
      </c>
      <c r="P111" s="89">
        <v>0.42849999999999999</v>
      </c>
      <c r="Q111" s="33"/>
      <c r="R111" s="33"/>
    </row>
    <row r="112" spans="1:18" x14ac:dyDescent="0.25">
      <c r="A112" s="82" t="s">
        <v>196</v>
      </c>
      <c r="B112" s="82" t="s">
        <v>464</v>
      </c>
      <c r="C112" s="86">
        <v>99</v>
      </c>
      <c r="D112" s="86">
        <v>99</v>
      </c>
      <c r="E112" s="33"/>
      <c r="F112" s="33" t="s">
        <v>337</v>
      </c>
      <c r="G112" s="33" t="s">
        <v>620</v>
      </c>
      <c r="H112" s="90">
        <v>1.1399999999999999</v>
      </c>
      <c r="I112" s="90">
        <v>0.91</v>
      </c>
      <c r="J112" s="90">
        <v>1.46</v>
      </c>
      <c r="K112" s="33"/>
      <c r="L112" s="82" t="s">
        <v>160</v>
      </c>
      <c r="M112" s="82" t="s">
        <v>579</v>
      </c>
      <c r="N112" s="89">
        <v>0.25084579049460559</v>
      </c>
      <c r="O112" s="89">
        <v>0.14980000000000002</v>
      </c>
      <c r="P112" s="89">
        <v>0.37619999999999998</v>
      </c>
      <c r="Q112" s="33"/>
      <c r="R112" s="33"/>
    </row>
    <row r="113" spans="1:18" x14ac:dyDescent="0.25">
      <c r="A113" s="82" t="s">
        <v>258</v>
      </c>
      <c r="B113" s="82" t="s">
        <v>470</v>
      </c>
      <c r="C113" s="86"/>
      <c r="D113" s="86">
        <v>56</v>
      </c>
      <c r="E113" s="33"/>
      <c r="F113" s="33" t="s">
        <v>310</v>
      </c>
      <c r="G113" s="33" t="s">
        <v>623</v>
      </c>
      <c r="H113" s="90">
        <v>0.45</v>
      </c>
      <c r="I113" s="90">
        <v>0.19</v>
      </c>
      <c r="J113" s="90">
        <v>0.96</v>
      </c>
      <c r="K113" s="33"/>
      <c r="L113" s="82" t="s">
        <v>111</v>
      </c>
      <c r="M113" s="82" t="s">
        <v>597</v>
      </c>
      <c r="N113" s="89">
        <v>0.29825928137599328</v>
      </c>
      <c r="O113" s="89">
        <v>0.15560000000000002</v>
      </c>
      <c r="P113" s="89">
        <v>0.39960000000000001</v>
      </c>
      <c r="Q113" s="33"/>
      <c r="R113" s="33"/>
    </row>
    <row r="114" spans="1:18" x14ac:dyDescent="0.25">
      <c r="A114" s="84" t="s">
        <v>289</v>
      </c>
      <c r="B114" s="84" t="s">
        <v>467</v>
      </c>
      <c r="C114" s="87">
        <v>98</v>
      </c>
      <c r="D114" s="87">
        <v>82</v>
      </c>
      <c r="E114" s="33"/>
      <c r="F114" s="33" t="s">
        <v>323</v>
      </c>
      <c r="G114" s="33" t="s">
        <v>626</v>
      </c>
      <c r="H114" s="90">
        <v>0.89</v>
      </c>
      <c r="I114" s="90">
        <v>0.06</v>
      </c>
      <c r="J114" s="90">
        <v>10.33</v>
      </c>
      <c r="K114" s="33"/>
      <c r="L114" s="82" t="s">
        <v>216</v>
      </c>
      <c r="M114" s="82" t="s">
        <v>598</v>
      </c>
      <c r="N114" s="89">
        <v>0.32130963051350597</v>
      </c>
      <c r="O114" s="89">
        <v>0.18100000000000002</v>
      </c>
      <c r="P114" s="89">
        <v>0.47729999999999995</v>
      </c>
      <c r="Q114" s="33"/>
      <c r="R114" s="33"/>
    </row>
    <row r="115" spans="1:18" x14ac:dyDescent="0.25">
      <c r="A115" s="84" t="s">
        <v>631</v>
      </c>
      <c r="B115" s="84" t="s">
        <v>485</v>
      </c>
      <c r="C115" s="87">
        <v>98</v>
      </c>
      <c r="D115" s="87">
        <v>92</v>
      </c>
      <c r="E115" s="33"/>
      <c r="F115" s="33" t="s">
        <v>324</v>
      </c>
      <c r="G115" s="33" t="s">
        <v>442</v>
      </c>
      <c r="H115" s="90">
        <v>0.04</v>
      </c>
      <c r="I115" s="90">
        <v>0.02</v>
      </c>
      <c r="J115" s="90">
        <v>7.0000000000000007E-2</v>
      </c>
      <c r="K115" s="33"/>
      <c r="L115" s="84" t="s">
        <v>135</v>
      </c>
      <c r="M115" s="84" t="s">
        <v>594</v>
      </c>
      <c r="N115" s="89">
        <v>0.25809873416998286</v>
      </c>
      <c r="O115" s="89">
        <v>0.15109999999999998</v>
      </c>
      <c r="P115" s="89">
        <v>0.3679</v>
      </c>
      <c r="Q115" s="33"/>
      <c r="R115" s="33"/>
    </row>
    <row r="116" spans="1:18" x14ac:dyDescent="0.25">
      <c r="A116" s="84" t="s">
        <v>147</v>
      </c>
      <c r="B116" s="84" t="s">
        <v>465</v>
      </c>
      <c r="C116" s="87"/>
      <c r="D116" s="87">
        <v>77</v>
      </c>
      <c r="E116" s="33"/>
      <c r="F116" s="33" t="s">
        <v>171</v>
      </c>
      <c r="G116" s="33" t="s">
        <v>627</v>
      </c>
      <c r="H116" s="90">
        <v>1.22</v>
      </c>
      <c r="I116" s="90">
        <v>0.97</v>
      </c>
      <c r="J116" s="90">
        <v>1.53</v>
      </c>
      <c r="K116" s="33"/>
      <c r="L116" s="82" t="s">
        <v>197</v>
      </c>
      <c r="M116" s="82" t="s">
        <v>589</v>
      </c>
      <c r="N116" s="89">
        <v>0.28656959412598437</v>
      </c>
      <c r="O116" s="89">
        <v>0.1482</v>
      </c>
      <c r="P116" s="89">
        <v>0.35830000000000001</v>
      </c>
      <c r="Q116" s="33"/>
      <c r="R116" s="33"/>
    </row>
    <row r="117" spans="1:18" x14ac:dyDescent="0.25">
      <c r="A117" s="82" t="s">
        <v>340</v>
      </c>
      <c r="B117" s="82" t="s">
        <v>466</v>
      </c>
      <c r="C117" s="86"/>
      <c r="D117" s="86">
        <v>98</v>
      </c>
      <c r="E117" s="33"/>
      <c r="F117" s="33" t="s">
        <v>339</v>
      </c>
      <c r="G117" s="33" t="s">
        <v>443</v>
      </c>
      <c r="H117" s="90">
        <v>1.67</v>
      </c>
      <c r="I117" s="90">
        <v>1.26</v>
      </c>
      <c r="J117" s="90">
        <v>2.17</v>
      </c>
      <c r="K117" s="33"/>
      <c r="L117" s="33" t="s">
        <v>632</v>
      </c>
      <c r="M117" s="84" t="s">
        <v>348</v>
      </c>
      <c r="N117" s="89">
        <v>0.25080189600060554</v>
      </c>
      <c r="O117" s="89">
        <v>0.15609999999999999</v>
      </c>
      <c r="P117" s="89">
        <v>0.41389999999999999</v>
      </c>
      <c r="Q117" s="33"/>
      <c r="R117" s="33"/>
    </row>
    <row r="118" spans="1:18" x14ac:dyDescent="0.25">
      <c r="A118" s="84" t="s">
        <v>216</v>
      </c>
      <c r="B118" s="84" t="s">
        <v>477</v>
      </c>
      <c r="C118" s="87">
        <v>17</v>
      </c>
      <c r="D118" s="87">
        <v>90</v>
      </c>
      <c r="E118" s="33"/>
      <c r="F118" s="33" t="s">
        <v>185</v>
      </c>
      <c r="G118" s="33" t="s">
        <v>447</v>
      </c>
      <c r="H118" s="90">
        <v>1.57</v>
      </c>
      <c r="I118" s="90">
        <v>1.22</v>
      </c>
      <c r="J118" s="90">
        <v>2.0499999999999998</v>
      </c>
      <c r="K118" s="33"/>
      <c r="L118" s="82" t="s">
        <v>278</v>
      </c>
      <c r="M118" s="82" t="s">
        <v>585</v>
      </c>
      <c r="N118" s="89">
        <v>0.29926683821358602</v>
      </c>
      <c r="O118" s="89">
        <v>0.17379999999999998</v>
      </c>
      <c r="P118" s="89">
        <v>0.45860000000000001</v>
      </c>
      <c r="Q118" s="33"/>
      <c r="R118" s="33"/>
    </row>
    <row r="119" spans="1:18" x14ac:dyDescent="0.25">
      <c r="A119" s="82" t="s">
        <v>341</v>
      </c>
      <c r="B119" s="82" t="s">
        <v>474</v>
      </c>
      <c r="C119" s="86"/>
      <c r="D119" s="86">
        <v>72</v>
      </c>
      <c r="E119" s="33"/>
      <c r="F119" s="33" t="s">
        <v>186</v>
      </c>
      <c r="G119" s="33" t="s">
        <v>453</v>
      </c>
      <c r="H119" s="90">
        <v>3.39</v>
      </c>
      <c r="I119" s="90">
        <v>0.34</v>
      </c>
      <c r="J119" s="90">
        <v>19.809999999999999</v>
      </c>
      <c r="K119" s="33"/>
      <c r="L119" s="82" t="s">
        <v>259</v>
      </c>
      <c r="M119" s="82" t="s">
        <v>604</v>
      </c>
      <c r="N119" s="89">
        <v>0.3156059062343336</v>
      </c>
      <c r="O119" s="89">
        <v>0.16440000000000002</v>
      </c>
      <c r="P119" s="89">
        <v>0.42950000000000005</v>
      </c>
      <c r="Q119" s="33"/>
      <c r="R119" s="33"/>
    </row>
    <row r="120" spans="1:18" x14ac:dyDescent="0.25">
      <c r="A120" s="84" t="s">
        <v>208</v>
      </c>
      <c r="B120" s="84" t="s">
        <v>473</v>
      </c>
      <c r="C120" s="87">
        <v>98</v>
      </c>
      <c r="D120" s="87">
        <v>98</v>
      </c>
      <c r="E120" s="33"/>
      <c r="F120" s="33" t="s">
        <v>326</v>
      </c>
      <c r="G120" s="33" t="s">
        <v>455</v>
      </c>
      <c r="H120" s="90">
        <v>1.46</v>
      </c>
      <c r="I120" s="90">
        <v>0.17</v>
      </c>
      <c r="J120" s="90">
        <v>12.1</v>
      </c>
      <c r="K120" s="33"/>
      <c r="L120" s="33" t="s">
        <v>633</v>
      </c>
      <c r="M120" s="84" t="s">
        <v>591</v>
      </c>
      <c r="N120" s="89">
        <v>0.30212641158390346</v>
      </c>
      <c r="O120" s="89">
        <v>0.155</v>
      </c>
      <c r="P120" s="89">
        <v>0.41070000000000001</v>
      </c>
      <c r="Q120" s="33"/>
      <c r="R120" s="33"/>
    </row>
    <row r="121" spans="1:18" x14ac:dyDescent="0.25">
      <c r="A121" s="82" t="s">
        <v>111</v>
      </c>
      <c r="B121" s="82" t="s">
        <v>476</v>
      </c>
      <c r="C121" s="86"/>
      <c r="D121" s="86">
        <v>88</v>
      </c>
      <c r="E121" s="33"/>
      <c r="F121" s="33" t="s">
        <v>327</v>
      </c>
      <c r="G121" s="33" t="s">
        <v>629</v>
      </c>
      <c r="H121" s="90">
        <v>1.62</v>
      </c>
      <c r="I121" s="90">
        <v>1.1100000000000001</v>
      </c>
      <c r="J121" s="90">
        <v>2.25</v>
      </c>
      <c r="K121" s="33"/>
      <c r="L121" s="82" t="s">
        <v>150</v>
      </c>
      <c r="M121" s="82" t="s">
        <v>591</v>
      </c>
      <c r="N121" s="89">
        <v>0.28911156143757499</v>
      </c>
      <c r="O121" s="89">
        <v>0.155</v>
      </c>
      <c r="P121" s="89">
        <v>0.41070000000000001</v>
      </c>
      <c r="Q121" s="33"/>
      <c r="R121" s="33"/>
    </row>
    <row r="122" spans="1:18" x14ac:dyDescent="0.25">
      <c r="A122" s="82" t="s">
        <v>148</v>
      </c>
      <c r="B122" s="82" t="s">
        <v>468</v>
      </c>
      <c r="C122" s="86"/>
      <c r="D122" s="86">
        <v>81</v>
      </c>
      <c r="E122" s="33"/>
      <c r="F122" s="33" t="s">
        <v>354</v>
      </c>
      <c r="G122" s="33" t="s">
        <v>460</v>
      </c>
      <c r="H122" s="90">
        <v>0.71</v>
      </c>
      <c r="I122" s="90">
        <v>0.05</v>
      </c>
      <c r="J122" s="90">
        <v>11.68</v>
      </c>
      <c r="K122" s="33"/>
      <c r="L122" s="82" t="s">
        <v>342</v>
      </c>
      <c r="M122" s="82" t="s">
        <v>580</v>
      </c>
      <c r="N122" s="89">
        <v>0.28785778546712798</v>
      </c>
      <c r="O122" s="89">
        <v>0.16329999999999997</v>
      </c>
      <c r="P122" s="89">
        <v>0.42849999999999999</v>
      </c>
      <c r="Q122" s="33"/>
      <c r="R122" s="33"/>
    </row>
    <row r="123" spans="1:18" x14ac:dyDescent="0.25">
      <c r="A123" s="84" t="s">
        <v>109</v>
      </c>
      <c r="B123" s="84" t="s">
        <v>469</v>
      </c>
      <c r="C123" s="87"/>
      <c r="D123" s="87">
        <v>97</v>
      </c>
      <c r="E123" s="33"/>
      <c r="F123" s="33" t="s">
        <v>340</v>
      </c>
      <c r="G123" s="33" t="s">
        <v>466</v>
      </c>
      <c r="H123" s="90">
        <v>1.25</v>
      </c>
      <c r="I123" s="90">
        <v>0.15</v>
      </c>
      <c r="J123" s="90">
        <v>9.32</v>
      </c>
      <c r="K123" s="33"/>
      <c r="L123" s="82" t="s">
        <v>328</v>
      </c>
      <c r="M123" s="82" t="s">
        <v>348</v>
      </c>
      <c r="N123" s="89">
        <v>0.25326230044455333</v>
      </c>
      <c r="O123" s="89">
        <v>0.15609999999999999</v>
      </c>
      <c r="P123" s="89">
        <v>0.41389999999999999</v>
      </c>
      <c r="Q123" s="33"/>
      <c r="R123" s="33"/>
    </row>
    <row r="124" spans="1:18" x14ac:dyDescent="0.25">
      <c r="A124" s="82" t="s">
        <v>108</v>
      </c>
      <c r="B124" s="82" t="s">
        <v>462</v>
      </c>
      <c r="C124" s="86"/>
      <c r="D124" s="86">
        <v>95</v>
      </c>
      <c r="E124" s="33"/>
      <c r="F124" s="33" t="s">
        <v>355</v>
      </c>
      <c r="G124" s="33" t="s">
        <v>630</v>
      </c>
      <c r="H124" s="90">
        <v>0.55000000000000004</v>
      </c>
      <c r="I124" s="90">
        <v>0.04</v>
      </c>
      <c r="J124" s="90">
        <v>7.57</v>
      </c>
      <c r="K124" s="33"/>
      <c r="L124" s="84" t="s">
        <v>175</v>
      </c>
      <c r="M124" s="84" t="s">
        <v>579</v>
      </c>
      <c r="N124" s="89">
        <v>0.24443814012505954</v>
      </c>
      <c r="O124" s="89">
        <v>0.14980000000000002</v>
      </c>
      <c r="P124" s="89">
        <v>0.37619999999999998</v>
      </c>
      <c r="Q124" s="33"/>
      <c r="R124" s="33"/>
    </row>
    <row r="125" spans="1:18" x14ac:dyDescent="0.25">
      <c r="A125" s="84" t="s">
        <v>215</v>
      </c>
      <c r="B125" s="84" t="s">
        <v>463</v>
      </c>
      <c r="C125" s="87">
        <v>99</v>
      </c>
      <c r="D125" s="87">
        <v>97</v>
      </c>
      <c r="E125" s="33"/>
      <c r="F125" s="33" t="s">
        <v>341</v>
      </c>
      <c r="G125" s="33" t="s">
        <v>474</v>
      </c>
      <c r="H125" s="90">
        <v>1.87</v>
      </c>
      <c r="I125" s="90">
        <v>0.31</v>
      </c>
      <c r="J125" s="90">
        <v>11.53</v>
      </c>
      <c r="K125" s="33"/>
      <c r="L125" s="84" t="s">
        <v>198</v>
      </c>
      <c r="M125" s="84" t="s">
        <v>589</v>
      </c>
      <c r="N125" s="89">
        <v>0.26507967012826261</v>
      </c>
      <c r="O125" s="89">
        <v>0.1482</v>
      </c>
      <c r="P125" s="89">
        <v>0.35830000000000001</v>
      </c>
      <c r="Q125" s="33"/>
      <c r="R125" s="33"/>
    </row>
    <row r="126" spans="1:18" x14ac:dyDescent="0.25">
      <c r="A126" s="82" t="s">
        <v>135</v>
      </c>
      <c r="B126" s="82" t="s">
        <v>478</v>
      </c>
      <c r="C126" s="86">
        <v>81</v>
      </c>
      <c r="D126" s="86">
        <v>87</v>
      </c>
      <c r="E126" s="33"/>
      <c r="F126" s="33" t="s">
        <v>356</v>
      </c>
      <c r="G126" s="33" t="s">
        <v>634</v>
      </c>
      <c r="H126" s="90">
        <v>0.09</v>
      </c>
      <c r="I126" s="90">
        <v>7.0000000000000007E-2</v>
      </c>
      <c r="J126" s="90">
        <v>0.11</v>
      </c>
      <c r="K126" s="33"/>
      <c r="L126" s="84" t="s">
        <v>260</v>
      </c>
      <c r="M126" s="84" t="s">
        <v>604</v>
      </c>
      <c r="N126" s="89">
        <v>0.31559995570360394</v>
      </c>
      <c r="O126" s="89">
        <v>0.16440000000000002</v>
      </c>
      <c r="P126" s="89">
        <v>0.42950000000000005</v>
      </c>
      <c r="Q126" s="33"/>
      <c r="R126" s="33"/>
    </row>
    <row r="127" spans="1:18" x14ac:dyDescent="0.25">
      <c r="A127" s="82" t="s">
        <v>149</v>
      </c>
      <c r="B127" s="82" t="s">
        <v>483</v>
      </c>
      <c r="C127" s="86"/>
      <c r="D127" s="86">
        <v>81</v>
      </c>
      <c r="E127" s="33"/>
      <c r="F127" s="33" t="s">
        <v>328</v>
      </c>
      <c r="G127" s="33" t="s">
        <v>486</v>
      </c>
      <c r="H127" s="90">
        <v>0.01</v>
      </c>
      <c r="I127" s="90">
        <v>0</v>
      </c>
      <c r="J127" s="90">
        <v>0.03</v>
      </c>
      <c r="K127" s="33"/>
      <c r="L127" s="84" t="s">
        <v>283</v>
      </c>
      <c r="M127" s="84" t="s">
        <v>98</v>
      </c>
      <c r="N127" s="89">
        <v>0.32942031694951168</v>
      </c>
      <c r="O127" s="89">
        <v>0.1832</v>
      </c>
      <c r="P127" s="89">
        <v>0.47889999999999999</v>
      </c>
      <c r="Q127" s="33"/>
      <c r="R127" s="33"/>
    </row>
    <row r="128" spans="1:18" x14ac:dyDescent="0.25">
      <c r="A128" s="84" t="s">
        <v>150</v>
      </c>
      <c r="B128" s="84" t="s">
        <v>484</v>
      </c>
      <c r="C128" s="87"/>
      <c r="D128" s="87">
        <v>57</v>
      </c>
      <c r="E128" s="33"/>
      <c r="F128" s="33" t="s">
        <v>311</v>
      </c>
      <c r="G128" s="33" t="s">
        <v>495</v>
      </c>
      <c r="H128" s="90">
        <v>0.32</v>
      </c>
      <c r="I128" s="90">
        <v>0.23</v>
      </c>
      <c r="J128" s="90">
        <v>0.42</v>
      </c>
      <c r="K128" s="33"/>
      <c r="L128" s="84" t="s">
        <v>271</v>
      </c>
      <c r="M128" s="84" t="s">
        <v>595</v>
      </c>
      <c r="N128" s="89">
        <v>0.30916794199950548</v>
      </c>
      <c r="O128" s="89">
        <v>0.17010000000000003</v>
      </c>
      <c r="P128" s="89">
        <v>0.433</v>
      </c>
      <c r="Q128" s="33"/>
      <c r="R128" s="33"/>
    </row>
    <row r="129" spans="1:18" x14ac:dyDescent="0.25">
      <c r="A129" s="84" t="s">
        <v>259</v>
      </c>
      <c r="B129" s="84" t="s">
        <v>482</v>
      </c>
      <c r="C129" s="87"/>
      <c r="D129" s="87">
        <v>98</v>
      </c>
      <c r="E129" s="33"/>
      <c r="F129" s="33" t="s">
        <v>343</v>
      </c>
      <c r="G129" s="33" t="s">
        <v>496</v>
      </c>
      <c r="H129" s="90">
        <v>0.89</v>
      </c>
      <c r="I129" s="90">
        <v>0.57999999999999996</v>
      </c>
      <c r="J129" s="90">
        <v>1.35</v>
      </c>
      <c r="K129" s="33"/>
      <c r="L129" s="82" t="s">
        <v>272</v>
      </c>
      <c r="M129" s="82" t="s">
        <v>593</v>
      </c>
      <c r="N129" s="89">
        <v>0.29833830716733062</v>
      </c>
      <c r="O129" s="89">
        <v>0.16269999999999998</v>
      </c>
      <c r="P129" s="89">
        <v>0.43020000000000003</v>
      </c>
      <c r="Q129" s="33"/>
      <c r="R129" s="33"/>
    </row>
    <row r="130" spans="1:18" x14ac:dyDescent="0.25">
      <c r="A130" s="82" t="s">
        <v>298</v>
      </c>
      <c r="B130" s="82" t="s">
        <v>635</v>
      </c>
      <c r="C130" s="86">
        <v>99</v>
      </c>
      <c r="D130" s="86">
        <v>99</v>
      </c>
      <c r="E130" s="33"/>
      <c r="F130" s="33" t="s">
        <v>636</v>
      </c>
      <c r="G130" s="33" t="s">
        <v>499</v>
      </c>
      <c r="H130" s="90">
        <v>4.91</v>
      </c>
      <c r="I130" s="90">
        <v>3.63</v>
      </c>
      <c r="J130" s="90">
        <v>6.44</v>
      </c>
      <c r="K130" s="33"/>
      <c r="L130" s="84" t="s">
        <v>311</v>
      </c>
      <c r="M130" s="84" t="s">
        <v>580</v>
      </c>
      <c r="N130" s="89">
        <v>0.28094201426514037</v>
      </c>
      <c r="O130" s="89">
        <v>0.16329999999999997</v>
      </c>
      <c r="P130" s="89">
        <v>0.42849999999999999</v>
      </c>
      <c r="Q130" s="33"/>
      <c r="R130" s="33"/>
    </row>
    <row r="131" spans="1:18" x14ac:dyDescent="0.25">
      <c r="A131" s="84" t="s">
        <v>356</v>
      </c>
      <c r="B131" s="84" t="s">
        <v>634</v>
      </c>
      <c r="C131" s="87"/>
      <c r="D131" s="87">
        <v>92</v>
      </c>
      <c r="E131" s="33"/>
      <c r="F131" s="33" t="s">
        <v>313</v>
      </c>
      <c r="G131" s="33" t="s">
        <v>500</v>
      </c>
      <c r="H131" s="90">
        <v>4.79</v>
      </c>
      <c r="I131" s="90">
        <v>3.95</v>
      </c>
      <c r="J131" s="90">
        <v>5.84</v>
      </c>
      <c r="K131" s="33"/>
      <c r="L131" s="84" t="s">
        <v>343</v>
      </c>
      <c r="M131" s="84" t="s">
        <v>348</v>
      </c>
      <c r="N131" s="89">
        <v>0.24739659318537785</v>
      </c>
      <c r="O131" s="89">
        <v>0.15609999999999999</v>
      </c>
      <c r="P131" s="89">
        <v>0.41389999999999999</v>
      </c>
      <c r="Q131" s="33"/>
      <c r="R131" s="33"/>
    </row>
    <row r="132" spans="1:18" x14ac:dyDescent="0.25">
      <c r="A132" s="84" t="s">
        <v>328</v>
      </c>
      <c r="B132" s="84" t="s">
        <v>486</v>
      </c>
      <c r="C132" s="87"/>
      <c r="D132" s="87">
        <v>96</v>
      </c>
      <c r="E132" s="33"/>
      <c r="F132" s="33" t="s">
        <v>314</v>
      </c>
      <c r="G132" s="33" t="s">
        <v>501</v>
      </c>
      <c r="H132" s="90">
        <v>2.85</v>
      </c>
      <c r="I132" s="90">
        <v>2.27</v>
      </c>
      <c r="J132" s="90">
        <v>3.53</v>
      </c>
      <c r="K132" s="33"/>
      <c r="L132" s="84" t="s">
        <v>176</v>
      </c>
      <c r="M132" s="84" t="s">
        <v>579</v>
      </c>
      <c r="N132" s="89">
        <v>0.24354965452762639</v>
      </c>
      <c r="O132" s="89">
        <v>0.14980000000000002</v>
      </c>
      <c r="P132" s="89">
        <v>0.37619999999999998</v>
      </c>
      <c r="Q132" s="33"/>
      <c r="R132" s="33"/>
    </row>
    <row r="133" spans="1:18" x14ac:dyDescent="0.25">
      <c r="A133" s="82" t="s">
        <v>197</v>
      </c>
      <c r="B133" s="82" t="s">
        <v>480</v>
      </c>
      <c r="C133" s="86"/>
      <c r="D133" s="86">
        <v>93</v>
      </c>
      <c r="E133" s="33"/>
      <c r="F133" s="33" t="s">
        <v>344</v>
      </c>
      <c r="G133" s="33" t="s">
        <v>637</v>
      </c>
      <c r="H133" s="90">
        <v>0.69</v>
      </c>
      <c r="I133" s="90">
        <v>0.02</v>
      </c>
      <c r="J133" s="90">
        <v>19.98</v>
      </c>
      <c r="K133" s="33"/>
      <c r="L133" s="33" t="s">
        <v>638</v>
      </c>
      <c r="M133" s="82" t="s">
        <v>596</v>
      </c>
      <c r="N133" s="89">
        <v>0.27719591398744664</v>
      </c>
      <c r="O133" s="89">
        <v>0.16300000000000001</v>
      </c>
      <c r="P133" s="89">
        <v>0.4632</v>
      </c>
      <c r="Q133" s="33"/>
      <c r="R133" s="33"/>
    </row>
    <row r="134" spans="1:18" x14ac:dyDescent="0.25">
      <c r="A134" s="84" t="s">
        <v>291</v>
      </c>
      <c r="B134" s="84" t="s">
        <v>479</v>
      </c>
      <c r="C134" s="87">
        <v>99</v>
      </c>
      <c r="D134" s="87">
        <v>96</v>
      </c>
      <c r="E134" s="33"/>
      <c r="F134" s="33" t="s">
        <v>345</v>
      </c>
      <c r="G134" s="33" t="s">
        <v>508</v>
      </c>
      <c r="H134" s="90">
        <v>0.98</v>
      </c>
      <c r="I134" s="90">
        <v>0.7</v>
      </c>
      <c r="J134" s="90">
        <v>1.33</v>
      </c>
      <c r="K134" s="33"/>
      <c r="L134" s="33" t="s">
        <v>639</v>
      </c>
      <c r="M134" s="84" t="s">
        <v>306</v>
      </c>
      <c r="N134" s="89">
        <v>0.29822610488439383</v>
      </c>
      <c r="O134" s="89">
        <v>0.16339999999999999</v>
      </c>
      <c r="P134" s="89">
        <v>0.42969999999999997</v>
      </c>
      <c r="Q134" s="33"/>
      <c r="R134" s="33"/>
    </row>
    <row r="135" spans="1:18" x14ac:dyDescent="0.25">
      <c r="A135" s="82" t="s">
        <v>278</v>
      </c>
      <c r="B135" s="82" t="s">
        <v>481</v>
      </c>
      <c r="C135" s="86"/>
      <c r="D135" s="86">
        <v>92</v>
      </c>
      <c r="E135" s="33"/>
      <c r="F135" s="33" t="s">
        <v>315</v>
      </c>
      <c r="G135" s="33" t="s">
        <v>640</v>
      </c>
      <c r="H135" s="90">
        <v>1.82</v>
      </c>
      <c r="I135" s="90">
        <v>1.48</v>
      </c>
      <c r="J135" s="90">
        <v>2.25</v>
      </c>
      <c r="K135" s="33"/>
      <c r="L135" s="82" t="s">
        <v>313</v>
      </c>
      <c r="M135" s="82" t="s">
        <v>580</v>
      </c>
      <c r="N135" s="89">
        <v>0.29652203627996709</v>
      </c>
      <c r="O135" s="89">
        <v>0.16329999999999997</v>
      </c>
      <c r="P135" s="89">
        <v>0.42849999999999999</v>
      </c>
      <c r="Q135" s="33"/>
      <c r="R135" s="33"/>
    </row>
    <row r="136" spans="1:18" x14ac:dyDescent="0.25">
      <c r="A136" s="82" t="s">
        <v>175</v>
      </c>
      <c r="B136" s="82" t="s">
        <v>487</v>
      </c>
      <c r="C136" s="86">
        <v>99</v>
      </c>
      <c r="D136" s="86">
        <v>99</v>
      </c>
      <c r="E136" s="33"/>
      <c r="F136" s="33" t="s">
        <v>346</v>
      </c>
      <c r="G136" s="33" t="s">
        <v>511</v>
      </c>
      <c r="H136" s="90">
        <v>1.07</v>
      </c>
      <c r="I136" s="90">
        <v>0.15</v>
      </c>
      <c r="J136" s="90">
        <v>8.32</v>
      </c>
      <c r="K136" s="33"/>
      <c r="L136" s="33" t="s">
        <v>641</v>
      </c>
      <c r="M136" s="82" t="s">
        <v>306</v>
      </c>
      <c r="N136" s="89">
        <v>0.28539878311890399</v>
      </c>
      <c r="O136" s="89">
        <v>0.16339999999999999</v>
      </c>
      <c r="P136" s="89">
        <v>0.42969999999999997</v>
      </c>
      <c r="Q136" s="33"/>
      <c r="R136" s="33"/>
    </row>
    <row r="137" spans="1:18" x14ac:dyDescent="0.25">
      <c r="A137" s="84" t="s">
        <v>198</v>
      </c>
      <c r="B137" s="84" t="s">
        <v>488</v>
      </c>
      <c r="C137" s="87"/>
      <c r="D137" s="87">
        <v>75</v>
      </c>
      <c r="E137" s="33"/>
      <c r="F137" s="33" t="s">
        <v>347</v>
      </c>
      <c r="G137" s="33" t="s">
        <v>616</v>
      </c>
      <c r="H137" s="90">
        <v>0.56999999999999995</v>
      </c>
      <c r="I137" s="90">
        <v>0.44</v>
      </c>
      <c r="J137" s="90">
        <v>0.72</v>
      </c>
      <c r="K137" s="33"/>
      <c r="L137" s="84" t="s">
        <v>113</v>
      </c>
      <c r="M137" s="84" t="s">
        <v>597</v>
      </c>
      <c r="N137" s="89">
        <v>0.27387499123711445</v>
      </c>
      <c r="O137" s="89">
        <v>0.15560000000000002</v>
      </c>
      <c r="P137" s="89">
        <v>0.39960000000000001</v>
      </c>
      <c r="Q137" s="33"/>
      <c r="R137" s="33"/>
    </row>
    <row r="138" spans="1:18" x14ac:dyDescent="0.25">
      <c r="A138" s="84" t="s">
        <v>260</v>
      </c>
      <c r="B138" s="84" t="s">
        <v>490</v>
      </c>
      <c r="C138" s="87">
        <v>85</v>
      </c>
      <c r="D138" s="87">
        <v>88</v>
      </c>
      <c r="E138" s="33"/>
      <c r="F138" s="33" t="s">
        <v>329</v>
      </c>
      <c r="G138" s="33" t="s">
        <v>642</v>
      </c>
      <c r="H138" s="90">
        <v>0.63</v>
      </c>
      <c r="I138" s="90">
        <v>0.47</v>
      </c>
      <c r="J138" s="90">
        <v>0.85</v>
      </c>
      <c r="K138" s="33"/>
      <c r="L138" s="84" t="s">
        <v>245</v>
      </c>
      <c r="M138" s="84" t="s">
        <v>223</v>
      </c>
      <c r="N138" s="89">
        <v>0.30422186902267961</v>
      </c>
      <c r="O138" s="89">
        <v>0.16309999999999999</v>
      </c>
      <c r="P138" s="89">
        <v>0.43</v>
      </c>
      <c r="Q138" s="33"/>
      <c r="R138" s="33"/>
    </row>
    <row r="139" spans="1:18" x14ac:dyDescent="0.25">
      <c r="A139" s="82" t="s">
        <v>272</v>
      </c>
      <c r="B139" s="82" t="s">
        <v>493</v>
      </c>
      <c r="C139" s="86">
        <v>82</v>
      </c>
      <c r="D139" s="86">
        <v>88</v>
      </c>
      <c r="E139" s="33"/>
      <c r="F139" s="33" t="s">
        <v>357</v>
      </c>
      <c r="G139" s="33" t="s">
        <v>599</v>
      </c>
      <c r="H139" s="90">
        <v>0.17</v>
      </c>
      <c r="I139" s="90">
        <v>0.09</v>
      </c>
      <c r="J139" s="90">
        <v>0.31</v>
      </c>
      <c r="K139" s="33"/>
      <c r="L139" s="82" t="s">
        <v>247</v>
      </c>
      <c r="M139" s="82" t="s">
        <v>223</v>
      </c>
      <c r="N139" s="89">
        <v>0.3100986815415821</v>
      </c>
      <c r="O139" s="89">
        <v>0.16309999999999999</v>
      </c>
      <c r="P139" s="89">
        <v>0.43</v>
      </c>
      <c r="Q139" s="33"/>
      <c r="R139" s="33"/>
    </row>
    <row r="140" spans="1:18" x14ac:dyDescent="0.25">
      <c r="A140" s="84" t="s">
        <v>217</v>
      </c>
      <c r="B140" s="84" t="s">
        <v>494</v>
      </c>
      <c r="C140" s="87">
        <v>50</v>
      </c>
      <c r="D140" s="87">
        <v>65</v>
      </c>
      <c r="E140" s="33"/>
      <c r="F140" s="33" t="s">
        <v>187</v>
      </c>
      <c r="G140" s="33" t="s">
        <v>521</v>
      </c>
      <c r="H140" s="90">
        <v>5.0599999999999996</v>
      </c>
      <c r="I140" s="90">
        <v>3.59</v>
      </c>
      <c r="J140" s="90">
        <v>6.86</v>
      </c>
      <c r="K140" s="33"/>
      <c r="L140" s="82" t="s">
        <v>299</v>
      </c>
      <c r="M140" s="82" t="s">
        <v>98</v>
      </c>
      <c r="N140" s="89">
        <v>0.32058968887779721</v>
      </c>
      <c r="O140" s="89">
        <v>0.1832</v>
      </c>
      <c r="P140" s="89">
        <v>0.47889999999999999</v>
      </c>
      <c r="Q140" s="33"/>
      <c r="R140" s="33"/>
    </row>
    <row r="141" spans="1:18" x14ac:dyDescent="0.25">
      <c r="A141" s="82" t="s">
        <v>293</v>
      </c>
      <c r="B141" s="82" t="s">
        <v>489</v>
      </c>
      <c r="C141" s="86">
        <v>99</v>
      </c>
      <c r="D141" s="86">
        <v>98</v>
      </c>
      <c r="E141" s="33"/>
      <c r="F141" s="33" t="s">
        <v>643</v>
      </c>
      <c r="G141" s="33" t="s">
        <v>409</v>
      </c>
      <c r="H141" s="90">
        <v>1.33</v>
      </c>
      <c r="I141" s="90">
        <v>0.88</v>
      </c>
      <c r="J141" s="90">
        <v>1.97</v>
      </c>
      <c r="K141" s="33"/>
      <c r="L141" s="84" t="s">
        <v>130</v>
      </c>
      <c r="M141" s="84" t="s">
        <v>591</v>
      </c>
      <c r="N141" s="89">
        <v>0.29427997652440863</v>
      </c>
      <c r="O141" s="89">
        <v>0.155</v>
      </c>
      <c r="P141" s="89">
        <v>0.41070000000000001</v>
      </c>
      <c r="Q141" s="33"/>
      <c r="R141" s="33"/>
    </row>
    <row r="142" spans="1:18" x14ac:dyDescent="0.25">
      <c r="A142" s="82" t="s">
        <v>283</v>
      </c>
      <c r="B142" s="82" t="s">
        <v>491</v>
      </c>
      <c r="C142" s="86">
        <v>25</v>
      </c>
      <c r="D142" s="86">
        <v>35</v>
      </c>
      <c r="E142" s="33"/>
      <c r="F142" s="33" t="s">
        <v>644</v>
      </c>
      <c r="G142" s="33" t="s">
        <v>485</v>
      </c>
      <c r="H142" s="90">
        <v>1.94</v>
      </c>
      <c r="I142" s="90">
        <v>0.3</v>
      </c>
      <c r="J142" s="90">
        <v>10.88</v>
      </c>
      <c r="K142" s="33"/>
      <c r="L142" s="82" t="s">
        <v>177</v>
      </c>
      <c r="M142" s="82" t="s">
        <v>579</v>
      </c>
      <c r="N142" s="89">
        <v>0.23787905260244188</v>
      </c>
      <c r="O142" s="89">
        <v>0.14980000000000002</v>
      </c>
      <c r="P142" s="89">
        <v>0.37619999999999998</v>
      </c>
      <c r="Q142" s="33"/>
      <c r="R142" s="33"/>
    </row>
    <row r="143" spans="1:18" x14ac:dyDescent="0.25">
      <c r="A143" s="82" t="s">
        <v>311</v>
      </c>
      <c r="B143" s="82" t="s">
        <v>495</v>
      </c>
      <c r="C143" s="86">
        <v>93</v>
      </c>
      <c r="D143" s="86">
        <v>91</v>
      </c>
      <c r="E143" s="33"/>
      <c r="F143" s="33" t="s">
        <v>180</v>
      </c>
      <c r="G143" s="33" t="s">
        <v>528</v>
      </c>
      <c r="H143" s="90">
        <v>2.63</v>
      </c>
      <c r="I143" s="90">
        <v>2.08</v>
      </c>
      <c r="J143" s="90">
        <v>3.28</v>
      </c>
      <c r="K143" s="33"/>
      <c r="L143" s="82" t="s">
        <v>152</v>
      </c>
      <c r="M143" s="82" t="s">
        <v>591</v>
      </c>
      <c r="N143" s="89">
        <v>0.28272643132159919</v>
      </c>
      <c r="O143" s="89">
        <v>0.155</v>
      </c>
      <c r="P143" s="89">
        <v>0.41070000000000001</v>
      </c>
      <c r="Q143" s="33"/>
      <c r="R143" s="33"/>
    </row>
    <row r="144" spans="1:18" x14ac:dyDescent="0.25">
      <c r="A144" s="82" t="s">
        <v>411</v>
      </c>
      <c r="B144" s="82" t="s">
        <v>410</v>
      </c>
      <c r="C144" s="86">
        <v>98</v>
      </c>
      <c r="D144" s="86">
        <v>97</v>
      </c>
      <c r="E144" s="33"/>
      <c r="F144" s="33" t="s">
        <v>188</v>
      </c>
      <c r="G144" s="33" t="s">
        <v>529</v>
      </c>
      <c r="H144" s="90">
        <v>1.85</v>
      </c>
      <c r="I144" s="90">
        <v>0.19</v>
      </c>
      <c r="J144" s="90">
        <v>12.57</v>
      </c>
      <c r="K144" s="33"/>
      <c r="L144" s="84" t="s">
        <v>345</v>
      </c>
      <c r="M144" s="84" t="s">
        <v>580</v>
      </c>
      <c r="N144" s="89">
        <v>0.28459441245417411</v>
      </c>
      <c r="O144" s="89">
        <v>0.16329999999999997</v>
      </c>
      <c r="P144" s="89">
        <v>0.42849999999999999</v>
      </c>
      <c r="Q144" s="33"/>
      <c r="R144" s="33"/>
    </row>
    <row r="145" spans="1:18" x14ac:dyDescent="0.25">
      <c r="A145" s="84" t="s">
        <v>343</v>
      </c>
      <c r="B145" s="84" t="s">
        <v>496</v>
      </c>
      <c r="C145" s="87">
        <v>97</v>
      </c>
      <c r="D145" s="87">
        <v>98</v>
      </c>
      <c r="E145" s="33"/>
      <c r="F145" s="33" t="s">
        <v>316</v>
      </c>
      <c r="G145" s="33" t="s">
        <v>532</v>
      </c>
      <c r="H145" s="90">
        <v>1.1399999999999999</v>
      </c>
      <c r="I145" s="90">
        <v>0.76</v>
      </c>
      <c r="J145" s="90">
        <v>1.68</v>
      </c>
      <c r="K145" s="33"/>
      <c r="L145" s="82" t="s">
        <v>114</v>
      </c>
      <c r="M145" s="82" t="s">
        <v>598</v>
      </c>
      <c r="N145" s="89">
        <v>0.33756861852626402</v>
      </c>
      <c r="O145" s="89">
        <v>0.18100000000000002</v>
      </c>
      <c r="P145" s="89">
        <v>0.47729999999999995</v>
      </c>
      <c r="Q145" s="33"/>
      <c r="R145" s="33"/>
    </row>
    <row r="146" spans="1:18" x14ac:dyDescent="0.25">
      <c r="A146" s="84" t="s">
        <v>271</v>
      </c>
      <c r="B146" s="84" t="s">
        <v>492</v>
      </c>
      <c r="C146" s="87"/>
      <c r="D146" s="87">
        <v>86</v>
      </c>
      <c r="E146" s="33"/>
      <c r="F146" s="33" t="s">
        <v>645</v>
      </c>
      <c r="G146" s="33" t="s">
        <v>618</v>
      </c>
      <c r="H146" s="90">
        <v>0.22</v>
      </c>
      <c r="I146" s="90">
        <v>0.17</v>
      </c>
      <c r="J146" s="90">
        <v>0.3</v>
      </c>
      <c r="K146" s="33"/>
      <c r="L146" s="84" t="s">
        <v>153</v>
      </c>
      <c r="M146" s="84" t="s">
        <v>591</v>
      </c>
      <c r="N146" s="89">
        <v>0.29917053231968926</v>
      </c>
      <c r="O146" s="89">
        <v>0.155</v>
      </c>
      <c r="P146" s="89">
        <v>0.41070000000000001</v>
      </c>
      <c r="Q146" s="33"/>
      <c r="R146" s="33"/>
    </row>
    <row r="147" spans="1:18" x14ac:dyDescent="0.25">
      <c r="A147" s="84" t="s">
        <v>178</v>
      </c>
      <c r="B147" s="84" t="s">
        <v>517</v>
      </c>
      <c r="C147" s="87">
        <v>99</v>
      </c>
      <c r="D147" s="87">
        <v>99</v>
      </c>
      <c r="E147" s="33"/>
      <c r="F147" s="33" t="s">
        <v>189</v>
      </c>
      <c r="G147" s="33" t="s">
        <v>536</v>
      </c>
      <c r="H147" s="90">
        <v>4.91</v>
      </c>
      <c r="I147" s="90">
        <v>3.68</v>
      </c>
      <c r="J147" s="90">
        <v>6.41</v>
      </c>
      <c r="K147" s="33"/>
      <c r="L147" s="84" t="s">
        <v>218</v>
      </c>
      <c r="M147" s="84" t="s">
        <v>596</v>
      </c>
      <c r="N147" s="89">
        <v>0.28735937058019767</v>
      </c>
      <c r="O147" s="89">
        <v>0.16300000000000001</v>
      </c>
      <c r="P147" s="89">
        <v>0.4632</v>
      </c>
      <c r="Q147" s="33"/>
      <c r="R147" s="33"/>
    </row>
    <row r="148" spans="1:18" x14ac:dyDescent="0.25">
      <c r="A148" s="82" t="s">
        <v>176</v>
      </c>
      <c r="B148" s="82" t="s">
        <v>497</v>
      </c>
      <c r="C148" s="86">
        <v>97</v>
      </c>
      <c r="D148" s="86">
        <v>98</v>
      </c>
      <c r="E148" s="33"/>
      <c r="F148" s="33" t="s">
        <v>191</v>
      </c>
      <c r="G148" s="33" t="s">
        <v>369</v>
      </c>
      <c r="H148" s="90">
        <v>1.1100000000000001</v>
      </c>
      <c r="I148" s="90">
        <v>0.72</v>
      </c>
      <c r="J148" s="90">
        <v>1.61</v>
      </c>
      <c r="K148" s="33"/>
      <c r="L148" s="82" t="s">
        <v>315</v>
      </c>
      <c r="M148" s="82" t="s">
        <v>580</v>
      </c>
      <c r="N148" s="89">
        <v>0.28402590339917727</v>
      </c>
      <c r="O148" s="89">
        <v>0.16329999999999997</v>
      </c>
      <c r="P148" s="89">
        <v>0.42849999999999999</v>
      </c>
      <c r="Q148" s="33"/>
      <c r="R148" s="33"/>
    </row>
    <row r="149" spans="1:18" x14ac:dyDescent="0.25">
      <c r="A149" s="82" t="s">
        <v>313</v>
      </c>
      <c r="B149" s="82" t="s">
        <v>500</v>
      </c>
      <c r="C149" s="86">
        <v>99</v>
      </c>
      <c r="D149" s="86">
        <v>90</v>
      </c>
      <c r="E149" s="33"/>
      <c r="F149" s="33" t="s">
        <v>167</v>
      </c>
      <c r="G149" s="33" t="s">
        <v>378</v>
      </c>
      <c r="H149" s="90">
        <v>0.56999999999999995</v>
      </c>
      <c r="I149" s="90">
        <v>0.46</v>
      </c>
      <c r="J149" s="90">
        <v>0.69</v>
      </c>
      <c r="K149" s="33"/>
      <c r="L149" s="84" t="s">
        <v>346</v>
      </c>
      <c r="M149" s="84" t="s">
        <v>580</v>
      </c>
      <c r="N149" s="89">
        <v>0.27276600830879366</v>
      </c>
      <c r="O149" s="89">
        <v>0.16329999999999997</v>
      </c>
      <c r="P149" s="89">
        <v>0.42849999999999999</v>
      </c>
      <c r="Q149" s="33"/>
      <c r="R149" s="33"/>
    </row>
    <row r="150" spans="1:18" x14ac:dyDescent="0.25">
      <c r="A150" s="84" t="s">
        <v>314</v>
      </c>
      <c r="B150" s="84" t="s">
        <v>501</v>
      </c>
      <c r="C150" s="87"/>
      <c r="D150" s="87">
        <v>97</v>
      </c>
      <c r="E150" s="33"/>
      <c r="F150" s="33" t="s">
        <v>103</v>
      </c>
      <c r="G150" s="33" t="s">
        <v>414</v>
      </c>
      <c r="H150" s="90">
        <v>3.43</v>
      </c>
      <c r="I150" s="90">
        <v>0.35</v>
      </c>
      <c r="J150" s="90">
        <v>22.92</v>
      </c>
      <c r="K150" s="33"/>
      <c r="L150" s="84" t="s">
        <v>284</v>
      </c>
      <c r="M150" s="84" t="s">
        <v>98</v>
      </c>
      <c r="N150" s="89">
        <v>0.33679792873325681</v>
      </c>
      <c r="O150" s="89">
        <v>0.1832</v>
      </c>
      <c r="P150" s="89">
        <v>0.47889999999999999</v>
      </c>
      <c r="Q150" s="33"/>
      <c r="R150" s="33"/>
    </row>
    <row r="151" spans="1:18" x14ac:dyDescent="0.25">
      <c r="A151" s="82" t="s">
        <v>113</v>
      </c>
      <c r="B151" s="82" t="s">
        <v>502</v>
      </c>
      <c r="C151" s="86"/>
      <c r="D151" s="86">
        <v>98</v>
      </c>
      <c r="E151" s="33"/>
      <c r="F151" s="33" t="s">
        <v>158</v>
      </c>
      <c r="G151" s="33" t="s">
        <v>417</v>
      </c>
      <c r="H151" s="90">
        <v>1.96</v>
      </c>
      <c r="I151" s="90">
        <v>1.56</v>
      </c>
      <c r="J151" s="90">
        <v>2.4300000000000002</v>
      </c>
      <c r="K151" s="33"/>
      <c r="L151" s="82" t="s">
        <v>115</v>
      </c>
      <c r="M151" s="82" t="s">
        <v>597</v>
      </c>
      <c r="N151" s="89">
        <v>0.28962325777757897</v>
      </c>
      <c r="O151" s="89">
        <v>0.15560000000000002</v>
      </c>
      <c r="P151" s="89">
        <v>0.39960000000000001</v>
      </c>
      <c r="Q151" s="33"/>
      <c r="R151" s="33"/>
    </row>
    <row r="152" spans="1:18" x14ac:dyDescent="0.25">
      <c r="A152" s="84" t="s">
        <v>177</v>
      </c>
      <c r="B152" s="84" t="s">
        <v>506</v>
      </c>
      <c r="C152" s="87">
        <v>96</v>
      </c>
      <c r="D152" s="87">
        <v>97</v>
      </c>
      <c r="E152" s="33"/>
      <c r="F152" s="33" t="s">
        <v>646</v>
      </c>
      <c r="G152" s="33" t="s">
        <v>440</v>
      </c>
      <c r="H152" s="90">
        <v>0.15</v>
      </c>
      <c r="I152" s="90">
        <v>0.11</v>
      </c>
      <c r="J152" s="90">
        <v>0.19</v>
      </c>
      <c r="K152" s="33"/>
      <c r="L152" s="82" t="s">
        <v>136</v>
      </c>
      <c r="M152" s="82" t="s">
        <v>594</v>
      </c>
      <c r="N152" s="89">
        <v>0.26188409431340487</v>
      </c>
      <c r="O152" s="89">
        <v>0.15109999999999998</v>
      </c>
      <c r="P152" s="89">
        <v>0.3679</v>
      </c>
      <c r="Q152" s="33"/>
      <c r="R152" s="33"/>
    </row>
    <row r="153" spans="1:18" x14ac:dyDescent="0.25">
      <c r="A153" s="82" t="s">
        <v>161</v>
      </c>
      <c r="B153" s="82" t="s">
        <v>518</v>
      </c>
      <c r="C153" s="86"/>
      <c r="D153" s="86">
        <v>93</v>
      </c>
      <c r="E153" s="33"/>
      <c r="F153" s="33" t="s">
        <v>170</v>
      </c>
      <c r="G153" s="33" t="s">
        <v>441</v>
      </c>
      <c r="H153" s="90">
        <v>0.14000000000000001</v>
      </c>
      <c r="I153" s="90">
        <v>0.11</v>
      </c>
      <c r="J153" s="90">
        <v>0.18</v>
      </c>
      <c r="K153" s="33"/>
      <c r="L153" s="84" t="s">
        <v>116</v>
      </c>
      <c r="M153" s="84" t="s">
        <v>597</v>
      </c>
      <c r="N153" s="89">
        <v>0.28404425731797539</v>
      </c>
      <c r="O153" s="89">
        <v>0.15560000000000002</v>
      </c>
      <c r="P153" s="89">
        <v>0.39960000000000001</v>
      </c>
      <c r="Q153" s="33"/>
      <c r="R153" s="33"/>
    </row>
    <row r="154" spans="1:18" x14ac:dyDescent="0.25">
      <c r="A154" s="82" t="s">
        <v>152</v>
      </c>
      <c r="B154" s="82" t="s">
        <v>507</v>
      </c>
      <c r="C154" s="86">
        <v>81</v>
      </c>
      <c r="D154" s="86">
        <v>93</v>
      </c>
      <c r="E154" s="33"/>
      <c r="F154" s="33" t="s">
        <v>172</v>
      </c>
      <c r="G154" s="33" t="s">
        <v>446</v>
      </c>
      <c r="H154" s="90">
        <v>2.59</v>
      </c>
      <c r="I154" s="90">
        <v>1.64</v>
      </c>
      <c r="J154" s="90">
        <v>3.86</v>
      </c>
      <c r="K154" s="33"/>
      <c r="L154" s="84" t="s">
        <v>347</v>
      </c>
      <c r="M154" s="84" t="s">
        <v>348</v>
      </c>
      <c r="N154" s="89">
        <v>0.23696906675528759</v>
      </c>
      <c r="O154" s="89">
        <v>0.15609999999999999</v>
      </c>
      <c r="P154" s="89">
        <v>0.41389999999999999</v>
      </c>
      <c r="Q154" s="33"/>
      <c r="R154" s="33"/>
    </row>
    <row r="155" spans="1:18" x14ac:dyDescent="0.25">
      <c r="A155" s="82" t="s">
        <v>218</v>
      </c>
      <c r="B155" s="82" t="s">
        <v>510</v>
      </c>
      <c r="C155" s="86">
        <v>91</v>
      </c>
      <c r="D155" s="86">
        <v>96</v>
      </c>
      <c r="E155" s="33"/>
      <c r="F155" s="33" t="s">
        <v>173</v>
      </c>
      <c r="G155" s="33" t="s">
        <v>452</v>
      </c>
      <c r="H155" s="90">
        <v>0.85</v>
      </c>
      <c r="I155" s="90">
        <v>0.05</v>
      </c>
      <c r="J155" s="90">
        <v>12.31</v>
      </c>
      <c r="K155" s="33"/>
      <c r="L155" s="84" t="s">
        <v>199</v>
      </c>
      <c r="M155" s="84" t="s">
        <v>598</v>
      </c>
      <c r="N155" s="89">
        <v>0.32277198772757137</v>
      </c>
      <c r="O155" s="89">
        <v>0.18100000000000002</v>
      </c>
      <c r="P155" s="89">
        <v>0.47729999999999995</v>
      </c>
      <c r="Q155" s="33"/>
      <c r="R155" s="33"/>
    </row>
    <row r="156" spans="1:18" x14ac:dyDescent="0.25">
      <c r="A156" s="84" t="s">
        <v>284</v>
      </c>
      <c r="B156" s="84" t="s">
        <v>512</v>
      </c>
      <c r="C156" s="87">
        <v>66</v>
      </c>
      <c r="D156" s="87">
        <v>94</v>
      </c>
      <c r="E156" s="33"/>
      <c r="F156" s="33" t="s">
        <v>174</v>
      </c>
      <c r="G156" s="33" t="s">
        <v>456</v>
      </c>
      <c r="H156" s="90">
        <v>1.31</v>
      </c>
      <c r="I156" s="90">
        <v>1.03</v>
      </c>
      <c r="J156" s="90">
        <v>1.64</v>
      </c>
      <c r="K156" s="33"/>
      <c r="L156" s="33" t="s">
        <v>647</v>
      </c>
      <c r="M156" s="82" t="s">
        <v>597</v>
      </c>
      <c r="N156" s="89">
        <v>0.28042307379092596</v>
      </c>
      <c r="O156" s="89">
        <v>0.15560000000000002</v>
      </c>
      <c r="P156" s="89">
        <v>0.39960000000000001</v>
      </c>
      <c r="Q156" s="33"/>
      <c r="R156" s="33"/>
    </row>
    <row r="157" spans="1:18" x14ac:dyDescent="0.25">
      <c r="A157" s="84" t="s">
        <v>153</v>
      </c>
      <c r="B157" s="84" t="s">
        <v>509</v>
      </c>
      <c r="C157" s="87"/>
      <c r="D157" s="87">
        <v>95</v>
      </c>
      <c r="E157" s="33"/>
      <c r="F157" s="33" t="s">
        <v>159</v>
      </c>
      <c r="G157" s="33" t="s">
        <v>459</v>
      </c>
      <c r="H157" s="90">
        <v>1.84</v>
      </c>
      <c r="I157" s="90">
        <v>1.53</v>
      </c>
      <c r="J157" s="90">
        <v>2.25</v>
      </c>
      <c r="K157" s="33"/>
      <c r="L157" s="84" t="s">
        <v>273</v>
      </c>
      <c r="M157" s="84" t="s">
        <v>223</v>
      </c>
      <c r="N157" s="89">
        <v>0.30692004376449455</v>
      </c>
      <c r="O157" s="89">
        <v>0.16309999999999999</v>
      </c>
      <c r="P157" s="89">
        <v>0.43</v>
      </c>
      <c r="Q157" s="33"/>
      <c r="R157" s="33"/>
    </row>
    <row r="158" spans="1:18" x14ac:dyDescent="0.25">
      <c r="A158" s="82" t="s">
        <v>255</v>
      </c>
      <c r="B158" s="82" t="s">
        <v>418</v>
      </c>
      <c r="C158" s="86">
        <v>76</v>
      </c>
      <c r="D158" s="86">
        <v>81</v>
      </c>
      <c r="E158" s="33"/>
      <c r="F158" s="33" t="s">
        <v>160</v>
      </c>
      <c r="G158" s="33" t="s">
        <v>475</v>
      </c>
      <c r="H158" s="90">
        <v>1.52</v>
      </c>
      <c r="I158" s="90">
        <v>1.23</v>
      </c>
      <c r="J158" s="90">
        <v>1.87</v>
      </c>
      <c r="K158" s="33"/>
      <c r="L158" s="82" t="s">
        <v>329</v>
      </c>
      <c r="M158" s="82" t="s">
        <v>348</v>
      </c>
      <c r="N158" s="89">
        <v>0.25129756839472045</v>
      </c>
      <c r="O158" s="89">
        <v>0.15609999999999999</v>
      </c>
      <c r="P158" s="89">
        <v>0.41389999999999999</v>
      </c>
      <c r="Q158" s="33"/>
      <c r="R158" s="33"/>
    </row>
    <row r="159" spans="1:18" x14ac:dyDescent="0.25">
      <c r="A159" s="84" t="s">
        <v>344</v>
      </c>
      <c r="B159" s="84" t="s">
        <v>637</v>
      </c>
      <c r="C159" s="87"/>
      <c r="D159" s="87">
        <v>87</v>
      </c>
      <c r="E159" s="33"/>
      <c r="F159" s="33" t="s">
        <v>175</v>
      </c>
      <c r="G159" s="33" t="s">
        <v>487</v>
      </c>
      <c r="H159" s="90">
        <v>3.2</v>
      </c>
      <c r="I159" s="90">
        <v>2.23</v>
      </c>
      <c r="J159" s="90">
        <v>4.4800000000000004</v>
      </c>
      <c r="K159" s="33"/>
      <c r="L159" s="84" t="s">
        <v>357</v>
      </c>
      <c r="M159" s="84" t="s">
        <v>348</v>
      </c>
      <c r="N159" s="89">
        <v>0.24260283205022964</v>
      </c>
      <c r="O159" s="89">
        <v>0.15609999999999999</v>
      </c>
      <c r="P159" s="89">
        <v>0.41389999999999999</v>
      </c>
      <c r="Q159" s="33"/>
      <c r="R159" s="33"/>
    </row>
    <row r="160" spans="1:18" x14ac:dyDescent="0.25">
      <c r="A160" s="82" t="s">
        <v>115</v>
      </c>
      <c r="B160" s="82" t="s">
        <v>513</v>
      </c>
      <c r="C160" s="86"/>
      <c r="D160" s="86">
        <v>42</v>
      </c>
      <c r="E160" s="33"/>
      <c r="F160" s="33" t="s">
        <v>198</v>
      </c>
      <c r="G160" s="33" t="s">
        <v>488</v>
      </c>
      <c r="H160" s="90">
        <v>5.63</v>
      </c>
      <c r="I160" s="90">
        <v>4.4400000000000004</v>
      </c>
      <c r="J160" s="90">
        <v>7.31</v>
      </c>
      <c r="K160" s="33"/>
      <c r="L160" s="33" t="s">
        <v>648</v>
      </c>
      <c r="M160" s="84" t="s">
        <v>579</v>
      </c>
      <c r="N160" s="89">
        <v>0.25842474074213168</v>
      </c>
      <c r="O160" s="89">
        <v>0.14980000000000002</v>
      </c>
      <c r="P160" s="89">
        <v>0.37619999999999998</v>
      </c>
      <c r="Q160" s="33"/>
      <c r="R160" s="33"/>
    </row>
    <row r="161" spans="1:18" x14ac:dyDescent="0.25">
      <c r="A161" s="84" t="s">
        <v>345</v>
      </c>
      <c r="B161" s="84" t="s">
        <v>508</v>
      </c>
      <c r="C161" s="87">
        <v>99</v>
      </c>
      <c r="D161" s="87">
        <v>94</v>
      </c>
      <c r="E161" s="33"/>
      <c r="F161" s="33" t="s">
        <v>176</v>
      </c>
      <c r="G161" s="33" t="s">
        <v>497</v>
      </c>
      <c r="H161" s="90">
        <v>1.43</v>
      </c>
      <c r="I161" s="90">
        <v>0.86</v>
      </c>
      <c r="J161" s="90">
        <v>2.2000000000000002</v>
      </c>
      <c r="K161" s="33"/>
      <c r="L161" s="84" t="s">
        <v>187</v>
      </c>
      <c r="M161" s="84" t="s">
        <v>184</v>
      </c>
      <c r="N161" s="89">
        <v>0.31299880290704257</v>
      </c>
      <c r="O161" s="89">
        <v>0.16309999999999999</v>
      </c>
      <c r="P161" s="89">
        <v>0.43079999999999996</v>
      </c>
      <c r="Q161" s="33"/>
      <c r="R161" s="33"/>
    </row>
    <row r="162" spans="1:18" x14ac:dyDescent="0.25">
      <c r="A162" s="82" t="s">
        <v>116</v>
      </c>
      <c r="B162" s="82" t="s">
        <v>515</v>
      </c>
      <c r="C162" s="86"/>
      <c r="D162" s="86">
        <v>49</v>
      </c>
      <c r="E162" s="33"/>
      <c r="F162" s="33" t="s">
        <v>177</v>
      </c>
      <c r="G162" s="33" t="s">
        <v>506</v>
      </c>
      <c r="H162" s="90">
        <v>2.0499999999999998</v>
      </c>
      <c r="I162" s="90">
        <v>1.65</v>
      </c>
      <c r="J162" s="90">
        <v>2.5099999999999998</v>
      </c>
      <c r="K162" s="33"/>
      <c r="L162" s="82" t="s">
        <v>219</v>
      </c>
      <c r="M162" s="82" t="s">
        <v>598</v>
      </c>
      <c r="N162" s="89">
        <v>0.33797130006472659</v>
      </c>
      <c r="O162" s="89">
        <v>0.18100000000000002</v>
      </c>
      <c r="P162" s="89">
        <v>0.47729999999999995</v>
      </c>
      <c r="Q162" s="33"/>
      <c r="R162" s="33"/>
    </row>
    <row r="163" spans="1:18" x14ac:dyDescent="0.25">
      <c r="A163" s="82" t="s">
        <v>130</v>
      </c>
      <c r="B163" s="82" t="s">
        <v>505</v>
      </c>
      <c r="C163" s="86">
        <v>95</v>
      </c>
      <c r="D163" s="86">
        <v>95</v>
      </c>
      <c r="E163" s="33"/>
      <c r="F163" s="33" t="s">
        <v>115</v>
      </c>
      <c r="G163" s="33" t="s">
        <v>513</v>
      </c>
      <c r="H163" s="90">
        <v>13.45</v>
      </c>
      <c r="I163" s="90">
        <v>11.04</v>
      </c>
      <c r="J163" s="90">
        <v>16.37</v>
      </c>
      <c r="K163" s="33"/>
      <c r="L163" s="84" t="s">
        <v>220</v>
      </c>
      <c r="M163" s="84" t="s">
        <v>598</v>
      </c>
      <c r="N163" s="89">
        <v>0.32696072607084226</v>
      </c>
      <c r="O163" s="89">
        <v>0.18100000000000002</v>
      </c>
      <c r="P163" s="89">
        <v>0.47729999999999995</v>
      </c>
      <c r="Q163" s="33"/>
      <c r="R163" s="33"/>
    </row>
    <row r="164" spans="1:18" x14ac:dyDescent="0.25">
      <c r="A164" s="84" t="s">
        <v>273</v>
      </c>
      <c r="B164" s="84" t="s">
        <v>519</v>
      </c>
      <c r="C164" s="87">
        <v>79</v>
      </c>
      <c r="D164" s="87">
        <v>77</v>
      </c>
      <c r="E164" s="33"/>
      <c r="F164" s="33" t="s">
        <v>649</v>
      </c>
      <c r="G164" s="33" t="s">
        <v>518</v>
      </c>
      <c r="H164" s="90">
        <v>7.46</v>
      </c>
      <c r="I164" s="90">
        <v>6.06</v>
      </c>
      <c r="J164" s="90">
        <v>9.23</v>
      </c>
      <c r="K164" s="33"/>
      <c r="L164" s="82" t="s">
        <v>154</v>
      </c>
      <c r="M164" s="82" t="s">
        <v>591</v>
      </c>
      <c r="N164" s="89">
        <v>0.29252493331506846</v>
      </c>
      <c r="O164" s="89">
        <v>0.155</v>
      </c>
      <c r="P164" s="89">
        <v>0.41070000000000001</v>
      </c>
      <c r="Q164" s="33"/>
      <c r="R164" s="33"/>
    </row>
    <row r="165" spans="1:18" x14ac:dyDescent="0.25">
      <c r="A165" s="84" t="s">
        <v>315</v>
      </c>
      <c r="B165" s="84" t="s">
        <v>640</v>
      </c>
      <c r="C165" s="87"/>
      <c r="D165" s="87">
        <v>97</v>
      </c>
      <c r="E165" s="33"/>
      <c r="F165" s="33" t="s">
        <v>179</v>
      </c>
      <c r="G165" s="33" t="s">
        <v>520</v>
      </c>
      <c r="H165" s="90">
        <v>1.1200000000000001</v>
      </c>
      <c r="I165" s="90">
        <v>0.8</v>
      </c>
      <c r="J165" s="90">
        <v>1.54</v>
      </c>
      <c r="K165" s="33"/>
      <c r="L165" s="82" t="s">
        <v>301</v>
      </c>
      <c r="M165" s="82" t="s">
        <v>98</v>
      </c>
      <c r="N165" s="89">
        <v>0.3121111146320209</v>
      </c>
      <c r="O165" s="89">
        <v>0.1832</v>
      </c>
      <c r="P165" s="89">
        <v>0.47889999999999999</v>
      </c>
      <c r="Q165" s="33"/>
      <c r="R165" s="33"/>
    </row>
    <row r="166" spans="1:18" x14ac:dyDescent="0.25">
      <c r="A166" s="82" t="s">
        <v>346</v>
      </c>
      <c r="B166" s="82" t="s">
        <v>511</v>
      </c>
      <c r="C166" s="86"/>
      <c r="D166" s="86"/>
      <c r="E166" s="33"/>
      <c r="F166" s="33" t="s">
        <v>162</v>
      </c>
      <c r="G166" s="33" t="s">
        <v>527</v>
      </c>
      <c r="H166" s="90">
        <v>4.91</v>
      </c>
      <c r="I166" s="90">
        <v>4.01</v>
      </c>
      <c r="J166" s="90">
        <v>6.15</v>
      </c>
      <c r="K166" s="33"/>
      <c r="L166" s="82" t="s">
        <v>249</v>
      </c>
      <c r="M166" s="82" t="s">
        <v>223</v>
      </c>
      <c r="N166" s="89">
        <v>0.29386995305164321</v>
      </c>
      <c r="O166" s="89">
        <v>0.16309999999999999</v>
      </c>
      <c r="P166" s="89">
        <v>0.43</v>
      </c>
      <c r="Q166" s="33"/>
      <c r="R166" s="33"/>
    </row>
    <row r="167" spans="1:18" x14ac:dyDescent="0.25">
      <c r="A167" s="82" t="s">
        <v>329</v>
      </c>
      <c r="B167" s="82" t="s">
        <v>642</v>
      </c>
      <c r="C167" s="86"/>
      <c r="D167" s="86">
        <v>97</v>
      </c>
      <c r="E167" s="33"/>
      <c r="F167" s="33" t="s">
        <v>181</v>
      </c>
      <c r="G167" s="33" t="s">
        <v>533</v>
      </c>
      <c r="H167" s="90">
        <v>0.56999999999999995</v>
      </c>
      <c r="I167" s="90">
        <v>0.3</v>
      </c>
      <c r="J167" s="90">
        <v>0.97</v>
      </c>
      <c r="K167" s="33"/>
      <c r="L167" s="82" t="s">
        <v>162</v>
      </c>
      <c r="M167" s="82" t="s">
        <v>579</v>
      </c>
      <c r="N167" s="89">
        <v>0.24242703990008532</v>
      </c>
      <c r="O167" s="89">
        <v>0.14980000000000002</v>
      </c>
      <c r="P167" s="89">
        <v>0.37619999999999998</v>
      </c>
      <c r="Q167" s="33"/>
      <c r="R167" s="33"/>
    </row>
    <row r="168" spans="1:18" x14ac:dyDescent="0.25">
      <c r="A168" s="82" t="s">
        <v>133</v>
      </c>
      <c r="B168" s="82" t="s">
        <v>422</v>
      </c>
      <c r="C168" s="86"/>
      <c r="D168" s="86">
        <v>90</v>
      </c>
      <c r="E168" s="33"/>
      <c r="F168" s="33" t="s">
        <v>182</v>
      </c>
      <c r="G168" s="33" t="s">
        <v>540</v>
      </c>
      <c r="H168" s="90">
        <v>4.8899999999999997</v>
      </c>
      <c r="I168" s="90">
        <v>3.92</v>
      </c>
      <c r="J168" s="90">
        <v>6.23</v>
      </c>
      <c r="K168" s="33"/>
      <c r="L168" s="84" t="s">
        <v>180</v>
      </c>
      <c r="M168" s="84" t="s">
        <v>579</v>
      </c>
      <c r="N168" s="89">
        <v>0.26035290193446103</v>
      </c>
      <c r="O168" s="89">
        <v>0.14980000000000002</v>
      </c>
      <c r="P168" s="89">
        <v>0.37619999999999998</v>
      </c>
      <c r="Q168" s="33"/>
      <c r="R168" s="33"/>
    </row>
    <row r="169" spans="1:18" x14ac:dyDescent="0.25">
      <c r="A169" s="82" t="s">
        <v>114</v>
      </c>
      <c r="B169" s="82" t="s">
        <v>605</v>
      </c>
      <c r="C169" s="86"/>
      <c r="D169" s="86">
        <v>99</v>
      </c>
      <c r="E169" s="33"/>
      <c r="F169" s="33" t="s">
        <v>277</v>
      </c>
      <c r="G169" s="33" t="s">
        <v>375</v>
      </c>
      <c r="H169" s="90">
        <v>0.46</v>
      </c>
      <c r="I169" s="90">
        <v>0.33</v>
      </c>
      <c r="J169" s="90">
        <v>0.62</v>
      </c>
      <c r="K169" s="33"/>
      <c r="L169" s="82" t="s">
        <v>188</v>
      </c>
      <c r="M169" s="82" t="s">
        <v>184</v>
      </c>
      <c r="N169" s="89">
        <v>0.29844783701106414</v>
      </c>
      <c r="O169" s="89">
        <v>0.16309999999999999</v>
      </c>
      <c r="P169" s="89">
        <v>0.43079999999999996</v>
      </c>
      <c r="Q169" s="33"/>
      <c r="R169" s="33"/>
    </row>
    <row r="170" spans="1:18" x14ac:dyDescent="0.25">
      <c r="A170" s="82" t="s">
        <v>179</v>
      </c>
      <c r="B170" s="82" t="s">
        <v>520</v>
      </c>
      <c r="C170" s="86"/>
      <c r="D170" s="86">
        <v>54</v>
      </c>
      <c r="E170" s="33"/>
      <c r="F170" s="33" t="s">
        <v>211</v>
      </c>
      <c r="G170" s="33" t="s">
        <v>389</v>
      </c>
      <c r="H170" s="90">
        <v>2.3199999999999998</v>
      </c>
      <c r="I170" s="90">
        <v>1.63</v>
      </c>
      <c r="J170" s="90">
        <v>3.32</v>
      </c>
      <c r="K170" s="33"/>
      <c r="L170" s="84" t="s">
        <v>117</v>
      </c>
      <c r="M170" s="84" t="s">
        <v>597</v>
      </c>
      <c r="N170" s="89">
        <v>0.29485926570865467</v>
      </c>
      <c r="O170" s="89">
        <v>0.15560000000000002</v>
      </c>
      <c r="P170" s="89">
        <v>0.39960000000000001</v>
      </c>
      <c r="Q170" s="33"/>
      <c r="R170" s="33"/>
    </row>
    <row r="171" spans="1:18" x14ac:dyDescent="0.25">
      <c r="A171" s="84" t="s">
        <v>125</v>
      </c>
      <c r="B171" s="84" t="s">
        <v>398</v>
      </c>
      <c r="C171" s="87"/>
      <c r="D171" s="87">
        <v>50</v>
      </c>
      <c r="E171" s="33"/>
      <c r="F171" s="33" t="s">
        <v>212</v>
      </c>
      <c r="G171" s="33" t="s">
        <v>394</v>
      </c>
      <c r="H171" s="90">
        <v>2.98</v>
      </c>
      <c r="I171" s="90">
        <v>2.23</v>
      </c>
      <c r="J171" s="90">
        <v>4</v>
      </c>
      <c r="K171" s="33"/>
      <c r="L171" s="84" t="s">
        <v>316</v>
      </c>
      <c r="M171" s="84" t="s">
        <v>306</v>
      </c>
      <c r="N171" s="89">
        <v>0.29332293798817349</v>
      </c>
      <c r="O171" s="89">
        <v>0.16339999999999999</v>
      </c>
      <c r="P171" s="89">
        <v>0.42969999999999997</v>
      </c>
      <c r="Q171" s="33"/>
      <c r="R171" s="33"/>
    </row>
    <row r="172" spans="1:18" x14ac:dyDescent="0.25">
      <c r="A172" s="82" t="s">
        <v>154</v>
      </c>
      <c r="B172" s="82" t="s">
        <v>524</v>
      </c>
      <c r="C172" s="86"/>
      <c r="D172" s="86">
        <v>84</v>
      </c>
      <c r="E172" s="33"/>
      <c r="F172" s="33" t="s">
        <v>202</v>
      </c>
      <c r="G172" s="33" t="s">
        <v>400</v>
      </c>
      <c r="H172" s="90">
        <v>7.18</v>
      </c>
      <c r="I172" s="90">
        <v>5.85</v>
      </c>
      <c r="J172" s="90">
        <v>8.69</v>
      </c>
      <c r="K172" s="33"/>
      <c r="L172" s="33" t="s">
        <v>650</v>
      </c>
      <c r="M172" s="82" t="s">
        <v>579</v>
      </c>
      <c r="N172" s="89">
        <v>0.2405068172307791</v>
      </c>
      <c r="O172" s="89">
        <v>0.14980000000000002</v>
      </c>
      <c r="P172" s="89">
        <v>0.37619999999999998</v>
      </c>
      <c r="Q172" s="33"/>
      <c r="R172" s="33"/>
    </row>
    <row r="173" spans="1:18" x14ac:dyDescent="0.25">
      <c r="A173" s="82" t="s">
        <v>219</v>
      </c>
      <c r="B173" s="82" t="s">
        <v>522</v>
      </c>
      <c r="C173" s="86">
        <v>99</v>
      </c>
      <c r="D173" s="86">
        <v>97</v>
      </c>
      <c r="E173" s="33"/>
      <c r="F173" s="33" t="s">
        <v>296</v>
      </c>
      <c r="G173" s="33" t="s">
        <v>404</v>
      </c>
      <c r="H173" s="90">
        <v>1.5</v>
      </c>
      <c r="I173" s="90">
        <v>0.06</v>
      </c>
      <c r="J173" s="90">
        <v>25.12</v>
      </c>
      <c r="K173" s="33"/>
      <c r="L173" s="33" t="s">
        <v>651</v>
      </c>
      <c r="M173" s="82" t="s">
        <v>348</v>
      </c>
      <c r="N173" s="89">
        <v>0.25468876282198599</v>
      </c>
      <c r="O173" s="89">
        <v>0.15609999999999999</v>
      </c>
      <c r="P173" s="89">
        <v>0.41389999999999999</v>
      </c>
      <c r="Q173" s="33"/>
      <c r="R173" s="33"/>
    </row>
    <row r="174" spans="1:18" x14ac:dyDescent="0.25">
      <c r="A174" s="84" t="s">
        <v>187</v>
      </c>
      <c r="B174" s="84" t="s">
        <v>521</v>
      </c>
      <c r="C174" s="87">
        <v>99</v>
      </c>
      <c r="D174" s="87">
        <v>97</v>
      </c>
      <c r="E174" s="33"/>
      <c r="F174" s="33" t="s">
        <v>281</v>
      </c>
      <c r="G174" s="33" t="s">
        <v>424</v>
      </c>
      <c r="H174" s="90">
        <v>2.2200000000000002</v>
      </c>
      <c r="I174" s="90">
        <v>1.56</v>
      </c>
      <c r="J174" s="90">
        <v>2.94</v>
      </c>
      <c r="K174" s="33"/>
      <c r="L174" s="33" t="s">
        <v>652</v>
      </c>
      <c r="M174" s="82" t="s">
        <v>597</v>
      </c>
      <c r="N174" s="89">
        <v>0.29198880212287792</v>
      </c>
      <c r="O174" s="89">
        <v>0.15560000000000002</v>
      </c>
      <c r="P174" s="89">
        <v>0.39960000000000001</v>
      </c>
      <c r="Q174" s="33"/>
      <c r="R174" s="33"/>
    </row>
    <row r="175" spans="1:18" x14ac:dyDescent="0.25">
      <c r="A175" s="84" t="s">
        <v>188</v>
      </c>
      <c r="B175" s="84" t="s">
        <v>529</v>
      </c>
      <c r="C175" s="87">
        <v>99</v>
      </c>
      <c r="D175" s="87">
        <v>99</v>
      </c>
      <c r="E175" s="33"/>
      <c r="F175" s="33" t="s">
        <v>207</v>
      </c>
      <c r="G175" s="33" t="s">
        <v>445</v>
      </c>
      <c r="H175" s="90">
        <v>1.97</v>
      </c>
      <c r="I175" s="90">
        <v>1.56</v>
      </c>
      <c r="J175" s="90">
        <v>2.4500000000000002</v>
      </c>
      <c r="K175" s="33"/>
      <c r="L175" s="33" t="s">
        <v>653</v>
      </c>
      <c r="M175" s="84" t="s">
        <v>600</v>
      </c>
      <c r="N175" s="89">
        <v>0.30614989960904948</v>
      </c>
      <c r="O175" s="89">
        <v>0.17489999999999997</v>
      </c>
      <c r="P175" s="89">
        <v>0.45979999999999999</v>
      </c>
      <c r="Q175" s="33"/>
      <c r="R175" s="33"/>
    </row>
    <row r="176" spans="1:18" x14ac:dyDescent="0.25">
      <c r="A176" s="84" t="s">
        <v>220</v>
      </c>
      <c r="B176" s="84" t="s">
        <v>523</v>
      </c>
      <c r="C176" s="87">
        <v>70</v>
      </c>
      <c r="D176" s="87">
        <v>83</v>
      </c>
      <c r="E176" s="33"/>
      <c r="F176" s="33" t="s">
        <v>288</v>
      </c>
      <c r="G176" s="33" t="s">
        <v>449</v>
      </c>
      <c r="H176" s="90">
        <v>15.2</v>
      </c>
      <c r="I176" s="90">
        <v>12.28</v>
      </c>
      <c r="J176" s="90">
        <v>18.440000000000001</v>
      </c>
      <c r="K176" s="33"/>
      <c r="L176" s="84" t="s">
        <v>274</v>
      </c>
      <c r="M176" s="84" t="s">
        <v>583</v>
      </c>
      <c r="N176" s="89">
        <v>0.32433378662571877</v>
      </c>
      <c r="O176" s="89">
        <v>0.17660000000000001</v>
      </c>
      <c r="P176" s="89">
        <v>0.45710000000000001</v>
      </c>
      <c r="Q176" s="33"/>
      <c r="R176" s="33"/>
    </row>
    <row r="177" spans="1:18" x14ac:dyDescent="0.25">
      <c r="A177" s="84" t="s">
        <v>301</v>
      </c>
      <c r="B177" s="84" t="s">
        <v>525</v>
      </c>
      <c r="C177" s="87">
        <v>99</v>
      </c>
      <c r="D177" s="87">
        <v>99</v>
      </c>
      <c r="E177" s="33"/>
      <c r="F177" s="33" t="s">
        <v>214</v>
      </c>
      <c r="G177" s="33" t="s">
        <v>454</v>
      </c>
      <c r="H177" s="90">
        <v>4.8099999999999996</v>
      </c>
      <c r="I177" s="90">
        <v>3.74</v>
      </c>
      <c r="J177" s="90">
        <v>5.99</v>
      </c>
      <c r="K177" s="33"/>
      <c r="L177" s="84" t="s">
        <v>189</v>
      </c>
      <c r="M177" s="84" t="s">
        <v>184</v>
      </c>
      <c r="N177" s="89">
        <v>0.30593511955523012</v>
      </c>
      <c r="O177" s="89">
        <v>0.16309999999999999</v>
      </c>
      <c r="P177" s="89">
        <v>0.43079999999999996</v>
      </c>
      <c r="Q177" s="33"/>
      <c r="R177" s="33"/>
    </row>
    <row r="178" spans="1:18" x14ac:dyDescent="0.25">
      <c r="A178" s="82" t="s">
        <v>249</v>
      </c>
      <c r="B178" s="82" t="s">
        <v>526</v>
      </c>
      <c r="C178" s="86"/>
      <c r="D178" s="86">
        <v>93</v>
      </c>
      <c r="E178" s="33"/>
      <c r="F178" s="33" t="s">
        <v>215</v>
      </c>
      <c r="G178" s="33" t="s">
        <v>463</v>
      </c>
      <c r="H178" s="90">
        <v>1.08</v>
      </c>
      <c r="I178" s="90">
        <v>0.79</v>
      </c>
      <c r="J178" s="90">
        <v>1.52</v>
      </c>
      <c r="K178" s="33"/>
      <c r="L178" s="82" t="s">
        <v>285</v>
      </c>
      <c r="M178" s="82" t="s">
        <v>98</v>
      </c>
      <c r="N178" s="89">
        <v>0.33217937182255036</v>
      </c>
      <c r="O178" s="89">
        <v>0.1832</v>
      </c>
      <c r="P178" s="89">
        <v>0.47889999999999999</v>
      </c>
      <c r="Q178" s="33"/>
      <c r="R178" s="33"/>
    </row>
    <row r="179" spans="1:18" x14ac:dyDescent="0.25">
      <c r="A179" s="84" t="s">
        <v>162</v>
      </c>
      <c r="B179" s="84" t="s">
        <v>527</v>
      </c>
      <c r="C179" s="87">
        <v>74</v>
      </c>
      <c r="D179" s="87">
        <v>92</v>
      </c>
      <c r="E179" s="33"/>
      <c r="F179" s="33" t="s">
        <v>289</v>
      </c>
      <c r="G179" s="33" t="s">
        <v>467</v>
      </c>
      <c r="H179" s="90">
        <v>8.82</v>
      </c>
      <c r="I179" s="90">
        <v>6.43</v>
      </c>
      <c r="J179" s="90">
        <v>11.61</v>
      </c>
      <c r="K179" s="33"/>
      <c r="L179" s="93" t="s">
        <v>275</v>
      </c>
      <c r="M179" s="82" t="s">
        <v>604</v>
      </c>
      <c r="N179" s="89">
        <v>0.32005043651541387</v>
      </c>
      <c r="O179" s="89">
        <v>0.16440000000000002</v>
      </c>
      <c r="P179" s="89">
        <v>0.42950000000000005</v>
      </c>
      <c r="Q179" s="33"/>
      <c r="R179" s="33"/>
    </row>
    <row r="180" spans="1:18" x14ac:dyDescent="0.25">
      <c r="A180" s="82" t="s">
        <v>180</v>
      </c>
      <c r="B180" s="82" t="s">
        <v>528</v>
      </c>
      <c r="C180" s="86">
        <v>99</v>
      </c>
      <c r="D180" s="86">
        <v>99</v>
      </c>
      <c r="E180" s="33"/>
      <c r="F180" s="33" t="s">
        <v>472</v>
      </c>
      <c r="G180" s="33" t="s">
        <v>471</v>
      </c>
      <c r="H180" s="90">
        <v>3.52</v>
      </c>
      <c r="I180" s="90">
        <v>2.5</v>
      </c>
      <c r="J180" s="90">
        <v>5.0999999999999996</v>
      </c>
      <c r="K180" s="33"/>
      <c r="L180" s="82" t="s">
        <v>221</v>
      </c>
      <c r="M180" s="82" t="s">
        <v>598</v>
      </c>
      <c r="N180" s="89">
        <v>0.33293982634150898</v>
      </c>
      <c r="O180" s="89">
        <v>0.18100000000000002</v>
      </c>
      <c r="P180" s="89">
        <v>0.47729999999999995</v>
      </c>
      <c r="Q180" s="33"/>
      <c r="R180" s="33"/>
    </row>
    <row r="181" spans="1:18" x14ac:dyDescent="0.25">
      <c r="A181" s="82" t="s">
        <v>302</v>
      </c>
      <c r="B181" s="82" t="s">
        <v>530</v>
      </c>
      <c r="C181" s="86">
        <v>98</v>
      </c>
      <c r="D181" s="86">
        <v>92</v>
      </c>
      <c r="E181" s="33"/>
      <c r="F181" s="33" t="s">
        <v>208</v>
      </c>
      <c r="G181" s="33" t="s">
        <v>473</v>
      </c>
      <c r="H181" s="90">
        <v>10.8</v>
      </c>
      <c r="I181" s="90">
        <v>8.8000000000000007</v>
      </c>
      <c r="J181" s="90">
        <v>13.31</v>
      </c>
      <c r="K181" s="33"/>
      <c r="L181" s="84" t="s">
        <v>163</v>
      </c>
      <c r="M181" s="84" t="s">
        <v>579</v>
      </c>
      <c r="N181" s="89">
        <v>0.24672415607189829</v>
      </c>
      <c r="O181" s="89">
        <v>0.14980000000000002</v>
      </c>
      <c r="P181" s="89">
        <v>0.37619999999999998</v>
      </c>
      <c r="Q181" s="33"/>
      <c r="R181" s="33"/>
    </row>
    <row r="182" spans="1:18" x14ac:dyDescent="0.25">
      <c r="A182" s="84" t="s">
        <v>118</v>
      </c>
      <c r="B182" s="84" t="s">
        <v>534</v>
      </c>
      <c r="C182" s="87"/>
      <c r="D182" s="87">
        <v>89</v>
      </c>
      <c r="E182" s="33"/>
      <c r="F182" s="33" t="s">
        <v>291</v>
      </c>
      <c r="G182" s="33" t="s">
        <v>479</v>
      </c>
      <c r="H182" s="90">
        <v>12.18</v>
      </c>
      <c r="I182" s="90">
        <v>9.9600000000000009</v>
      </c>
      <c r="J182" s="90">
        <v>14.64</v>
      </c>
      <c r="K182" s="33"/>
      <c r="L182" s="82" t="s">
        <v>182</v>
      </c>
      <c r="M182" s="82" t="s">
        <v>579</v>
      </c>
      <c r="N182" s="89">
        <v>0.26474528561701743</v>
      </c>
      <c r="O182" s="89">
        <v>0.14980000000000002</v>
      </c>
      <c r="P182" s="89">
        <v>0.37619999999999998</v>
      </c>
      <c r="Q182" s="33"/>
      <c r="R182" s="33"/>
    </row>
    <row r="183" spans="1:18" x14ac:dyDescent="0.25">
      <c r="A183" s="84" t="s">
        <v>117</v>
      </c>
      <c r="B183" s="84" t="s">
        <v>531</v>
      </c>
      <c r="C183" s="87"/>
      <c r="D183" s="87">
        <v>93</v>
      </c>
      <c r="E183" s="33"/>
      <c r="F183" s="33" t="s">
        <v>278</v>
      </c>
      <c r="G183" s="33" t="s">
        <v>481</v>
      </c>
      <c r="H183" s="90">
        <v>3.13</v>
      </c>
      <c r="I183" s="90">
        <v>2.5099999999999998</v>
      </c>
      <c r="J183" s="90">
        <v>3.89</v>
      </c>
      <c r="K183" s="33"/>
      <c r="L183" s="84" t="s">
        <v>119</v>
      </c>
      <c r="M183" s="84" t="s">
        <v>597</v>
      </c>
      <c r="N183" s="89">
        <v>0.29477307241722039</v>
      </c>
      <c r="O183" s="89">
        <v>0.15560000000000002</v>
      </c>
      <c r="P183" s="89">
        <v>0.39960000000000001</v>
      </c>
      <c r="Q183" s="33"/>
      <c r="R183" s="33"/>
    </row>
    <row r="184" spans="1:18" x14ac:dyDescent="0.25">
      <c r="A184" s="82" t="s">
        <v>316</v>
      </c>
      <c r="B184" s="82" t="s">
        <v>532</v>
      </c>
      <c r="C184" s="86">
        <v>60</v>
      </c>
      <c r="D184" s="86">
        <v>76</v>
      </c>
      <c r="E184" s="33"/>
      <c r="F184" s="33" t="s">
        <v>298</v>
      </c>
      <c r="G184" s="33" t="s">
        <v>635</v>
      </c>
      <c r="H184" s="90">
        <v>1.77</v>
      </c>
      <c r="I184" s="90">
        <v>0.08</v>
      </c>
      <c r="J184" s="90">
        <v>28.82</v>
      </c>
      <c r="K184" s="33"/>
      <c r="L184" s="94" t="s">
        <v>120</v>
      </c>
      <c r="M184" s="94" t="s">
        <v>594</v>
      </c>
      <c r="N184" s="89">
        <v>0.26470111064233304</v>
      </c>
      <c r="O184" s="89">
        <v>0.15109999999999998</v>
      </c>
      <c r="P184" s="89">
        <v>0.3679</v>
      </c>
      <c r="Q184" s="33"/>
      <c r="R184" s="33"/>
    </row>
    <row r="185" spans="1:18" x14ac:dyDescent="0.25">
      <c r="A185" s="84" t="s">
        <v>274</v>
      </c>
      <c r="B185" s="84" t="s">
        <v>535</v>
      </c>
      <c r="C185" s="87"/>
      <c r="D185" s="87">
        <v>94</v>
      </c>
      <c r="E185" s="33"/>
      <c r="F185" s="33" t="s">
        <v>293</v>
      </c>
      <c r="G185" s="33" t="s">
        <v>489</v>
      </c>
      <c r="H185" s="90">
        <v>1.38</v>
      </c>
      <c r="I185" s="90">
        <v>0.09</v>
      </c>
      <c r="J185" s="90">
        <v>19.690000000000001</v>
      </c>
      <c r="K185" s="33"/>
      <c r="L185" s="33" t="s">
        <v>654</v>
      </c>
      <c r="M185" s="95" t="s">
        <v>598</v>
      </c>
      <c r="N185" s="89">
        <v>0.3337</v>
      </c>
      <c r="O185" s="96">
        <v>0.18099999999999999</v>
      </c>
      <c r="P185" s="96">
        <v>0.4773</v>
      </c>
      <c r="Q185" s="33"/>
      <c r="R185" s="33"/>
    </row>
    <row r="186" spans="1:18" x14ac:dyDescent="0.25">
      <c r="A186" s="82" t="s">
        <v>655</v>
      </c>
      <c r="B186" s="82" t="s">
        <v>625</v>
      </c>
      <c r="C186" s="86">
        <v>67</v>
      </c>
      <c r="D186" s="86">
        <v>91</v>
      </c>
      <c r="E186" s="33"/>
      <c r="F186" s="33" t="s">
        <v>283</v>
      </c>
      <c r="G186" s="33" t="s">
        <v>491</v>
      </c>
      <c r="H186" s="90">
        <v>5.4</v>
      </c>
      <c r="I186" s="90">
        <v>4.34</v>
      </c>
      <c r="J186" s="90">
        <v>6.79</v>
      </c>
      <c r="K186" s="33"/>
      <c r="L186" s="33"/>
      <c r="M186" s="33"/>
      <c r="N186" s="33"/>
      <c r="O186" s="33"/>
      <c r="P186" s="33"/>
      <c r="Q186" s="33"/>
      <c r="R186" s="33"/>
    </row>
    <row r="187" spans="1:18" x14ac:dyDescent="0.25">
      <c r="A187" s="82" t="s">
        <v>189</v>
      </c>
      <c r="B187" s="82" t="s">
        <v>536</v>
      </c>
      <c r="C187" s="86">
        <v>99</v>
      </c>
      <c r="D187" s="86">
        <v>96</v>
      </c>
      <c r="E187" s="33"/>
      <c r="F187" s="33" t="s">
        <v>217</v>
      </c>
      <c r="G187" s="33" t="s">
        <v>494</v>
      </c>
      <c r="H187" s="90">
        <v>3.64</v>
      </c>
      <c r="I187" s="90">
        <v>2.94</v>
      </c>
      <c r="J187" s="90">
        <v>4.5</v>
      </c>
      <c r="K187" s="33"/>
      <c r="L187" s="33" t="s">
        <v>656</v>
      </c>
      <c r="M187" s="33" t="s">
        <v>657</v>
      </c>
      <c r="N187" s="33" t="s">
        <v>658</v>
      </c>
      <c r="O187" s="33" t="s">
        <v>659</v>
      </c>
      <c r="P187" s="33" t="s">
        <v>660</v>
      </c>
      <c r="Q187" s="33" t="s">
        <v>661</v>
      </c>
      <c r="R187" s="33" t="s">
        <v>662</v>
      </c>
    </row>
    <row r="188" spans="1:18" x14ac:dyDescent="0.25">
      <c r="A188" s="84" t="s">
        <v>247</v>
      </c>
      <c r="B188" s="84" t="s">
        <v>624</v>
      </c>
      <c r="C188" s="87">
        <v>99</v>
      </c>
      <c r="D188" s="87">
        <v>97</v>
      </c>
      <c r="E188" s="33"/>
      <c r="F188" s="33" t="s">
        <v>209</v>
      </c>
      <c r="G188" s="33" t="s">
        <v>498</v>
      </c>
      <c r="H188" s="90">
        <v>3.15</v>
      </c>
      <c r="I188" s="90">
        <v>2.67</v>
      </c>
      <c r="J188" s="90">
        <v>3.75</v>
      </c>
      <c r="K188" s="33"/>
      <c r="L188" s="84" t="s">
        <v>663</v>
      </c>
      <c r="M188" s="33">
        <v>0.8</v>
      </c>
      <c r="N188" s="33">
        <v>0.7</v>
      </c>
      <c r="O188" s="33">
        <v>0.9</v>
      </c>
      <c r="P188" s="33">
        <v>0.17499999999999999</v>
      </c>
      <c r="Q188" s="33">
        <v>0.05</v>
      </c>
      <c r="R188" s="33">
        <v>0.3</v>
      </c>
    </row>
    <row r="189" spans="1:18" x14ac:dyDescent="0.25">
      <c r="A189" s="82" t="s">
        <v>275</v>
      </c>
      <c r="B189" s="82" t="s">
        <v>538</v>
      </c>
      <c r="C189" s="86">
        <v>52</v>
      </c>
      <c r="D189" s="86">
        <v>64</v>
      </c>
      <c r="E189" s="33"/>
      <c r="F189" s="33" t="s">
        <v>299</v>
      </c>
      <c r="G189" s="33" t="s">
        <v>504</v>
      </c>
      <c r="H189" s="90">
        <v>3.33</v>
      </c>
      <c r="I189" s="90">
        <v>2.0299999999999998</v>
      </c>
      <c r="J189" s="90">
        <v>5.18</v>
      </c>
      <c r="K189" s="33"/>
      <c r="L189" s="97" t="s">
        <v>664</v>
      </c>
      <c r="M189" s="33">
        <v>0.8</v>
      </c>
      <c r="N189" s="33">
        <v>0.7</v>
      </c>
      <c r="O189" s="33">
        <v>0.9</v>
      </c>
      <c r="P189" s="33">
        <v>0.17499999999999999</v>
      </c>
      <c r="Q189" s="33">
        <v>0.05</v>
      </c>
      <c r="R189" s="33">
        <v>0.3</v>
      </c>
    </row>
    <row r="190" spans="1:18" x14ac:dyDescent="0.25">
      <c r="A190" s="84" t="s">
        <v>221</v>
      </c>
      <c r="B190" s="84" t="s">
        <v>539</v>
      </c>
      <c r="C190" s="87">
        <v>79</v>
      </c>
      <c r="D190" s="87">
        <v>89</v>
      </c>
      <c r="E190" s="33"/>
      <c r="F190" s="33" t="s">
        <v>218</v>
      </c>
      <c r="G190" s="33" t="s">
        <v>510</v>
      </c>
      <c r="H190" s="90">
        <v>2.61</v>
      </c>
      <c r="I190" s="90">
        <v>2.08</v>
      </c>
      <c r="J190" s="90">
        <v>3.19</v>
      </c>
      <c r="K190" s="33"/>
      <c r="L190" s="97" t="s">
        <v>665</v>
      </c>
      <c r="M190" s="33">
        <v>0.8</v>
      </c>
      <c r="N190" s="33">
        <v>0.7</v>
      </c>
      <c r="O190" s="33">
        <v>0.9</v>
      </c>
      <c r="P190" s="33">
        <v>0.17499999999999999</v>
      </c>
      <c r="Q190" s="33">
        <v>0.05</v>
      </c>
      <c r="R190" s="33">
        <v>0.3</v>
      </c>
    </row>
    <row r="191" spans="1:18" x14ac:dyDescent="0.25">
      <c r="A191" s="84" t="s">
        <v>285</v>
      </c>
      <c r="B191" s="84" t="s">
        <v>537</v>
      </c>
      <c r="C191" s="87">
        <v>82</v>
      </c>
      <c r="D191" s="87">
        <v>90</v>
      </c>
      <c r="E191" s="33"/>
      <c r="F191" s="33" t="s">
        <v>284</v>
      </c>
      <c r="G191" s="33" t="s">
        <v>512</v>
      </c>
      <c r="H191" s="90">
        <v>10.91</v>
      </c>
      <c r="I191" s="90">
        <v>9</v>
      </c>
      <c r="J191" s="90">
        <v>13.18</v>
      </c>
      <c r="K191" s="33"/>
      <c r="L191" s="97" t="s">
        <v>579</v>
      </c>
      <c r="M191" s="33">
        <v>0.8</v>
      </c>
      <c r="N191" s="33">
        <v>0.7</v>
      </c>
      <c r="O191" s="33">
        <v>0.9</v>
      </c>
      <c r="P191" s="33">
        <v>0.17499999999999999</v>
      </c>
      <c r="Q191" s="33">
        <v>0.05</v>
      </c>
      <c r="R191" s="33">
        <v>0.3</v>
      </c>
    </row>
    <row r="192" spans="1:18" x14ac:dyDescent="0.25">
      <c r="A192" s="82" t="s">
        <v>299</v>
      </c>
      <c r="B192" s="82" t="s">
        <v>504</v>
      </c>
      <c r="C192" s="86">
        <v>65</v>
      </c>
      <c r="D192" s="86">
        <v>58</v>
      </c>
      <c r="E192" s="33"/>
      <c r="F192" s="33" t="s">
        <v>301</v>
      </c>
      <c r="G192" s="33" t="s">
        <v>525</v>
      </c>
      <c r="H192" s="90">
        <v>9.36</v>
      </c>
      <c r="I192" s="90">
        <v>7.28</v>
      </c>
      <c r="J192" s="90">
        <v>11.67</v>
      </c>
      <c r="K192" s="33"/>
      <c r="L192" s="97" t="s">
        <v>589</v>
      </c>
      <c r="M192" s="33">
        <v>0.8</v>
      </c>
      <c r="N192" s="33">
        <v>0.7</v>
      </c>
      <c r="O192" s="33">
        <v>0.9</v>
      </c>
      <c r="P192" s="33">
        <v>0.17499999999999999</v>
      </c>
      <c r="Q192" s="33">
        <v>0.05</v>
      </c>
      <c r="R192" s="33">
        <v>0.3</v>
      </c>
    </row>
    <row r="193" spans="1:18" x14ac:dyDescent="0.25">
      <c r="A193" s="82" t="s">
        <v>182</v>
      </c>
      <c r="B193" s="82" t="s">
        <v>540</v>
      </c>
      <c r="C193" s="86"/>
      <c r="D193" s="86">
        <v>73</v>
      </c>
      <c r="E193" s="33"/>
      <c r="F193" s="33" t="s">
        <v>302</v>
      </c>
      <c r="G193" s="33" t="s">
        <v>530</v>
      </c>
      <c r="H193" s="90">
        <v>5.47</v>
      </c>
      <c r="I193" s="90">
        <v>2.2999999999999998</v>
      </c>
      <c r="J193" s="90">
        <v>11.05</v>
      </c>
      <c r="K193" s="33"/>
      <c r="L193" s="97" t="s">
        <v>666</v>
      </c>
      <c r="M193" s="33">
        <v>0.8</v>
      </c>
      <c r="N193" s="33">
        <v>0.7</v>
      </c>
      <c r="O193" s="33">
        <v>0.9</v>
      </c>
      <c r="P193" s="33">
        <v>0.17499999999999999</v>
      </c>
      <c r="Q193" s="33">
        <v>0.05</v>
      </c>
      <c r="R193" s="33">
        <v>0.3</v>
      </c>
    </row>
    <row r="194" spans="1:18" x14ac:dyDescent="0.25">
      <c r="A194" s="84" t="s">
        <v>136</v>
      </c>
      <c r="B194" s="84" t="s">
        <v>514</v>
      </c>
      <c r="C194" s="87"/>
      <c r="D194" s="87">
        <v>77</v>
      </c>
      <c r="E194" s="33"/>
      <c r="F194" s="33" t="s">
        <v>285</v>
      </c>
      <c r="G194" s="33" t="s">
        <v>537</v>
      </c>
      <c r="H194" s="90">
        <v>13.31</v>
      </c>
      <c r="I194" s="90">
        <v>10.98</v>
      </c>
      <c r="J194" s="90">
        <v>16.22</v>
      </c>
      <c r="K194" s="33"/>
      <c r="L194" s="86" t="s">
        <v>667</v>
      </c>
      <c r="M194" s="33">
        <v>0.38300000000000001</v>
      </c>
      <c r="N194" s="33">
        <v>7.0000000000000007E-2</v>
      </c>
      <c r="O194" s="33">
        <v>0.74399999999999999</v>
      </c>
      <c r="P194" s="33">
        <v>4.8000000000000001E-2</v>
      </c>
      <c r="Q194" s="33">
        <v>1E-3</v>
      </c>
      <c r="R194" s="33">
        <v>0.13300000000000001</v>
      </c>
    </row>
    <row r="195" spans="1:18" x14ac:dyDescent="0.25">
      <c r="A195" s="84" t="s">
        <v>119</v>
      </c>
      <c r="B195" s="84" t="s">
        <v>541</v>
      </c>
      <c r="C195" s="87">
        <v>94</v>
      </c>
      <c r="D195" s="87">
        <v>88</v>
      </c>
      <c r="E195" s="33"/>
      <c r="F195" s="33" t="s">
        <v>221</v>
      </c>
      <c r="G195" s="33" t="s">
        <v>539</v>
      </c>
      <c r="H195" s="90">
        <v>6.24</v>
      </c>
      <c r="I195" s="90">
        <v>4.91</v>
      </c>
      <c r="J195" s="90">
        <v>7.84</v>
      </c>
      <c r="K195" s="33"/>
      <c r="L195" s="33"/>
      <c r="M195" s="33"/>
      <c r="N195" s="33"/>
      <c r="O195" s="33"/>
      <c r="P195" s="33"/>
      <c r="Q195" s="33"/>
      <c r="R195" s="33"/>
    </row>
    <row r="196" spans="1:18" x14ac:dyDescent="0.25">
      <c r="A196" s="98" t="s">
        <v>120</v>
      </c>
      <c r="B196" s="98" t="s">
        <v>542</v>
      </c>
      <c r="C196" s="99"/>
      <c r="D196" s="99">
        <v>90</v>
      </c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</row>
    <row r="197" spans="1:18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</row>
    <row r="198" spans="1:18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</row>
    <row r="199" spans="1:18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</row>
    <row r="200" spans="1:18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</row>
    <row r="201" spans="1:18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</row>
    <row r="207" spans="1:18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</row>
    <row r="208" spans="1:18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</row>
    <row r="209" spans="1:18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</row>
    <row r="210" spans="1:18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294"/>
  <sheetViews>
    <sheetView topLeftCell="Q5" workbookViewId="0">
      <selection activeCell="A5" sqref="A5:G141"/>
    </sheetView>
  </sheetViews>
  <sheetFormatPr defaultRowHeight="15" x14ac:dyDescent="0.25"/>
  <cols>
    <col min="1" max="1" width="35.42578125" customWidth="1"/>
    <col min="2" max="2" width="40.28515625" customWidth="1"/>
    <col min="3" max="3" width="11.5703125" customWidth="1"/>
    <col min="4" max="5" width="10.28515625" customWidth="1"/>
    <col min="6" max="6" width="14.28515625" customWidth="1"/>
    <col min="7" max="7" width="14.42578125" customWidth="1"/>
    <col min="8" max="8" width="10.140625" customWidth="1"/>
    <col min="9" max="9" width="22.28515625" customWidth="1"/>
    <col min="15" max="15" width="36.28515625" customWidth="1"/>
    <col min="19" max="19" width="10.85546875" customWidth="1"/>
    <col min="20" max="20" width="10.28515625" customWidth="1"/>
    <col min="21" max="21" width="11" customWidth="1"/>
    <col min="22" max="22" width="10.28515625" customWidth="1"/>
    <col min="23" max="23" width="9.7109375" customWidth="1"/>
    <col min="24" max="24" width="10.28515625" customWidth="1"/>
    <col min="28" max="28" width="13.85546875" customWidth="1"/>
    <col min="29" max="32" width="12.140625" style="33" customWidth="1"/>
    <col min="34" max="34" width="29.7109375" customWidth="1"/>
    <col min="35" max="35" width="11.7109375" customWidth="1"/>
    <col min="36" max="36" width="11" customWidth="1"/>
    <col min="37" max="37" width="12.140625" customWidth="1"/>
  </cols>
  <sheetData>
    <row r="1" spans="1:37" x14ac:dyDescent="0.25">
      <c r="A1" s="170" t="s">
        <v>706</v>
      </c>
      <c r="B1" s="170"/>
      <c r="C1" s="170"/>
      <c r="D1" s="170"/>
      <c r="E1" s="170"/>
      <c r="F1" s="170"/>
      <c r="G1" s="170"/>
      <c r="H1" s="170"/>
    </row>
    <row r="2" spans="1:37" x14ac:dyDescent="0.25">
      <c r="A2" s="170"/>
      <c r="B2" s="170"/>
      <c r="C2" s="170"/>
      <c r="D2" s="170"/>
      <c r="E2" s="170"/>
      <c r="F2" s="170"/>
      <c r="G2" s="170"/>
      <c r="H2" s="170"/>
    </row>
    <row r="4" spans="1:37" x14ac:dyDescent="0.25">
      <c r="A4" s="171" t="s">
        <v>707</v>
      </c>
      <c r="B4" s="171"/>
      <c r="C4" s="171"/>
      <c r="D4" s="171"/>
      <c r="E4" s="171"/>
      <c r="I4" s="171" t="s">
        <v>710</v>
      </c>
      <c r="J4" s="171"/>
      <c r="K4" s="171"/>
      <c r="L4" s="171"/>
      <c r="M4" s="124"/>
      <c r="N4" s="124"/>
      <c r="O4" s="172" t="s">
        <v>718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H4" s="172" t="s">
        <v>719</v>
      </c>
      <c r="AI4" s="174"/>
      <c r="AJ4" s="174"/>
      <c r="AK4" s="174"/>
    </row>
    <row r="5" spans="1:37" x14ac:dyDescent="0.25">
      <c r="A5" t="s">
        <v>668</v>
      </c>
      <c r="B5" t="s">
        <v>708</v>
      </c>
      <c r="C5" t="s">
        <v>709</v>
      </c>
      <c r="D5" t="s">
        <v>44</v>
      </c>
      <c r="E5" t="s">
        <v>45</v>
      </c>
      <c r="F5" t="s">
        <v>686</v>
      </c>
      <c r="G5" t="s">
        <v>688</v>
      </c>
      <c r="I5" t="s">
        <v>711</v>
      </c>
      <c r="J5" t="s">
        <v>709</v>
      </c>
      <c r="K5" t="s">
        <v>44</v>
      </c>
      <c r="L5" t="s">
        <v>45</v>
      </c>
      <c r="O5" t="s">
        <v>668</v>
      </c>
      <c r="P5" t="s">
        <v>712</v>
      </c>
      <c r="Q5" t="s">
        <v>713</v>
      </c>
      <c r="R5" t="s">
        <v>714</v>
      </c>
      <c r="S5" t="s">
        <v>726</v>
      </c>
      <c r="T5" t="s">
        <v>727</v>
      </c>
      <c r="U5" t="s">
        <v>728</v>
      </c>
      <c r="V5" t="s">
        <v>729</v>
      </c>
      <c r="W5" t="s">
        <v>730</v>
      </c>
      <c r="X5" t="s">
        <v>731</v>
      </c>
      <c r="Y5" t="s">
        <v>715</v>
      </c>
      <c r="Z5" t="s">
        <v>717</v>
      </c>
      <c r="AA5" t="s">
        <v>716</v>
      </c>
      <c r="AB5" t="s">
        <v>686</v>
      </c>
      <c r="AC5" s="33" t="s">
        <v>688</v>
      </c>
      <c r="AD5" s="33" t="s">
        <v>829</v>
      </c>
      <c r="AE5" s="33" t="s">
        <v>830</v>
      </c>
      <c r="AF5" s="33" t="s">
        <v>708</v>
      </c>
      <c r="AH5" t="s">
        <v>668</v>
      </c>
      <c r="AI5" t="s">
        <v>720</v>
      </c>
      <c r="AJ5" t="s">
        <v>721</v>
      </c>
      <c r="AK5" t="s">
        <v>45</v>
      </c>
    </row>
    <row r="6" spans="1:37" x14ac:dyDescent="0.25">
      <c r="A6" s="125" t="s">
        <v>191</v>
      </c>
      <c r="B6" t="s">
        <v>673</v>
      </c>
      <c r="C6" s="126">
        <v>0.77249999999999996</v>
      </c>
      <c r="D6" s="126">
        <v>0.20600000000000002</v>
      </c>
      <c r="E6" s="126">
        <v>2.0806</v>
      </c>
      <c r="F6">
        <v>1249899.967992</v>
      </c>
      <c r="G6">
        <v>0.37</v>
      </c>
      <c r="I6" t="s">
        <v>722</v>
      </c>
      <c r="J6" s="126">
        <v>0.41792411616161618</v>
      </c>
      <c r="K6" s="126">
        <v>0.36202199312714778</v>
      </c>
      <c r="L6" s="126">
        <v>0.48333918128654974</v>
      </c>
      <c r="O6" t="s">
        <v>191</v>
      </c>
      <c r="P6">
        <v>9.2004646879505665E-3</v>
      </c>
      <c r="Q6">
        <v>4.8274043115790009E-3</v>
      </c>
      <c r="R6">
        <v>2.061585606003738E-2</v>
      </c>
      <c r="S6">
        <v>4.3162673844706354E-3</v>
      </c>
      <c r="T6">
        <v>2.8396495950464709E-3</v>
      </c>
      <c r="U6">
        <v>1.1358598380185884E-2</v>
      </c>
      <c r="V6">
        <v>2.2005784728765855E-3</v>
      </c>
      <c r="W6">
        <v>1.4477489953135432E-3</v>
      </c>
      <c r="X6">
        <v>5.7909959812541727E-3</v>
      </c>
      <c r="Y6">
        <v>1.096104743687938E-2</v>
      </c>
      <c r="Z6">
        <v>5.6792991900929419E-3</v>
      </c>
      <c r="AA6">
        <v>2.2717196760371768E-2</v>
      </c>
      <c r="AB6">
        <v>1249899.967992</v>
      </c>
      <c r="AC6" s="33">
        <v>0.37</v>
      </c>
      <c r="AD6" s="33">
        <v>6.815159028111531E-2</v>
      </c>
      <c r="AE6" s="33">
        <v>3.4745975887525038E-2</v>
      </c>
      <c r="AF6" s="33" t="s">
        <v>673</v>
      </c>
      <c r="AH6" s="81" t="s">
        <v>663</v>
      </c>
      <c r="AI6" s="82">
        <v>4.07</v>
      </c>
      <c r="AJ6" s="82">
        <v>3.8624150000000004</v>
      </c>
      <c r="AK6" s="86">
        <v>4.2689850000000007</v>
      </c>
    </row>
    <row r="7" spans="1:37" x14ac:dyDescent="0.25">
      <c r="A7" s="125" t="s">
        <v>332</v>
      </c>
      <c r="B7" t="s">
        <v>675</v>
      </c>
      <c r="C7" s="126">
        <v>6.6641000000000004</v>
      </c>
      <c r="D7" s="126">
        <v>2.9870000000000001</v>
      </c>
      <c r="E7" s="126">
        <v>13.163399999999999</v>
      </c>
      <c r="F7">
        <v>33977.487922</v>
      </c>
      <c r="G7">
        <v>0.99</v>
      </c>
      <c r="I7" t="s">
        <v>723</v>
      </c>
      <c r="J7" s="126">
        <v>0</v>
      </c>
      <c r="K7" s="126">
        <v>0</v>
      </c>
      <c r="L7" s="126">
        <v>0</v>
      </c>
      <c r="O7" t="s">
        <v>332</v>
      </c>
      <c r="P7">
        <v>3.1115048145006333E-2</v>
      </c>
      <c r="Q7">
        <v>1.6325796866207026E-2</v>
      </c>
      <c r="R7">
        <v>6.9720756028625305E-2</v>
      </c>
      <c r="S7">
        <v>1.459718308037334E-2</v>
      </c>
      <c r="T7">
        <v>9.6034099212982515E-3</v>
      </c>
      <c r="U7">
        <v>3.8413639685193006E-2</v>
      </c>
      <c r="V7">
        <v>8.1620461699453434E-3</v>
      </c>
      <c r="W7">
        <v>5.3697672170693054E-3</v>
      </c>
      <c r="X7">
        <v>2.1479068868277221E-2</v>
      </c>
      <c r="Y7">
        <v>3.7069162296211253E-2</v>
      </c>
      <c r="Z7">
        <v>1.9206819842596503E-2</v>
      </c>
      <c r="AA7">
        <v>7.6827279370386012E-2</v>
      </c>
      <c r="AB7">
        <v>33977.487922</v>
      </c>
      <c r="AC7" s="33">
        <v>0.99</v>
      </c>
      <c r="AD7" s="33">
        <v>0.23048183811115802</v>
      </c>
      <c r="AE7" s="33">
        <v>0.12887441320966334</v>
      </c>
      <c r="AF7" s="33" t="s">
        <v>675</v>
      </c>
      <c r="AH7" s="83" t="s">
        <v>665</v>
      </c>
      <c r="AI7" s="84">
        <v>0.02</v>
      </c>
      <c r="AJ7" s="84">
        <v>2.0710000000000003E-2</v>
      </c>
      <c r="AK7" s="87">
        <v>2.2890000000000004E-2</v>
      </c>
    </row>
    <row r="8" spans="1:37" x14ac:dyDescent="0.25">
      <c r="A8" s="125" t="s">
        <v>157</v>
      </c>
      <c r="B8" t="s">
        <v>677</v>
      </c>
      <c r="C8" s="126">
        <v>2.9045999999999998</v>
      </c>
      <c r="D8" s="126">
        <v>0.91670000000000007</v>
      </c>
      <c r="E8" s="126">
        <v>7.0246000000000004</v>
      </c>
      <c r="F8">
        <v>1062979.9032600001</v>
      </c>
      <c r="G8">
        <v>0.99</v>
      </c>
      <c r="I8" t="s">
        <v>724</v>
      </c>
      <c r="J8" s="126">
        <v>0.65679722222222237</v>
      </c>
      <c r="K8" s="126">
        <v>0.5718158075601375</v>
      </c>
      <c r="L8" s="126">
        <v>0.7491286549707602</v>
      </c>
      <c r="O8" t="s">
        <v>157</v>
      </c>
      <c r="P8">
        <v>2.4470532208676211E-2</v>
      </c>
      <c r="Q8">
        <v>1.2839476776157273E-2</v>
      </c>
      <c r="R8">
        <v>5.4832118467589293E-2</v>
      </c>
      <c r="S8">
        <v>1.1480002764564148E-2</v>
      </c>
      <c r="T8">
        <v>7.5526333977395717E-3</v>
      </c>
      <c r="U8">
        <v>3.0210533590958287E-2</v>
      </c>
      <c r="V8">
        <v>6.0590686775504107E-3</v>
      </c>
      <c r="W8">
        <v>3.9862293931252702E-3</v>
      </c>
      <c r="X8">
        <v>1.5944917572501081E-2</v>
      </c>
      <c r="Y8">
        <v>2.9153164915274751E-2</v>
      </c>
      <c r="Z8">
        <v>1.5105266795479143E-2</v>
      </c>
      <c r="AA8">
        <v>6.0421067181916574E-2</v>
      </c>
      <c r="AB8">
        <v>1062979.9032600001</v>
      </c>
      <c r="AC8" s="33">
        <v>0.99</v>
      </c>
      <c r="AD8" s="33">
        <v>0.18126320154574974</v>
      </c>
      <c r="AE8" s="33">
        <v>9.5669505435006491E-2</v>
      </c>
      <c r="AF8" s="33" t="s">
        <v>677</v>
      </c>
      <c r="AH8" s="81" t="s">
        <v>579</v>
      </c>
      <c r="AI8" s="82">
        <v>0.48</v>
      </c>
      <c r="AJ8" s="82">
        <v>0.45562000000000002</v>
      </c>
      <c r="AK8" s="86">
        <v>0.50358000000000003</v>
      </c>
    </row>
    <row r="9" spans="1:37" x14ac:dyDescent="0.25">
      <c r="A9" s="125" t="s">
        <v>122</v>
      </c>
      <c r="B9" t="s">
        <v>677</v>
      </c>
      <c r="C9" s="126">
        <v>1.0815000000000001</v>
      </c>
      <c r="D9" s="126">
        <v>0.2472</v>
      </c>
      <c r="E9" s="126">
        <v>3.2239</v>
      </c>
      <c r="F9">
        <v>1302386.710977</v>
      </c>
      <c r="G9">
        <v>0</v>
      </c>
      <c r="O9" t="s">
        <v>122</v>
      </c>
      <c r="P9">
        <v>3.1469586121156488E-2</v>
      </c>
      <c r="Q9">
        <v>1.6511819878384577E-2</v>
      </c>
      <c r="R9">
        <v>7.0515183715924717E-2</v>
      </c>
      <c r="S9">
        <v>1.4763509538320325E-2</v>
      </c>
      <c r="T9">
        <v>9.712835222579163E-3</v>
      </c>
      <c r="U9">
        <v>3.8851340890316652E-2</v>
      </c>
      <c r="V9">
        <v>7.8553786205816691E-3</v>
      </c>
      <c r="W9">
        <v>5.1680122503826769E-3</v>
      </c>
      <c r="X9">
        <v>2.0672049001530707E-2</v>
      </c>
      <c r="Y9">
        <v>3.749154395915557E-2</v>
      </c>
      <c r="Z9">
        <v>1.9425670445158326E-2</v>
      </c>
      <c r="AA9">
        <v>7.7702681780633304E-2</v>
      </c>
      <c r="AB9">
        <v>1302386.710977</v>
      </c>
      <c r="AC9" s="33">
        <v>0</v>
      </c>
      <c r="AD9" s="33">
        <v>0.23310804534189991</v>
      </c>
      <c r="AE9" s="33">
        <v>0.12403229400918425</v>
      </c>
      <c r="AF9" s="33" t="s">
        <v>677</v>
      </c>
      <c r="AH9" s="83" t="s">
        <v>589</v>
      </c>
      <c r="AI9" s="84">
        <v>2.4500000000000002</v>
      </c>
      <c r="AJ9" s="84">
        <f>AI9*0.95</f>
        <v>2.3275000000000001</v>
      </c>
      <c r="AK9" s="87">
        <f>AI9*1.05</f>
        <v>2.5725000000000002</v>
      </c>
    </row>
    <row r="10" spans="1:37" x14ac:dyDescent="0.25">
      <c r="A10" s="125" t="s">
        <v>262</v>
      </c>
      <c r="B10" t="s">
        <v>679</v>
      </c>
      <c r="C10" s="126">
        <v>3.2754000000000003</v>
      </c>
      <c r="D10" s="126">
        <v>0.87549999999999994</v>
      </c>
      <c r="E10" s="126">
        <v>8.8065000000000015</v>
      </c>
      <c r="F10">
        <v>766286.91059999994</v>
      </c>
      <c r="G10">
        <v>0.82</v>
      </c>
      <c r="O10" t="s">
        <v>262</v>
      </c>
      <c r="P10">
        <v>6.2019447598333569E-2</v>
      </c>
      <c r="Q10">
        <v>3.254106818431083E-2</v>
      </c>
      <c r="R10">
        <v>0.13896950295182153</v>
      </c>
      <c r="S10">
        <v>2.9095543317736734E-2</v>
      </c>
      <c r="T10">
        <v>1.9141804814300487E-2</v>
      </c>
      <c r="U10">
        <v>7.6567219257201946E-2</v>
      </c>
      <c r="V10">
        <v>1.5113170411874773E-2</v>
      </c>
      <c r="W10">
        <v>9.9428752709702466E-3</v>
      </c>
      <c r="X10">
        <v>3.9771501083880986E-2</v>
      </c>
      <c r="Y10">
        <v>7.3887366583199887E-2</v>
      </c>
      <c r="Z10">
        <v>3.8283609628600973E-2</v>
      </c>
      <c r="AA10">
        <v>0.15313443851440389</v>
      </c>
      <c r="AB10">
        <v>766286.91059999994</v>
      </c>
      <c r="AC10" s="33">
        <v>0.82</v>
      </c>
      <c r="AD10" s="33">
        <v>0.45940331554321168</v>
      </c>
      <c r="AE10" s="33">
        <v>0.23862900650328592</v>
      </c>
      <c r="AF10" s="33" t="s">
        <v>679</v>
      </c>
      <c r="AH10" s="81" t="s">
        <v>666</v>
      </c>
      <c r="AI10" s="82">
        <v>0.63</v>
      </c>
      <c r="AJ10" s="82">
        <v>0.60058999999999996</v>
      </c>
      <c r="AK10" s="86">
        <v>0.66381000000000001</v>
      </c>
    </row>
    <row r="11" spans="1:37" x14ac:dyDescent="0.25">
      <c r="A11" s="125" t="s">
        <v>165</v>
      </c>
      <c r="B11" t="s">
        <v>675</v>
      </c>
      <c r="C11" s="126">
        <v>5.0058000000000007</v>
      </c>
      <c r="D11" s="126">
        <v>2.2660000000000005</v>
      </c>
      <c r="E11" s="126">
        <v>9.8777000000000008</v>
      </c>
      <c r="F11">
        <v>41890.301663999999</v>
      </c>
      <c r="G11">
        <v>0.96</v>
      </c>
      <c r="O11" t="s">
        <v>165</v>
      </c>
      <c r="P11">
        <v>2.7845492015609024E-2</v>
      </c>
      <c r="Q11">
        <v>1.46102890205356E-2</v>
      </c>
      <c r="R11">
        <v>6.2394528405346143E-2</v>
      </c>
      <c r="S11">
        <v>1.3063317241890651E-2</v>
      </c>
      <c r="T11">
        <v>8.5942876591385865E-3</v>
      </c>
      <c r="U11">
        <v>3.4377150636554346E-2</v>
      </c>
      <c r="V11">
        <v>7.0482418076655362E-3</v>
      </c>
      <c r="W11">
        <v>4.6370011892536431E-3</v>
      </c>
      <c r="X11">
        <v>1.8548004757014572E-2</v>
      </c>
      <c r="Y11">
        <v>3.3173950364274951E-2</v>
      </c>
      <c r="Z11">
        <v>1.7188575318277173E-2</v>
      </c>
      <c r="AA11">
        <v>6.8754301273108692E-2</v>
      </c>
      <c r="AB11">
        <v>41890.301663999999</v>
      </c>
      <c r="AC11" s="33">
        <v>0.96</v>
      </c>
      <c r="AD11" s="33">
        <v>0.2062629038193261</v>
      </c>
      <c r="AE11" s="33">
        <v>0.11128802854208743</v>
      </c>
      <c r="AF11" s="33" t="s">
        <v>675</v>
      </c>
      <c r="AH11" s="83" t="s">
        <v>667</v>
      </c>
      <c r="AI11" s="84">
        <v>4.83</v>
      </c>
      <c r="AJ11" s="84">
        <v>4.5872650000000004</v>
      </c>
      <c r="AK11" s="87">
        <v>5.0701350000000005</v>
      </c>
    </row>
    <row r="12" spans="1:37" x14ac:dyDescent="0.25">
      <c r="A12" s="125" t="s">
        <v>166</v>
      </c>
      <c r="B12" t="s">
        <v>675</v>
      </c>
      <c r="C12" s="126">
        <v>4.3980999999999995</v>
      </c>
      <c r="D12" s="126">
        <v>1.8643000000000001</v>
      </c>
      <c r="E12" s="126">
        <v>8.9095000000000013</v>
      </c>
      <c r="F12">
        <v>171655.23139599999</v>
      </c>
      <c r="G12">
        <v>0.98</v>
      </c>
      <c r="O12" t="s">
        <v>166</v>
      </c>
      <c r="P12">
        <v>2.845464521620341E-2</v>
      </c>
      <c r="Q12">
        <v>1.4929906440600556E-2</v>
      </c>
      <c r="R12">
        <v>6.37594827992706E-2</v>
      </c>
      <c r="S12">
        <v>1.3349092817478142E-2</v>
      </c>
      <c r="T12">
        <v>8.7822979062356209E-3</v>
      </c>
      <c r="U12">
        <v>3.5129191624942484E-2</v>
      </c>
      <c r="V12">
        <v>7.3087407028300123E-3</v>
      </c>
      <c r="W12">
        <v>4.8083820413355348E-3</v>
      </c>
      <c r="X12">
        <v>1.9233528165342139E-2</v>
      </c>
      <c r="Y12">
        <v>3.3899669918069496E-2</v>
      </c>
      <c r="Z12">
        <v>1.7564595812471242E-2</v>
      </c>
      <c r="AA12">
        <v>7.0258383249884968E-2</v>
      </c>
      <c r="AB12">
        <v>171655.23139599999</v>
      </c>
      <c r="AC12" s="33">
        <v>0.98</v>
      </c>
      <c r="AD12" s="33">
        <v>0.21077514974965489</v>
      </c>
      <c r="AE12" s="33">
        <v>0.11540116899205284</v>
      </c>
      <c r="AF12" s="33" t="s">
        <v>675</v>
      </c>
    </row>
    <row r="13" spans="1:37" x14ac:dyDescent="0.25">
      <c r="A13" s="125" t="s">
        <v>192</v>
      </c>
      <c r="B13" t="s">
        <v>680</v>
      </c>
      <c r="C13" s="126">
        <v>2.1114999999999999</v>
      </c>
      <c r="D13" s="126">
        <v>0.6695000000000001</v>
      </c>
      <c r="E13" s="126">
        <v>5.1912000000000003</v>
      </c>
      <c r="F13">
        <v>2993690.7824530001</v>
      </c>
      <c r="G13">
        <v>0</v>
      </c>
      <c r="O13" t="s">
        <v>192</v>
      </c>
      <c r="P13">
        <v>2.1928285156902469E-2</v>
      </c>
      <c r="Q13">
        <v>1.1505581718127839E-2</v>
      </c>
      <c r="R13">
        <v>4.9135601925651827E-2</v>
      </c>
      <c r="S13">
        <v>1.0287343653855478E-2</v>
      </c>
      <c r="T13">
        <v>6.7679892459575524E-3</v>
      </c>
      <c r="U13">
        <v>2.7071956983830209E-2</v>
      </c>
      <c r="V13">
        <v>5.2235639492635303E-3</v>
      </c>
      <c r="W13">
        <v>3.4365552297786384E-3</v>
      </c>
      <c r="X13">
        <v>1.3746220919114554E-2</v>
      </c>
      <c r="Y13">
        <v>2.6124438489396152E-2</v>
      </c>
      <c r="Z13">
        <v>1.3535978491915105E-2</v>
      </c>
      <c r="AA13">
        <v>5.4143913967660419E-2</v>
      </c>
      <c r="AB13">
        <v>2993690.7824530001</v>
      </c>
      <c r="AC13" s="33">
        <v>0</v>
      </c>
      <c r="AD13" s="33">
        <v>0.16243174190298124</v>
      </c>
      <c r="AE13" s="33">
        <v>8.2477325514687325E-2</v>
      </c>
      <c r="AF13" s="33" t="s">
        <v>680</v>
      </c>
    </row>
    <row r="14" spans="1:37" x14ac:dyDescent="0.25">
      <c r="A14" s="125" t="s">
        <v>307</v>
      </c>
      <c r="B14" t="s">
        <v>675</v>
      </c>
      <c r="C14" s="126">
        <v>5.0573000000000006</v>
      </c>
      <c r="D14" s="126">
        <v>2.2454000000000001</v>
      </c>
      <c r="E14" s="126">
        <v>10.011600000000001</v>
      </c>
      <c r="F14">
        <v>111916.52256</v>
      </c>
      <c r="G14">
        <v>0.98</v>
      </c>
      <c r="O14" t="s">
        <v>307</v>
      </c>
      <c r="P14">
        <v>3.931852478569018E-2</v>
      </c>
      <c r="Q14">
        <v>2.0630090165331266E-2</v>
      </c>
      <c r="R14">
        <v>8.8102620353120581E-2</v>
      </c>
      <c r="S14">
        <v>1.8445727677237365E-2</v>
      </c>
      <c r="T14">
        <v>1.2135347156077215E-2</v>
      </c>
      <c r="U14">
        <v>4.8541388624308859E-2</v>
      </c>
      <c r="V14">
        <v>1.015946874893814E-2</v>
      </c>
      <c r="W14">
        <v>6.6838610190382512E-3</v>
      </c>
      <c r="X14">
        <v>2.6735444076153005E-2</v>
      </c>
      <c r="Y14">
        <v>4.6842440022458055E-2</v>
      </c>
      <c r="Z14">
        <v>2.427069431215443E-2</v>
      </c>
      <c r="AA14">
        <v>9.7082777248617719E-2</v>
      </c>
      <c r="AB14">
        <v>111916.52256</v>
      </c>
      <c r="AC14" s="33">
        <v>0.98</v>
      </c>
      <c r="AD14" s="33">
        <v>0.29124833174585318</v>
      </c>
      <c r="AE14" s="33">
        <v>0.16041266445691801</v>
      </c>
      <c r="AF14" s="33" t="s">
        <v>675</v>
      </c>
    </row>
    <row r="15" spans="1:37" x14ac:dyDescent="0.25">
      <c r="A15" s="125" t="s">
        <v>253</v>
      </c>
      <c r="B15" t="s">
        <v>679</v>
      </c>
      <c r="C15" s="126">
        <v>9.5583999999999989</v>
      </c>
      <c r="D15" s="126">
        <v>3.8212999999999999</v>
      </c>
      <c r="E15" s="126">
        <v>20.703000000000003</v>
      </c>
      <c r="F15">
        <v>8153.6516880000008</v>
      </c>
      <c r="G15">
        <v>0.7</v>
      </c>
      <c r="O15" t="s">
        <v>253</v>
      </c>
      <c r="P15">
        <v>2.8434695461055686E-2</v>
      </c>
      <c r="Q15">
        <v>1.4919438976479836E-2</v>
      </c>
      <c r="R15">
        <v>6.3714780570143292E-2</v>
      </c>
      <c r="S15">
        <v>1.3339733673087852E-2</v>
      </c>
      <c r="T15">
        <v>8.7761405743999026E-3</v>
      </c>
      <c r="U15">
        <v>3.510456229759961E-2</v>
      </c>
      <c r="V15">
        <v>7.3416384973233944E-3</v>
      </c>
      <c r="W15">
        <v>4.8300253271864445E-3</v>
      </c>
      <c r="X15">
        <v>1.9320101308745778E-2</v>
      </c>
      <c r="Y15">
        <v>3.387590261718363E-2</v>
      </c>
      <c r="Z15">
        <v>1.7552281148799805E-2</v>
      </c>
      <c r="AA15">
        <v>7.0209124595199221E-2</v>
      </c>
      <c r="AB15">
        <v>8153.6516880000008</v>
      </c>
      <c r="AC15" s="33">
        <v>0.7</v>
      </c>
      <c r="AD15" s="33">
        <v>0.21062737378559768</v>
      </c>
      <c r="AE15" s="33">
        <v>0.11592060785247466</v>
      </c>
      <c r="AF15" s="33" t="s">
        <v>679</v>
      </c>
    </row>
    <row r="16" spans="1:37" x14ac:dyDescent="0.25">
      <c r="A16" s="125" t="s">
        <v>138</v>
      </c>
      <c r="B16" t="s">
        <v>677</v>
      </c>
      <c r="C16" s="126">
        <v>1.5141</v>
      </c>
      <c r="D16" s="126">
        <v>0.53560000000000008</v>
      </c>
      <c r="E16" s="126">
        <v>3.4813999999999998</v>
      </c>
      <c r="F16">
        <v>429573.69755100005</v>
      </c>
      <c r="G16">
        <v>0</v>
      </c>
      <c r="O16" t="s">
        <v>138</v>
      </c>
      <c r="P16">
        <v>2.0231378163776192E-2</v>
      </c>
      <c r="Q16">
        <v>1.0615229283462818E-2</v>
      </c>
      <c r="R16">
        <v>4.5333273292905915E-2</v>
      </c>
      <c r="S16">
        <v>9.4912638299196952E-3</v>
      </c>
      <c r="T16">
        <v>6.2442525196840099E-3</v>
      </c>
      <c r="U16">
        <v>2.4977010078736039E-2</v>
      </c>
      <c r="V16">
        <v>5.2917356068932133E-3</v>
      </c>
      <c r="W16">
        <v>3.481405004535009E-3</v>
      </c>
      <c r="X16">
        <v>1.3925620018140036E-2</v>
      </c>
      <c r="Y16">
        <v>2.4102814725980283E-2</v>
      </c>
      <c r="Z16">
        <v>1.248850503936802E-2</v>
      </c>
      <c r="AA16">
        <v>4.9954020157472079E-2</v>
      </c>
      <c r="AB16">
        <v>429573.69755100005</v>
      </c>
      <c r="AC16" s="33">
        <v>0</v>
      </c>
      <c r="AD16" s="33">
        <v>0.14986206047241624</v>
      </c>
      <c r="AE16" s="33">
        <v>8.3553720108840226E-2</v>
      </c>
      <c r="AF16" s="33" t="s">
        <v>677</v>
      </c>
    </row>
    <row r="17" spans="1:32" x14ac:dyDescent="0.25">
      <c r="A17" s="125" t="s">
        <v>193</v>
      </c>
      <c r="B17" t="s">
        <v>680</v>
      </c>
      <c r="C17" s="126">
        <v>7.5499000000000001</v>
      </c>
      <c r="D17" s="126">
        <v>3.2444999999999999</v>
      </c>
      <c r="E17" s="126">
        <v>15.4191</v>
      </c>
      <c r="F17">
        <v>13348.040248000001</v>
      </c>
      <c r="G17">
        <v>0.86</v>
      </c>
      <c r="O17" t="s">
        <v>193</v>
      </c>
      <c r="P17">
        <v>3.6209841314553085E-2</v>
      </c>
      <c r="Q17">
        <v>1.8998990813191435E-2</v>
      </c>
      <c r="R17">
        <v>8.1136866649276343E-2</v>
      </c>
      <c r="S17">
        <v>1.6987332962382924E-2</v>
      </c>
      <c r="T17">
        <v>1.1175876948936136E-2</v>
      </c>
      <c r="U17">
        <v>4.4703507795744543E-2</v>
      </c>
      <c r="V17">
        <v>9.3344205268912454E-3</v>
      </c>
      <c r="W17">
        <v>6.1410661361126617E-3</v>
      </c>
      <c r="X17">
        <v>2.4564264544450647E-2</v>
      </c>
      <c r="Y17">
        <v>4.3138885022893494E-2</v>
      </c>
      <c r="Z17">
        <v>2.2351753897872272E-2</v>
      </c>
      <c r="AA17">
        <v>8.9407015591489086E-2</v>
      </c>
      <c r="AB17">
        <v>13348.040248000001</v>
      </c>
      <c r="AC17" s="33">
        <v>0.86</v>
      </c>
      <c r="AD17" s="33">
        <v>0.26822104677446729</v>
      </c>
      <c r="AE17" s="33">
        <v>0.14738558726670389</v>
      </c>
      <c r="AF17" s="33" t="s">
        <v>680</v>
      </c>
    </row>
    <row r="18" spans="1:32" x14ac:dyDescent="0.25">
      <c r="A18" s="127" t="s">
        <v>263</v>
      </c>
      <c r="B18" t="s">
        <v>679</v>
      </c>
      <c r="C18" s="126">
        <v>2.7192000000000003</v>
      </c>
      <c r="D18" s="126">
        <v>1.03</v>
      </c>
      <c r="E18" s="126">
        <v>5.9843000000000002</v>
      </c>
      <c r="F18">
        <v>251929.69796400002</v>
      </c>
      <c r="G18">
        <v>0</v>
      </c>
      <c r="O18" t="s">
        <v>263</v>
      </c>
      <c r="P18">
        <v>4.1332138302178634E-2</v>
      </c>
      <c r="Q18">
        <v>2.1686615775834472E-2</v>
      </c>
      <c r="R18">
        <v>9.2614606195622493E-2</v>
      </c>
      <c r="S18">
        <v>1.9390385870157876E-2</v>
      </c>
      <c r="T18">
        <v>1.2756832809314394E-2</v>
      </c>
      <c r="U18">
        <v>5.1027331237257577E-2</v>
      </c>
      <c r="V18">
        <v>9.9984157696294644E-3</v>
      </c>
      <c r="W18">
        <v>6.5779051115983332E-3</v>
      </c>
      <c r="X18">
        <v>2.6311620446393333E-2</v>
      </c>
      <c r="Y18">
        <v>4.9241374643953569E-2</v>
      </c>
      <c r="Z18">
        <v>2.5513665618628788E-2</v>
      </c>
      <c r="AA18">
        <v>0.10205466247451515</v>
      </c>
      <c r="AB18">
        <v>251929.69796400002</v>
      </c>
      <c r="AC18" s="33">
        <v>0</v>
      </c>
      <c r="AD18" s="33">
        <v>0.30616398742354545</v>
      </c>
      <c r="AE18" s="33">
        <v>0.15786972267836</v>
      </c>
      <c r="AF18" s="33" t="s">
        <v>679</v>
      </c>
    </row>
    <row r="19" spans="1:32" x14ac:dyDescent="0.25">
      <c r="A19" s="125" t="s">
        <v>334</v>
      </c>
      <c r="B19" t="s">
        <v>675</v>
      </c>
      <c r="C19" s="126">
        <v>3.0179</v>
      </c>
      <c r="D19" s="126">
        <v>0.97849999999999993</v>
      </c>
      <c r="E19" s="126">
        <v>7.4263000000000003</v>
      </c>
      <c r="F19">
        <v>27048.377612000004</v>
      </c>
      <c r="G19">
        <v>0</v>
      </c>
      <c r="O19" t="s">
        <v>334</v>
      </c>
      <c r="P19">
        <v>3.5687784147484775E-2</v>
      </c>
      <c r="Q19">
        <v>1.8725071929235837E-2</v>
      </c>
      <c r="R19">
        <v>7.9967071886030694E-2</v>
      </c>
      <c r="S19">
        <v>1.6742417254375572E-2</v>
      </c>
      <c r="T19">
        <v>1.101474819366814E-2</v>
      </c>
      <c r="U19">
        <v>4.405899277467256E-2</v>
      </c>
      <c r="V19">
        <v>9.3135934683080557E-3</v>
      </c>
      <c r="W19">
        <v>6.1273641238868788E-3</v>
      </c>
      <c r="X19">
        <v>2.4509456495547515E-2</v>
      </c>
      <c r="Y19">
        <v>4.2516928027559027E-2</v>
      </c>
      <c r="Z19">
        <v>2.202949638733628E-2</v>
      </c>
      <c r="AA19">
        <v>8.8117985549345121E-2</v>
      </c>
      <c r="AB19">
        <v>27048.377612000004</v>
      </c>
      <c r="AC19" s="33">
        <v>0</v>
      </c>
      <c r="AD19" s="33">
        <v>0.26435395664803535</v>
      </c>
      <c r="AE19" s="33">
        <v>0.14705673897328511</v>
      </c>
      <c r="AF19" s="33" t="s">
        <v>675</v>
      </c>
    </row>
    <row r="20" spans="1:32" x14ac:dyDescent="0.25">
      <c r="A20" s="125" t="s">
        <v>132</v>
      </c>
      <c r="B20" t="s">
        <v>677</v>
      </c>
      <c r="C20" s="126">
        <v>7.0246000000000004</v>
      </c>
      <c r="D20" s="126">
        <v>3.0693999999999999</v>
      </c>
      <c r="E20" s="126">
        <v>14.265499999999999</v>
      </c>
      <c r="F20">
        <v>57852.893438999999</v>
      </c>
      <c r="G20">
        <v>0</v>
      </c>
      <c r="O20" t="s">
        <v>132</v>
      </c>
      <c r="P20">
        <v>4.4671693718254017E-2</v>
      </c>
      <c r="Q20">
        <v>2.3438851642293777E-2</v>
      </c>
      <c r="R20">
        <v>0.10009768407238401</v>
      </c>
      <c r="S20">
        <v>2.095709088016855E-2</v>
      </c>
      <c r="T20">
        <v>1.3787559789584574E-2</v>
      </c>
      <c r="U20">
        <v>5.5150239158338298E-2</v>
      </c>
      <c r="V20">
        <v>1.213856370225924E-2</v>
      </c>
      <c r="W20">
        <v>7.9858971725389749E-3</v>
      </c>
      <c r="X20">
        <v>3.19435886901559E-2</v>
      </c>
      <c r="Y20">
        <v>5.321998078779646E-2</v>
      </c>
      <c r="Z20">
        <v>2.7575119579169149E-2</v>
      </c>
      <c r="AA20">
        <v>0.1103004783166766</v>
      </c>
      <c r="AB20">
        <v>57852.893438999999</v>
      </c>
      <c r="AC20" s="33">
        <v>0</v>
      </c>
      <c r="AD20" s="33">
        <v>0.33090143495002977</v>
      </c>
      <c r="AE20" s="33">
        <v>0.19166153214093537</v>
      </c>
      <c r="AF20" s="33" t="s">
        <v>677</v>
      </c>
    </row>
    <row r="21" spans="1:32" x14ac:dyDescent="0.25">
      <c r="A21" s="125" t="s">
        <v>264</v>
      </c>
      <c r="B21" t="s">
        <v>679</v>
      </c>
      <c r="C21" s="126">
        <v>1.9776</v>
      </c>
      <c r="D21" s="126">
        <v>0.49440000000000001</v>
      </c>
      <c r="E21" s="126">
        <v>5.5414000000000003</v>
      </c>
      <c r="F21">
        <v>2970099.8808869999</v>
      </c>
      <c r="G21">
        <v>0.78</v>
      </c>
      <c r="O21" t="s">
        <v>264</v>
      </c>
      <c r="P21">
        <v>4.9864093797120486E-2</v>
      </c>
      <c r="Q21">
        <v>2.6163259091081741E-2</v>
      </c>
      <c r="R21">
        <v>0.11173250647132554</v>
      </c>
      <c r="S21">
        <v>2.3393031657908375E-2</v>
      </c>
      <c r="T21">
        <v>1.539015240651867E-2</v>
      </c>
      <c r="U21">
        <v>6.156060962607468E-2</v>
      </c>
      <c r="V21">
        <v>1.3291018584522975E-2</v>
      </c>
      <c r="W21">
        <v>8.7440911740282734E-3</v>
      </c>
      <c r="X21">
        <v>3.4976364696113094E-2</v>
      </c>
      <c r="Y21">
        <v>5.9405988289162069E-2</v>
      </c>
      <c r="Z21">
        <v>3.078030481303734E-2</v>
      </c>
      <c r="AA21">
        <v>0.12312121925214936</v>
      </c>
      <c r="AB21">
        <v>2970099.8808869999</v>
      </c>
      <c r="AC21" s="33">
        <v>0.78</v>
      </c>
      <c r="AD21" s="33">
        <v>0.36936365775644808</v>
      </c>
      <c r="AE21" s="33">
        <v>0.20985818817667859</v>
      </c>
      <c r="AF21" s="33" t="s">
        <v>679</v>
      </c>
    </row>
    <row r="22" spans="1:32" x14ac:dyDescent="0.25">
      <c r="A22" s="125" t="s">
        <v>308</v>
      </c>
      <c r="B22" t="s">
        <v>675</v>
      </c>
      <c r="C22" s="126">
        <v>5.1190999999999995</v>
      </c>
      <c r="D22" s="126">
        <v>2.1320999999999999</v>
      </c>
      <c r="E22" s="126">
        <v>10.876800000000001</v>
      </c>
      <c r="F22">
        <v>62693.047851999996</v>
      </c>
      <c r="G22">
        <v>0.96</v>
      </c>
      <c r="O22" t="s">
        <v>308</v>
      </c>
      <c r="P22">
        <v>5.9653884940704532E-2</v>
      </c>
      <c r="Q22">
        <v>3.1299877900986948E-2</v>
      </c>
      <c r="R22">
        <v>0.13366889033009718</v>
      </c>
      <c r="S22">
        <v>2.7985773182058912E-2</v>
      </c>
      <c r="T22">
        <v>1.8411692882933497E-2</v>
      </c>
      <c r="U22">
        <v>7.364677153173399E-2</v>
      </c>
      <c r="V22">
        <v>1.4984893105870383E-2</v>
      </c>
      <c r="W22">
        <v>9.8584823064936742E-3</v>
      </c>
      <c r="X22">
        <v>3.9433929225974697E-2</v>
      </c>
      <c r="Y22">
        <v>7.1069134528123301E-2</v>
      </c>
      <c r="Z22">
        <v>3.6823385765866995E-2</v>
      </c>
      <c r="AA22">
        <v>0.14729354306346798</v>
      </c>
      <c r="AB22">
        <v>62693.047851999996</v>
      </c>
      <c r="AC22" s="33">
        <v>0.96</v>
      </c>
      <c r="AD22" s="33">
        <v>0.44188062919040394</v>
      </c>
      <c r="AE22" s="33">
        <v>0.23660357535584817</v>
      </c>
      <c r="AF22" s="33" t="s">
        <v>675</v>
      </c>
    </row>
    <row r="23" spans="1:32" x14ac:dyDescent="0.25">
      <c r="A23" s="125" t="s">
        <v>139</v>
      </c>
      <c r="B23" t="s">
        <v>677</v>
      </c>
      <c r="C23" s="126">
        <v>2.0497000000000001</v>
      </c>
      <c r="D23" s="126">
        <v>0.76219999999999999</v>
      </c>
      <c r="E23" s="126">
        <v>4.5732000000000008</v>
      </c>
      <c r="F23">
        <v>776032.97400400008</v>
      </c>
      <c r="G23">
        <v>0</v>
      </c>
      <c r="O23" t="s">
        <v>139</v>
      </c>
      <c r="P23">
        <v>1.2832170441870809E-2</v>
      </c>
      <c r="Q23">
        <v>6.732928935549499E-3</v>
      </c>
      <c r="R23">
        <v>2.8753567101229036E-2</v>
      </c>
      <c r="S23">
        <v>6.0200305776677869E-3</v>
      </c>
      <c r="T23">
        <v>3.9605464326761758E-3</v>
      </c>
      <c r="U23">
        <v>1.5842185730704703E-2</v>
      </c>
      <c r="V23">
        <v>3.4147384493641232E-3</v>
      </c>
      <c r="W23">
        <v>2.2465384535290287E-3</v>
      </c>
      <c r="X23">
        <v>8.986153814116115E-3</v>
      </c>
      <c r="Y23">
        <v>1.528770923013004E-2</v>
      </c>
      <c r="Z23">
        <v>7.9210928653523516E-3</v>
      </c>
      <c r="AA23">
        <v>3.1684371461409407E-2</v>
      </c>
      <c r="AB23">
        <v>776032.97400400008</v>
      </c>
      <c r="AC23" s="33">
        <v>0</v>
      </c>
      <c r="AD23" s="33">
        <v>9.5053114384228213E-2</v>
      </c>
      <c r="AE23" s="33">
        <v>5.391692288469669E-2</v>
      </c>
      <c r="AF23" s="33" t="s">
        <v>677</v>
      </c>
    </row>
    <row r="24" spans="1:32" x14ac:dyDescent="0.25">
      <c r="A24" s="125" t="s">
        <v>101</v>
      </c>
      <c r="B24" t="s">
        <v>677</v>
      </c>
      <c r="C24" s="126">
        <v>1.8231000000000002</v>
      </c>
      <c r="D24" s="126">
        <v>0.56650000000000011</v>
      </c>
      <c r="E24" s="126">
        <v>4.5011000000000001</v>
      </c>
      <c r="F24">
        <v>452655.86128899996</v>
      </c>
      <c r="G24">
        <v>0</v>
      </c>
      <c r="O24" t="s">
        <v>101</v>
      </c>
      <c r="P24">
        <v>4.2759056414486312E-3</v>
      </c>
      <c r="Q24">
        <v>2.2435307377971217E-3</v>
      </c>
      <c r="R24">
        <v>9.5811959743571182E-3</v>
      </c>
      <c r="S24">
        <v>2.0059804243833085E-3</v>
      </c>
      <c r="T24">
        <v>1.3197239634100714E-3</v>
      </c>
      <c r="U24">
        <v>5.2788958536402857E-3</v>
      </c>
      <c r="V24">
        <v>1.1336850196207822E-3</v>
      </c>
      <c r="W24">
        <v>7.458454076452514E-4</v>
      </c>
      <c r="X24">
        <v>2.9833816305810056E-3</v>
      </c>
      <c r="Y24">
        <v>5.0941344987628766E-3</v>
      </c>
      <c r="Z24">
        <v>2.6394479268201428E-3</v>
      </c>
      <c r="AA24">
        <v>1.0557791707280571E-2</v>
      </c>
      <c r="AB24">
        <v>452655.86128899996</v>
      </c>
      <c r="AC24" s="33">
        <v>0</v>
      </c>
      <c r="AD24" s="33">
        <v>3.1673375121841714E-2</v>
      </c>
      <c r="AE24" s="33">
        <v>1.7900289783486033E-2</v>
      </c>
      <c r="AF24" s="33" t="s">
        <v>677</v>
      </c>
    </row>
    <row r="25" spans="1:32" x14ac:dyDescent="0.25">
      <c r="A25" s="125" t="s">
        <v>140</v>
      </c>
      <c r="B25" t="s">
        <v>677</v>
      </c>
      <c r="C25" s="126">
        <v>8.6005000000000003</v>
      </c>
      <c r="D25" s="126">
        <v>3.7183000000000002</v>
      </c>
      <c r="E25" s="126">
        <v>17.334899999999998</v>
      </c>
      <c r="F25">
        <v>10827.689904000001</v>
      </c>
      <c r="G25">
        <v>0.96</v>
      </c>
      <c r="O25" t="s">
        <v>140</v>
      </c>
      <c r="P25">
        <v>4.088576248538122E-2</v>
      </c>
      <c r="Q25">
        <v>2.1452406242329657E-2</v>
      </c>
      <c r="R25">
        <v>9.1614393717243101E-2</v>
      </c>
      <c r="S25">
        <v>1.9180974993141805E-2</v>
      </c>
      <c r="T25">
        <v>1.2619062495488031E-2</v>
      </c>
      <c r="U25">
        <v>5.0476249981952125E-2</v>
      </c>
      <c r="V25">
        <v>1.0143978380423368E-2</v>
      </c>
      <c r="W25">
        <v>6.673669987120638E-3</v>
      </c>
      <c r="X25">
        <v>2.6694679948482552E-2</v>
      </c>
      <c r="Y25">
        <v>4.8709581232583808E-2</v>
      </c>
      <c r="Z25">
        <v>2.5238124990976062E-2</v>
      </c>
      <c r="AA25">
        <v>0.10095249996390425</v>
      </c>
      <c r="AB25">
        <v>10827.689904000001</v>
      </c>
      <c r="AC25" s="33">
        <v>0.96</v>
      </c>
      <c r="AD25" s="33">
        <v>0.30285749989171273</v>
      </c>
      <c r="AE25" s="33">
        <v>0.1601680796908953</v>
      </c>
      <c r="AF25" s="33" t="s">
        <v>677</v>
      </c>
    </row>
    <row r="26" spans="1:32" x14ac:dyDescent="0.25">
      <c r="A26" s="125" t="s">
        <v>212</v>
      </c>
      <c r="B26" t="s">
        <v>681</v>
      </c>
      <c r="C26" s="126">
        <v>2.6574</v>
      </c>
      <c r="D26" s="126">
        <v>1.0918000000000001</v>
      </c>
      <c r="E26" s="126">
        <v>5.5208000000000004</v>
      </c>
      <c r="F26">
        <v>374656.66695000004</v>
      </c>
      <c r="G26">
        <v>0.88</v>
      </c>
      <c r="O26" t="s">
        <v>212</v>
      </c>
      <c r="P26">
        <v>1.8064521411469376E-2</v>
      </c>
      <c r="Q26">
        <v>9.4782982714499819E-3</v>
      </c>
      <c r="R26">
        <v>4.0477909088662861E-2</v>
      </c>
      <c r="S26">
        <v>8.4747137485905715E-3</v>
      </c>
      <c r="T26">
        <v>5.5754695714411657E-3</v>
      </c>
      <c r="U26">
        <v>2.2301878285764663E-2</v>
      </c>
      <c r="V26">
        <v>4.625082427635924E-3</v>
      </c>
      <c r="W26">
        <v>3.0428173866025822E-3</v>
      </c>
      <c r="X26">
        <v>1.2171269546410329E-2</v>
      </c>
      <c r="Y26">
        <v>2.1521312545762901E-2</v>
      </c>
      <c r="Z26">
        <v>1.1150939142882331E-2</v>
      </c>
      <c r="AA26">
        <v>4.4603756571529325E-2</v>
      </c>
      <c r="AB26">
        <v>374656.66695000004</v>
      </c>
      <c r="AC26" s="33">
        <v>0.88</v>
      </c>
      <c r="AD26" s="33">
        <v>0.13381126971458798</v>
      </c>
      <c r="AE26" s="33">
        <v>7.3027617278461979E-2</v>
      </c>
      <c r="AF26" s="33" t="s">
        <v>681</v>
      </c>
    </row>
    <row r="27" spans="1:32" x14ac:dyDescent="0.25">
      <c r="A27" s="125" t="s">
        <v>123</v>
      </c>
      <c r="B27" t="s">
        <v>677</v>
      </c>
      <c r="C27" s="126">
        <v>1.5965</v>
      </c>
      <c r="D27" s="126">
        <v>0.54590000000000005</v>
      </c>
      <c r="E27" s="126">
        <v>3.7183000000000002</v>
      </c>
      <c r="F27">
        <v>921432.26468300004</v>
      </c>
      <c r="G27">
        <v>0</v>
      </c>
      <c r="O27" t="s">
        <v>123</v>
      </c>
      <c r="P27">
        <v>1.9010264910174206E-2</v>
      </c>
      <c r="Q27">
        <v>9.9745217121284431E-3</v>
      </c>
      <c r="R27">
        <v>4.2597075076501463E-2</v>
      </c>
      <c r="S27">
        <v>8.9183958837854294E-3</v>
      </c>
      <c r="T27">
        <v>5.8673657130167301E-3</v>
      </c>
      <c r="U27">
        <v>2.346946285206692E-2</v>
      </c>
      <c r="V27">
        <v>4.2431931721992056E-3</v>
      </c>
      <c r="W27">
        <v>2.7915744553942148E-3</v>
      </c>
      <c r="X27">
        <v>1.1166297821576859E-2</v>
      </c>
      <c r="Y27">
        <v>2.2648031652244584E-2</v>
      </c>
      <c r="Z27">
        <v>1.173473142603346E-2</v>
      </c>
      <c r="AA27">
        <v>4.6938925704133841E-2</v>
      </c>
      <c r="AB27">
        <v>921432.26468300004</v>
      </c>
      <c r="AC27" s="33">
        <v>0</v>
      </c>
      <c r="AD27" s="33">
        <v>0.14081677711240154</v>
      </c>
      <c r="AE27" s="33">
        <v>6.6997786929461151E-2</v>
      </c>
      <c r="AF27" s="33" t="s">
        <v>677</v>
      </c>
    </row>
    <row r="28" spans="1:32" x14ac:dyDescent="0.25">
      <c r="A28" s="125" t="s">
        <v>601</v>
      </c>
      <c r="B28" t="s">
        <v>677</v>
      </c>
      <c r="C28" s="126">
        <v>0.7107</v>
      </c>
      <c r="D28" s="126">
        <v>0.1236</v>
      </c>
      <c r="E28" s="126">
        <v>2.3587000000000002</v>
      </c>
      <c r="F28">
        <v>168026.78838999997</v>
      </c>
      <c r="G28">
        <v>0</v>
      </c>
      <c r="O28" t="s">
        <v>601</v>
      </c>
      <c r="P28">
        <v>7.9106653632761703E-3</v>
      </c>
      <c r="Q28">
        <v>4.150657752336263E-3</v>
      </c>
      <c r="R28">
        <v>1.7725750165859568E-2</v>
      </c>
      <c r="S28">
        <v>3.7111763432653637E-3</v>
      </c>
      <c r="T28">
        <v>2.4415633837272131E-3</v>
      </c>
      <c r="U28">
        <v>9.7662535349088524E-3</v>
      </c>
      <c r="V28">
        <v>2.0304872269589114E-3</v>
      </c>
      <c r="W28">
        <v>1.3358468598413892E-3</v>
      </c>
      <c r="X28">
        <v>5.3433874393655567E-3</v>
      </c>
      <c r="Y28">
        <v>9.424434661187045E-3</v>
      </c>
      <c r="Z28">
        <v>4.8831267674544262E-3</v>
      </c>
      <c r="AA28">
        <v>1.9532507069817705E-2</v>
      </c>
      <c r="AB28">
        <v>168026.78838999997</v>
      </c>
      <c r="AC28" s="33">
        <v>0</v>
      </c>
      <c r="AD28" s="33">
        <v>5.8597521209453121E-2</v>
      </c>
      <c r="AE28" s="33">
        <v>3.2060324636193342E-2</v>
      </c>
      <c r="AF28" s="33" t="s">
        <v>677</v>
      </c>
    </row>
    <row r="29" spans="1:32" x14ac:dyDescent="0.25">
      <c r="A29" s="125" t="s">
        <v>125</v>
      </c>
      <c r="B29" t="s">
        <v>677</v>
      </c>
      <c r="C29" s="126">
        <v>0.52529999999999999</v>
      </c>
      <c r="D29" s="126">
        <v>8.2400000000000001E-2</v>
      </c>
      <c r="E29" s="126">
        <v>1.8540000000000001</v>
      </c>
      <c r="F29">
        <v>676674.04390599998</v>
      </c>
      <c r="G29">
        <v>0</v>
      </c>
      <c r="O29" t="s">
        <v>125</v>
      </c>
      <c r="P29">
        <v>1.1740957022855983E-2</v>
      </c>
      <c r="Q29">
        <v>6.1603786848318434E-3</v>
      </c>
      <c r="R29">
        <v>2.6308440736399517E-2</v>
      </c>
      <c r="S29">
        <v>5.5081032946731768E-3</v>
      </c>
      <c r="T29">
        <v>3.6237521675481429E-3</v>
      </c>
      <c r="U29">
        <v>1.4495008670192572E-2</v>
      </c>
      <c r="V29">
        <v>3.079054555724622E-3</v>
      </c>
      <c r="W29">
        <v>2.0256937866609359E-3</v>
      </c>
      <c r="X29">
        <v>8.1027751466437436E-3</v>
      </c>
      <c r="Y29">
        <v>1.3987683366735833E-2</v>
      </c>
      <c r="Z29">
        <v>7.2475043350962859E-3</v>
      </c>
      <c r="AA29">
        <v>2.8990017340385144E-2</v>
      </c>
      <c r="AB29">
        <v>676674.04390599998</v>
      </c>
      <c r="AC29" s="33">
        <v>0</v>
      </c>
      <c r="AD29" s="33">
        <v>8.6970052021155431E-2</v>
      </c>
      <c r="AE29" s="33">
        <v>4.8616650879862458E-2</v>
      </c>
      <c r="AF29" s="33" t="s">
        <v>677</v>
      </c>
    </row>
    <row r="30" spans="1:32" x14ac:dyDescent="0.25">
      <c r="A30" s="125" t="s">
        <v>202</v>
      </c>
      <c r="B30" t="s">
        <v>681</v>
      </c>
      <c r="C30" s="126">
        <v>2.2042000000000002</v>
      </c>
      <c r="D30" s="126">
        <v>0.56650000000000011</v>
      </c>
      <c r="E30" s="126">
        <v>6.0255000000000001</v>
      </c>
      <c r="F30">
        <v>17105039.445560001</v>
      </c>
      <c r="G30">
        <v>0.96</v>
      </c>
      <c r="O30" t="s">
        <v>202</v>
      </c>
      <c r="P30">
        <v>6.1910510328653856E-2</v>
      </c>
      <c r="Q30">
        <v>3.2483909740343077E-2</v>
      </c>
      <c r="R30">
        <v>0.13872540277346512</v>
      </c>
      <c r="S30">
        <v>2.9044436944306747E-2</v>
      </c>
      <c r="T30">
        <v>1.9108182200201808E-2</v>
      </c>
      <c r="U30">
        <v>7.6432728800807231E-2</v>
      </c>
      <c r="V30">
        <v>1.5645893664224943E-2</v>
      </c>
      <c r="W30">
        <v>1.0293351094884832E-2</v>
      </c>
      <c r="X30">
        <v>4.1173404379539327E-2</v>
      </c>
      <c r="Y30">
        <v>7.3757583292778997E-2</v>
      </c>
      <c r="Z30">
        <v>3.8216364400403616E-2</v>
      </c>
      <c r="AA30">
        <v>0.15286545760161446</v>
      </c>
      <c r="AB30">
        <v>17105039.445560001</v>
      </c>
      <c r="AC30" s="33">
        <v>0.96</v>
      </c>
      <c r="AD30" s="33">
        <v>0.45859637280484339</v>
      </c>
      <c r="AE30" s="33">
        <v>0.24704042627723596</v>
      </c>
      <c r="AF30" s="33" t="s">
        <v>681</v>
      </c>
    </row>
    <row r="31" spans="1:32" x14ac:dyDescent="0.25">
      <c r="A31" s="125" t="s">
        <v>266</v>
      </c>
      <c r="B31" t="s">
        <v>679</v>
      </c>
      <c r="C31" s="126">
        <v>3.1106000000000003</v>
      </c>
      <c r="D31" s="126">
        <v>1.1433000000000002</v>
      </c>
      <c r="E31" s="126">
        <v>6.8597999999999999</v>
      </c>
      <c r="F31">
        <v>756551.48884699994</v>
      </c>
      <c r="G31">
        <v>0.77</v>
      </c>
      <c r="O31" t="s">
        <v>266</v>
      </c>
      <c r="P31">
        <v>4.0351553569695324E-2</v>
      </c>
      <c r="Q31">
        <v>2.1172111440889523E-2</v>
      </c>
      <c r="R31">
        <v>9.0417370035798778E-2</v>
      </c>
      <c r="S31">
        <v>1.8930358464795335E-2</v>
      </c>
      <c r="T31">
        <v>1.2454183200523248E-2</v>
      </c>
      <c r="U31">
        <v>4.9816732802092992E-2</v>
      </c>
      <c r="V31">
        <v>9.8017470542594923E-3</v>
      </c>
      <c r="W31">
        <v>6.4485177988549292E-3</v>
      </c>
      <c r="X31">
        <v>2.5794071195419717E-2</v>
      </c>
      <c r="Y31">
        <v>4.8073147154019738E-2</v>
      </c>
      <c r="Z31">
        <v>2.4908366401046496E-2</v>
      </c>
      <c r="AA31">
        <v>9.9633465604185983E-2</v>
      </c>
      <c r="AB31">
        <v>756551.48884699994</v>
      </c>
      <c r="AC31" s="33">
        <v>0.77</v>
      </c>
      <c r="AD31" s="33">
        <v>0.29890039681255792</v>
      </c>
      <c r="AE31" s="33">
        <v>0.15476442717251832</v>
      </c>
      <c r="AF31" s="33" t="s">
        <v>679</v>
      </c>
    </row>
    <row r="32" spans="1:32" x14ac:dyDescent="0.25">
      <c r="A32" s="125" t="s">
        <v>606</v>
      </c>
      <c r="B32" t="s">
        <v>677</v>
      </c>
      <c r="C32" s="126">
        <v>4.8925000000000001</v>
      </c>
      <c r="D32" s="126">
        <v>2.0497000000000001</v>
      </c>
      <c r="E32" s="126">
        <v>10.0631</v>
      </c>
      <c r="F32">
        <v>27301.688625999999</v>
      </c>
      <c r="G32">
        <v>0</v>
      </c>
      <c r="O32" t="s">
        <v>606</v>
      </c>
      <c r="P32">
        <v>1.5317222877538424E-2</v>
      </c>
      <c r="Q32">
        <v>8.0368144727825074E-3</v>
      </c>
      <c r="R32">
        <v>3.4321925336706464E-2</v>
      </c>
      <c r="S32">
        <v>7.1858576462525935E-3</v>
      </c>
      <c r="T32">
        <v>4.7275379251661802E-3</v>
      </c>
      <c r="U32">
        <v>1.8910151700664721E-2</v>
      </c>
      <c r="V32">
        <v>3.8567134709001256E-3</v>
      </c>
      <c r="W32">
        <v>2.5373114940132409E-3</v>
      </c>
      <c r="X32">
        <v>1.0149245976052964E-2</v>
      </c>
      <c r="Y32">
        <v>1.8248296391141457E-2</v>
      </c>
      <c r="Z32">
        <v>9.4550758503323604E-3</v>
      </c>
      <c r="AA32">
        <v>3.7820303401329441E-2</v>
      </c>
      <c r="AB32">
        <v>27301.688625999999</v>
      </c>
      <c r="AC32" s="33">
        <v>0</v>
      </c>
      <c r="AD32" s="33">
        <v>0.11346091020398832</v>
      </c>
      <c r="AE32" s="33">
        <v>6.0895475856317785E-2</v>
      </c>
      <c r="AF32" s="33" t="s">
        <v>677</v>
      </c>
    </row>
    <row r="33" spans="1:32" x14ac:dyDescent="0.25">
      <c r="A33" s="127" t="s">
        <v>611</v>
      </c>
      <c r="B33" t="s">
        <v>677</v>
      </c>
      <c r="C33" s="126">
        <v>1.0403</v>
      </c>
      <c r="D33" s="126">
        <v>0.3296</v>
      </c>
      <c r="E33" s="126">
        <v>2.5441000000000003</v>
      </c>
      <c r="F33">
        <v>3594691.7454240001</v>
      </c>
      <c r="G33">
        <v>0</v>
      </c>
      <c r="O33" t="s">
        <v>611</v>
      </c>
      <c r="P33">
        <v>9.4182281250000006E-3</v>
      </c>
      <c r="Q33">
        <v>4.9416629050925932E-3</v>
      </c>
      <c r="R33">
        <v>2.110380746527778E-2</v>
      </c>
      <c r="S33">
        <v>4.4184280092592594E-3</v>
      </c>
      <c r="T33">
        <v>2.9068605324074075E-3</v>
      </c>
      <c r="U33">
        <v>1.162744212962963E-2</v>
      </c>
      <c r="V33">
        <v>2.5199512345679014E-3</v>
      </c>
      <c r="W33">
        <v>1.657862654320988E-3</v>
      </c>
      <c r="X33">
        <v>6.6314506172839519E-3</v>
      </c>
      <c r="Y33">
        <v>1.1220481655092594E-2</v>
      </c>
      <c r="Z33">
        <v>5.813721064814815E-3</v>
      </c>
      <c r="AA33">
        <v>2.325488425925926E-2</v>
      </c>
      <c r="AB33">
        <v>3594691.7454240001</v>
      </c>
      <c r="AC33" s="33">
        <v>0</v>
      </c>
      <c r="AD33" s="33">
        <v>6.9764652777777783E-2</v>
      </c>
      <c r="AE33" s="33">
        <v>3.9788703703703708E-2</v>
      </c>
      <c r="AF33" s="33" t="s">
        <v>677</v>
      </c>
    </row>
    <row r="34" spans="1:32" x14ac:dyDescent="0.25">
      <c r="A34" s="125" t="s">
        <v>607</v>
      </c>
      <c r="B34" t="s">
        <v>677</v>
      </c>
      <c r="C34" s="126">
        <v>2.1732999999999998</v>
      </c>
      <c r="D34" s="126">
        <v>0.79310000000000003</v>
      </c>
      <c r="E34" s="126">
        <v>4.871900000000001</v>
      </c>
      <c r="F34">
        <v>177825.65719999999</v>
      </c>
      <c r="G34">
        <v>0</v>
      </c>
      <c r="O34" t="s">
        <v>607</v>
      </c>
      <c r="P34">
        <v>2.5008411400539894E-2</v>
      </c>
      <c r="Q34">
        <v>1.3121697339789452E-2</v>
      </c>
      <c r="R34">
        <v>5.6037366286394948E-2</v>
      </c>
      <c r="S34">
        <v>1.1732341150870566E-2</v>
      </c>
      <c r="T34">
        <v>7.7186454939937943E-3</v>
      </c>
      <c r="U34">
        <v>3.0874581975975177E-2</v>
      </c>
      <c r="V34">
        <v>6.4176908859462914E-3</v>
      </c>
      <c r="W34">
        <v>4.2221650565436126E-3</v>
      </c>
      <c r="X34">
        <v>1.688866022617445E-2</v>
      </c>
      <c r="Y34">
        <v>2.9793971606816051E-2</v>
      </c>
      <c r="Z34">
        <v>1.5437290987987589E-2</v>
      </c>
      <c r="AA34">
        <v>6.1749163951950355E-2</v>
      </c>
      <c r="AB34">
        <v>177825.65719999999</v>
      </c>
      <c r="AC34" s="33">
        <v>0</v>
      </c>
      <c r="AD34" s="33">
        <v>0.18524749185585107</v>
      </c>
      <c r="AE34" s="33">
        <v>0.10133196135704671</v>
      </c>
      <c r="AF34" s="33" t="s">
        <v>677</v>
      </c>
    </row>
    <row r="35" spans="1:32" x14ac:dyDescent="0.25">
      <c r="A35" s="125" t="s">
        <v>254</v>
      </c>
      <c r="B35" t="s">
        <v>679</v>
      </c>
      <c r="C35" s="126">
        <v>6.4169000000000009</v>
      </c>
      <c r="D35" s="126">
        <v>2.5544000000000002</v>
      </c>
      <c r="E35" s="126">
        <v>13.9771</v>
      </c>
      <c r="F35">
        <v>71226.133270999999</v>
      </c>
      <c r="G35">
        <v>0.87</v>
      </c>
      <c r="O35" t="s">
        <v>254</v>
      </c>
      <c r="P35">
        <v>7.4362520842793656E-2</v>
      </c>
      <c r="Q35">
        <v>3.9017372047144824E-2</v>
      </c>
      <c r="R35">
        <v>0.16662713003663024</v>
      </c>
      <c r="S35">
        <v>3.4886120889211836E-2</v>
      </c>
      <c r="T35">
        <v>2.2951395321849897E-2</v>
      </c>
      <c r="U35">
        <v>9.1805581287399587E-2</v>
      </c>
      <c r="V35">
        <v>1.8668033471665995E-2</v>
      </c>
      <c r="W35">
        <v>1.2281600968201313E-2</v>
      </c>
      <c r="X35">
        <v>4.9126403872805251E-2</v>
      </c>
      <c r="Y35">
        <v>8.8592385942340604E-2</v>
      </c>
      <c r="Z35">
        <v>4.5902790643699794E-2</v>
      </c>
      <c r="AA35">
        <v>0.18361116257479917</v>
      </c>
      <c r="AB35">
        <v>71226.133270999999</v>
      </c>
      <c r="AC35" s="33">
        <v>0.87</v>
      </c>
      <c r="AD35" s="33">
        <v>0.55083348772439744</v>
      </c>
      <c r="AE35" s="33">
        <v>0.29475842323683149</v>
      </c>
      <c r="AF35" s="33" t="s">
        <v>679</v>
      </c>
    </row>
    <row r="36" spans="1:32" x14ac:dyDescent="0.25">
      <c r="A36" s="125" t="s">
        <v>141</v>
      </c>
      <c r="B36" t="s">
        <v>677</v>
      </c>
      <c r="C36" s="126">
        <v>1.8437000000000001</v>
      </c>
      <c r="D36" s="126">
        <v>0.6695000000000001</v>
      </c>
      <c r="E36" s="126">
        <v>4.1921000000000008</v>
      </c>
      <c r="F36">
        <v>923095.70583000011</v>
      </c>
      <c r="G36">
        <v>0.09</v>
      </c>
      <c r="O36" t="s">
        <v>141</v>
      </c>
      <c r="P36">
        <v>2.5316719791173867E-2</v>
      </c>
      <c r="Q36">
        <v>1.3283464087961598E-2</v>
      </c>
      <c r="R36">
        <v>5.6728205458000704E-2</v>
      </c>
      <c r="S36">
        <v>1.1876979655118603E-2</v>
      </c>
      <c r="T36">
        <v>7.813802404683292E-3</v>
      </c>
      <c r="U36">
        <v>3.1255209618733168E-2</v>
      </c>
      <c r="V36">
        <v>6.4074566373665586E-3</v>
      </c>
      <c r="W36">
        <v>4.2154319982674734E-3</v>
      </c>
      <c r="X36">
        <v>1.6861727993069894E-2</v>
      </c>
      <c r="Y36">
        <v>3.0161277282077511E-2</v>
      </c>
      <c r="Z36">
        <v>1.5627604809366584E-2</v>
      </c>
      <c r="AA36">
        <v>6.2510419237466336E-2</v>
      </c>
      <c r="AB36">
        <v>923095.70583000011</v>
      </c>
      <c r="AC36" s="33">
        <v>0.09</v>
      </c>
      <c r="AD36" s="33">
        <v>0.18753125771239901</v>
      </c>
      <c r="AE36" s="33">
        <v>0.10117036795841935</v>
      </c>
      <c r="AF36" s="33" t="s">
        <v>677</v>
      </c>
    </row>
    <row r="37" spans="1:32" x14ac:dyDescent="0.25">
      <c r="A37" s="125" t="s">
        <v>232</v>
      </c>
      <c r="B37" t="s">
        <v>679</v>
      </c>
      <c r="C37" s="126">
        <v>5.5620000000000003</v>
      </c>
      <c r="D37" s="126">
        <v>2.4102000000000001</v>
      </c>
      <c r="E37" s="126">
        <v>11.1652</v>
      </c>
      <c r="F37">
        <v>115794.20602800002</v>
      </c>
      <c r="G37">
        <v>0.99</v>
      </c>
      <c r="O37" t="s">
        <v>232</v>
      </c>
      <c r="P37">
        <v>5.4330658871382533E-2</v>
      </c>
      <c r="Q37">
        <v>2.8506827185601949E-2</v>
      </c>
      <c r="R37">
        <v>0.12174092080439419</v>
      </c>
      <c r="S37">
        <v>2.5488457248302916E-2</v>
      </c>
      <c r="T37">
        <v>1.6768721873883501E-2</v>
      </c>
      <c r="U37">
        <v>6.7074887495534002E-2</v>
      </c>
      <c r="V37">
        <v>1.3450551025547906E-2</v>
      </c>
      <c r="W37">
        <v>8.8490467273341488E-3</v>
      </c>
      <c r="X37">
        <v>3.5396186909336595E-2</v>
      </c>
      <c r="Y37">
        <v>6.4727266433190309E-2</v>
      </c>
      <c r="Z37">
        <v>3.3537443747767001E-2</v>
      </c>
      <c r="AA37">
        <v>0.134149774991068</v>
      </c>
      <c r="AB37">
        <v>115794.20602800002</v>
      </c>
      <c r="AC37" s="33">
        <v>0.99</v>
      </c>
      <c r="AD37" s="33">
        <v>0.40244932497320396</v>
      </c>
      <c r="AE37" s="33">
        <v>0.21237712145601959</v>
      </c>
      <c r="AF37" s="33" t="s">
        <v>679</v>
      </c>
    </row>
    <row r="38" spans="1:32" x14ac:dyDescent="0.25">
      <c r="A38" s="125" t="s">
        <v>103</v>
      </c>
      <c r="B38" t="s">
        <v>673</v>
      </c>
      <c r="C38" s="126">
        <v>4.1406000000000001</v>
      </c>
      <c r="D38" s="126">
        <v>1.7098</v>
      </c>
      <c r="E38" s="126">
        <v>8.6314000000000011</v>
      </c>
      <c r="F38">
        <v>21121.319115000002</v>
      </c>
      <c r="G38">
        <v>0.95</v>
      </c>
      <c r="O38" t="s">
        <v>103</v>
      </c>
      <c r="P38">
        <v>3.7662715469940711E-2</v>
      </c>
      <c r="Q38">
        <v>1.9761301326820743E-2</v>
      </c>
      <c r="R38">
        <v>8.4392380960422703E-2</v>
      </c>
      <c r="S38">
        <v>1.7668928245157367E-2</v>
      </c>
      <c r="T38">
        <v>1.1624294898129849E-2</v>
      </c>
      <c r="U38">
        <v>4.6497179592519394E-2</v>
      </c>
      <c r="V38">
        <v>9.6123811146767383E-3</v>
      </c>
      <c r="W38">
        <v>6.3239349438662757E-3</v>
      </c>
      <c r="X38">
        <v>2.5295739775465103E-2</v>
      </c>
      <c r="Y38">
        <v>4.4869778306781218E-2</v>
      </c>
      <c r="Z38">
        <v>2.3248589796259697E-2</v>
      </c>
      <c r="AA38">
        <v>9.2994359185038789E-2</v>
      </c>
      <c r="AB38">
        <v>21121.319115000002</v>
      </c>
      <c r="AC38" s="33">
        <v>0.95</v>
      </c>
      <c r="AD38" s="33">
        <v>0.27898307755511637</v>
      </c>
      <c r="AE38" s="33">
        <v>0.15177443865279061</v>
      </c>
      <c r="AF38" s="33" t="s">
        <v>673</v>
      </c>
    </row>
    <row r="39" spans="1:32" x14ac:dyDescent="0.25">
      <c r="A39" s="125" t="s">
        <v>234</v>
      </c>
      <c r="B39" t="s">
        <v>679</v>
      </c>
      <c r="C39" s="126">
        <v>14.9556</v>
      </c>
      <c r="D39" s="126">
        <v>4.5526</v>
      </c>
      <c r="E39" s="126">
        <v>37.718599999999995</v>
      </c>
      <c r="F39">
        <v>861.69600000000014</v>
      </c>
      <c r="G39">
        <v>0.97</v>
      </c>
      <c r="O39" t="s">
        <v>234</v>
      </c>
      <c r="P39">
        <v>4.6109140007661073E-2</v>
      </c>
      <c r="Q39">
        <v>2.4193067287970316E-2</v>
      </c>
      <c r="R39">
        <v>0.10331862853568499</v>
      </c>
      <c r="S39">
        <v>2.1631448398655811E-2</v>
      </c>
      <c r="T39">
        <v>1.4231216051747245E-2</v>
      </c>
      <c r="U39">
        <v>5.692486420698898E-2</v>
      </c>
      <c r="V39">
        <v>1.2366113718786344E-2</v>
      </c>
      <c r="W39">
        <v>8.1356011307804916E-3</v>
      </c>
      <c r="X39">
        <v>3.2542404523121966E-2</v>
      </c>
      <c r="Y39">
        <v>5.4932493959744366E-2</v>
      </c>
      <c r="Z39">
        <v>2.846243210349449E-2</v>
      </c>
      <c r="AA39">
        <v>0.11384972841397796</v>
      </c>
      <c r="AB39">
        <v>861.69600000000014</v>
      </c>
      <c r="AC39" s="33">
        <v>0.97</v>
      </c>
      <c r="AD39" s="33">
        <v>0.34154918524193384</v>
      </c>
      <c r="AE39" s="33">
        <v>0.19525442713873178</v>
      </c>
      <c r="AF39" s="33" t="s">
        <v>679</v>
      </c>
    </row>
    <row r="40" spans="1:32" x14ac:dyDescent="0.25">
      <c r="A40" s="125" t="s">
        <v>614</v>
      </c>
      <c r="B40" t="s">
        <v>679</v>
      </c>
      <c r="C40" s="126">
        <v>4.7071000000000005</v>
      </c>
      <c r="D40" s="126">
        <v>1.9673</v>
      </c>
      <c r="E40" s="126">
        <v>9.8056000000000001</v>
      </c>
      <c r="F40">
        <v>211396.368545</v>
      </c>
      <c r="G40">
        <v>0.66</v>
      </c>
      <c r="O40" t="s">
        <v>614</v>
      </c>
      <c r="P40">
        <v>5.0989716894542389E-2</v>
      </c>
      <c r="Q40">
        <v>2.6753863802691995E-2</v>
      </c>
      <c r="R40">
        <v>0.11425473600443757</v>
      </c>
      <c r="S40">
        <v>2.3921101752995191E-2</v>
      </c>
      <c r="T40">
        <v>1.5737566942759997E-2</v>
      </c>
      <c r="U40">
        <v>6.2950267771039986E-2</v>
      </c>
      <c r="V40">
        <v>1.2627671239260799E-2</v>
      </c>
      <c r="W40">
        <v>8.3076784468821049E-3</v>
      </c>
      <c r="X40">
        <v>3.3230713787528419E-2</v>
      </c>
      <c r="Y40">
        <v>6.0747008399053594E-2</v>
      </c>
      <c r="Z40">
        <v>3.1475133885519993E-2</v>
      </c>
      <c r="AA40">
        <v>0.12590053554207997</v>
      </c>
      <c r="AB40">
        <v>211396.368545</v>
      </c>
      <c r="AC40" s="33">
        <v>0.66</v>
      </c>
      <c r="AD40" s="33">
        <v>0.37770160662623992</v>
      </c>
      <c r="AE40" s="33">
        <v>0.19938428272517053</v>
      </c>
      <c r="AF40" s="33" t="s">
        <v>679</v>
      </c>
    </row>
    <row r="41" spans="1:32" x14ac:dyDescent="0.25">
      <c r="A41" s="125" t="s">
        <v>267</v>
      </c>
      <c r="B41" t="s">
        <v>679</v>
      </c>
      <c r="C41" s="126">
        <v>3.1208999999999998</v>
      </c>
      <c r="D41" s="126">
        <v>1.1227</v>
      </c>
      <c r="E41" s="126">
        <v>7.1173000000000002</v>
      </c>
      <c r="F41">
        <v>344971.333392</v>
      </c>
      <c r="G41">
        <v>0.71</v>
      </c>
      <c r="O41" t="s">
        <v>267</v>
      </c>
      <c r="P41">
        <v>3.7476926130940037E-2</v>
      </c>
      <c r="Q41">
        <v>1.9663819266233971E-2</v>
      </c>
      <c r="R41">
        <v>8.3976075219328608E-2</v>
      </c>
      <c r="S41">
        <v>1.7581767814515079E-2</v>
      </c>
      <c r="T41">
        <v>1.1566952509549394E-2</v>
      </c>
      <c r="U41">
        <v>4.6267810038197577E-2</v>
      </c>
      <c r="V41">
        <v>9.4284227452528895E-3</v>
      </c>
      <c r="W41">
        <v>6.2029097008242697E-3</v>
      </c>
      <c r="X41">
        <v>2.4811638803297079E-2</v>
      </c>
      <c r="Y41">
        <v>4.4648436686860665E-2</v>
      </c>
      <c r="Z41">
        <v>2.3133905019098788E-2</v>
      </c>
      <c r="AA41">
        <v>9.2535620076395153E-2</v>
      </c>
      <c r="AB41">
        <v>344971.333392</v>
      </c>
      <c r="AC41" s="33">
        <v>0.71</v>
      </c>
      <c r="AD41" s="33">
        <v>0.27760686022918546</v>
      </c>
      <c r="AE41" s="33">
        <v>0.14886983281978247</v>
      </c>
      <c r="AF41" s="33" t="s">
        <v>679</v>
      </c>
    </row>
    <row r="42" spans="1:32" x14ac:dyDescent="0.25">
      <c r="A42" s="125" t="s">
        <v>158</v>
      </c>
      <c r="B42" t="s">
        <v>673</v>
      </c>
      <c r="C42" s="126">
        <v>2.3174999999999999</v>
      </c>
      <c r="D42" s="126">
        <v>0.81370000000000009</v>
      </c>
      <c r="E42" s="126">
        <v>5.2427000000000001</v>
      </c>
      <c r="F42">
        <v>2664098.760888</v>
      </c>
      <c r="G42">
        <v>0.91</v>
      </c>
      <c r="O42" t="s">
        <v>158</v>
      </c>
      <c r="P42">
        <v>3.2992885896743415E-2</v>
      </c>
      <c r="Q42">
        <v>1.7311082106315989E-2</v>
      </c>
      <c r="R42">
        <v>7.3928503583443578E-2</v>
      </c>
      <c r="S42">
        <v>1.5478144000941352E-2</v>
      </c>
      <c r="T42">
        <v>1.0182989474303523E-2</v>
      </c>
      <c r="U42">
        <v>4.0731957897214094E-2</v>
      </c>
      <c r="V42">
        <v>8.4985052953679384E-3</v>
      </c>
      <c r="W42">
        <v>5.5911219048473283E-3</v>
      </c>
      <c r="X42">
        <v>2.2364487619389313E-2</v>
      </c>
      <c r="Y42">
        <v>3.9306339370811599E-2</v>
      </c>
      <c r="Z42">
        <v>2.0365978948607047E-2</v>
      </c>
      <c r="AA42">
        <v>8.1463915794428188E-2</v>
      </c>
      <c r="AB42">
        <v>2664098.760888</v>
      </c>
      <c r="AC42" s="33">
        <v>0.91</v>
      </c>
      <c r="AD42" s="33">
        <v>0.24439174738328454</v>
      </c>
      <c r="AE42" s="33">
        <v>0.13418692571633586</v>
      </c>
      <c r="AF42" s="33" t="s">
        <v>673</v>
      </c>
    </row>
    <row r="43" spans="1:32" x14ac:dyDescent="0.25">
      <c r="A43" s="125" t="s">
        <v>255</v>
      </c>
      <c r="B43" t="s">
        <v>679</v>
      </c>
      <c r="C43" s="126">
        <v>2.9457999999999998</v>
      </c>
      <c r="D43" s="126">
        <v>1.1124000000000001</v>
      </c>
      <c r="E43" s="126">
        <v>6.5611000000000006</v>
      </c>
      <c r="F43">
        <v>118629.15610000001</v>
      </c>
      <c r="G43">
        <v>0.76</v>
      </c>
      <c r="O43" t="s">
        <v>255</v>
      </c>
      <c r="P43">
        <v>4.8305471057388624E-2</v>
      </c>
      <c r="Q43">
        <v>2.5345463209123665E-2</v>
      </c>
      <c r="R43">
        <v>0.10824003699896341</v>
      </c>
      <c r="S43">
        <v>2.2661825928157627E-2</v>
      </c>
      <c r="T43">
        <v>1.490909600536686E-2</v>
      </c>
      <c r="U43">
        <v>5.963638402146744E-2</v>
      </c>
      <c r="V43">
        <v>1.1786333420893483E-2</v>
      </c>
      <c r="W43">
        <v>7.7541667242720293E-3</v>
      </c>
      <c r="X43">
        <v>3.1016666897088117E-2</v>
      </c>
      <c r="Y43">
        <v>5.7549110580716087E-2</v>
      </c>
      <c r="Z43">
        <v>2.981819201073372E-2</v>
      </c>
      <c r="AA43">
        <v>0.11927276804293488</v>
      </c>
      <c r="AB43">
        <v>118629.15610000001</v>
      </c>
      <c r="AC43" s="33">
        <v>0.76</v>
      </c>
      <c r="AD43" s="33">
        <v>0.35781830412880467</v>
      </c>
      <c r="AE43" s="33">
        <v>0.18610000138252872</v>
      </c>
      <c r="AF43" s="33" t="s">
        <v>679</v>
      </c>
    </row>
    <row r="44" spans="1:32" x14ac:dyDescent="0.25">
      <c r="A44" s="125" t="s">
        <v>128</v>
      </c>
      <c r="B44" t="s">
        <v>677</v>
      </c>
      <c r="C44" s="126">
        <v>1.4419999999999999</v>
      </c>
      <c r="D44" s="126">
        <v>9.2700000000000005E-2</v>
      </c>
      <c r="E44" s="126">
        <v>6.9627999999999997</v>
      </c>
      <c r="F44">
        <v>45363.021827999997</v>
      </c>
      <c r="G44">
        <v>0</v>
      </c>
      <c r="O44" t="s">
        <v>128</v>
      </c>
      <c r="P44">
        <v>4.9245815625501496E-2</v>
      </c>
      <c r="Q44">
        <v>2.583885387757795E-2</v>
      </c>
      <c r="R44">
        <v>0.11034710538306816</v>
      </c>
      <c r="S44">
        <v>2.3102975231716751E-2</v>
      </c>
      <c r="T44">
        <v>1.5199325810339968E-2</v>
      </c>
      <c r="U44">
        <v>6.0797303241359874E-2</v>
      </c>
      <c r="V44">
        <v>1.2398674076314514E-2</v>
      </c>
      <c r="W44">
        <v>8.1570224186279707E-3</v>
      </c>
      <c r="X44">
        <v>3.2628089674511883E-2</v>
      </c>
      <c r="Y44">
        <v>5.8669397627912283E-2</v>
      </c>
      <c r="Z44">
        <v>3.0398651620679937E-2</v>
      </c>
      <c r="AA44">
        <v>0.12159460648271975</v>
      </c>
      <c r="AB44">
        <v>45363.021827999997</v>
      </c>
      <c r="AC44" s="33">
        <v>0</v>
      </c>
      <c r="AD44" s="33">
        <v>0.36478381944815924</v>
      </c>
      <c r="AE44" s="33">
        <v>0.19576853804707131</v>
      </c>
      <c r="AF44" s="33" t="s">
        <v>677</v>
      </c>
    </row>
    <row r="45" spans="1:32" x14ac:dyDescent="0.25">
      <c r="A45" s="125" t="s">
        <v>104</v>
      </c>
      <c r="B45" t="s">
        <v>677</v>
      </c>
      <c r="C45" s="126">
        <v>3.5844</v>
      </c>
      <c r="D45" s="126">
        <v>1.1741999999999999</v>
      </c>
      <c r="E45" s="126">
        <v>8.775599999999999</v>
      </c>
      <c r="F45">
        <v>107137.676412</v>
      </c>
      <c r="G45">
        <v>0</v>
      </c>
      <c r="O45" t="s">
        <v>104</v>
      </c>
      <c r="P45">
        <v>1.037438265069013E-2</v>
      </c>
      <c r="Q45">
        <v>5.4433489216584021E-3</v>
      </c>
      <c r="R45">
        <v>2.324630186543529E-2</v>
      </c>
      <c r="S45">
        <v>4.866994329953394E-3</v>
      </c>
      <c r="T45">
        <v>3.2019699539167067E-3</v>
      </c>
      <c r="U45">
        <v>1.2807879815666827E-2</v>
      </c>
      <c r="V45">
        <v>2.7881659526035624E-3</v>
      </c>
      <c r="W45">
        <v>1.8343197056602386E-3</v>
      </c>
      <c r="X45">
        <v>7.3372788226409545E-3</v>
      </c>
      <c r="Y45">
        <v>1.2359604022118491E-2</v>
      </c>
      <c r="Z45">
        <v>6.4039399078334135E-3</v>
      </c>
      <c r="AA45">
        <v>2.5615759631333654E-2</v>
      </c>
      <c r="AB45">
        <v>107137.676412</v>
      </c>
      <c r="AC45" s="33">
        <v>0</v>
      </c>
      <c r="AD45" s="33">
        <v>7.6847278894000962E-2</v>
      </c>
      <c r="AE45" s="33">
        <v>4.4023672935845727E-2</v>
      </c>
      <c r="AF45" s="33" t="s">
        <v>677</v>
      </c>
    </row>
    <row r="46" spans="1:32" x14ac:dyDescent="0.25">
      <c r="A46" s="125" t="s">
        <v>133</v>
      </c>
      <c r="B46" t="s">
        <v>677</v>
      </c>
      <c r="C46" s="126">
        <v>5.8503999999999996</v>
      </c>
      <c r="D46" s="126">
        <v>2.5131999999999999</v>
      </c>
      <c r="E46" s="126">
        <v>11.9274</v>
      </c>
      <c r="F46">
        <v>30670.076829000001</v>
      </c>
      <c r="G46">
        <v>0</v>
      </c>
      <c r="O46" t="s">
        <v>133</v>
      </c>
      <c r="P46">
        <v>4.1538968373898727E-2</v>
      </c>
      <c r="Q46">
        <v>2.1795137727045631E-2</v>
      </c>
      <c r="R46">
        <v>9.3078058763736038E-2</v>
      </c>
      <c r="S46">
        <v>1.9487417261829031E-2</v>
      </c>
      <c r="T46">
        <v>1.2820669251203311E-2</v>
      </c>
      <c r="U46">
        <v>5.1282677004813246E-2</v>
      </c>
      <c r="V46">
        <v>1.0962802419293512E-2</v>
      </c>
      <c r="W46">
        <v>7.212370012693101E-3</v>
      </c>
      <c r="X46">
        <v>2.8849480050772404E-2</v>
      </c>
      <c r="Y46">
        <v>4.9487783309644789E-2</v>
      </c>
      <c r="Z46">
        <v>2.5641338502406623E-2</v>
      </c>
      <c r="AA46">
        <v>0.10256535400962649</v>
      </c>
      <c r="AB46">
        <v>30670.076829000001</v>
      </c>
      <c r="AC46" s="33">
        <v>0</v>
      </c>
      <c r="AD46" s="33">
        <v>0.3076960620288795</v>
      </c>
      <c r="AE46" s="33">
        <v>0.17309688030463441</v>
      </c>
      <c r="AF46" s="33" t="s">
        <v>677</v>
      </c>
    </row>
    <row r="47" spans="1:32" x14ac:dyDescent="0.25">
      <c r="A47" s="125" t="s">
        <v>105</v>
      </c>
      <c r="B47" t="s">
        <v>677</v>
      </c>
      <c r="C47" s="126">
        <v>0.8034</v>
      </c>
      <c r="D47" s="126">
        <v>0.2266</v>
      </c>
      <c r="E47" s="126">
        <v>2.0909</v>
      </c>
      <c r="F47">
        <v>3650516.2171169999</v>
      </c>
      <c r="G47">
        <v>0</v>
      </c>
      <c r="O47" t="s">
        <v>105</v>
      </c>
      <c r="P47">
        <v>1.3983738338066966E-2</v>
      </c>
      <c r="Q47">
        <v>7.3371466588622973E-3</v>
      </c>
      <c r="R47">
        <v>3.133393220196487E-2</v>
      </c>
      <c r="S47">
        <v>6.5602723067474649E-3</v>
      </c>
      <c r="T47">
        <v>4.3159686228601748E-3</v>
      </c>
      <c r="U47">
        <v>1.7263874491440699E-2</v>
      </c>
      <c r="V47">
        <v>3.7135795443421554E-3</v>
      </c>
      <c r="W47">
        <v>2.4431444370672075E-3</v>
      </c>
      <c r="X47">
        <v>9.7725777482688299E-3</v>
      </c>
      <c r="Y47">
        <v>1.6659638884240276E-2</v>
      </c>
      <c r="Z47">
        <v>8.6319372457203496E-3</v>
      </c>
      <c r="AA47">
        <v>3.4527748982881398E-2</v>
      </c>
      <c r="AB47">
        <v>3650516.2171169999</v>
      </c>
      <c r="AC47" s="33">
        <v>0</v>
      </c>
      <c r="AD47" s="33">
        <v>0.10358324694864419</v>
      </c>
      <c r="AE47" s="33">
        <v>5.8635466489612979E-2</v>
      </c>
      <c r="AF47" s="33" t="s">
        <v>677</v>
      </c>
    </row>
    <row r="48" spans="1:32" x14ac:dyDescent="0.25">
      <c r="A48" s="125" t="s">
        <v>281</v>
      </c>
      <c r="B48" t="s">
        <v>681</v>
      </c>
      <c r="C48" s="126">
        <v>9.2494000000000014</v>
      </c>
      <c r="D48" s="126">
        <v>4.0170000000000003</v>
      </c>
      <c r="E48" s="126">
        <v>8.5901999999999994</v>
      </c>
      <c r="F48">
        <v>19110.003714999999</v>
      </c>
      <c r="G48">
        <v>0.99</v>
      </c>
      <c r="O48" t="s">
        <v>281</v>
      </c>
      <c r="P48">
        <v>3.5535057471646481E-2</v>
      </c>
      <c r="Q48">
        <v>1.8644937562283647E-2</v>
      </c>
      <c r="R48">
        <v>7.9624851001281929E-2</v>
      </c>
      <c r="S48">
        <v>1.6670767702747731E-2</v>
      </c>
      <c r="T48">
        <v>1.0967610330755087E-2</v>
      </c>
      <c r="U48">
        <v>4.387044132302035E-2</v>
      </c>
      <c r="V48">
        <v>9.4163241599956524E-3</v>
      </c>
      <c r="W48">
        <v>6.1949501052602982E-3</v>
      </c>
      <c r="X48">
        <v>2.4779800421041193E-2</v>
      </c>
      <c r="Y48">
        <v>4.2334975876714642E-2</v>
      </c>
      <c r="Z48">
        <v>2.1935220661510175E-2</v>
      </c>
      <c r="AA48">
        <v>8.7740882646040699E-2</v>
      </c>
      <c r="AB48">
        <v>19110.003714999999</v>
      </c>
      <c r="AC48" s="33">
        <v>0.99</v>
      </c>
      <c r="AD48" s="33">
        <v>0.26322264793812206</v>
      </c>
      <c r="AE48" s="33">
        <v>0.14867880252624716</v>
      </c>
      <c r="AF48" s="33" t="s">
        <v>681</v>
      </c>
    </row>
    <row r="49" spans="1:32" x14ac:dyDescent="0.25">
      <c r="A49" s="125" t="s">
        <v>129</v>
      </c>
      <c r="B49" t="s">
        <v>677</v>
      </c>
      <c r="C49" s="126">
        <v>3.3784000000000001</v>
      </c>
      <c r="D49" s="126">
        <v>0.91670000000000007</v>
      </c>
      <c r="E49" s="126">
        <v>9.115499999999999</v>
      </c>
      <c r="F49">
        <v>69513.805687999993</v>
      </c>
      <c r="G49">
        <v>0</v>
      </c>
      <c r="O49" t="s">
        <v>129</v>
      </c>
      <c r="P49">
        <v>4.4543650606067402E-2</v>
      </c>
      <c r="Q49">
        <v>2.3371668527874871E-2</v>
      </c>
      <c r="R49">
        <v>9.9810772654336202E-2</v>
      </c>
      <c r="S49">
        <v>2.0897021271982234E-2</v>
      </c>
      <c r="T49">
        <v>1.3748040310514629E-2</v>
      </c>
      <c r="U49">
        <v>5.4992161242058517E-2</v>
      </c>
      <c r="V49">
        <v>1.1842298215362628E-2</v>
      </c>
      <c r="W49">
        <v>7.7909856680017297E-3</v>
      </c>
      <c r="X49">
        <v>3.1163942672006919E-2</v>
      </c>
      <c r="Y49">
        <v>5.3067435598586475E-2</v>
      </c>
      <c r="Z49">
        <v>2.7496080621029258E-2</v>
      </c>
      <c r="AA49">
        <v>0.10998432248411703</v>
      </c>
      <c r="AB49">
        <v>69513.805687999993</v>
      </c>
      <c r="AC49" s="33">
        <v>0</v>
      </c>
      <c r="AD49" s="33">
        <v>0.32995296745235109</v>
      </c>
      <c r="AE49" s="33">
        <v>0.18698365603204153</v>
      </c>
      <c r="AF49" s="33" t="s">
        <v>677</v>
      </c>
    </row>
    <row r="50" spans="1:32" x14ac:dyDescent="0.25">
      <c r="A50" s="125" t="s">
        <v>617</v>
      </c>
      <c r="B50" t="s">
        <v>677</v>
      </c>
      <c r="C50" s="126">
        <v>3.6153</v>
      </c>
      <c r="D50" s="126">
        <v>1.1536000000000002</v>
      </c>
      <c r="E50" s="126">
        <v>8.9404000000000003</v>
      </c>
      <c r="F50">
        <v>90982.61078399999</v>
      </c>
      <c r="G50">
        <v>0</v>
      </c>
      <c r="O50" t="s">
        <v>617</v>
      </c>
      <c r="P50">
        <v>1.261358767093611E-2</v>
      </c>
      <c r="Q50">
        <v>6.6182404446269716E-3</v>
      </c>
      <c r="R50">
        <v>2.8263779781171654E-2</v>
      </c>
      <c r="S50">
        <v>5.9174855740194094E-3</v>
      </c>
      <c r="T50">
        <v>3.8930826144864539E-3</v>
      </c>
      <c r="U50">
        <v>1.5572330457945815E-2</v>
      </c>
      <c r="V50">
        <v>3.3753196805867756E-3</v>
      </c>
      <c r="W50">
        <v>2.220605053017616E-3</v>
      </c>
      <c r="X50">
        <v>8.8824202120704639E-3</v>
      </c>
      <c r="Y50">
        <v>1.5027298891917713E-2</v>
      </c>
      <c r="Z50">
        <v>7.7861652289729077E-3</v>
      </c>
      <c r="AA50">
        <v>3.1144660915891631E-2</v>
      </c>
      <c r="AB50">
        <v>90982.61078399999</v>
      </c>
      <c r="AC50" s="33">
        <v>0</v>
      </c>
      <c r="AD50" s="33">
        <v>9.3433982747674893E-2</v>
      </c>
      <c r="AE50" s="33">
        <v>5.3294521272422776E-2</v>
      </c>
      <c r="AF50" s="33" t="s">
        <v>677</v>
      </c>
    </row>
    <row r="51" spans="1:32" x14ac:dyDescent="0.25">
      <c r="A51" s="125" t="s">
        <v>169</v>
      </c>
      <c r="B51" t="s">
        <v>675</v>
      </c>
      <c r="C51" s="126">
        <v>4.9131</v>
      </c>
      <c r="D51" s="126">
        <v>2.1836000000000002</v>
      </c>
      <c r="E51" s="126">
        <v>9.8262</v>
      </c>
      <c r="F51">
        <v>54339.976152000003</v>
      </c>
      <c r="G51">
        <v>0.94</v>
      </c>
      <c r="O51" t="s">
        <v>169</v>
      </c>
      <c r="P51">
        <v>2.936590675062023E-2</v>
      </c>
      <c r="Q51">
        <v>1.5408037492609382E-2</v>
      </c>
      <c r="R51">
        <v>6.5801383644908298E-2</v>
      </c>
      <c r="S51">
        <v>1.3776598228686033E-2</v>
      </c>
      <c r="T51">
        <v>9.0635514662408111E-3</v>
      </c>
      <c r="U51">
        <v>3.6254205864963245E-2</v>
      </c>
      <c r="V51">
        <v>7.1625495694992887E-3</v>
      </c>
      <c r="W51">
        <v>4.712203664144269E-3</v>
      </c>
      <c r="X51">
        <v>1.8848814656577076E-2</v>
      </c>
      <c r="Y51">
        <v>3.4985308659689539E-2</v>
      </c>
      <c r="Z51">
        <v>1.8127102932481622E-2</v>
      </c>
      <c r="AA51">
        <v>7.2508411729926489E-2</v>
      </c>
      <c r="AB51">
        <v>54339.976152000003</v>
      </c>
      <c r="AC51" s="33">
        <v>0.94</v>
      </c>
      <c r="AD51" s="33">
        <v>0.21752523518977948</v>
      </c>
      <c r="AE51" s="33">
        <v>0.11309288793946246</v>
      </c>
      <c r="AF51" s="33" t="s">
        <v>675</v>
      </c>
    </row>
    <row r="52" spans="1:32" x14ac:dyDescent="0.25">
      <c r="A52" s="125" t="s">
        <v>143</v>
      </c>
      <c r="B52" t="s">
        <v>677</v>
      </c>
      <c r="C52" s="126">
        <v>3.1312000000000002</v>
      </c>
      <c r="D52" s="126">
        <v>0.92700000000000005</v>
      </c>
      <c r="E52" s="126">
        <v>8.1782000000000004</v>
      </c>
      <c r="F52">
        <v>899577.7324920001</v>
      </c>
      <c r="G52">
        <v>0</v>
      </c>
      <c r="O52" t="s">
        <v>143</v>
      </c>
      <c r="P52">
        <v>2.3277621059807376E-2</v>
      </c>
      <c r="Q52">
        <v>1.2213566605454489E-2</v>
      </c>
      <c r="R52">
        <v>5.2159113856235048E-2</v>
      </c>
      <c r="S52">
        <v>1.0920365435465188E-2</v>
      </c>
      <c r="T52">
        <v>7.1844509443849923E-3</v>
      </c>
      <c r="U52">
        <v>2.8737803777539969E-2</v>
      </c>
      <c r="V52">
        <v>6.1985475229973889E-3</v>
      </c>
      <c r="W52">
        <v>4.0779917914456508E-3</v>
      </c>
      <c r="X52">
        <v>1.6311967165782603E-2</v>
      </c>
      <c r="Y52">
        <v>2.7731980645326074E-2</v>
      </c>
      <c r="Z52">
        <v>1.4368901888769985E-2</v>
      </c>
      <c r="AA52">
        <v>5.7475607555079938E-2</v>
      </c>
      <c r="AB52">
        <v>899577.7324920001</v>
      </c>
      <c r="AC52" s="33">
        <v>0</v>
      </c>
      <c r="AD52" s="33">
        <v>0.17242682266523982</v>
      </c>
      <c r="AE52" s="33">
        <v>9.7871802994695625E-2</v>
      </c>
      <c r="AF52" s="33" t="s">
        <v>677</v>
      </c>
    </row>
    <row r="53" spans="1:32" x14ac:dyDescent="0.25">
      <c r="A53" s="125" t="s">
        <v>236</v>
      </c>
      <c r="B53" t="s">
        <v>679</v>
      </c>
      <c r="C53" s="126">
        <v>16.026800000000001</v>
      </c>
      <c r="D53" s="126">
        <v>5.2324000000000002</v>
      </c>
      <c r="E53" s="126">
        <v>39.572600000000001</v>
      </c>
      <c r="F53">
        <v>1858.7851919999998</v>
      </c>
      <c r="G53">
        <v>0.96</v>
      </c>
      <c r="O53" t="s">
        <v>236</v>
      </c>
      <c r="P53">
        <v>6.191938463144054E-2</v>
      </c>
      <c r="Q53">
        <v>3.2488566010323738E-2</v>
      </c>
      <c r="R53">
        <v>0.1387452877852649</v>
      </c>
      <c r="S53">
        <v>2.904860019746593E-2</v>
      </c>
      <c r="T53">
        <v>1.9110921182543376E-2</v>
      </c>
      <c r="U53">
        <v>7.6443684730173503E-2</v>
      </c>
      <c r="V53">
        <v>1.6479888976453496E-2</v>
      </c>
      <c r="W53">
        <v>1.0842032221350984E-2</v>
      </c>
      <c r="X53">
        <v>4.3368128885403937E-2</v>
      </c>
      <c r="Y53">
        <v>7.3768155764617441E-2</v>
      </c>
      <c r="Z53">
        <v>3.8221842365086751E-2</v>
      </c>
      <c r="AA53">
        <v>0.15288736946034701</v>
      </c>
      <c r="AB53">
        <v>1858.7851919999998</v>
      </c>
      <c r="AC53" s="33">
        <v>0.96</v>
      </c>
      <c r="AD53" s="33">
        <v>0.45866210838104104</v>
      </c>
      <c r="AE53" s="33">
        <v>0.26020877331242365</v>
      </c>
      <c r="AF53" s="33" t="s">
        <v>679</v>
      </c>
    </row>
    <row r="54" spans="1:32" x14ac:dyDescent="0.25">
      <c r="A54" s="125" t="s">
        <v>256</v>
      </c>
      <c r="B54" t="s">
        <v>679</v>
      </c>
      <c r="C54" s="126">
        <v>2.8943000000000003</v>
      </c>
      <c r="D54" s="126">
        <v>1.1227</v>
      </c>
      <c r="E54" s="126">
        <v>6.2624000000000004</v>
      </c>
      <c r="F54">
        <v>435352.50871199998</v>
      </c>
      <c r="G54">
        <v>0.48</v>
      </c>
      <c r="O54" t="s">
        <v>256</v>
      </c>
      <c r="P54">
        <v>3.0188749825418196E-2</v>
      </c>
      <c r="Q54">
        <v>1.583977614296634E-2</v>
      </c>
      <c r="R54">
        <v>6.7645161645844484E-2</v>
      </c>
      <c r="S54">
        <v>1.4162623374887549E-2</v>
      </c>
      <c r="T54">
        <v>9.3175153782154938E-3</v>
      </c>
      <c r="U54">
        <v>3.7270061512861975E-2</v>
      </c>
      <c r="V54">
        <v>7.0440515974090666E-3</v>
      </c>
      <c r="W54">
        <v>4.6342444719796498E-3</v>
      </c>
      <c r="X54">
        <v>1.8536977887918599E-2</v>
      </c>
      <c r="Y54">
        <v>3.5965609359911804E-2</v>
      </c>
      <c r="Z54">
        <v>1.8635030756430988E-2</v>
      </c>
      <c r="AA54">
        <v>7.4540123025723951E-2</v>
      </c>
      <c r="AB54">
        <v>435352.50871199998</v>
      </c>
      <c r="AC54" s="33">
        <v>0.48</v>
      </c>
      <c r="AD54" s="33">
        <v>0.22362036907717184</v>
      </c>
      <c r="AE54" s="33">
        <v>0.11122186732751159</v>
      </c>
      <c r="AF54" s="33" t="s">
        <v>679</v>
      </c>
    </row>
    <row r="55" spans="1:32" x14ac:dyDescent="0.25">
      <c r="A55" s="125" t="s">
        <v>144</v>
      </c>
      <c r="B55" t="s">
        <v>677</v>
      </c>
      <c r="C55" s="126">
        <v>0.65920000000000001</v>
      </c>
      <c r="D55" s="126">
        <v>9.2700000000000005E-2</v>
      </c>
      <c r="E55" s="126">
        <v>2.4411</v>
      </c>
      <c r="F55">
        <v>466891.21126799996</v>
      </c>
      <c r="G55">
        <v>0</v>
      </c>
      <c r="O55" t="s">
        <v>144</v>
      </c>
      <c r="P55">
        <v>1.6756670389794552E-2</v>
      </c>
      <c r="Q55">
        <v>8.7920801427934393E-3</v>
      </c>
      <c r="R55">
        <v>3.7547354021576683E-2</v>
      </c>
      <c r="S55">
        <v>7.8611540100270733E-3</v>
      </c>
      <c r="T55">
        <v>5.1718118487020228E-3</v>
      </c>
      <c r="U55">
        <v>2.0687247394808091E-2</v>
      </c>
      <c r="V55">
        <v>4.1782497267728903E-3</v>
      </c>
      <c r="W55">
        <v>2.748848504455849E-3</v>
      </c>
      <c r="X55">
        <v>1.0995394017823396E-2</v>
      </c>
      <c r="Y55">
        <v>1.9963193735989808E-2</v>
      </c>
      <c r="Z55">
        <v>1.0343623697404046E-2</v>
      </c>
      <c r="AA55">
        <v>4.1374494789616183E-2</v>
      </c>
      <c r="AB55">
        <v>466891.21126799996</v>
      </c>
      <c r="AC55" s="33">
        <v>0</v>
      </c>
      <c r="AD55" s="33">
        <v>0.12412348436884854</v>
      </c>
      <c r="AE55" s="33">
        <v>6.5972364106940379E-2</v>
      </c>
      <c r="AF55" s="33" t="s">
        <v>677</v>
      </c>
    </row>
    <row r="56" spans="1:32" x14ac:dyDescent="0.25">
      <c r="A56" s="125" t="s">
        <v>145</v>
      </c>
      <c r="B56" t="s">
        <v>677</v>
      </c>
      <c r="C56" s="126">
        <v>3.1827000000000001</v>
      </c>
      <c r="D56" s="126">
        <v>1.2463</v>
      </c>
      <c r="E56" s="126">
        <v>6.7568000000000001</v>
      </c>
      <c r="F56">
        <v>67979.331713000007</v>
      </c>
      <c r="G56">
        <v>0</v>
      </c>
      <c r="O56" t="s">
        <v>145</v>
      </c>
      <c r="P56">
        <v>1.1538427690531042E-2</v>
      </c>
      <c r="Q56">
        <v>6.0541132944144363E-3</v>
      </c>
      <c r="R56">
        <v>2.5854625010264004E-2</v>
      </c>
      <c r="S56">
        <v>5.4130895338293777E-3</v>
      </c>
      <c r="T56">
        <v>3.561243114361433E-3</v>
      </c>
      <c r="U56">
        <v>1.4244972457445732E-2</v>
      </c>
      <c r="V56">
        <v>3.0259156393846946E-3</v>
      </c>
      <c r="W56">
        <v>1.9907339732794047E-3</v>
      </c>
      <c r="X56">
        <v>7.9629358931176189E-3</v>
      </c>
      <c r="Y56">
        <v>1.3746398421435133E-2</v>
      </c>
      <c r="Z56">
        <v>7.1224862287228661E-3</v>
      </c>
      <c r="AA56">
        <v>2.8489944914891464E-2</v>
      </c>
      <c r="AB56">
        <v>67979.331713000007</v>
      </c>
      <c r="AC56" s="33">
        <v>0</v>
      </c>
      <c r="AD56" s="33">
        <v>8.5469834744674386E-2</v>
      </c>
      <c r="AE56" s="33">
        <v>4.7777615358705713E-2</v>
      </c>
      <c r="AF56" s="33" t="s">
        <v>677</v>
      </c>
    </row>
    <row r="57" spans="1:32" x14ac:dyDescent="0.25">
      <c r="A57" s="125" t="s">
        <v>270</v>
      </c>
      <c r="B57" t="s">
        <v>679</v>
      </c>
      <c r="C57" s="126">
        <v>7.6323000000000008</v>
      </c>
      <c r="D57" s="126">
        <v>3.3577999999999997</v>
      </c>
      <c r="E57" s="126">
        <v>15.347000000000001</v>
      </c>
      <c r="F57">
        <v>15707.945925</v>
      </c>
      <c r="G57">
        <v>0</v>
      </c>
      <c r="O57" t="s">
        <v>270</v>
      </c>
      <c r="P57">
        <v>3.9949962249246906E-2</v>
      </c>
      <c r="Q57">
        <v>2.0961399945592516E-2</v>
      </c>
      <c r="R57">
        <v>8.9517508002942142E-2</v>
      </c>
      <c r="S57">
        <v>1.8741957598412129E-2</v>
      </c>
      <c r="T57">
        <v>1.2330235262113244E-2</v>
      </c>
      <c r="U57">
        <v>4.9320941048452978E-2</v>
      </c>
      <c r="V57">
        <v>1.0077579302366213E-2</v>
      </c>
      <c r="W57">
        <v>6.6299863831356673E-3</v>
      </c>
      <c r="X57">
        <v>2.6519945532542669E-2</v>
      </c>
      <c r="Y57">
        <v>4.7594708111757124E-2</v>
      </c>
      <c r="Z57">
        <v>2.4660470524226489E-2</v>
      </c>
      <c r="AA57">
        <v>9.8641882096905956E-2</v>
      </c>
      <c r="AB57">
        <v>15707.945925</v>
      </c>
      <c r="AC57" s="33">
        <v>0</v>
      </c>
      <c r="AD57" s="33">
        <v>0.29592564629071788</v>
      </c>
      <c r="AE57" s="33">
        <v>0.15911967319525602</v>
      </c>
      <c r="AF57" s="33" t="s">
        <v>679</v>
      </c>
    </row>
    <row r="58" spans="1:32" x14ac:dyDescent="0.25">
      <c r="A58" s="125" t="s">
        <v>238</v>
      </c>
      <c r="B58" t="s">
        <v>679</v>
      </c>
      <c r="C58" s="126">
        <v>1.0712000000000002</v>
      </c>
      <c r="D58" s="126">
        <v>0.29869999999999997</v>
      </c>
      <c r="E58" s="126">
        <v>2.8222000000000005</v>
      </c>
      <c r="F58">
        <v>276317.11710700003</v>
      </c>
      <c r="G58">
        <v>0</v>
      </c>
      <c r="O58" t="s">
        <v>238</v>
      </c>
      <c r="P58">
        <v>2.150008462771472E-2</v>
      </c>
      <c r="Q58">
        <v>1.1280908600961427E-2</v>
      </c>
      <c r="R58">
        <v>4.8176115554694095E-2</v>
      </c>
      <c r="S58">
        <v>1.0086459454977275E-2</v>
      </c>
      <c r="T58">
        <v>6.6358285888008395E-3</v>
      </c>
      <c r="U58">
        <v>2.6543314355203358E-2</v>
      </c>
      <c r="V58">
        <v>5.5219822225024522E-3</v>
      </c>
      <c r="W58">
        <v>3.6328830411200348E-3</v>
      </c>
      <c r="X58">
        <v>1.4531532164480139E-2</v>
      </c>
      <c r="Y58">
        <v>2.5614298352771243E-2</v>
      </c>
      <c r="Z58">
        <v>1.3271657177601679E-2</v>
      </c>
      <c r="AA58">
        <v>5.3086628710406716E-2</v>
      </c>
      <c r="AB58">
        <v>276317.11710700003</v>
      </c>
      <c r="AC58" s="33">
        <v>0</v>
      </c>
      <c r="AD58" s="33">
        <v>0.15925988613122014</v>
      </c>
      <c r="AE58" s="33">
        <v>8.718919298688084E-2</v>
      </c>
      <c r="AF58" s="33" t="s">
        <v>679</v>
      </c>
    </row>
    <row r="59" spans="1:32" x14ac:dyDescent="0.25">
      <c r="A59" s="125" t="s">
        <v>257</v>
      </c>
      <c r="B59" t="s">
        <v>679</v>
      </c>
      <c r="C59" s="126">
        <v>3.1724000000000001</v>
      </c>
      <c r="D59" s="126">
        <v>1.3493000000000002</v>
      </c>
      <c r="E59" s="126">
        <v>6.4786999999999999</v>
      </c>
      <c r="F59">
        <v>212504.29145999998</v>
      </c>
      <c r="G59">
        <v>0.75</v>
      </c>
      <c r="O59" t="s">
        <v>257</v>
      </c>
      <c r="P59">
        <v>2.8749695418891427E-2</v>
      </c>
      <c r="Q59">
        <v>1.5084716732134391E-2</v>
      </c>
      <c r="R59">
        <v>6.4420613808997454E-2</v>
      </c>
      <c r="S59">
        <v>1.3487511431084866E-2</v>
      </c>
      <c r="T59">
        <v>8.8733627836084655E-3</v>
      </c>
      <c r="U59">
        <v>3.5493451134433862E-2</v>
      </c>
      <c r="V59">
        <v>7.2479009811576454E-3</v>
      </c>
      <c r="W59">
        <v>4.7683559086563456E-3</v>
      </c>
      <c r="X59">
        <v>1.9073423634625383E-2</v>
      </c>
      <c r="Y59">
        <v>3.4251180344728682E-2</v>
      </c>
      <c r="Z59">
        <v>1.7746725567216931E-2</v>
      </c>
      <c r="AA59">
        <v>7.0986902268867724E-2</v>
      </c>
      <c r="AB59">
        <v>212504.29145999998</v>
      </c>
      <c r="AC59" s="33">
        <v>0.75</v>
      </c>
      <c r="AD59" s="33">
        <v>0.21296070680660317</v>
      </c>
      <c r="AE59" s="33">
        <v>0.1144405418077523</v>
      </c>
      <c r="AF59" s="33" t="s">
        <v>679</v>
      </c>
    </row>
    <row r="60" spans="1:32" x14ac:dyDescent="0.25">
      <c r="A60" s="125" t="s">
        <v>194</v>
      </c>
      <c r="B60" t="s">
        <v>680</v>
      </c>
      <c r="C60" s="126">
        <v>1.0815000000000001</v>
      </c>
      <c r="D60" s="126">
        <v>0.25750000000000001</v>
      </c>
      <c r="E60" s="126">
        <v>3.0488</v>
      </c>
      <c r="F60">
        <v>24622847.963119999</v>
      </c>
      <c r="G60">
        <v>0.56000000000000005</v>
      </c>
      <c r="O60" t="s">
        <v>194</v>
      </c>
      <c r="P60">
        <v>2.3612567042490894E-2</v>
      </c>
      <c r="Q60">
        <v>1.2389309867973618E-2</v>
      </c>
      <c r="R60">
        <v>5.2909640965581442E-2</v>
      </c>
      <c r="S60">
        <v>1.1077500587835232E-2</v>
      </c>
      <c r="T60">
        <v>7.287829334102127E-3</v>
      </c>
      <c r="U60">
        <v>2.9151317336408508E-2</v>
      </c>
      <c r="V60">
        <v>5.9099825057870262E-3</v>
      </c>
      <c r="W60">
        <v>3.8881463853862016E-3</v>
      </c>
      <c r="X60">
        <v>1.5552585541544806E-2</v>
      </c>
      <c r="Y60">
        <v>2.8131021229634214E-2</v>
      </c>
      <c r="Z60">
        <v>1.4575658668204254E-2</v>
      </c>
      <c r="AA60">
        <v>5.8302634672817016E-2</v>
      </c>
      <c r="AB60">
        <v>24622847.963119999</v>
      </c>
      <c r="AC60" s="33">
        <v>0.56000000000000005</v>
      </c>
      <c r="AD60" s="33">
        <v>0.17490790401845105</v>
      </c>
      <c r="AE60" s="33">
        <v>9.3315513249268844E-2</v>
      </c>
      <c r="AF60" s="33" t="s">
        <v>680</v>
      </c>
    </row>
    <row r="61" spans="1:32" x14ac:dyDescent="0.25">
      <c r="A61" s="125" t="s">
        <v>213</v>
      </c>
      <c r="B61" t="s">
        <v>680</v>
      </c>
      <c r="C61" s="126">
        <v>1.3390000000000002</v>
      </c>
      <c r="D61" s="126">
        <v>0.31930000000000003</v>
      </c>
      <c r="E61" s="126">
        <v>3.8212999999999999</v>
      </c>
      <c r="F61">
        <v>4926738.4472349994</v>
      </c>
      <c r="G61">
        <v>0.84</v>
      </c>
      <c r="O61" t="s">
        <v>213</v>
      </c>
      <c r="P61">
        <v>4.4821523765280938E-2</v>
      </c>
      <c r="Q61">
        <v>2.3517466173141235E-2</v>
      </c>
      <c r="R61">
        <v>0.10043341436294433</v>
      </c>
      <c r="S61">
        <v>2.1027381519514513E-2</v>
      </c>
      <c r="T61">
        <v>1.383380363125955E-2</v>
      </c>
      <c r="U61">
        <v>5.5335214525038201E-2</v>
      </c>
      <c r="V61">
        <v>1.1640861628665952E-2</v>
      </c>
      <c r="W61">
        <v>7.6584615978065474E-3</v>
      </c>
      <c r="X61">
        <v>3.063384639122619E-2</v>
      </c>
      <c r="Y61">
        <v>5.339848201666187E-2</v>
      </c>
      <c r="Z61">
        <v>2.7667607262519101E-2</v>
      </c>
      <c r="AA61">
        <v>0.1106704290500764</v>
      </c>
      <c r="AB61">
        <v>4926738.4472349994</v>
      </c>
      <c r="AC61" s="33">
        <v>0.84</v>
      </c>
      <c r="AD61" s="33">
        <v>0.33201128715022921</v>
      </c>
      <c r="AE61" s="33">
        <v>0.18380307834735715</v>
      </c>
      <c r="AF61" s="33" t="s">
        <v>680</v>
      </c>
    </row>
    <row r="62" spans="1:32" x14ac:dyDescent="0.25">
      <c r="A62" s="127" t="s">
        <v>195</v>
      </c>
      <c r="B62" t="s">
        <v>673</v>
      </c>
      <c r="C62" s="126">
        <v>3.2239</v>
      </c>
      <c r="D62" s="126">
        <v>1.2463</v>
      </c>
      <c r="E62" s="126">
        <v>6.8803999999999998</v>
      </c>
      <c r="F62">
        <v>1583406.6146210001</v>
      </c>
      <c r="G62">
        <v>0.95</v>
      </c>
      <c r="O62" t="s">
        <v>195</v>
      </c>
      <c r="P62">
        <v>3.5946707091351449E-2</v>
      </c>
      <c r="Q62">
        <v>1.8860926560276998E-2</v>
      </c>
      <c r="R62">
        <v>8.0547251075065288E-2</v>
      </c>
      <c r="S62">
        <v>1.6863887277424137E-2</v>
      </c>
      <c r="T62">
        <v>1.1094662682515881E-2</v>
      </c>
      <c r="U62">
        <v>4.4378650730063522E-2</v>
      </c>
      <c r="V62">
        <v>8.4621299776707799E-3</v>
      </c>
      <c r="W62">
        <v>5.5671907747834089E-3</v>
      </c>
      <c r="X62">
        <v>2.2268763099133636E-2</v>
      </c>
      <c r="Y62">
        <v>4.2825397954511304E-2</v>
      </c>
      <c r="Z62">
        <v>2.2189325365031761E-2</v>
      </c>
      <c r="AA62">
        <v>8.8757301460127044E-2</v>
      </c>
      <c r="AB62">
        <v>1583406.6146210001</v>
      </c>
      <c r="AC62" s="33">
        <v>0.95</v>
      </c>
      <c r="AD62" s="33">
        <v>0.26627190438038112</v>
      </c>
      <c r="AE62" s="33">
        <v>0.1336125785948018</v>
      </c>
      <c r="AF62" s="33" t="s">
        <v>673</v>
      </c>
    </row>
    <row r="63" spans="1:32" x14ac:dyDescent="0.25">
      <c r="A63" s="125" t="s">
        <v>170</v>
      </c>
      <c r="B63" t="s">
        <v>673</v>
      </c>
      <c r="C63" s="126">
        <v>2.5029000000000003</v>
      </c>
      <c r="D63" s="126">
        <v>0.84460000000000002</v>
      </c>
      <c r="E63" s="126">
        <v>5.8298000000000005</v>
      </c>
      <c r="F63">
        <v>1145133.4633589999</v>
      </c>
      <c r="G63">
        <v>0.41</v>
      </c>
      <c r="O63" t="s">
        <v>170</v>
      </c>
      <c r="P63">
        <v>3.4667473503329195E-2</v>
      </c>
      <c r="Q63">
        <v>1.8189723751746802E-2</v>
      </c>
      <c r="R63">
        <v>7.7680820257459871E-2</v>
      </c>
      <c r="S63">
        <v>1.6263753001561843E-2</v>
      </c>
      <c r="T63">
        <v>1.069983750102753E-2</v>
      </c>
      <c r="U63">
        <v>4.2799350004110122E-2</v>
      </c>
      <c r="V63">
        <v>9.0797032442033031E-3</v>
      </c>
      <c r="W63">
        <v>5.9734889764495418E-3</v>
      </c>
      <c r="X63">
        <v>2.3893955905798167E-2</v>
      </c>
      <c r="Y63">
        <v>4.1301372753966274E-2</v>
      </c>
      <c r="Z63">
        <v>2.1399675002055061E-2</v>
      </c>
      <c r="AA63">
        <v>8.5598700008220244E-2</v>
      </c>
      <c r="AB63">
        <v>1145133.4633589999</v>
      </c>
      <c r="AC63" s="33">
        <v>0.41</v>
      </c>
      <c r="AD63" s="33">
        <v>0.25679610002466075</v>
      </c>
      <c r="AE63" s="33">
        <v>0.143363735434789</v>
      </c>
      <c r="AF63" s="33" t="s">
        <v>673</v>
      </c>
    </row>
    <row r="64" spans="1:32" x14ac:dyDescent="0.25">
      <c r="A64" s="125" t="s">
        <v>239</v>
      </c>
      <c r="B64" t="s">
        <v>679</v>
      </c>
      <c r="C64" s="126">
        <v>6.2521000000000004</v>
      </c>
      <c r="D64" s="126">
        <v>2.8839999999999999</v>
      </c>
      <c r="E64" s="126">
        <v>12.0716</v>
      </c>
      <c r="F64">
        <v>47847.587433000001</v>
      </c>
      <c r="G64">
        <v>0</v>
      </c>
      <c r="O64" t="s">
        <v>239</v>
      </c>
      <c r="P64">
        <v>3.50152977319809E-2</v>
      </c>
      <c r="Q64">
        <v>1.8372224118631954E-2</v>
      </c>
      <c r="R64">
        <v>7.8460204177216455E-2</v>
      </c>
      <c r="S64">
        <v>1.6426929800188568E-2</v>
      </c>
      <c r="T64">
        <v>1.0807190658018797E-2</v>
      </c>
      <c r="U64">
        <v>4.3228762632075188E-2</v>
      </c>
      <c r="V64">
        <v>8.5112293398479661E-3</v>
      </c>
      <c r="W64">
        <v>5.5994929867420841E-3</v>
      </c>
      <c r="X64">
        <v>2.2397971946968336E-2</v>
      </c>
      <c r="Y64">
        <v>4.171575593995256E-2</v>
      </c>
      <c r="Z64">
        <v>2.1614381316037594E-2</v>
      </c>
      <c r="AA64">
        <v>8.6457525264150376E-2</v>
      </c>
      <c r="AB64">
        <v>47847.587433000001</v>
      </c>
      <c r="AC64" s="33">
        <v>0</v>
      </c>
      <c r="AD64" s="33">
        <v>0.2593725757924511</v>
      </c>
      <c r="AE64" s="33">
        <v>0.13438783168181001</v>
      </c>
      <c r="AF64" s="33" t="s">
        <v>679</v>
      </c>
    </row>
    <row r="65" spans="1:32" x14ac:dyDescent="0.25">
      <c r="A65" s="125" t="s">
        <v>172</v>
      </c>
      <c r="B65" t="s">
        <v>673</v>
      </c>
      <c r="C65" s="126">
        <v>4.4084000000000003</v>
      </c>
      <c r="D65" s="126">
        <v>1.8952000000000002</v>
      </c>
      <c r="E65" s="126">
        <v>8.8580000000000005</v>
      </c>
      <c r="F65">
        <v>222732.31715300001</v>
      </c>
      <c r="G65">
        <v>0</v>
      </c>
      <c r="O65" t="s">
        <v>172</v>
      </c>
      <c r="P65">
        <v>2.6717638908658466E-2</v>
      </c>
      <c r="Q65">
        <v>1.4018514242197345E-2</v>
      </c>
      <c r="R65">
        <v>5.9867301999031008E-2</v>
      </c>
      <c r="S65">
        <v>1.2534200969494095E-2</v>
      </c>
      <c r="T65">
        <v>8.2461848483513789E-3</v>
      </c>
      <c r="U65">
        <v>3.2984739393405516E-2</v>
      </c>
      <c r="V65">
        <v>6.7170101101242906E-3</v>
      </c>
      <c r="W65">
        <v>4.4190855987659809E-3</v>
      </c>
      <c r="X65">
        <v>1.7676342395063924E-2</v>
      </c>
      <c r="Y65">
        <v>3.1830273514636326E-2</v>
      </c>
      <c r="Z65">
        <v>1.6492369696702758E-2</v>
      </c>
      <c r="AA65">
        <v>6.5969478786811031E-2</v>
      </c>
      <c r="AB65">
        <v>222732.31715300001</v>
      </c>
      <c r="AC65" s="33">
        <v>0</v>
      </c>
      <c r="AD65" s="33">
        <v>0.19790843636043309</v>
      </c>
      <c r="AE65" s="33">
        <v>0.10605805437038354</v>
      </c>
      <c r="AF65" s="33" t="s">
        <v>673</v>
      </c>
    </row>
    <row r="66" spans="1:32" x14ac:dyDescent="0.25">
      <c r="A66" s="125" t="s">
        <v>185</v>
      </c>
      <c r="B66" t="s">
        <v>675</v>
      </c>
      <c r="C66" s="126">
        <v>5.2015000000000002</v>
      </c>
      <c r="D66" s="126">
        <v>1.9261000000000001</v>
      </c>
      <c r="E66" s="126">
        <v>11.422700000000001</v>
      </c>
      <c r="F66">
        <v>396573.87635599996</v>
      </c>
      <c r="G66">
        <v>0.93</v>
      </c>
      <c r="O66" t="s">
        <v>185</v>
      </c>
      <c r="P66">
        <v>5.8298166770844317E-2</v>
      </c>
      <c r="Q66">
        <v>3.0588544293344243E-2</v>
      </c>
      <c r="R66">
        <v>0.13063107739392893</v>
      </c>
      <c r="S66">
        <v>2.7349757250519555E-2</v>
      </c>
      <c r="T66">
        <v>1.7993261349026027E-2</v>
      </c>
      <c r="U66">
        <v>7.1973045396104107E-2</v>
      </c>
      <c r="V66">
        <v>1.4960866808062788E-2</v>
      </c>
      <c r="W66">
        <v>9.8426755316202551E-3</v>
      </c>
      <c r="X66">
        <v>3.9370702126481021E-2</v>
      </c>
      <c r="Y66">
        <v>6.9453988807240463E-2</v>
      </c>
      <c r="Z66">
        <v>3.5986522698052054E-2</v>
      </c>
      <c r="AA66">
        <v>0.14394609079220821</v>
      </c>
      <c r="AB66">
        <v>396573.87635599996</v>
      </c>
      <c r="AC66" s="33">
        <v>0.93</v>
      </c>
      <c r="AD66" s="33">
        <v>0.43183827237662459</v>
      </c>
      <c r="AE66" s="33">
        <v>0.23622421275888614</v>
      </c>
      <c r="AF66" s="33" t="s">
        <v>675</v>
      </c>
    </row>
    <row r="67" spans="1:32" x14ac:dyDescent="0.25">
      <c r="A67" s="125" t="s">
        <v>106</v>
      </c>
      <c r="B67" t="s">
        <v>677</v>
      </c>
      <c r="C67" s="126">
        <v>2.1732999999999998</v>
      </c>
      <c r="D67" s="126">
        <v>0.8034</v>
      </c>
      <c r="E67" s="126">
        <v>4.8307000000000002</v>
      </c>
      <c r="F67">
        <v>1519650.5161349999</v>
      </c>
      <c r="G67">
        <v>0</v>
      </c>
      <c r="O67" t="s">
        <v>106</v>
      </c>
      <c r="P67">
        <v>1.9558773006759653E-2</v>
      </c>
      <c r="Q67">
        <v>1.02623191702134E-2</v>
      </c>
      <c r="R67">
        <v>4.3826139515146627E-2</v>
      </c>
      <c r="S67">
        <v>9.1757206698378606E-3</v>
      </c>
      <c r="T67">
        <v>6.0366583354196464E-3</v>
      </c>
      <c r="U67">
        <v>2.4146633341678585E-2</v>
      </c>
      <c r="V67">
        <v>5.1132431721983848E-3</v>
      </c>
      <c r="W67">
        <v>3.3639757711831481E-3</v>
      </c>
      <c r="X67">
        <v>1.3455903084732592E-2</v>
      </c>
      <c r="Y67">
        <v>2.3301501174719835E-2</v>
      </c>
      <c r="Z67">
        <v>1.2073316670839293E-2</v>
      </c>
      <c r="AA67">
        <v>4.8293266683357171E-2</v>
      </c>
      <c r="AB67">
        <v>1519650.5161349999</v>
      </c>
      <c r="AC67" s="33">
        <v>0</v>
      </c>
      <c r="AD67" s="33">
        <v>0.14487980005007151</v>
      </c>
      <c r="AE67" s="33">
        <v>8.0735418508395551E-2</v>
      </c>
      <c r="AF67" s="33" t="s">
        <v>677</v>
      </c>
    </row>
    <row r="68" spans="1:32" x14ac:dyDescent="0.25">
      <c r="A68" s="125" t="s">
        <v>288</v>
      </c>
      <c r="B68" t="s">
        <v>681</v>
      </c>
      <c r="C68" s="126">
        <v>9.4657</v>
      </c>
      <c r="D68" s="126">
        <v>2.7810000000000001</v>
      </c>
      <c r="E68" s="126">
        <v>23.751799999999999</v>
      </c>
      <c r="F68">
        <v>3301.6093840000003</v>
      </c>
      <c r="G68">
        <v>0.99</v>
      </c>
      <c r="O68" t="s">
        <v>288</v>
      </c>
      <c r="P68">
        <v>1.7566460843097279E-2</v>
      </c>
      <c r="Q68">
        <v>9.2169701954522773E-3</v>
      </c>
      <c r="R68">
        <v>3.9361884481755011E-2</v>
      </c>
      <c r="S68">
        <v>8.2410557041690934E-3</v>
      </c>
      <c r="T68">
        <v>5.4217471737954565E-3</v>
      </c>
      <c r="U68">
        <v>2.1686988695181826E-2</v>
      </c>
      <c r="V68">
        <v>4.6587404358721532E-3</v>
      </c>
      <c r="W68">
        <v>3.0649608130737852E-3</v>
      </c>
      <c r="X68">
        <v>1.2259843252295141E-2</v>
      </c>
      <c r="Y68">
        <v>2.0927944090850466E-2</v>
      </c>
      <c r="Z68">
        <v>1.0843494347590913E-2</v>
      </c>
      <c r="AA68">
        <v>4.3373977390363652E-2</v>
      </c>
      <c r="AB68">
        <v>3301.6093840000003</v>
      </c>
      <c r="AC68" s="33">
        <v>0.99</v>
      </c>
      <c r="AD68" s="33">
        <v>0.13012193217109097</v>
      </c>
      <c r="AE68" s="33">
        <v>7.3559059513770855E-2</v>
      </c>
      <c r="AF68" s="33" t="s">
        <v>681</v>
      </c>
    </row>
    <row r="69" spans="1:32" x14ac:dyDescent="0.25">
      <c r="A69" s="127" t="s">
        <v>610</v>
      </c>
      <c r="B69" t="s">
        <v>680</v>
      </c>
      <c r="C69" s="126">
        <v>2.6368</v>
      </c>
      <c r="D69" s="126">
        <v>0.82400000000000007</v>
      </c>
      <c r="E69" s="126">
        <v>6.5816999999999997</v>
      </c>
      <c r="F69">
        <v>357760.57636200002</v>
      </c>
      <c r="G69">
        <v>0.98</v>
      </c>
      <c r="O69" t="s">
        <v>610</v>
      </c>
      <c r="P69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>
        <v>357760.57636200002</v>
      </c>
      <c r="AC69" s="33">
        <v>0.98</v>
      </c>
      <c r="AD69" s="33">
        <v>0</v>
      </c>
      <c r="AE69" s="33">
        <v>0</v>
      </c>
      <c r="AF69" s="33" t="s">
        <v>680</v>
      </c>
    </row>
    <row r="70" spans="1:32" x14ac:dyDescent="0.25">
      <c r="A70" s="127" t="s">
        <v>186</v>
      </c>
      <c r="B70" t="s">
        <v>675</v>
      </c>
      <c r="C70" s="126">
        <v>3.3372000000000002</v>
      </c>
      <c r="D70" s="126">
        <v>1.2978000000000001</v>
      </c>
      <c r="E70" s="126">
        <v>7.2924000000000007</v>
      </c>
      <c r="F70">
        <v>159190.09501200001</v>
      </c>
      <c r="G70">
        <v>0.96</v>
      </c>
      <c r="O70" t="s">
        <v>186</v>
      </c>
      <c r="P70">
        <v>1.4547816784246726E-2</v>
      </c>
      <c r="Q70">
        <v>7.6331137448208139E-3</v>
      </c>
      <c r="R70">
        <v>3.2597885757293589E-2</v>
      </c>
      <c r="S70">
        <v>6.8249017012515503E-3</v>
      </c>
      <c r="T70">
        <v>4.4900669087181251E-3</v>
      </c>
      <c r="U70">
        <v>1.79602676348725E-2</v>
      </c>
      <c r="V70">
        <v>3.6856987913255262E-3</v>
      </c>
      <c r="W70">
        <v>2.4248018363983727E-3</v>
      </c>
      <c r="X70">
        <v>9.6992073455934909E-3</v>
      </c>
      <c r="Y70">
        <v>1.7331658267651966E-2</v>
      </c>
      <c r="Z70">
        <v>8.9801338174362502E-3</v>
      </c>
      <c r="AA70">
        <v>3.5920535269745001E-2</v>
      </c>
      <c r="AB70">
        <v>159190.09501200001</v>
      </c>
      <c r="AC70" s="33">
        <v>0.96</v>
      </c>
      <c r="AD70" s="33">
        <v>0.10776160580923501</v>
      </c>
      <c r="AE70" s="33">
        <v>5.8195244073560942E-2</v>
      </c>
      <c r="AF70" s="33" t="s">
        <v>675</v>
      </c>
    </row>
    <row r="71" spans="1:32" x14ac:dyDescent="0.25">
      <c r="A71" s="127" t="s">
        <v>628</v>
      </c>
      <c r="B71" t="s">
        <v>681</v>
      </c>
      <c r="C71" s="126">
        <v>1.7716000000000001</v>
      </c>
      <c r="D71" s="126">
        <v>0.53560000000000008</v>
      </c>
      <c r="E71" s="126">
        <v>4.5423</v>
      </c>
      <c r="F71">
        <v>170833.79756800001</v>
      </c>
      <c r="G71">
        <v>0.55000000000000004</v>
      </c>
      <c r="O71" t="s">
        <v>628</v>
      </c>
      <c r="P71">
        <v>2.8222026943910013E-2</v>
      </c>
      <c r="Q71">
        <v>1.4807853643409577E-2</v>
      </c>
      <c r="R71">
        <v>6.3238245559502068E-2</v>
      </c>
      <c r="S71">
        <v>1.3239963257636796E-2</v>
      </c>
      <c r="T71">
        <v>8.7105021431821035E-3</v>
      </c>
      <c r="U71">
        <v>3.4842008572728414E-2</v>
      </c>
      <c r="V71">
        <v>7.1352692323427749E-3</v>
      </c>
      <c r="W71">
        <v>4.6942560739097203E-3</v>
      </c>
      <c r="X71">
        <v>1.8777024295638881E-2</v>
      </c>
      <c r="Y71">
        <v>3.3622538272682925E-2</v>
      </c>
      <c r="Z71">
        <v>1.7421004286364207E-2</v>
      </c>
      <c r="AA71">
        <v>6.9684017145456828E-2</v>
      </c>
      <c r="AB71">
        <v>170833.79756800001</v>
      </c>
      <c r="AC71" s="33">
        <v>0.55000000000000004</v>
      </c>
      <c r="AD71" s="33">
        <v>0.20905205143637048</v>
      </c>
      <c r="AE71" s="33">
        <v>0.11266214577383329</v>
      </c>
      <c r="AF71" s="33" t="s">
        <v>681</v>
      </c>
    </row>
    <row r="72" spans="1:32" x14ac:dyDescent="0.25">
      <c r="A72" s="125" t="s">
        <v>174</v>
      </c>
      <c r="B72" t="s">
        <v>673</v>
      </c>
      <c r="C72" s="126">
        <v>3.9037000000000002</v>
      </c>
      <c r="D72" s="126">
        <v>1.3287</v>
      </c>
      <c r="E72" s="126">
        <v>9.27</v>
      </c>
      <c r="F72">
        <v>120441.09571200001</v>
      </c>
      <c r="G72">
        <v>0.8</v>
      </c>
      <c r="O72" t="s">
        <v>174</v>
      </c>
      <c r="P72">
        <v>4.6989600248921903E-2</v>
      </c>
      <c r="Q72">
        <v>2.4655037167644209E-2</v>
      </c>
      <c r="R72">
        <v>0.10529151166888055</v>
      </c>
      <c r="S72">
        <v>2.2044503820481877E-2</v>
      </c>
      <c r="T72">
        <v>1.4502963039790711E-2</v>
      </c>
      <c r="U72">
        <v>5.8011852159162845E-2</v>
      </c>
      <c r="V72">
        <v>1.1562793804083335E-2</v>
      </c>
      <c r="W72">
        <v>7.6071011868969318E-3</v>
      </c>
      <c r="X72">
        <v>3.0428404747587727E-2</v>
      </c>
      <c r="Y72">
        <v>5.5981437333592149E-2</v>
      </c>
      <c r="Z72">
        <v>2.9005926079581423E-2</v>
      </c>
      <c r="AA72">
        <v>0.11602370431832569</v>
      </c>
      <c r="AB72">
        <v>120441.09571200001</v>
      </c>
      <c r="AC72" s="33">
        <v>0.8</v>
      </c>
      <c r="AD72" s="33">
        <v>0.34807111295497706</v>
      </c>
      <c r="AE72" s="33">
        <v>0.18257042848552635</v>
      </c>
      <c r="AF72" s="33" t="s">
        <v>673</v>
      </c>
    </row>
    <row r="73" spans="1:32" x14ac:dyDescent="0.25">
      <c r="A73" s="125" t="s">
        <v>134</v>
      </c>
      <c r="B73" t="s">
        <v>677</v>
      </c>
      <c r="C73" s="126">
        <v>4.1406000000000001</v>
      </c>
      <c r="D73" s="126">
        <v>1.7098</v>
      </c>
      <c r="E73" s="126">
        <v>8.7035</v>
      </c>
      <c r="F73">
        <v>57454.468077999991</v>
      </c>
      <c r="G73">
        <v>0</v>
      </c>
      <c r="O73" t="s">
        <v>134</v>
      </c>
      <c r="P73">
        <v>1.179257026639367E-2</v>
      </c>
      <c r="Q73">
        <v>6.1874597076756917E-3</v>
      </c>
      <c r="R73">
        <v>2.6424092633956186E-2</v>
      </c>
      <c r="S73">
        <v>5.5323169150982643E-3</v>
      </c>
      <c r="T73">
        <v>3.6396821809857008E-3</v>
      </c>
      <c r="U73">
        <v>1.4558728723942803E-2</v>
      </c>
      <c r="V73">
        <v>3.1473325025536034E-3</v>
      </c>
      <c r="W73">
        <v>2.070613488522108E-3</v>
      </c>
      <c r="X73">
        <v>8.2824539540884319E-3</v>
      </c>
      <c r="Y73">
        <v>1.4049173218604806E-2</v>
      </c>
      <c r="Z73">
        <v>7.2793643619714016E-3</v>
      </c>
      <c r="AA73">
        <v>2.9117457447885606E-2</v>
      </c>
      <c r="AB73">
        <v>57454.468077999991</v>
      </c>
      <c r="AC73" s="33">
        <v>0</v>
      </c>
      <c r="AD73" s="33">
        <v>8.7352372343656823E-2</v>
      </c>
      <c r="AE73" s="33">
        <v>4.9694723724530585E-2</v>
      </c>
      <c r="AF73" s="33" t="s">
        <v>677</v>
      </c>
    </row>
    <row r="74" spans="1:32" x14ac:dyDescent="0.25">
      <c r="A74" s="125" t="s">
        <v>146</v>
      </c>
      <c r="B74" t="s">
        <v>677</v>
      </c>
      <c r="C74" s="126">
        <v>2.1836000000000002</v>
      </c>
      <c r="D74" s="126">
        <v>0.82400000000000007</v>
      </c>
      <c r="E74" s="126">
        <v>4.7586000000000004</v>
      </c>
      <c r="F74">
        <v>164024.50165399996</v>
      </c>
      <c r="G74">
        <v>0</v>
      </c>
      <c r="O74" t="s">
        <v>146</v>
      </c>
      <c r="P74">
        <v>1.0095395613808745E-2</v>
      </c>
      <c r="Q74">
        <v>5.2969668344058241E-3</v>
      </c>
      <c r="R74">
        <v>2.2621164245756633E-2</v>
      </c>
      <c r="S74">
        <v>4.7361115225275589E-3</v>
      </c>
      <c r="T74">
        <v>3.1158628437681314E-3</v>
      </c>
      <c r="U74">
        <v>1.2463451375072526E-2</v>
      </c>
      <c r="V74">
        <v>2.6987083110911656E-3</v>
      </c>
      <c r="W74">
        <v>1.775465994138925E-3</v>
      </c>
      <c r="X74">
        <v>7.1018639765556999E-3</v>
      </c>
      <c r="Y74">
        <v>1.2027230576944988E-2</v>
      </c>
      <c r="Z74">
        <v>6.2317256875362628E-3</v>
      </c>
      <c r="AA74">
        <v>2.4926902750145051E-2</v>
      </c>
      <c r="AB74">
        <v>164024.50165399996</v>
      </c>
      <c r="AC74" s="33">
        <v>0</v>
      </c>
      <c r="AD74" s="33">
        <v>7.478070825043516E-2</v>
      </c>
      <c r="AE74" s="33">
        <v>4.2611183859334198E-2</v>
      </c>
      <c r="AF74" s="33" t="s">
        <v>677</v>
      </c>
    </row>
    <row r="75" spans="1:32" x14ac:dyDescent="0.25">
      <c r="A75" s="125" t="s">
        <v>159</v>
      </c>
      <c r="B75" t="s">
        <v>673</v>
      </c>
      <c r="C75" s="126">
        <v>5.7783000000000007</v>
      </c>
      <c r="D75" s="126">
        <v>2.3999000000000001</v>
      </c>
      <c r="E75" s="126">
        <v>11.8553</v>
      </c>
      <c r="F75">
        <v>128805.494265</v>
      </c>
      <c r="G75">
        <v>0</v>
      </c>
      <c r="O75" t="s">
        <v>159</v>
      </c>
      <c r="P75">
        <v>4.4602708195721832E-2</v>
      </c>
      <c r="Q75">
        <v>2.3402655534792319E-2</v>
      </c>
      <c r="R75">
        <v>9.9943105401524845E-2</v>
      </c>
      <c r="S75">
        <v>2.0924727301696661E-2</v>
      </c>
      <c r="T75">
        <v>1.376626796164254E-2</v>
      </c>
      <c r="U75">
        <v>5.5065071846570161E-2</v>
      </c>
      <c r="V75">
        <v>1.1718700424894556E-2</v>
      </c>
      <c r="W75">
        <v>7.7096713321674719E-3</v>
      </c>
      <c r="X75">
        <v>3.0838685328669888E-2</v>
      </c>
      <c r="Y75">
        <v>5.3137794331940214E-2</v>
      </c>
      <c r="Z75">
        <v>2.7532535923285081E-2</v>
      </c>
      <c r="AA75">
        <v>0.11013014369314032</v>
      </c>
      <c r="AB75">
        <v>128805.494265</v>
      </c>
      <c r="AC75" s="33">
        <v>0</v>
      </c>
      <c r="AD75" s="33">
        <v>0.33039043107942095</v>
      </c>
      <c r="AE75" s="33">
        <v>0.18503211197201933</v>
      </c>
      <c r="AF75" s="33" t="s">
        <v>673</v>
      </c>
    </row>
    <row r="76" spans="1:32" x14ac:dyDescent="0.25">
      <c r="A76" s="125" t="s">
        <v>107</v>
      </c>
      <c r="B76" t="s">
        <v>677</v>
      </c>
      <c r="C76" s="126">
        <v>1.0506</v>
      </c>
      <c r="D76" s="126">
        <v>0.3296</v>
      </c>
      <c r="E76" s="126">
        <v>2.5647000000000002</v>
      </c>
      <c r="F76">
        <v>885024.74569600006</v>
      </c>
      <c r="G76">
        <v>0</v>
      </c>
      <c r="O76" t="s">
        <v>107</v>
      </c>
      <c r="P76">
        <v>9.3876531883642176E-3</v>
      </c>
      <c r="Q76">
        <v>4.9256205000676456E-3</v>
      </c>
      <c r="R76">
        <v>2.1035296959112413E-2</v>
      </c>
      <c r="S76">
        <v>4.4040842118251884E-3</v>
      </c>
      <c r="T76">
        <v>2.897423823569203E-3</v>
      </c>
      <c r="U76">
        <v>1.1589695294276812E-2</v>
      </c>
      <c r="V76">
        <v>2.2711198908393557E-3</v>
      </c>
      <c r="W76">
        <v>1.4941578229206289E-3</v>
      </c>
      <c r="X76">
        <v>5.9766312916825154E-3</v>
      </c>
      <c r="Y76">
        <v>1.1184055958977125E-2</v>
      </c>
      <c r="Z76">
        <v>5.7948476471384059E-3</v>
      </c>
      <c r="AA76">
        <v>2.3179390588553624E-2</v>
      </c>
      <c r="AB76">
        <v>885024.74569600006</v>
      </c>
      <c r="AC76" s="33">
        <v>0</v>
      </c>
      <c r="AD76" s="33">
        <v>6.9538171765660878E-2</v>
      </c>
      <c r="AE76" s="33">
        <v>3.5859787750095094E-2</v>
      </c>
      <c r="AF76" s="33" t="s">
        <v>677</v>
      </c>
    </row>
    <row r="77" spans="1:32" x14ac:dyDescent="0.25">
      <c r="A77" s="125" t="s">
        <v>108</v>
      </c>
      <c r="B77" t="s">
        <v>677</v>
      </c>
      <c r="C77" s="126">
        <v>1.9261000000000001</v>
      </c>
      <c r="D77" s="126">
        <v>0.53560000000000008</v>
      </c>
      <c r="E77" s="126">
        <v>5.1294000000000004</v>
      </c>
      <c r="F77">
        <v>638127.7969950001</v>
      </c>
      <c r="G77">
        <v>0</v>
      </c>
      <c r="O77" t="s">
        <v>108</v>
      </c>
      <c r="P77">
        <v>6.6940071202373592E-3</v>
      </c>
      <c r="Q77">
        <v>3.5122876865442939E-3</v>
      </c>
      <c r="R77">
        <v>1.4999534473124453E-2</v>
      </c>
      <c r="S77">
        <v>3.1403984020866621E-3</v>
      </c>
      <c r="T77">
        <v>2.0660515803201727E-3</v>
      </c>
      <c r="U77">
        <v>8.2642063212806909E-3</v>
      </c>
      <c r="V77">
        <v>1.7859339217147648E-3</v>
      </c>
      <c r="W77">
        <v>1.1749565274439243E-3</v>
      </c>
      <c r="X77">
        <v>4.699826109775697E-3</v>
      </c>
      <c r="Y77">
        <v>7.974959100035867E-3</v>
      </c>
      <c r="Z77">
        <v>4.1321031606403455E-3</v>
      </c>
      <c r="AA77">
        <v>1.6528412642561382E-2</v>
      </c>
      <c r="AB77">
        <v>638127.7969950001</v>
      </c>
      <c r="AC77" s="33">
        <v>0</v>
      </c>
      <c r="AD77" s="33">
        <v>4.9585237927684142E-2</v>
      </c>
      <c r="AE77" s="33">
        <v>2.8198956658654184E-2</v>
      </c>
      <c r="AF77" s="33" t="s">
        <v>677</v>
      </c>
    </row>
    <row r="78" spans="1:32" x14ac:dyDescent="0.25">
      <c r="A78" s="125" t="s">
        <v>215</v>
      </c>
      <c r="B78" t="s">
        <v>681</v>
      </c>
      <c r="C78" s="126">
        <v>5.0675999999999997</v>
      </c>
      <c r="D78" s="126">
        <v>1.7509999999999999</v>
      </c>
      <c r="E78" s="126">
        <v>11.577200000000001</v>
      </c>
      <c r="F78">
        <v>537906.64760399994</v>
      </c>
      <c r="G78">
        <v>0.99</v>
      </c>
      <c r="O78" t="s">
        <v>215</v>
      </c>
      <c r="P78">
        <v>6.715769020837839E-2</v>
      </c>
      <c r="Q78">
        <v>3.5237059677235574E-2</v>
      </c>
      <c r="R78">
        <v>0.15048297250395898</v>
      </c>
      <c r="S78">
        <v>3.1506076887881214E-2</v>
      </c>
      <c r="T78">
        <v>2.0727682163079748E-2</v>
      </c>
      <c r="U78">
        <v>8.2910728652318993E-2</v>
      </c>
      <c r="V78">
        <v>1.7403142735806405E-2</v>
      </c>
      <c r="W78">
        <v>1.1449436010398951E-2</v>
      </c>
      <c r="X78">
        <v>4.5797744041595805E-2</v>
      </c>
      <c r="Y78">
        <v>8.0008853149487844E-2</v>
      </c>
      <c r="Z78">
        <v>4.1455364326159497E-2</v>
      </c>
      <c r="AA78">
        <v>0.16582145730463799</v>
      </c>
      <c r="AB78">
        <v>537906.64760399994</v>
      </c>
      <c r="AC78" s="33">
        <v>0.99</v>
      </c>
      <c r="AD78" s="33">
        <v>0.49746437191391396</v>
      </c>
      <c r="AE78" s="33">
        <v>0.27478646424957481</v>
      </c>
      <c r="AF78" s="33" t="s">
        <v>681</v>
      </c>
    </row>
    <row r="79" spans="1:32" x14ac:dyDescent="0.25">
      <c r="A79" s="125" t="s">
        <v>196</v>
      </c>
      <c r="B79" t="s">
        <v>680</v>
      </c>
      <c r="C79" s="126">
        <v>12.0098</v>
      </c>
      <c r="D79" s="126">
        <v>4.871900000000001</v>
      </c>
      <c r="E79" s="126">
        <v>25.7912</v>
      </c>
      <c r="F79">
        <v>7646.3117569999995</v>
      </c>
      <c r="G79">
        <v>0.99</v>
      </c>
      <c r="O79" t="s">
        <v>196</v>
      </c>
      <c r="P79">
        <v>6.3960424369035207E-2</v>
      </c>
      <c r="Q79">
        <v>3.3559481922024653E-2</v>
      </c>
      <c r="R79">
        <v>0.14331872867876408</v>
      </c>
      <c r="S79">
        <v>3.0006125012633802E-2</v>
      </c>
      <c r="T79">
        <v>1.9740871718838031E-2</v>
      </c>
      <c r="U79">
        <v>7.8963486875352124E-2</v>
      </c>
      <c r="V79">
        <v>1.6202153150327286E-2</v>
      </c>
      <c r="W79">
        <v>1.0659311283110057E-2</v>
      </c>
      <c r="X79">
        <v>4.263724513244023E-2</v>
      </c>
      <c r="Y79">
        <v>7.61997648347148E-2</v>
      </c>
      <c r="Z79">
        <v>3.9481743437676062E-2</v>
      </c>
      <c r="AA79">
        <v>0.15792697375070425</v>
      </c>
      <c r="AB79">
        <v>7646.3117569999995</v>
      </c>
      <c r="AC79" s="33">
        <v>0.99</v>
      </c>
      <c r="AD79" s="33">
        <v>0.47378092125211269</v>
      </c>
      <c r="AE79" s="33">
        <v>0.25582347079464135</v>
      </c>
      <c r="AF79" s="33" t="s">
        <v>680</v>
      </c>
    </row>
    <row r="80" spans="1:32" x14ac:dyDescent="0.25">
      <c r="A80" s="125" t="s">
        <v>147</v>
      </c>
      <c r="B80" t="s">
        <v>677</v>
      </c>
      <c r="C80" s="126">
        <v>1.1638999999999999</v>
      </c>
      <c r="D80" s="126">
        <v>0.37080000000000002</v>
      </c>
      <c r="E80" s="126">
        <v>2.8428</v>
      </c>
      <c r="F80">
        <v>821469.46512399998</v>
      </c>
      <c r="G80">
        <v>0</v>
      </c>
      <c r="O80" t="s">
        <v>147</v>
      </c>
      <c r="P80">
        <v>1.4877390701401936E-2</v>
      </c>
      <c r="Q80">
        <v>7.806038330982497E-3</v>
      </c>
      <c r="R80">
        <v>3.3336375460548781E-2</v>
      </c>
      <c r="S80">
        <v>6.9795166253490554E-3</v>
      </c>
      <c r="T80">
        <v>4.5917872535191162E-3</v>
      </c>
      <c r="U80">
        <v>1.8367149014076465E-2</v>
      </c>
      <c r="V80">
        <v>3.814460687308631E-3</v>
      </c>
      <c r="W80">
        <v>2.5095136100714678E-3</v>
      </c>
      <c r="X80">
        <v>1.0038054440285871E-2</v>
      </c>
      <c r="Y80">
        <v>1.7724298798583789E-2</v>
      </c>
      <c r="Z80">
        <v>9.1835745070382325E-3</v>
      </c>
      <c r="AA80">
        <v>3.673429802815293E-2</v>
      </c>
      <c r="AB80">
        <v>821469.46512399998</v>
      </c>
      <c r="AC80" s="33">
        <v>0</v>
      </c>
      <c r="AD80" s="33">
        <v>0.11020289408445878</v>
      </c>
      <c r="AE80" s="33">
        <v>6.0228326641715228E-2</v>
      </c>
      <c r="AF80" s="33" t="s">
        <v>677</v>
      </c>
    </row>
    <row r="81" spans="1:32" x14ac:dyDescent="0.25">
      <c r="A81" s="125" t="s">
        <v>682</v>
      </c>
      <c r="B81" t="s">
        <v>681</v>
      </c>
      <c r="C81" s="126">
        <v>8.6211000000000002</v>
      </c>
      <c r="D81" s="126">
        <v>2.5750000000000002</v>
      </c>
      <c r="E81" s="126">
        <v>21.8154</v>
      </c>
      <c r="F81">
        <v>1706.70273</v>
      </c>
      <c r="G81">
        <v>0.98</v>
      </c>
      <c r="O81" t="s">
        <v>682</v>
      </c>
      <c r="P81">
        <v>2.1367327064819825E-2</v>
      </c>
      <c r="Q81">
        <v>1.1211251854998059E-2</v>
      </c>
      <c r="R81">
        <v>4.7878640274874054E-2</v>
      </c>
      <c r="S81">
        <v>1.0024178129174733E-2</v>
      </c>
      <c r="T81">
        <v>6.5948540323517981E-3</v>
      </c>
      <c r="U81">
        <v>2.6379416129407193E-2</v>
      </c>
      <c r="V81">
        <v>5.7757802941295197E-3</v>
      </c>
      <c r="W81">
        <v>3.7998554566641579E-3</v>
      </c>
      <c r="X81">
        <v>1.5199421826656631E-2</v>
      </c>
      <c r="Y81">
        <v>2.5456136564877944E-2</v>
      </c>
      <c r="Z81">
        <v>1.3189708064703596E-2</v>
      </c>
      <c r="AA81">
        <v>5.2758832258814385E-2</v>
      </c>
      <c r="AB81">
        <v>1706.70273</v>
      </c>
      <c r="AC81" s="33">
        <v>0.98</v>
      </c>
      <c r="AD81" s="33">
        <v>0.15827649677644315</v>
      </c>
      <c r="AE81" s="33">
        <v>9.1196530959939792E-2</v>
      </c>
      <c r="AF81" s="33" t="s">
        <v>681</v>
      </c>
    </row>
    <row r="82" spans="1:32" x14ac:dyDescent="0.25">
      <c r="A82" s="125" t="s">
        <v>148</v>
      </c>
      <c r="B82" t="s">
        <v>677</v>
      </c>
      <c r="C82" s="126">
        <v>2.3689999999999998</v>
      </c>
      <c r="D82" s="126">
        <v>0.81370000000000009</v>
      </c>
      <c r="E82" s="126">
        <v>5.5311000000000003</v>
      </c>
      <c r="F82">
        <v>153294.442656</v>
      </c>
      <c r="G82">
        <v>0</v>
      </c>
      <c r="O82" t="s">
        <v>148</v>
      </c>
      <c r="P82">
        <v>1.8269626589489257E-2</v>
      </c>
      <c r="Q82">
        <v>9.5859151858431295E-3</v>
      </c>
      <c r="R82">
        <v>4.0937496617188894E-2</v>
      </c>
      <c r="S82">
        <v>8.5709359308715032E-3</v>
      </c>
      <c r="T82">
        <v>5.6387736387312525E-3</v>
      </c>
      <c r="U82">
        <v>2.255509455492501E-2</v>
      </c>
      <c r="V82">
        <v>4.7273263091966583E-3</v>
      </c>
      <c r="W82">
        <v>3.1100830981556963E-3</v>
      </c>
      <c r="X82">
        <v>1.2440332392622785E-2</v>
      </c>
      <c r="Y82">
        <v>2.1765666245502635E-2</v>
      </c>
      <c r="Z82">
        <v>1.1277547277462505E-2</v>
      </c>
      <c r="AA82">
        <v>4.511018910985002E-2</v>
      </c>
      <c r="AB82">
        <v>153294.442656</v>
      </c>
      <c r="AC82" s="33">
        <v>0</v>
      </c>
      <c r="AD82" s="33">
        <v>0.13533056732955007</v>
      </c>
      <c r="AE82" s="33">
        <v>7.4641994355736721E-2</v>
      </c>
      <c r="AF82" s="33" t="s">
        <v>677</v>
      </c>
    </row>
    <row r="83" spans="1:32" x14ac:dyDescent="0.25">
      <c r="A83" s="125" t="s">
        <v>109</v>
      </c>
      <c r="B83" t="s">
        <v>677</v>
      </c>
      <c r="C83" s="126">
        <v>9.3318000000000012</v>
      </c>
      <c r="D83" s="126">
        <v>3.7801</v>
      </c>
      <c r="E83" s="126">
        <v>20.3734</v>
      </c>
      <c r="F83">
        <v>13006.49948</v>
      </c>
      <c r="G83">
        <v>0</v>
      </c>
      <c r="O83" t="s">
        <v>109</v>
      </c>
      <c r="P83">
        <v>6.6856497741481641E-2</v>
      </c>
      <c r="Q83">
        <v>3.5079026592752714E-2</v>
      </c>
      <c r="R83">
        <v>0.14980807827257922</v>
      </c>
      <c r="S83">
        <v>3.1364776718225955E-2</v>
      </c>
      <c r="T83">
        <v>2.0634721525148655E-2</v>
      </c>
      <c r="U83">
        <v>8.2538886100594622E-2</v>
      </c>
      <c r="V83">
        <v>1.692291574099682E-2</v>
      </c>
      <c r="W83">
        <v>1.1133497198024225E-2</v>
      </c>
      <c r="X83">
        <v>4.4533988792096899E-2</v>
      </c>
      <c r="Y83">
        <v>7.965002508707382E-2</v>
      </c>
      <c r="Z83">
        <v>4.1269443050297311E-2</v>
      </c>
      <c r="AA83">
        <v>0.16507777220118924</v>
      </c>
      <c r="AB83">
        <v>13006.49948</v>
      </c>
      <c r="AC83" s="33">
        <v>0</v>
      </c>
      <c r="AD83" s="33">
        <v>0.49523331660356773</v>
      </c>
      <c r="AE83" s="33">
        <v>0.26720393275258136</v>
      </c>
      <c r="AF83" s="33" t="s">
        <v>677</v>
      </c>
    </row>
    <row r="84" spans="1:32" x14ac:dyDescent="0.25">
      <c r="A84" s="125" t="s">
        <v>258</v>
      </c>
      <c r="B84" t="s">
        <v>679</v>
      </c>
      <c r="C84" s="126">
        <v>2.5956000000000001</v>
      </c>
      <c r="D84" s="126">
        <v>0.74160000000000004</v>
      </c>
      <c r="E84" s="126">
        <v>6.7259000000000002</v>
      </c>
      <c r="F84">
        <v>2262679.5823439998</v>
      </c>
      <c r="G84">
        <v>0</v>
      </c>
      <c r="O84" t="s">
        <v>258</v>
      </c>
      <c r="P84">
        <v>6.0902547487005021E-2</v>
      </c>
      <c r="Q84">
        <v>3.1955040348119919E-2</v>
      </c>
      <c r="R84">
        <v>0.13646681936902977</v>
      </c>
      <c r="S84">
        <v>2.8571565487730748E-2</v>
      </c>
      <c r="T84">
        <v>1.8797082557717601E-2</v>
      </c>
      <c r="U84">
        <v>7.5188330230870404E-2</v>
      </c>
      <c r="V84">
        <v>1.5164631825380366E-2</v>
      </c>
      <c r="W84">
        <v>9.9767314640660312E-3</v>
      </c>
      <c r="X84">
        <v>3.9906925856264125E-2</v>
      </c>
      <c r="Y84">
        <v>7.2556738672789944E-2</v>
      </c>
      <c r="Z84">
        <v>3.7594165115435202E-2</v>
      </c>
      <c r="AA84">
        <v>0.15037666046174081</v>
      </c>
      <c r="AB84">
        <v>2262679.5823439998</v>
      </c>
      <c r="AC84" s="33">
        <v>0</v>
      </c>
      <c r="AD84" s="33">
        <v>0.45112998138522242</v>
      </c>
      <c r="AE84" s="33">
        <v>0.23944155513758475</v>
      </c>
      <c r="AF84" s="33" t="s">
        <v>679</v>
      </c>
    </row>
    <row r="85" spans="1:32" x14ac:dyDescent="0.25">
      <c r="A85" s="127" t="s">
        <v>472</v>
      </c>
      <c r="B85" t="s">
        <v>681</v>
      </c>
      <c r="C85" s="126">
        <v>5.8298000000000005</v>
      </c>
      <c r="D85" s="126">
        <v>1.7613000000000001</v>
      </c>
      <c r="E85" s="126">
        <v>14.5436</v>
      </c>
      <c r="F85">
        <v>2601.3780270000002</v>
      </c>
      <c r="G85">
        <v>0.7</v>
      </c>
      <c r="O85" t="s">
        <v>472</v>
      </c>
      <c r="P85">
        <v>3.8163327022274533E-2</v>
      </c>
      <c r="Q85">
        <v>2.0023967882057628E-2</v>
      </c>
      <c r="R85">
        <v>8.5514121661022569E-2</v>
      </c>
      <c r="S85">
        <v>1.790378304748682E-2</v>
      </c>
      <c r="T85">
        <v>1.1778804636504487E-2</v>
      </c>
      <c r="U85">
        <v>4.7115218546017947E-2</v>
      </c>
      <c r="V85">
        <v>1.0044078414351851E-2</v>
      </c>
      <c r="W85">
        <v>6.6079463252314815E-3</v>
      </c>
      <c r="X85">
        <v>2.6431785300925926E-2</v>
      </c>
      <c r="Y85">
        <v>4.5466185896907325E-2</v>
      </c>
      <c r="Z85">
        <v>2.3557609273008973E-2</v>
      </c>
      <c r="AA85">
        <v>9.4230437092035893E-2</v>
      </c>
      <c r="AB85">
        <v>2601.3780270000002</v>
      </c>
      <c r="AC85" s="33">
        <v>0.7</v>
      </c>
      <c r="AD85" s="33">
        <v>0.28269131127610769</v>
      </c>
      <c r="AE85" s="33">
        <v>0.15859071180555556</v>
      </c>
      <c r="AF85" s="33" t="s">
        <v>681</v>
      </c>
    </row>
    <row r="86" spans="1:32" x14ac:dyDescent="0.25">
      <c r="A86" s="127" t="s">
        <v>639</v>
      </c>
      <c r="B86" t="s">
        <v>675</v>
      </c>
      <c r="C86" s="126">
        <v>4.6659000000000006</v>
      </c>
      <c r="D86" s="126">
        <v>2.0394000000000001</v>
      </c>
      <c r="E86" s="126">
        <v>9.2803000000000004</v>
      </c>
      <c r="F86">
        <v>41039.068699999996</v>
      </c>
      <c r="G86">
        <v>0.93</v>
      </c>
      <c r="O86" t="s">
        <v>639</v>
      </c>
      <c r="P86">
        <v>5.1283515812735242E-2</v>
      </c>
      <c r="Q86">
        <v>2.6908017556064791E-2</v>
      </c>
      <c r="R86">
        <v>0.11491306321001786</v>
      </c>
      <c r="S86">
        <v>2.4058933344246164E-2</v>
      </c>
      <c r="T86">
        <v>1.5828245621214581E-2</v>
      </c>
      <c r="U86">
        <v>6.3312982484858324E-2</v>
      </c>
      <c r="V86">
        <v>1.2676566329241622E-2</v>
      </c>
      <c r="W86">
        <v>8.3398462692379095E-3</v>
      </c>
      <c r="X86">
        <v>3.3359385076951638E-2</v>
      </c>
      <c r="Y86">
        <v>6.1097028097888292E-2</v>
      </c>
      <c r="Z86">
        <v>3.1656491242429162E-2</v>
      </c>
      <c r="AA86">
        <v>0.12662596496971665</v>
      </c>
      <c r="AB86">
        <v>41039.068699999996</v>
      </c>
      <c r="AC86" s="33">
        <v>0.93</v>
      </c>
      <c r="AD86" s="33">
        <v>0.37987789490914997</v>
      </c>
      <c r="AE86" s="33">
        <v>0.20015631046170984</v>
      </c>
      <c r="AF86" s="33" t="s">
        <v>675</v>
      </c>
    </row>
    <row r="87" spans="1:32" x14ac:dyDescent="0.25">
      <c r="A87" s="125" t="s">
        <v>208</v>
      </c>
      <c r="B87" t="s">
        <v>681</v>
      </c>
      <c r="C87" s="126">
        <v>6.2109000000000005</v>
      </c>
      <c r="D87" s="126">
        <v>2.7501000000000002</v>
      </c>
      <c r="E87" s="126">
        <v>12.226099999999999</v>
      </c>
      <c r="F87">
        <v>78826.282206000003</v>
      </c>
      <c r="G87">
        <v>0.98</v>
      </c>
      <c r="O87" t="s">
        <v>208</v>
      </c>
      <c r="P87">
        <v>4.970238772912132E-2</v>
      </c>
      <c r="Q87">
        <v>2.6078413314662423E-2</v>
      </c>
      <c r="R87">
        <v>0.11137016509673479</v>
      </c>
      <c r="S87">
        <v>2.3317169551933456E-2</v>
      </c>
      <c r="T87">
        <v>1.5340243126272012E-2</v>
      </c>
      <c r="U87">
        <v>6.1360972505088048E-2</v>
      </c>
      <c r="V87">
        <v>1.221585515640816E-2</v>
      </c>
      <c r="W87">
        <v>8.0367468134264226E-3</v>
      </c>
      <c r="X87">
        <v>3.214698725370569E-2</v>
      </c>
      <c r="Y87">
        <v>5.9213338467409969E-2</v>
      </c>
      <c r="Z87">
        <v>3.0680486252544024E-2</v>
      </c>
      <c r="AA87">
        <v>0.1227219450101761</v>
      </c>
      <c r="AB87">
        <v>78826.282206000003</v>
      </c>
      <c r="AC87" s="33">
        <v>0.98</v>
      </c>
      <c r="AD87" s="33">
        <v>0.3681658350305283</v>
      </c>
      <c r="AE87" s="33">
        <v>0.19288192352223413</v>
      </c>
      <c r="AF87" s="33" t="s">
        <v>681</v>
      </c>
    </row>
    <row r="88" spans="1:32" x14ac:dyDescent="0.25">
      <c r="A88" s="125" t="s">
        <v>341</v>
      </c>
      <c r="B88" t="s">
        <v>675</v>
      </c>
      <c r="C88" s="126">
        <v>7.5602</v>
      </c>
      <c r="D88" s="126">
        <v>2.5852999999999997</v>
      </c>
      <c r="E88" s="126">
        <v>18.0868</v>
      </c>
      <c r="F88">
        <v>7423.4461480000009</v>
      </c>
      <c r="G88">
        <v>0</v>
      </c>
      <c r="O88" t="s">
        <v>341</v>
      </c>
      <c r="P88">
        <v>5.2842758185128375E-2</v>
      </c>
      <c r="Q88">
        <v>2.7726138553925386E-2</v>
      </c>
      <c r="R88">
        <v>0.11840692111852839</v>
      </c>
      <c r="S88">
        <v>2.4790429765862692E-2</v>
      </c>
      <c r="T88">
        <v>1.6309493267014932E-2</v>
      </c>
      <c r="U88">
        <v>6.5237973068059729E-2</v>
      </c>
      <c r="V88">
        <v>1.358337588728095E-2</v>
      </c>
      <c r="W88">
        <v>8.9364315047901002E-3</v>
      </c>
      <c r="X88">
        <v>3.5745726019160401E-2</v>
      </c>
      <c r="Y88">
        <v>6.2954644010677643E-2</v>
      </c>
      <c r="Z88">
        <v>3.2618986534029865E-2</v>
      </c>
      <c r="AA88">
        <v>0.13047594613611946</v>
      </c>
      <c r="AB88">
        <v>7423.4461480000009</v>
      </c>
      <c r="AC88" s="33">
        <v>0</v>
      </c>
      <c r="AD88" s="33">
        <v>0.39142783840835832</v>
      </c>
      <c r="AE88" s="33">
        <v>0.21447435611496241</v>
      </c>
      <c r="AF88" s="33" t="s">
        <v>675</v>
      </c>
    </row>
    <row r="89" spans="1:32" x14ac:dyDescent="0.25">
      <c r="A89" s="125" t="s">
        <v>160</v>
      </c>
      <c r="B89" t="s">
        <v>673</v>
      </c>
      <c r="C89" s="126">
        <v>3.4505000000000003</v>
      </c>
      <c r="D89" s="126">
        <v>1.3596000000000001</v>
      </c>
      <c r="E89" s="126">
        <v>7.2409000000000008</v>
      </c>
      <c r="F89">
        <v>694896.55759800004</v>
      </c>
      <c r="G89">
        <v>0.41</v>
      </c>
      <c r="O89" t="s">
        <v>160</v>
      </c>
      <c r="P89">
        <v>3.6128816050067493E-2</v>
      </c>
      <c r="Q89">
        <v>1.8956477557134182E-2</v>
      </c>
      <c r="R89">
        <v>8.0955310038114195E-2</v>
      </c>
      <c r="S89">
        <v>1.6949321109908207E-2</v>
      </c>
      <c r="T89">
        <v>1.11508691512554E-2</v>
      </c>
      <c r="U89">
        <v>4.4603476605021598E-2</v>
      </c>
      <c r="V89">
        <v>9.0189340828928325E-3</v>
      </c>
      <c r="W89">
        <v>5.9335092650610738E-3</v>
      </c>
      <c r="X89">
        <v>2.3734037060244295E-2</v>
      </c>
      <c r="Y89">
        <v>4.3042354923845845E-2</v>
      </c>
      <c r="Z89">
        <v>2.2301738302510799E-2</v>
      </c>
      <c r="AA89">
        <v>8.9206953210043197E-2</v>
      </c>
      <c r="AB89">
        <v>694896.55759800004</v>
      </c>
      <c r="AC89" s="33">
        <v>0.41</v>
      </c>
      <c r="AD89" s="33">
        <v>0.2676208596301296</v>
      </c>
      <c r="AE89" s="33">
        <v>0.14240422236146577</v>
      </c>
      <c r="AF89" s="33" t="s">
        <v>673</v>
      </c>
    </row>
    <row r="90" spans="1:32" x14ac:dyDescent="0.25">
      <c r="A90" s="125" t="s">
        <v>111</v>
      </c>
      <c r="B90" t="s">
        <v>677</v>
      </c>
      <c r="C90" s="126">
        <v>1.2051000000000001</v>
      </c>
      <c r="D90" s="126">
        <v>0.4017</v>
      </c>
      <c r="E90" s="126">
        <v>2.8633999999999999</v>
      </c>
      <c r="F90">
        <v>1144921.2852720001</v>
      </c>
      <c r="G90">
        <v>0</v>
      </c>
      <c r="O90" t="s">
        <v>111</v>
      </c>
      <c r="P90">
        <v>8.2496548688715168E-3</v>
      </c>
      <c r="Q90">
        <v>4.3285226163832036E-3</v>
      </c>
      <c r="R90">
        <v>1.8485337761730621E-2</v>
      </c>
      <c r="S90">
        <v>3.8702084570014519E-3</v>
      </c>
      <c r="T90">
        <v>2.5461897743430605E-3</v>
      </c>
      <c r="U90">
        <v>1.0184759097372242E-2</v>
      </c>
      <c r="V90">
        <v>2.1852484764855996E-3</v>
      </c>
      <c r="W90">
        <v>1.437663471372105E-3</v>
      </c>
      <c r="X90">
        <v>5.7506538854884201E-3</v>
      </c>
      <c r="Y90">
        <v>9.8282925289642151E-3</v>
      </c>
      <c r="Z90">
        <v>5.092379548686121E-3</v>
      </c>
      <c r="AA90">
        <v>2.0369518194744484E-2</v>
      </c>
      <c r="AB90">
        <v>1144921.2852720001</v>
      </c>
      <c r="AC90" s="33">
        <v>0</v>
      </c>
      <c r="AD90" s="33">
        <v>6.1108554584233456E-2</v>
      </c>
      <c r="AE90" s="33">
        <v>3.4503923312930521E-2</v>
      </c>
      <c r="AF90" s="33" t="s">
        <v>677</v>
      </c>
    </row>
    <row r="91" spans="1:32" x14ac:dyDescent="0.25">
      <c r="A91" s="125" t="s">
        <v>216</v>
      </c>
      <c r="B91" t="s">
        <v>680</v>
      </c>
      <c r="C91" s="126">
        <v>1.9055000000000002</v>
      </c>
      <c r="D91" s="126">
        <v>0.70040000000000002</v>
      </c>
      <c r="E91" s="126">
        <v>4.3157000000000005</v>
      </c>
      <c r="F91">
        <v>956549.92397800006</v>
      </c>
      <c r="G91">
        <v>0.17</v>
      </c>
      <c r="O91" t="s">
        <v>216</v>
      </c>
      <c r="P91">
        <v>1.606154359691931E-2</v>
      </c>
      <c r="Q91">
        <v>8.4273531218403783E-3</v>
      </c>
      <c r="R91">
        <v>3.598975509680067E-2</v>
      </c>
      <c r="S91">
        <v>7.5350451442337488E-3</v>
      </c>
      <c r="T91">
        <v>4.9572665422590459E-3</v>
      </c>
      <c r="U91">
        <v>1.9829066169036184E-2</v>
      </c>
      <c r="V91">
        <v>3.9627332925627028E-3</v>
      </c>
      <c r="W91">
        <v>2.6070613766859888E-3</v>
      </c>
      <c r="X91">
        <v>1.0428245506743955E-2</v>
      </c>
      <c r="Y91">
        <v>1.913504885311992E-2</v>
      </c>
      <c r="Z91">
        <v>9.9145330845180919E-3</v>
      </c>
      <c r="AA91">
        <v>3.9658132338072367E-2</v>
      </c>
      <c r="AB91">
        <v>956549.92397800006</v>
      </c>
      <c r="AC91" s="33">
        <v>0.17</v>
      </c>
      <c r="AD91" s="33">
        <v>0.11897439701421711</v>
      </c>
      <c r="AE91" s="33">
        <v>6.256947304046373E-2</v>
      </c>
      <c r="AF91" s="33" t="s">
        <v>680</v>
      </c>
    </row>
    <row r="92" spans="1:32" x14ac:dyDescent="0.25">
      <c r="A92" s="125" t="s">
        <v>135</v>
      </c>
      <c r="B92" t="s">
        <v>677</v>
      </c>
      <c r="C92" s="126">
        <v>5.2736000000000001</v>
      </c>
      <c r="D92" s="126">
        <v>2.1836000000000002</v>
      </c>
      <c r="E92" s="126">
        <v>0.78280000000000005</v>
      </c>
      <c r="F92">
        <v>71929.599539999996</v>
      </c>
      <c r="G92">
        <v>0.81</v>
      </c>
      <c r="O92" t="s">
        <v>135</v>
      </c>
      <c r="P92">
        <v>2.8358040425290953E-2</v>
      </c>
      <c r="Q92">
        <v>1.4879218741665009E-2</v>
      </c>
      <c r="R92">
        <v>6.3543016508522315E-2</v>
      </c>
      <c r="S92">
        <v>1.3303772051371064E-2</v>
      </c>
      <c r="T92">
        <v>8.7524816127441223E-3</v>
      </c>
      <c r="U92">
        <v>3.5009926450976489E-2</v>
      </c>
      <c r="V92">
        <v>7.5585937092544882E-3</v>
      </c>
      <c r="W92">
        <v>4.9727590192463747E-3</v>
      </c>
      <c r="X92">
        <v>1.9891036076985499E-2</v>
      </c>
      <c r="Y92">
        <v>3.3784579025192316E-2</v>
      </c>
      <c r="Z92">
        <v>1.7504963225488245E-2</v>
      </c>
      <c r="AA92">
        <v>7.0019852901952978E-2</v>
      </c>
      <c r="AB92">
        <v>71929.599539999996</v>
      </c>
      <c r="AC92" s="33">
        <v>0.81</v>
      </c>
      <c r="AD92" s="33">
        <v>0.21005955870585893</v>
      </c>
      <c r="AE92" s="33">
        <v>0.11934621646191299</v>
      </c>
      <c r="AF92" s="33" t="s">
        <v>677</v>
      </c>
    </row>
    <row r="93" spans="1:32" x14ac:dyDescent="0.25">
      <c r="A93" s="125" t="s">
        <v>291</v>
      </c>
      <c r="B93" t="s">
        <v>681</v>
      </c>
      <c r="C93" s="126"/>
      <c r="D93" s="126"/>
      <c r="E93" s="126"/>
      <c r="F93">
        <v>231.31835999999996</v>
      </c>
      <c r="G93">
        <v>0.99</v>
      </c>
      <c r="O93" t="s">
        <v>291</v>
      </c>
      <c r="P93">
        <v>5.3438164653103713E-2</v>
      </c>
      <c r="Q93">
        <v>2.8038543182184048E-2</v>
      </c>
      <c r="R93">
        <v>0.11974107264862129</v>
      </c>
      <c r="S93">
        <v>2.5069756257011615E-2</v>
      </c>
      <c r="T93">
        <v>1.6493260695402381E-2</v>
      </c>
      <c r="U93">
        <v>6.5973042781609523E-2</v>
      </c>
      <c r="V93">
        <v>1.4327497196310175E-2</v>
      </c>
      <c r="W93">
        <v>9.4259849975724848E-3</v>
      </c>
      <c r="X93">
        <v>3.7703939990289939E-2</v>
      </c>
      <c r="Y93">
        <v>6.3663986284253196E-2</v>
      </c>
      <c r="Z93">
        <v>3.2986521390804761E-2</v>
      </c>
      <c r="AA93">
        <v>0.13194608556321905</v>
      </c>
      <c r="AB93">
        <v>231.31835999999996</v>
      </c>
      <c r="AC93" s="33">
        <v>0.99</v>
      </c>
      <c r="AD93" s="33">
        <v>0.39583825668965716</v>
      </c>
      <c r="AE93" s="33">
        <v>0.22622363994173963</v>
      </c>
      <c r="AF93" s="33" t="s">
        <v>681</v>
      </c>
    </row>
    <row r="94" spans="1:32" x14ac:dyDescent="0.25">
      <c r="A94" s="125" t="s">
        <v>197</v>
      </c>
      <c r="B94" t="s">
        <v>680</v>
      </c>
      <c r="C94" s="126">
        <v>2.06</v>
      </c>
      <c r="D94" s="126">
        <v>0.81370000000000009</v>
      </c>
      <c r="E94" s="126">
        <v>4.4290000000000003</v>
      </c>
      <c r="F94">
        <v>572717.8655849999</v>
      </c>
      <c r="G94">
        <v>0</v>
      </c>
      <c r="O94" t="s">
        <v>197</v>
      </c>
      <c r="P94">
        <v>1.7864776796500687E-2</v>
      </c>
      <c r="Q94">
        <v>9.3734939981639422E-3</v>
      </c>
      <c r="R94">
        <v>4.003033319215895E-2</v>
      </c>
      <c r="S94">
        <v>8.3810063983583462E-3</v>
      </c>
      <c r="T94">
        <v>5.5138199989199655E-3</v>
      </c>
      <c r="U94">
        <v>2.2055279995679862E-2</v>
      </c>
      <c r="V94">
        <v>4.6478313868486918E-3</v>
      </c>
      <c r="W94">
        <v>3.0577838071372977E-3</v>
      </c>
      <c r="X94">
        <v>1.2231135228549191E-2</v>
      </c>
      <c r="Y94">
        <v>2.1283345195831069E-2</v>
      </c>
      <c r="Z94">
        <v>1.1027639997839931E-2</v>
      </c>
      <c r="AA94">
        <v>4.4110559991359724E-2</v>
      </c>
      <c r="AB94">
        <v>572717.8655849999</v>
      </c>
      <c r="AC94" s="33">
        <v>0</v>
      </c>
      <c r="AD94" s="33">
        <v>0.13233167997407916</v>
      </c>
      <c r="AE94" s="33">
        <v>7.3386811371295144E-2</v>
      </c>
      <c r="AF94" s="33" t="s">
        <v>680</v>
      </c>
    </row>
    <row r="95" spans="1:32" x14ac:dyDescent="0.25">
      <c r="A95" s="125" t="s">
        <v>259</v>
      </c>
      <c r="B95" t="s">
        <v>679</v>
      </c>
      <c r="C95" s="126">
        <v>4.2848000000000006</v>
      </c>
      <c r="D95" s="126">
        <v>1.6068</v>
      </c>
      <c r="E95" s="126">
        <v>9.6614000000000004</v>
      </c>
      <c r="F95">
        <v>136585.01110100001</v>
      </c>
      <c r="G95">
        <v>0</v>
      </c>
      <c r="O95" t="s">
        <v>259</v>
      </c>
      <c r="P95">
        <v>2.1761851210867288E-2</v>
      </c>
      <c r="Q95">
        <v>1.1418255264961232E-2</v>
      </c>
      <c r="R95">
        <v>4.8762666602128552E-2</v>
      </c>
      <c r="S95">
        <v>1.0209263531024158E-2</v>
      </c>
      <c r="T95">
        <v>6.7166207440948417E-3</v>
      </c>
      <c r="U95">
        <v>2.6866482976379367E-2</v>
      </c>
      <c r="V95">
        <v>5.3844698018066907E-3</v>
      </c>
      <c r="W95">
        <v>3.5424143432938758E-3</v>
      </c>
      <c r="X95">
        <v>1.4169657373175503E-2</v>
      </c>
      <c r="Y95">
        <v>2.5926156072206091E-2</v>
      </c>
      <c r="Z95">
        <v>1.3433241488189683E-2</v>
      </c>
      <c r="AA95">
        <v>5.3732965952758734E-2</v>
      </c>
      <c r="AB95">
        <v>136585.01110100001</v>
      </c>
      <c r="AC95" s="33">
        <v>0</v>
      </c>
      <c r="AD95" s="33">
        <v>0.16119889785827621</v>
      </c>
      <c r="AE95" s="33">
        <v>8.5017944239053025E-2</v>
      </c>
      <c r="AF95" s="33" t="s">
        <v>679</v>
      </c>
    </row>
    <row r="96" spans="1:32" x14ac:dyDescent="0.25">
      <c r="A96" s="125" t="s">
        <v>633</v>
      </c>
      <c r="B96" t="s">
        <v>677</v>
      </c>
      <c r="C96" s="126">
        <v>1.1947999999999999</v>
      </c>
      <c r="D96" s="126">
        <v>0.38109999999999999</v>
      </c>
      <c r="E96" s="126">
        <v>2.8531</v>
      </c>
      <c r="F96">
        <v>1078656.9002870002</v>
      </c>
      <c r="G96">
        <v>0</v>
      </c>
      <c r="O96" t="s">
        <v>633</v>
      </c>
      <c r="P96">
        <v>9.1286505347998401E-3</v>
      </c>
      <c r="Q96">
        <v>4.7897240460369533E-3</v>
      </c>
      <c r="R96">
        <v>2.0454939161310751E-2</v>
      </c>
      <c r="S96">
        <v>4.2825767941036281E-3</v>
      </c>
      <c r="T96">
        <v>2.8174847329629138E-3</v>
      </c>
      <c r="U96">
        <v>1.1269938931851655E-2</v>
      </c>
      <c r="V96">
        <v>2.4036309902352483E-3</v>
      </c>
      <c r="W96">
        <v>1.5813361777863477E-3</v>
      </c>
      <c r="X96">
        <v>6.3253447111453909E-3</v>
      </c>
      <c r="Y96">
        <v>1.0875491069236848E-2</v>
      </c>
      <c r="Z96">
        <v>5.6349694659258275E-3</v>
      </c>
      <c r="AA96">
        <v>2.253987786370331E-2</v>
      </c>
      <c r="AB96">
        <v>1078656.9002870002</v>
      </c>
      <c r="AC96" s="33">
        <v>0</v>
      </c>
      <c r="AD96" s="33">
        <v>6.7619633591109923E-2</v>
      </c>
      <c r="AE96" s="33">
        <v>3.7952068266872349E-2</v>
      </c>
      <c r="AF96" s="33" t="s">
        <v>677</v>
      </c>
    </row>
    <row r="97" spans="1:32" x14ac:dyDescent="0.25">
      <c r="A97" s="125" t="s">
        <v>150</v>
      </c>
      <c r="B97" t="s">
        <v>677</v>
      </c>
      <c r="C97" s="126">
        <v>0.63860000000000006</v>
      </c>
      <c r="D97" s="126">
        <v>0.1133</v>
      </c>
      <c r="E97" s="126">
        <v>2.1114999999999999</v>
      </c>
      <c r="F97">
        <v>7656311.3470940003</v>
      </c>
      <c r="G97">
        <v>0</v>
      </c>
      <c r="O97" t="s">
        <v>150</v>
      </c>
      <c r="P97">
        <v>2.4638866546053077E-2</v>
      </c>
      <c r="Q97">
        <v>1.2927800348237727E-2</v>
      </c>
      <c r="R97">
        <v>5.5209312075415233E-2</v>
      </c>
      <c r="S97">
        <v>1.1558974429012554E-2</v>
      </c>
      <c r="T97">
        <v>7.6045884401398393E-3</v>
      </c>
      <c r="U97">
        <v>3.0418353760559357E-2</v>
      </c>
      <c r="V97">
        <v>6.2766392931330401E-3</v>
      </c>
      <c r="W97">
        <v>4.1293679560085797E-3</v>
      </c>
      <c r="X97">
        <v>1.6517471824034319E-2</v>
      </c>
      <c r="Y97">
        <v>2.9353711378939783E-2</v>
      </c>
      <c r="Z97">
        <v>1.5209176880279679E-2</v>
      </c>
      <c r="AA97">
        <v>6.0836707521118714E-2</v>
      </c>
      <c r="AB97">
        <v>7656311.3470940003</v>
      </c>
      <c r="AC97" s="33">
        <v>0</v>
      </c>
      <c r="AD97" s="33">
        <v>0.18251012256335614</v>
      </c>
      <c r="AE97" s="33">
        <v>9.9104830944205913E-2</v>
      </c>
      <c r="AF97" s="33" t="s">
        <v>677</v>
      </c>
    </row>
    <row r="98" spans="1:32" x14ac:dyDescent="0.25">
      <c r="A98" s="125" t="s">
        <v>342</v>
      </c>
      <c r="B98" t="s">
        <v>675</v>
      </c>
      <c r="C98" s="126">
        <v>5.7783000000000007</v>
      </c>
      <c r="D98" s="126">
        <v>2.5235000000000003</v>
      </c>
      <c r="E98" s="126">
        <v>11.6905</v>
      </c>
      <c r="F98">
        <v>22680.523787999999</v>
      </c>
      <c r="G98">
        <v>0.98</v>
      </c>
      <c r="O98" t="s">
        <v>342</v>
      </c>
      <c r="P98">
        <v>3.6367735284978261E-2</v>
      </c>
      <c r="Q98">
        <v>1.9081836414957733E-2</v>
      </c>
      <c r="R98">
        <v>8.1490666101525361E-2</v>
      </c>
      <c r="S98">
        <v>1.7061406676903382E-2</v>
      </c>
      <c r="T98">
        <v>1.1224609655857488E-2</v>
      </c>
      <c r="U98">
        <v>4.4898438623429952E-2</v>
      </c>
      <c r="V98">
        <v>9.1820209648811532E-3</v>
      </c>
      <c r="W98">
        <v>6.0408032663691802E-3</v>
      </c>
      <c r="X98">
        <v>2.4163213065476721E-2</v>
      </c>
      <c r="Y98">
        <v>4.3326993271609909E-2</v>
      </c>
      <c r="Z98">
        <v>2.2449219311714976E-2</v>
      </c>
      <c r="AA98">
        <v>8.9796877246859905E-2</v>
      </c>
      <c r="AB98">
        <v>22680.523787999999</v>
      </c>
      <c r="AC98" s="33">
        <v>0.98</v>
      </c>
      <c r="AD98" s="33">
        <v>0.2693906317405797</v>
      </c>
      <c r="AE98" s="33">
        <v>0.14497927839286034</v>
      </c>
      <c r="AF98" s="33" t="s">
        <v>675</v>
      </c>
    </row>
    <row r="99" spans="1:32" x14ac:dyDescent="0.25">
      <c r="A99" s="125" t="s">
        <v>198</v>
      </c>
      <c r="B99" t="s">
        <v>673</v>
      </c>
      <c r="C99" s="126">
        <v>0.92700000000000005</v>
      </c>
      <c r="D99" s="126">
        <v>0.2472</v>
      </c>
      <c r="E99" s="126">
        <v>2.4823000000000004</v>
      </c>
      <c r="F99">
        <v>6176875.9714740003</v>
      </c>
      <c r="G99">
        <v>0</v>
      </c>
      <c r="O99" t="s">
        <v>198</v>
      </c>
      <c r="P99">
        <v>1.5208284050925745E-2</v>
      </c>
      <c r="Q99">
        <v>7.9796552119054832E-3</v>
      </c>
      <c r="R99">
        <v>3.4077821669666948E-2</v>
      </c>
      <c r="S99">
        <v>7.1347505424096081E-3</v>
      </c>
      <c r="T99">
        <v>4.693914830532637E-3</v>
      </c>
      <c r="U99">
        <v>1.8775659322130548E-2</v>
      </c>
      <c r="V99">
        <v>3.6161983373492338E-3</v>
      </c>
      <c r="W99">
        <v>2.379077853519233E-3</v>
      </c>
      <c r="X99">
        <v>9.516311414076932E-3</v>
      </c>
      <c r="Y99">
        <v>1.8118511245855982E-2</v>
      </c>
      <c r="Z99">
        <v>9.387829661065274E-3</v>
      </c>
      <c r="AA99">
        <v>3.7551318644261096E-2</v>
      </c>
      <c r="AB99">
        <v>6176875.9714740003</v>
      </c>
      <c r="AC99" s="33">
        <v>0</v>
      </c>
      <c r="AD99" s="33">
        <v>0.1126539559327833</v>
      </c>
      <c r="AE99" s="33">
        <v>5.7097868484461592E-2</v>
      </c>
      <c r="AF99" s="33" t="s">
        <v>673</v>
      </c>
    </row>
    <row r="100" spans="1:32" x14ac:dyDescent="0.25">
      <c r="A100" s="127" t="s">
        <v>683</v>
      </c>
      <c r="B100" t="s">
        <v>673</v>
      </c>
      <c r="C100" s="126"/>
      <c r="D100" s="126"/>
      <c r="E100" s="126"/>
      <c r="F100">
        <v>146583.32377199997</v>
      </c>
      <c r="G100">
        <v>0.99</v>
      </c>
      <c r="O100" t="s">
        <v>683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>
        <v>146583.32377199997</v>
      </c>
      <c r="AC100" s="33">
        <v>0.99</v>
      </c>
      <c r="AD100" s="33">
        <v>0</v>
      </c>
      <c r="AE100" s="33">
        <v>0</v>
      </c>
      <c r="AF100" s="33" t="s">
        <v>673</v>
      </c>
    </row>
    <row r="101" spans="1:32" x14ac:dyDescent="0.25">
      <c r="A101" s="125" t="s">
        <v>283</v>
      </c>
      <c r="B101" t="s">
        <v>681</v>
      </c>
      <c r="C101" s="126">
        <v>1.4008</v>
      </c>
      <c r="D101" s="126">
        <v>0.36049999999999999</v>
      </c>
      <c r="E101" s="126">
        <v>3.8933999999999997</v>
      </c>
      <c r="F101">
        <v>238964.94425100001</v>
      </c>
      <c r="G101">
        <v>0.25</v>
      </c>
      <c r="O101" t="s">
        <v>283</v>
      </c>
      <c r="P101">
        <v>3.0555039336858408E-2</v>
      </c>
      <c r="Q101">
        <v>1.6031965084154106E-2</v>
      </c>
      <c r="R101">
        <v>6.8465921477034591E-2</v>
      </c>
      <c r="S101">
        <v>1.4334462898773079E-2</v>
      </c>
      <c r="T101">
        <v>9.4305676965612383E-3</v>
      </c>
      <c r="U101">
        <v>3.7722270786244953E-2</v>
      </c>
      <c r="V101">
        <v>7.9635904993183796E-3</v>
      </c>
      <c r="W101">
        <v>5.2392042758673549E-3</v>
      </c>
      <c r="X101">
        <v>2.095681710346942E-2</v>
      </c>
      <c r="Y101">
        <v>3.6401991308726379E-2</v>
      </c>
      <c r="Z101">
        <v>1.8861135393122477E-2</v>
      </c>
      <c r="AA101">
        <v>7.5444541572489907E-2</v>
      </c>
      <c r="AB101">
        <v>238964.94425100001</v>
      </c>
      <c r="AC101" s="33">
        <v>0.25</v>
      </c>
      <c r="AD101" s="33">
        <v>0.22633362471746971</v>
      </c>
      <c r="AE101" s="33">
        <v>0.12574090262081652</v>
      </c>
      <c r="AF101" s="33" t="s">
        <v>681</v>
      </c>
    </row>
    <row r="102" spans="1:32" x14ac:dyDescent="0.25">
      <c r="A102" s="125" t="s">
        <v>271</v>
      </c>
      <c r="B102" t="s">
        <v>679</v>
      </c>
      <c r="C102" s="126">
        <v>4.0582000000000003</v>
      </c>
      <c r="D102" s="126">
        <v>1.6068</v>
      </c>
      <c r="E102" s="126">
        <v>8.7035</v>
      </c>
      <c r="F102">
        <v>145936.74152400001</v>
      </c>
      <c r="G102">
        <v>0</v>
      </c>
      <c r="O102" t="s">
        <v>271</v>
      </c>
      <c r="P102">
        <v>3.282205469491016E-2</v>
      </c>
      <c r="Q102">
        <v>1.722144845103311E-2</v>
      </c>
      <c r="R102">
        <v>7.3545715149706092E-2</v>
      </c>
      <c r="S102">
        <v>1.5398000967982543E-2</v>
      </c>
      <c r="T102">
        <v>1.0130263794725359E-2</v>
      </c>
      <c r="U102">
        <v>4.0521055178901436E-2</v>
      </c>
      <c r="V102">
        <v>8.2558974510453503E-3</v>
      </c>
      <c r="W102">
        <v>5.4315114809508885E-3</v>
      </c>
      <c r="X102">
        <v>2.1726045923803554E-2</v>
      </c>
      <c r="Y102">
        <v>3.9102818247639885E-2</v>
      </c>
      <c r="Z102">
        <v>2.0260527589450718E-2</v>
      </c>
      <c r="AA102">
        <v>8.1042110357802871E-2</v>
      </c>
      <c r="AB102">
        <v>145936.74152400001</v>
      </c>
      <c r="AC102" s="33">
        <v>0</v>
      </c>
      <c r="AD102" s="33">
        <v>0.24312633107340859</v>
      </c>
      <c r="AE102" s="33">
        <v>0.13035627554282131</v>
      </c>
      <c r="AF102" s="33" t="s">
        <v>679</v>
      </c>
    </row>
    <row r="103" spans="1:32" x14ac:dyDescent="0.25">
      <c r="A103" s="125" t="s">
        <v>272</v>
      </c>
      <c r="B103" t="s">
        <v>679</v>
      </c>
      <c r="C103" s="126">
        <v>2.7501000000000002</v>
      </c>
      <c r="D103" s="126">
        <v>0.89610000000000001</v>
      </c>
      <c r="E103" s="126">
        <v>6.6228999999999996</v>
      </c>
      <c r="F103">
        <v>588374.3412759999</v>
      </c>
      <c r="G103">
        <v>0.82</v>
      </c>
      <c r="O103" t="s">
        <v>272</v>
      </c>
      <c r="P103">
        <v>4.1416676942235532E-2</v>
      </c>
      <c r="Q103">
        <v>2.1730972469691488E-2</v>
      </c>
      <c r="R103">
        <v>9.2804035370564808E-2</v>
      </c>
      <c r="S103">
        <v>1.9430045972900621E-2</v>
      </c>
      <c r="T103">
        <v>1.2782924982171462E-2</v>
      </c>
      <c r="U103">
        <v>5.1131699928685846E-2</v>
      </c>
      <c r="V103">
        <v>1.0638832460109842E-2</v>
      </c>
      <c r="W103">
        <v>6.999231881651212E-3</v>
      </c>
      <c r="X103">
        <v>2.7996927526604848E-2</v>
      </c>
      <c r="Y103">
        <v>4.9342090431181845E-2</v>
      </c>
      <c r="Z103">
        <v>2.5565849964342923E-2</v>
      </c>
      <c r="AA103">
        <v>0.10226339985737169</v>
      </c>
      <c r="AB103">
        <v>588374.3412759999</v>
      </c>
      <c r="AC103" s="33">
        <v>0.82</v>
      </c>
      <c r="AD103" s="33">
        <v>0.30679019957211506</v>
      </c>
      <c r="AE103" s="33">
        <v>0.16798156515962909</v>
      </c>
      <c r="AF103" s="33" t="s">
        <v>679</v>
      </c>
    </row>
    <row r="104" spans="1:32" x14ac:dyDescent="0.25">
      <c r="A104" s="125" t="s">
        <v>654</v>
      </c>
      <c r="B104" t="s">
        <v>681</v>
      </c>
      <c r="C104" s="126">
        <v>0.98880000000000001</v>
      </c>
      <c r="D104" s="126">
        <v>0.2266</v>
      </c>
      <c r="E104" s="126">
        <v>2.9457999999999998</v>
      </c>
      <c r="F104">
        <v>2224607.6142720003</v>
      </c>
      <c r="G104">
        <v>0.5</v>
      </c>
      <c r="O104" t="s">
        <v>654</v>
      </c>
      <c r="P104">
        <v>3.7443404833828429E-2</v>
      </c>
      <c r="Q104">
        <v>1.9646230931329736E-2</v>
      </c>
      <c r="R104">
        <v>8.3900962683208152E-2</v>
      </c>
      <c r="S104">
        <v>1.7566041773894817E-2</v>
      </c>
      <c r="T104">
        <v>1.1556606430193961E-2</v>
      </c>
      <c r="U104">
        <v>4.6226425720775843E-2</v>
      </c>
      <c r="V104">
        <v>9.8098666887131113E-3</v>
      </c>
      <c r="W104">
        <v>6.4538596636270476E-3</v>
      </c>
      <c r="X104">
        <v>2.581543865450819E-2</v>
      </c>
      <c r="Y104">
        <v>4.4608500820548694E-2</v>
      </c>
      <c r="Z104">
        <v>2.3113212860387922E-2</v>
      </c>
      <c r="AA104">
        <v>9.2452851441551687E-2</v>
      </c>
      <c r="AB104">
        <v>2224607.6142720003</v>
      </c>
      <c r="AC104" s="33">
        <v>0.5</v>
      </c>
      <c r="AD104" s="33">
        <v>0.27735855432465506</v>
      </c>
      <c r="AE104" s="33">
        <v>0.15489263192704913</v>
      </c>
      <c r="AF104" s="33" t="s">
        <v>681</v>
      </c>
    </row>
    <row r="105" spans="1:32" x14ac:dyDescent="0.25">
      <c r="A105" s="125" t="s">
        <v>313</v>
      </c>
      <c r="B105" t="s">
        <v>675</v>
      </c>
      <c r="C105" s="126">
        <v>3.8933999999999997</v>
      </c>
      <c r="D105" s="126">
        <v>1.1638999999999999</v>
      </c>
      <c r="E105" s="126">
        <v>9.7850000000000001</v>
      </c>
      <c r="F105">
        <v>189462.83547200004</v>
      </c>
      <c r="G105">
        <v>0.99</v>
      </c>
      <c r="O105" t="s">
        <v>313</v>
      </c>
      <c r="P105">
        <v>7.5699785013798399E-2</v>
      </c>
      <c r="Q105">
        <v>3.9719023001067062E-2</v>
      </c>
      <c r="R105">
        <v>0.16962359234573343</v>
      </c>
      <c r="S105">
        <v>3.5513479389189369E-2</v>
      </c>
      <c r="T105">
        <v>2.336413117709827E-2</v>
      </c>
      <c r="U105">
        <v>9.3456524708393079E-2</v>
      </c>
      <c r="V105">
        <v>1.969829519824156E-2</v>
      </c>
      <c r="W105">
        <v>1.2959404735685237E-2</v>
      </c>
      <c r="X105">
        <v>5.183761894274095E-2</v>
      </c>
      <c r="Y105">
        <v>9.0185546343599335E-2</v>
      </c>
      <c r="Z105">
        <v>4.672826235419654E-2</v>
      </c>
      <c r="AA105">
        <v>0.18691304941678616</v>
      </c>
      <c r="AB105">
        <v>189462.83547200004</v>
      </c>
      <c r="AC105" s="33">
        <v>0.99</v>
      </c>
      <c r="AD105" s="33">
        <v>0.56073914825035842</v>
      </c>
      <c r="AE105" s="33">
        <v>0.31102571365644571</v>
      </c>
      <c r="AF105" s="33" t="s">
        <v>675</v>
      </c>
    </row>
    <row r="106" spans="1:32" x14ac:dyDescent="0.25">
      <c r="A106" s="125" t="s">
        <v>641</v>
      </c>
      <c r="B106" t="s">
        <v>675</v>
      </c>
      <c r="C106" s="126">
        <v>3.6255999999999999</v>
      </c>
      <c r="D106" s="126">
        <v>0.92700000000000005</v>
      </c>
      <c r="E106" s="126">
        <v>9.6202000000000005</v>
      </c>
      <c r="F106">
        <v>1862788.7602000001</v>
      </c>
      <c r="G106">
        <v>0</v>
      </c>
      <c r="O106" t="s">
        <v>641</v>
      </c>
      <c r="P106">
        <v>6.8134183407786902E-2</v>
      </c>
      <c r="Q106">
        <v>3.574941722013511E-2</v>
      </c>
      <c r="R106">
        <v>0.15267104059892991</v>
      </c>
      <c r="S106">
        <v>3.1964184808591388E-2</v>
      </c>
      <c r="T106">
        <v>2.102906895302065E-2</v>
      </c>
      <c r="U106">
        <v>8.41162758120826E-2</v>
      </c>
      <c r="V106">
        <v>1.7663542342622029E-2</v>
      </c>
      <c r="W106">
        <v>1.1620751541198704E-2</v>
      </c>
      <c r="X106">
        <v>4.6483006164794817E-2</v>
      </c>
      <c r="Y106">
        <v>8.1172206158659721E-2</v>
      </c>
      <c r="Z106">
        <v>4.20581379060413E-2</v>
      </c>
      <c r="AA106">
        <v>0.1682325516241652</v>
      </c>
      <c r="AB106">
        <v>1862788.7602000001</v>
      </c>
      <c r="AC106" s="33">
        <v>0</v>
      </c>
      <c r="AD106" s="33">
        <v>0.50469765487249563</v>
      </c>
      <c r="AE106" s="33">
        <v>0.27889803698876892</v>
      </c>
      <c r="AF106" s="33" t="s">
        <v>675</v>
      </c>
    </row>
    <row r="107" spans="1:32" x14ac:dyDescent="0.25">
      <c r="A107" s="125" t="s">
        <v>113</v>
      </c>
      <c r="B107" t="s">
        <v>677</v>
      </c>
      <c r="C107" s="126">
        <v>2.8325</v>
      </c>
      <c r="D107" s="126">
        <v>1.1021000000000001</v>
      </c>
      <c r="E107" s="126">
        <v>6.1182000000000007</v>
      </c>
      <c r="F107">
        <v>405248.948172</v>
      </c>
      <c r="G107">
        <v>0</v>
      </c>
      <c r="O107" t="s">
        <v>113</v>
      </c>
      <c r="P107">
        <v>1.340784171282179E-2</v>
      </c>
      <c r="Q107">
        <v>7.0349786764805694E-3</v>
      </c>
      <c r="R107">
        <v>3.0043497171322899E-2</v>
      </c>
      <c r="S107">
        <v>6.2900985813238025E-3</v>
      </c>
      <c r="T107">
        <v>4.1382227508709232E-3</v>
      </c>
      <c r="U107">
        <v>1.6552891003483693E-2</v>
      </c>
      <c r="V107">
        <v>3.5585045980597902E-3</v>
      </c>
      <c r="W107">
        <v>2.3411214460919674E-3</v>
      </c>
      <c r="X107">
        <v>9.3644857843678698E-3</v>
      </c>
      <c r="Y107">
        <v>1.5973539818361766E-2</v>
      </c>
      <c r="Z107">
        <v>8.2764455017418463E-3</v>
      </c>
      <c r="AA107">
        <v>3.3105782006967385E-2</v>
      </c>
      <c r="AB107">
        <v>405248.948172</v>
      </c>
      <c r="AC107" s="33">
        <v>0</v>
      </c>
      <c r="AD107" s="33">
        <v>9.9317346020902156E-2</v>
      </c>
      <c r="AE107" s="33">
        <v>5.6186914706207215E-2</v>
      </c>
      <c r="AF107" s="33" t="s">
        <v>677</v>
      </c>
    </row>
    <row r="108" spans="1:32" x14ac:dyDescent="0.25">
      <c r="A108" s="125" t="s">
        <v>245</v>
      </c>
      <c r="B108" t="s">
        <v>679</v>
      </c>
      <c r="C108" s="126">
        <v>13.647500000000001</v>
      </c>
      <c r="D108" s="126">
        <v>4.9954999999999998</v>
      </c>
      <c r="E108" s="126">
        <v>31.3841</v>
      </c>
      <c r="F108">
        <v>2212.9162699999997</v>
      </c>
      <c r="G108">
        <v>0.85</v>
      </c>
      <c r="O108" t="s">
        <v>245</v>
      </c>
      <c r="P108">
        <v>6.6313692923596776E-2</v>
      </c>
      <c r="Q108">
        <v>3.479422159571436E-2</v>
      </c>
      <c r="R108">
        <v>0.14859179340287426</v>
      </c>
      <c r="S108">
        <v>3.1110127544403423E-2</v>
      </c>
      <c r="T108">
        <v>2.0467189173949622E-2</v>
      </c>
      <c r="U108">
        <v>8.1868756695798489E-2</v>
      </c>
      <c r="V108">
        <v>1.770382478708004E-2</v>
      </c>
      <c r="W108">
        <v>1.1647253149394765E-2</v>
      </c>
      <c r="X108">
        <v>4.6589012597579062E-2</v>
      </c>
      <c r="Y108">
        <v>7.9003350211445542E-2</v>
      </c>
      <c r="Z108">
        <v>4.0934378347899245E-2</v>
      </c>
      <c r="AA108">
        <v>0.16373751339159698</v>
      </c>
      <c r="AB108">
        <v>2212.9162699999997</v>
      </c>
      <c r="AC108" s="33">
        <v>0.85</v>
      </c>
      <c r="AD108" s="33">
        <v>0.49121254017479093</v>
      </c>
      <c r="AE108" s="33">
        <v>0.27953407558547438</v>
      </c>
      <c r="AF108" s="33" t="s">
        <v>679</v>
      </c>
    </row>
    <row r="109" spans="1:32" x14ac:dyDescent="0.25">
      <c r="A109" s="125" t="s">
        <v>247</v>
      </c>
      <c r="B109" t="s">
        <v>679</v>
      </c>
      <c r="C109" s="126">
        <v>14.9556</v>
      </c>
      <c r="D109" s="126">
        <v>5.5208000000000004</v>
      </c>
      <c r="E109" s="126">
        <v>34.020900000000005</v>
      </c>
      <c r="F109">
        <v>1585.4612480000001</v>
      </c>
      <c r="G109">
        <v>0.99</v>
      </c>
      <c r="O109" t="s">
        <v>247</v>
      </c>
      <c r="P109">
        <v>4.1823470861540181E-2</v>
      </c>
      <c r="Q109">
        <v>2.1944413723647627E-2</v>
      </c>
      <c r="R109">
        <v>9.3715555078636339E-2</v>
      </c>
      <c r="S109">
        <v>1.9620887564673169E-2</v>
      </c>
      <c r="T109">
        <v>1.2908478660969194E-2</v>
      </c>
      <c r="U109">
        <v>5.1633914643876774E-2</v>
      </c>
      <c r="V109">
        <v>1.1370400292869193E-2</v>
      </c>
      <c r="W109">
        <v>7.4805265084665756E-3</v>
      </c>
      <c r="X109">
        <v>2.9922106033866303E-2</v>
      </c>
      <c r="Y109">
        <v>4.9826727631341092E-2</v>
      </c>
      <c r="Z109">
        <v>2.5816957321938387E-2</v>
      </c>
      <c r="AA109">
        <v>0.10326782928775355</v>
      </c>
      <c r="AB109">
        <v>1585.4612480000001</v>
      </c>
      <c r="AC109" s="33">
        <v>0.99</v>
      </c>
      <c r="AD109" s="33">
        <v>0.30980348786326062</v>
      </c>
      <c r="AE109" s="33">
        <v>0.17953263620319782</v>
      </c>
      <c r="AF109" s="33" t="s">
        <v>679</v>
      </c>
    </row>
    <row r="110" spans="1:32" x14ac:dyDescent="0.25">
      <c r="A110" s="125" t="s">
        <v>299</v>
      </c>
      <c r="B110" t="s">
        <v>681</v>
      </c>
      <c r="C110" s="126">
        <v>2.0085000000000002</v>
      </c>
      <c r="D110" s="126">
        <v>0.19570000000000001</v>
      </c>
      <c r="E110" s="126">
        <v>8.3121000000000009</v>
      </c>
      <c r="F110">
        <v>4836.0709409999999</v>
      </c>
      <c r="G110">
        <v>0.65</v>
      </c>
      <c r="O110" t="s">
        <v>299</v>
      </c>
      <c r="P110">
        <v>2.444006265007374E-2</v>
      </c>
      <c r="Q110">
        <v>1.2823489662075728E-2</v>
      </c>
      <c r="R110">
        <v>5.4763844086276339E-2</v>
      </c>
      <c r="S110">
        <v>1.1465708403738296E-2</v>
      </c>
      <c r="T110">
        <v>7.5432292129857222E-3</v>
      </c>
      <c r="U110">
        <v>3.0172916851942889E-2</v>
      </c>
      <c r="V110">
        <v>6.5927868058390637E-3</v>
      </c>
      <c r="W110">
        <v>4.337359740683595E-3</v>
      </c>
      <c r="X110">
        <v>1.734943896273438E-2</v>
      </c>
      <c r="Y110">
        <v>2.911686476212489E-2</v>
      </c>
      <c r="Z110">
        <v>1.5086458425971444E-2</v>
      </c>
      <c r="AA110">
        <v>6.0345833703885778E-2</v>
      </c>
      <c r="AB110">
        <v>4836.0709409999999</v>
      </c>
      <c r="AC110" s="33">
        <v>0.65</v>
      </c>
      <c r="AD110" s="33">
        <v>0.18103750111165734</v>
      </c>
      <c r="AE110" s="33">
        <v>0.10409663377640628</v>
      </c>
      <c r="AF110" s="33" t="s">
        <v>681</v>
      </c>
    </row>
    <row r="111" spans="1:32" x14ac:dyDescent="0.25">
      <c r="A111" s="125" t="s">
        <v>684</v>
      </c>
      <c r="B111" t="s">
        <v>677</v>
      </c>
      <c r="C111" s="126">
        <v>8.3739000000000008</v>
      </c>
      <c r="D111" s="126">
        <v>3.2650999999999999</v>
      </c>
      <c r="E111" s="126">
        <v>18.035300000000003</v>
      </c>
      <c r="F111">
        <v>6827.7740000000003</v>
      </c>
      <c r="G111">
        <v>0.95</v>
      </c>
      <c r="O111" t="s">
        <v>684</v>
      </c>
      <c r="P111">
        <v>2.0557176887174067E-2</v>
      </c>
      <c r="Q111">
        <v>1.078617305808516E-2</v>
      </c>
      <c r="R111">
        <v>4.6063303765704854E-2</v>
      </c>
      <c r="S111">
        <v>9.6441076754643779E-3</v>
      </c>
      <c r="T111">
        <v>6.3448076812265648E-3</v>
      </c>
      <c r="U111">
        <v>2.5379230724906259E-2</v>
      </c>
      <c r="V111">
        <v>5.4794412830098272E-3</v>
      </c>
      <c r="W111">
        <v>3.6048955809275182E-3</v>
      </c>
      <c r="X111">
        <v>1.4419582323710073E-2</v>
      </c>
      <c r="Y111">
        <v>2.4490957649534541E-2</v>
      </c>
      <c r="Z111">
        <v>1.268961536245313E-2</v>
      </c>
      <c r="AA111">
        <v>5.0758461449812518E-2</v>
      </c>
      <c r="AB111">
        <v>6827.7740000000003</v>
      </c>
      <c r="AC111" s="33">
        <v>0.95</v>
      </c>
      <c r="AD111" s="33">
        <v>0.15227538434943755</v>
      </c>
      <c r="AE111" s="33">
        <v>8.6517493942260437E-2</v>
      </c>
      <c r="AF111" s="33" t="s">
        <v>677</v>
      </c>
    </row>
    <row r="112" spans="1:32" x14ac:dyDescent="0.25">
      <c r="A112" s="125" t="s">
        <v>152</v>
      </c>
      <c r="B112" t="s">
        <v>677</v>
      </c>
      <c r="C112" s="126">
        <v>1.9363999999999999</v>
      </c>
      <c r="D112" s="126">
        <v>0.6695000000000001</v>
      </c>
      <c r="E112" s="126">
        <v>4.4908000000000001</v>
      </c>
      <c r="F112">
        <v>566086.72679400002</v>
      </c>
      <c r="G112">
        <v>0.81</v>
      </c>
      <c r="O112" t="s">
        <v>152</v>
      </c>
      <c r="P112">
        <v>1.5779736931692594E-2</v>
      </c>
      <c r="Q112">
        <v>8.2794915999621632E-3</v>
      </c>
      <c r="R112">
        <v>3.5358299421014885E-2</v>
      </c>
      <c r="S112">
        <v>7.402839548201463E-3</v>
      </c>
      <c r="T112">
        <v>4.8702891764483315E-3</v>
      </c>
      <c r="U112">
        <v>1.9481156705793326E-2</v>
      </c>
      <c r="V112">
        <v>4.0725612347981407E-3</v>
      </c>
      <c r="W112">
        <v>2.6793166018408824E-3</v>
      </c>
      <c r="X112">
        <v>1.071726640736353E-2</v>
      </c>
      <c r="Y112">
        <v>1.8799316221090559E-2</v>
      </c>
      <c r="Z112">
        <v>9.740578352896663E-3</v>
      </c>
      <c r="AA112">
        <v>3.8962313411586652E-2</v>
      </c>
      <c r="AB112">
        <v>566086.72679400002</v>
      </c>
      <c r="AC112" s="33">
        <v>0.81</v>
      </c>
      <c r="AD112" s="33">
        <v>0.11688694023475994</v>
      </c>
      <c r="AE112" s="33">
        <v>6.4303598444181181E-2</v>
      </c>
      <c r="AF112" s="33" t="s">
        <v>677</v>
      </c>
    </row>
    <row r="113" spans="1:32" x14ac:dyDescent="0.25">
      <c r="A113" s="125" t="s">
        <v>345</v>
      </c>
      <c r="B113" t="s">
        <v>675</v>
      </c>
      <c r="C113" s="126">
        <v>5.4384000000000006</v>
      </c>
      <c r="D113" s="126">
        <v>2.1938999999999997</v>
      </c>
      <c r="E113" s="126">
        <v>11.5463</v>
      </c>
      <c r="F113">
        <v>83792.321855999995</v>
      </c>
      <c r="G113">
        <v>0.99</v>
      </c>
      <c r="O113" t="s">
        <v>345</v>
      </c>
      <c r="P113">
        <v>4.3900364134826814E-2</v>
      </c>
      <c r="Q113">
        <v>2.3034141675680738E-2</v>
      </c>
      <c r="R113">
        <v>9.8369334450260082E-2</v>
      </c>
      <c r="S113">
        <v>2.0595232557079245E-2</v>
      </c>
      <c r="T113">
        <v>1.354949510334161E-2</v>
      </c>
      <c r="U113">
        <v>5.4197980413366438E-2</v>
      </c>
      <c r="V113">
        <v>1.1300762473690074E-2</v>
      </c>
      <c r="W113">
        <v>7.4347121537434698E-3</v>
      </c>
      <c r="X113">
        <v>2.9738848614973879E-2</v>
      </c>
      <c r="Y113">
        <v>5.230105109889862E-2</v>
      </c>
      <c r="Z113">
        <v>2.7098990206683219E-2</v>
      </c>
      <c r="AA113">
        <v>0.10839596082673288</v>
      </c>
      <c r="AB113">
        <v>83792.321855999995</v>
      </c>
      <c r="AC113" s="33">
        <v>0.99</v>
      </c>
      <c r="AD113" s="33">
        <v>0.32518788248019864</v>
      </c>
      <c r="AE113" s="33">
        <v>0.17843309168984328</v>
      </c>
      <c r="AF113" s="33" t="s">
        <v>675</v>
      </c>
    </row>
    <row r="114" spans="1:32" x14ac:dyDescent="0.25">
      <c r="A114" s="125" t="s">
        <v>153</v>
      </c>
      <c r="B114" t="s">
        <v>677</v>
      </c>
      <c r="C114" s="126">
        <v>2.2763</v>
      </c>
      <c r="D114" s="126">
        <v>0.83430000000000004</v>
      </c>
      <c r="E114" s="126">
        <v>5.0161000000000007</v>
      </c>
      <c r="F114">
        <v>263500.40607500001</v>
      </c>
      <c r="G114">
        <v>0</v>
      </c>
      <c r="O114" t="s">
        <v>153</v>
      </c>
      <c r="P114">
        <v>8.6259164355661846E-3</v>
      </c>
      <c r="Q114">
        <v>4.5259438087847268E-3</v>
      </c>
      <c r="R114">
        <v>1.93284423833983E-2</v>
      </c>
      <c r="S114">
        <v>4.046726229031049E-3</v>
      </c>
      <c r="T114">
        <v>2.6623198875204272E-3</v>
      </c>
      <c r="U114">
        <v>1.0649279550081709E-2</v>
      </c>
      <c r="V114">
        <v>2.2892354628554008E-3</v>
      </c>
      <c r="W114">
        <v>1.5060759624048691E-3</v>
      </c>
      <c r="X114">
        <v>6.0243038496194763E-3</v>
      </c>
      <c r="Y114">
        <v>1.027655476582885E-2</v>
      </c>
      <c r="Z114">
        <v>5.3246397750408543E-3</v>
      </c>
      <c r="AA114">
        <v>2.1298559100163417E-2</v>
      </c>
      <c r="AB114">
        <v>263500.40607500001</v>
      </c>
      <c r="AC114" s="33">
        <v>0</v>
      </c>
      <c r="AD114" s="33">
        <v>6.3895677300490256E-2</v>
      </c>
      <c r="AE114" s="33">
        <v>3.6145823097716856E-2</v>
      </c>
      <c r="AF114" s="33" t="s">
        <v>677</v>
      </c>
    </row>
    <row r="115" spans="1:32" x14ac:dyDescent="0.25">
      <c r="A115" s="125" t="s">
        <v>284</v>
      </c>
      <c r="B115" t="s">
        <v>681</v>
      </c>
      <c r="C115" s="126">
        <v>4.7791999999999994</v>
      </c>
      <c r="D115" s="126">
        <v>1.7613000000000001</v>
      </c>
      <c r="E115" s="126">
        <v>10.6502</v>
      </c>
      <c r="F115">
        <v>21909.84491</v>
      </c>
      <c r="G115">
        <v>0.66</v>
      </c>
      <c r="O115" t="s">
        <v>284</v>
      </c>
      <c r="P115">
        <v>2.5362534736476729E-2</v>
      </c>
      <c r="Q115">
        <v>1.3307502793830384E-2</v>
      </c>
      <c r="R115">
        <v>5.6830864872475635E-2</v>
      </c>
      <c r="S115">
        <v>1.1898473086248341E-2</v>
      </c>
      <c r="T115">
        <v>7.827942819900225E-3</v>
      </c>
      <c r="U115">
        <v>3.13117712796009E-2</v>
      </c>
      <c r="V115">
        <v>6.6813358426799059E-3</v>
      </c>
      <c r="W115">
        <v>4.3956156859736228E-3</v>
      </c>
      <c r="X115">
        <v>1.7582462743894491E-2</v>
      </c>
      <c r="Y115">
        <v>3.0215859284814874E-2</v>
      </c>
      <c r="Z115">
        <v>1.565588563980045E-2</v>
      </c>
      <c r="AA115">
        <v>6.26235425592018E-2</v>
      </c>
      <c r="AB115">
        <v>21909.84491</v>
      </c>
      <c r="AC115" s="33">
        <v>0.66</v>
      </c>
      <c r="AD115" s="33">
        <v>0.1878706276776054</v>
      </c>
      <c r="AE115" s="33">
        <v>0.10549477646336694</v>
      </c>
      <c r="AF115" s="33" t="s">
        <v>681</v>
      </c>
    </row>
    <row r="116" spans="1:32" x14ac:dyDescent="0.25">
      <c r="A116" s="125" t="s">
        <v>115</v>
      </c>
      <c r="B116" t="s">
        <v>673</v>
      </c>
      <c r="C116" s="126">
        <v>0.49440000000000001</v>
      </c>
      <c r="D116" s="126">
        <v>7.2100000000000011E-2</v>
      </c>
      <c r="E116" s="126">
        <v>1.7716000000000001</v>
      </c>
      <c r="F116">
        <v>646563.58840800007</v>
      </c>
      <c r="G116">
        <v>0</v>
      </c>
      <c r="O116" t="s">
        <v>115</v>
      </c>
      <c r="P116">
        <v>2.1064835887081739E-3</v>
      </c>
      <c r="Q116">
        <v>1.1052537348160173E-3</v>
      </c>
      <c r="R116">
        <v>4.7200835969201669E-3</v>
      </c>
      <c r="S116">
        <v>9.8822686877667412E-4</v>
      </c>
      <c r="T116">
        <v>6.5014925577412772E-4</v>
      </c>
      <c r="U116">
        <v>2.6005970230965109E-3</v>
      </c>
      <c r="V116">
        <v>5.5079147618159862E-4</v>
      </c>
      <c r="W116">
        <v>3.6236281327736757E-4</v>
      </c>
      <c r="X116">
        <v>1.4494512531094703E-3</v>
      </c>
      <c r="Y116">
        <v>2.5095761272881335E-3</v>
      </c>
      <c r="Z116">
        <v>1.3002985115482554E-3</v>
      </c>
      <c r="AA116">
        <v>5.2011940461930218E-3</v>
      </c>
      <c r="AB116">
        <v>646563.58840800007</v>
      </c>
      <c r="AC116" s="33">
        <v>0</v>
      </c>
      <c r="AD116" s="33">
        <v>1.5603582138579066E-2</v>
      </c>
      <c r="AE116" s="33">
        <v>8.6967075186568203E-3</v>
      </c>
      <c r="AF116" s="33" t="s">
        <v>673</v>
      </c>
    </row>
    <row r="117" spans="1:32" x14ac:dyDescent="0.25">
      <c r="A117" s="125" t="s">
        <v>136</v>
      </c>
      <c r="B117" t="s">
        <v>677</v>
      </c>
      <c r="C117" s="126">
        <v>1.8025</v>
      </c>
      <c r="D117" s="126">
        <v>0.45319999999999999</v>
      </c>
      <c r="E117" s="126">
        <v>5.0573000000000006</v>
      </c>
      <c r="F117">
        <v>1209989.4710210001</v>
      </c>
      <c r="G117">
        <v>0</v>
      </c>
      <c r="O117" t="s">
        <v>136</v>
      </c>
      <c r="P117">
        <v>3.6075524029714645E-2</v>
      </c>
      <c r="Q117">
        <v>1.8928515694603368E-2</v>
      </c>
      <c r="R117">
        <v>8.0835896436953186E-2</v>
      </c>
      <c r="S117">
        <v>1.6924319915174773E-2</v>
      </c>
      <c r="T117">
        <v>1.1134420996825508E-2</v>
      </c>
      <c r="U117">
        <v>4.4537683987302033E-2</v>
      </c>
      <c r="V117">
        <v>9.1502839570702117E-3</v>
      </c>
      <c r="W117">
        <v>6.0199236559672449E-3</v>
      </c>
      <c r="X117">
        <v>2.4079694623868979E-2</v>
      </c>
      <c r="Y117">
        <v>4.2978865047746471E-2</v>
      </c>
      <c r="Z117">
        <v>2.2268841993651017E-2</v>
      </c>
      <c r="AA117">
        <v>8.9075367974604067E-2</v>
      </c>
      <c r="AB117">
        <v>1209989.4710210001</v>
      </c>
      <c r="AC117" s="33">
        <v>0</v>
      </c>
      <c r="AD117" s="33">
        <v>0.26722610392381224</v>
      </c>
      <c r="AE117" s="33">
        <v>0.14447816774321387</v>
      </c>
      <c r="AF117" s="33" t="s">
        <v>677</v>
      </c>
    </row>
    <row r="118" spans="1:32" x14ac:dyDescent="0.25">
      <c r="A118" s="125" t="s">
        <v>116</v>
      </c>
      <c r="B118" t="s">
        <v>677</v>
      </c>
      <c r="C118" s="126">
        <v>0.69010000000000005</v>
      </c>
      <c r="D118" s="126">
        <v>0.13390000000000002</v>
      </c>
      <c r="E118" s="126">
        <v>2.1938999999999997</v>
      </c>
      <c r="F118">
        <v>389286.85377400002</v>
      </c>
      <c r="G118">
        <v>0</v>
      </c>
      <c r="O118" t="s">
        <v>116</v>
      </c>
      <c r="P118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>
        <v>389286.85377400002</v>
      </c>
      <c r="AC118" s="33">
        <v>0</v>
      </c>
      <c r="AD118" s="33">
        <v>0</v>
      </c>
      <c r="AE118" s="33">
        <v>0</v>
      </c>
      <c r="AF118" s="33" t="s">
        <v>677</v>
      </c>
    </row>
    <row r="119" spans="1:32" x14ac:dyDescent="0.25">
      <c r="A119" s="125" t="s">
        <v>199</v>
      </c>
      <c r="B119" t="s">
        <v>680</v>
      </c>
      <c r="C119" s="126">
        <v>4.1818</v>
      </c>
      <c r="D119" s="126">
        <v>1.5656000000000001</v>
      </c>
      <c r="E119" s="126">
        <v>9.1464000000000016</v>
      </c>
      <c r="F119">
        <v>341648.866148</v>
      </c>
      <c r="G119">
        <v>0</v>
      </c>
      <c r="O119" t="s">
        <v>199</v>
      </c>
      <c r="P119">
        <v>2.2710685196123036E-2</v>
      </c>
      <c r="Q119">
        <v>1.1916100257225051E-2</v>
      </c>
      <c r="R119">
        <v>5.0888757569090511E-2</v>
      </c>
      <c r="S119">
        <v>1.0654395524107102E-2</v>
      </c>
      <c r="T119">
        <v>7.0094707395441476E-3</v>
      </c>
      <c r="U119">
        <v>2.803788295817659E-2</v>
      </c>
      <c r="V119">
        <v>5.8747634082943609E-3</v>
      </c>
      <c r="W119">
        <v>3.8649759265094483E-3</v>
      </c>
      <c r="X119">
        <v>1.5459903706037793E-2</v>
      </c>
      <c r="Y119">
        <v>2.7056557054640412E-2</v>
      </c>
      <c r="Z119">
        <v>1.4018941479088295E-2</v>
      </c>
      <c r="AA119">
        <v>5.607576591635318E-2</v>
      </c>
      <c r="AB119">
        <v>341648.866148</v>
      </c>
      <c r="AC119" s="33">
        <v>0</v>
      </c>
      <c r="AD119" s="33">
        <v>0.16822729774905953</v>
      </c>
      <c r="AE119" s="33">
        <v>9.2759422236226755E-2</v>
      </c>
      <c r="AF119" s="33" t="s">
        <v>680</v>
      </c>
    </row>
    <row r="120" spans="1:32" x14ac:dyDescent="0.25">
      <c r="A120" s="125" t="s">
        <v>647</v>
      </c>
      <c r="B120" t="s">
        <v>673</v>
      </c>
      <c r="C120" s="126">
        <v>2.0394000000000001</v>
      </c>
      <c r="D120" s="126">
        <v>0.74160000000000004</v>
      </c>
      <c r="E120" s="126">
        <v>4.5526</v>
      </c>
      <c r="F120">
        <v>1385479.1625569998</v>
      </c>
      <c r="G120">
        <v>0</v>
      </c>
      <c r="O120" t="s">
        <v>647</v>
      </c>
      <c r="P120">
        <v>4.9077707509903451E-3</v>
      </c>
      <c r="Q120">
        <v>2.5750649002109841E-3</v>
      </c>
      <c r="R120">
        <v>1.0997041867959847E-2</v>
      </c>
      <c r="S120">
        <v>2.3024109696004086E-3</v>
      </c>
      <c r="T120">
        <v>1.5147440589476375E-3</v>
      </c>
      <c r="U120">
        <v>6.0589762357905501E-3</v>
      </c>
      <c r="V120">
        <v>1.2427565132022511E-3</v>
      </c>
      <c r="W120">
        <v>8.1760296921200737E-4</v>
      </c>
      <c r="X120">
        <v>3.2704118768480295E-3</v>
      </c>
      <c r="Y120">
        <v>5.8469120675378817E-3</v>
      </c>
      <c r="Z120">
        <v>3.029488117895275E-3</v>
      </c>
      <c r="AA120">
        <v>1.21179524715811E-2</v>
      </c>
      <c r="AB120">
        <v>1385479.1625569998</v>
      </c>
      <c r="AC120" s="33">
        <v>0</v>
      </c>
      <c r="AD120" s="33">
        <v>3.6353857414743299E-2</v>
      </c>
      <c r="AE120" s="33">
        <v>1.9622471261088178E-2</v>
      </c>
      <c r="AF120" s="33" t="s">
        <v>673</v>
      </c>
    </row>
    <row r="121" spans="1:32" x14ac:dyDescent="0.25">
      <c r="A121" s="125" t="s">
        <v>273</v>
      </c>
      <c r="B121" t="s">
        <v>679</v>
      </c>
      <c r="C121" s="126">
        <v>8.8168000000000006</v>
      </c>
      <c r="D121" s="126">
        <v>3.7595000000000001</v>
      </c>
      <c r="E121" s="126">
        <v>18.189800000000002</v>
      </c>
      <c r="F121">
        <v>10851.721758000002</v>
      </c>
      <c r="G121">
        <v>0.79</v>
      </c>
      <c r="O121" t="s">
        <v>273</v>
      </c>
      <c r="P121">
        <v>3.7403901703605996E-2</v>
      </c>
      <c r="Q121">
        <v>1.9625503980287097E-2</v>
      </c>
      <c r="R121">
        <v>8.3812446409931948E-2</v>
      </c>
      <c r="S121">
        <v>1.7547509441197873E-2</v>
      </c>
      <c r="T121">
        <v>1.1544414106051233E-2</v>
      </c>
      <c r="U121">
        <v>4.6177656424204933E-2</v>
      </c>
      <c r="V121">
        <v>9.6967833503923458E-3</v>
      </c>
      <c r="W121">
        <v>6.3794627305212804E-3</v>
      </c>
      <c r="X121">
        <v>2.5517850922085122E-2</v>
      </c>
      <c r="Y121">
        <v>4.4561438449357768E-2</v>
      </c>
      <c r="Z121">
        <v>2.3088828212102466E-2</v>
      </c>
      <c r="AA121">
        <v>9.2355312848409865E-2</v>
      </c>
      <c r="AB121">
        <v>10851.721758000002</v>
      </c>
      <c r="AC121" s="33">
        <v>0.79</v>
      </c>
      <c r="AD121" s="33">
        <v>0.2770659385452296</v>
      </c>
      <c r="AE121" s="33">
        <v>0.15310710553251072</v>
      </c>
      <c r="AF121" s="33" t="s">
        <v>679</v>
      </c>
    </row>
    <row r="122" spans="1:32" x14ac:dyDescent="0.25">
      <c r="A122" s="125" t="s">
        <v>648</v>
      </c>
      <c r="B122" t="s">
        <v>673</v>
      </c>
      <c r="C122" s="126">
        <v>0.77249999999999996</v>
      </c>
      <c r="D122" s="126">
        <v>0.13390000000000002</v>
      </c>
      <c r="E122" s="126">
        <v>2.6058999999999997</v>
      </c>
      <c r="F122">
        <v>409751.44852800004</v>
      </c>
      <c r="G122">
        <v>0</v>
      </c>
      <c r="O122" t="s">
        <v>648</v>
      </c>
      <c r="P122">
        <v>3.5759582797999366E-2</v>
      </c>
      <c r="Q122">
        <v>1.8762744060678679E-2</v>
      </c>
      <c r="R122">
        <v>8.0127954047368943E-2</v>
      </c>
      <c r="S122">
        <v>1.6776100571900935E-2</v>
      </c>
      <c r="T122">
        <v>1.1036908270987458E-2</v>
      </c>
      <c r="U122">
        <v>4.4147633083949832E-2</v>
      </c>
      <c r="V122">
        <v>8.8205821789931471E-3</v>
      </c>
      <c r="W122">
        <v>5.8030145914428604E-3</v>
      </c>
      <c r="X122">
        <v>2.3212058365771442E-2</v>
      </c>
      <c r="Y122">
        <v>4.2602465926011593E-2</v>
      </c>
      <c r="Z122">
        <v>2.2073816541974916E-2</v>
      </c>
      <c r="AA122">
        <v>8.8295266167899664E-2</v>
      </c>
      <c r="AB122">
        <v>409751.44852800004</v>
      </c>
      <c r="AC122" s="33">
        <v>0</v>
      </c>
      <c r="AD122" s="33">
        <v>0.26488579850369898</v>
      </c>
      <c r="AE122" s="33">
        <v>0.13927235019462864</v>
      </c>
      <c r="AF122" s="33" t="s">
        <v>673</v>
      </c>
    </row>
    <row r="123" spans="1:32" x14ac:dyDescent="0.25">
      <c r="A123" s="125" t="s">
        <v>187</v>
      </c>
      <c r="B123" t="s">
        <v>675</v>
      </c>
      <c r="C123" s="126">
        <v>2.9767000000000001</v>
      </c>
      <c r="D123" s="126">
        <v>1.1741999999999999</v>
      </c>
      <c r="E123" s="126">
        <v>6.3448000000000002</v>
      </c>
      <c r="F123">
        <v>290927.76987599995</v>
      </c>
      <c r="G123">
        <v>0.99</v>
      </c>
      <c r="O123" t="s">
        <v>187</v>
      </c>
      <c r="P123">
        <v>1.486746608074882E-2</v>
      </c>
      <c r="Q123">
        <v>7.8008309682941349E-3</v>
      </c>
      <c r="R123">
        <v>3.3314136958714949E-2</v>
      </c>
      <c r="S123">
        <v>6.9748606304747543E-3</v>
      </c>
      <c r="T123">
        <v>4.5887240989965494E-3</v>
      </c>
      <c r="U123">
        <v>1.8354896395986198E-2</v>
      </c>
      <c r="V123">
        <v>3.7787881191001611E-3</v>
      </c>
      <c r="W123">
        <v>2.4860448151974744E-3</v>
      </c>
      <c r="X123">
        <v>9.9441792607898975E-3</v>
      </c>
      <c r="Y123">
        <v>1.7712475022126684E-2</v>
      </c>
      <c r="Z123">
        <v>9.1774481979930989E-3</v>
      </c>
      <c r="AA123">
        <v>3.6709792791972395E-2</v>
      </c>
      <c r="AB123">
        <v>290927.76987599995</v>
      </c>
      <c r="AC123" s="33">
        <v>0.99</v>
      </c>
      <c r="AD123" s="33">
        <v>0.11012937837591719</v>
      </c>
      <c r="AE123" s="33">
        <v>5.9665075564739392E-2</v>
      </c>
      <c r="AF123" s="33" t="s">
        <v>675</v>
      </c>
    </row>
    <row r="124" spans="1:32" x14ac:dyDescent="0.25">
      <c r="A124" s="127" t="s">
        <v>652</v>
      </c>
      <c r="B124" t="s">
        <v>677</v>
      </c>
      <c r="C124" s="126">
        <v>2.2968999999999999</v>
      </c>
      <c r="D124" s="126">
        <v>0.82400000000000007</v>
      </c>
      <c r="E124" s="126">
        <v>5.2221000000000002</v>
      </c>
      <c r="F124">
        <v>2140459.5163610005</v>
      </c>
      <c r="G124">
        <v>0</v>
      </c>
      <c r="O124" t="s">
        <v>652</v>
      </c>
      <c r="P124">
        <v>1.8045895403577789E-2</v>
      </c>
      <c r="Q124">
        <v>9.4685253660747662E-3</v>
      </c>
      <c r="R124">
        <v>4.0436173033942827E-2</v>
      </c>
      <c r="S124">
        <v>8.4659756214315544E-3</v>
      </c>
      <c r="T124">
        <v>5.5697208035733921E-3</v>
      </c>
      <c r="U124">
        <v>2.2278883214293568E-2</v>
      </c>
      <c r="V124">
        <v>4.8694545232347555E-3</v>
      </c>
      <c r="W124">
        <v>3.2035885021281288E-3</v>
      </c>
      <c r="X124">
        <v>1.2814354008512515E-2</v>
      </c>
      <c r="Y124">
        <v>2.1499122301793294E-2</v>
      </c>
      <c r="Z124">
        <v>1.1139441607146784E-2</v>
      </c>
      <c r="AA124">
        <v>4.4557766428587137E-2</v>
      </c>
      <c r="AB124">
        <v>2140459.5163610005</v>
      </c>
      <c r="AC124" s="33">
        <v>0</v>
      </c>
      <c r="AD124" s="33">
        <v>0.13367329928576141</v>
      </c>
      <c r="AE124" s="33">
        <v>7.6886124051075103E-2</v>
      </c>
      <c r="AF124" s="33" t="s">
        <v>677</v>
      </c>
    </row>
    <row r="125" spans="1:32" x14ac:dyDescent="0.25">
      <c r="A125" s="125" t="s">
        <v>219</v>
      </c>
      <c r="B125" t="s">
        <v>680</v>
      </c>
      <c r="C125" s="126">
        <v>3.7080000000000002</v>
      </c>
      <c r="D125" s="126">
        <v>1.0609</v>
      </c>
      <c r="E125" s="126">
        <v>9.3318000000000012</v>
      </c>
      <c r="F125">
        <v>728422.82842200005</v>
      </c>
      <c r="G125">
        <v>0.99</v>
      </c>
      <c r="O125" t="s">
        <v>219</v>
      </c>
      <c r="P125">
        <v>4.5141216377940718E-2</v>
      </c>
      <c r="Q125">
        <v>2.3685206124228159E-2</v>
      </c>
      <c r="R125">
        <v>0.10114976262464495</v>
      </c>
      <c r="S125">
        <v>2.1177360769898113E-2</v>
      </c>
      <c r="T125">
        <v>1.3932474190722445E-2</v>
      </c>
      <c r="U125">
        <v>5.572989676288978E-2</v>
      </c>
      <c r="V125">
        <v>1.1902872383522611E-2</v>
      </c>
      <c r="W125">
        <v>7.8308370944227719E-3</v>
      </c>
      <c r="X125">
        <v>3.1323348377691088E-2</v>
      </c>
      <c r="Y125">
        <v>5.3779350376188646E-2</v>
      </c>
      <c r="Z125">
        <v>2.786494838144489E-2</v>
      </c>
      <c r="AA125">
        <v>0.11145979352577956</v>
      </c>
      <c r="AB125">
        <v>728422.82842200005</v>
      </c>
      <c r="AC125" s="33">
        <v>0.99</v>
      </c>
      <c r="AD125" s="33">
        <v>0.33437938057733868</v>
      </c>
      <c r="AE125" s="33">
        <v>0.1879400902661465</v>
      </c>
      <c r="AF125" s="33" t="s">
        <v>680</v>
      </c>
    </row>
    <row r="126" spans="1:32" x14ac:dyDescent="0.25">
      <c r="A126" s="125" t="s">
        <v>220</v>
      </c>
      <c r="B126" t="s">
        <v>680</v>
      </c>
      <c r="C126" s="126">
        <v>3.7801</v>
      </c>
      <c r="D126" s="126">
        <v>1.5553000000000001</v>
      </c>
      <c r="E126" s="126">
        <v>7.8383000000000003</v>
      </c>
      <c r="F126">
        <v>38458.681919999995</v>
      </c>
      <c r="G126">
        <v>0.7</v>
      </c>
      <c r="O126" t="s">
        <v>220</v>
      </c>
      <c r="P126">
        <v>1.7446042752423181E-2</v>
      </c>
      <c r="Q126">
        <v>9.1537878639257452E-3</v>
      </c>
      <c r="R126">
        <v>3.9092058760059355E-2</v>
      </c>
      <c r="S126">
        <v>8.1845632665688995E-3</v>
      </c>
      <c r="T126">
        <v>5.3845810964269084E-3</v>
      </c>
      <c r="U126">
        <v>2.1538324385707634E-2</v>
      </c>
      <c r="V126">
        <v>4.3925461645089913E-3</v>
      </c>
      <c r="W126">
        <v>2.8898330029664423E-3</v>
      </c>
      <c r="X126">
        <v>1.1559332011865769E-2</v>
      </c>
      <c r="Y126">
        <v>2.0784483032207868E-2</v>
      </c>
      <c r="Z126">
        <v>1.0769162192853817E-2</v>
      </c>
      <c r="AA126">
        <v>4.3076648771415267E-2</v>
      </c>
      <c r="AB126">
        <v>38458.681919999995</v>
      </c>
      <c r="AC126" s="33">
        <v>0.7</v>
      </c>
      <c r="AD126" s="33">
        <v>0.12922994631424581</v>
      </c>
      <c r="AE126" s="33">
        <v>6.9355992071194611E-2</v>
      </c>
      <c r="AF126" s="33" t="s">
        <v>680</v>
      </c>
    </row>
    <row r="127" spans="1:32" x14ac:dyDescent="0.25">
      <c r="A127" s="125" t="s">
        <v>154</v>
      </c>
      <c r="B127" t="s">
        <v>677</v>
      </c>
      <c r="C127" s="126">
        <v>2.2351000000000001</v>
      </c>
      <c r="D127" s="126">
        <v>0.86519999999999997</v>
      </c>
      <c r="E127" s="126">
        <v>4.8101000000000003</v>
      </c>
      <c r="F127">
        <v>269255.70772599999</v>
      </c>
      <c r="G127">
        <v>0</v>
      </c>
      <c r="O127" t="s">
        <v>154</v>
      </c>
      <c r="P127">
        <v>1.1244555119198108E-2</v>
      </c>
      <c r="Q127">
        <v>5.8999208958755503E-3</v>
      </c>
      <c r="R127">
        <v>2.5196132767092056E-2</v>
      </c>
      <c r="S127">
        <v>5.2752233892534323E-3</v>
      </c>
      <c r="T127">
        <v>3.4705417034562062E-3</v>
      </c>
      <c r="U127">
        <v>1.3882166813824825E-2</v>
      </c>
      <c r="V127">
        <v>2.9477842290813613E-3</v>
      </c>
      <c r="W127">
        <v>1.9393317296587905E-3</v>
      </c>
      <c r="X127">
        <v>7.757326918635162E-3</v>
      </c>
      <c r="Y127">
        <v>1.3396290975340957E-2</v>
      </c>
      <c r="Z127">
        <v>6.9410834069124124E-3</v>
      </c>
      <c r="AA127">
        <v>2.776433362764965E-2</v>
      </c>
      <c r="AB127">
        <v>269255.70772599999</v>
      </c>
      <c r="AC127" s="33">
        <v>0</v>
      </c>
      <c r="AD127" s="33">
        <v>8.3293000882948942E-2</v>
      </c>
      <c r="AE127" s="33">
        <v>4.654396151181097E-2</v>
      </c>
      <c r="AF127" s="33" t="s">
        <v>677</v>
      </c>
    </row>
    <row r="128" spans="1:32" x14ac:dyDescent="0.25">
      <c r="A128" s="125" t="s">
        <v>301</v>
      </c>
      <c r="B128" t="s">
        <v>681</v>
      </c>
      <c r="C128" s="126">
        <v>7.9104000000000001</v>
      </c>
      <c r="D128" s="126">
        <v>2.6058999999999997</v>
      </c>
      <c r="E128" s="126">
        <v>18.828400000000002</v>
      </c>
      <c r="F128">
        <v>2555.3696380000001</v>
      </c>
      <c r="G128">
        <v>0.99</v>
      </c>
      <c r="O128" t="s">
        <v>301</v>
      </c>
      <c r="P128">
        <v>2.7671966941233188E-2</v>
      </c>
      <c r="Q128">
        <v>1.4519241913610008E-2</v>
      </c>
      <c r="R128">
        <v>6.2005703701652148E-2</v>
      </c>
      <c r="S128">
        <v>1.2981910416874829E-2</v>
      </c>
      <c r="T128">
        <v>8.5407305374176519E-3</v>
      </c>
      <c r="U128">
        <v>3.4162922149670608E-2</v>
      </c>
      <c r="V128">
        <v>7.4757948579209851E-3</v>
      </c>
      <c r="W128">
        <v>4.9182860907374904E-3</v>
      </c>
      <c r="X128">
        <v>1.9673144362949962E-2</v>
      </c>
      <c r="Y128">
        <v>3.2967219874432137E-2</v>
      </c>
      <c r="Z128">
        <v>1.7081461074835304E-2</v>
      </c>
      <c r="AA128">
        <v>6.8325844299341215E-2</v>
      </c>
      <c r="AB128">
        <v>2555.3696380000001</v>
      </c>
      <c r="AC128" s="33">
        <v>0.99</v>
      </c>
      <c r="AD128" s="33">
        <v>0.20497753289802362</v>
      </c>
      <c r="AE128" s="33">
        <v>0.11803886617769978</v>
      </c>
      <c r="AF128" s="33" t="s">
        <v>681</v>
      </c>
    </row>
    <row r="129" spans="1:32" x14ac:dyDescent="0.25">
      <c r="A129" s="125" t="s">
        <v>162</v>
      </c>
      <c r="B129" t="s">
        <v>673</v>
      </c>
      <c r="C129" s="126">
        <v>4.2126999999999999</v>
      </c>
      <c r="D129" s="126">
        <v>1.7509999999999999</v>
      </c>
      <c r="E129" s="126">
        <v>8.6417000000000002</v>
      </c>
      <c r="F129">
        <v>207160.28779399997</v>
      </c>
      <c r="G129">
        <v>0.74</v>
      </c>
      <c r="O129" t="s">
        <v>162</v>
      </c>
      <c r="P129">
        <v>3.7381322611332257E-2</v>
      </c>
      <c r="Q129">
        <v>1.9613656925699025E-2</v>
      </c>
      <c r="R129">
        <v>8.3761852517985236E-2</v>
      </c>
      <c r="S129">
        <v>1.7536916780625005E-2</v>
      </c>
      <c r="T129">
        <v>1.153744525041119E-2</v>
      </c>
      <c r="U129">
        <v>4.6149781001644762E-2</v>
      </c>
      <c r="V129">
        <v>9.3380175216343526E-3</v>
      </c>
      <c r="W129">
        <v>6.143432580022601E-3</v>
      </c>
      <c r="X129">
        <v>2.4573730320090404E-2</v>
      </c>
      <c r="Y129">
        <v>4.4534538666587201E-2</v>
      </c>
      <c r="Z129">
        <v>2.3074890500822381E-2</v>
      </c>
      <c r="AA129">
        <v>9.2299562003289523E-2</v>
      </c>
      <c r="AB129">
        <v>207160.28779399997</v>
      </c>
      <c r="AC129" s="33">
        <v>0.74</v>
      </c>
      <c r="AD129" s="33">
        <v>0.27689868600986856</v>
      </c>
      <c r="AE129" s="33">
        <v>0.14744238192054243</v>
      </c>
      <c r="AF129" s="33" t="s">
        <v>673</v>
      </c>
    </row>
    <row r="130" spans="1:32" x14ac:dyDescent="0.25">
      <c r="A130" s="125" t="s">
        <v>180</v>
      </c>
      <c r="B130" t="s">
        <v>675</v>
      </c>
      <c r="C130" s="126">
        <v>4.0479000000000003</v>
      </c>
      <c r="D130" s="126">
        <v>1.0403</v>
      </c>
      <c r="E130" s="126">
        <v>10.8047</v>
      </c>
      <c r="F130">
        <v>1349807.6116529999</v>
      </c>
      <c r="G130">
        <v>0.99</v>
      </c>
      <c r="O130" t="s">
        <v>180</v>
      </c>
      <c r="P130">
        <v>5.4821913040464416E-2</v>
      </c>
      <c r="Q130">
        <v>2.8764584002712812E-2</v>
      </c>
      <c r="R130">
        <v>0.1228416940351147</v>
      </c>
      <c r="S130">
        <v>2.5718922167131453E-2</v>
      </c>
      <c r="T130">
        <v>1.6920343531007537E-2</v>
      </c>
      <c r="U130">
        <v>6.768137412403015E-2</v>
      </c>
      <c r="V130">
        <v>1.3915189212499906E-2</v>
      </c>
      <c r="W130">
        <v>9.1547297450657282E-3</v>
      </c>
      <c r="X130">
        <v>3.6618918980262913E-2</v>
      </c>
      <c r="Y130">
        <v>6.5312526029689094E-2</v>
      </c>
      <c r="Z130">
        <v>3.3840687062015075E-2</v>
      </c>
      <c r="AA130">
        <v>0.1353627482480603</v>
      </c>
      <c r="AB130">
        <v>1349807.6116529999</v>
      </c>
      <c r="AC130" s="33">
        <v>0.99</v>
      </c>
      <c r="AD130" s="33">
        <v>0.40608824474418087</v>
      </c>
      <c r="AE130" s="33">
        <v>0.21971351388157748</v>
      </c>
      <c r="AF130" s="33" t="s">
        <v>675</v>
      </c>
    </row>
    <row r="131" spans="1:32" x14ac:dyDescent="0.25">
      <c r="A131" s="125" t="s">
        <v>188</v>
      </c>
      <c r="B131" t="s">
        <v>675</v>
      </c>
      <c r="C131" s="126">
        <v>6.3757000000000001</v>
      </c>
      <c r="D131" s="126">
        <v>2.5131999999999999</v>
      </c>
      <c r="E131" s="126">
        <v>13.493</v>
      </c>
      <c r="F131">
        <v>142515.18249600002</v>
      </c>
      <c r="G131">
        <v>0.99</v>
      </c>
      <c r="O131" t="s">
        <v>188</v>
      </c>
      <c r="P131">
        <v>4.1229296131863227E-2</v>
      </c>
      <c r="Q131">
        <v>2.1632655377829473E-2</v>
      </c>
      <c r="R131">
        <v>9.2384163554730558E-2</v>
      </c>
      <c r="S131">
        <v>1.934213892605929E-2</v>
      </c>
      <c r="T131">
        <v>1.2725091398723219E-2</v>
      </c>
      <c r="U131">
        <v>5.0900365594892874E-2</v>
      </c>
      <c r="V131">
        <v>1.0621968805097533E-2</v>
      </c>
      <c r="W131">
        <v>6.9881373717746928E-3</v>
      </c>
      <c r="X131">
        <v>2.7952549487098771E-2</v>
      </c>
      <c r="Y131">
        <v>4.9118852799071626E-2</v>
      </c>
      <c r="Z131">
        <v>2.5450182797446437E-2</v>
      </c>
      <c r="AA131">
        <v>0.10180073118978575</v>
      </c>
      <c r="AB131">
        <v>142515.18249600002</v>
      </c>
      <c r="AC131" s="33">
        <v>0.99</v>
      </c>
      <c r="AD131" s="33">
        <v>0.30540219356935722</v>
      </c>
      <c r="AE131" s="33">
        <v>0.16771529692259263</v>
      </c>
      <c r="AF131" s="33" t="s">
        <v>675</v>
      </c>
    </row>
    <row r="132" spans="1:32" x14ac:dyDescent="0.25">
      <c r="A132" s="125" t="s">
        <v>302</v>
      </c>
      <c r="B132" t="s">
        <v>681</v>
      </c>
      <c r="C132" s="126">
        <v>16.665400000000002</v>
      </c>
      <c r="D132" s="126">
        <v>4.5526</v>
      </c>
      <c r="E132" s="126">
        <v>44.485700000000001</v>
      </c>
      <c r="F132">
        <v>267.71534999999994</v>
      </c>
      <c r="G132">
        <v>0.98</v>
      </c>
      <c r="O132" t="s">
        <v>302</v>
      </c>
      <c r="P132">
        <v>2.3218711476821773E-2</v>
      </c>
      <c r="Q132">
        <v>1.2182657256357103E-2</v>
      </c>
      <c r="R132">
        <v>5.2027112753619154E-2</v>
      </c>
      <c r="S132">
        <v>1.0892728840978114E-2</v>
      </c>
      <c r="T132">
        <v>7.1662689743277079E-3</v>
      </c>
      <c r="U132">
        <v>2.8665075897310831E-2</v>
      </c>
      <c r="V132">
        <v>6.1887679563983186E-3</v>
      </c>
      <c r="W132">
        <v>4.0715578660515256E-3</v>
      </c>
      <c r="X132">
        <v>1.6286231464206102E-2</v>
      </c>
      <c r="Y132">
        <v>2.7661798240904954E-2</v>
      </c>
      <c r="Z132">
        <v>1.4332537948655416E-2</v>
      </c>
      <c r="AA132">
        <v>5.7330151794621663E-2</v>
      </c>
      <c r="AB132">
        <v>267.71534999999994</v>
      </c>
      <c r="AC132" s="33">
        <v>0.98</v>
      </c>
      <c r="AD132" s="33">
        <v>0.17199045538386498</v>
      </c>
      <c r="AE132" s="33">
        <v>9.7717388785236628E-2</v>
      </c>
      <c r="AF132" s="33" t="s">
        <v>681</v>
      </c>
    </row>
    <row r="133" spans="1:32" x14ac:dyDescent="0.25">
      <c r="A133" s="125" t="s">
        <v>117</v>
      </c>
      <c r="B133" t="s">
        <v>677</v>
      </c>
      <c r="C133" s="126">
        <v>1.8437000000000001</v>
      </c>
      <c r="D133" s="126">
        <v>0.61799999999999999</v>
      </c>
      <c r="E133" s="126">
        <v>4.2950999999999997</v>
      </c>
      <c r="F133">
        <v>1701590.115519</v>
      </c>
      <c r="G133">
        <v>0</v>
      </c>
      <c r="O133" t="s">
        <v>117</v>
      </c>
      <c r="P133">
        <v>1.3041656787082776E-2</v>
      </c>
      <c r="Q133">
        <v>6.8428446105063953E-3</v>
      </c>
      <c r="R133">
        <v>2.922297168957437E-2</v>
      </c>
      <c r="S133">
        <v>6.1183081223351293E-3</v>
      </c>
      <c r="T133">
        <v>4.0252027120625854E-3</v>
      </c>
      <c r="U133">
        <v>1.6100810848250342E-2</v>
      </c>
      <c r="V133">
        <v>3.4470480109612513E-3</v>
      </c>
      <c r="W133">
        <v>2.2677947440534552E-3</v>
      </c>
      <c r="X133">
        <v>9.0711789762138208E-3</v>
      </c>
      <c r="Y133">
        <v>1.5537282468561581E-2</v>
      </c>
      <c r="Z133">
        <v>8.0504054241251708E-3</v>
      </c>
      <c r="AA133">
        <v>3.2201621696500683E-2</v>
      </c>
      <c r="AB133">
        <v>1701590.115519</v>
      </c>
      <c r="AC133" s="33">
        <v>0</v>
      </c>
      <c r="AD133" s="33">
        <v>9.6604865089502043E-2</v>
      </c>
      <c r="AE133" s="33">
        <v>5.4427073857282925E-2</v>
      </c>
      <c r="AF133" s="33" t="s">
        <v>677</v>
      </c>
    </row>
    <row r="134" spans="1:32" x14ac:dyDescent="0.25">
      <c r="A134" s="125" t="s">
        <v>316</v>
      </c>
      <c r="B134" t="s">
        <v>675</v>
      </c>
      <c r="C134" s="126">
        <v>0.8034</v>
      </c>
      <c r="D134" s="126">
        <v>0.13390000000000002</v>
      </c>
      <c r="E134" s="126">
        <v>2.7604000000000002</v>
      </c>
      <c r="F134">
        <v>422602.93465799995</v>
      </c>
      <c r="G134">
        <v>0.6</v>
      </c>
      <c r="O134" t="s">
        <v>316</v>
      </c>
      <c r="P134">
        <v>4.0971636382366519E-2</v>
      </c>
      <c r="Q134">
        <v>2.1497463533957744E-2</v>
      </c>
      <c r="R134">
        <v>9.1806814856784241E-2</v>
      </c>
      <c r="S134">
        <v>1.9221261512715158E-2</v>
      </c>
      <c r="T134">
        <v>1.2645566784681025E-2</v>
      </c>
      <c r="U134">
        <v>5.0582267138724102E-2</v>
      </c>
      <c r="V134">
        <v>1.0299495545718891E-2</v>
      </c>
      <c r="W134">
        <v>6.7759839116571657E-3</v>
      </c>
      <c r="X134">
        <v>2.7103935646628663E-2</v>
      </c>
      <c r="Y134">
        <v>4.8811887788868767E-2</v>
      </c>
      <c r="Z134">
        <v>2.5291133569362051E-2</v>
      </c>
      <c r="AA134">
        <v>0.1011645342774482</v>
      </c>
      <c r="AB134">
        <v>422602.93465799995</v>
      </c>
      <c r="AC134" s="33">
        <v>0.6</v>
      </c>
      <c r="AD134" s="33">
        <v>0.30349360283234461</v>
      </c>
      <c r="AE134" s="33">
        <v>0.16262361387977198</v>
      </c>
      <c r="AF134" s="33" t="s">
        <v>675</v>
      </c>
    </row>
    <row r="135" spans="1:32" x14ac:dyDescent="0.25">
      <c r="A135" s="125" t="s">
        <v>189</v>
      </c>
      <c r="B135" t="s">
        <v>675</v>
      </c>
      <c r="C135" s="126">
        <v>2.8222000000000005</v>
      </c>
      <c r="D135" s="126">
        <v>1.0815000000000001</v>
      </c>
      <c r="E135" s="126">
        <v>6.1182000000000007</v>
      </c>
      <c r="F135">
        <v>719694.00301500002</v>
      </c>
      <c r="G135">
        <v>0.99</v>
      </c>
      <c r="O135" t="s">
        <v>189</v>
      </c>
      <c r="P135">
        <v>1.8785596736264835E-2</v>
      </c>
      <c r="Q135">
        <v>9.8566402628550067E-3</v>
      </c>
      <c r="R135">
        <v>4.2093651946074909E-2</v>
      </c>
      <c r="S135">
        <v>8.8129959997291819E-3</v>
      </c>
      <c r="T135">
        <v>5.798023684032357E-3</v>
      </c>
      <c r="U135">
        <v>2.3192094736129428E-2</v>
      </c>
      <c r="V135">
        <v>4.8551083783496809E-3</v>
      </c>
      <c r="W135">
        <v>3.194150248914264E-3</v>
      </c>
      <c r="X135">
        <v>1.2776600995657056E-2</v>
      </c>
      <c r="Y135">
        <v>2.2380371420364899E-2</v>
      </c>
      <c r="Z135">
        <v>1.1596047368064714E-2</v>
      </c>
      <c r="AA135">
        <v>4.6384189472258856E-2</v>
      </c>
      <c r="AB135">
        <v>719694.00301500002</v>
      </c>
      <c r="AC135" s="33">
        <v>0.99</v>
      </c>
      <c r="AD135" s="33">
        <v>0.13915256841677656</v>
      </c>
      <c r="AE135" s="33">
        <v>7.6659605973942335E-2</v>
      </c>
      <c r="AF135" s="33" t="s">
        <v>675</v>
      </c>
    </row>
    <row r="136" spans="1:32" x14ac:dyDescent="0.25">
      <c r="A136" s="125" t="s">
        <v>285</v>
      </c>
      <c r="B136" t="s">
        <v>681</v>
      </c>
      <c r="C136" s="126">
        <v>6.2624000000000004</v>
      </c>
      <c r="D136" s="126">
        <v>2.4514</v>
      </c>
      <c r="E136" s="126">
        <v>13.647500000000001</v>
      </c>
      <c r="F136">
        <v>8935.5839539999997</v>
      </c>
      <c r="G136">
        <v>0.82</v>
      </c>
      <c r="O136" t="s">
        <v>285</v>
      </c>
      <c r="P136">
        <v>3.343867236223777E-2</v>
      </c>
      <c r="Q136">
        <v>1.7544982412285252E-2</v>
      </c>
      <c r="R136">
        <v>7.4927395478347592E-2</v>
      </c>
      <c r="S136">
        <v>1.5687278392160928E-2</v>
      </c>
      <c r="T136">
        <v>1.0320577889579559E-2</v>
      </c>
      <c r="U136">
        <v>4.1282311558318234E-2</v>
      </c>
      <c r="V136">
        <v>8.7691575982547596E-3</v>
      </c>
      <c r="W136">
        <v>5.7691826304307626E-3</v>
      </c>
      <c r="X136">
        <v>2.307673052172305E-2</v>
      </c>
      <c r="Y136">
        <v>3.9837430653777102E-2</v>
      </c>
      <c r="Z136">
        <v>2.0641155779159117E-2</v>
      </c>
      <c r="AA136">
        <v>8.2564623116636468E-2</v>
      </c>
      <c r="AB136">
        <v>8935.5839539999997</v>
      </c>
      <c r="AC136" s="33">
        <v>0.82</v>
      </c>
      <c r="AD136" s="33">
        <v>0.24769386934990942</v>
      </c>
      <c r="AE136" s="33">
        <v>0.13846038313033832</v>
      </c>
      <c r="AF136" s="33" t="s">
        <v>681</v>
      </c>
    </row>
    <row r="137" spans="1:32" x14ac:dyDescent="0.25">
      <c r="A137" s="127" t="s">
        <v>275</v>
      </c>
      <c r="B137" t="s">
        <v>679</v>
      </c>
      <c r="C137" s="126">
        <v>1.9466999999999999</v>
      </c>
      <c r="D137" s="126">
        <v>0.26780000000000004</v>
      </c>
      <c r="E137" s="126">
        <v>7.0452000000000004</v>
      </c>
      <c r="F137">
        <v>514111.88104100002</v>
      </c>
      <c r="G137">
        <v>0.52</v>
      </c>
      <c r="O137" t="s">
        <v>275</v>
      </c>
      <c r="P137">
        <v>0.1018265782370425</v>
      </c>
      <c r="Q137">
        <v>5.342752561820132E-2</v>
      </c>
      <c r="R137">
        <v>0.22816696234596559</v>
      </c>
      <c r="S137">
        <v>4.7770493493921172E-2</v>
      </c>
      <c r="T137">
        <v>3.1427956246000775E-2</v>
      </c>
      <c r="U137">
        <v>0.1257118249840031</v>
      </c>
      <c r="V137">
        <v>2.4478142942807122E-2</v>
      </c>
      <c r="W137">
        <v>1.6104041409741528E-2</v>
      </c>
      <c r="X137">
        <v>6.4416165638966114E-2</v>
      </c>
      <c r="Y137">
        <v>0.12131191110956299</v>
      </c>
      <c r="Z137">
        <v>6.2855912492001551E-2</v>
      </c>
      <c r="AA137">
        <v>0.2514236499680062</v>
      </c>
      <c r="AB137">
        <v>514111.88104100002</v>
      </c>
      <c r="AC137" s="33">
        <v>0.52</v>
      </c>
      <c r="AD137" s="33">
        <v>0.75427094990401855</v>
      </c>
      <c r="AE137" s="33">
        <v>0.38649699383379671</v>
      </c>
      <c r="AF137" s="33" t="s">
        <v>679</v>
      </c>
    </row>
    <row r="138" spans="1:32" x14ac:dyDescent="0.25">
      <c r="A138" s="125" t="s">
        <v>221</v>
      </c>
      <c r="B138" t="s">
        <v>681</v>
      </c>
      <c r="C138" s="126">
        <v>1.2565999999999999</v>
      </c>
      <c r="D138" s="126">
        <v>0.37080000000000002</v>
      </c>
      <c r="E138" s="126">
        <v>3.2136</v>
      </c>
      <c r="F138">
        <v>1634550.4200599999</v>
      </c>
      <c r="G138">
        <v>0.79</v>
      </c>
      <c r="O138" t="s">
        <v>221</v>
      </c>
      <c r="P138">
        <v>3.0734918723448381E-2</v>
      </c>
      <c r="Q138">
        <v>1.6126346243784645E-2</v>
      </c>
      <c r="R138">
        <v>6.8868984546986187E-2</v>
      </c>
      <c r="S138">
        <v>1.4418850759148623E-2</v>
      </c>
      <c r="T138">
        <v>9.4860860257556731E-3</v>
      </c>
      <c r="U138">
        <v>3.7944344103022692E-2</v>
      </c>
      <c r="V138">
        <v>7.6429992135906679E-3</v>
      </c>
      <c r="W138">
        <v>5.0282889563096501E-3</v>
      </c>
      <c r="X138">
        <v>2.01131558252386E-2</v>
      </c>
      <c r="Y138">
        <v>3.6616292059416904E-2</v>
      </c>
      <c r="Z138">
        <v>1.8972172051511346E-2</v>
      </c>
      <c r="AA138">
        <v>7.5888688206045385E-2</v>
      </c>
      <c r="AB138">
        <v>1634550.4200599999</v>
      </c>
      <c r="AC138" s="33">
        <v>0.79</v>
      </c>
      <c r="AD138" s="33">
        <v>0.22766606461813618</v>
      </c>
      <c r="AE138" s="33">
        <v>0.12067893495143162</v>
      </c>
      <c r="AF138" s="33" t="s">
        <v>681</v>
      </c>
    </row>
    <row r="139" spans="1:32" x14ac:dyDescent="0.25">
      <c r="A139" s="125" t="s">
        <v>182</v>
      </c>
      <c r="B139" t="s">
        <v>673</v>
      </c>
      <c r="C139" s="126">
        <v>0.91670000000000007</v>
      </c>
      <c r="D139" s="126">
        <v>0.25750000000000001</v>
      </c>
      <c r="E139" s="126">
        <v>2.472</v>
      </c>
      <c r="F139">
        <v>895475.13885400002</v>
      </c>
      <c r="G139">
        <v>0</v>
      </c>
      <c r="O139" t="s">
        <v>182</v>
      </c>
      <c r="P139">
        <v>1.3475488955417322E-2</v>
      </c>
      <c r="Q139">
        <v>7.0704726000646451E-3</v>
      </c>
      <c r="R139">
        <v>3.0195077103805482E-2</v>
      </c>
      <c r="S139">
        <v>6.3218343247636814E-3</v>
      </c>
      <c r="T139">
        <v>4.1591015294497914E-3</v>
      </c>
      <c r="U139">
        <v>1.6636406117799166E-2</v>
      </c>
      <c r="V139">
        <v>3.3602292984021898E-3</v>
      </c>
      <c r="W139">
        <v>2.2106771700014407E-3</v>
      </c>
      <c r="X139">
        <v>8.842708680005763E-3</v>
      </c>
      <c r="Y139">
        <v>1.6054131903676196E-2</v>
      </c>
      <c r="Z139">
        <v>8.3182030588995828E-3</v>
      </c>
      <c r="AA139">
        <v>3.3272812235598331E-2</v>
      </c>
      <c r="AB139">
        <v>895475.13885400002</v>
      </c>
      <c r="AC139" s="33">
        <v>0</v>
      </c>
      <c r="AD139" s="33">
        <v>9.981843670679498E-2</v>
      </c>
      <c r="AE139" s="33">
        <v>5.3056252080034581E-2</v>
      </c>
      <c r="AF139" s="33" t="s">
        <v>673</v>
      </c>
    </row>
    <row r="140" spans="1:32" x14ac:dyDescent="0.25">
      <c r="A140" s="125" t="s">
        <v>119</v>
      </c>
      <c r="B140" t="s">
        <v>677</v>
      </c>
      <c r="C140" s="126">
        <v>2.472</v>
      </c>
      <c r="D140" s="126">
        <v>1.0094000000000001</v>
      </c>
      <c r="E140" s="126">
        <v>5.15</v>
      </c>
      <c r="F140">
        <v>648051.89662200003</v>
      </c>
      <c r="G140">
        <v>0.94</v>
      </c>
      <c r="O140" t="s">
        <v>119</v>
      </c>
      <c r="P140">
        <v>1.5083559284302011E-2</v>
      </c>
      <c r="Q140">
        <v>7.9142132047263641E-3</v>
      </c>
      <c r="R140">
        <v>3.3798345803713763E-2</v>
      </c>
      <c r="S140">
        <v>7.0762376889318074E-3</v>
      </c>
      <c r="T140">
        <v>4.6554195321919789E-3</v>
      </c>
      <c r="U140">
        <v>1.8621678128767916E-2</v>
      </c>
      <c r="V140">
        <v>3.6735113802375285E-3</v>
      </c>
      <c r="W140">
        <v>2.416783802787848E-3</v>
      </c>
      <c r="X140">
        <v>9.6671352111513918E-3</v>
      </c>
      <c r="Y140">
        <v>1.7969919394261041E-2</v>
      </c>
      <c r="Z140">
        <v>9.3108390643839578E-3</v>
      </c>
      <c r="AA140">
        <v>3.7243356257535831E-2</v>
      </c>
      <c r="AB140">
        <v>648051.89662200003</v>
      </c>
      <c r="AC140" s="33">
        <v>0.94</v>
      </c>
      <c r="AD140" s="33">
        <v>0.11173006877260749</v>
      </c>
      <c r="AE140" s="33">
        <v>5.8002811266908351E-2</v>
      </c>
      <c r="AF140" s="33" t="s">
        <v>677</v>
      </c>
    </row>
    <row r="141" spans="1:32" x14ac:dyDescent="0.25">
      <c r="A141" s="128" t="s">
        <v>120</v>
      </c>
      <c r="B141" t="s">
        <v>677</v>
      </c>
      <c r="C141" s="126">
        <v>2.7294999999999998</v>
      </c>
      <c r="D141" s="126">
        <v>1.1021000000000001</v>
      </c>
      <c r="E141" s="126">
        <v>5.7473999999999998</v>
      </c>
      <c r="F141">
        <v>451739.61468499998</v>
      </c>
      <c r="G141">
        <v>0</v>
      </c>
      <c r="O141" t="s">
        <v>120</v>
      </c>
      <c r="P141">
        <v>1.5694338463683708E-2</v>
      </c>
      <c r="Q141">
        <v>8.2346837618093548E-3</v>
      </c>
      <c r="R141">
        <v>3.5166943594550533E-2</v>
      </c>
      <c r="S141">
        <v>7.3627760693824804E-3</v>
      </c>
      <c r="T141">
        <v>4.8439316245937371E-3</v>
      </c>
      <c r="U141">
        <v>1.9375726498374948E-2</v>
      </c>
      <c r="V141">
        <v>4.1208492286563397E-3</v>
      </c>
      <c r="W141">
        <v>2.7110850188528553E-3</v>
      </c>
      <c r="X141">
        <v>1.0844340075411421E-2</v>
      </c>
      <c r="Y141">
        <v>1.8697576070931827E-2</v>
      </c>
      <c r="Z141">
        <v>9.6878632491874742E-3</v>
      </c>
      <c r="AA141">
        <v>3.8751452996749897E-2</v>
      </c>
      <c r="AB141">
        <v>451739.61468499998</v>
      </c>
      <c r="AC141" s="33">
        <v>0</v>
      </c>
      <c r="AD141" s="33">
        <v>0.11625435899024969</v>
      </c>
      <c r="AE141" s="33">
        <v>6.5066040452468527E-2</v>
      </c>
      <c r="AF141" s="33" t="s">
        <v>677</v>
      </c>
    </row>
    <row r="145" spans="1:42" ht="45" x14ac:dyDescent="0.25">
      <c r="A145" s="129" t="s">
        <v>737</v>
      </c>
      <c r="B145" s="133" t="s">
        <v>744</v>
      </c>
      <c r="C145" s="130" t="s">
        <v>745</v>
      </c>
      <c r="D145" s="132" t="s">
        <v>749</v>
      </c>
      <c r="E145" s="131" t="s">
        <v>752</v>
      </c>
    </row>
    <row r="146" spans="1:42" ht="45" x14ac:dyDescent="0.25">
      <c r="A146" s="129" t="s">
        <v>738</v>
      </c>
      <c r="B146" s="133" t="s">
        <v>744</v>
      </c>
      <c r="C146" s="130" t="s">
        <v>745</v>
      </c>
      <c r="D146" s="132" t="s">
        <v>749</v>
      </c>
      <c r="E146" s="133" t="s">
        <v>753</v>
      </c>
    </row>
    <row r="147" spans="1:42" ht="45" x14ac:dyDescent="0.25">
      <c r="A147" s="129" t="s">
        <v>739</v>
      </c>
      <c r="B147" s="133" t="s">
        <v>744</v>
      </c>
      <c r="C147" s="131" t="s">
        <v>746</v>
      </c>
      <c r="D147" s="130" t="s">
        <v>750</v>
      </c>
      <c r="E147" s="131" t="s">
        <v>752</v>
      </c>
    </row>
    <row r="148" spans="1:42" ht="45" x14ac:dyDescent="0.25">
      <c r="A148" s="129" t="s">
        <v>740</v>
      </c>
      <c r="B148" s="133" t="s">
        <v>744</v>
      </c>
      <c r="C148" s="131" t="s">
        <v>746</v>
      </c>
      <c r="D148" s="130" t="s">
        <v>751</v>
      </c>
      <c r="E148" s="133" t="s">
        <v>753</v>
      </c>
    </row>
    <row r="149" spans="1:42" ht="45" x14ac:dyDescent="0.25">
      <c r="A149" s="129" t="s">
        <v>741</v>
      </c>
      <c r="B149" s="133" t="s">
        <v>744</v>
      </c>
      <c r="C149" s="131" t="s">
        <v>746</v>
      </c>
      <c r="D149" s="130" t="s">
        <v>750</v>
      </c>
      <c r="E149" s="133" t="s">
        <v>753</v>
      </c>
    </row>
    <row r="150" spans="1:42" ht="45" x14ac:dyDescent="0.25">
      <c r="A150" s="129" t="s">
        <v>742</v>
      </c>
      <c r="B150" s="133" t="s">
        <v>744</v>
      </c>
      <c r="C150" s="132" t="s">
        <v>747</v>
      </c>
      <c r="D150" s="133" t="s">
        <v>748</v>
      </c>
      <c r="E150" s="131" t="s">
        <v>752</v>
      </c>
    </row>
    <row r="151" spans="1:42" ht="45" x14ac:dyDescent="0.25">
      <c r="A151" s="129" t="s">
        <v>743</v>
      </c>
      <c r="B151" s="133" t="s">
        <v>744</v>
      </c>
      <c r="C151" s="132" t="s">
        <v>747</v>
      </c>
      <c r="D151" s="133" t="s">
        <v>748</v>
      </c>
      <c r="E151" s="133" t="s">
        <v>753</v>
      </c>
    </row>
    <row r="158" spans="1:42" x14ac:dyDescent="0.25">
      <c r="A158" t="s">
        <v>668</v>
      </c>
      <c r="B158" t="s">
        <v>671</v>
      </c>
      <c r="C158" s="108" t="s">
        <v>697</v>
      </c>
      <c r="D158" s="108" t="s">
        <v>698</v>
      </c>
      <c r="E158" s="108" t="s">
        <v>699</v>
      </c>
      <c r="F158" s="108" t="s">
        <v>700</v>
      </c>
      <c r="G158" s="108" t="s">
        <v>701</v>
      </c>
      <c r="H158" s="108" t="s">
        <v>702</v>
      </c>
      <c r="I158" s="108" t="s">
        <v>703</v>
      </c>
      <c r="O158" s="33" t="s">
        <v>668</v>
      </c>
      <c r="P158" s="33" t="s">
        <v>671</v>
      </c>
      <c r="Q158" s="108" t="s">
        <v>697</v>
      </c>
      <c r="R158" s="108" t="s">
        <v>698</v>
      </c>
      <c r="S158" s="108" t="s">
        <v>699</v>
      </c>
      <c r="T158" s="108" t="s">
        <v>700</v>
      </c>
      <c r="U158" s="108" t="s">
        <v>701</v>
      </c>
      <c r="V158" s="108" t="s">
        <v>702</v>
      </c>
      <c r="W158" s="108" t="s">
        <v>703</v>
      </c>
      <c r="AH158" s="33" t="s">
        <v>668</v>
      </c>
      <c r="AI158" s="33" t="s">
        <v>671</v>
      </c>
      <c r="AJ158" s="108" t="s">
        <v>697</v>
      </c>
      <c r="AK158" s="108" t="s">
        <v>698</v>
      </c>
      <c r="AL158" s="108" t="s">
        <v>699</v>
      </c>
      <c r="AM158" s="108" t="s">
        <v>700</v>
      </c>
      <c r="AN158" s="108" t="s">
        <v>701</v>
      </c>
      <c r="AO158" s="108" t="s">
        <v>702</v>
      </c>
      <c r="AP158" s="108" t="s">
        <v>703</v>
      </c>
    </row>
    <row r="159" spans="1:42" x14ac:dyDescent="0.25">
      <c r="A159" s="100" t="s">
        <v>191</v>
      </c>
      <c r="B159" s="134" t="s">
        <v>579</v>
      </c>
      <c r="C159">
        <f>IFERROR(VLOOKUP(vcost[[#This Row],[setting]],$A$6:$E$141,3,FALSE)+$J$6+VLOOKUP(vcost[[#This Row],[setting]],$O$6:$AA$141,2,FALSE),0)</f>
        <v>1.1996245808495667</v>
      </c>
      <c r="D159" s="33">
        <f>IFERROR(VLOOKUP(vcost[[#This Row],[setting]],$A$6:$E$141,3,FALSE)+$J$6+VLOOKUP(vcost[[#This Row],[setting]],$O$6:$AA$141,2,FALSE)+VLOOKUP(vcost[[#This Row],[gbd_super]],$AH$6:$AK$11,2,FALSE),0)</f>
        <v>1.6796245808495667</v>
      </c>
      <c r="E159" s="33">
        <f>IFERROR(VLOOKUP(vcost[[#This Row],[setting]],$A$6:$E$141,3,FALSE)+VLOOKUP(vcost[[#This Row],[setting]],$O$6:$AA$141,5,FALSE),0)</f>
        <v>0.77681626738447063</v>
      </c>
      <c r="F159" s="33">
        <f>IFERROR(VLOOKUP(vcost[[#This Row],[setting]],$A$6:$E$141,3,FALSE)+VLOOKUP(vcost[[#This Row],[setting]],$O$6:$AA$141,5,FALSE)+VLOOKUP(vcost[[#This Row],[gbd_super]],$AH$6:$AK$11,2,FALSE),0)</f>
        <v>1.2568162673844707</v>
      </c>
      <c r="G159" s="33">
        <f>IFERROR(VLOOKUP(vcost[[#This Row],[setting]],$A$6:$E$141,3,FALSE)+VLOOKUP(vcost[[#This Row],[setting]],$O$6:$AA$141,8,FALSE)+VLOOKUP(vcost[[#This Row],[gbd_super]],$AH$6:$AK$11,2,FALSE),0)</f>
        <v>1.2547005784728764</v>
      </c>
      <c r="H159">
        <f>IFERROR(VLOOKUP(vcost[[#This Row],[setting]],$A$6:$E$141,3,FALSE)+$J$8+VLOOKUP(vcost[[#This Row],[setting]],$O$6:$AA$141,11,FALSE),0)</f>
        <v>1.4402582696591018</v>
      </c>
      <c r="I159" s="33">
        <f>IFERROR(VLOOKUP(vcost[[#This Row],[setting]],$A$6:$E$141,3,FALSE)+$J$8+VLOOKUP(vcost[[#This Row],[setting]],$O$6:$AA$141,11,FALSE)+VLOOKUP(vcost[[#This Row],[gbd_super]],$AH$6:$AK$11,2,FALSE),0)</f>
        <v>1.9202582696591017</v>
      </c>
      <c r="O159" s="100" t="s">
        <v>191</v>
      </c>
      <c r="P159" s="134" t="s">
        <v>579</v>
      </c>
      <c r="Q159" s="33">
        <f>IFERROR(VLOOKUP(vcost_lb[[#This Row],[setting]],$A$6:$E$141,4,FALSE)+$K$6+VLOOKUP(vcost_lb[[#This Row],[setting]],$O$6:$AA$141,3,FALSE),0)</f>
        <v>0.57284939743872676</v>
      </c>
      <c r="R159" s="33">
        <f>IFERROR(VLOOKUP(vcost_lb[[#This Row],[setting]],$A$6:$E$141,4,FALSE)+$K$6+VLOOKUP(vcost_lb[[#This Row],[setting]],$O$6:$AA$141,3,FALSE)+VLOOKUP(vcost_lb[[#This Row],[gbd_super]],$AH$6:$AK$11,3,FALSE),0)</f>
        <v>1.0284693974387267</v>
      </c>
      <c r="S159" s="33">
        <f>IFERROR(VLOOKUP(vcost_lb[[#This Row],[setting]],$A$6:$E$141,4,FALSE)+VLOOKUP(vcost_lb[[#This Row],[setting]],$O$6:$AA$141,6,FALSE),0)</f>
        <v>0.2088396495950465</v>
      </c>
      <c r="T159" s="33">
        <f>IFERROR(VLOOKUP(vcost_lb[[#This Row],[setting]],$A$6:$E$141,4,FALSE)+VLOOKUP(vcost_lb[[#This Row],[setting]],$O$6:$AA$141,6,FALSE)+VLOOKUP(vcost_lb[[#This Row],[gbd_super]],$AH$6:$AK$11,3,FALSE),0)</f>
        <v>0.66445964959504655</v>
      </c>
      <c r="U159" s="33">
        <f>IFERROR(VLOOKUP(vcost_lb[[#This Row],[setting]],$A$6:$E$141,4,FALSE)+VLOOKUP(vcost_lb[[#This Row],[setting]],$O$6:$AA$141,9,FALSE)+VLOOKUP(vcost_lb[[#This Row],[gbd_super]],$AH$6:$AK$11,3,FALSE),0)</f>
        <v>0.66306774899531362</v>
      </c>
      <c r="V159" s="33">
        <f>IFERROR(VLOOKUP(vcost_lb[[#This Row],[setting]],$A$6:$E$141,4,FALSE)+$K$8+VLOOKUP(vcost_lb[[#This Row],[setting]],$O$6:$AA$141,12,FALSE),0)</f>
        <v>0.78349510675023049</v>
      </c>
      <c r="W159" s="33">
        <f>IFERROR(VLOOKUP(vcost_lb[[#This Row],[setting]],$A$6:$E$141,4,FALSE)+$K$8+VLOOKUP(vcost_lb[[#This Row],[setting]],$O$6:$AA$141,12,FALSE)+VLOOKUP(vcost_lb[[#This Row],[gbd_super]],$AH$6:$AK$11,3,FALSE),0)</f>
        <v>1.2391151067502304</v>
      </c>
      <c r="AH159" s="100" t="s">
        <v>191</v>
      </c>
      <c r="AI159" s="134" t="s">
        <v>579</v>
      </c>
      <c r="AJ159" s="33">
        <f>IFERROR(VLOOKUP(vcost_ub[[#This Row],[setting]],$A$6:$E$141,5,FALSE)+$L$6+VLOOKUP(vcost_ub[[#This Row],[setting]],$O$6:$AA$141,4,FALSE),0)</f>
        <v>2.5845550373465871</v>
      </c>
      <c r="AK159" s="33">
        <f>IFERROR(VLOOKUP(vcost_ub[[#This Row],[setting]],$A$6:$E$141,5,FALSE)+$L$6+VLOOKUP(vcost_ub[[#This Row],[setting]],$O$6:$AA$141,4,FALSE)+VLOOKUP(vcost_ub[[#This Row],[gbd_super]],$AH$6:$AK$11,4,FALSE),0)</f>
        <v>3.088135037346587</v>
      </c>
      <c r="AL159" s="33">
        <f>IFERROR(VLOOKUP(vcost_ub[[#This Row],[setting]],$A$6:$E$141,5,FALSE)+VLOOKUP(vcost_ub[[#This Row],[setting]],$O$6:$AA$141,7,FALSE),0)</f>
        <v>2.0919585983801858</v>
      </c>
      <c r="AM159" s="33">
        <f>IFERROR(VLOOKUP(vcost_ub[[#This Row],[setting]],$A$6:$E$141,5,FALSE)+VLOOKUP(vcost_ub[[#This Row],[setting]],$O$6:$AA$141,7,FALSE)+VLOOKUP(vcost_ub[[#This Row],[gbd_super]],$AH$6:$AK$11,4,FALSE),0)</f>
        <v>2.5955385983801857</v>
      </c>
      <c r="AN159" s="33">
        <f>IFERROR(VLOOKUP(vcost_ub[[#This Row],[setting]],$A$6:$E$141,5,FALSE)+VLOOKUP(vcost_ub[[#This Row],[setting]],$O$6:$AA$141,10,FALSE)+VLOOKUP(vcost_ub[[#This Row],[gbd_super]],$AH$6:$AK$11,4,FALSE),0)</f>
        <v>2.589970995981254</v>
      </c>
      <c r="AO159" s="33">
        <f>IFERROR(VLOOKUP(vcost_ub[[#This Row],[setting]],$A$6:$E$141,5,FALSE)+$L$8+VLOOKUP(vcost_ub[[#This Row],[setting]],$O$6:$AA$141,13,FALSE),0)</f>
        <v>2.8524458517311317</v>
      </c>
      <c r="AP159" s="33">
        <f>IFERROR(VLOOKUP(vcost_ub[[#This Row],[setting]],$A$6:$E$141,5,FALSE)+$L$8+VLOOKUP(vcost_ub[[#This Row],[setting]],$O$6:$AA$141,13,FALSE)+VLOOKUP(vcost_ub[[#This Row],[gbd_super]],$AH$6:$AK$11,4,FALSE),0)</f>
        <v>3.3560258517311317</v>
      </c>
    </row>
    <row r="160" spans="1:42" x14ac:dyDescent="0.25">
      <c r="A160" s="103" t="s">
        <v>332</v>
      </c>
      <c r="B160" s="135" t="s">
        <v>663</v>
      </c>
      <c r="C160">
        <f>IFERROR(VLOOKUP(vcost[[#This Row],[setting]],$A$6:$E$141,3,FALSE)+$J$6+VLOOKUP(vcost[[#This Row],[setting]],$O$6:$AA$141,2,FALSE),0)</f>
        <v>7.1131391643066229</v>
      </c>
      <c r="D160">
        <f>IFERROR(VLOOKUP(vcost[[#This Row],[setting]],$A$6:$E$141,3,FALSE)+$J$6+VLOOKUP(vcost[[#This Row],[setting]],$O$6:$AA$141,2,FALSE)+VLOOKUP(vcost[[#This Row],[gbd_super]],$AH$6:$AK$11,2,FALSE),0)</f>
        <v>11.183139164306624</v>
      </c>
      <c r="E160">
        <f>IFERROR(VLOOKUP(vcost[[#This Row],[setting]],$A$6:$E$141,3,FALSE)+VLOOKUP(vcost[[#This Row],[setting]],$O$6:$AA$141,5,FALSE),0)</f>
        <v>6.6786971830803736</v>
      </c>
      <c r="F160" s="33">
        <f>IFERROR(VLOOKUP(vcost[[#This Row],[setting]],$A$6:$E$141,3,FALSE)+VLOOKUP(vcost[[#This Row],[setting]],$O$6:$AA$141,5,FALSE)+VLOOKUP(vcost[[#This Row],[gbd_super]],$AH$6:$AK$11,2,FALSE),0)</f>
        <v>10.748697183080374</v>
      </c>
      <c r="G160" s="33">
        <f>IFERROR(VLOOKUP(vcost[[#This Row],[setting]],$A$6:$E$141,3,FALSE)+VLOOKUP(vcost[[#This Row],[setting]],$O$6:$AA$141,8,FALSE)+VLOOKUP(vcost[[#This Row],[gbd_super]],$AH$6:$AK$11,2,FALSE),0)</f>
        <v>10.742262046169946</v>
      </c>
      <c r="H160">
        <f>IFERROR(VLOOKUP(vcost[[#This Row],[setting]],$A$6:$E$141,3,FALSE)+$J$8+VLOOKUP(vcost[[#This Row],[setting]],$O$6:$AA$141,11,FALSE),0)</f>
        <v>7.3579663845184333</v>
      </c>
      <c r="I160" s="33">
        <f>IFERROR(VLOOKUP(vcost[[#This Row],[setting]],$A$6:$E$141,3,FALSE)+$J$8+VLOOKUP(vcost[[#This Row],[setting]],$O$6:$AA$141,11,FALSE)+VLOOKUP(vcost[[#This Row],[gbd_super]],$AH$6:$AK$11,2,FALSE),0)</f>
        <v>11.427966384518434</v>
      </c>
      <c r="O160" s="103" t="s">
        <v>332</v>
      </c>
      <c r="P160" s="135" t="s">
        <v>663</v>
      </c>
      <c r="Q160" s="33">
        <f>IFERROR(VLOOKUP(vcost_lb[[#This Row],[setting]],$A$6:$E$141,4,FALSE)+$K$6+VLOOKUP(vcost_lb[[#This Row],[setting]],$O$6:$AA$141,3,FALSE),0)</f>
        <v>3.365347789993355</v>
      </c>
      <c r="R160" s="33">
        <f>IFERROR(VLOOKUP(vcost_lb[[#This Row],[setting]],$A$6:$E$141,4,FALSE)+$K$6+VLOOKUP(vcost_lb[[#This Row],[setting]],$O$6:$AA$141,3,FALSE)+VLOOKUP(vcost_lb[[#This Row],[gbd_super]],$AH$6:$AK$11,3,FALSE),0)</f>
        <v>7.2277627899933554</v>
      </c>
      <c r="S160" s="33">
        <f>IFERROR(VLOOKUP(vcost_lb[[#This Row],[setting]],$A$6:$E$141,4,FALSE)+VLOOKUP(vcost_lb[[#This Row],[setting]],$O$6:$AA$141,6,FALSE),0)</f>
        <v>2.9966034099212981</v>
      </c>
      <c r="T160" s="33">
        <f>IFERROR(VLOOKUP(vcost_lb[[#This Row],[setting]],$A$6:$E$141,4,FALSE)+VLOOKUP(vcost_lb[[#This Row],[setting]],$O$6:$AA$141,6,FALSE)+VLOOKUP(vcost_lb[[#This Row],[gbd_super]],$AH$6:$AK$11,3,FALSE),0)</f>
        <v>6.8590184099212985</v>
      </c>
      <c r="U160" s="33">
        <f>IFERROR(VLOOKUP(vcost_lb[[#This Row],[setting]],$A$6:$E$141,4,FALSE)+VLOOKUP(vcost_lb[[#This Row],[setting]],$O$6:$AA$141,9,FALSE)+VLOOKUP(vcost_lb[[#This Row],[gbd_super]],$AH$6:$AK$11,3,FALSE),0)</f>
        <v>6.8547847672170699</v>
      </c>
      <c r="V160" s="33">
        <f>IFERROR(VLOOKUP(vcost_lb[[#This Row],[setting]],$A$6:$E$141,4,FALSE)+$K$8+VLOOKUP(vcost_lb[[#This Row],[setting]],$O$6:$AA$141,12,FALSE),0)</f>
        <v>3.578022627402734</v>
      </c>
      <c r="W160" s="33">
        <f>IFERROR(VLOOKUP(vcost_lb[[#This Row],[setting]],$A$6:$E$141,4,FALSE)+$K$8+VLOOKUP(vcost_lb[[#This Row],[setting]],$O$6:$AA$141,12,FALSE)+VLOOKUP(vcost_lb[[#This Row],[gbd_super]],$AH$6:$AK$11,3,FALSE),0)</f>
        <v>7.4404376274027344</v>
      </c>
      <c r="AH160" s="103" t="s">
        <v>332</v>
      </c>
      <c r="AI160" s="135" t="s">
        <v>663</v>
      </c>
      <c r="AJ160" s="33">
        <f>IFERROR(VLOOKUP(vcost_ub[[#This Row],[setting]],$A$6:$E$141,5,FALSE)+$L$6+VLOOKUP(vcost_ub[[#This Row],[setting]],$O$6:$AA$141,4,FALSE),0)</f>
        <v>13.716459937315173</v>
      </c>
      <c r="AK160" s="33">
        <f>IFERROR(VLOOKUP(vcost_ub[[#This Row],[setting]],$A$6:$E$141,5,FALSE)+$L$6+VLOOKUP(vcost_ub[[#This Row],[setting]],$O$6:$AA$141,4,FALSE)+VLOOKUP(vcost_ub[[#This Row],[gbd_super]],$AH$6:$AK$11,4,FALSE),0)</f>
        <v>17.985444937315172</v>
      </c>
      <c r="AL160" s="33">
        <f>IFERROR(VLOOKUP(vcost_ub[[#This Row],[setting]],$A$6:$E$141,5,FALSE)+VLOOKUP(vcost_ub[[#This Row],[setting]],$O$6:$AA$141,7,FALSE),0)</f>
        <v>13.201813639685192</v>
      </c>
      <c r="AM160" s="33">
        <f>IFERROR(VLOOKUP(vcost_ub[[#This Row],[setting]],$A$6:$E$141,5,FALSE)+VLOOKUP(vcost_ub[[#This Row],[setting]],$O$6:$AA$141,7,FALSE)+VLOOKUP(vcost_ub[[#This Row],[gbd_super]],$AH$6:$AK$11,4,FALSE),0)</f>
        <v>17.470798639685192</v>
      </c>
      <c r="AN160" s="33">
        <f>IFERROR(VLOOKUP(vcost_ub[[#This Row],[setting]],$A$6:$E$141,5,FALSE)+VLOOKUP(vcost_ub[[#This Row],[setting]],$O$6:$AA$141,10,FALSE)+VLOOKUP(vcost_ub[[#This Row],[gbd_super]],$AH$6:$AK$11,4,FALSE),0)</f>
        <v>17.453864068868278</v>
      </c>
      <c r="AO160" s="33">
        <f>IFERROR(VLOOKUP(vcost_ub[[#This Row],[setting]],$A$6:$E$141,5,FALSE)+$L$8+VLOOKUP(vcost_ub[[#This Row],[setting]],$O$6:$AA$141,13,FALSE),0)</f>
        <v>13.989355934341146</v>
      </c>
      <c r="AP160" s="33">
        <f>IFERROR(VLOOKUP(vcost_ub[[#This Row],[setting]],$A$6:$E$141,5,FALSE)+$L$8+VLOOKUP(vcost_ub[[#This Row],[setting]],$O$6:$AA$141,13,FALSE)+VLOOKUP(vcost_ub[[#This Row],[gbd_super]],$AH$6:$AK$11,4,FALSE),0)</f>
        <v>18.258340934341149</v>
      </c>
    </row>
    <row r="161" spans="1:42" x14ac:dyDescent="0.25">
      <c r="A161" s="100" t="s">
        <v>157</v>
      </c>
      <c r="B161" s="134" t="s">
        <v>579</v>
      </c>
      <c r="C161">
        <f>IFERROR(VLOOKUP(vcost[[#This Row],[setting]],$A$6:$E$141,3,FALSE)+$J$6+VLOOKUP(vcost[[#This Row],[setting]],$O$6:$AA$141,2,FALSE),0)</f>
        <v>3.3469946483702921</v>
      </c>
      <c r="D161">
        <f>IFERROR(VLOOKUP(vcost[[#This Row],[setting]],$A$6:$E$141,3,FALSE)+$J$6+VLOOKUP(vcost[[#This Row],[setting]],$O$6:$AA$141,2,FALSE)+VLOOKUP(vcost[[#This Row],[gbd_super]],$AH$6:$AK$11,2,FALSE),0)</f>
        <v>3.8269946483702921</v>
      </c>
      <c r="E161">
        <f>IFERROR(VLOOKUP(vcost[[#This Row],[setting]],$A$6:$E$141,3,FALSE)+VLOOKUP(vcost[[#This Row],[setting]],$O$6:$AA$141,5,FALSE),0)</f>
        <v>2.9160800027645641</v>
      </c>
      <c r="F161" s="33">
        <f>IFERROR(VLOOKUP(vcost[[#This Row],[setting]],$A$6:$E$141,3,FALSE)+VLOOKUP(vcost[[#This Row],[setting]],$O$6:$AA$141,5,FALSE)+VLOOKUP(vcost[[#This Row],[gbd_super]],$AH$6:$AK$11,2,FALSE),0)</f>
        <v>3.3960800027645641</v>
      </c>
      <c r="G161" s="33">
        <f>IFERROR(VLOOKUP(vcost[[#This Row],[setting]],$A$6:$E$141,3,FALSE)+VLOOKUP(vcost[[#This Row],[setting]],$O$6:$AA$141,8,FALSE)+VLOOKUP(vcost[[#This Row],[gbd_super]],$AH$6:$AK$11,2,FALSE),0)</f>
        <v>3.3906590686775502</v>
      </c>
      <c r="H161">
        <f>IFERROR(VLOOKUP(vcost[[#This Row],[setting]],$A$6:$E$141,3,FALSE)+$J$8+VLOOKUP(vcost[[#This Row],[setting]],$O$6:$AA$141,11,FALSE),0)</f>
        <v>3.5905503871374971</v>
      </c>
      <c r="I161" s="33">
        <f>IFERROR(VLOOKUP(vcost[[#This Row],[setting]],$A$6:$E$141,3,FALSE)+$J$8+VLOOKUP(vcost[[#This Row],[setting]],$O$6:$AA$141,11,FALSE)+VLOOKUP(vcost[[#This Row],[gbd_super]],$AH$6:$AK$11,2,FALSE),0)</f>
        <v>4.0705503871374971</v>
      </c>
      <c r="O161" s="100" t="s">
        <v>157</v>
      </c>
      <c r="P161" s="134" t="s">
        <v>579</v>
      </c>
      <c r="Q161" s="33">
        <f>IFERROR(VLOOKUP(vcost_lb[[#This Row],[setting]],$A$6:$E$141,4,FALSE)+$K$6+VLOOKUP(vcost_lb[[#This Row],[setting]],$O$6:$AA$141,3,FALSE),0)</f>
        <v>1.2915614699033051</v>
      </c>
      <c r="R161" s="33">
        <f>IFERROR(VLOOKUP(vcost_lb[[#This Row],[setting]],$A$6:$E$141,4,FALSE)+$K$6+VLOOKUP(vcost_lb[[#This Row],[setting]],$O$6:$AA$141,3,FALSE)+VLOOKUP(vcost_lb[[#This Row],[gbd_super]],$AH$6:$AK$11,3,FALSE),0)</f>
        <v>1.747181469903305</v>
      </c>
      <c r="S161" s="33">
        <f>IFERROR(VLOOKUP(vcost_lb[[#This Row],[setting]],$A$6:$E$141,4,FALSE)+VLOOKUP(vcost_lb[[#This Row],[setting]],$O$6:$AA$141,6,FALSE),0)</f>
        <v>0.92425263339773966</v>
      </c>
      <c r="T161" s="33">
        <f>IFERROR(VLOOKUP(vcost_lb[[#This Row],[setting]],$A$6:$E$141,4,FALSE)+VLOOKUP(vcost_lb[[#This Row],[setting]],$O$6:$AA$141,6,FALSE)+VLOOKUP(vcost_lb[[#This Row],[gbd_super]],$AH$6:$AK$11,3,FALSE),0)</f>
        <v>1.3798726333977398</v>
      </c>
      <c r="U161" s="33">
        <f>IFERROR(VLOOKUP(vcost_lb[[#This Row],[setting]],$A$6:$E$141,4,FALSE)+VLOOKUP(vcost_lb[[#This Row],[setting]],$O$6:$AA$141,9,FALSE)+VLOOKUP(vcost_lb[[#This Row],[gbd_super]],$AH$6:$AK$11,3,FALSE),0)</f>
        <v>1.3763062293931254</v>
      </c>
      <c r="V161" s="33">
        <f>IFERROR(VLOOKUP(vcost_lb[[#This Row],[setting]],$A$6:$E$141,4,FALSE)+$K$8+VLOOKUP(vcost_lb[[#This Row],[setting]],$O$6:$AA$141,12,FALSE),0)</f>
        <v>1.5036210743556166</v>
      </c>
      <c r="W161" s="33">
        <f>IFERROR(VLOOKUP(vcost_lb[[#This Row],[setting]],$A$6:$E$141,4,FALSE)+$K$8+VLOOKUP(vcost_lb[[#This Row],[setting]],$O$6:$AA$141,12,FALSE)+VLOOKUP(vcost_lb[[#This Row],[gbd_super]],$AH$6:$AK$11,3,FALSE),0)</f>
        <v>1.9592410743556168</v>
      </c>
      <c r="AH161" s="100" t="s">
        <v>157</v>
      </c>
      <c r="AI161" s="134" t="s">
        <v>579</v>
      </c>
      <c r="AJ161" s="33">
        <f>IFERROR(VLOOKUP(vcost_ub[[#This Row],[setting]],$A$6:$E$141,5,FALSE)+$L$6+VLOOKUP(vcost_ub[[#This Row],[setting]],$O$6:$AA$141,4,FALSE),0)</f>
        <v>7.5627712997541403</v>
      </c>
      <c r="AK161" s="33">
        <f>IFERROR(VLOOKUP(vcost_ub[[#This Row],[setting]],$A$6:$E$141,5,FALSE)+$L$6+VLOOKUP(vcost_ub[[#This Row],[setting]],$O$6:$AA$141,4,FALSE)+VLOOKUP(vcost_ub[[#This Row],[gbd_super]],$AH$6:$AK$11,4,FALSE),0)</f>
        <v>8.0663512997541407</v>
      </c>
      <c r="AL161" s="33">
        <f>IFERROR(VLOOKUP(vcost_ub[[#This Row],[setting]],$A$6:$E$141,5,FALSE)+VLOOKUP(vcost_ub[[#This Row],[setting]],$O$6:$AA$141,7,FALSE),0)</f>
        <v>7.0548105335909588</v>
      </c>
      <c r="AM161" s="33">
        <f>IFERROR(VLOOKUP(vcost_ub[[#This Row],[setting]],$A$6:$E$141,5,FALSE)+VLOOKUP(vcost_ub[[#This Row],[setting]],$O$6:$AA$141,7,FALSE)+VLOOKUP(vcost_ub[[#This Row],[gbd_super]],$AH$6:$AK$11,4,FALSE),0)</f>
        <v>7.5583905335909591</v>
      </c>
      <c r="AN161" s="33">
        <f>IFERROR(VLOOKUP(vcost_ub[[#This Row],[setting]],$A$6:$E$141,5,FALSE)+VLOOKUP(vcost_ub[[#This Row],[setting]],$O$6:$AA$141,10,FALSE)+VLOOKUP(vcost_ub[[#This Row],[gbd_super]],$AH$6:$AK$11,4,FALSE),0)</f>
        <v>7.5441249175725016</v>
      </c>
      <c r="AO161" s="33">
        <f>IFERROR(VLOOKUP(vcost_ub[[#This Row],[setting]],$A$6:$E$141,5,FALSE)+$L$8+VLOOKUP(vcost_ub[[#This Row],[setting]],$O$6:$AA$141,13,FALSE),0)</f>
        <v>7.8341497221526772</v>
      </c>
      <c r="AP161" s="33">
        <f>IFERROR(VLOOKUP(vcost_ub[[#This Row],[setting]],$A$6:$E$141,5,FALSE)+$L$8+VLOOKUP(vcost_ub[[#This Row],[setting]],$O$6:$AA$141,13,FALSE)+VLOOKUP(vcost_ub[[#This Row],[gbd_super]],$AH$6:$AK$11,4,FALSE),0)</f>
        <v>8.3377297221526767</v>
      </c>
    </row>
    <row r="162" spans="1:42" x14ac:dyDescent="0.25">
      <c r="A162" s="103" t="s">
        <v>122</v>
      </c>
      <c r="B162" s="135" t="s">
        <v>667</v>
      </c>
      <c r="C162">
        <f>IFERROR(VLOOKUP(vcost[[#This Row],[setting]],$A$6:$E$141,3,FALSE)+$J$6+VLOOKUP(vcost[[#This Row],[setting]],$O$6:$AA$141,2,FALSE),0)</f>
        <v>1.5308937022827727</v>
      </c>
      <c r="D162">
        <f>IFERROR(VLOOKUP(vcost[[#This Row],[setting]],$A$6:$E$141,3,FALSE)+$J$6+VLOOKUP(vcost[[#This Row],[setting]],$O$6:$AA$141,2,FALSE)+VLOOKUP(vcost[[#This Row],[gbd_super]],$AH$6:$AK$11,2,FALSE),0)</f>
        <v>6.3608937022827732</v>
      </c>
      <c r="E162">
        <f>IFERROR(VLOOKUP(vcost[[#This Row],[setting]],$A$6:$E$141,3,FALSE)+VLOOKUP(vcost[[#This Row],[setting]],$O$6:$AA$141,5,FALSE),0)</f>
        <v>1.0962635095383204</v>
      </c>
      <c r="F162" s="33">
        <f>IFERROR(VLOOKUP(vcost[[#This Row],[setting]],$A$6:$E$141,3,FALSE)+VLOOKUP(vcost[[#This Row],[setting]],$O$6:$AA$141,5,FALSE)+VLOOKUP(vcost[[#This Row],[gbd_super]],$AH$6:$AK$11,2,FALSE),0)</f>
        <v>5.9262635095383205</v>
      </c>
      <c r="G162" s="33">
        <f>IFERROR(VLOOKUP(vcost[[#This Row],[setting]],$A$6:$E$141,3,FALSE)+VLOOKUP(vcost[[#This Row],[setting]],$O$6:$AA$141,8,FALSE)+VLOOKUP(vcost[[#This Row],[gbd_super]],$AH$6:$AK$11,2,FALSE),0)</f>
        <v>5.9193553786205815</v>
      </c>
      <c r="H162">
        <f>IFERROR(VLOOKUP(vcost[[#This Row],[setting]],$A$6:$E$141,3,FALSE)+$J$8+VLOOKUP(vcost[[#This Row],[setting]],$O$6:$AA$141,11,FALSE),0)</f>
        <v>1.7757887661813783</v>
      </c>
      <c r="I162" s="33">
        <f>IFERROR(VLOOKUP(vcost[[#This Row],[setting]],$A$6:$E$141,3,FALSE)+$J$8+VLOOKUP(vcost[[#This Row],[setting]],$O$6:$AA$141,11,FALSE)+VLOOKUP(vcost[[#This Row],[gbd_super]],$AH$6:$AK$11,2,FALSE),0)</f>
        <v>6.6057887661813783</v>
      </c>
      <c r="O162" s="103" t="s">
        <v>122</v>
      </c>
      <c r="P162" s="135" t="s">
        <v>667</v>
      </c>
      <c r="Q162" s="33">
        <f>IFERROR(VLOOKUP(vcost_lb[[#This Row],[setting]],$A$6:$E$141,4,FALSE)+$K$6+VLOOKUP(vcost_lb[[#This Row],[setting]],$O$6:$AA$141,3,FALSE),0)</f>
        <v>0.62573381300553232</v>
      </c>
      <c r="R162" s="33">
        <f>IFERROR(VLOOKUP(vcost_lb[[#This Row],[setting]],$A$6:$E$141,4,FALSE)+$K$6+VLOOKUP(vcost_lb[[#This Row],[setting]],$O$6:$AA$141,3,FALSE)+VLOOKUP(vcost_lb[[#This Row],[gbd_super]],$AH$6:$AK$11,3,FALSE),0)</f>
        <v>5.2129988130055329</v>
      </c>
      <c r="S162" s="33">
        <f>IFERROR(VLOOKUP(vcost_lb[[#This Row],[setting]],$A$6:$E$141,4,FALSE)+VLOOKUP(vcost_lb[[#This Row],[setting]],$O$6:$AA$141,6,FALSE),0)</f>
        <v>0.25691283522257918</v>
      </c>
      <c r="T162" s="33">
        <f>IFERROR(VLOOKUP(vcost_lb[[#This Row],[setting]],$A$6:$E$141,4,FALSE)+VLOOKUP(vcost_lb[[#This Row],[setting]],$O$6:$AA$141,6,FALSE)+VLOOKUP(vcost_lb[[#This Row],[gbd_super]],$AH$6:$AK$11,3,FALSE),0)</f>
        <v>4.8441778352225793</v>
      </c>
      <c r="U162" s="33">
        <f>IFERROR(VLOOKUP(vcost_lb[[#This Row],[setting]],$A$6:$E$141,4,FALSE)+VLOOKUP(vcost_lb[[#This Row],[setting]],$O$6:$AA$141,9,FALSE)+VLOOKUP(vcost_lb[[#This Row],[gbd_super]],$AH$6:$AK$11,3,FALSE),0)</f>
        <v>4.839633012250383</v>
      </c>
      <c r="V162" s="33">
        <f>IFERROR(VLOOKUP(vcost_lb[[#This Row],[setting]],$A$6:$E$141,4,FALSE)+$K$8+VLOOKUP(vcost_lb[[#This Row],[setting]],$O$6:$AA$141,12,FALSE),0)</f>
        <v>0.83844147800529578</v>
      </c>
      <c r="W162" s="33">
        <f>IFERROR(VLOOKUP(vcost_lb[[#This Row],[setting]],$A$6:$E$141,4,FALSE)+$K$8+VLOOKUP(vcost_lb[[#This Row],[setting]],$O$6:$AA$141,12,FALSE)+VLOOKUP(vcost_lb[[#This Row],[gbd_super]],$AH$6:$AK$11,3,FALSE),0)</f>
        <v>5.4257064780052957</v>
      </c>
      <c r="AH162" s="103" t="s">
        <v>122</v>
      </c>
      <c r="AI162" s="135" t="s">
        <v>667</v>
      </c>
      <c r="AJ162" s="33">
        <f>IFERROR(VLOOKUP(vcost_ub[[#This Row],[setting]],$A$6:$E$141,5,FALSE)+$L$6+VLOOKUP(vcost_ub[[#This Row],[setting]],$O$6:$AA$141,4,FALSE),0)</f>
        <v>3.7777543650024743</v>
      </c>
      <c r="AK162" s="33">
        <f>IFERROR(VLOOKUP(vcost_ub[[#This Row],[setting]],$A$6:$E$141,5,FALSE)+$L$6+VLOOKUP(vcost_ub[[#This Row],[setting]],$O$6:$AA$141,4,FALSE)+VLOOKUP(vcost_ub[[#This Row],[gbd_super]],$AH$6:$AK$11,4,FALSE),0)</f>
        <v>8.8478893650024748</v>
      </c>
      <c r="AL162" s="33">
        <f>IFERROR(VLOOKUP(vcost_ub[[#This Row],[setting]],$A$6:$E$141,5,FALSE)+VLOOKUP(vcost_ub[[#This Row],[setting]],$O$6:$AA$141,7,FALSE),0)</f>
        <v>3.2627513408903166</v>
      </c>
      <c r="AM162" s="33">
        <f>IFERROR(VLOOKUP(vcost_ub[[#This Row],[setting]],$A$6:$E$141,5,FALSE)+VLOOKUP(vcost_ub[[#This Row],[setting]],$O$6:$AA$141,7,FALSE)+VLOOKUP(vcost_ub[[#This Row],[gbd_super]],$AH$6:$AK$11,4,FALSE),0)</f>
        <v>8.3328863408903171</v>
      </c>
      <c r="AN162" s="33">
        <f>IFERROR(VLOOKUP(vcost_ub[[#This Row],[setting]],$A$6:$E$141,5,FALSE)+VLOOKUP(vcost_ub[[#This Row],[setting]],$O$6:$AA$141,10,FALSE)+VLOOKUP(vcost_ub[[#This Row],[gbd_super]],$AH$6:$AK$11,4,FALSE),0)</f>
        <v>8.3147070490015302</v>
      </c>
      <c r="AO162" s="33">
        <f>IFERROR(VLOOKUP(vcost_ub[[#This Row],[setting]],$A$6:$E$141,5,FALSE)+$L$8+VLOOKUP(vcost_ub[[#This Row],[setting]],$O$6:$AA$141,13,FALSE),0)</f>
        <v>4.0507313367513937</v>
      </c>
      <c r="AP162" s="33">
        <f>IFERROR(VLOOKUP(vcost_ub[[#This Row],[setting]],$A$6:$E$141,5,FALSE)+$L$8+VLOOKUP(vcost_ub[[#This Row],[setting]],$O$6:$AA$141,13,FALSE)+VLOOKUP(vcost_ub[[#This Row],[gbd_super]],$AH$6:$AK$11,4,FALSE),0)</f>
        <v>9.1208663367513942</v>
      </c>
    </row>
    <row r="163" spans="1:42" x14ac:dyDescent="0.25">
      <c r="A163" s="100" t="s">
        <v>262</v>
      </c>
      <c r="B163" s="134" t="s">
        <v>665</v>
      </c>
      <c r="C163">
        <f>IFERROR(VLOOKUP(vcost[[#This Row],[setting]],$A$6:$E$141,3,FALSE)+$J$6+VLOOKUP(vcost[[#This Row],[setting]],$O$6:$AA$141,2,FALSE),0)</f>
        <v>3.7553435637599502</v>
      </c>
      <c r="D163">
        <f>IFERROR(VLOOKUP(vcost[[#This Row],[setting]],$A$6:$E$141,3,FALSE)+$J$6+VLOOKUP(vcost[[#This Row],[setting]],$O$6:$AA$141,2,FALSE)+VLOOKUP(vcost[[#This Row],[gbd_super]],$AH$6:$AK$11,2,FALSE),0)</f>
        <v>3.7753435637599502</v>
      </c>
      <c r="E163">
        <f>IFERROR(VLOOKUP(vcost[[#This Row],[setting]],$A$6:$E$141,3,FALSE)+VLOOKUP(vcost[[#This Row],[setting]],$O$6:$AA$141,5,FALSE),0)</f>
        <v>3.3044955433177372</v>
      </c>
      <c r="F163" s="33">
        <f>IFERROR(VLOOKUP(vcost[[#This Row],[setting]],$A$6:$E$141,3,FALSE)+VLOOKUP(vcost[[#This Row],[setting]],$O$6:$AA$141,5,FALSE)+VLOOKUP(vcost[[#This Row],[gbd_super]],$AH$6:$AK$11,2,FALSE),0)</f>
        <v>3.3244955433177372</v>
      </c>
      <c r="G163" s="33">
        <f>IFERROR(VLOOKUP(vcost[[#This Row],[setting]],$A$6:$E$141,3,FALSE)+VLOOKUP(vcost[[#This Row],[setting]],$O$6:$AA$141,8,FALSE)+VLOOKUP(vcost[[#This Row],[gbd_super]],$AH$6:$AK$11,2,FALSE),0)</f>
        <v>3.3105131704118751</v>
      </c>
      <c r="H163">
        <f>IFERROR(VLOOKUP(vcost[[#This Row],[setting]],$A$6:$E$141,3,FALSE)+$J$8+VLOOKUP(vcost[[#This Row],[setting]],$O$6:$AA$141,11,FALSE),0)</f>
        <v>4.0060845888054226</v>
      </c>
      <c r="I163" s="33">
        <f>IFERROR(VLOOKUP(vcost[[#This Row],[setting]],$A$6:$E$141,3,FALSE)+$J$8+VLOOKUP(vcost[[#This Row],[setting]],$O$6:$AA$141,11,FALSE)+VLOOKUP(vcost[[#This Row],[gbd_super]],$AH$6:$AK$11,2,FALSE),0)</f>
        <v>4.0260845888054222</v>
      </c>
      <c r="O163" s="100" t="s">
        <v>262</v>
      </c>
      <c r="P163" s="134" t="s">
        <v>665</v>
      </c>
      <c r="Q163" s="33">
        <f>IFERROR(VLOOKUP(vcost_lb[[#This Row],[setting]],$A$6:$E$141,4,FALSE)+$K$6+VLOOKUP(vcost_lb[[#This Row],[setting]],$O$6:$AA$141,3,FALSE),0)</f>
        <v>1.2700630613114585</v>
      </c>
      <c r="R163" s="33">
        <f>IFERROR(VLOOKUP(vcost_lb[[#This Row],[setting]],$A$6:$E$141,4,FALSE)+$K$6+VLOOKUP(vcost_lb[[#This Row],[setting]],$O$6:$AA$141,3,FALSE)+VLOOKUP(vcost_lb[[#This Row],[gbd_super]],$AH$6:$AK$11,3,FALSE),0)</f>
        <v>1.2907730613114585</v>
      </c>
      <c r="S163" s="33">
        <f>IFERROR(VLOOKUP(vcost_lb[[#This Row],[setting]],$A$6:$E$141,4,FALSE)+VLOOKUP(vcost_lb[[#This Row],[setting]],$O$6:$AA$141,6,FALSE),0)</f>
        <v>0.89464180481430045</v>
      </c>
      <c r="T163" s="33">
        <f>IFERROR(VLOOKUP(vcost_lb[[#This Row],[setting]],$A$6:$E$141,4,FALSE)+VLOOKUP(vcost_lb[[#This Row],[setting]],$O$6:$AA$141,6,FALSE)+VLOOKUP(vcost_lb[[#This Row],[gbd_super]],$AH$6:$AK$11,3,FALSE),0)</f>
        <v>0.91535180481430045</v>
      </c>
      <c r="U163" s="33">
        <f>IFERROR(VLOOKUP(vcost_lb[[#This Row],[setting]],$A$6:$E$141,4,FALSE)+VLOOKUP(vcost_lb[[#This Row],[setting]],$O$6:$AA$141,9,FALSE)+VLOOKUP(vcost_lb[[#This Row],[gbd_super]],$AH$6:$AK$11,3,FALSE),0)</f>
        <v>0.90615287527097022</v>
      </c>
      <c r="V163" s="33">
        <f>IFERROR(VLOOKUP(vcost_lb[[#This Row],[setting]],$A$6:$E$141,4,FALSE)+$K$8+VLOOKUP(vcost_lb[[#This Row],[setting]],$O$6:$AA$141,12,FALSE),0)</f>
        <v>1.4855994171887386</v>
      </c>
      <c r="W163" s="33">
        <f>IFERROR(VLOOKUP(vcost_lb[[#This Row],[setting]],$A$6:$E$141,4,FALSE)+$K$8+VLOOKUP(vcost_lb[[#This Row],[setting]],$O$6:$AA$141,12,FALSE)+VLOOKUP(vcost_lb[[#This Row],[gbd_super]],$AH$6:$AK$11,3,FALSE),0)</f>
        <v>1.5063094171887386</v>
      </c>
      <c r="AH163" s="100" t="s">
        <v>262</v>
      </c>
      <c r="AI163" s="134" t="s">
        <v>665</v>
      </c>
      <c r="AJ163" s="33">
        <f>IFERROR(VLOOKUP(vcost_ub[[#This Row],[setting]],$A$6:$E$141,5,FALSE)+$L$6+VLOOKUP(vcost_ub[[#This Row],[setting]],$O$6:$AA$141,4,FALSE),0)</f>
        <v>9.4288086842383727</v>
      </c>
      <c r="AK163" s="33">
        <f>IFERROR(VLOOKUP(vcost_ub[[#This Row],[setting]],$A$6:$E$141,5,FALSE)+$L$6+VLOOKUP(vcost_ub[[#This Row],[setting]],$O$6:$AA$141,4,FALSE)+VLOOKUP(vcost_ub[[#This Row],[gbd_super]],$AH$6:$AK$11,4,FALSE),0)</f>
        <v>9.451698684238373</v>
      </c>
      <c r="AL163" s="33">
        <f>IFERROR(VLOOKUP(vcost_ub[[#This Row],[setting]],$A$6:$E$141,5,FALSE)+VLOOKUP(vcost_ub[[#This Row],[setting]],$O$6:$AA$141,7,FALSE),0)</f>
        <v>8.8830672192572031</v>
      </c>
      <c r="AM163" s="33">
        <f>IFERROR(VLOOKUP(vcost_ub[[#This Row],[setting]],$A$6:$E$141,5,FALSE)+VLOOKUP(vcost_ub[[#This Row],[setting]],$O$6:$AA$141,7,FALSE)+VLOOKUP(vcost_ub[[#This Row],[gbd_super]],$AH$6:$AK$11,4,FALSE),0)</f>
        <v>8.9059572192572034</v>
      </c>
      <c r="AN163" s="33">
        <f>IFERROR(VLOOKUP(vcost_ub[[#This Row],[setting]],$A$6:$E$141,5,FALSE)+VLOOKUP(vcost_ub[[#This Row],[setting]],$O$6:$AA$141,10,FALSE)+VLOOKUP(vcost_ub[[#This Row],[gbd_super]],$AH$6:$AK$11,4,FALSE),0)</f>
        <v>8.869161501083882</v>
      </c>
      <c r="AO163" s="33">
        <f>IFERROR(VLOOKUP(vcost_ub[[#This Row],[setting]],$A$6:$E$141,5,FALSE)+$L$8+VLOOKUP(vcost_ub[[#This Row],[setting]],$O$6:$AA$141,13,FALSE),0)</f>
        <v>9.7087630934851656</v>
      </c>
      <c r="AP163" s="33">
        <f>IFERROR(VLOOKUP(vcost_ub[[#This Row],[setting]],$A$6:$E$141,5,FALSE)+$L$8+VLOOKUP(vcost_ub[[#This Row],[setting]],$O$6:$AA$141,13,FALSE)+VLOOKUP(vcost_ub[[#This Row],[gbd_super]],$AH$6:$AK$11,4,FALSE),0)</f>
        <v>9.7316530934851659</v>
      </c>
    </row>
    <row r="164" spans="1:42" x14ac:dyDescent="0.25">
      <c r="A164" s="103" t="s">
        <v>165</v>
      </c>
      <c r="B164" s="135" t="s">
        <v>663</v>
      </c>
      <c r="C164">
        <f>IFERROR(VLOOKUP(vcost[[#This Row],[setting]],$A$6:$E$141,3,FALSE)+$J$6+VLOOKUP(vcost[[#This Row],[setting]],$O$6:$AA$141,2,FALSE),0)</f>
        <v>5.451569608177226</v>
      </c>
      <c r="D164">
        <f>IFERROR(VLOOKUP(vcost[[#This Row],[setting]],$A$6:$E$141,3,FALSE)+$J$6+VLOOKUP(vcost[[#This Row],[setting]],$O$6:$AA$141,2,FALSE)+VLOOKUP(vcost[[#This Row],[gbd_super]],$AH$6:$AK$11,2,FALSE),0)</f>
        <v>9.5215696081772272</v>
      </c>
      <c r="E164">
        <f>IFERROR(VLOOKUP(vcost[[#This Row],[setting]],$A$6:$E$141,3,FALSE)+VLOOKUP(vcost[[#This Row],[setting]],$O$6:$AA$141,5,FALSE),0)</f>
        <v>5.0188633172418911</v>
      </c>
      <c r="F164" s="33">
        <f>IFERROR(VLOOKUP(vcost[[#This Row],[setting]],$A$6:$E$141,3,FALSE)+VLOOKUP(vcost[[#This Row],[setting]],$O$6:$AA$141,5,FALSE)+VLOOKUP(vcost[[#This Row],[gbd_super]],$AH$6:$AK$11,2,FALSE),0)</f>
        <v>9.0888633172418913</v>
      </c>
      <c r="G164" s="33">
        <f>IFERROR(VLOOKUP(vcost[[#This Row],[setting]],$A$6:$E$141,3,FALSE)+VLOOKUP(vcost[[#This Row],[setting]],$O$6:$AA$141,8,FALSE)+VLOOKUP(vcost[[#This Row],[gbd_super]],$AH$6:$AK$11,2,FALSE),0)</f>
        <v>9.0828482418076675</v>
      </c>
      <c r="H164">
        <f>IFERROR(VLOOKUP(vcost[[#This Row],[setting]],$A$6:$E$141,3,FALSE)+$J$8+VLOOKUP(vcost[[#This Row],[setting]],$O$6:$AA$141,11,FALSE),0)</f>
        <v>5.6957711725864977</v>
      </c>
      <c r="I164" s="33">
        <f>IFERROR(VLOOKUP(vcost[[#This Row],[setting]],$A$6:$E$141,3,FALSE)+$J$8+VLOOKUP(vcost[[#This Row],[setting]],$O$6:$AA$141,11,FALSE)+VLOOKUP(vcost[[#This Row],[gbd_super]],$AH$6:$AK$11,2,FALSE),0)</f>
        <v>9.7657711725864971</v>
      </c>
      <c r="O164" s="103" t="s">
        <v>165</v>
      </c>
      <c r="P164" s="135" t="s">
        <v>663</v>
      </c>
      <c r="Q164" s="33">
        <f>IFERROR(VLOOKUP(vcost_lb[[#This Row],[setting]],$A$6:$E$141,4,FALSE)+$K$6+VLOOKUP(vcost_lb[[#This Row],[setting]],$O$6:$AA$141,3,FALSE),0)</f>
        <v>2.6426322821476838</v>
      </c>
      <c r="R164" s="33">
        <f>IFERROR(VLOOKUP(vcost_lb[[#This Row],[setting]],$A$6:$E$141,4,FALSE)+$K$6+VLOOKUP(vcost_lb[[#This Row],[setting]],$O$6:$AA$141,3,FALSE)+VLOOKUP(vcost_lb[[#This Row],[gbd_super]],$AH$6:$AK$11,3,FALSE),0)</f>
        <v>6.5050472821476841</v>
      </c>
      <c r="S164" s="33">
        <f>IFERROR(VLOOKUP(vcost_lb[[#This Row],[setting]],$A$6:$E$141,4,FALSE)+VLOOKUP(vcost_lb[[#This Row],[setting]],$O$6:$AA$141,6,FALSE),0)</f>
        <v>2.2745942876591392</v>
      </c>
      <c r="T164" s="33">
        <f>IFERROR(VLOOKUP(vcost_lb[[#This Row],[setting]],$A$6:$E$141,4,FALSE)+VLOOKUP(vcost_lb[[#This Row],[setting]],$O$6:$AA$141,6,FALSE)+VLOOKUP(vcost_lb[[#This Row],[gbd_super]],$AH$6:$AK$11,3,FALSE),0)</f>
        <v>6.13700928765914</v>
      </c>
      <c r="U164" s="33">
        <f>IFERROR(VLOOKUP(vcost_lb[[#This Row],[setting]],$A$6:$E$141,4,FALSE)+VLOOKUP(vcost_lb[[#This Row],[setting]],$O$6:$AA$141,9,FALSE)+VLOOKUP(vcost_lb[[#This Row],[gbd_super]],$AH$6:$AK$11,3,FALSE),0)</f>
        <v>6.1330520011892542</v>
      </c>
      <c r="V164" s="33">
        <f>IFERROR(VLOOKUP(vcost_lb[[#This Row],[setting]],$A$6:$E$141,4,FALSE)+$K$8+VLOOKUP(vcost_lb[[#This Row],[setting]],$O$6:$AA$141,12,FALSE),0)</f>
        <v>2.8550043828784148</v>
      </c>
      <c r="W164" s="33">
        <f>IFERROR(VLOOKUP(vcost_lb[[#This Row],[setting]],$A$6:$E$141,4,FALSE)+$K$8+VLOOKUP(vcost_lb[[#This Row],[setting]],$O$6:$AA$141,12,FALSE)+VLOOKUP(vcost_lb[[#This Row],[gbd_super]],$AH$6:$AK$11,3,FALSE),0)</f>
        <v>6.7174193828784148</v>
      </c>
      <c r="AH164" s="103" t="s">
        <v>165</v>
      </c>
      <c r="AI164" s="135" t="s">
        <v>663</v>
      </c>
      <c r="AJ164" s="33">
        <f>IFERROR(VLOOKUP(vcost_ub[[#This Row],[setting]],$A$6:$E$141,5,FALSE)+$L$6+VLOOKUP(vcost_ub[[#This Row],[setting]],$O$6:$AA$141,4,FALSE),0)</f>
        <v>10.423433709691896</v>
      </c>
      <c r="AK164" s="33">
        <f>IFERROR(VLOOKUP(vcost_ub[[#This Row],[setting]],$A$6:$E$141,5,FALSE)+$L$6+VLOOKUP(vcost_ub[[#This Row],[setting]],$O$6:$AA$141,4,FALSE)+VLOOKUP(vcost_ub[[#This Row],[gbd_super]],$AH$6:$AK$11,4,FALSE),0)</f>
        <v>14.692418709691896</v>
      </c>
      <c r="AL164" s="33">
        <f>IFERROR(VLOOKUP(vcost_ub[[#This Row],[setting]],$A$6:$E$141,5,FALSE)+VLOOKUP(vcost_ub[[#This Row],[setting]],$O$6:$AA$141,7,FALSE),0)</f>
        <v>9.9120771506365557</v>
      </c>
      <c r="AM164" s="33">
        <f>IFERROR(VLOOKUP(vcost_ub[[#This Row],[setting]],$A$6:$E$141,5,FALSE)+VLOOKUP(vcost_ub[[#This Row],[setting]],$O$6:$AA$141,7,FALSE)+VLOOKUP(vcost_ub[[#This Row],[gbd_super]],$AH$6:$AK$11,4,FALSE),0)</f>
        <v>14.181062150636556</v>
      </c>
      <c r="AN164" s="33">
        <f>IFERROR(VLOOKUP(vcost_ub[[#This Row],[setting]],$A$6:$E$141,5,FALSE)+VLOOKUP(vcost_ub[[#This Row],[setting]],$O$6:$AA$141,10,FALSE)+VLOOKUP(vcost_ub[[#This Row],[gbd_super]],$AH$6:$AK$11,4,FALSE),0)</f>
        <v>14.165233004757017</v>
      </c>
      <c r="AO164" s="33">
        <f>IFERROR(VLOOKUP(vcost_ub[[#This Row],[setting]],$A$6:$E$141,5,FALSE)+$L$8+VLOOKUP(vcost_ub[[#This Row],[setting]],$O$6:$AA$141,13,FALSE),0)</f>
        <v>10.69558295624387</v>
      </c>
      <c r="AP164" s="33">
        <f>IFERROR(VLOOKUP(vcost_ub[[#This Row],[setting]],$A$6:$E$141,5,FALSE)+$L$8+VLOOKUP(vcost_ub[[#This Row],[setting]],$O$6:$AA$141,13,FALSE)+VLOOKUP(vcost_ub[[#This Row],[gbd_super]],$AH$6:$AK$11,4,FALSE),0)</f>
        <v>14.96456795624387</v>
      </c>
    </row>
    <row r="165" spans="1:42" x14ac:dyDescent="0.25">
      <c r="A165" s="100" t="s">
        <v>166</v>
      </c>
      <c r="B165" s="134" t="s">
        <v>663</v>
      </c>
      <c r="C165">
        <f>IFERROR(VLOOKUP(vcost[[#This Row],[setting]],$A$6:$E$141,3,FALSE)+$J$6+VLOOKUP(vcost[[#This Row],[setting]],$O$6:$AA$141,2,FALSE),0)</f>
        <v>4.8444787613778191</v>
      </c>
      <c r="D165">
        <f>IFERROR(VLOOKUP(vcost[[#This Row],[setting]],$A$6:$E$141,3,FALSE)+$J$6+VLOOKUP(vcost[[#This Row],[setting]],$O$6:$AA$141,2,FALSE)+VLOOKUP(vcost[[#This Row],[gbd_super]],$AH$6:$AK$11,2,FALSE),0)</f>
        <v>8.9144787613778185</v>
      </c>
      <c r="E165">
        <f>IFERROR(VLOOKUP(vcost[[#This Row],[setting]],$A$6:$E$141,3,FALSE)+VLOOKUP(vcost[[#This Row],[setting]],$O$6:$AA$141,5,FALSE),0)</f>
        <v>4.4114490928174774</v>
      </c>
      <c r="F165" s="33">
        <f>IFERROR(VLOOKUP(vcost[[#This Row],[setting]],$A$6:$E$141,3,FALSE)+VLOOKUP(vcost[[#This Row],[setting]],$O$6:$AA$141,5,FALSE)+VLOOKUP(vcost[[#This Row],[gbd_super]],$AH$6:$AK$11,2,FALSE),0)</f>
        <v>8.4814490928174777</v>
      </c>
      <c r="G165" s="33">
        <f>IFERROR(VLOOKUP(vcost[[#This Row],[setting]],$A$6:$E$141,3,FALSE)+VLOOKUP(vcost[[#This Row],[setting]],$O$6:$AA$141,8,FALSE)+VLOOKUP(vcost[[#This Row],[gbd_super]],$AH$6:$AK$11,2,FALSE),0)</f>
        <v>8.4754087407028287</v>
      </c>
      <c r="H165">
        <f>IFERROR(VLOOKUP(vcost[[#This Row],[setting]],$A$6:$E$141,3,FALSE)+$J$8+VLOOKUP(vcost[[#This Row],[setting]],$O$6:$AA$141,11,FALSE),0)</f>
        <v>5.0887968921402909</v>
      </c>
      <c r="I165" s="33">
        <f>IFERROR(VLOOKUP(vcost[[#This Row],[setting]],$A$6:$E$141,3,FALSE)+$J$8+VLOOKUP(vcost[[#This Row],[setting]],$O$6:$AA$141,11,FALSE)+VLOOKUP(vcost[[#This Row],[gbd_super]],$AH$6:$AK$11,2,FALSE),0)</f>
        <v>9.1587968921402911</v>
      </c>
      <c r="O165" s="100" t="s">
        <v>166</v>
      </c>
      <c r="P165" s="134" t="s">
        <v>663</v>
      </c>
      <c r="Q165" s="33">
        <f>IFERROR(VLOOKUP(vcost_lb[[#This Row],[setting]],$A$6:$E$141,4,FALSE)+$K$6+VLOOKUP(vcost_lb[[#This Row],[setting]],$O$6:$AA$141,3,FALSE),0)</f>
        <v>2.2412518995677488</v>
      </c>
      <c r="R165" s="33">
        <f>IFERROR(VLOOKUP(vcost_lb[[#This Row],[setting]],$A$6:$E$141,4,FALSE)+$K$6+VLOOKUP(vcost_lb[[#This Row],[setting]],$O$6:$AA$141,3,FALSE)+VLOOKUP(vcost_lb[[#This Row],[gbd_super]],$AH$6:$AK$11,3,FALSE),0)</f>
        <v>6.1036668995677488</v>
      </c>
      <c r="S165" s="33">
        <f>IFERROR(VLOOKUP(vcost_lb[[#This Row],[setting]],$A$6:$E$141,4,FALSE)+VLOOKUP(vcost_lb[[#This Row],[setting]],$O$6:$AA$141,6,FALSE),0)</f>
        <v>1.8730822979062356</v>
      </c>
      <c r="T165" s="33">
        <f>IFERROR(VLOOKUP(vcost_lb[[#This Row],[setting]],$A$6:$E$141,4,FALSE)+VLOOKUP(vcost_lb[[#This Row],[setting]],$O$6:$AA$141,6,FALSE)+VLOOKUP(vcost_lb[[#This Row],[gbd_super]],$AH$6:$AK$11,3,FALSE),0)</f>
        <v>5.7354972979062362</v>
      </c>
      <c r="U165" s="33">
        <f>IFERROR(VLOOKUP(vcost_lb[[#This Row],[setting]],$A$6:$E$141,4,FALSE)+VLOOKUP(vcost_lb[[#This Row],[setting]],$O$6:$AA$141,9,FALSE)+VLOOKUP(vcost_lb[[#This Row],[gbd_super]],$AH$6:$AK$11,3,FALSE),0)</f>
        <v>5.7315233820413365</v>
      </c>
      <c r="V165" s="33">
        <f>IFERROR(VLOOKUP(vcost_lb[[#This Row],[setting]],$A$6:$E$141,4,FALSE)+$K$8+VLOOKUP(vcost_lb[[#This Row],[setting]],$O$6:$AA$141,12,FALSE),0)</f>
        <v>2.4536804033726085</v>
      </c>
      <c r="W165" s="33">
        <f>IFERROR(VLOOKUP(vcost_lb[[#This Row],[setting]],$A$6:$E$141,4,FALSE)+$K$8+VLOOKUP(vcost_lb[[#This Row],[setting]],$O$6:$AA$141,12,FALSE)+VLOOKUP(vcost_lb[[#This Row],[gbd_super]],$AH$6:$AK$11,3,FALSE),0)</f>
        <v>6.3160954033726089</v>
      </c>
      <c r="AH165" s="100" t="s">
        <v>166</v>
      </c>
      <c r="AI165" s="134" t="s">
        <v>663</v>
      </c>
      <c r="AJ165" s="33">
        <f>IFERROR(VLOOKUP(vcost_ub[[#This Row],[setting]],$A$6:$E$141,5,FALSE)+$L$6+VLOOKUP(vcost_ub[[#This Row],[setting]],$O$6:$AA$141,4,FALSE),0)</f>
        <v>9.4565986640858206</v>
      </c>
      <c r="AK165" s="33">
        <f>IFERROR(VLOOKUP(vcost_ub[[#This Row],[setting]],$A$6:$E$141,5,FALSE)+$L$6+VLOOKUP(vcost_ub[[#This Row],[setting]],$O$6:$AA$141,4,FALSE)+VLOOKUP(vcost_ub[[#This Row],[gbd_super]],$AH$6:$AK$11,4,FALSE),0)</f>
        <v>13.725583664085821</v>
      </c>
      <c r="AL165" s="33">
        <f>IFERROR(VLOOKUP(vcost_ub[[#This Row],[setting]],$A$6:$E$141,5,FALSE)+VLOOKUP(vcost_ub[[#This Row],[setting]],$O$6:$AA$141,7,FALSE),0)</f>
        <v>8.9446291916249443</v>
      </c>
      <c r="AM165" s="33">
        <f>IFERROR(VLOOKUP(vcost_ub[[#This Row],[setting]],$A$6:$E$141,5,FALSE)+VLOOKUP(vcost_ub[[#This Row],[setting]],$O$6:$AA$141,7,FALSE)+VLOOKUP(vcost_ub[[#This Row],[gbd_super]],$AH$6:$AK$11,4,FALSE),0)</f>
        <v>13.213614191624945</v>
      </c>
      <c r="AN165" s="33">
        <f>IFERROR(VLOOKUP(vcost_ub[[#This Row],[setting]],$A$6:$E$141,5,FALSE)+VLOOKUP(vcost_ub[[#This Row],[setting]],$O$6:$AA$141,10,FALSE)+VLOOKUP(vcost_ub[[#This Row],[gbd_super]],$AH$6:$AK$11,4,FALSE),0)</f>
        <v>13.197718528165344</v>
      </c>
      <c r="AO165" s="33">
        <f>IFERROR(VLOOKUP(vcost_ub[[#This Row],[setting]],$A$6:$E$141,5,FALSE)+$L$8+VLOOKUP(vcost_ub[[#This Row],[setting]],$O$6:$AA$141,13,FALSE),0)</f>
        <v>9.7288870382206465</v>
      </c>
      <c r="AP165" s="33">
        <f>IFERROR(VLOOKUP(vcost_ub[[#This Row],[setting]],$A$6:$E$141,5,FALSE)+$L$8+VLOOKUP(vcost_ub[[#This Row],[setting]],$O$6:$AA$141,13,FALSE)+VLOOKUP(vcost_ub[[#This Row],[gbd_super]],$AH$6:$AK$11,4,FALSE),0)</f>
        <v>13.997872038220647</v>
      </c>
    </row>
    <row r="166" spans="1:42" x14ac:dyDescent="0.25">
      <c r="A166" s="103" t="s">
        <v>192</v>
      </c>
      <c r="B166" s="135" t="s">
        <v>589</v>
      </c>
      <c r="C166">
        <f>IFERROR(VLOOKUP(vcost[[#This Row],[setting]],$A$6:$E$141,3,FALSE)+$J$6+VLOOKUP(vcost[[#This Row],[setting]],$O$6:$AA$141,2,FALSE),0)</f>
        <v>2.5513524013185185</v>
      </c>
      <c r="D166">
        <f>IFERROR(VLOOKUP(vcost[[#This Row],[setting]],$A$6:$E$141,3,FALSE)+$J$6+VLOOKUP(vcost[[#This Row],[setting]],$O$6:$AA$141,2,FALSE)+VLOOKUP(vcost[[#This Row],[gbd_super]],$AH$6:$AK$11,2,FALSE),0)</f>
        <v>5.0013524013185187</v>
      </c>
      <c r="E166">
        <f>IFERROR(VLOOKUP(vcost[[#This Row],[setting]],$A$6:$E$141,3,FALSE)+VLOOKUP(vcost[[#This Row],[setting]],$O$6:$AA$141,5,FALSE),0)</f>
        <v>2.1217873436538555</v>
      </c>
      <c r="F166" s="33">
        <f>IFERROR(VLOOKUP(vcost[[#This Row],[setting]],$A$6:$E$141,3,FALSE)+VLOOKUP(vcost[[#This Row],[setting]],$O$6:$AA$141,5,FALSE)+VLOOKUP(vcost[[#This Row],[gbd_super]],$AH$6:$AK$11,2,FALSE),0)</f>
        <v>4.5717873436538561</v>
      </c>
      <c r="G166" s="33">
        <f>IFERROR(VLOOKUP(vcost[[#This Row],[setting]],$A$6:$E$141,3,FALSE)+VLOOKUP(vcost[[#This Row],[setting]],$O$6:$AA$141,8,FALSE)+VLOOKUP(vcost[[#This Row],[gbd_super]],$AH$6:$AK$11,2,FALSE),0)</f>
        <v>4.5667235639492638</v>
      </c>
      <c r="H166">
        <f>IFERROR(VLOOKUP(vcost[[#This Row],[setting]],$A$6:$E$141,3,FALSE)+$J$8+VLOOKUP(vcost[[#This Row],[setting]],$O$6:$AA$141,11,FALSE),0)</f>
        <v>2.7944216607116186</v>
      </c>
      <c r="I166" s="33">
        <f>IFERROR(VLOOKUP(vcost[[#This Row],[setting]],$A$6:$E$141,3,FALSE)+$J$8+VLOOKUP(vcost[[#This Row],[setting]],$O$6:$AA$141,11,FALSE)+VLOOKUP(vcost[[#This Row],[gbd_super]],$AH$6:$AK$11,2,FALSE),0)</f>
        <v>5.2444216607116187</v>
      </c>
      <c r="O166" s="103" t="s">
        <v>192</v>
      </c>
      <c r="P166" s="135" t="s">
        <v>589</v>
      </c>
      <c r="Q166" s="33">
        <f>IFERROR(VLOOKUP(vcost_lb[[#This Row],[setting]],$A$6:$E$141,4,FALSE)+$K$6+VLOOKUP(vcost_lb[[#This Row],[setting]],$O$6:$AA$141,3,FALSE),0)</f>
        <v>1.0430275748452755</v>
      </c>
      <c r="R166" s="33">
        <f>IFERROR(VLOOKUP(vcost_lb[[#This Row],[setting]],$A$6:$E$141,4,FALSE)+$K$6+VLOOKUP(vcost_lb[[#This Row],[setting]],$O$6:$AA$141,3,FALSE)+VLOOKUP(vcost_lb[[#This Row],[gbd_super]],$AH$6:$AK$11,3,FALSE),0)</f>
        <v>3.3705275748452754</v>
      </c>
      <c r="S166" s="33">
        <f>IFERROR(VLOOKUP(vcost_lb[[#This Row],[setting]],$A$6:$E$141,4,FALSE)+VLOOKUP(vcost_lb[[#This Row],[setting]],$O$6:$AA$141,6,FALSE),0)</f>
        <v>0.67626798924595766</v>
      </c>
      <c r="T166" s="33">
        <f>IFERROR(VLOOKUP(vcost_lb[[#This Row],[setting]],$A$6:$E$141,4,FALSE)+VLOOKUP(vcost_lb[[#This Row],[setting]],$O$6:$AA$141,6,FALSE)+VLOOKUP(vcost_lb[[#This Row],[gbd_super]],$AH$6:$AK$11,3,FALSE),0)</f>
        <v>3.0037679892459579</v>
      </c>
      <c r="U166" s="33">
        <f>IFERROR(VLOOKUP(vcost_lb[[#This Row],[setting]],$A$6:$E$141,4,FALSE)+VLOOKUP(vcost_lb[[#This Row],[setting]],$O$6:$AA$141,9,FALSE)+VLOOKUP(vcost_lb[[#This Row],[gbd_super]],$AH$6:$AK$11,3,FALSE),0)</f>
        <v>3.0004365552297787</v>
      </c>
      <c r="V166" s="33">
        <f>IFERROR(VLOOKUP(vcost_lb[[#This Row],[setting]],$A$6:$E$141,4,FALSE)+$K$8+VLOOKUP(vcost_lb[[#This Row],[setting]],$O$6:$AA$141,12,FALSE),0)</f>
        <v>1.2548517860520527</v>
      </c>
      <c r="W166" s="33">
        <f>IFERROR(VLOOKUP(vcost_lb[[#This Row],[setting]],$A$6:$E$141,4,FALSE)+$K$8+VLOOKUP(vcost_lb[[#This Row],[setting]],$O$6:$AA$141,12,FALSE)+VLOOKUP(vcost_lb[[#This Row],[gbd_super]],$AH$6:$AK$11,3,FALSE),0)</f>
        <v>3.5823517860520528</v>
      </c>
      <c r="AH166" s="103" t="s">
        <v>192</v>
      </c>
      <c r="AI166" s="135" t="s">
        <v>589</v>
      </c>
      <c r="AJ166" s="33">
        <f>IFERROR(VLOOKUP(vcost_ub[[#This Row],[setting]],$A$6:$E$141,5,FALSE)+$L$6+VLOOKUP(vcost_ub[[#This Row],[setting]],$O$6:$AA$141,4,FALSE),0)</f>
        <v>5.7236747832122017</v>
      </c>
      <c r="AK166" s="33">
        <f>IFERROR(VLOOKUP(vcost_ub[[#This Row],[setting]],$A$6:$E$141,5,FALSE)+$L$6+VLOOKUP(vcost_ub[[#This Row],[setting]],$O$6:$AA$141,4,FALSE)+VLOOKUP(vcost_ub[[#This Row],[gbd_super]],$AH$6:$AK$11,4,FALSE),0)</f>
        <v>8.2961747832122015</v>
      </c>
      <c r="AL166" s="33">
        <f>IFERROR(VLOOKUP(vcost_ub[[#This Row],[setting]],$A$6:$E$141,5,FALSE)+VLOOKUP(vcost_ub[[#This Row],[setting]],$O$6:$AA$141,7,FALSE),0)</f>
        <v>5.2182719569838305</v>
      </c>
      <c r="AM166" s="33">
        <f>IFERROR(VLOOKUP(vcost_ub[[#This Row],[setting]],$A$6:$E$141,5,FALSE)+VLOOKUP(vcost_ub[[#This Row],[setting]],$O$6:$AA$141,7,FALSE)+VLOOKUP(vcost_ub[[#This Row],[gbd_super]],$AH$6:$AK$11,4,FALSE),0)</f>
        <v>7.7907719569838303</v>
      </c>
      <c r="AN166" s="33">
        <f>IFERROR(VLOOKUP(vcost_ub[[#This Row],[setting]],$A$6:$E$141,5,FALSE)+VLOOKUP(vcost_ub[[#This Row],[setting]],$O$6:$AA$141,10,FALSE)+VLOOKUP(vcost_ub[[#This Row],[gbd_super]],$AH$6:$AK$11,4,FALSE),0)</f>
        <v>7.7774462209191153</v>
      </c>
      <c r="AO166" s="33">
        <f>IFERROR(VLOOKUP(vcost_ub[[#This Row],[setting]],$A$6:$E$141,5,FALSE)+$L$8+VLOOKUP(vcost_ub[[#This Row],[setting]],$O$6:$AA$141,13,FALSE),0)</f>
        <v>5.9944725689384208</v>
      </c>
      <c r="AP166" s="33">
        <f>IFERROR(VLOOKUP(vcost_ub[[#This Row],[setting]],$A$6:$E$141,5,FALSE)+$L$8+VLOOKUP(vcost_ub[[#This Row],[setting]],$O$6:$AA$141,13,FALSE)+VLOOKUP(vcost_ub[[#This Row],[gbd_super]],$AH$6:$AK$11,4,FALSE),0)</f>
        <v>8.5669725689384215</v>
      </c>
    </row>
    <row r="167" spans="1:42" x14ac:dyDescent="0.25">
      <c r="A167" s="100" t="s">
        <v>307</v>
      </c>
      <c r="B167" s="134" t="s">
        <v>663</v>
      </c>
      <c r="C167">
        <f>IFERROR(VLOOKUP(vcost[[#This Row],[setting]],$A$6:$E$141,3,FALSE)+$J$6+VLOOKUP(vcost[[#This Row],[setting]],$O$6:$AA$141,2,FALSE),0)</f>
        <v>5.5145426409473073</v>
      </c>
      <c r="D167">
        <f>IFERROR(VLOOKUP(vcost[[#This Row],[setting]],$A$6:$E$141,3,FALSE)+$J$6+VLOOKUP(vcost[[#This Row],[setting]],$O$6:$AA$141,2,FALSE)+VLOOKUP(vcost[[#This Row],[gbd_super]],$AH$6:$AK$11,2,FALSE),0)</f>
        <v>9.5845426409473085</v>
      </c>
      <c r="E167">
        <f>IFERROR(VLOOKUP(vcost[[#This Row],[setting]],$A$6:$E$141,3,FALSE)+VLOOKUP(vcost[[#This Row],[setting]],$O$6:$AA$141,5,FALSE),0)</f>
        <v>5.075745727677238</v>
      </c>
      <c r="F167" s="33">
        <f>IFERROR(VLOOKUP(vcost[[#This Row],[setting]],$A$6:$E$141,3,FALSE)+VLOOKUP(vcost[[#This Row],[setting]],$O$6:$AA$141,5,FALSE)+VLOOKUP(vcost[[#This Row],[gbd_super]],$AH$6:$AK$11,2,FALSE),0)</f>
        <v>9.1457457276772374</v>
      </c>
      <c r="G167" s="33">
        <f>IFERROR(VLOOKUP(vcost[[#This Row],[setting]],$A$6:$E$141,3,FALSE)+VLOOKUP(vcost[[#This Row],[setting]],$O$6:$AA$141,8,FALSE)+VLOOKUP(vcost[[#This Row],[gbd_super]],$AH$6:$AK$11,2,FALSE),0)</f>
        <v>9.1374594687489399</v>
      </c>
      <c r="H167">
        <f>IFERROR(VLOOKUP(vcost[[#This Row],[setting]],$A$6:$E$141,3,FALSE)+$J$8+VLOOKUP(vcost[[#This Row],[setting]],$O$6:$AA$141,11,FALSE),0)</f>
        <v>5.7609396622446809</v>
      </c>
      <c r="I167" s="33">
        <f>IFERROR(VLOOKUP(vcost[[#This Row],[setting]],$A$6:$E$141,3,FALSE)+$J$8+VLOOKUP(vcost[[#This Row],[setting]],$O$6:$AA$141,11,FALSE)+VLOOKUP(vcost[[#This Row],[gbd_super]],$AH$6:$AK$11,2,FALSE),0)</f>
        <v>9.8309396622446812</v>
      </c>
      <c r="O167" s="100" t="s">
        <v>307</v>
      </c>
      <c r="P167" s="134" t="s">
        <v>663</v>
      </c>
      <c r="Q167" s="33">
        <f>IFERROR(VLOOKUP(vcost_lb[[#This Row],[setting]],$A$6:$E$141,4,FALSE)+$K$6+VLOOKUP(vcost_lb[[#This Row],[setting]],$O$6:$AA$141,3,FALSE),0)</f>
        <v>2.6280520832924794</v>
      </c>
      <c r="R167" s="33">
        <f>IFERROR(VLOOKUP(vcost_lb[[#This Row],[setting]],$A$6:$E$141,4,FALSE)+$K$6+VLOOKUP(vcost_lb[[#This Row],[setting]],$O$6:$AA$141,3,FALSE)+VLOOKUP(vcost_lb[[#This Row],[gbd_super]],$AH$6:$AK$11,3,FALSE),0)</f>
        <v>6.4904670832924793</v>
      </c>
      <c r="S167" s="33">
        <f>IFERROR(VLOOKUP(vcost_lb[[#This Row],[setting]],$A$6:$E$141,4,FALSE)+VLOOKUP(vcost_lb[[#This Row],[setting]],$O$6:$AA$141,6,FALSE),0)</f>
        <v>2.2575353471560771</v>
      </c>
      <c r="T167" s="33">
        <f>IFERROR(VLOOKUP(vcost_lb[[#This Row],[setting]],$A$6:$E$141,4,FALSE)+VLOOKUP(vcost_lb[[#This Row],[setting]],$O$6:$AA$141,6,FALSE)+VLOOKUP(vcost_lb[[#This Row],[gbd_super]],$AH$6:$AK$11,3,FALSE),0)</f>
        <v>6.1199503471560774</v>
      </c>
      <c r="U167" s="33">
        <f>IFERROR(VLOOKUP(vcost_lb[[#This Row],[setting]],$A$6:$E$141,4,FALSE)+VLOOKUP(vcost_lb[[#This Row],[setting]],$O$6:$AA$141,9,FALSE)+VLOOKUP(vcost_lb[[#This Row],[gbd_super]],$AH$6:$AK$11,3,FALSE),0)</f>
        <v>6.1144988610190385</v>
      </c>
      <c r="V167" s="33">
        <f>IFERROR(VLOOKUP(vcost_lb[[#This Row],[setting]],$A$6:$E$141,4,FALSE)+$K$8+VLOOKUP(vcost_lb[[#This Row],[setting]],$O$6:$AA$141,12,FALSE),0)</f>
        <v>2.8414865018722919</v>
      </c>
      <c r="W167" s="33">
        <f>IFERROR(VLOOKUP(vcost_lb[[#This Row],[setting]],$A$6:$E$141,4,FALSE)+$K$8+VLOOKUP(vcost_lb[[#This Row],[setting]],$O$6:$AA$141,12,FALSE)+VLOOKUP(vcost_lb[[#This Row],[gbd_super]],$AH$6:$AK$11,3,FALSE),0)</f>
        <v>6.7039015018722923</v>
      </c>
      <c r="AH167" s="100" t="s">
        <v>307</v>
      </c>
      <c r="AI167" s="134" t="s">
        <v>663</v>
      </c>
      <c r="AJ167" s="33">
        <f>IFERROR(VLOOKUP(vcost_ub[[#This Row],[setting]],$A$6:$E$141,5,FALSE)+$L$6+VLOOKUP(vcost_ub[[#This Row],[setting]],$O$6:$AA$141,4,FALSE),0)</f>
        <v>10.583041801639672</v>
      </c>
      <c r="AK167" s="33">
        <f>IFERROR(VLOOKUP(vcost_ub[[#This Row],[setting]],$A$6:$E$141,5,FALSE)+$L$6+VLOOKUP(vcost_ub[[#This Row],[setting]],$O$6:$AA$141,4,FALSE)+VLOOKUP(vcost_ub[[#This Row],[gbd_super]],$AH$6:$AK$11,4,FALSE),0)</f>
        <v>14.852026801639672</v>
      </c>
      <c r="AL167" s="33">
        <f>IFERROR(VLOOKUP(vcost_ub[[#This Row],[setting]],$A$6:$E$141,5,FALSE)+VLOOKUP(vcost_ub[[#This Row],[setting]],$O$6:$AA$141,7,FALSE),0)</f>
        <v>10.060141388624309</v>
      </c>
      <c r="AM167" s="33">
        <f>IFERROR(VLOOKUP(vcost_ub[[#This Row],[setting]],$A$6:$E$141,5,FALSE)+VLOOKUP(vcost_ub[[#This Row],[setting]],$O$6:$AA$141,7,FALSE)+VLOOKUP(vcost_ub[[#This Row],[gbd_super]],$AH$6:$AK$11,4,FALSE),0)</f>
        <v>14.32912638862431</v>
      </c>
      <c r="AN167" s="33">
        <f>IFERROR(VLOOKUP(vcost_ub[[#This Row],[setting]],$A$6:$E$141,5,FALSE)+VLOOKUP(vcost_ub[[#This Row],[setting]],$O$6:$AA$141,10,FALSE)+VLOOKUP(vcost_ub[[#This Row],[gbd_super]],$AH$6:$AK$11,4,FALSE),0)</f>
        <v>14.307320444076154</v>
      </c>
      <c r="AO167" s="33">
        <f>IFERROR(VLOOKUP(vcost_ub[[#This Row],[setting]],$A$6:$E$141,5,FALSE)+$L$8+VLOOKUP(vcost_ub[[#This Row],[setting]],$O$6:$AA$141,13,FALSE),0)</f>
        <v>10.85781143221938</v>
      </c>
      <c r="AP167" s="33">
        <f>IFERROR(VLOOKUP(vcost_ub[[#This Row],[setting]],$A$6:$E$141,5,FALSE)+$L$8+VLOOKUP(vcost_ub[[#This Row],[setting]],$O$6:$AA$141,13,FALSE)+VLOOKUP(vcost_ub[[#This Row],[gbd_super]],$AH$6:$AK$11,4,FALSE),0)</f>
        <v>15.126796432219381</v>
      </c>
    </row>
    <row r="168" spans="1:42" x14ac:dyDescent="0.25">
      <c r="A168" s="103" t="s">
        <v>253</v>
      </c>
      <c r="B168" s="135" t="s">
        <v>665</v>
      </c>
      <c r="C168">
        <f>IFERROR(VLOOKUP(vcost[[#This Row],[setting]],$A$6:$E$141,3,FALSE)+$J$6+VLOOKUP(vcost[[#This Row],[setting]],$O$6:$AA$141,2,FALSE),0)</f>
        <v>10.00475881162267</v>
      </c>
      <c r="D168">
        <f>IFERROR(VLOOKUP(vcost[[#This Row],[setting]],$A$6:$E$141,3,FALSE)+$J$6+VLOOKUP(vcost[[#This Row],[setting]],$O$6:$AA$141,2,FALSE)+VLOOKUP(vcost[[#This Row],[gbd_super]],$AH$6:$AK$11,2,FALSE),0)</f>
        <v>10.02475881162267</v>
      </c>
      <c r="E168">
        <f>IFERROR(VLOOKUP(vcost[[#This Row],[setting]],$A$6:$E$141,3,FALSE)+VLOOKUP(vcost[[#This Row],[setting]],$O$6:$AA$141,5,FALSE),0)</f>
        <v>9.5717397336730876</v>
      </c>
      <c r="F168" s="33">
        <f>IFERROR(VLOOKUP(vcost[[#This Row],[setting]],$A$6:$E$141,3,FALSE)+VLOOKUP(vcost[[#This Row],[setting]],$O$6:$AA$141,5,FALSE)+VLOOKUP(vcost[[#This Row],[gbd_super]],$AH$6:$AK$11,2,FALSE),0)</f>
        <v>9.5917397336730872</v>
      </c>
      <c r="G168" s="33">
        <f>IFERROR(VLOOKUP(vcost[[#This Row],[setting]],$A$6:$E$141,3,FALSE)+VLOOKUP(vcost[[#This Row],[setting]],$O$6:$AA$141,8,FALSE)+VLOOKUP(vcost[[#This Row],[gbd_super]],$AH$6:$AK$11,2,FALSE),0)</f>
        <v>9.5857416384973213</v>
      </c>
      <c r="H168">
        <f>IFERROR(VLOOKUP(vcost[[#This Row],[setting]],$A$6:$E$141,3,FALSE)+$J$8+VLOOKUP(vcost[[#This Row],[setting]],$O$6:$AA$141,11,FALSE),0)</f>
        <v>10.249073124839404</v>
      </c>
      <c r="I168" s="33">
        <f>IFERROR(VLOOKUP(vcost[[#This Row],[setting]],$A$6:$E$141,3,FALSE)+$J$8+VLOOKUP(vcost[[#This Row],[setting]],$O$6:$AA$141,11,FALSE)+VLOOKUP(vcost[[#This Row],[gbd_super]],$AH$6:$AK$11,2,FALSE),0)</f>
        <v>10.269073124839403</v>
      </c>
      <c r="O168" s="103" t="s">
        <v>253</v>
      </c>
      <c r="P168" s="135" t="s">
        <v>665</v>
      </c>
      <c r="Q168" s="33">
        <f>IFERROR(VLOOKUP(vcost_lb[[#This Row],[setting]],$A$6:$E$141,4,FALSE)+$K$6+VLOOKUP(vcost_lb[[#This Row],[setting]],$O$6:$AA$141,3,FALSE),0)</f>
        <v>4.1982414321036279</v>
      </c>
      <c r="R168" s="33">
        <f>IFERROR(VLOOKUP(vcost_lb[[#This Row],[setting]],$A$6:$E$141,4,FALSE)+$K$6+VLOOKUP(vcost_lb[[#This Row],[setting]],$O$6:$AA$141,3,FALSE)+VLOOKUP(vcost_lb[[#This Row],[gbd_super]],$AH$6:$AK$11,3,FALSE),0)</f>
        <v>4.2189514321036281</v>
      </c>
      <c r="S168" s="33">
        <f>IFERROR(VLOOKUP(vcost_lb[[#This Row],[setting]],$A$6:$E$141,4,FALSE)+VLOOKUP(vcost_lb[[#This Row],[setting]],$O$6:$AA$141,6,FALSE),0)</f>
        <v>3.8300761405743997</v>
      </c>
      <c r="T168" s="33">
        <f>IFERROR(VLOOKUP(vcost_lb[[#This Row],[setting]],$A$6:$E$141,4,FALSE)+VLOOKUP(vcost_lb[[#This Row],[setting]],$O$6:$AA$141,6,FALSE)+VLOOKUP(vcost_lb[[#This Row],[gbd_super]],$AH$6:$AK$11,3,FALSE),0)</f>
        <v>3.8507861405743995</v>
      </c>
      <c r="U168" s="33">
        <f>IFERROR(VLOOKUP(vcost_lb[[#This Row],[setting]],$A$6:$E$141,4,FALSE)+VLOOKUP(vcost_lb[[#This Row],[setting]],$O$6:$AA$141,9,FALSE)+VLOOKUP(vcost_lb[[#This Row],[gbd_super]],$AH$6:$AK$11,3,FALSE),0)</f>
        <v>3.8468400253271859</v>
      </c>
      <c r="V168" s="33">
        <f>IFERROR(VLOOKUP(vcost_lb[[#This Row],[setting]],$A$6:$E$141,4,FALSE)+$K$8+VLOOKUP(vcost_lb[[#This Row],[setting]],$O$6:$AA$141,12,FALSE),0)</f>
        <v>4.4106680887089373</v>
      </c>
      <c r="W168" s="33">
        <f>IFERROR(VLOOKUP(vcost_lb[[#This Row],[setting]],$A$6:$E$141,4,FALSE)+$K$8+VLOOKUP(vcost_lb[[#This Row],[setting]],$O$6:$AA$141,12,FALSE)+VLOOKUP(vcost_lb[[#This Row],[gbd_super]],$AH$6:$AK$11,3,FALSE),0)</f>
        <v>4.4313780887089376</v>
      </c>
      <c r="AH168" s="103" t="s">
        <v>253</v>
      </c>
      <c r="AI168" s="135" t="s">
        <v>665</v>
      </c>
      <c r="AJ168" s="33">
        <f>IFERROR(VLOOKUP(vcost_ub[[#This Row],[setting]],$A$6:$E$141,5,FALSE)+$L$6+VLOOKUP(vcost_ub[[#This Row],[setting]],$O$6:$AA$141,4,FALSE),0)</f>
        <v>21.250053961856697</v>
      </c>
      <c r="AK168" s="33">
        <f>IFERROR(VLOOKUP(vcost_ub[[#This Row],[setting]],$A$6:$E$141,5,FALSE)+$L$6+VLOOKUP(vcost_ub[[#This Row],[setting]],$O$6:$AA$141,4,FALSE)+VLOOKUP(vcost_ub[[#This Row],[gbd_super]],$AH$6:$AK$11,4,FALSE),0)</f>
        <v>21.272943961856697</v>
      </c>
      <c r="AL168" s="33">
        <f>IFERROR(VLOOKUP(vcost_ub[[#This Row],[setting]],$A$6:$E$141,5,FALSE)+VLOOKUP(vcost_ub[[#This Row],[setting]],$O$6:$AA$141,7,FALSE),0)</f>
        <v>20.738104562297604</v>
      </c>
      <c r="AM168" s="33">
        <f>IFERROR(VLOOKUP(vcost_ub[[#This Row],[setting]],$A$6:$E$141,5,FALSE)+VLOOKUP(vcost_ub[[#This Row],[setting]],$O$6:$AA$141,7,FALSE)+VLOOKUP(vcost_ub[[#This Row],[gbd_super]],$AH$6:$AK$11,4,FALSE),0)</f>
        <v>20.760994562297604</v>
      </c>
      <c r="AN168" s="33">
        <f>IFERROR(VLOOKUP(vcost_ub[[#This Row],[setting]],$A$6:$E$141,5,FALSE)+VLOOKUP(vcost_ub[[#This Row],[setting]],$O$6:$AA$141,10,FALSE)+VLOOKUP(vcost_ub[[#This Row],[gbd_super]],$AH$6:$AK$11,4,FALSE),0)</f>
        <v>20.74521010130875</v>
      </c>
      <c r="AO168" s="33">
        <f>IFERROR(VLOOKUP(vcost_ub[[#This Row],[setting]],$A$6:$E$141,5,FALSE)+$L$8+VLOOKUP(vcost_ub[[#This Row],[setting]],$O$6:$AA$141,13,FALSE),0)</f>
        <v>21.522337779565962</v>
      </c>
      <c r="AP168" s="33">
        <f>IFERROR(VLOOKUP(vcost_ub[[#This Row],[setting]],$A$6:$E$141,5,FALSE)+$L$8+VLOOKUP(vcost_ub[[#This Row],[setting]],$O$6:$AA$141,13,FALSE)+VLOOKUP(vcost_ub[[#This Row],[gbd_super]],$AH$6:$AK$11,4,FALSE),0)</f>
        <v>21.545227779565963</v>
      </c>
    </row>
    <row r="169" spans="1:42" x14ac:dyDescent="0.25">
      <c r="A169" s="100" t="s">
        <v>138</v>
      </c>
      <c r="B169" s="134" t="s">
        <v>667</v>
      </c>
      <c r="C169">
        <f>IFERROR(VLOOKUP(vcost[[#This Row],[setting]],$A$6:$E$141,3,FALSE)+$J$6+VLOOKUP(vcost[[#This Row],[setting]],$O$6:$AA$141,2,FALSE),0)</f>
        <v>1.9522554943253922</v>
      </c>
      <c r="D169">
        <f>IFERROR(VLOOKUP(vcost[[#This Row],[setting]],$A$6:$E$141,3,FALSE)+$J$6+VLOOKUP(vcost[[#This Row],[setting]],$O$6:$AA$141,2,FALSE)+VLOOKUP(vcost[[#This Row],[gbd_super]],$AH$6:$AK$11,2,FALSE),0)</f>
        <v>6.7822554943253923</v>
      </c>
      <c r="E169">
        <f>IFERROR(VLOOKUP(vcost[[#This Row],[setting]],$A$6:$E$141,3,FALSE)+VLOOKUP(vcost[[#This Row],[setting]],$O$6:$AA$141,5,FALSE),0)</f>
        <v>1.5235912638299196</v>
      </c>
      <c r="F169" s="33">
        <f>IFERROR(VLOOKUP(vcost[[#This Row],[setting]],$A$6:$E$141,3,FALSE)+VLOOKUP(vcost[[#This Row],[setting]],$O$6:$AA$141,5,FALSE)+VLOOKUP(vcost[[#This Row],[gbd_super]],$AH$6:$AK$11,2,FALSE),0)</f>
        <v>6.3535912638299195</v>
      </c>
      <c r="G169" s="33">
        <f>IFERROR(VLOOKUP(vcost[[#This Row],[setting]],$A$6:$E$141,3,FALSE)+VLOOKUP(vcost[[#This Row],[setting]],$O$6:$AA$141,8,FALSE)+VLOOKUP(vcost[[#This Row],[gbd_super]],$AH$6:$AK$11,2,FALSE),0)</f>
        <v>6.3493917356068934</v>
      </c>
      <c r="H169">
        <f>IFERROR(VLOOKUP(vcost[[#This Row],[setting]],$A$6:$E$141,3,FALSE)+$J$8+VLOOKUP(vcost[[#This Row],[setting]],$O$6:$AA$141,11,FALSE),0)</f>
        <v>2.1950000369482026</v>
      </c>
      <c r="I169" s="33">
        <f>IFERROR(VLOOKUP(vcost[[#This Row],[setting]],$A$6:$E$141,3,FALSE)+$J$8+VLOOKUP(vcost[[#This Row],[setting]],$O$6:$AA$141,11,FALSE)+VLOOKUP(vcost[[#This Row],[gbd_super]],$AH$6:$AK$11,2,FALSE),0)</f>
        <v>7.0250000369482031</v>
      </c>
      <c r="O169" s="100" t="s">
        <v>138</v>
      </c>
      <c r="P169" s="134" t="s">
        <v>667</v>
      </c>
      <c r="Q169" s="33">
        <f>IFERROR(VLOOKUP(vcost_lb[[#This Row],[setting]],$A$6:$E$141,4,FALSE)+$K$6+VLOOKUP(vcost_lb[[#This Row],[setting]],$O$6:$AA$141,3,FALSE),0)</f>
        <v>0.90823722241061067</v>
      </c>
      <c r="R169" s="33">
        <f>IFERROR(VLOOKUP(vcost_lb[[#This Row],[setting]],$A$6:$E$141,4,FALSE)+$K$6+VLOOKUP(vcost_lb[[#This Row],[setting]],$O$6:$AA$141,3,FALSE)+VLOOKUP(vcost_lb[[#This Row],[gbd_super]],$AH$6:$AK$11,3,FALSE),0)</f>
        <v>5.4955022224106109</v>
      </c>
      <c r="S169" s="33">
        <f>IFERROR(VLOOKUP(vcost_lb[[#This Row],[setting]],$A$6:$E$141,4,FALSE)+VLOOKUP(vcost_lb[[#This Row],[setting]],$O$6:$AA$141,6,FALSE),0)</f>
        <v>0.54184425251968404</v>
      </c>
      <c r="T169" s="33">
        <f>IFERROR(VLOOKUP(vcost_lb[[#This Row],[setting]],$A$6:$E$141,4,FALSE)+VLOOKUP(vcost_lb[[#This Row],[setting]],$O$6:$AA$141,6,FALSE)+VLOOKUP(vcost_lb[[#This Row],[gbd_super]],$AH$6:$AK$11,3,FALSE),0)</f>
        <v>5.1291092525196849</v>
      </c>
      <c r="U169" s="33">
        <f>IFERROR(VLOOKUP(vcost_lb[[#This Row],[setting]],$A$6:$E$141,4,FALSE)+VLOOKUP(vcost_lb[[#This Row],[setting]],$O$6:$AA$141,9,FALSE)+VLOOKUP(vcost_lb[[#This Row],[gbd_super]],$AH$6:$AK$11,3,FALSE),0)</f>
        <v>5.1263464050045355</v>
      </c>
      <c r="V169" s="33">
        <f>IFERROR(VLOOKUP(vcost_lb[[#This Row],[setting]],$A$6:$E$141,4,FALSE)+$K$8+VLOOKUP(vcost_lb[[#This Row],[setting]],$O$6:$AA$141,12,FALSE),0)</f>
        <v>1.1199043125995054</v>
      </c>
      <c r="W169" s="33">
        <f>IFERROR(VLOOKUP(vcost_lb[[#This Row],[setting]],$A$6:$E$141,4,FALSE)+$K$8+VLOOKUP(vcost_lb[[#This Row],[setting]],$O$6:$AA$141,12,FALSE)+VLOOKUP(vcost_lb[[#This Row],[gbd_super]],$AH$6:$AK$11,3,FALSE),0)</f>
        <v>5.7071693125995058</v>
      </c>
      <c r="AH169" s="100" t="s">
        <v>138</v>
      </c>
      <c r="AI169" s="134" t="s">
        <v>667</v>
      </c>
      <c r="AJ169" s="33">
        <f>IFERROR(VLOOKUP(vcost_ub[[#This Row],[setting]],$A$6:$E$141,5,FALSE)+$L$6+VLOOKUP(vcost_ub[[#This Row],[setting]],$O$6:$AA$141,4,FALSE),0)</f>
        <v>4.010072454579455</v>
      </c>
      <c r="AK169" s="33">
        <f>IFERROR(VLOOKUP(vcost_ub[[#This Row],[setting]],$A$6:$E$141,5,FALSE)+$L$6+VLOOKUP(vcost_ub[[#This Row],[setting]],$O$6:$AA$141,4,FALSE)+VLOOKUP(vcost_ub[[#This Row],[gbd_super]],$AH$6:$AK$11,4,FALSE),0)</f>
        <v>9.0802074545794547</v>
      </c>
      <c r="AL169" s="33">
        <f>IFERROR(VLOOKUP(vcost_ub[[#This Row],[setting]],$A$6:$E$141,5,FALSE)+VLOOKUP(vcost_ub[[#This Row],[setting]],$O$6:$AA$141,7,FALSE),0)</f>
        <v>3.5063770100787357</v>
      </c>
      <c r="AM169" s="33">
        <f>IFERROR(VLOOKUP(vcost_ub[[#This Row],[setting]],$A$6:$E$141,5,FALSE)+VLOOKUP(vcost_ub[[#This Row],[setting]],$O$6:$AA$141,7,FALSE)+VLOOKUP(vcost_ub[[#This Row],[gbd_super]],$AH$6:$AK$11,4,FALSE),0)</f>
        <v>8.5765120100787371</v>
      </c>
      <c r="AN169" s="33">
        <f>IFERROR(VLOOKUP(vcost_ub[[#This Row],[setting]],$A$6:$E$141,5,FALSE)+VLOOKUP(vcost_ub[[#This Row],[setting]],$O$6:$AA$141,10,FALSE)+VLOOKUP(vcost_ub[[#This Row],[gbd_super]],$AH$6:$AK$11,4,FALSE),0)</f>
        <v>8.5654606200181398</v>
      </c>
      <c r="AO169" s="33">
        <f>IFERROR(VLOOKUP(vcost_ub[[#This Row],[setting]],$A$6:$E$141,5,FALSE)+$L$8+VLOOKUP(vcost_ub[[#This Row],[setting]],$O$6:$AA$141,13,FALSE),0)</f>
        <v>4.2804826751282317</v>
      </c>
      <c r="AP169" s="33">
        <f>IFERROR(VLOOKUP(vcost_ub[[#This Row],[setting]],$A$6:$E$141,5,FALSE)+$L$8+VLOOKUP(vcost_ub[[#This Row],[setting]],$O$6:$AA$141,13,FALSE)+VLOOKUP(vcost_ub[[#This Row],[gbd_super]],$AH$6:$AK$11,4,FALSE),0)</f>
        <v>9.3506176751282322</v>
      </c>
    </row>
    <row r="170" spans="1:42" x14ac:dyDescent="0.25">
      <c r="A170" s="103" t="s">
        <v>193</v>
      </c>
      <c r="B170" s="135" t="s">
        <v>589</v>
      </c>
      <c r="C170">
        <f>IFERROR(VLOOKUP(vcost[[#This Row],[setting]],$A$6:$E$141,3,FALSE)+$J$6+VLOOKUP(vcost[[#This Row],[setting]],$O$6:$AA$141,2,FALSE),0)</f>
        <v>8.0040339574761692</v>
      </c>
      <c r="D170">
        <f>IFERROR(VLOOKUP(vcost[[#This Row],[setting]],$A$6:$E$141,3,FALSE)+$J$6+VLOOKUP(vcost[[#This Row],[setting]],$O$6:$AA$141,2,FALSE)+VLOOKUP(vcost[[#This Row],[gbd_super]],$AH$6:$AK$11,2,FALSE),0)</f>
        <v>10.45403395747617</v>
      </c>
      <c r="E170">
        <f>IFERROR(VLOOKUP(vcost[[#This Row],[setting]],$A$6:$E$141,3,FALSE)+VLOOKUP(vcost[[#This Row],[setting]],$O$6:$AA$141,5,FALSE),0)</f>
        <v>7.5668873329623834</v>
      </c>
      <c r="F170" s="33">
        <f>IFERROR(VLOOKUP(vcost[[#This Row],[setting]],$A$6:$E$141,3,FALSE)+VLOOKUP(vcost[[#This Row],[setting]],$O$6:$AA$141,5,FALSE)+VLOOKUP(vcost[[#This Row],[gbd_super]],$AH$6:$AK$11,2,FALSE),0)</f>
        <v>10.016887332962384</v>
      </c>
      <c r="G170" s="33">
        <f>IFERROR(VLOOKUP(vcost[[#This Row],[setting]],$A$6:$E$141,3,FALSE)+VLOOKUP(vcost[[#This Row],[setting]],$O$6:$AA$141,8,FALSE)+VLOOKUP(vcost[[#This Row],[gbd_super]],$AH$6:$AK$11,2,FALSE),0)</f>
        <v>10.009234420526891</v>
      </c>
      <c r="H170">
        <f>IFERROR(VLOOKUP(vcost[[#This Row],[setting]],$A$6:$E$141,3,FALSE)+$J$8+VLOOKUP(vcost[[#This Row],[setting]],$O$6:$AA$141,11,FALSE),0)</f>
        <v>8.2498361072451161</v>
      </c>
      <c r="I170" s="33">
        <f>IFERROR(VLOOKUP(vcost[[#This Row],[setting]],$A$6:$E$141,3,FALSE)+$J$8+VLOOKUP(vcost[[#This Row],[setting]],$O$6:$AA$141,11,FALSE)+VLOOKUP(vcost[[#This Row],[gbd_super]],$AH$6:$AK$11,2,FALSE),0)</f>
        <v>10.699836107245115</v>
      </c>
      <c r="O170" s="103" t="s">
        <v>193</v>
      </c>
      <c r="P170" s="135" t="s">
        <v>589</v>
      </c>
      <c r="Q170" s="33">
        <f>IFERROR(VLOOKUP(vcost_lb[[#This Row],[setting]],$A$6:$E$141,4,FALSE)+$K$6+VLOOKUP(vcost_lb[[#This Row],[setting]],$O$6:$AA$141,3,FALSE),0)</f>
        <v>3.6255209839403388</v>
      </c>
      <c r="R170" s="33">
        <f>IFERROR(VLOOKUP(vcost_lb[[#This Row],[setting]],$A$6:$E$141,4,FALSE)+$K$6+VLOOKUP(vcost_lb[[#This Row],[setting]],$O$6:$AA$141,3,FALSE)+VLOOKUP(vcost_lb[[#This Row],[gbd_super]],$AH$6:$AK$11,3,FALSE),0)</f>
        <v>5.9530209839403394</v>
      </c>
      <c r="S170" s="33">
        <f>IFERROR(VLOOKUP(vcost_lb[[#This Row],[setting]],$A$6:$E$141,4,FALSE)+VLOOKUP(vcost_lb[[#This Row],[setting]],$O$6:$AA$141,6,FALSE),0)</f>
        <v>3.2556758769489362</v>
      </c>
      <c r="T170" s="33">
        <f>IFERROR(VLOOKUP(vcost_lb[[#This Row],[setting]],$A$6:$E$141,4,FALSE)+VLOOKUP(vcost_lb[[#This Row],[setting]],$O$6:$AA$141,6,FALSE)+VLOOKUP(vcost_lb[[#This Row],[gbd_super]],$AH$6:$AK$11,3,FALSE),0)</f>
        <v>5.5831758769489364</v>
      </c>
      <c r="U170" s="33">
        <f>IFERROR(VLOOKUP(vcost_lb[[#This Row],[setting]],$A$6:$E$141,4,FALSE)+VLOOKUP(vcost_lb[[#This Row],[setting]],$O$6:$AA$141,9,FALSE)+VLOOKUP(vcost_lb[[#This Row],[gbd_super]],$AH$6:$AK$11,3,FALSE),0)</f>
        <v>5.5781410661361122</v>
      </c>
      <c r="V170" s="33">
        <f>IFERROR(VLOOKUP(vcost_lb[[#This Row],[setting]],$A$6:$E$141,4,FALSE)+$K$8+VLOOKUP(vcost_lb[[#This Row],[setting]],$O$6:$AA$141,12,FALSE),0)</f>
        <v>3.8386675614580095</v>
      </c>
      <c r="W170" s="33">
        <f>IFERROR(VLOOKUP(vcost_lb[[#This Row],[setting]],$A$6:$E$141,4,FALSE)+$K$8+VLOOKUP(vcost_lb[[#This Row],[setting]],$O$6:$AA$141,12,FALSE)+VLOOKUP(vcost_lb[[#This Row],[gbd_super]],$AH$6:$AK$11,3,FALSE),0)</f>
        <v>6.1661675614580096</v>
      </c>
      <c r="AH170" s="103" t="s">
        <v>193</v>
      </c>
      <c r="AI170" s="135" t="s">
        <v>589</v>
      </c>
      <c r="AJ170" s="33">
        <f>IFERROR(VLOOKUP(vcost_ub[[#This Row],[setting]],$A$6:$E$141,5,FALSE)+$L$6+VLOOKUP(vcost_ub[[#This Row],[setting]],$O$6:$AA$141,4,FALSE),0)</f>
        <v>15.983576047935825</v>
      </c>
      <c r="AK170" s="33">
        <f>IFERROR(VLOOKUP(vcost_ub[[#This Row],[setting]],$A$6:$E$141,5,FALSE)+$L$6+VLOOKUP(vcost_ub[[#This Row],[setting]],$O$6:$AA$141,4,FALSE)+VLOOKUP(vcost_ub[[#This Row],[gbd_super]],$AH$6:$AK$11,4,FALSE),0)</f>
        <v>18.556076047935825</v>
      </c>
      <c r="AL170" s="33">
        <f>IFERROR(VLOOKUP(vcost_ub[[#This Row],[setting]],$A$6:$E$141,5,FALSE)+VLOOKUP(vcost_ub[[#This Row],[setting]],$O$6:$AA$141,7,FALSE),0)</f>
        <v>15.463803507795745</v>
      </c>
      <c r="AM170" s="33">
        <f>IFERROR(VLOOKUP(vcost_ub[[#This Row],[setting]],$A$6:$E$141,5,FALSE)+VLOOKUP(vcost_ub[[#This Row],[setting]],$O$6:$AA$141,7,FALSE)+VLOOKUP(vcost_ub[[#This Row],[gbd_super]],$AH$6:$AK$11,4,FALSE),0)</f>
        <v>18.036303507795747</v>
      </c>
      <c r="AN170" s="33">
        <f>IFERROR(VLOOKUP(vcost_ub[[#This Row],[setting]],$A$6:$E$141,5,FALSE)+VLOOKUP(vcost_ub[[#This Row],[setting]],$O$6:$AA$141,10,FALSE)+VLOOKUP(vcost_ub[[#This Row],[gbd_super]],$AH$6:$AK$11,4,FALSE),0)</f>
        <v>18.01616426454445</v>
      </c>
      <c r="AO170" s="33">
        <f>IFERROR(VLOOKUP(vcost_ub[[#This Row],[setting]],$A$6:$E$141,5,FALSE)+$L$8+VLOOKUP(vcost_ub[[#This Row],[setting]],$O$6:$AA$141,13,FALSE),0)</f>
        <v>16.257635670562252</v>
      </c>
      <c r="AP170" s="33">
        <f>IFERROR(VLOOKUP(vcost_ub[[#This Row],[setting]],$A$6:$E$141,5,FALSE)+$L$8+VLOOKUP(vcost_ub[[#This Row],[setting]],$O$6:$AA$141,13,FALSE)+VLOOKUP(vcost_ub[[#This Row],[gbd_super]],$AH$6:$AK$11,4,FALSE),0)</f>
        <v>18.830135670562253</v>
      </c>
    </row>
    <row r="171" spans="1:42" x14ac:dyDescent="0.25">
      <c r="A171" s="81" t="s">
        <v>263</v>
      </c>
      <c r="B171" s="134" t="s">
        <v>665</v>
      </c>
      <c r="C171">
        <f>IFERROR(VLOOKUP(vcost[[#This Row],[setting]],$A$6:$E$141,3,FALSE)+$J$6+VLOOKUP(vcost[[#This Row],[setting]],$O$6:$AA$141,2,FALSE),0)</f>
        <v>3.1784562544637951</v>
      </c>
      <c r="D171">
        <f>IFERROR(VLOOKUP(vcost[[#This Row],[setting]],$A$6:$E$141,3,FALSE)+$J$6+VLOOKUP(vcost[[#This Row],[setting]],$O$6:$AA$141,2,FALSE)+VLOOKUP(vcost[[#This Row],[gbd_super]],$AH$6:$AK$11,2,FALSE),0)</f>
        <v>3.1984562544637951</v>
      </c>
      <c r="E171">
        <f>IFERROR(VLOOKUP(vcost[[#This Row],[setting]],$A$6:$E$141,3,FALSE)+VLOOKUP(vcost[[#This Row],[setting]],$O$6:$AA$141,5,FALSE),0)</f>
        <v>2.7385903858701584</v>
      </c>
      <c r="F171" s="33">
        <f>IFERROR(VLOOKUP(vcost[[#This Row],[setting]],$A$6:$E$141,3,FALSE)+VLOOKUP(vcost[[#This Row],[setting]],$O$6:$AA$141,5,FALSE)+VLOOKUP(vcost[[#This Row],[gbd_super]],$AH$6:$AK$11,2,FALSE),0)</f>
        <v>2.7585903858701584</v>
      </c>
      <c r="G171" s="33">
        <f>IFERROR(VLOOKUP(vcost[[#This Row],[setting]],$A$6:$E$141,3,FALSE)+VLOOKUP(vcost[[#This Row],[setting]],$O$6:$AA$141,8,FALSE)+VLOOKUP(vcost[[#This Row],[gbd_super]],$AH$6:$AK$11,2,FALSE),0)</f>
        <v>2.7491984157696296</v>
      </c>
      <c r="H171">
        <f>IFERROR(VLOOKUP(vcost[[#This Row],[setting]],$A$6:$E$141,3,FALSE)+$J$8+VLOOKUP(vcost[[#This Row],[setting]],$O$6:$AA$141,11,FALSE),0)</f>
        <v>3.4252385968661763</v>
      </c>
      <c r="I171" s="33">
        <f>IFERROR(VLOOKUP(vcost[[#This Row],[setting]],$A$6:$E$141,3,FALSE)+$J$8+VLOOKUP(vcost[[#This Row],[setting]],$O$6:$AA$141,11,FALSE)+VLOOKUP(vcost[[#This Row],[gbd_super]],$AH$6:$AK$11,2,FALSE),0)</f>
        <v>3.4452385968661763</v>
      </c>
      <c r="O171" s="81" t="s">
        <v>263</v>
      </c>
      <c r="P171" s="134" t="s">
        <v>665</v>
      </c>
      <c r="Q171" s="33">
        <f>IFERROR(VLOOKUP(vcost_lb[[#This Row],[setting]],$A$6:$E$141,4,FALSE)+$K$6+VLOOKUP(vcost_lb[[#This Row],[setting]],$O$6:$AA$141,3,FALSE),0)</f>
        <v>1.4137086089029822</v>
      </c>
      <c r="R171" s="33">
        <f>IFERROR(VLOOKUP(vcost_lb[[#This Row],[setting]],$A$6:$E$141,4,FALSE)+$K$6+VLOOKUP(vcost_lb[[#This Row],[setting]],$O$6:$AA$141,3,FALSE)+VLOOKUP(vcost_lb[[#This Row],[gbd_super]],$AH$6:$AK$11,3,FALSE),0)</f>
        <v>1.4344186089029822</v>
      </c>
      <c r="S171" s="33">
        <f>IFERROR(VLOOKUP(vcost_lb[[#This Row],[setting]],$A$6:$E$141,4,FALSE)+VLOOKUP(vcost_lb[[#This Row],[setting]],$O$6:$AA$141,6,FALSE),0)</f>
        <v>1.0427568328093144</v>
      </c>
      <c r="T171" s="33">
        <f>IFERROR(VLOOKUP(vcost_lb[[#This Row],[setting]],$A$6:$E$141,4,FALSE)+VLOOKUP(vcost_lb[[#This Row],[setting]],$O$6:$AA$141,6,FALSE)+VLOOKUP(vcost_lb[[#This Row],[gbd_super]],$AH$6:$AK$11,3,FALSE),0)</f>
        <v>1.0634668328093144</v>
      </c>
      <c r="U171" s="33">
        <f>IFERROR(VLOOKUP(vcost_lb[[#This Row],[setting]],$A$6:$E$141,4,FALSE)+VLOOKUP(vcost_lb[[#This Row],[setting]],$O$6:$AA$141,9,FALSE)+VLOOKUP(vcost_lb[[#This Row],[gbd_super]],$AH$6:$AK$11,3,FALSE),0)</f>
        <v>1.0572879051115984</v>
      </c>
      <c r="V171" s="33">
        <f>IFERROR(VLOOKUP(vcost_lb[[#This Row],[setting]],$A$6:$E$141,4,FALSE)+$K$8+VLOOKUP(vcost_lb[[#This Row],[setting]],$O$6:$AA$141,12,FALSE),0)</f>
        <v>1.6273294731787664</v>
      </c>
      <c r="W171" s="33">
        <f>IFERROR(VLOOKUP(vcost_lb[[#This Row],[setting]],$A$6:$E$141,4,FALSE)+$K$8+VLOOKUP(vcost_lb[[#This Row],[setting]],$O$6:$AA$141,12,FALSE)+VLOOKUP(vcost_lb[[#This Row],[gbd_super]],$AH$6:$AK$11,3,FALSE),0)</f>
        <v>1.6480394731787664</v>
      </c>
      <c r="AH171" s="81" t="s">
        <v>263</v>
      </c>
      <c r="AI171" s="134" t="s">
        <v>665</v>
      </c>
      <c r="AJ171" s="33">
        <f>IFERROR(VLOOKUP(vcost_ub[[#This Row],[setting]],$A$6:$E$141,5,FALSE)+$L$6+VLOOKUP(vcost_ub[[#This Row],[setting]],$O$6:$AA$141,4,FALSE),0)</f>
        <v>6.5602537874821731</v>
      </c>
      <c r="AK171" s="33">
        <f>IFERROR(VLOOKUP(vcost_ub[[#This Row],[setting]],$A$6:$E$141,5,FALSE)+$L$6+VLOOKUP(vcost_ub[[#This Row],[setting]],$O$6:$AA$141,4,FALSE)+VLOOKUP(vcost_ub[[#This Row],[gbd_super]],$AH$6:$AK$11,4,FALSE),0)</f>
        <v>6.5831437874821734</v>
      </c>
      <c r="AL171" s="33">
        <f>IFERROR(VLOOKUP(vcost_ub[[#This Row],[setting]],$A$6:$E$141,5,FALSE)+VLOOKUP(vcost_ub[[#This Row],[setting]],$O$6:$AA$141,7,FALSE),0)</f>
        <v>6.0353273312372577</v>
      </c>
      <c r="AM171" s="33">
        <f>IFERROR(VLOOKUP(vcost_ub[[#This Row],[setting]],$A$6:$E$141,5,FALSE)+VLOOKUP(vcost_ub[[#This Row],[setting]],$O$6:$AA$141,7,FALSE)+VLOOKUP(vcost_ub[[#This Row],[gbd_super]],$AH$6:$AK$11,4,FALSE),0)</f>
        <v>6.058217331237258</v>
      </c>
      <c r="AN171" s="33">
        <f>IFERROR(VLOOKUP(vcost_ub[[#This Row],[setting]],$A$6:$E$141,5,FALSE)+VLOOKUP(vcost_ub[[#This Row],[setting]],$O$6:$AA$141,10,FALSE)+VLOOKUP(vcost_ub[[#This Row],[gbd_super]],$AH$6:$AK$11,4,FALSE),0)</f>
        <v>6.033501620446394</v>
      </c>
      <c r="AO171" s="33">
        <f>IFERROR(VLOOKUP(vcost_ub[[#This Row],[setting]],$A$6:$E$141,5,FALSE)+$L$8+VLOOKUP(vcost_ub[[#This Row],[setting]],$O$6:$AA$141,13,FALSE),0)</f>
        <v>6.8354833174452754</v>
      </c>
      <c r="AP171" s="33">
        <f>IFERROR(VLOOKUP(vcost_ub[[#This Row],[setting]],$A$6:$E$141,5,FALSE)+$L$8+VLOOKUP(vcost_ub[[#This Row],[setting]],$O$6:$AA$141,13,FALSE)+VLOOKUP(vcost_ub[[#This Row],[gbd_super]],$AH$6:$AK$11,4,FALSE),0)</f>
        <v>6.8583733174452757</v>
      </c>
    </row>
    <row r="172" spans="1:42" x14ac:dyDescent="0.25">
      <c r="A172" s="103" t="s">
        <v>334</v>
      </c>
      <c r="B172" s="135" t="s">
        <v>663</v>
      </c>
      <c r="C172">
        <f>IFERROR(VLOOKUP(vcost[[#This Row],[setting]],$A$6:$E$141,3,FALSE)+$J$6+VLOOKUP(vcost[[#This Row],[setting]],$O$6:$AA$141,2,FALSE),0)</f>
        <v>3.4715119003091011</v>
      </c>
      <c r="D172">
        <f>IFERROR(VLOOKUP(vcost[[#This Row],[setting]],$A$6:$E$141,3,FALSE)+$J$6+VLOOKUP(vcost[[#This Row],[setting]],$O$6:$AA$141,2,FALSE)+VLOOKUP(vcost[[#This Row],[gbd_super]],$AH$6:$AK$11,2,FALSE),0)</f>
        <v>7.5415119003091018</v>
      </c>
      <c r="E172">
        <f>IFERROR(VLOOKUP(vcost[[#This Row],[setting]],$A$6:$E$141,3,FALSE)+VLOOKUP(vcost[[#This Row],[setting]],$O$6:$AA$141,5,FALSE),0)</f>
        <v>3.0346424172543758</v>
      </c>
      <c r="F172" s="33">
        <f>IFERROR(VLOOKUP(vcost[[#This Row],[setting]],$A$6:$E$141,3,FALSE)+VLOOKUP(vcost[[#This Row],[setting]],$O$6:$AA$141,5,FALSE)+VLOOKUP(vcost[[#This Row],[gbd_super]],$AH$6:$AK$11,2,FALSE),0)</f>
        <v>7.1046424172543761</v>
      </c>
      <c r="G172" s="33">
        <f>IFERROR(VLOOKUP(vcost[[#This Row],[setting]],$A$6:$E$141,3,FALSE)+VLOOKUP(vcost[[#This Row],[setting]],$O$6:$AA$141,8,FALSE)+VLOOKUP(vcost[[#This Row],[gbd_super]],$AH$6:$AK$11,2,FALSE),0)</f>
        <v>7.0972135934683083</v>
      </c>
      <c r="H172">
        <f>IFERROR(VLOOKUP(vcost[[#This Row],[setting]],$A$6:$E$141,3,FALSE)+$J$8+VLOOKUP(vcost[[#This Row],[setting]],$O$6:$AA$141,11,FALSE),0)</f>
        <v>3.7172141502497817</v>
      </c>
      <c r="I172" s="33">
        <f>IFERROR(VLOOKUP(vcost[[#This Row],[setting]],$A$6:$E$141,3,FALSE)+$J$8+VLOOKUP(vcost[[#This Row],[setting]],$O$6:$AA$141,11,FALSE)+VLOOKUP(vcost[[#This Row],[gbd_super]],$AH$6:$AK$11,2,FALSE),0)</f>
        <v>7.787214150249782</v>
      </c>
      <c r="O172" s="103" t="s">
        <v>334</v>
      </c>
      <c r="P172" s="135" t="s">
        <v>663</v>
      </c>
      <c r="Q172" s="33">
        <f>IFERROR(VLOOKUP(vcost_lb[[#This Row],[setting]],$A$6:$E$141,4,FALSE)+$K$6+VLOOKUP(vcost_lb[[#This Row],[setting]],$O$6:$AA$141,3,FALSE),0)</f>
        <v>1.3592470650563835</v>
      </c>
      <c r="R172" s="33">
        <f>IFERROR(VLOOKUP(vcost_lb[[#This Row],[setting]],$A$6:$E$141,4,FALSE)+$K$6+VLOOKUP(vcost_lb[[#This Row],[setting]],$O$6:$AA$141,3,FALSE)+VLOOKUP(vcost_lb[[#This Row],[gbd_super]],$AH$6:$AK$11,3,FALSE),0)</f>
        <v>5.2216620650563836</v>
      </c>
      <c r="S172" s="33">
        <f>IFERROR(VLOOKUP(vcost_lb[[#This Row],[setting]],$A$6:$E$141,4,FALSE)+VLOOKUP(vcost_lb[[#This Row],[setting]],$O$6:$AA$141,6,FALSE),0)</f>
        <v>0.98951474819366803</v>
      </c>
      <c r="T172" s="33">
        <f>IFERROR(VLOOKUP(vcost_lb[[#This Row],[setting]],$A$6:$E$141,4,FALSE)+VLOOKUP(vcost_lb[[#This Row],[setting]],$O$6:$AA$141,6,FALSE)+VLOOKUP(vcost_lb[[#This Row],[gbd_super]],$AH$6:$AK$11,3,FALSE),0)</f>
        <v>4.8519297481936681</v>
      </c>
      <c r="U172" s="33">
        <f>IFERROR(VLOOKUP(vcost_lb[[#This Row],[setting]],$A$6:$E$141,4,FALSE)+VLOOKUP(vcost_lb[[#This Row],[setting]],$O$6:$AA$141,9,FALSE)+VLOOKUP(vcost_lb[[#This Row],[gbd_super]],$AH$6:$AK$11,3,FALSE),0)</f>
        <v>4.8470423641238876</v>
      </c>
      <c r="V172" s="33">
        <f>IFERROR(VLOOKUP(vcost_lb[[#This Row],[setting]],$A$6:$E$141,4,FALSE)+$K$8+VLOOKUP(vcost_lb[[#This Row],[setting]],$O$6:$AA$141,12,FALSE),0)</f>
        <v>1.5723453039474735</v>
      </c>
      <c r="W172" s="33">
        <f>IFERROR(VLOOKUP(vcost_lb[[#This Row],[setting]],$A$6:$E$141,4,FALSE)+$K$8+VLOOKUP(vcost_lb[[#This Row],[setting]],$O$6:$AA$141,12,FALSE)+VLOOKUP(vcost_lb[[#This Row],[gbd_super]],$AH$6:$AK$11,3,FALSE),0)</f>
        <v>5.4347603039474741</v>
      </c>
      <c r="AH172" s="103" t="s">
        <v>334</v>
      </c>
      <c r="AI172" s="135" t="s">
        <v>663</v>
      </c>
      <c r="AJ172" s="33">
        <f>IFERROR(VLOOKUP(vcost_ub[[#This Row],[setting]],$A$6:$E$141,5,FALSE)+$L$6+VLOOKUP(vcost_ub[[#This Row],[setting]],$O$6:$AA$141,4,FALSE),0)</f>
        <v>7.9896062531725809</v>
      </c>
      <c r="AK172" s="33">
        <f>IFERROR(VLOOKUP(vcost_ub[[#This Row],[setting]],$A$6:$E$141,5,FALSE)+$L$6+VLOOKUP(vcost_ub[[#This Row],[setting]],$O$6:$AA$141,4,FALSE)+VLOOKUP(vcost_ub[[#This Row],[gbd_super]],$AH$6:$AK$11,4,FALSE),0)</f>
        <v>12.258591253172582</v>
      </c>
      <c r="AL172" s="33">
        <f>IFERROR(VLOOKUP(vcost_ub[[#This Row],[setting]],$A$6:$E$141,5,FALSE)+VLOOKUP(vcost_ub[[#This Row],[setting]],$O$6:$AA$141,7,FALSE),0)</f>
        <v>7.4703589927746732</v>
      </c>
      <c r="AM172" s="33">
        <f>IFERROR(VLOOKUP(vcost_ub[[#This Row],[setting]],$A$6:$E$141,5,FALSE)+VLOOKUP(vcost_ub[[#This Row],[setting]],$O$6:$AA$141,7,FALSE)+VLOOKUP(vcost_ub[[#This Row],[gbd_super]],$AH$6:$AK$11,4,FALSE),0)</f>
        <v>11.739343992774675</v>
      </c>
      <c r="AN172" s="33">
        <f>IFERROR(VLOOKUP(vcost_ub[[#This Row],[setting]],$A$6:$E$141,5,FALSE)+VLOOKUP(vcost_ub[[#This Row],[setting]],$O$6:$AA$141,10,FALSE)+VLOOKUP(vcost_ub[[#This Row],[gbd_super]],$AH$6:$AK$11,4,FALSE),0)</f>
        <v>11.719794456495549</v>
      </c>
      <c r="AO172" s="33">
        <f>IFERROR(VLOOKUP(vcost_ub[[#This Row],[setting]],$A$6:$E$141,5,FALSE)+$L$8+VLOOKUP(vcost_ub[[#This Row],[setting]],$O$6:$AA$141,13,FALSE),0)</f>
        <v>8.2635466405201061</v>
      </c>
      <c r="AP172" s="33">
        <f>IFERROR(VLOOKUP(vcost_ub[[#This Row],[setting]],$A$6:$E$141,5,FALSE)+$L$8+VLOOKUP(vcost_ub[[#This Row],[setting]],$O$6:$AA$141,13,FALSE)+VLOOKUP(vcost_ub[[#This Row],[gbd_super]],$AH$6:$AK$11,4,FALSE),0)</f>
        <v>12.532531640520107</v>
      </c>
    </row>
    <row r="173" spans="1:42" x14ac:dyDescent="0.25">
      <c r="A173" s="100" t="s">
        <v>132</v>
      </c>
      <c r="B173" s="134" t="s">
        <v>667</v>
      </c>
      <c r="C173">
        <f>IFERROR(VLOOKUP(vcost[[#This Row],[setting]],$A$6:$E$141,3,FALSE)+$J$6+VLOOKUP(vcost[[#This Row],[setting]],$O$6:$AA$141,2,FALSE),0)</f>
        <v>7.4871958098798705</v>
      </c>
      <c r="D173">
        <f>IFERROR(VLOOKUP(vcost[[#This Row],[setting]],$A$6:$E$141,3,FALSE)+$J$6+VLOOKUP(vcost[[#This Row],[setting]],$O$6:$AA$141,2,FALSE)+VLOOKUP(vcost[[#This Row],[gbd_super]],$AH$6:$AK$11,2,FALSE),0)</f>
        <v>12.31719580987987</v>
      </c>
      <c r="E173">
        <f>IFERROR(VLOOKUP(vcost[[#This Row],[setting]],$A$6:$E$141,3,FALSE)+VLOOKUP(vcost[[#This Row],[setting]],$O$6:$AA$141,5,FALSE),0)</f>
        <v>7.0455570908801688</v>
      </c>
      <c r="F173" s="33">
        <f>IFERROR(VLOOKUP(vcost[[#This Row],[setting]],$A$6:$E$141,3,FALSE)+VLOOKUP(vcost[[#This Row],[setting]],$O$6:$AA$141,5,FALSE)+VLOOKUP(vcost[[#This Row],[gbd_super]],$AH$6:$AK$11,2,FALSE),0)</f>
        <v>11.875557090880168</v>
      </c>
      <c r="G173" s="33">
        <f>IFERROR(VLOOKUP(vcost[[#This Row],[setting]],$A$6:$E$141,3,FALSE)+VLOOKUP(vcost[[#This Row],[setting]],$O$6:$AA$141,8,FALSE)+VLOOKUP(vcost[[#This Row],[gbd_super]],$AH$6:$AK$11,2,FALSE),0)</f>
        <v>11.86673856370226</v>
      </c>
      <c r="H173">
        <f>IFERROR(VLOOKUP(vcost[[#This Row],[setting]],$A$6:$E$141,3,FALSE)+$J$8+VLOOKUP(vcost[[#This Row],[setting]],$O$6:$AA$141,11,FALSE),0)</f>
        <v>7.7346172030100186</v>
      </c>
      <c r="I173" s="33">
        <f>IFERROR(VLOOKUP(vcost[[#This Row],[setting]],$A$6:$E$141,3,FALSE)+$J$8+VLOOKUP(vcost[[#This Row],[setting]],$O$6:$AA$141,11,FALSE)+VLOOKUP(vcost[[#This Row],[gbd_super]],$AH$6:$AK$11,2,FALSE),0)</f>
        <v>12.56461720301002</v>
      </c>
      <c r="O173" s="100" t="s">
        <v>132</v>
      </c>
      <c r="P173" s="134" t="s">
        <v>667</v>
      </c>
      <c r="Q173" s="33">
        <f>IFERROR(VLOOKUP(vcost_lb[[#This Row],[setting]],$A$6:$E$141,4,FALSE)+$K$6+VLOOKUP(vcost_lb[[#This Row],[setting]],$O$6:$AA$141,3,FALSE),0)</f>
        <v>3.4548608447694416</v>
      </c>
      <c r="R173" s="33">
        <f>IFERROR(VLOOKUP(vcost_lb[[#This Row],[setting]],$A$6:$E$141,4,FALSE)+$K$6+VLOOKUP(vcost_lb[[#This Row],[setting]],$O$6:$AA$141,3,FALSE)+VLOOKUP(vcost_lb[[#This Row],[gbd_super]],$AH$6:$AK$11,3,FALSE),0)</f>
        <v>8.0421258447694424</v>
      </c>
      <c r="S173" s="33">
        <f>IFERROR(VLOOKUP(vcost_lb[[#This Row],[setting]],$A$6:$E$141,4,FALSE)+VLOOKUP(vcost_lb[[#This Row],[setting]],$O$6:$AA$141,6,FALSE),0)</f>
        <v>3.0831875597895846</v>
      </c>
      <c r="T173" s="33">
        <f>IFERROR(VLOOKUP(vcost_lb[[#This Row],[setting]],$A$6:$E$141,4,FALSE)+VLOOKUP(vcost_lb[[#This Row],[setting]],$O$6:$AA$141,6,FALSE)+VLOOKUP(vcost_lb[[#This Row],[gbd_super]],$AH$6:$AK$11,3,FALSE),0)</f>
        <v>7.6704525597895845</v>
      </c>
      <c r="U173" s="33">
        <f>IFERROR(VLOOKUP(vcost_lb[[#This Row],[setting]],$A$6:$E$141,4,FALSE)+VLOOKUP(vcost_lb[[#This Row],[setting]],$O$6:$AA$141,9,FALSE)+VLOOKUP(vcost_lb[[#This Row],[gbd_super]],$AH$6:$AK$11,3,FALSE),0)</f>
        <v>7.6646508971725389</v>
      </c>
      <c r="V173" s="33">
        <f>IFERROR(VLOOKUP(vcost_lb[[#This Row],[setting]],$A$6:$E$141,4,FALSE)+$K$8+VLOOKUP(vcost_lb[[#This Row],[setting]],$O$6:$AA$141,12,FALSE),0)</f>
        <v>3.6687909271393067</v>
      </c>
      <c r="W173" s="33">
        <f>IFERROR(VLOOKUP(vcost_lb[[#This Row],[setting]],$A$6:$E$141,4,FALSE)+$K$8+VLOOKUP(vcost_lb[[#This Row],[setting]],$O$6:$AA$141,12,FALSE)+VLOOKUP(vcost_lb[[#This Row],[gbd_super]],$AH$6:$AK$11,3,FALSE),0)</f>
        <v>8.2560559271393075</v>
      </c>
      <c r="AH173" s="100" t="s">
        <v>132</v>
      </c>
      <c r="AI173" s="134" t="s">
        <v>667</v>
      </c>
      <c r="AJ173" s="33">
        <f>IFERROR(VLOOKUP(vcost_ub[[#This Row],[setting]],$A$6:$E$141,5,FALSE)+$L$6+VLOOKUP(vcost_ub[[#This Row],[setting]],$O$6:$AA$141,4,FALSE),0)</f>
        <v>14.848936865358933</v>
      </c>
      <c r="AK173" s="33">
        <f>IFERROR(VLOOKUP(vcost_ub[[#This Row],[setting]],$A$6:$E$141,5,FALSE)+$L$6+VLOOKUP(vcost_ub[[#This Row],[setting]],$O$6:$AA$141,4,FALSE)+VLOOKUP(vcost_ub[[#This Row],[gbd_super]],$AH$6:$AK$11,4,FALSE),0)</f>
        <v>19.919071865358934</v>
      </c>
      <c r="AL173" s="33">
        <f>IFERROR(VLOOKUP(vcost_ub[[#This Row],[setting]],$A$6:$E$141,5,FALSE)+VLOOKUP(vcost_ub[[#This Row],[setting]],$O$6:$AA$141,7,FALSE),0)</f>
        <v>14.320650239158338</v>
      </c>
      <c r="AM173" s="33">
        <f>IFERROR(VLOOKUP(vcost_ub[[#This Row],[setting]],$A$6:$E$141,5,FALSE)+VLOOKUP(vcost_ub[[#This Row],[setting]],$O$6:$AA$141,7,FALSE)+VLOOKUP(vcost_ub[[#This Row],[gbd_super]],$AH$6:$AK$11,4,FALSE),0)</f>
        <v>19.39078523915834</v>
      </c>
      <c r="AN173" s="33">
        <f>IFERROR(VLOOKUP(vcost_ub[[#This Row],[setting]],$A$6:$E$141,5,FALSE)+VLOOKUP(vcost_ub[[#This Row],[setting]],$O$6:$AA$141,10,FALSE)+VLOOKUP(vcost_ub[[#This Row],[gbd_super]],$AH$6:$AK$11,4,FALSE),0)</f>
        <v>19.367578588690158</v>
      </c>
      <c r="AO173" s="33">
        <f>IFERROR(VLOOKUP(vcost_ub[[#This Row],[setting]],$A$6:$E$141,5,FALSE)+$L$8+VLOOKUP(vcost_ub[[#This Row],[setting]],$O$6:$AA$141,13,FALSE),0)</f>
        <v>15.124929133287438</v>
      </c>
      <c r="AP173" s="33">
        <f>IFERROR(VLOOKUP(vcost_ub[[#This Row],[setting]],$A$6:$E$141,5,FALSE)+$L$8+VLOOKUP(vcost_ub[[#This Row],[setting]],$O$6:$AA$141,13,FALSE)+VLOOKUP(vcost_ub[[#This Row],[gbd_super]],$AH$6:$AK$11,4,FALSE),0)</f>
        <v>20.195064133287438</v>
      </c>
    </row>
    <row r="174" spans="1:42" x14ac:dyDescent="0.25">
      <c r="A174" s="103" t="s">
        <v>264</v>
      </c>
      <c r="B174" s="135" t="s">
        <v>665</v>
      </c>
      <c r="C174">
        <f>IFERROR(VLOOKUP(vcost[[#This Row],[setting]],$A$6:$E$141,3,FALSE)+$J$6+VLOOKUP(vcost[[#This Row],[setting]],$O$6:$AA$141,2,FALSE),0)</f>
        <v>2.445388209958737</v>
      </c>
      <c r="D174">
        <f>IFERROR(VLOOKUP(vcost[[#This Row],[setting]],$A$6:$E$141,3,FALSE)+$J$6+VLOOKUP(vcost[[#This Row],[setting]],$O$6:$AA$141,2,FALSE)+VLOOKUP(vcost[[#This Row],[gbd_super]],$AH$6:$AK$11,2,FALSE),0)</f>
        <v>2.465388209958737</v>
      </c>
      <c r="E174">
        <f>IFERROR(VLOOKUP(vcost[[#This Row],[setting]],$A$6:$E$141,3,FALSE)+VLOOKUP(vcost[[#This Row],[setting]],$O$6:$AA$141,5,FALSE),0)</f>
        <v>2.0009930316579085</v>
      </c>
      <c r="F174" s="33">
        <f>IFERROR(VLOOKUP(vcost[[#This Row],[setting]],$A$6:$E$141,3,FALSE)+VLOOKUP(vcost[[#This Row],[setting]],$O$6:$AA$141,5,FALSE)+VLOOKUP(vcost[[#This Row],[gbd_super]],$AH$6:$AK$11,2,FALSE),0)</f>
        <v>2.0209930316579086</v>
      </c>
      <c r="G174" s="33">
        <f>IFERROR(VLOOKUP(vcost[[#This Row],[setting]],$A$6:$E$141,3,FALSE)+VLOOKUP(vcost[[#This Row],[setting]],$O$6:$AA$141,8,FALSE)+VLOOKUP(vcost[[#This Row],[gbd_super]],$AH$6:$AK$11,2,FALSE),0)</f>
        <v>2.0108910185845228</v>
      </c>
      <c r="H174">
        <f>IFERROR(VLOOKUP(vcost[[#This Row],[setting]],$A$6:$E$141,3,FALSE)+$J$8+VLOOKUP(vcost[[#This Row],[setting]],$O$6:$AA$141,11,FALSE),0)</f>
        <v>2.6938032105113843</v>
      </c>
      <c r="I174" s="33">
        <f>IFERROR(VLOOKUP(vcost[[#This Row],[setting]],$A$6:$E$141,3,FALSE)+$J$8+VLOOKUP(vcost[[#This Row],[setting]],$O$6:$AA$141,11,FALSE)+VLOOKUP(vcost[[#This Row],[gbd_super]],$AH$6:$AK$11,2,FALSE),0)</f>
        <v>2.7138032105113843</v>
      </c>
      <c r="O174" s="103" t="s">
        <v>264</v>
      </c>
      <c r="P174" s="135" t="s">
        <v>665</v>
      </c>
      <c r="Q174" s="33">
        <f>IFERROR(VLOOKUP(vcost_lb[[#This Row],[setting]],$A$6:$E$141,4,FALSE)+$K$6+VLOOKUP(vcost_lb[[#This Row],[setting]],$O$6:$AA$141,3,FALSE),0)</f>
        <v>0.88258525221822948</v>
      </c>
      <c r="R174" s="33">
        <f>IFERROR(VLOOKUP(vcost_lb[[#This Row],[setting]],$A$6:$E$141,4,FALSE)+$K$6+VLOOKUP(vcost_lb[[#This Row],[setting]],$O$6:$AA$141,3,FALSE)+VLOOKUP(vcost_lb[[#This Row],[gbd_super]],$AH$6:$AK$11,3,FALSE),0)</f>
        <v>0.90329525221822948</v>
      </c>
      <c r="S174" s="33">
        <f>IFERROR(VLOOKUP(vcost_lb[[#This Row],[setting]],$A$6:$E$141,4,FALSE)+VLOOKUP(vcost_lb[[#This Row],[setting]],$O$6:$AA$141,6,FALSE),0)</f>
        <v>0.5097901524065187</v>
      </c>
      <c r="T174" s="33">
        <f>IFERROR(VLOOKUP(vcost_lb[[#This Row],[setting]],$A$6:$E$141,4,FALSE)+VLOOKUP(vcost_lb[[#This Row],[setting]],$O$6:$AA$141,6,FALSE)+VLOOKUP(vcost_lb[[#This Row],[gbd_super]],$AH$6:$AK$11,3,FALSE),0)</f>
        <v>0.53050015240651871</v>
      </c>
      <c r="U174" s="33">
        <f>IFERROR(VLOOKUP(vcost_lb[[#This Row],[setting]],$A$6:$E$141,4,FALSE)+VLOOKUP(vcost_lb[[#This Row],[setting]],$O$6:$AA$141,9,FALSE)+VLOOKUP(vcost_lb[[#This Row],[gbd_super]],$AH$6:$AK$11,3,FALSE),0)</f>
        <v>0.52385409117402826</v>
      </c>
      <c r="V174" s="33">
        <f>IFERROR(VLOOKUP(vcost_lb[[#This Row],[setting]],$A$6:$E$141,4,FALSE)+$K$8+VLOOKUP(vcost_lb[[#This Row],[setting]],$O$6:$AA$141,12,FALSE),0)</f>
        <v>1.0969961123731748</v>
      </c>
      <c r="W174" s="33">
        <f>IFERROR(VLOOKUP(vcost_lb[[#This Row],[setting]],$A$6:$E$141,4,FALSE)+$K$8+VLOOKUP(vcost_lb[[#This Row],[setting]],$O$6:$AA$141,12,FALSE)+VLOOKUP(vcost_lb[[#This Row],[gbd_super]],$AH$6:$AK$11,3,FALSE),0)</f>
        <v>1.1177061123731749</v>
      </c>
      <c r="AH174" s="103" t="s">
        <v>264</v>
      </c>
      <c r="AI174" s="135" t="s">
        <v>665</v>
      </c>
      <c r="AJ174" s="33">
        <f>IFERROR(VLOOKUP(vcost_ub[[#This Row],[setting]],$A$6:$E$141,5,FALSE)+$L$6+VLOOKUP(vcost_ub[[#This Row],[setting]],$O$6:$AA$141,4,FALSE),0)</f>
        <v>6.1364716877578758</v>
      </c>
      <c r="AK174" s="33">
        <f>IFERROR(VLOOKUP(vcost_ub[[#This Row],[setting]],$A$6:$E$141,5,FALSE)+$L$6+VLOOKUP(vcost_ub[[#This Row],[setting]],$O$6:$AA$141,4,FALSE)+VLOOKUP(vcost_ub[[#This Row],[gbd_super]],$AH$6:$AK$11,4,FALSE),0)</f>
        <v>6.1593616877578761</v>
      </c>
      <c r="AL174" s="33">
        <f>IFERROR(VLOOKUP(vcost_ub[[#This Row],[setting]],$A$6:$E$141,5,FALSE)+VLOOKUP(vcost_ub[[#This Row],[setting]],$O$6:$AA$141,7,FALSE),0)</f>
        <v>5.6029606096260753</v>
      </c>
      <c r="AM174" s="33">
        <f>IFERROR(VLOOKUP(vcost_ub[[#This Row],[setting]],$A$6:$E$141,5,FALSE)+VLOOKUP(vcost_ub[[#This Row],[setting]],$O$6:$AA$141,7,FALSE)+VLOOKUP(vcost_ub[[#This Row],[gbd_super]],$AH$6:$AK$11,4,FALSE),0)</f>
        <v>5.6258506096260756</v>
      </c>
      <c r="AN174" s="33">
        <f>IFERROR(VLOOKUP(vcost_ub[[#This Row],[setting]],$A$6:$E$141,5,FALSE)+VLOOKUP(vcost_ub[[#This Row],[setting]],$O$6:$AA$141,10,FALSE)+VLOOKUP(vcost_ub[[#This Row],[gbd_super]],$AH$6:$AK$11,4,FALSE),0)</f>
        <v>5.5992663646961134</v>
      </c>
      <c r="AO174" s="33">
        <f>IFERROR(VLOOKUP(vcost_ub[[#This Row],[setting]],$A$6:$E$141,5,FALSE)+$L$8+VLOOKUP(vcost_ub[[#This Row],[setting]],$O$6:$AA$141,13,FALSE),0)</f>
        <v>6.4136498742229096</v>
      </c>
      <c r="AP174" s="33">
        <f>IFERROR(VLOOKUP(vcost_ub[[#This Row],[setting]],$A$6:$E$141,5,FALSE)+$L$8+VLOOKUP(vcost_ub[[#This Row],[setting]],$O$6:$AA$141,13,FALSE)+VLOOKUP(vcost_ub[[#This Row],[gbd_super]],$AH$6:$AK$11,4,FALSE),0)</f>
        <v>6.4365398742229099</v>
      </c>
    </row>
    <row r="175" spans="1:42" x14ac:dyDescent="0.25">
      <c r="A175" s="100" t="s">
        <v>308</v>
      </c>
      <c r="B175" s="134" t="s">
        <v>663</v>
      </c>
      <c r="C175">
        <f>IFERROR(VLOOKUP(vcost[[#This Row],[setting]],$A$6:$E$141,3,FALSE)+$J$6+VLOOKUP(vcost[[#This Row],[setting]],$O$6:$AA$141,2,FALSE),0)</f>
        <v>5.5966780011023207</v>
      </c>
      <c r="D175">
        <f>IFERROR(VLOOKUP(vcost[[#This Row],[setting]],$A$6:$E$141,3,FALSE)+$J$6+VLOOKUP(vcost[[#This Row],[setting]],$O$6:$AA$141,2,FALSE)+VLOOKUP(vcost[[#This Row],[gbd_super]],$AH$6:$AK$11,2,FALSE),0)</f>
        <v>9.666678001102321</v>
      </c>
      <c r="E175">
        <f>IFERROR(VLOOKUP(vcost[[#This Row],[setting]],$A$6:$E$141,3,FALSE)+VLOOKUP(vcost[[#This Row],[setting]],$O$6:$AA$141,5,FALSE),0)</f>
        <v>5.1470857731820585</v>
      </c>
      <c r="F175" s="33">
        <f>IFERROR(VLOOKUP(vcost[[#This Row],[setting]],$A$6:$E$141,3,FALSE)+VLOOKUP(vcost[[#This Row],[setting]],$O$6:$AA$141,5,FALSE)+VLOOKUP(vcost[[#This Row],[gbd_super]],$AH$6:$AK$11,2,FALSE),0)</f>
        <v>9.2170857731820597</v>
      </c>
      <c r="G175" s="33">
        <f>IFERROR(VLOOKUP(vcost[[#This Row],[setting]],$A$6:$E$141,3,FALSE)+VLOOKUP(vcost[[#This Row],[setting]],$O$6:$AA$141,8,FALSE)+VLOOKUP(vcost[[#This Row],[gbd_super]],$AH$6:$AK$11,2,FALSE),0)</f>
        <v>9.2040848931058701</v>
      </c>
      <c r="H175">
        <f>IFERROR(VLOOKUP(vcost[[#This Row],[setting]],$A$6:$E$141,3,FALSE)+$J$8+VLOOKUP(vcost[[#This Row],[setting]],$O$6:$AA$141,11,FALSE),0)</f>
        <v>5.8469663567503449</v>
      </c>
      <c r="I175" s="33">
        <f>IFERROR(VLOOKUP(vcost[[#This Row],[setting]],$A$6:$E$141,3,FALSE)+$J$8+VLOOKUP(vcost[[#This Row],[setting]],$O$6:$AA$141,11,FALSE)+VLOOKUP(vcost[[#This Row],[gbd_super]],$AH$6:$AK$11,2,FALSE),0)</f>
        <v>9.9169663567503452</v>
      </c>
      <c r="O175" s="100" t="s">
        <v>308</v>
      </c>
      <c r="P175" s="134" t="s">
        <v>663</v>
      </c>
      <c r="Q175" s="33">
        <f>IFERROR(VLOOKUP(vcost_lb[[#This Row],[setting]],$A$6:$E$141,4,FALSE)+$K$6+VLOOKUP(vcost_lb[[#This Row],[setting]],$O$6:$AA$141,3,FALSE),0)</f>
        <v>2.5254218710281342</v>
      </c>
      <c r="R175" s="33">
        <f>IFERROR(VLOOKUP(vcost_lb[[#This Row],[setting]],$A$6:$E$141,4,FALSE)+$K$6+VLOOKUP(vcost_lb[[#This Row],[setting]],$O$6:$AA$141,3,FALSE)+VLOOKUP(vcost_lb[[#This Row],[gbd_super]],$AH$6:$AK$11,3,FALSE),0)</f>
        <v>6.387836871028135</v>
      </c>
      <c r="S175" s="33">
        <f>IFERROR(VLOOKUP(vcost_lb[[#This Row],[setting]],$A$6:$E$141,4,FALSE)+VLOOKUP(vcost_lb[[#This Row],[setting]],$O$6:$AA$141,6,FALSE),0)</f>
        <v>2.1505116928829335</v>
      </c>
      <c r="T175" s="33">
        <f>IFERROR(VLOOKUP(vcost_lb[[#This Row],[setting]],$A$6:$E$141,4,FALSE)+VLOOKUP(vcost_lb[[#This Row],[setting]],$O$6:$AA$141,6,FALSE)+VLOOKUP(vcost_lb[[#This Row],[gbd_super]],$AH$6:$AK$11,3,FALSE),0)</f>
        <v>6.0129266928829335</v>
      </c>
      <c r="U175" s="33">
        <f>IFERROR(VLOOKUP(vcost_lb[[#This Row],[setting]],$A$6:$E$141,4,FALSE)+VLOOKUP(vcost_lb[[#This Row],[setting]],$O$6:$AA$141,9,FALSE)+VLOOKUP(vcost_lb[[#This Row],[gbd_super]],$AH$6:$AK$11,3,FALSE),0)</f>
        <v>6.0043734823064945</v>
      </c>
      <c r="V175" s="33">
        <f>IFERROR(VLOOKUP(vcost_lb[[#This Row],[setting]],$A$6:$E$141,4,FALSE)+$K$8+VLOOKUP(vcost_lb[[#This Row],[setting]],$O$6:$AA$141,12,FALSE),0)</f>
        <v>2.7407391933260041</v>
      </c>
      <c r="W175" s="33">
        <f>IFERROR(VLOOKUP(vcost_lb[[#This Row],[setting]],$A$6:$E$141,4,FALSE)+$K$8+VLOOKUP(vcost_lb[[#This Row],[setting]],$O$6:$AA$141,12,FALSE)+VLOOKUP(vcost_lb[[#This Row],[gbd_super]],$AH$6:$AK$11,3,FALSE),0)</f>
        <v>6.6031541933260041</v>
      </c>
      <c r="AH175" s="100" t="s">
        <v>308</v>
      </c>
      <c r="AI175" s="134" t="s">
        <v>663</v>
      </c>
      <c r="AJ175" s="33">
        <f>IFERROR(VLOOKUP(vcost_ub[[#This Row],[setting]],$A$6:$E$141,5,FALSE)+$L$6+VLOOKUP(vcost_ub[[#This Row],[setting]],$O$6:$AA$141,4,FALSE),0)</f>
        <v>11.493808071616648</v>
      </c>
      <c r="AK175" s="33">
        <f>IFERROR(VLOOKUP(vcost_ub[[#This Row],[setting]],$A$6:$E$141,5,FALSE)+$L$6+VLOOKUP(vcost_ub[[#This Row],[setting]],$O$6:$AA$141,4,FALSE)+VLOOKUP(vcost_ub[[#This Row],[gbd_super]],$AH$6:$AK$11,4,FALSE),0)</f>
        <v>15.762793071616649</v>
      </c>
      <c r="AL175" s="33">
        <f>IFERROR(VLOOKUP(vcost_ub[[#This Row],[setting]],$A$6:$E$141,5,FALSE)+VLOOKUP(vcost_ub[[#This Row],[setting]],$O$6:$AA$141,7,FALSE),0)</f>
        <v>10.950446771531736</v>
      </c>
      <c r="AM175" s="33">
        <f>IFERROR(VLOOKUP(vcost_ub[[#This Row],[setting]],$A$6:$E$141,5,FALSE)+VLOOKUP(vcost_ub[[#This Row],[setting]],$O$6:$AA$141,7,FALSE)+VLOOKUP(vcost_ub[[#This Row],[gbd_super]],$AH$6:$AK$11,4,FALSE),0)</f>
        <v>15.219431771531736</v>
      </c>
      <c r="AN175" s="33">
        <f>IFERROR(VLOOKUP(vcost_ub[[#This Row],[setting]],$A$6:$E$141,5,FALSE)+VLOOKUP(vcost_ub[[#This Row],[setting]],$O$6:$AA$141,10,FALSE)+VLOOKUP(vcost_ub[[#This Row],[gbd_super]],$AH$6:$AK$11,4,FALSE),0)</f>
        <v>15.185218929225977</v>
      </c>
      <c r="AO175" s="33">
        <f>IFERROR(VLOOKUP(vcost_ub[[#This Row],[setting]],$A$6:$E$141,5,FALSE)+$L$8+VLOOKUP(vcost_ub[[#This Row],[setting]],$O$6:$AA$141,13,FALSE),0)</f>
        <v>11.77322219803423</v>
      </c>
      <c r="AP175" s="33">
        <f>IFERROR(VLOOKUP(vcost_ub[[#This Row],[setting]],$A$6:$E$141,5,FALSE)+$L$8+VLOOKUP(vcost_ub[[#This Row],[setting]],$O$6:$AA$141,13,FALSE)+VLOOKUP(vcost_ub[[#This Row],[gbd_super]],$AH$6:$AK$11,4,FALSE),0)</f>
        <v>16.04220719803423</v>
      </c>
    </row>
    <row r="176" spans="1:42" x14ac:dyDescent="0.25">
      <c r="A176" s="103" t="s">
        <v>139</v>
      </c>
      <c r="B176" s="135" t="s">
        <v>667</v>
      </c>
      <c r="C176">
        <f>IFERROR(VLOOKUP(vcost[[#This Row],[setting]],$A$6:$E$141,3,FALSE)+$J$6+VLOOKUP(vcost[[#This Row],[setting]],$O$6:$AA$141,2,FALSE),0)</f>
        <v>2.4804562866034869</v>
      </c>
      <c r="D176">
        <f>IFERROR(VLOOKUP(vcost[[#This Row],[setting]],$A$6:$E$141,3,FALSE)+$J$6+VLOOKUP(vcost[[#This Row],[setting]],$O$6:$AA$141,2,FALSE)+VLOOKUP(vcost[[#This Row],[gbd_super]],$AH$6:$AK$11,2,FALSE),0)</f>
        <v>7.310456286603487</v>
      </c>
      <c r="E176">
        <f>IFERROR(VLOOKUP(vcost[[#This Row],[setting]],$A$6:$E$141,3,FALSE)+VLOOKUP(vcost[[#This Row],[setting]],$O$6:$AA$141,5,FALSE),0)</f>
        <v>2.0557200305776679</v>
      </c>
      <c r="F176" s="33">
        <f>IFERROR(VLOOKUP(vcost[[#This Row],[setting]],$A$6:$E$141,3,FALSE)+VLOOKUP(vcost[[#This Row],[setting]],$O$6:$AA$141,5,FALSE)+VLOOKUP(vcost[[#This Row],[gbd_super]],$AH$6:$AK$11,2,FALSE),0)</f>
        <v>6.8857200305776676</v>
      </c>
      <c r="G176" s="33">
        <f>IFERROR(VLOOKUP(vcost[[#This Row],[setting]],$A$6:$E$141,3,FALSE)+VLOOKUP(vcost[[#This Row],[setting]],$O$6:$AA$141,8,FALSE)+VLOOKUP(vcost[[#This Row],[gbd_super]],$AH$6:$AK$11,2,FALSE),0)</f>
        <v>6.8831147384493647</v>
      </c>
      <c r="H176">
        <f>IFERROR(VLOOKUP(vcost[[#This Row],[setting]],$A$6:$E$141,3,FALSE)+$J$8+VLOOKUP(vcost[[#This Row],[setting]],$O$6:$AA$141,11,FALSE),0)</f>
        <v>2.7217849314523526</v>
      </c>
      <c r="I176" s="33">
        <f>IFERROR(VLOOKUP(vcost[[#This Row],[setting]],$A$6:$E$141,3,FALSE)+$J$8+VLOOKUP(vcost[[#This Row],[setting]],$O$6:$AA$141,11,FALSE)+VLOOKUP(vcost[[#This Row],[gbd_super]],$AH$6:$AK$11,2,FALSE),0)</f>
        <v>7.5517849314523531</v>
      </c>
      <c r="O176" s="103" t="s">
        <v>139</v>
      </c>
      <c r="P176" s="135" t="s">
        <v>667</v>
      </c>
      <c r="Q176" s="33">
        <f>IFERROR(VLOOKUP(vcost_lb[[#This Row],[setting]],$A$6:$E$141,4,FALSE)+$K$6+VLOOKUP(vcost_lb[[#This Row],[setting]],$O$6:$AA$141,3,FALSE),0)</f>
        <v>1.1309549220626973</v>
      </c>
      <c r="R176" s="33">
        <f>IFERROR(VLOOKUP(vcost_lb[[#This Row],[setting]],$A$6:$E$141,4,FALSE)+$K$6+VLOOKUP(vcost_lb[[#This Row],[setting]],$O$6:$AA$141,3,FALSE)+VLOOKUP(vcost_lb[[#This Row],[gbd_super]],$AH$6:$AK$11,3,FALSE),0)</f>
        <v>5.7182199220626977</v>
      </c>
      <c r="S176" s="33">
        <f>IFERROR(VLOOKUP(vcost_lb[[#This Row],[setting]],$A$6:$E$141,4,FALSE)+VLOOKUP(vcost_lb[[#This Row],[setting]],$O$6:$AA$141,6,FALSE),0)</f>
        <v>0.76616054643267617</v>
      </c>
      <c r="T176" s="33">
        <f>IFERROR(VLOOKUP(vcost_lb[[#This Row],[setting]],$A$6:$E$141,4,FALSE)+VLOOKUP(vcost_lb[[#This Row],[setting]],$O$6:$AA$141,6,FALSE)+VLOOKUP(vcost_lb[[#This Row],[gbd_super]],$AH$6:$AK$11,3,FALSE),0)</f>
        <v>5.3534255464326765</v>
      </c>
      <c r="U176" s="33">
        <f>IFERROR(VLOOKUP(vcost_lb[[#This Row],[setting]],$A$6:$E$141,4,FALSE)+VLOOKUP(vcost_lb[[#This Row],[setting]],$O$6:$AA$141,9,FALSE)+VLOOKUP(vcost_lb[[#This Row],[gbd_super]],$AH$6:$AK$11,3,FALSE),0)</f>
        <v>5.3517115384535296</v>
      </c>
      <c r="V176" s="33">
        <f>IFERROR(VLOOKUP(vcost_lb[[#This Row],[setting]],$A$6:$E$141,4,FALSE)+$K$8+VLOOKUP(vcost_lb[[#This Row],[setting]],$O$6:$AA$141,12,FALSE),0)</f>
        <v>1.3419369004254897</v>
      </c>
      <c r="W176" s="33">
        <f>IFERROR(VLOOKUP(vcost_lb[[#This Row],[setting]],$A$6:$E$141,4,FALSE)+$K$8+VLOOKUP(vcost_lb[[#This Row],[setting]],$O$6:$AA$141,12,FALSE)+VLOOKUP(vcost_lb[[#This Row],[gbd_super]],$AH$6:$AK$11,3,FALSE),0)</f>
        <v>5.9292019004254897</v>
      </c>
      <c r="AH176" s="103" t="s">
        <v>139</v>
      </c>
      <c r="AI176" s="135" t="s">
        <v>667</v>
      </c>
      <c r="AJ176" s="33">
        <f>IFERROR(VLOOKUP(vcost_ub[[#This Row],[setting]],$A$6:$E$141,5,FALSE)+$L$6+VLOOKUP(vcost_ub[[#This Row],[setting]],$O$6:$AA$141,4,FALSE),0)</f>
        <v>5.0852927483877801</v>
      </c>
      <c r="AK176" s="33">
        <f>IFERROR(VLOOKUP(vcost_ub[[#This Row],[setting]],$A$6:$E$141,5,FALSE)+$L$6+VLOOKUP(vcost_ub[[#This Row],[setting]],$O$6:$AA$141,4,FALSE)+VLOOKUP(vcost_ub[[#This Row],[gbd_super]],$AH$6:$AK$11,4,FALSE),0)</f>
        <v>10.15542774838778</v>
      </c>
      <c r="AL176" s="33">
        <f>IFERROR(VLOOKUP(vcost_ub[[#This Row],[setting]],$A$6:$E$141,5,FALSE)+VLOOKUP(vcost_ub[[#This Row],[setting]],$O$6:$AA$141,7,FALSE),0)</f>
        <v>4.5890421857307055</v>
      </c>
      <c r="AM176" s="33">
        <f>IFERROR(VLOOKUP(vcost_ub[[#This Row],[setting]],$A$6:$E$141,5,FALSE)+VLOOKUP(vcost_ub[[#This Row],[setting]],$O$6:$AA$141,7,FALSE)+VLOOKUP(vcost_ub[[#This Row],[gbd_super]],$AH$6:$AK$11,4,FALSE),0)</f>
        <v>9.6591771857307052</v>
      </c>
      <c r="AN176" s="33">
        <f>IFERROR(VLOOKUP(vcost_ub[[#This Row],[setting]],$A$6:$E$141,5,FALSE)+VLOOKUP(vcost_ub[[#This Row],[setting]],$O$6:$AA$141,10,FALSE)+VLOOKUP(vcost_ub[[#This Row],[gbd_super]],$AH$6:$AK$11,4,FALSE),0)</f>
        <v>9.6523211538141176</v>
      </c>
      <c r="AO176" s="33">
        <f>IFERROR(VLOOKUP(vcost_ub[[#This Row],[setting]],$A$6:$E$141,5,FALSE)+$L$8+VLOOKUP(vcost_ub[[#This Row],[setting]],$O$6:$AA$141,13,FALSE),0)</f>
        <v>5.3540130264321704</v>
      </c>
      <c r="AP176" s="33">
        <f>IFERROR(VLOOKUP(vcost_ub[[#This Row],[setting]],$A$6:$E$141,5,FALSE)+$L$8+VLOOKUP(vcost_ub[[#This Row],[setting]],$O$6:$AA$141,13,FALSE)+VLOOKUP(vcost_ub[[#This Row],[gbd_super]],$AH$6:$AK$11,4,FALSE),0)</f>
        <v>10.424148026432171</v>
      </c>
    </row>
    <row r="177" spans="1:42" x14ac:dyDescent="0.25">
      <c r="A177" s="100" t="s">
        <v>101</v>
      </c>
      <c r="B177" s="134" t="s">
        <v>667</v>
      </c>
      <c r="C177">
        <f>IFERROR(VLOOKUP(vcost[[#This Row],[setting]],$A$6:$E$141,3,FALSE)+$J$6+VLOOKUP(vcost[[#This Row],[setting]],$O$6:$AA$141,2,FALSE),0)</f>
        <v>2.245300021803065</v>
      </c>
      <c r="D177">
        <f>IFERROR(VLOOKUP(vcost[[#This Row],[setting]],$A$6:$E$141,3,FALSE)+$J$6+VLOOKUP(vcost[[#This Row],[setting]],$O$6:$AA$141,2,FALSE)+VLOOKUP(vcost[[#This Row],[gbd_super]],$AH$6:$AK$11,2,FALSE),0)</f>
        <v>7.0753000218030646</v>
      </c>
      <c r="E177">
        <f>IFERROR(VLOOKUP(vcost[[#This Row],[setting]],$A$6:$E$141,3,FALSE)+VLOOKUP(vcost[[#This Row],[setting]],$O$6:$AA$141,5,FALSE),0)</f>
        <v>1.8251059804243834</v>
      </c>
      <c r="F177" s="33">
        <f>IFERROR(VLOOKUP(vcost[[#This Row],[setting]],$A$6:$E$141,3,FALSE)+VLOOKUP(vcost[[#This Row],[setting]],$O$6:$AA$141,5,FALSE)+VLOOKUP(vcost[[#This Row],[gbd_super]],$AH$6:$AK$11,2,FALSE),0)</f>
        <v>6.6551059804243833</v>
      </c>
      <c r="G177" s="33">
        <f>IFERROR(VLOOKUP(vcost[[#This Row],[setting]],$A$6:$E$141,3,FALSE)+VLOOKUP(vcost[[#This Row],[setting]],$O$6:$AA$141,8,FALSE)+VLOOKUP(vcost[[#This Row],[gbd_super]],$AH$6:$AK$11,2,FALSE),0)</f>
        <v>6.6542336850196211</v>
      </c>
      <c r="H177">
        <f>IFERROR(VLOOKUP(vcost[[#This Row],[setting]],$A$6:$E$141,3,FALSE)+$J$8+VLOOKUP(vcost[[#This Row],[setting]],$O$6:$AA$141,11,FALSE),0)</f>
        <v>2.4849913567209856</v>
      </c>
      <c r="I177" s="33">
        <f>IFERROR(VLOOKUP(vcost[[#This Row],[setting]],$A$6:$E$141,3,FALSE)+$J$8+VLOOKUP(vcost[[#This Row],[setting]],$O$6:$AA$141,11,FALSE)+VLOOKUP(vcost[[#This Row],[gbd_super]],$AH$6:$AK$11,2,FALSE),0)</f>
        <v>7.3149913567209861</v>
      </c>
      <c r="O177" s="100" t="s">
        <v>101</v>
      </c>
      <c r="P177" s="134" t="s">
        <v>667</v>
      </c>
      <c r="Q177" s="33">
        <f>IFERROR(VLOOKUP(vcost_lb[[#This Row],[setting]],$A$6:$E$141,4,FALSE)+$K$6+VLOOKUP(vcost_lb[[#This Row],[setting]],$O$6:$AA$141,3,FALSE),0)</f>
        <v>0.93076552386494504</v>
      </c>
      <c r="R177" s="33">
        <f>IFERROR(VLOOKUP(vcost_lb[[#This Row],[setting]],$A$6:$E$141,4,FALSE)+$K$6+VLOOKUP(vcost_lb[[#This Row],[setting]],$O$6:$AA$141,3,FALSE)+VLOOKUP(vcost_lb[[#This Row],[gbd_super]],$AH$6:$AK$11,3,FALSE),0)</f>
        <v>5.5180305238649456</v>
      </c>
      <c r="S177" s="33">
        <f>IFERROR(VLOOKUP(vcost_lb[[#This Row],[setting]],$A$6:$E$141,4,FALSE)+VLOOKUP(vcost_lb[[#This Row],[setting]],$O$6:$AA$141,6,FALSE),0)</f>
        <v>0.56781972396341018</v>
      </c>
      <c r="T177" s="33">
        <f>IFERROR(VLOOKUP(vcost_lb[[#This Row],[setting]],$A$6:$E$141,4,FALSE)+VLOOKUP(vcost_lb[[#This Row],[setting]],$O$6:$AA$141,6,FALSE)+VLOOKUP(vcost_lb[[#This Row],[gbd_super]],$AH$6:$AK$11,3,FALSE),0)</f>
        <v>5.1550847239634106</v>
      </c>
      <c r="U177" s="33">
        <f>IFERROR(VLOOKUP(vcost_lb[[#This Row],[setting]],$A$6:$E$141,4,FALSE)+VLOOKUP(vcost_lb[[#This Row],[setting]],$O$6:$AA$141,9,FALSE)+VLOOKUP(vcost_lb[[#This Row],[gbd_super]],$AH$6:$AK$11,3,FALSE),0)</f>
        <v>5.1545108454076454</v>
      </c>
      <c r="V177" s="33">
        <f>IFERROR(VLOOKUP(vcost_lb[[#This Row],[setting]],$A$6:$E$141,4,FALSE)+$K$8+VLOOKUP(vcost_lb[[#This Row],[setting]],$O$6:$AA$141,12,FALSE),0)</f>
        <v>1.1409552554869578</v>
      </c>
      <c r="W177" s="33">
        <f>IFERROR(VLOOKUP(vcost_lb[[#This Row],[setting]],$A$6:$E$141,4,FALSE)+$K$8+VLOOKUP(vcost_lb[[#This Row],[setting]],$O$6:$AA$141,12,FALSE)+VLOOKUP(vcost_lb[[#This Row],[gbd_super]],$AH$6:$AK$11,3,FALSE),0)</f>
        <v>5.7282202554869581</v>
      </c>
      <c r="AH177" s="100" t="s">
        <v>101</v>
      </c>
      <c r="AI177" s="134" t="s">
        <v>667</v>
      </c>
      <c r="AJ177" s="33">
        <f>IFERROR(VLOOKUP(vcost_ub[[#This Row],[setting]],$A$6:$E$141,5,FALSE)+$L$6+VLOOKUP(vcost_ub[[#This Row],[setting]],$O$6:$AA$141,4,FALSE),0)</f>
        <v>4.9940203772609078</v>
      </c>
      <c r="AK177" s="33">
        <f>IFERROR(VLOOKUP(vcost_ub[[#This Row],[setting]],$A$6:$E$141,5,FALSE)+$L$6+VLOOKUP(vcost_ub[[#This Row],[setting]],$O$6:$AA$141,4,FALSE)+VLOOKUP(vcost_ub[[#This Row],[gbd_super]],$AH$6:$AK$11,4,FALSE),0)</f>
        <v>10.064155377260908</v>
      </c>
      <c r="AL177" s="33">
        <f>IFERROR(VLOOKUP(vcost_ub[[#This Row],[setting]],$A$6:$E$141,5,FALSE)+VLOOKUP(vcost_ub[[#This Row],[setting]],$O$6:$AA$141,7,FALSE),0)</f>
        <v>4.5063788958536408</v>
      </c>
      <c r="AM177" s="33">
        <f>IFERROR(VLOOKUP(vcost_ub[[#This Row],[setting]],$A$6:$E$141,5,FALSE)+VLOOKUP(vcost_ub[[#This Row],[setting]],$O$6:$AA$141,7,FALSE)+VLOOKUP(vcost_ub[[#This Row],[gbd_super]],$AH$6:$AK$11,4,FALSE),0)</f>
        <v>9.5765138958536404</v>
      </c>
      <c r="AN177" s="33">
        <f>IFERROR(VLOOKUP(vcost_ub[[#This Row],[setting]],$A$6:$E$141,5,FALSE)+VLOOKUP(vcost_ub[[#This Row],[setting]],$O$6:$AA$141,10,FALSE)+VLOOKUP(vcost_ub[[#This Row],[gbd_super]],$AH$6:$AK$11,4,FALSE),0)</f>
        <v>9.5742183816305815</v>
      </c>
      <c r="AO177" s="33">
        <f>IFERROR(VLOOKUP(vcost_ub[[#This Row],[setting]],$A$6:$E$141,5,FALSE)+$L$8+VLOOKUP(vcost_ub[[#This Row],[setting]],$O$6:$AA$141,13,FALSE),0)</f>
        <v>5.2607864466780407</v>
      </c>
      <c r="AP177" s="33">
        <f>IFERROR(VLOOKUP(vcost_ub[[#This Row],[setting]],$A$6:$E$141,5,FALSE)+$L$8+VLOOKUP(vcost_ub[[#This Row],[setting]],$O$6:$AA$141,13,FALSE)+VLOOKUP(vcost_ub[[#This Row],[gbd_super]],$AH$6:$AK$11,4,FALSE),0)</f>
        <v>10.33092144667804</v>
      </c>
    </row>
    <row r="178" spans="1:42" x14ac:dyDescent="0.25">
      <c r="A178" s="103" t="s">
        <v>140</v>
      </c>
      <c r="B178" s="135" t="s">
        <v>667</v>
      </c>
      <c r="C178">
        <f>IFERROR(VLOOKUP(vcost[[#This Row],[setting]],$A$6:$E$141,3,FALSE)+$J$6+VLOOKUP(vcost[[#This Row],[setting]],$O$6:$AA$141,2,FALSE),0)</f>
        <v>9.0593098786469977</v>
      </c>
      <c r="D178">
        <f>IFERROR(VLOOKUP(vcost[[#This Row],[setting]],$A$6:$E$141,3,FALSE)+$J$6+VLOOKUP(vcost[[#This Row],[setting]],$O$6:$AA$141,2,FALSE)+VLOOKUP(vcost[[#This Row],[gbd_super]],$AH$6:$AK$11,2,FALSE),0)</f>
        <v>13.889309878646998</v>
      </c>
      <c r="E178">
        <f>IFERROR(VLOOKUP(vcost[[#This Row],[setting]],$A$6:$E$141,3,FALSE)+VLOOKUP(vcost[[#This Row],[setting]],$O$6:$AA$141,5,FALSE),0)</f>
        <v>8.6196809749931429</v>
      </c>
      <c r="F178" s="33">
        <f>IFERROR(VLOOKUP(vcost[[#This Row],[setting]],$A$6:$E$141,3,FALSE)+VLOOKUP(vcost[[#This Row],[setting]],$O$6:$AA$141,5,FALSE)+VLOOKUP(vcost[[#This Row],[gbd_super]],$AH$6:$AK$11,2,FALSE),0)</f>
        <v>13.449680974993143</v>
      </c>
      <c r="G178" s="33">
        <f>IFERROR(VLOOKUP(vcost[[#This Row],[setting]],$A$6:$E$141,3,FALSE)+VLOOKUP(vcost[[#This Row],[setting]],$O$6:$AA$141,8,FALSE)+VLOOKUP(vcost[[#This Row],[gbd_super]],$AH$6:$AK$11,2,FALSE),0)</f>
        <v>13.440643978380423</v>
      </c>
      <c r="H178">
        <f>IFERROR(VLOOKUP(vcost[[#This Row],[setting]],$A$6:$E$141,3,FALSE)+$J$8+VLOOKUP(vcost[[#This Row],[setting]],$O$6:$AA$141,11,FALSE),0)</f>
        <v>9.3060068034548067</v>
      </c>
      <c r="I178" s="33">
        <f>IFERROR(VLOOKUP(vcost[[#This Row],[setting]],$A$6:$E$141,3,FALSE)+$J$8+VLOOKUP(vcost[[#This Row],[setting]],$O$6:$AA$141,11,FALSE)+VLOOKUP(vcost[[#This Row],[gbd_super]],$AH$6:$AK$11,2,FALSE),0)</f>
        <v>14.136006803454807</v>
      </c>
      <c r="O178" s="103" t="s">
        <v>140</v>
      </c>
      <c r="P178" s="135" t="s">
        <v>667</v>
      </c>
      <c r="Q178" s="33">
        <f>IFERROR(VLOOKUP(vcost_lb[[#This Row],[setting]],$A$6:$E$141,4,FALSE)+$K$6+VLOOKUP(vcost_lb[[#This Row],[setting]],$O$6:$AA$141,3,FALSE),0)</f>
        <v>4.1017743993694777</v>
      </c>
      <c r="R178" s="33">
        <f>IFERROR(VLOOKUP(vcost_lb[[#This Row],[setting]],$A$6:$E$141,4,FALSE)+$K$6+VLOOKUP(vcost_lb[[#This Row],[setting]],$O$6:$AA$141,3,FALSE)+VLOOKUP(vcost_lb[[#This Row],[gbd_super]],$AH$6:$AK$11,3,FALSE),0)</f>
        <v>8.6890393993694772</v>
      </c>
      <c r="S178" s="33">
        <f>IFERROR(VLOOKUP(vcost_lb[[#This Row],[setting]],$A$6:$E$141,4,FALSE)+VLOOKUP(vcost_lb[[#This Row],[setting]],$O$6:$AA$141,6,FALSE),0)</f>
        <v>3.730919062495488</v>
      </c>
      <c r="T178" s="33">
        <f>IFERROR(VLOOKUP(vcost_lb[[#This Row],[setting]],$A$6:$E$141,4,FALSE)+VLOOKUP(vcost_lb[[#This Row],[setting]],$O$6:$AA$141,6,FALSE)+VLOOKUP(vcost_lb[[#This Row],[gbd_super]],$AH$6:$AK$11,3,FALSE),0)</f>
        <v>8.3181840624954884</v>
      </c>
      <c r="U178" s="33">
        <f>IFERROR(VLOOKUP(vcost_lb[[#This Row],[setting]],$A$6:$E$141,4,FALSE)+VLOOKUP(vcost_lb[[#This Row],[setting]],$O$6:$AA$141,9,FALSE)+VLOOKUP(vcost_lb[[#This Row],[gbd_super]],$AH$6:$AK$11,3,FALSE),0)</f>
        <v>8.3122386699871207</v>
      </c>
      <c r="V178" s="33">
        <f>IFERROR(VLOOKUP(vcost_lb[[#This Row],[setting]],$A$6:$E$141,4,FALSE)+$K$8+VLOOKUP(vcost_lb[[#This Row],[setting]],$O$6:$AA$141,12,FALSE),0)</f>
        <v>4.3153539325511137</v>
      </c>
      <c r="W178" s="33">
        <f>IFERROR(VLOOKUP(vcost_lb[[#This Row],[setting]],$A$6:$E$141,4,FALSE)+$K$8+VLOOKUP(vcost_lb[[#This Row],[setting]],$O$6:$AA$141,12,FALSE)+VLOOKUP(vcost_lb[[#This Row],[gbd_super]],$AH$6:$AK$11,3,FALSE),0)</f>
        <v>8.902618932551114</v>
      </c>
      <c r="AH178" s="103" t="s">
        <v>140</v>
      </c>
      <c r="AI178" s="135" t="s">
        <v>667</v>
      </c>
      <c r="AJ178" s="33">
        <f>IFERROR(VLOOKUP(vcost_ub[[#This Row],[setting]],$A$6:$E$141,5,FALSE)+$L$6+VLOOKUP(vcost_ub[[#This Row],[setting]],$O$6:$AA$141,4,FALSE),0)</f>
        <v>17.90985357500379</v>
      </c>
      <c r="AK178" s="33">
        <f>IFERROR(VLOOKUP(vcost_ub[[#This Row],[setting]],$A$6:$E$141,5,FALSE)+$L$6+VLOOKUP(vcost_ub[[#This Row],[setting]],$O$6:$AA$141,4,FALSE)+VLOOKUP(vcost_ub[[#This Row],[gbd_super]],$AH$6:$AK$11,4,FALSE),0)</f>
        <v>22.979988575003791</v>
      </c>
      <c r="AL178" s="33">
        <f>IFERROR(VLOOKUP(vcost_ub[[#This Row],[setting]],$A$6:$E$141,5,FALSE)+VLOOKUP(vcost_ub[[#This Row],[setting]],$O$6:$AA$141,7,FALSE),0)</f>
        <v>17.385376249981949</v>
      </c>
      <c r="AM178" s="33">
        <f>IFERROR(VLOOKUP(vcost_ub[[#This Row],[setting]],$A$6:$E$141,5,FALSE)+VLOOKUP(vcost_ub[[#This Row],[setting]],$O$6:$AA$141,7,FALSE)+VLOOKUP(vcost_ub[[#This Row],[gbd_super]],$AH$6:$AK$11,4,FALSE),0)</f>
        <v>22.455511249981949</v>
      </c>
      <c r="AN178" s="33">
        <f>IFERROR(VLOOKUP(vcost_ub[[#This Row],[setting]],$A$6:$E$141,5,FALSE)+VLOOKUP(vcost_ub[[#This Row],[setting]],$O$6:$AA$141,10,FALSE)+VLOOKUP(vcost_ub[[#This Row],[gbd_super]],$AH$6:$AK$11,4,FALSE),0)</f>
        <v>22.431729679948482</v>
      </c>
      <c r="AO178" s="33">
        <f>IFERROR(VLOOKUP(vcost_ub[[#This Row],[setting]],$A$6:$E$141,5,FALSE)+$L$8+VLOOKUP(vcost_ub[[#This Row],[setting]],$O$6:$AA$141,13,FALSE),0)</f>
        <v>18.184981154934661</v>
      </c>
      <c r="AP178" s="33">
        <f>IFERROR(VLOOKUP(vcost_ub[[#This Row],[setting]],$A$6:$E$141,5,FALSE)+$L$8+VLOOKUP(vcost_ub[[#This Row],[setting]],$O$6:$AA$141,13,FALSE)+VLOOKUP(vcost_ub[[#This Row],[gbd_super]],$AH$6:$AK$11,4,FALSE),0)</f>
        <v>23.255116154934662</v>
      </c>
    </row>
    <row r="179" spans="1:42" x14ac:dyDescent="0.25">
      <c r="A179" s="100" t="s">
        <v>212</v>
      </c>
      <c r="B179" s="134" t="s">
        <v>666</v>
      </c>
      <c r="C179">
        <f>IFERROR(VLOOKUP(vcost[[#This Row],[setting]],$A$6:$E$141,3,FALSE)+$J$6+VLOOKUP(vcost[[#This Row],[setting]],$O$6:$AA$141,2,FALSE),0)</f>
        <v>3.0933886375730855</v>
      </c>
      <c r="D179">
        <f>IFERROR(VLOOKUP(vcost[[#This Row],[setting]],$A$6:$E$141,3,FALSE)+$J$6+VLOOKUP(vcost[[#This Row],[setting]],$O$6:$AA$141,2,FALSE)+VLOOKUP(vcost[[#This Row],[gbd_super]],$AH$6:$AK$11,2,FALSE),0)</f>
        <v>3.7233886375730854</v>
      </c>
      <c r="E179">
        <f>IFERROR(VLOOKUP(vcost[[#This Row],[setting]],$A$6:$E$141,3,FALSE)+VLOOKUP(vcost[[#This Row],[setting]],$O$6:$AA$141,5,FALSE),0)</f>
        <v>2.6658747137485905</v>
      </c>
      <c r="F179" s="33">
        <f>IFERROR(VLOOKUP(vcost[[#This Row],[setting]],$A$6:$E$141,3,FALSE)+VLOOKUP(vcost[[#This Row],[setting]],$O$6:$AA$141,5,FALSE)+VLOOKUP(vcost[[#This Row],[gbd_super]],$AH$6:$AK$11,2,FALSE),0)</f>
        <v>3.2958747137485904</v>
      </c>
      <c r="G179" s="33">
        <f>IFERROR(VLOOKUP(vcost[[#This Row],[setting]],$A$6:$E$141,3,FALSE)+VLOOKUP(vcost[[#This Row],[setting]],$O$6:$AA$141,8,FALSE)+VLOOKUP(vcost[[#This Row],[gbd_super]],$AH$6:$AK$11,2,FALSE),0)</f>
        <v>3.2920250824276356</v>
      </c>
      <c r="H179">
        <f>IFERROR(VLOOKUP(vcost[[#This Row],[setting]],$A$6:$E$141,3,FALSE)+$J$8+VLOOKUP(vcost[[#This Row],[setting]],$O$6:$AA$141,11,FALSE),0)</f>
        <v>3.3357185347679854</v>
      </c>
      <c r="I179" s="33">
        <f>IFERROR(VLOOKUP(vcost[[#This Row],[setting]],$A$6:$E$141,3,FALSE)+$J$8+VLOOKUP(vcost[[#This Row],[setting]],$O$6:$AA$141,11,FALSE)+VLOOKUP(vcost[[#This Row],[gbd_super]],$AH$6:$AK$11,2,FALSE),0)</f>
        <v>3.9657185347679853</v>
      </c>
      <c r="O179" s="100" t="s">
        <v>212</v>
      </c>
      <c r="P179" s="134" t="s">
        <v>666</v>
      </c>
      <c r="Q179" s="33">
        <f>IFERROR(VLOOKUP(vcost_lb[[#This Row],[setting]],$A$6:$E$141,4,FALSE)+$K$6+VLOOKUP(vcost_lb[[#This Row],[setting]],$O$6:$AA$141,3,FALSE),0)</f>
        <v>1.463300291398598</v>
      </c>
      <c r="R179" s="33">
        <f>IFERROR(VLOOKUP(vcost_lb[[#This Row],[setting]],$A$6:$E$141,4,FALSE)+$K$6+VLOOKUP(vcost_lb[[#This Row],[setting]],$O$6:$AA$141,3,FALSE)+VLOOKUP(vcost_lb[[#This Row],[gbd_super]],$AH$6:$AK$11,3,FALSE),0)</f>
        <v>2.0638902913985979</v>
      </c>
      <c r="S179" s="33">
        <f>IFERROR(VLOOKUP(vcost_lb[[#This Row],[setting]],$A$6:$E$141,4,FALSE)+VLOOKUP(vcost_lb[[#This Row],[setting]],$O$6:$AA$141,6,FALSE),0)</f>
        <v>1.0973754695714413</v>
      </c>
      <c r="T179" s="33">
        <f>IFERROR(VLOOKUP(vcost_lb[[#This Row],[setting]],$A$6:$E$141,4,FALSE)+VLOOKUP(vcost_lb[[#This Row],[setting]],$O$6:$AA$141,6,FALSE)+VLOOKUP(vcost_lb[[#This Row],[gbd_super]],$AH$6:$AK$11,3,FALSE),0)</f>
        <v>1.6979654695714412</v>
      </c>
      <c r="U179" s="33">
        <f>IFERROR(VLOOKUP(vcost_lb[[#This Row],[setting]],$A$6:$E$141,4,FALSE)+VLOOKUP(vcost_lb[[#This Row],[setting]],$O$6:$AA$141,9,FALSE)+VLOOKUP(vcost_lb[[#This Row],[gbd_super]],$AH$6:$AK$11,3,FALSE),0)</f>
        <v>1.6954328173866027</v>
      </c>
      <c r="V179" s="33">
        <f>IFERROR(VLOOKUP(vcost_lb[[#This Row],[setting]],$A$6:$E$141,4,FALSE)+$K$8+VLOOKUP(vcost_lb[[#This Row],[setting]],$O$6:$AA$141,12,FALSE),0)</f>
        <v>1.6747667467030198</v>
      </c>
      <c r="W179" s="33">
        <f>IFERROR(VLOOKUP(vcost_lb[[#This Row],[setting]],$A$6:$E$141,4,FALSE)+$K$8+VLOOKUP(vcost_lb[[#This Row],[setting]],$O$6:$AA$141,12,FALSE)+VLOOKUP(vcost_lb[[#This Row],[gbd_super]],$AH$6:$AK$11,3,FALSE),0)</f>
        <v>2.2753567467030198</v>
      </c>
      <c r="AH179" s="100" t="s">
        <v>212</v>
      </c>
      <c r="AI179" s="134" t="s">
        <v>666</v>
      </c>
      <c r="AJ179" s="33">
        <f>IFERROR(VLOOKUP(vcost_ub[[#This Row],[setting]],$A$6:$E$141,5,FALSE)+$L$6+VLOOKUP(vcost_ub[[#This Row],[setting]],$O$6:$AA$141,4,FALSE),0)</f>
        <v>6.0446170903752137</v>
      </c>
      <c r="AK179" s="33">
        <f>IFERROR(VLOOKUP(vcost_ub[[#This Row],[setting]],$A$6:$E$141,5,FALSE)+$L$6+VLOOKUP(vcost_ub[[#This Row],[setting]],$O$6:$AA$141,4,FALSE)+VLOOKUP(vcost_ub[[#This Row],[gbd_super]],$AH$6:$AK$11,4,FALSE),0)</f>
        <v>6.7084270903752135</v>
      </c>
      <c r="AL179" s="33">
        <f>IFERROR(VLOOKUP(vcost_ub[[#This Row],[setting]],$A$6:$E$141,5,FALSE)+VLOOKUP(vcost_ub[[#This Row],[setting]],$O$6:$AA$141,7,FALSE),0)</f>
        <v>5.5431018782857651</v>
      </c>
      <c r="AM179" s="33">
        <f>IFERROR(VLOOKUP(vcost_ub[[#This Row],[setting]],$A$6:$E$141,5,FALSE)+VLOOKUP(vcost_ub[[#This Row],[setting]],$O$6:$AA$141,7,FALSE)+VLOOKUP(vcost_ub[[#This Row],[gbd_super]],$AH$6:$AK$11,4,FALSE),0)</f>
        <v>6.2069118782857648</v>
      </c>
      <c r="AN179" s="33">
        <f>IFERROR(VLOOKUP(vcost_ub[[#This Row],[setting]],$A$6:$E$141,5,FALSE)+VLOOKUP(vcost_ub[[#This Row],[setting]],$O$6:$AA$141,10,FALSE)+VLOOKUP(vcost_ub[[#This Row],[gbd_super]],$AH$6:$AK$11,4,FALSE),0)</f>
        <v>6.1967812695464106</v>
      </c>
      <c r="AO179" s="33">
        <f>IFERROR(VLOOKUP(vcost_ub[[#This Row],[setting]],$A$6:$E$141,5,FALSE)+$L$8+VLOOKUP(vcost_ub[[#This Row],[setting]],$O$6:$AA$141,13,FALSE),0)</f>
        <v>6.3145324115422898</v>
      </c>
      <c r="AP179" s="33">
        <f>IFERROR(VLOOKUP(vcost_ub[[#This Row],[setting]],$A$6:$E$141,5,FALSE)+$L$8+VLOOKUP(vcost_ub[[#This Row],[setting]],$O$6:$AA$141,13,FALSE)+VLOOKUP(vcost_ub[[#This Row],[gbd_super]],$AH$6:$AK$11,4,FALSE),0)</f>
        <v>6.9783424115422896</v>
      </c>
    </row>
    <row r="180" spans="1:42" x14ac:dyDescent="0.25">
      <c r="A180" s="103" t="s">
        <v>123</v>
      </c>
      <c r="B180" s="135" t="s">
        <v>667</v>
      </c>
      <c r="C180">
        <f>IFERROR(VLOOKUP(vcost[[#This Row],[setting]],$A$6:$E$141,3,FALSE)+$J$6+VLOOKUP(vcost[[#This Row],[setting]],$O$6:$AA$141,2,FALSE),0)</f>
        <v>2.0334343810717903</v>
      </c>
      <c r="D180">
        <f>IFERROR(VLOOKUP(vcost[[#This Row],[setting]],$A$6:$E$141,3,FALSE)+$J$6+VLOOKUP(vcost[[#This Row],[setting]],$O$6:$AA$141,2,FALSE)+VLOOKUP(vcost[[#This Row],[gbd_super]],$AH$6:$AK$11,2,FALSE),0)</f>
        <v>6.8634343810717908</v>
      </c>
      <c r="E180">
        <f>IFERROR(VLOOKUP(vcost[[#This Row],[setting]],$A$6:$E$141,3,FALSE)+VLOOKUP(vcost[[#This Row],[setting]],$O$6:$AA$141,5,FALSE),0)</f>
        <v>1.6054183958837855</v>
      </c>
      <c r="F180" s="33">
        <f>IFERROR(VLOOKUP(vcost[[#This Row],[setting]],$A$6:$E$141,3,FALSE)+VLOOKUP(vcost[[#This Row],[setting]],$O$6:$AA$141,5,FALSE)+VLOOKUP(vcost[[#This Row],[gbd_super]],$AH$6:$AK$11,2,FALSE),0)</f>
        <v>6.4354183958837856</v>
      </c>
      <c r="G180" s="33">
        <f>IFERROR(VLOOKUP(vcost[[#This Row],[setting]],$A$6:$E$141,3,FALSE)+VLOOKUP(vcost[[#This Row],[setting]],$O$6:$AA$141,8,FALSE)+VLOOKUP(vcost[[#This Row],[gbd_super]],$AH$6:$AK$11,2,FALSE),0)</f>
        <v>6.4307431931721997</v>
      </c>
      <c r="H180">
        <f>IFERROR(VLOOKUP(vcost[[#This Row],[setting]],$A$6:$E$141,3,FALSE)+$J$8+VLOOKUP(vcost[[#This Row],[setting]],$O$6:$AA$141,11,FALSE),0)</f>
        <v>2.2759452538744669</v>
      </c>
      <c r="I180" s="33">
        <f>IFERROR(VLOOKUP(vcost[[#This Row],[setting]],$A$6:$E$141,3,FALSE)+$J$8+VLOOKUP(vcost[[#This Row],[setting]],$O$6:$AA$141,11,FALSE)+VLOOKUP(vcost[[#This Row],[gbd_super]],$AH$6:$AK$11,2,FALSE),0)</f>
        <v>7.1059452538744665</v>
      </c>
      <c r="O180" s="103" t="s">
        <v>123</v>
      </c>
      <c r="P180" s="135" t="s">
        <v>667</v>
      </c>
      <c r="Q180" s="33">
        <f>IFERROR(VLOOKUP(vcost_lb[[#This Row],[setting]],$A$6:$E$141,4,FALSE)+$K$6+VLOOKUP(vcost_lb[[#This Row],[setting]],$O$6:$AA$141,3,FALSE),0)</f>
        <v>0.91789651483927626</v>
      </c>
      <c r="R180" s="33">
        <f>IFERROR(VLOOKUP(vcost_lb[[#This Row],[setting]],$A$6:$E$141,4,FALSE)+$K$6+VLOOKUP(vcost_lb[[#This Row],[setting]],$O$6:$AA$141,3,FALSE)+VLOOKUP(vcost_lb[[#This Row],[gbd_super]],$AH$6:$AK$11,3,FALSE),0)</f>
        <v>5.5051615148392763</v>
      </c>
      <c r="S180" s="33">
        <f>IFERROR(VLOOKUP(vcost_lb[[#This Row],[setting]],$A$6:$E$141,4,FALSE)+VLOOKUP(vcost_lb[[#This Row],[setting]],$O$6:$AA$141,6,FALSE),0)</f>
        <v>0.55176736571301677</v>
      </c>
      <c r="T180" s="33">
        <f>IFERROR(VLOOKUP(vcost_lb[[#This Row],[setting]],$A$6:$E$141,4,FALSE)+VLOOKUP(vcost_lb[[#This Row],[setting]],$O$6:$AA$141,6,FALSE)+VLOOKUP(vcost_lb[[#This Row],[gbd_super]],$AH$6:$AK$11,3,FALSE),0)</f>
        <v>5.1390323657130175</v>
      </c>
      <c r="U180" s="33">
        <f>IFERROR(VLOOKUP(vcost_lb[[#This Row],[setting]],$A$6:$E$141,4,FALSE)+VLOOKUP(vcost_lb[[#This Row],[setting]],$O$6:$AA$141,9,FALSE)+VLOOKUP(vcost_lb[[#This Row],[gbd_super]],$AH$6:$AK$11,3,FALSE),0)</f>
        <v>5.1359565744553946</v>
      </c>
      <c r="V180" s="33">
        <f>IFERROR(VLOOKUP(vcost_lb[[#This Row],[setting]],$A$6:$E$141,4,FALSE)+$K$8+VLOOKUP(vcost_lb[[#This Row],[setting]],$O$6:$AA$141,12,FALSE),0)</f>
        <v>1.1294505389861709</v>
      </c>
      <c r="W180" s="33">
        <f>IFERROR(VLOOKUP(vcost_lb[[#This Row],[setting]],$A$6:$E$141,4,FALSE)+$K$8+VLOOKUP(vcost_lb[[#This Row],[setting]],$O$6:$AA$141,12,FALSE)+VLOOKUP(vcost_lb[[#This Row],[gbd_super]],$AH$6:$AK$11,3,FALSE),0)</f>
        <v>5.716715538986171</v>
      </c>
      <c r="AH180" s="103" t="s">
        <v>123</v>
      </c>
      <c r="AI180" s="135" t="s">
        <v>667</v>
      </c>
      <c r="AJ180" s="33">
        <f>IFERROR(VLOOKUP(vcost_ub[[#This Row],[setting]],$A$6:$E$141,5,FALSE)+$L$6+VLOOKUP(vcost_ub[[#This Row],[setting]],$O$6:$AA$141,4,FALSE),0)</f>
        <v>4.2442362563630516</v>
      </c>
      <c r="AK180" s="33">
        <f>IFERROR(VLOOKUP(vcost_ub[[#This Row],[setting]],$A$6:$E$141,5,FALSE)+$L$6+VLOOKUP(vcost_ub[[#This Row],[setting]],$O$6:$AA$141,4,FALSE)+VLOOKUP(vcost_ub[[#This Row],[gbd_super]],$AH$6:$AK$11,4,FALSE),0)</f>
        <v>9.314371256363053</v>
      </c>
      <c r="AL180" s="33">
        <f>IFERROR(VLOOKUP(vcost_ub[[#This Row],[setting]],$A$6:$E$141,5,FALSE)+VLOOKUP(vcost_ub[[#This Row],[setting]],$O$6:$AA$141,7,FALSE),0)</f>
        <v>3.741769462852067</v>
      </c>
      <c r="AM180" s="33">
        <f>IFERROR(VLOOKUP(vcost_ub[[#This Row],[setting]],$A$6:$E$141,5,FALSE)+VLOOKUP(vcost_ub[[#This Row],[setting]],$O$6:$AA$141,7,FALSE)+VLOOKUP(vcost_ub[[#This Row],[gbd_super]],$AH$6:$AK$11,4,FALSE),0)</f>
        <v>8.811904462852068</v>
      </c>
      <c r="AN180" s="33">
        <f>IFERROR(VLOOKUP(vcost_ub[[#This Row],[setting]],$A$6:$E$141,5,FALSE)+VLOOKUP(vcost_ub[[#This Row],[setting]],$O$6:$AA$141,10,FALSE)+VLOOKUP(vcost_ub[[#This Row],[gbd_super]],$AH$6:$AK$11,4,FALSE),0)</f>
        <v>8.7996012978215781</v>
      </c>
      <c r="AO180" s="33">
        <f>IFERROR(VLOOKUP(vcost_ub[[#This Row],[setting]],$A$6:$E$141,5,FALSE)+$L$8+VLOOKUP(vcost_ub[[#This Row],[setting]],$O$6:$AA$141,13,FALSE),0)</f>
        <v>4.514367580674894</v>
      </c>
      <c r="AP180" s="33">
        <f>IFERROR(VLOOKUP(vcost_ub[[#This Row],[setting]],$A$6:$E$141,5,FALSE)+$L$8+VLOOKUP(vcost_ub[[#This Row],[setting]],$O$6:$AA$141,13,FALSE)+VLOOKUP(vcost_ub[[#This Row],[gbd_super]],$AH$6:$AK$11,4,FALSE),0)</f>
        <v>9.5845025806748936</v>
      </c>
    </row>
    <row r="181" spans="1:42" x14ac:dyDescent="0.25">
      <c r="A181" s="100" t="s">
        <v>601</v>
      </c>
      <c r="B181" s="134" t="s">
        <v>667</v>
      </c>
      <c r="C181">
        <f>IFERROR(VLOOKUP(vcost[[#This Row],[setting]],$A$6:$E$141,3,FALSE)+$J$6+VLOOKUP(vcost[[#This Row],[setting]],$O$6:$AA$141,2,FALSE),0)</f>
        <v>1.1365347815248923</v>
      </c>
      <c r="D181">
        <f>IFERROR(VLOOKUP(vcost[[#This Row],[setting]],$A$6:$E$141,3,FALSE)+$J$6+VLOOKUP(vcost[[#This Row],[setting]],$O$6:$AA$141,2,FALSE)+VLOOKUP(vcost[[#This Row],[gbd_super]],$AH$6:$AK$11,2,FALSE),0)</f>
        <v>5.9665347815248921</v>
      </c>
      <c r="E181">
        <f>IFERROR(VLOOKUP(vcost[[#This Row],[setting]],$A$6:$E$141,3,FALSE)+VLOOKUP(vcost[[#This Row],[setting]],$O$6:$AA$141,5,FALSE),0)</f>
        <v>0.71441117634326534</v>
      </c>
      <c r="F181" s="33">
        <f>IFERROR(VLOOKUP(vcost[[#This Row],[setting]],$A$6:$E$141,3,FALSE)+VLOOKUP(vcost[[#This Row],[setting]],$O$6:$AA$141,5,FALSE)+VLOOKUP(vcost[[#This Row],[gbd_super]],$AH$6:$AK$11,2,FALSE),0)</f>
        <v>5.5444111763432655</v>
      </c>
      <c r="G181" s="33">
        <f>IFERROR(VLOOKUP(vcost[[#This Row],[setting]],$A$6:$E$141,3,FALSE)+VLOOKUP(vcost[[#This Row],[setting]],$O$6:$AA$141,8,FALSE)+VLOOKUP(vcost[[#This Row],[gbd_super]],$AH$6:$AK$11,2,FALSE),0)</f>
        <v>5.5427304872269589</v>
      </c>
      <c r="H181">
        <f>IFERROR(VLOOKUP(vcost[[#This Row],[setting]],$A$6:$E$141,3,FALSE)+$J$8+VLOOKUP(vcost[[#This Row],[setting]],$O$6:$AA$141,11,FALSE),0)</f>
        <v>1.3769216568834095</v>
      </c>
      <c r="I181" s="33">
        <f>IFERROR(VLOOKUP(vcost[[#This Row],[setting]],$A$6:$E$141,3,FALSE)+$J$8+VLOOKUP(vcost[[#This Row],[setting]],$O$6:$AA$141,11,FALSE)+VLOOKUP(vcost[[#This Row],[gbd_super]],$AH$6:$AK$11,2,FALSE),0)</f>
        <v>6.2069216568834094</v>
      </c>
      <c r="O181" s="100" t="s">
        <v>601</v>
      </c>
      <c r="P181" s="134" t="s">
        <v>667</v>
      </c>
      <c r="Q181" s="33">
        <f>IFERROR(VLOOKUP(vcost_lb[[#This Row],[setting]],$A$6:$E$141,4,FALSE)+$K$6+VLOOKUP(vcost_lb[[#This Row],[setting]],$O$6:$AA$141,3,FALSE),0)</f>
        <v>0.48977265087948402</v>
      </c>
      <c r="R181" s="33">
        <f>IFERROR(VLOOKUP(vcost_lb[[#This Row],[setting]],$A$6:$E$141,4,FALSE)+$K$6+VLOOKUP(vcost_lb[[#This Row],[setting]],$O$6:$AA$141,3,FALSE)+VLOOKUP(vcost_lb[[#This Row],[gbd_super]],$AH$6:$AK$11,3,FALSE),0)</f>
        <v>5.0770376508794843</v>
      </c>
      <c r="S181" s="33">
        <f>IFERROR(VLOOKUP(vcost_lb[[#This Row],[setting]],$A$6:$E$141,4,FALSE)+VLOOKUP(vcost_lb[[#This Row],[setting]],$O$6:$AA$141,6,FALSE),0)</f>
        <v>0.12604156338372721</v>
      </c>
      <c r="T181" s="33">
        <f>IFERROR(VLOOKUP(vcost_lb[[#This Row],[setting]],$A$6:$E$141,4,FALSE)+VLOOKUP(vcost_lb[[#This Row],[setting]],$O$6:$AA$141,6,FALSE)+VLOOKUP(vcost_lb[[#This Row],[gbd_super]],$AH$6:$AK$11,3,FALSE),0)</f>
        <v>4.7133065633837274</v>
      </c>
      <c r="U181" s="33">
        <f>IFERROR(VLOOKUP(vcost_lb[[#This Row],[setting]],$A$6:$E$141,4,FALSE)+VLOOKUP(vcost_lb[[#This Row],[setting]],$O$6:$AA$141,9,FALSE)+VLOOKUP(vcost_lb[[#This Row],[gbd_super]],$AH$6:$AK$11,3,FALSE),0)</f>
        <v>4.712200846859842</v>
      </c>
      <c r="V181" s="33">
        <f>IFERROR(VLOOKUP(vcost_lb[[#This Row],[setting]],$A$6:$E$141,4,FALSE)+$K$8+VLOOKUP(vcost_lb[[#This Row],[setting]],$O$6:$AA$141,12,FALSE),0)</f>
        <v>0.70029893432759194</v>
      </c>
      <c r="W181" s="33">
        <f>IFERROR(VLOOKUP(vcost_lb[[#This Row],[setting]],$A$6:$E$141,4,FALSE)+$K$8+VLOOKUP(vcost_lb[[#This Row],[setting]],$O$6:$AA$141,12,FALSE)+VLOOKUP(vcost_lb[[#This Row],[gbd_super]],$AH$6:$AK$11,3,FALSE),0)</f>
        <v>5.2875639343275926</v>
      </c>
      <c r="AH181" s="100" t="s">
        <v>601</v>
      </c>
      <c r="AI181" s="134" t="s">
        <v>667</v>
      </c>
      <c r="AJ181" s="33">
        <f>IFERROR(VLOOKUP(vcost_ub[[#This Row],[setting]],$A$6:$E$141,5,FALSE)+$L$6+VLOOKUP(vcost_ub[[#This Row],[setting]],$O$6:$AA$141,4,FALSE),0)</f>
        <v>2.8597649314524096</v>
      </c>
      <c r="AK181" s="33">
        <f>IFERROR(VLOOKUP(vcost_ub[[#This Row],[setting]],$A$6:$E$141,5,FALSE)+$L$6+VLOOKUP(vcost_ub[[#This Row],[setting]],$O$6:$AA$141,4,FALSE)+VLOOKUP(vcost_ub[[#This Row],[gbd_super]],$AH$6:$AK$11,4,FALSE),0)</f>
        <v>7.9298999314524101</v>
      </c>
      <c r="AL181" s="33">
        <f>IFERROR(VLOOKUP(vcost_ub[[#This Row],[setting]],$A$6:$E$141,5,FALSE)+VLOOKUP(vcost_ub[[#This Row],[setting]],$O$6:$AA$141,7,FALSE),0)</f>
        <v>2.3684662535349092</v>
      </c>
      <c r="AM181" s="33">
        <f>IFERROR(VLOOKUP(vcost_ub[[#This Row],[setting]],$A$6:$E$141,5,FALSE)+VLOOKUP(vcost_ub[[#This Row],[setting]],$O$6:$AA$141,7,FALSE)+VLOOKUP(vcost_ub[[#This Row],[gbd_super]],$AH$6:$AK$11,4,FALSE),0)</f>
        <v>7.4386012535349098</v>
      </c>
      <c r="AN181" s="33">
        <f>IFERROR(VLOOKUP(vcost_ub[[#This Row],[setting]],$A$6:$E$141,5,FALSE)+VLOOKUP(vcost_ub[[#This Row],[setting]],$O$6:$AA$141,10,FALSE)+VLOOKUP(vcost_ub[[#This Row],[gbd_super]],$AH$6:$AK$11,4,FALSE),0)</f>
        <v>7.4341783874393661</v>
      </c>
      <c r="AO181" s="33">
        <f>IFERROR(VLOOKUP(vcost_ub[[#This Row],[setting]],$A$6:$E$141,5,FALSE)+$L$8+VLOOKUP(vcost_ub[[#This Row],[setting]],$O$6:$AA$141,13,FALSE),0)</f>
        <v>3.1273611620405779</v>
      </c>
      <c r="AP181" s="33">
        <f>IFERROR(VLOOKUP(vcost_ub[[#This Row],[setting]],$A$6:$E$141,5,FALSE)+$L$8+VLOOKUP(vcost_ub[[#This Row],[setting]],$O$6:$AA$141,13,FALSE)+VLOOKUP(vcost_ub[[#This Row],[gbd_super]],$AH$6:$AK$11,4,FALSE),0)</f>
        <v>8.1974961620405793</v>
      </c>
    </row>
    <row r="182" spans="1:42" x14ac:dyDescent="0.25">
      <c r="A182" s="103" t="s">
        <v>125</v>
      </c>
      <c r="B182" s="135" t="s">
        <v>667</v>
      </c>
      <c r="C182">
        <f>IFERROR(VLOOKUP(vcost[[#This Row],[setting]],$A$6:$E$141,3,FALSE)+$J$6+VLOOKUP(vcost[[#This Row],[setting]],$O$6:$AA$141,2,FALSE),0)</f>
        <v>0.9549650731844721</v>
      </c>
      <c r="D182">
        <f>IFERROR(VLOOKUP(vcost[[#This Row],[setting]],$A$6:$E$141,3,FALSE)+$J$6+VLOOKUP(vcost[[#This Row],[setting]],$O$6:$AA$141,2,FALSE)+VLOOKUP(vcost[[#This Row],[gbd_super]],$AH$6:$AK$11,2,FALSE),0)</f>
        <v>5.7849650731844724</v>
      </c>
      <c r="E182">
        <f>IFERROR(VLOOKUP(vcost[[#This Row],[setting]],$A$6:$E$141,3,FALSE)+VLOOKUP(vcost[[#This Row],[setting]],$O$6:$AA$141,5,FALSE),0)</f>
        <v>0.53080810329467321</v>
      </c>
      <c r="F182" s="33">
        <f>IFERROR(VLOOKUP(vcost[[#This Row],[setting]],$A$6:$E$141,3,FALSE)+VLOOKUP(vcost[[#This Row],[setting]],$O$6:$AA$141,5,FALSE)+VLOOKUP(vcost[[#This Row],[gbd_super]],$AH$6:$AK$11,2,FALSE),0)</f>
        <v>5.3608081032946728</v>
      </c>
      <c r="G182" s="33">
        <f>IFERROR(VLOOKUP(vcost[[#This Row],[setting]],$A$6:$E$141,3,FALSE)+VLOOKUP(vcost[[#This Row],[setting]],$O$6:$AA$141,8,FALSE)+VLOOKUP(vcost[[#This Row],[gbd_super]],$AH$6:$AK$11,2,FALSE),0)</f>
        <v>5.3583790545557246</v>
      </c>
      <c r="H182">
        <f>IFERROR(VLOOKUP(vcost[[#This Row],[setting]],$A$6:$E$141,3,FALSE)+$J$8+VLOOKUP(vcost[[#This Row],[setting]],$O$6:$AA$141,11,FALSE),0)</f>
        <v>1.1960849055889582</v>
      </c>
      <c r="I182" s="33">
        <f>IFERROR(VLOOKUP(vcost[[#This Row],[setting]],$A$6:$E$141,3,FALSE)+$J$8+VLOOKUP(vcost[[#This Row],[setting]],$O$6:$AA$141,11,FALSE)+VLOOKUP(vcost[[#This Row],[gbd_super]],$AH$6:$AK$11,2,FALSE),0)</f>
        <v>6.0260849055889585</v>
      </c>
      <c r="O182" s="103" t="s">
        <v>125</v>
      </c>
      <c r="P182" s="135" t="s">
        <v>667</v>
      </c>
      <c r="Q182" s="33">
        <f>IFERROR(VLOOKUP(vcost_lb[[#This Row],[setting]],$A$6:$E$141,4,FALSE)+$K$6+VLOOKUP(vcost_lb[[#This Row],[setting]],$O$6:$AA$141,3,FALSE),0)</f>
        <v>0.45058237181197963</v>
      </c>
      <c r="R182" s="33">
        <f>IFERROR(VLOOKUP(vcost_lb[[#This Row],[setting]],$A$6:$E$141,4,FALSE)+$K$6+VLOOKUP(vcost_lb[[#This Row],[setting]],$O$6:$AA$141,3,FALSE)+VLOOKUP(vcost_lb[[#This Row],[gbd_super]],$AH$6:$AK$11,3,FALSE),0)</f>
        <v>5.0378473718119796</v>
      </c>
      <c r="S182" s="33">
        <f>IFERROR(VLOOKUP(vcost_lb[[#This Row],[setting]],$A$6:$E$141,4,FALSE)+VLOOKUP(vcost_lb[[#This Row],[setting]],$O$6:$AA$141,6,FALSE),0)</f>
        <v>8.6023752167548151E-2</v>
      </c>
      <c r="T182" s="33">
        <f>IFERROR(VLOOKUP(vcost_lb[[#This Row],[setting]],$A$6:$E$141,4,FALSE)+VLOOKUP(vcost_lb[[#This Row],[setting]],$O$6:$AA$141,6,FALSE)+VLOOKUP(vcost_lb[[#This Row],[gbd_super]],$AH$6:$AK$11,3,FALSE),0)</f>
        <v>4.6732887521675481</v>
      </c>
      <c r="U182" s="33">
        <f>IFERROR(VLOOKUP(vcost_lb[[#This Row],[setting]],$A$6:$E$141,4,FALSE)+VLOOKUP(vcost_lb[[#This Row],[setting]],$O$6:$AA$141,9,FALSE)+VLOOKUP(vcost_lb[[#This Row],[gbd_super]],$AH$6:$AK$11,3,FALSE),0)</f>
        <v>4.6716906937866609</v>
      </c>
      <c r="V182" s="33">
        <f>IFERROR(VLOOKUP(vcost_lb[[#This Row],[setting]],$A$6:$E$141,4,FALSE)+$K$8+VLOOKUP(vcost_lb[[#This Row],[setting]],$O$6:$AA$141,12,FALSE),0)</f>
        <v>0.66146331189523377</v>
      </c>
      <c r="W182" s="33">
        <f>IFERROR(VLOOKUP(vcost_lb[[#This Row],[setting]],$A$6:$E$141,4,FALSE)+$K$8+VLOOKUP(vcost_lb[[#This Row],[setting]],$O$6:$AA$141,12,FALSE)+VLOOKUP(vcost_lb[[#This Row],[gbd_super]],$AH$6:$AK$11,3,FALSE),0)</f>
        <v>5.2487283118952339</v>
      </c>
      <c r="AH182" s="103" t="s">
        <v>125</v>
      </c>
      <c r="AI182" s="135" t="s">
        <v>667</v>
      </c>
      <c r="AJ182" s="33">
        <f>IFERROR(VLOOKUP(vcost_ub[[#This Row],[setting]],$A$6:$E$141,5,FALSE)+$L$6+VLOOKUP(vcost_ub[[#This Row],[setting]],$O$6:$AA$141,4,FALSE),0)</f>
        <v>2.3636476220229494</v>
      </c>
      <c r="AK182" s="33">
        <f>IFERROR(VLOOKUP(vcost_ub[[#This Row],[setting]],$A$6:$E$141,5,FALSE)+$L$6+VLOOKUP(vcost_ub[[#This Row],[setting]],$O$6:$AA$141,4,FALSE)+VLOOKUP(vcost_ub[[#This Row],[gbd_super]],$AH$6:$AK$11,4,FALSE),0)</f>
        <v>7.4337826220229495</v>
      </c>
      <c r="AL182" s="33">
        <f>IFERROR(VLOOKUP(vcost_ub[[#This Row],[setting]],$A$6:$E$141,5,FALSE)+VLOOKUP(vcost_ub[[#This Row],[setting]],$O$6:$AA$141,7,FALSE),0)</f>
        <v>1.8684950086701926</v>
      </c>
      <c r="AM182" s="33">
        <f>IFERROR(VLOOKUP(vcost_ub[[#This Row],[setting]],$A$6:$E$141,5,FALSE)+VLOOKUP(vcost_ub[[#This Row],[setting]],$O$6:$AA$141,7,FALSE)+VLOOKUP(vcost_ub[[#This Row],[gbd_super]],$AH$6:$AK$11,4,FALSE),0)</f>
        <v>6.9386300086701933</v>
      </c>
      <c r="AN182" s="33">
        <f>IFERROR(VLOOKUP(vcost_ub[[#This Row],[setting]],$A$6:$E$141,5,FALSE)+VLOOKUP(vcost_ub[[#This Row],[setting]],$O$6:$AA$141,10,FALSE)+VLOOKUP(vcost_ub[[#This Row],[gbd_super]],$AH$6:$AK$11,4,FALSE),0)</f>
        <v>6.9322377751466444</v>
      </c>
      <c r="AO182" s="33">
        <f>IFERROR(VLOOKUP(vcost_ub[[#This Row],[setting]],$A$6:$E$141,5,FALSE)+$L$8+VLOOKUP(vcost_ub[[#This Row],[setting]],$O$6:$AA$141,13,FALSE),0)</f>
        <v>2.6321186723111452</v>
      </c>
      <c r="AP182" s="33">
        <f>IFERROR(VLOOKUP(vcost_ub[[#This Row],[setting]],$A$6:$E$141,5,FALSE)+$L$8+VLOOKUP(vcost_ub[[#This Row],[setting]],$O$6:$AA$141,13,FALSE)+VLOOKUP(vcost_ub[[#This Row],[gbd_super]],$AH$6:$AK$11,4,FALSE),0)</f>
        <v>7.7022536723111461</v>
      </c>
    </row>
    <row r="183" spans="1:42" x14ac:dyDescent="0.25">
      <c r="A183" s="100" t="s">
        <v>202</v>
      </c>
      <c r="B183" s="134" t="s">
        <v>666</v>
      </c>
      <c r="C183">
        <f>IFERROR(VLOOKUP(vcost[[#This Row],[setting]],$A$6:$E$141,3,FALSE)+$J$6+VLOOKUP(vcost[[#This Row],[setting]],$O$6:$AA$141,2,FALSE),0)</f>
        <v>2.6840346264902699</v>
      </c>
      <c r="D183">
        <f>IFERROR(VLOOKUP(vcost[[#This Row],[setting]],$A$6:$E$141,3,FALSE)+$J$6+VLOOKUP(vcost[[#This Row],[setting]],$O$6:$AA$141,2,FALSE)+VLOOKUP(vcost[[#This Row],[gbd_super]],$AH$6:$AK$11,2,FALSE),0)</f>
        <v>3.3140346264902698</v>
      </c>
      <c r="E183">
        <f>IFERROR(VLOOKUP(vcost[[#This Row],[setting]],$A$6:$E$141,3,FALSE)+VLOOKUP(vcost[[#This Row],[setting]],$O$6:$AA$141,5,FALSE),0)</f>
        <v>2.233244436944307</v>
      </c>
      <c r="F183" s="33">
        <f>IFERROR(VLOOKUP(vcost[[#This Row],[setting]],$A$6:$E$141,3,FALSE)+VLOOKUP(vcost[[#This Row],[setting]],$O$6:$AA$141,5,FALSE)+VLOOKUP(vcost[[#This Row],[gbd_super]],$AH$6:$AK$11,2,FALSE),0)</f>
        <v>2.8632444369443069</v>
      </c>
      <c r="G183" s="33">
        <f>IFERROR(VLOOKUP(vcost[[#This Row],[setting]],$A$6:$E$141,3,FALSE)+VLOOKUP(vcost[[#This Row],[setting]],$O$6:$AA$141,8,FALSE)+VLOOKUP(vcost[[#This Row],[gbd_super]],$AH$6:$AK$11,2,FALSE),0)</f>
        <v>2.849845893664225</v>
      </c>
      <c r="H183">
        <f>IFERROR(VLOOKUP(vcost[[#This Row],[setting]],$A$6:$E$141,3,FALSE)+$J$8+VLOOKUP(vcost[[#This Row],[setting]],$O$6:$AA$141,11,FALSE),0)</f>
        <v>2.9347548055150017</v>
      </c>
      <c r="I183" s="33">
        <f>IFERROR(VLOOKUP(vcost[[#This Row],[setting]],$A$6:$E$141,3,FALSE)+$J$8+VLOOKUP(vcost[[#This Row],[setting]],$O$6:$AA$141,11,FALSE)+VLOOKUP(vcost[[#This Row],[gbd_super]],$AH$6:$AK$11,2,FALSE),0)</f>
        <v>3.5647548055150016</v>
      </c>
      <c r="O183" s="100" t="s">
        <v>202</v>
      </c>
      <c r="P183" s="134" t="s">
        <v>666</v>
      </c>
      <c r="Q183" s="33">
        <f>IFERROR(VLOOKUP(vcost_lb[[#This Row],[setting]],$A$6:$E$141,4,FALSE)+$K$6+VLOOKUP(vcost_lb[[#This Row],[setting]],$O$6:$AA$141,3,FALSE),0)</f>
        <v>0.96100590286749099</v>
      </c>
      <c r="R183" s="33">
        <f>IFERROR(VLOOKUP(vcost_lb[[#This Row],[setting]],$A$6:$E$141,4,FALSE)+$K$6+VLOOKUP(vcost_lb[[#This Row],[setting]],$O$6:$AA$141,3,FALSE)+VLOOKUP(vcost_lb[[#This Row],[gbd_super]],$AH$6:$AK$11,3,FALSE),0)</f>
        <v>1.5615959028674911</v>
      </c>
      <c r="S183" s="33">
        <f>IFERROR(VLOOKUP(vcost_lb[[#This Row],[setting]],$A$6:$E$141,4,FALSE)+VLOOKUP(vcost_lb[[#This Row],[setting]],$O$6:$AA$141,6,FALSE),0)</f>
        <v>0.58560818220020194</v>
      </c>
      <c r="T183" s="33">
        <f>IFERROR(VLOOKUP(vcost_lb[[#This Row],[setting]],$A$6:$E$141,4,FALSE)+VLOOKUP(vcost_lb[[#This Row],[setting]],$O$6:$AA$141,6,FALSE)+VLOOKUP(vcost_lb[[#This Row],[gbd_super]],$AH$6:$AK$11,3,FALSE),0)</f>
        <v>1.1861981822002019</v>
      </c>
      <c r="U183" s="33">
        <f>IFERROR(VLOOKUP(vcost_lb[[#This Row],[setting]],$A$6:$E$141,4,FALSE)+VLOOKUP(vcost_lb[[#This Row],[setting]],$O$6:$AA$141,9,FALSE)+VLOOKUP(vcost_lb[[#This Row],[gbd_super]],$AH$6:$AK$11,3,FALSE),0)</f>
        <v>1.177383351094885</v>
      </c>
      <c r="V183" s="33">
        <f>IFERROR(VLOOKUP(vcost_lb[[#This Row],[setting]],$A$6:$E$141,4,FALSE)+$K$8+VLOOKUP(vcost_lb[[#This Row],[setting]],$O$6:$AA$141,12,FALSE),0)</f>
        <v>1.1765321719605413</v>
      </c>
      <c r="W183" s="33">
        <f>IFERROR(VLOOKUP(vcost_lb[[#This Row],[setting]],$A$6:$E$141,4,FALSE)+$K$8+VLOOKUP(vcost_lb[[#This Row],[setting]],$O$6:$AA$141,12,FALSE)+VLOOKUP(vcost_lb[[#This Row],[gbd_super]],$AH$6:$AK$11,3,FALSE),0)</f>
        <v>1.7771221719605412</v>
      </c>
      <c r="AH183" s="100" t="s">
        <v>202</v>
      </c>
      <c r="AI183" s="134" t="s">
        <v>666</v>
      </c>
      <c r="AJ183" s="33">
        <f>IFERROR(VLOOKUP(vcost_ub[[#This Row],[setting]],$A$6:$E$141,5,FALSE)+$L$6+VLOOKUP(vcost_ub[[#This Row],[setting]],$O$6:$AA$141,4,FALSE),0)</f>
        <v>6.6475645840600155</v>
      </c>
      <c r="AK183" s="33">
        <f>IFERROR(VLOOKUP(vcost_ub[[#This Row],[setting]],$A$6:$E$141,5,FALSE)+$L$6+VLOOKUP(vcost_ub[[#This Row],[setting]],$O$6:$AA$141,4,FALSE)+VLOOKUP(vcost_ub[[#This Row],[gbd_super]],$AH$6:$AK$11,4,FALSE),0)</f>
        <v>7.3113745840600153</v>
      </c>
      <c r="AL183" s="33">
        <f>IFERROR(VLOOKUP(vcost_ub[[#This Row],[setting]],$A$6:$E$141,5,FALSE)+VLOOKUP(vcost_ub[[#This Row],[setting]],$O$6:$AA$141,7,FALSE),0)</f>
        <v>6.1019327288008069</v>
      </c>
      <c r="AM183" s="33">
        <f>IFERROR(VLOOKUP(vcost_ub[[#This Row],[setting]],$A$6:$E$141,5,FALSE)+VLOOKUP(vcost_ub[[#This Row],[setting]],$O$6:$AA$141,7,FALSE)+VLOOKUP(vcost_ub[[#This Row],[gbd_super]],$AH$6:$AK$11,4,FALSE),0)</f>
        <v>6.7657427288008067</v>
      </c>
      <c r="AN183" s="33">
        <f>IFERROR(VLOOKUP(vcost_ub[[#This Row],[setting]],$A$6:$E$141,5,FALSE)+VLOOKUP(vcost_ub[[#This Row],[setting]],$O$6:$AA$141,10,FALSE)+VLOOKUP(vcost_ub[[#This Row],[gbd_super]],$AH$6:$AK$11,4,FALSE),0)</f>
        <v>6.7304834043795392</v>
      </c>
      <c r="AO183" s="33">
        <f>IFERROR(VLOOKUP(vcost_ub[[#This Row],[setting]],$A$6:$E$141,5,FALSE)+$L$8+VLOOKUP(vcost_ub[[#This Row],[setting]],$O$6:$AA$141,13,FALSE),0)</f>
        <v>6.9274941125723748</v>
      </c>
      <c r="AP183" s="33">
        <f>IFERROR(VLOOKUP(vcost_ub[[#This Row],[setting]],$A$6:$E$141,5,FALSE)+$L$8+VLOOKUP(vcost_ub[[#This Row],[setting]],$O$6:$AA$141,13,FALSE)+VLOOKUP(vcost_ub[[#This Row],[gbd_super]],$AH$6:$AK$11,4,FALSE),0)</f>
        <v>7.5913041125723746</v>
      </c>
    </row>
    <row r="184" spans="1:42" x14ac:dyDescent="0.25">
      <c r="A184" s="103" t="s">
        <v>266</v>
      </c>
      <c r="B184" s="135" t="s">
        <v>665</v>
      </c>
      <c r="C184">
        <f>IFERROR(VLOOKUP(vcost[[#This Row],[setting]],$A$6:$E$141,3,FALSE)+$J$6+VLOOKUP(vcost[[#This Row],[setting]],$O$6:$AA$141,2,FALSE),0)</f>
        <v>3.5688756697313115</v>
      </c>
      <c r="D184">
        <f>IFERROR(VLOOKUP(vcost[[#This Row],[setting]],$A$6:$E$141,3,FALSE)+$J$6+VLOOKUP(vcost[[#This Row],[setting]],$O$6:$AA$141,2,FALSE)+VLOOKUP(vcost[[#This Row],[gbd_super]],$AH$6:$AK$11,2,FALSE),0)</f>
        <v>3.5888756697313116</v>
      </c>
      <c r="E184">
        <f>IFERROR(VLOOKUP(vcost[[#This Row],[setting]],$A$6:$E$141,3,FALSE)+VLOOKUP(vcost[[#This Row],[setting]],$O$6:$AA$141,5,FALSE),0)</f>
        <v>3.1295303584647955</v>
      </c>
      <c r="F184" s="33">
        <f>IFERROR(VLOOKUP(vcost[[#This Row],[setting]],$A$6:$E$141,3,FALSE)+VLOOKUP(vcost[[#This Row],[setting]],$O$6:$AA$141,5,FALSE)+VLOOKUP(vcost[[#This Row],[gbd_super]],$AH$6:$AK$11,2,FALSE),0)</f>
        <v>3.1495303584647956</v>
      </c>
      <c r="G184" s="33">
        <f>IFERROR(VLOOKUP(vcost[[#This Row],[setting]],$A$6:$E$141,3,FALSE)+VLOOKUP(vcost[[#This Row],[setting]],$O$6:$AA$141,8,FALSE)+VLOOKUP(vcost[[#This Row],[gbd_super]],$AH$6:$AK$11,2,FALSE),0)</f>
        <v>3.1404017470542596</v>
      </c>
      <c r="H184">
        <f>IFERROR(VLOOKUP(vcost[[#This Row],[setting]],$A$6:$E$141,3,FALSE)+$J$8+VLOOKUP(vcost[[#This Row],[setting]],$O$6:$AA$141,11,FALSE),0)</f>
        <v>3.8154703693762424</v>
      </c>
      <c r="I184" s="33">
        <f>IFERROR(VLOOKUP(vcost[[#This Row],[setting]],$A$6:$E$141,3,FALSE)+$J$8+VLOOKUP(vcost[[#This Row],[setting]],$O$6:$AA$141,11,FALSE)+VLOOKUP(vcost[[#This Row],[gbd_super]],$AH$6:$AK$11,2,FALSE),0)</f>
        <v>3.8354703693762424</v>
      </c>
      <c r="O184" s="103" t="s">
        <v>266</v>
      </c>
      <c r="P184" s="135" t="s">
        <v>665</v>
      </c>
      <c r="Q184" s="33">
        <f>IFERROR(VLOOKUP(vcost_lb[[#This Row],[setting]],$A$6:$E$141,4,FALSE)+$K$6+VLOOKUP(vcost_lb[[#This Row],[setting]],$O$6:$AA$141,3,FALSE),0)</f>
        <v>1.5264941045680376</v>
      </c>
      <c r="R184" s="33">
        <f>IFERROR(VLOOKUP(vcost_lb[[#This Row],[setting]],$A$6:$E$141,4,FALSE)+$K$6+VLOOKUP(vcost_lb[[#This Row],[setting]],$O$6:$AA$141,3,FALSE)+VLOOKUP(vcost_lb[[#This Row],[gbd_super]],$AH$6:$AK$11,3,FALSE),0)</f>
        <v>1.5472041045680376</v>
      </c>
      <c r="S184" s="33">
        <f>IFERROR(VLOOKUP(vcost_lb[[#This Row],[setting]],$A$6:$E$141,4,FALSE)+VLOOKUP(vcost_lb[[#This Row],[setting]],$O$6:$AA$141,6,FALSE),0)</f>
        <v>1.1557541832005234</v>
      </c>
      <c r="T184" s="33">
        <f>IFERROR(VLOOKUP(vcost_lb[[#This Row],[setting]],$A$6:$E$141,4,FALSE)+VLOOKUP(vcost_lb[[#This Row],[setting]],$O$6:$AA$141,6,FALSE)+VLOOKUP(vcost_lb[[#This Row],[gbd_super]],$AH$6:$AK$11,3,FALSE),0)</f>
        <v>1.1764641832005234</v>
      </c>
      <c r="U184" s="33">
        <f>IFERROR(VLOOKUP(vcost_lb[[#This Row],[setting]],$A$6:$E$141,4,FALSE)+VLOOKUP(vcost_lb[[#This Row],[setting]],$O$6:$AA$141,9,FALSE)+VLOOKUP(vcost_lb[[#This Row],[gbd_super]],$AH$6:$AK$11,3,FALSE),0)</f>
        <v>1.1704585177988551</v>
      </c>
      <c r="V184" s="33">
        <f>IFERROR(VLOOKUP(vcost_lb[[#This Row],[setting]],$A$6:$E$141,4,FALSE)+$K$8+VLOOKUP(vcost_lb[[#This Row],[setting]],$O$6:$AA$141,12,FALSE),0)</f>
        <v>1.7400241739611844</v>
      </c>
      <c r="W184" s="33">
        <f>IFERROR(VLOOKUP(vcost_lb[[#This Row],[setting]],$A$6:$E$141,4,FALSE)+$K$8+VLOOKUP(vcost_lb[[#This Row],[setting]],$O$6:$AA$141,12,FALSE)+VLOOKUP(vcost_lb[[#This Row],[gbd_super]],$AH$6:$AK$11,3,FALSE),0)</f>
        <v>1.7607341739611844</v>
      </c>
      <c r="AH184" s="103" t="s">
        <v>266</v>
      </c>
      <c r="AI184" s="135" t="s">
        <v>665</v>
      </c>
      <c r="AJ184" s="33">
        <f>IFERROR(VLOOKUP(vcost_ub[[#This Row],[setting]],$A$6:$E$141,5,FALSE)+$L$6+VLOOKUP(vcost_ub[[#This Row],[setting]],$O$6:$AA$141,4,FALSE),0)</f>
        <v>7.433556551322348</v>
      </c>
      <c r="AK184" s="33">
        <f>IFERROR(VLOOKUP(vcost_ub[[#This Row],[setting]],$A$6:$E$141,5,FALSE)+$L$6+VLOOKUP(vcost_ub[[#This Row],[setting]],$O$6:$AA$141,4,FALSE)+VLOOKUP(vcost_ub[[#This Row],[gbd_super]],$AH$6:$AK$11,4,FALSE),0)</f>
        <v>7.4564465513223483</v>
      </c>
      <c r="AL184" s="33">
        <f>IFERROR(VLOOKUP(vcost_ub[[#This Row],[setting]],$A$6:$E$141,5,FALSE)+VLOOKUP(vcost_ub[[#This Row],[setting]],$O$6:$AA$141,7,FALSE),0)</f>
        <v>6.9096167328020925</v>
      </c>
      <c r="AM184" s="33">
        <f>IFERROR(VLOOKUP(vcost_ub[[#This Row],[setting]],$A$6:$E$141,5,FALSE)+VLOOKUP(vcost_ub[[#This Row],[setting]],$O$6:$AA$141,7,FALSE)+VLOOKUP(vcost_ub[[#This Row],[gbd_super]],$AH$6:$AK$11,4,FALSE),0)</f>
        <v>6.9325067328020928</v>
      </c>
      <c r="AN184" s="33">
        <f>IFERROR(VLOOKUP(vcost_ub[[#This Row],[setting]],$A$6:$E$141,5,FALSE)+VLOOKUP(vcost_ub[[#This Row],[setting]],$O$6:$AA$141,10,FALSE)+VLOOKUP(vcost_ub[[#This Row],[gbd_super]],$AH$6:$AK$11,4,FALSE),0)</f>
        <v>6.9084840711954199</v>
      </c>
      <c r="AO184" s="33">
        <f>IFERROR(VLOOKUP(vcost_ub[[#This Row],[setting]],$A$6:$E$141,5,FALSE)+$L$8+VLOOKUP(vcost_ub[[#This Row],[setting]],$O$6:$AA$141,13,FALSE),0)</f>
        <v>7.7085621205749462</v>
      </c>
      <c r="AP184" s="33">
        <f>IFERROR(VLOOKUP(vcost_ub[[#This Row],[setting]],$A$6:$E$141,5,FALSE)+$L$8+VLOOKUP(vcost_ub[[#This Row],[setting]],$O$6:$AA$141,13,FALSE)+VLOOKUP(vcost_ub[[#This Row],[gbd_super]],$AH$6:$AK$11,4,FALSE),0)</f>
        <v>7.7314521205749465</v>
      </c>
    </row>
    <row r="185" spans="1:42" x14ac:dyDescent="0.25">
      <c r="A185" s="100" t="s">
        <v>606</v>
      </c>
      <c r="B185" s="134" t="s">
        <v>667</v>
      </c>
      <c r="C185">
        <f>IFERROR(VLOOKUP(vcost[[#This Row],[setting]],$A$6:$E$141,3,FALSE)+$J$6+VLOOKUP(vcost[[#This Row],[setting]],$O$6:$AA$141,2,FALSE),0)</f>
        <v>5.3257413390391548</v>
      </c>
      <c r="D185">
        <f>IFERROR(VLOOKUP(vcost[[#This Row],[setting]],$A$6:$E$141,3,FALSE)+$J$6+VLOOKUP(vcost[[#This Row],[setting]],$O$6:$AA$141,2,FALSE)+VLOOKUP(vcost[[#This Row],[gbd_super]],$AH$6:$AK$11,2,FALSE),0)</f>
        <v>10.155741339039155</v>
      </c>
      <c r="E185">
        <f>IFERROR(VLOOKUP(vcost[[#This Row],[setting]],$A$6:$E$141,3,FALSE)+VLOOKUP(vcost[[#This Row],[setting]],$O$6:$AA$141,5,FALSE),0)</f>
        <v>4.8996858576462525</v>
      </c>
      <c r="F185" s="33">
        <f>IFERROR(VLOOKUP(vcost[[#This Row],[setting]],$A$6:$E$141,3,FALSE)+VLOOKUP(vcost[[#This Row],[setting]],$O$6:$AA$141,5,FALSE)+VLOOKUP(vcost[[#This Row],[gbd_super]],$AH$6:$AK$11,2,FALSE),0)</f>
        <v>9.7296858576462526</v>
      </c>
      <c r="G185" s="33">
        <f>IFERROR(VLOOKUP(vcost[[#This Row],[setting]],$A$6:$E$141,3,FALSE)+VLOOKUP(vcost[[#This Row],[setting]],$O$6:$AA$141,8,FALSE)+VLOOKUP(vcost[[#This Row],[gbd_super]],$AH$6:$AK$11,2,FALSE),0)</f>
        <v>9.7263567134708993</v>
      </c>
      <c r="H185">
        <f>IFERROR(VLOOKUP(vcost[[#This Row],[setting]],$A$6:$E$141,3,FALSE)+$J$8+VLOOKUP(vcost[[#This Row],[setting]],$O$6:$AA$141,11,FALSE),0)</f>
        <v>5.5675455186133638</v>
      </c>
      <c r="I185" s="33">
        <f>IFERROR(VLOOKUP(vcost[[#This Row],[setting]],$A$6:$E$141,3,FALSE)+$J$8+VLOOKUP(vcost[[#This Row],[setting]],$O$6:$AA$141,11,FALSE)+VLOOKUP(vcost[[#This Row],[gbd_super]],$AH$6:$AK$11,2,FALSE),0)</f>
        <v>10.397545518613363</v>
      </c>
      <c r="O185" s="100" t="s">
        <v>606</v>
      </c>
      <c r="P185" s="134" t="s">
        <v>667</v>
      </c>
      <c r="Q185" s="33">
        <f>IFERROR(VLOOKUP(vcost_lb[[#This Row],[setting]],$A$6:$E$141,4,FALSE)+$K$6+VLOOKUP(vcost_lb[[#This Row],[setting]],$O$6:$AA$141,3,FALSE),0)</f>
        <v>2.4197588075999303</v>
      </c>
      <c r="R185" s="33">
        <f>IFERROR(VLOOKUP(vcost_lb[[#This Row],[setting]],$A$6:$E$141,4,FALSE)+$K$6+VLOOKUP(vcost_lb[[#This Row],[setting]],$O$6:$AA$141,3,FALSE)+VLOOKUP(vcost_lb[[#This Row],[gbd_super]],$AH$6:$AK$11,3,FALSE),0)</f>
        <v>7.0070238075999303</v>
      </c>
      <c r="S185" s="33">
        <f>IFERROR(VLOOKUP(vcost_lb[[#This Row],[setting]],$A$6:$E$141,4,FALSE)+VLOOKUP(vcost_lb[[#This Row],[setting]],$O$6:$AA$141,6,FALSE),0)</f>
        <v>2.0544275379251662</v>
      </c>
      <c r="T185" s="33">
        <f>IFERROR(VLOOKUP(vcost_lb[[#This Row],[setting]],$A$6:$E$141,4,FALSE)+VLOOKUP(vcost_lb[[#This Row],[setting]],$O$6:$AA$141,6,FALSE)+VLOOKUP(vcost_lb[[#This Row],[gbd_super]],$AH$6:$AK$11,3,FALSE),0)</f>
        <v>6.6416925379251666</v>
      </c>
      <c r="U185" s="33">
        <f>IFERROR(VLOOKUP(vcost_lb[[#This Row],[setting]],$A$6:$E$141,4,FALSE)+VLOOKUP(vcost_lb[[#This Row],[setting]],$O$6:$AA$141,9,FALSE)+VLOOKUP(vcost_lb[[#This Row],[gbd_super]],$AH$6:$AK$11,3,FALSE),0)</f>
        <v>6.639502311494013</v>
      </c>
      <c r="V185" s="33">
        <f>IFERROR(VLOOKUP(vcost_lb[[#This Row],[setting]],$A$6:$E$141,4,FALSE)+$K$8+VLOOKUP(vcost_lb[[#This Row],[setting]],$O$6:$AA$141,12,FALSE),0)</f>
        <v>2.6309708834104697</v>
      </c>
      <c r="W185" s="33">
        <f>IFERROR(VLOOKUP(vcost_lb[[#This Row],[setting]],$A$6:$E$141,4,FALSE)+$K$8+VLOOKUP(vcost_lb[[#This Row],[setting]],$O$6:$AA$141,12,FALSE)+VLOOKUP(vcost_lb[[#This Row],[gbd_super]],$AH$6:$AK$11,3,FALSE),0)</f>
        <v>7.2182358834104701</v>
      </c>
      <c r="AH185" s="100" t="s">
        <v>606</v>
      </c>
      <c r="AI185" s="134" t="s">
        <v>667</v>
      </c>
      <c r="AJ185" s="33">
        <f>IFERROR(VLOOKUP(vcost_ub[[#This Row],[setting]],$A$6:$E$141,5,FALSE)+$L$6+VLOOKUP(vcost_ub[[#This Row],[setting]],$O$6:$AA$141,4,FALSE),0)</f>
        <v>10.580761106623257</v>
      </c>
      <c r="AK185" s="33">
        <f>IFERROR(VLOOKUP(vcost_ub[[#This Row],[setting]],$A$6:$E$141,5,FALSE)+$L$6+VLOOKUP(vcost_ub[[#This Row],[setting]],$O$6:$AA$141,4,FALSE)+VLOOKUP(vcost_ub[[#This Row],[gbd_super]],$AH$6:$AK$11,4,FALSE),0)</f>
        <v>15.650896106623257</v>
      </c>
      <c r="AL185" s="33">
        <f>IFERROR(VLOOKUP(vcost_ub[[#This Row],[setting]],$A$6:$E$141,5,FALSE)+VLOOKUP(vcost_ub[[#This Row],[setting]],$O$6:$AA$141,7,FALSE),0)</f>
        <v>10.082010151700665</v>
      </c>
      <c r="AM185" s="33">
        <f>IFERROR(VLOOKUP(vcost_ub[[#This Row],[setting]],$A$6:$E$141,5,FALSE)+VLOOKUP(vcost_ub[[#This Row],[setting]],$O$6:$AA$141,7,FALSE)+VLOOKUP(vcost_ub[[#This Row],[gbd_super]],$AH$6:$AK$11,4,FALSE),0)</f>
        <v>15.152145151700665</v>
      </c>
      <c r="AN185" s="33">
        <f>IFERROR(VLOOKUP(vcost_ub[[#This Row],[setting]],$A$6:$E$141,5,FALSE)+VLOOKUP(vcost_ub[[#This Row],[setting]],$O$6:$AA$141,10,FALSE)+VLOOKUP(vcost_ub[[#This Row],[gbd_super]],$AH$6:$AK$11,4,FALSE),0)</f>
        <v>15.143384245976053</v>
      </c>
      <c r="AO185" s="33">
        <f>IFERROR(VLOOKUP(vcost_ub[[#This Row],[setting]],$A$6:$E$141,5,FALSE)+$L$8+VLOOKUP(vcost_ub[[#This Row],[setting]],$O$6:$AA$141,13,FALSE),0)</f>
        <v>10.85004895837209</v>
      </c>
      <c r="AP185" s="33">
        <f>IFERROR(VLOOKUP(vcost_ub[[#This Row],[setting]],$A$6:$E$141,5,FALSE)+$L$8+VLOOKUP(vcost_ub[[#This Row],[setting]],$O$6:$AA$141,13,FALSE)+VLOOKUP(vcost_ub[[#This Row],[gbd_super]],$AH$6:$AK$11,4,FALSE),0)</f>
        <v>15.920183958372091</v>
      </c>
    </row>
    <row r="186" spans="1:42" x14ac:dyDescent="0.25">
      <c r="A186" s="83" t="s">
        <v>611</v>
      </c>
      <c r="B186" s="135" t="s">
        <v>667</v>
      </c>
      <c r="C186">
        <f>IFERROR(VLOOKUP(vcost[[#This Row],[setting]],$A$6:$E$141,3,FALSE)+$J$6+VLOOKUP(vcost[[#This Row],[setting]],$O$6:$AA$141,2,FALSE),0)</f>
        <v>1.4676423442866162</v>
      </c>
      <c r="D186">
        <f>IFERROR(VLOOKUP(vcost[[#This Row],[setting]],$A$6:$E$141,3,FALSE)+$J$6+VLOOKUP(vcost[[#This Row],[setting]],$O$6:$AA$141,2,FALSE)+VLOOKUP(vcost[[#This Row],[gbd_super]],$AH$6:$AK$11,2,FALSE),0)</f>
        <v>6.2976423442866167</v>
      </c>
      <c r="E186">
        <f>IFERROR(VLOOKUP(vcost[[#This Row],[setting]],$A$6:$E$141,3,FALSE)+VLOOKUP(vcost[[#This Row],[setting]],$O$6:$AA$141,5,FALSE),0)</f>
        <v>1.0447184280092592</v>
      </c>
      <c r="F186" s="33">
        <f>IFERROR(VLOOKUP(vcost[[#This Row],[setting]],$A$6:$E$141,3,FALSE)+VLOOKUP(vcost[[#This Row],[setting]],$O$6:$AA$141,5,FALSE)+VLOOKUP(vcost[[#This Row],[gbd_super]],$AH$6:$AK$11,2,FALSE),0)</f>
        <v>5.8747184280092597</v>
      </c>
      <c r="G186" s="33">
        <f>IFERROR(VLOOKUP(vcost[[#This Row],[setting]],$A$6:$E$141,3,FALSE)+VLOOKUP(vcost[[#This Row],[setting]],$O$6:$AA$141,8,FALSE)+VLOOKUP(vcost[[#This Row],[gbd_super]],$AH$6:$AK$11,2,FALSE),0)</f>
        <v>5.8728199512345682</v>
      </c>
      <c r="H186">
        <f>IFERROR(VLOOKUP(vcost[[#This Row],[setting]],$A$6:$E$141,3,FALSE)+$J$8+VLOOKUP(vcost[[#This Row],[setting]],$O$6:$AA$141,11,FALSE),0)</f>
        <v>1.7083177038773147</v>
      </c>
      <c r="I186" s="33">
        <f>IFERROR(VLOOKUP(vcost[[#This Row],[setting]],$A$6:$E$141,3,FALSE)+$J$8+VLOOKUP(vcost[[#This Row],[setting]],$O$6:$AA$141,11,FALSE)+VLOOKUP(vcost[[#This Row],[gbd_super]],$AH$6:$AK$11,2,FALSE),0)</f>
        <v>6.5383177038773148</v>
      </c>
      <c r="O186" s="83" t="s">
        <v>611</v>
      </c>
      <c r="P186" s="135" t="s">
        <v>667</v>
      </c>
      <c r="Q186" s="33">
        <f>IFERROR(VLOOKUP(vcost_lb[[#This Row],[setting]],$A$6:$E$141,4,FALSE)+$K$6+VLOOKUP(vcost_lb[[#This Row],[setting]],$O$6:$AA$141,3,FALSE),0)</f>
        <v>0.69656365603224035</v>
      </c>
      <c r="R186" s="33">
        <f>IFERROR(VLOOKUP(vcost_lb[[#This Row],[setting]],$A$6:$E$141,4,FALSE)+$K$6+VLOOKUP(vcost_lb[[#This Row],[setting]],$O$6:$AA$141,3,FALSE)+VLOOKUP(vcost_lb[[#This Row],[gbd_super]],$AH$6:$AK$11,3,FALSE),0)</f>
        <v>5.2838286560322407</v>
      </c>
      <c r="S186" s="33">
        <f>IFERROR(VLOOKUP(vcost_lb[[#This Row],[setting]],$A$6:$E$141,4,FALSE)+VLOOKUP(vcost_lb[[#This Row],[setting]],$O$6:$AA$141,6,FALSE),0)</f>
        <v>0.33250686053240741</v>
      </c>
      <c r="T186" s="33">
        <f>IFERROR(VLOOKUP(vcost_lb[[#This Row],[setting]],$A$6:$E$141,4,FALSE)+VLOOKUP(vcost_lb[[#This Row],[setting]],$O$6:$AA$141,6,FALSE)+VLOOKUP(vcost_lb[[#This Row],[gbd_super]],$AH$6:$AK$11,3,FALSE),0)</f>
        <v>4.9197718605324079</v>
      </c>
      <c r="U186" s="33">
        <f>IFERROR(VLOOKUP(vcost_lb[[#This Row],[setting]],$A$6:$E$141,4,FALSE)+VLOOKUP(vcost_lb[[#This Row],[setting]],$O$6:$AA$141,9,FALSE)+VLOOKUP(vcost_lb[[#This Row],[gbd_super]],$AH$6:$AK$11,3,FALSE),0)</f>
        <v>4.9185228626543216</v>
      </c>
      <c r="V186" s="33">
        <f>IFERROR(VLOOKUP(vcost_lb[[#This Row],[setting]],$A$6:$E$141,4,FALSE)+$K$8+VLOOKUP(vcost_lb[[#This Row],[setting]],$O$6:$AA$141,12,FALSE),0)</f>
        <v>0.90722952862495232</v>
      </c>
      <c r="W186" s="33">
        <f>IFERROR(VLOOKUP(vcost_lb[[#This Row],[setting]],$A$6:$E$141,4,FALSE)+$K$8+VLOOKUP(vcost_lb[[#This Row],[setting]],$O$6:$AA$141,12,FALSE)+VLOOKUP(vcost_lb[[#This Row],[gbd_super]],$AH$6:$AK$11,3,FALSE),0)</f>
        <v>5.4944945286249531</v>
      </c>
      <c r="AH186" s="83" t="s">
        <v>611</v>
      </c>
      <c r="AI186" s="135" t="s">
        <v>667</v>
      </c>
      <c r="AJ186" s="33">
        <f>IFERROR(VLOOKUP(vcost_ub[[#This Row],[setting]],$A$6:$E$141,5,FALSE)+$L$6+VLOOKUP(vcost_ub[[#This Row],[setting]],$O$6:$AA$141,4,FALSE),0)</f>
        <v>3.0485429887518278</v>
      </c>
      <c r="AK186" s="33">
        <f>IFERROR(VLOOKUP(vcost_ub[[#This Row],[setting]],$A$6:$E$141,5,FALSE)+$L$6+VLOOKUP(vcost_ub[[#This Row],[setting]],$O$6:$AA$141,4,FALSE)+VLOOKUP(vcost_ub[[#This Row],[gbd_super]],$AH$6:$AK$11,4,FALSE),0)</f>
        <v>8.1186779887518288</v>
      </c>
      <c r="AL186" s="33">
        <f>IFERROR(VLOOKUP(vcost_ub[[#This Row],[setting]],$A$6:$E$141,5,FALSE)+VLOOKUP(vcost_ub[[#This Row],[setting]],$O$6:$AA$141,7,FALSE),0)</f>
        <v>2.5557274421296299</v>
      </c>
      <c r="AM186" s="33">
        <f>IFERROR(VLOOKUP(vcost_ub[[#This Row],[setting]],$A$6:$E$141,5,FALSE)+VLOOKUP(vcost_ub[[#This Row],[setting]],$O$6:$AA$141,7,FALSE)+VLOOKUP(vcost_ub[[#This Row],[gbd_super]],$AH$6:$AK$11,4,FALSE),0)</f>
        <v>7.6258624421296304</v>
      </c>
      <c r="AN186" s="33">
        <f>IFERROR(VLOOKUP(vcost_ub[[#This Row],[setting]],$A$6:$E$141,5,FALSE)+VLOOKUP(vcost_ub[[#This Row],[setting]],$O$6:$AA$141,10,FALSE)+VLOOKUP(vcost_ub[[#This Row],[gbd_super]],$AH$6:$AK$11,4,FALSE),0)</f>
        <v>7.6208664506172852</v>
      </c>
      <c r="AO186" s="33">
        <f>IFERROR(VLOOKUP(vcost_ub[[#This Row],[setting]],$A$6:$E$141,5,FALSE)+$L$8+VLOOKUP(vcost_ub[[#This Row],[setting]],$O$6:$AA$141,13,FALSE),0)</f>
        <v>3.3164835392300196</v>
      </c>
      <c r="AP186" s="33">
        <f>IFERROR(VLOOKUP(vcost_ub[[#This Row],[setting]],$A$6:$E$141,5,FALSE)+$L$8+VLOOKUP(vcost_ub[[#This Row],[setting]],$O$6:$AA$141,13,FALSE)+VLOOKUP(vcost_ub[[#This Row],[gbd_super]],$AH$6:$AK$11,4,FALSE),0)</f>
        <v>8.386618539230021</v>
      </c>
    </row>
    <row r="187" spans="1:42" x14ac:dyDescent="0.25">
      <c r="A187" s="100" t="s">
        <v>607</v>
      </c>
      <c r="B187" s="134" t="s">
        <v>667</v>
      </c>
      <c r="C187">
        <f>IFERROR(VLOOKUP(vcost[[#This Row],[setting]],$A$6:$E$141,3,FALSE)+$J$6+VLOOKUP(vcost[[#This Row],[setting]],$O$6:$AA$141,2,FALSE),0)</f>
        <v>2.6162325275621559</v>
      </c>
      <c r="D187">
        <f>IFERROR(VLOOKUP(vcost[[#This Row],[setting]],$A$6:$E$141,3,FALSE)+$J$6+VLOOKUP(vcost[[#This Row],[setting]],$O$6:$AA$141,2,FALSE)+VLOOKUP(vcost[[#This Row],[gbd_super]],$AH$6:$AK$11,2,FALSE),0)</f>
        <v>7.4462325275621559</v>
      </c>
      <c r="E187">
        <f>IFERROR(VLOOKUP(vcost[[#This Row],[setting]],$A$6:$E$141,3,FALSE)+VLOOKUP(vcost[[#This Row],[setting]],$O$6:$AA$141,5,FALSE),0)</f>
        <v>2.1850323411508703</v>
      </c>
      <c r="F187" s="33">
        <f>IFERROR(VLOOKUP(vcost[[#This Row],[setting]],$A$6:$E$141,3,FALSE)+VLOOKUP(vcost[[#This Row],[setting]],$O$6:$AA$141,5,FALSE)+VLOOKUP(vcost[[#This Row],[gbd_super]],$AH$6:$AK$11,2,FALSE),0)</f>
        <v>7.0150323411508708</v>
      </c>
      <c r="G187" s="33">
        <f>IFERROR(VLOOKUP(vcost[[#This Row],[setting]],$A$6:$E$141,3,FALSE)+VLOOKUP(vcost[[#This Row],[setting]],$O$6:$AA$141,8,FALSE)+VLOOKUP(vcost[[#This Row],[gbd_super]],$AH$6:$AK$11,2,FALSE),0)</f>
        <v>7.009717690885946</v>
      </c>
      <c r="H187">
        <f>IFERROR(VLOOKUP(vcost[[#This Row],[setting]],$A$6:$E$141,3,FALSE)+$J$8+VLOOKUP(vcost[[#This Row],[setting]],$O$6:$AA$141,11,FALSE),0)</f>
        <v>2.8598911938290383</v>
      </c>
      <c r="I187" s="33">
        <f>IFERROR(VLOOKUP(vcost[[#This Row],[setting]],$A$6:$E$141,3,FALSE)+$J$8+VLOOKUP(vcost[[#This Row],[setting]],$O$6:$AA$141,11,FALSE)+VLOOKUP(vcost[[#This Row],[gbd_super]],$AH$6:$AK$11,2,FALSE),0)</f>
        <v>7.6898911938290384</v>
      </c>
      <c r="O187" s="100" t="s">
        <v>607</v>
      </c>
      <c r="P187" s="134" t="s">
        <v>667</v>
      </c>
      <c r="Q187" s="33">
        <f>IFERROR(VLOOKUP(vcost_lb[[#This Row],[setting]],$A$6:$E$141,4,FALSE)+$K$6+VLOOKUP(vcost_lb[[#This Row],[setting]],$O$6:$AA$141,3,FALSE),0)</f>
        <v>1.1682436904669373</v>
      </c>
      <c r="R187" s="33">
        <f>IFERROR(VLOOKUP(vcost_lb[[#This Row],[setting]],$A$6:$E$141,4,FALSE)+$K$6+VLOOKUP(vcost_lb[[#This Row],[setting]],$O$6:$AA$141,3,FALSE)+VLOOKUP(vcost_lb[[#This Row],[gbd_super]],$AH$6:$AK$11,3,FALSE),0)</f>
        <v>5.7555086904669377</v>
      </c>
      <c r="S187" s="33">
        <f>IFERROR(VLOOKUP(vcost_lb[[#This Row],[setting]],$A$6:$E$141,4,FALSE)+VLOOKUP(vcost_lb[[#This Row],[setting]],$O$6:$AA$141,6,FALSE),0)</f>
        <v>0.80081864549399384</v>
      </c>
      <c r="T187" s="33">
        <f>IFERROR(VLOOKUP(vcost_lb[[#This Row],[setting]],$A$6:$E$141,4,FALSE)+VLOOKUP(vcost_lb[[#This Row],[setting]],$O$6:$AA$141,6,FALSE)+VLOOKUP(vcost_lb[[#This Row],[gbd_super]],$AH$6:$AK$11,3,FALSE),0)</f>
        <v>5.3880836454939942</v>
      </c>
      <c r="U187" s="33">
        <f>IFERROR(VLOOKUP(vcost_lb[[#This Row],[setting]],$A$6:$E$141,4,FALSE)+VLOOKUP(vcost_lb[[#This Row],[setting]],$O$6:$AA$141,9,FALSE)+VLOOKUP(vcost_lb[[#This Row],[gbd_super]],$AH$6:$AK$11,3,FALSE),0)</f>
        <v>5.3845871650565442</v>
      </c>
      <c r="V187" s="33">
        <f>IFERROR(VLOOKUP(vcost_lb[[#This Row],[setting]],$A$6:$E$141,4,FALSE)+$K$8+VLOOKUP(vcost_lb[[#This Row],[setting]],$O$6:$AA$141,12,FALSE),0)</f>
        <v>1.3803530985481252</v>
      </c>
      <c r="W187" s="33">
        <f>IFERROR(VLOOKUP(vcost_lb[[#This Row],[setting]],$A$6:$E$141,4,FALSE)+$K$8+VLOOKUP(vcost_lb[[#This Row],[setting]],$O$6:$AA$141,12,FALSE)+VLOOKUP(vcost_lb[[#This Row],[gbd_super]],$AH$6:$AK$11,3,FALSE),0)</f>
        <v>5.967618098548126</v>
      </c>
      <c r="AH187" s="100" t="s">
        <v>607</v>
      </c>
      <c r="AI187" s="134" t="s">
        <v>667</v>
      </c>
      <c r="AJ187" s="33">
        <f>IFERROR(VLOOKUP(vcost_ub[[#This Row],[setting]],$A$6:$E$141,5,FALSE)+$L$6+VLOOKUP(vcost_ub[[#This Row],[setting]],$O$6:$AA$141,4,FALSE),0)</f>
        <v>5.4112765475729461</v>
      </c>
      <c r="AK187" s="33">
        <f>IFERROR(VLOOKUP(vcost_ub[[#This Row],[setting]],$A$6:$E$141,5,FALSE)+$L$6+VLOOKUP(vcost_ub[[#This Row],[setting]],$O$6:$AA$141,4,FALSE)+VLOOKUP(vcost_ub[[#This Row],[gbd_super]],$AH$6:$AK$11,4,FALSE),0)</f>
        <v>10.481411547572947</v>
      </c>
      <c r="AL187" s="33">
        <f>IFERROR(VLOOKUP(vcost_ub[[#This Row],[setting]],$A$6:$E$141,5,FALSE)+VLOOKUP(vcost_ub[[#This Row],[setting]],$O$6:$AA$141,7,FALSE),0)</f>
        <v>4.9027745819759758</v>
      </c>
      <c r="AM187" s="33">
        <f>IFERROR(VLOOKUP(vcost_ub[[#This Row],[setting]],$A$6:$E$141,5,FALSE)+VLOOKUP(vcost_ub[[#This Row],[setting]],$O$6:$AA$141,7,FALSE)+VLOOKUP(vcost_ub[[#This Row],[gbd_super]],$AH$6:$AK$11,4,FALSE),0)</f>
        <v>9.9729095819759763</v>
      </c>
      <c r="AN187" s="33">
        <f>IFERROR(VLOOKUP(vcost_ub[[#This Row],[setting]],$A$6:$E$141,5,FALSE)+VLOOKUP(vcost_ub[[#This Row],[setting]],$O$6:$AA$141,10,FALSE)+VLOOKUP(vcost_ub[[#This Row],[gbd_super]],$AH$6:$AK$11,4,FALSE),0)</f>
        <v>9.9589236602261764</v>
      </c>
      <c r="AO187" s="33">
        <f>IFERROR(VLOOKUP(vcost_ub[[#This Row],[setting]],$A$6:$E$141,5,FALSE)+$L$8+VLOOKUP(vcost_ub[[#This Row],[setting]],$O$6:$AA$141,13,FALSE),0)</f>
        <v>5.6827778189227116</v>
      </c>
      <c r="AP187" s="33">
        <f>IFERROR(VLOOKUP(vcost_ub[[#This Row],[setting]],$A$6:$E$141,5,FALSE)+$L$8+VLOOKUP(vcost_ub[[#This Row],[setting]],$O$6:$AA$141,13,FALSE)+VLOOKUP(vcost_ub[[#This Row],[gbd_super]],$AH$6:$AK$11,4,FALSE),0)</f>
        <v>10.752912818922713</v>
      </c>
    </row>
    <row r="188" spans="1:42" x14ac:dyDescent="0.25">
      <c r="A188" s="103" t="s">
        <v>254</v>
      </c>
      <c r="B188" s="135" t="s">
        <v>665</v>
      </c>
      <c r="C188">
        <f>IFERROR(VLOOKUP(vcost[[#This Row],[setting]],$A$6:$E$141,3,FALSE)+$J$6+VLOOKUP(vcost[[#This Row],[setting]],$O$6:$AA$141,2,FALSE),0)</f>
        <v>6.909186637004411</v>
      </c>
      <c r="D188">
        <f>IFERROR(VLOOKUP(vcost[[#This Row],[setting]],$A$6:$E$141,3,FALSE)+$J$6+VLOOKUP(vcost[[#This Row],[setting]],$O$6:$AA$141,2,FALSE)+VLOOKUP(vcost[[#This Row],[gbd_super]],$AH$6:$AK$11,2,FALSE),0)</f>
        <v>6.9291866370044106</v>
      </c>
      <c r="E188">
        <f>IFERROR(VLOOKUP(vcost[[#This Row],[setting]],$A$6:$E$141,3,FALSE)+VLOOKUP(vcost[[#This Row],[setting]],$O$6:$AA$141,5,FALSE),0)</f>
        <v>6.4517861208892127</v>
      </c>
      <c r="F188" s="33">
        <f>IFERROR(VLOOKUP(vcost[[#This Row],[setting]],$A$6:$E$141,3,FALSE)+VLOOKUP(vcost[[#This Row],[setting]],$O$6:$AA$141,5,FALSE)+VLOOKUP(vcost[[#This Row],[gbd_super]],$AH$6:$AK$11,2,FALSE),0)</f>
        <v>6.4717861208892122</v>
      </c>
      <c r="G188" s="33">
        <f>IFERROR(VLOOKUP(vcost[[#This Row],[setting]],$A$6:$E$141,3,FALSE)+VLOOKUP(vcost[[#This Row],[setting]],$O$6:$AA$141,8,FALSE)+VLOOKUP(vcost[[#This Row],[gbd_super]],$AH$6:$AK$11,2,FALSE),0)</f>
        <v>6.4555680334716667</v>
      </c>
      <c r="H188">
        <f>IFERROR(VLOOKUP(vcost[[#This Row],[setting]],$A$6:$E$141,3,FALSE)+$J$8+VLOOKUP(vcost[[#This Row],[setting]],$O$6:$AA$141,11,FALSE),0)</f>
        <v>7.1622896081645635</v>
      </c>
      <c r="I188" s="33">
        <f>IFERROR(VLOOKUP(vcost[[#This Row],[setting]],$A$6:$E$141,3,FALSE)+$J$8+VLOOKUP(vcost[[#This Row],[setting]],$O$6:$AA$141,11,FALSE)+VLOOKUP(vcost[[#This Row],[gbd_super]],$AH$6:$AK$11,2,FALSE),0)</f>
        <v>7.1822896081645631</v>
      </c>
      <c r="O188" s="103" t="s">
        <v>254</v>
      </c>
      <c r="P188" s="135" t="s">
        <v>665</v>
      </c>
      <c r="Q188" s="33">
        <f>IFERROR(VLOOKUP(vcost_lb[[#This Row],[setting]],$A$6:$E$141,4,FALSE)+$K$6+VLOOKUP(vcost_lb[[#This Row],[setting]],$O$6:$AA$141,3,FALSE),0)</f>
        <v>2.9554393651742932</v>
      </c>
      <c r="R188" s="33">
        <f>IFERROR(VLOOKUP(vcost_lb[[#This Row],[setting]],$A$6:$E$141,4,FALSE)+$K$6+VLOOKUP(vcost_lb[[#This Row],[setting]],$O$6:$AA$141,3,FALSE)+VLOOKUP(vcost_lb[[#This Row],[gbd_super]],$AH$6:$AK$11,3,FALSE),0)</f>
        <v>2.976149365174293</v>
      </c>
      <c r="S188" s="33">
        <f>IFERROR(VLOOKUP(vcost_lb[[#This Row],[setting]],$A$6:$E$141,4,FALSE)+VLOOKUP(vcost_lb[[#This Row],[setting]],$O$6:$AA$141,6,FALSE),0)</f>
        <v>2.5773513953218501</v>
      </c>
      <c r="T188" s="33">
        <f>IFERROR(VLOOKUP(vcost_lb[[#This Row],[setting]],$A$6:$E$141,4,FALSE)+VLOOKUP(vcost_lb[[#This Row],[setting]],$O$6:$AA$141,6,FALSE)+VLOOKUP(vcost_lb[[#This Row],[gbd_super]],$AH$6:$AK$11,3,FALSE),0)</f>
        <v>2.5980613953218499</v>
      </c>
      <c r="U188" s="33">
        <f>IFERROR(VLOOKUP(vcost_lb[[#This Row],[setting]],$A$6:$E$141,4,FALSE)+VLOOKUP(vcost_lb[[#This Row],[setting]],$O$6:$AA$141,9,FALSE)+VLOOKUP(vcost_lb[[#This Row],[gbd_super]],$AH$6:$AK$11,3,FALSE),0)</f>
        <v>2.5873916009682012</v>
      </c>
      <c r="V188" s="33">
        <f>IFERROR(VLOOKUP(vcost_lb[[#This Row],[setting]],$A$6:$E$141,4,FALSE)+$K$8+VLOOKUP(vcost_lb[[#This Row],[setting]],$O$6:$AA$141,12,FALSE),0)</f>
        <v>3.1721185982038373</v>
      </c>
      <c r="W188" s="33">
        <f>IFERROR(VLOOKUP(vcost_lb[[#This Row],[setting]],$A$6:$E$141,4,FALSE)+$K$8+VLOOKUP(vcost_lb[[#This Row],[setting]],$O$6:$AA$141,12,FALSE)+VLOOKUP(vcost_lb[[#This Row],[gbd_super]],$AH$6:$AK$11,3,FALSE),0)</f>
        <v>3.1928285982038371</v>
      </c>
      <c r="AH188" s="103" t="s">
        <v>254</v>
      </c>
      <c r="AI188" s="135" t="s">
        <v>665</v>
      </c>
      <c r="AJ188" s="33">
        <f>IFERROR(VLOOKUP(vcost_ub[[#This Row],[setting]],$A$6:$E$141,5,FALSE)+$L$6+VLOOKUP(vcost_ub[[#This Row],[setting]],$O$6:$AA$141,4,FALSE),0)</f>
        <v>14.62706631132318</v>
      </c>
      <c r="AK188" s="33">
        <f>IFERROR(VLOOKUP(vcost_ub[[#This Row],[setting]],$A$6:$E$141,5,FALSE)+$L$6+VLOOKUP(vcost_ub[[#This Row],[setting]],$O$6:$AA$141,4,FALSE)+VLOOKUP(vcost_ub[[#This Row],[gbd_super]],$AH$6:$AK$11,4,FALSE),0)</f>
        <v>14.64995631132318</v>
      </c>
      <c r="AL188" s="33">
        <f>IFERROR(VLOOKUP(vcost_ub[[#This Row],[setting]],$A$6:$E$141,5,FALSE)+VLOOKUP(vcost_ub[[#This Row],[setting]],$O$6:$AA$141,7,FALSE),0)</f>
        <v>14.0689055812874</v>
      </c>
      <c r="AM188" s="33">
        <f>IFERROR(VLOOKUP(vcost_ub[[#This Row],[setting]],$A$6:$E$141,5,FALSE)+VLOOKUP(vcost_ub[[#This Row],[setting]],$O$6:$AA$141,7,FALSE)+VLOOKUP(vcost_ub[[#This Row],[gbd_super]],$AH$6:$AK$11,4,FALSE),0)</f>
        <v>14.0917955812874</v>
      </c>
      <c r="AN188" s="33">
        <f>IFERROR(VLOOKUP(vcost_ub[[#This Row],[setting]],$A$6:$E$141,5,FALSE)+VLOOKUP(vcost_ub[[#This Row],[setting]],$O$6:$AA$141,10,FALSE)+VLOOKUP(vcost_ub[[#This Row],[gbd_super]],$AH$6:$AK$11,4,FALSE),0)</f>
        <v>14.049116403872805</v>
      </c>
      <c r="AO188" s="33">
        <f>IFERROR(VLOOKUP(vcost_ub[[#This Row],[setting]],$A$6:$E$141,5,FALSE)+$L$8+VLOOKUP(vcost_ub[[#This Row],[setting]],$O$6:$AA$141,13,FALSE),0)</f>
        <v>14.90983981754556</v>
      </c>
      <c r="AP188" s="33">
        <f>IFERROR(VLOOKUP(vcost_ub[[#This Row],[setting]],$A$6:$E$141,5,FALSE)+$L$8+VLOOKUP(vcost_ub[[#This Row],[setting]],$O$6:$AA$141,13,FALSE)+VLOOKUP(vcost_ub[[#This Row],[gbd_super]],$AH$6:$AK$11,4,FALSE),0)</f>
        <v>14.93272981754556</v>
      </c>
    </row>
    <row r="189" spans="1:42" x14ac:dyDescent="0.25">
      <c r="A189" s="100" t="s">
        <v>141</v>
      </c>
      <c r="B189" s="134" t="s">
        <v>667</v>
      </c>
      <c r="C189">
        <f>IFERROR(VLOOKUP(vcost[[#This Row],[setting]],$A$6:$E$141,3,FALSE)+$J$6+VLOOKUP(vcost[[#This Row],[setting]],$O$6:$AA$141,2,FALSE),0)</f>
        <v>2.2869408359527901</v>
      </c>
      <c r="D189">
        <f>IFERROR(VLOOKUP(vcost[[#This Row],[setting]],$A$6:$E$141,3,FALSE)+$J$6+VLOOKUP(vcost[[#This Row],[setting]],$O$6:$AA$141,2,FALSE)+VLOOKUP(vcost[[#This Row],[gbd_super]],$AH$6:$AK$11,2,FALSE),0)</f>
        <v>7.1169408359527901</v>
      </c>
      <c r="E189">
        <f>IFERROR(VLOOKUP(vcost[[#This Row],[setting]],$A$6:$E$141,3,FALSE)+VLOOKUP(vcost[[#This Row],[setting]],$O$6:$AA$141,5,FALSE),0)</f>
        <v>1.8555769796551187</v>
      </c>
      <c r="F189" s="33">
        <f>IFERROR(VLOOKUP(vcost[[#This Row],[setting]],$A$6:$E$141,3,FALSE)+VLOOKUP(vcost[[#This Row],[setting]],$O$6:$AA$141,5,FALSE)+VLOOKUP(vcost[[#This Row],[gbd_super]],$AH$6:$AK$11,2,FALSE),0)</f>
        <v>6.685576979655119</v>
      </c>
      <c r="G189" s="33">
        <f>IFERROR(VLOOKUP(vcost[[#This Row],[setting]],$A$6:$E$141,3,FALSE)+VLOOKUP(vcost[[#This Row],[setting]],$O$6:$AA$141,8,FALSE)+VLOOKUP(vcost[[#This Row],[gbd_super]],$AH$6:$AK$11,2,FALSE),0)</f>
        <v>6.6801074566373666</v>
      </c>
      <c r="H189">
        <f>IFERROR(VLOOKUP(vcost[[#This Row],[setting]],$A$6:$E$141,3,FALSE)+$J$8+VLOOKUP(vcost[[#This Row],[setting]],$O$6:$AA$141,11,FALSE),0)</f>
        <v>2.5306584995043</v>
      </c>
      <c r="I189" s="33">
        <f>IFERROR(VLOOKUP(vcost[[#This Row],[setting]],$A$6:$E$141,3,FALSE)+$J$8+VLOOKUP(vcost[[#This Row],[setting]],$O$6:$AA$141,11,FALSE)+VLOOKUP(vcost[[#This Row],[gbd_super]],$AH$6:$AK$11,2,FALSE),0)</f>
        <v>7.3606584995043001</v>
      </c>
      <c r="O189" s="100" t="s">
        <v>141</v>
      </c>
      <c r="P189" s="134" t="s">
        <v>667</v>
      </c>
      <c r="Q189" s="33">
        <f>IFERROR(VLOOKUP(vcost_lb[[#This Row],[setting]],$A$6:$E$141,4,FALSE)+$K$6+VLOOKUP(vcost_lb[[#This Row],[setting]],$O$6:$AA$141,3,FALSE),0)</f>
        <v>1.0448054572151093</v>
      </c>
      <c r="R189" s="33">
        <f>IFERROR(VLOOKUP(vcost_lb[[#This Row],[setting]],$A$6:$E$141,4,FALSE)+$K$6+VLOOKUP(vcost_lb[[#This Row],[setting]],$O$6:$AA$141,3,FALSE)+VLOOKUP(vcost_lb[[#This Row],[gbd_super]],$AH$6:$AK$11,3,FALSE),0)</f>
        <v>5.6320704572151099</v>
      </c>
      <c r="S189" s="33">
        <f>IFERROR(VLOOKUP(vcost_lb[[#This Row],[setting]],$A$6:$E$141,4,FALSE)+VLOOKUP(vcost_lb[[#This Row],[setting]],$O$6:$AA$141,6,FALSE),0)</f>
        <v>0.67731380240468342</v>
      </c>
      <c r="T189" s="33">
        <f>IFERROR(VLOOKUP(vcost_lb[[#This Row],[setting]],$A$6:$E$141,4,FALSE)+VLOOKUP(vcost_lb[[#This Row],[setting]],$O$6:$AA$141,6,FALSE)+VLOOKUP(vcost_lb[[#This Row],[gbd_super]],$AH$6:$AK$11,3,FALSE),0)</f>
        <v>5.2645788024046833</v>
      </c>
      <c r="U189" s="33">
        <f>IFERROR(VLOOKUP(vcost_lb[[#This Row],[setting]],$A$6:$E$141,4,FALSE)+VLOOKUP(vcost_lb[[#This Row],[setting]],$O$6:$AA$141,9,FALSE)+VLOOKUP(vcost_lb[[#This Row],[gbd_super]],$AH$6:$AK$11,3,FALSE),0)</f>
        <v>5.2609804319982683</v>
      </c>
      <c r="V189" s="33">
        <f>IFERROR(VLOOKUP(vcost_lb[[#This Row],[setting]],$A$6:$E$141,4,FALSE)+$K$8+VLOOKUP(vcost_lb[[#This Row],[setting]],$O$6:$AA$141,12,FALSE),0)</f>
        <v>1.2569434123695042</v>
      </c>
      <c r="W189" s="33">
        <f>IFERROR(VLOOKUP(vcost_lb[[#This Row],[setting]],$A$6:$E$141,4,FALSE)+$K$8+VLOOKUP(vcost_lb[[#This Row],[setting]],$O$6:$AA$141,12,FALSE)+VLOOKUP(vcost_lb[[#This Row],[gbd_super]],$AH$6:$AK$11,3,FALSE),0)</f>
        <v>5.8442084123695048</v>
      </c>
      <c r="AH189" s="100" t="s">
        <v>141</v>
      </c>
      <c r="AI189" s="134" t="s">
        <v>667</v>
      </c>
      <c r="AJ189" s="33">
        <f>IFERROR(VLOOKUP(vcost_ub[[#This Row],[setting]],$A$6:$E$141,5,FALSE)+$L$6+VLOOKUP(vcost_ub[[#This Row],[setting]],$O$6:$AA$141,4,FALSE),0)</f>
        <v>4.7321673867445515</v>
      </c>
      <c r="AK189" s="33">
        <f>IFERROR(VLOOKUP(vcost_ub[[#This Row],[setting]],$A$6:$E$141,5,FALSE)+$L$6+VLOOKUP(vcost_ub[[#This Row],[setting]],$O$6:$AA$141,4,FALSE)+VLOOKUP(vcost_ub[[#This Row],[gbd_super]],$AH$6:$AK$11,4,FALSE),0)</f>
        <v>9.802302386744552</v>
      </c>
      <c r="AL189" s="33">
        <f>IFERROR(VLOOKUP(vcost_ub[[#This Row],[setting]],$A$6:$E$141,5,FALSE)+VLOOKUP(vcost_ub[[#This Row],[setting]],$O$6:$AA$141,7,FALSE),0)</f>
        <v>4.2233552096187337</v>
      </c>
      <c r="AM189" s="33">
        <f>IFERROR(VLOOKUP(vcost_ub[[#This Row],[setting]],$A$6:$E$141,5,FALSE)+VLOOKUP(vcost_ub[[#This Row],[setting]],$O$6:$AA$141,7,FALSE)+VLOOKUP(vcost_ub[[#This Row],[gbd_super]],$AH$6:$AK$11,4,FALSE),0)</f>
        <v>9.2934902096187351</v>
      </c>
      <c r="AN189" s="33">
        <f>IFERROR(VLOOKUP(vcost_ub[[#This Row],[setting]],$A$6:$E$141,5,FALSE)+VLOOKUP(vcost_ub[[#This Row],[setting]],$O$6:$AA$141,10,FALSE)+VLOOKUP(vcost_ub[[#This Row],[gbd_super]],$AH$6:$AK$11,4,FALSE),0)</f>
        <v>9.2790967279930712</v>
      </c>
      <c r="AO189" s="33">
        <f>IFERROR(VLOOKUP(vcost_ub[[#This Row],[setting]],$A$6:$E$141,5,FALSE)+$L$8+VLOOKUP(vcost_ub[[#This Row],[setting]],$O$6:$AA$141,13,FALSE),0)</f>
        <v>5.0037390742082275</v>
      </c>
      <c r="AP189" s="33">
        <f>IFERROR(VLOOKUP(vcost_ub[[#This Row],[setting]],$A$6:$E$141,5,FALSE)+$L$8+VLOOKUP(vcost_ub[[#This Row],[setting]],$O$6:$AA$141,13,FALSE)+VLOOKUP(vcost_ub[[#This Row],[gbd_super]],$AH$6:$AK$11,4,FALSE),0)</f>
        <v>10.073874074208227</v>
      </c>
    </row>
    <row r="190" spans="1:42" x14ac:dyDescent="0.25">
      <c r="A190" s="103" t="s">
        <v>232</v>
      </c>
      <c r="B190" s="135" t="s">
        <v>665</v>
      </c>
      <c r="C190">
        <f>IFERROR(VLOOKUP(vcost[[#This Row],[setting]],$A$6:$E$141,3,FALSE)+$J$6+VLOOKUP(vcost[[#This Row],[setting]],$O$6:$AA$141,2,FALSE),0)</f>
        <v>6.0342547750329993</v>
      </c>
      <c r="D190">
        <f>IFERROR(VLOOKUP(vcost[[#This Row],[setting]],$A$6:$E$141,3,FALSE)+$J$6+VLOOKUP(vcost[[#This Row],[setting]],$O$6:$AA$141,2,FALSE)+VLOOKUP(vcost[[#This Row],[gbd_super]],$AH$6:$AK$11,2,FALSE),0)</f>
        <v>6.0542547750329989</v>
      </c>
      <c r="E190">
        <f>IFERROR(VLOOKUP(vcost[[#This Row],[setting]],$A$6:$E$141,3,FALSE)+VLOOKUP(vcost[[#This Row],[setting]],$O$6:$AA$141,5,FALSE),0)</f>
        <v>5.5874884572483028</v>
      </c>
      <c r="F190" s="33">
        <f>IFERROR(VLOOKUP(vcost[[#This Row],[setting]],$A$6:$E$141,3,FALSE)+VLOOKUP(vcost[[#This Row],[setting]],$O$6:$AA$141,5,FALSE)+VLOOKUP(vcost[[#This Row],[gbd_super]],$AH$6:$AK$11,2,FALSE),0)</f>
        <v>5.6074884572483024</v>
      </c>
      <c r="G190" s="33">
        <f>IFERROR(VLOOKUP(vcost[[#This Row],[setting]],$A$6:$E$141,3,FALSE)+VLOOKUP(vcost[[#This Row],[setting]],$O$6:$AA$141,8,FALSE)+VLOOKUP(vcost[[#This Row],[gbd_super]],$AH$6:$AK$11,2,FALSE),0)</f>
        <v>5.5954505510255474</v>
      </c>
      <c r="H190">
        <f>IFERROR(VLOOKUP(vcost[[#This Row],[setting]],$A$6:$E$141,3,FALSE)+$J$8+VLOOKUP(vcost[[#This Row],[setting]],$O$6:$AA$141,11,FALSE),0)</f>
        <v>6.2835244886554129</v>
      </c>
      <c r="I190" s="33">
        <f>IFERROR(VLOOKUP(vcost[[#This Row],[setting]],$A$6:$E$141,3,FALSE)+$J$8+VLOOKUP(vcost[[#This Row],[setting]],$O$6:$AA$141,11,FALSE)+VLOOKUP(vcost[[#This Row],[gbd_super]],$AH$6:$AK$11,2,FALSE),0)</f>
        <v>6.3035244886554125</v>
      </c>
      <c r="O190" s="103" t="s">
        <v>232</v>
      </c>
      <c r="P190" s="135" t="s">
        <v>665</v>
      </c>
      <c r="Q190" s="33">
        <f>IFERROR(VLOOKUP(vcost_lb[[#This Row],[setting]],$A$6:$E$141,4,FALSE)+$K$6+VLOOKUP(vcost_lb[[#This Row],[setting]],$O$6:$AA$141,3,FALSE),0)</f>
        <v>2.8007288203127496</v>
      </c>
      <c r="R190" s="33">
        <f>IFERROR(VLOOKUP(vcost_lb[[#This Row],[setting]],$A$6:$E$141,4,FALSE)+$K$6+VLOOKUP(vcost_lb[[#This Row],[setting]],$O$6:$AA$141,3,FALSE)+VLOOKUP(vcost_lb[[#This Row],[gbd_super]],$AH$6:$AK$11,3,FALSE),0)</f>
        <v>2.8214388203127494</v>
      </c>
      <c r="S190" s="33">
        <f>IFERROR(VLOOKUP(vcost_lb[[#This Row],[setting]],$A$6:$E$141,4,FALSE)+VLOOKUP(vcost_lb[[#This Row],[setting]],$O$6:$AA$141,6,FALSE),0)</f>
        <v>2.4269687218738838</v>
      </c>
      <c r="T190" s="33">
        <f>IFERROR(VLOOKUP(vcost_lb[[#This Row],[setting]],$A$6:$E$141,4,FALSE)+VLOOKUP(vcost_lb[[#This Row],[setting]],$O$6:$AA$141,6,FALSE)+VLOOKUP(vcost_lb[[#This Row],[gbd_super]],$AH$6:$AK$11,3,FALSE),0)</f>
        <v>2.4476787218738836</v>
      </c>
      <c r="U190" s="33">
        <f>IFERROR(VLOOKUP(vcost_lb[[#This Row],[setting]],$A$6:$E$141,4,FALSE)+VLOOKUP(vcost_lb[[#This Row],[setting]],$O$6:$AA$141,9,FALSE)+VLOOKUP(vcost_lb[[#This Row],[gbd_super]],$AH$6:$AK$11,3,FALSE),0)</f>
        <v>2.439759046727334</v>
      </c>
      <c r="V190" s="33">
        <f>IFERROR(VLOOKUP(vcost_lb[[#This Row],[setting]],$A$6:$E$141,4,FALSE)+$K$8+VLOOKUP(vcost_lb[[#This Row],[setting]],$O$6:$AA$141,12,FALSE),0)</f>
        <v>3.0155532513079044</v>
      </c>
      <c r="W190" s="33">
        <f>IFERROR(VLOOKUP(vcost_lb[[#This Row],[setting]],$A$6:$E$141,4,FALSE)+$K$8+VLOOKUP(vcost_lb[[#This Row],[setting]],$O$6:$AA$141,12,FALSE)+VLOOKUP(vcost_lb[[#This Row],[gbd_super]],$AH$6:$AK$11,3,FALSE),0)</f>
        <v>3.0362632513079042</v>
      </c>
      <c r="AH190" s="103" t="s">
        <v>232</v>
      </c>
      <c r="AI190" s="135" t="s">
        <v>665</v>
      </c>
      <c r="AJ190" s="33">
        <f>IFERROR(VLOOKUP(vcost_ub[[#This Row],[setting]],$A$6:$E$141,5,FALSE)+$L$6+VLOOKUP(vcost_ub[[#This Row],[setting]],$O$6:$AA$141,4,FALSE),0)</f>
        <v>11.770280102090943</v>
      </c>
      <c r="AK190" s="33">
        <f>IFERROR(VLOOKUP(vcost_ub[[#This Row],[setting]],$A$6:$E$141,5,FALSE)+$L$6+VLOOKUP(vcost_ub[[#This Row],[setting]],$O$6:$AA$141,4,FALSE)+VLOOKUP(vcost_ub[[#This Row],[gbd_super]],$AH$6:$AK$11,4,FALSE),0)</f>
        <v>11.793170102090944</v>
      </c>
      <c r="AL190" s="33">
        <f>IFERROR(VLOOKUP(vcost_ub[[#This Row],[setting]],$A$6:$E$141,5,FALSE)+VLOOKUP(vcost_ub[[#This Row],[setting]],$O$6:$AA$141,7,FALSE),0)</f>
        <v>11.232274887495535</v>
      </c>
      <c r="AM190" s="33">
        <f>IFERROR(VLOOKUP(vcost_ub[[#This Row],[setting]],$A$6:$E$141,5,FALSE)+VLOOKUP(vcost_ub[[#This Row],[setting]],$O$6:$AA$141,7,FALSE)+VLOOKUP(vcost_ub[[#This Row],[gbd_super]],$AH$6:$AK$11,4,FALSE),0)</f>
        <v>11.255164887495535</v>
      </c>
      <c r="AN190" s="33">
        <f>IFERROR(VLOOKUP(vcost_ub[[#This Row],[setting]],$A$6:$E$141,5,FALSE)+VLOOKUP(vcost_ub[[#This Row],[setting]],$O$6:$AA$141,10,FALSE)+VLOOKUP(vcost_ub[[#This Row],[gbd_super]],$AH$6:$AK$11,4,FALSE),0)</f>
        <v>11.223486186909337</v>
      </c>
      <c r="AO190" s="33">
        <f>IFERROR(VLOOKUP(vcost_ub[[#This Row],[setting]],$A$6:$E$141,5,FALSE)+$L$8+VLOOKUP(vcost_ub[[#This Row],[setting]],$O$6:$AA$141,13,FALSE),0)</f>
        <v>12.048478429961829</v>
      </c>
      <c r="AP190" s="33">
        <f>IFERROR(VLOOKUP(vcost_ub[[#This Row],[setting]],$A$6:$E$141,5,FALSE)+$L$8+VLOOKUP(vcost_ub[[#This Row],[setting]],$O$6:$AA$141,13,FALSE)+VLOOKUP(vcost_ub[[#This Row],[gbd_super]],$AH$6:$AK$11,4,FALSE),0)</f>
        <v>12.071368429961829</v>
      </c>
    </row>
    <row r="191" spans="1:42" x14ac:dyDescent="0.25">
      <c r="A191" s="100" t="s">
        <v>103</v>
      </c>
      <c r="B191" s="134" t="s">
        <v>667</v>
      </c>
      <c r="C191">
        <f>IFERROR(VLOOKUP(vcost[[#This Row],[setting]],$A$6:$E$141,3,FALSE)+$J$6+VLOOKUP(vcost[[#This Row],[setting]],$O$6:$AA$141,2,FALSE),0)</f>
        <v>4.5961868316315577</v>
      </c>
      <c r="D191">
        <f>IFERROR(VLOOKUP(vcost[[#This Row],[setting]],$A$6:$E$141,3,FALSE)+$J$6+VLOOKUP(vcost[[#This Row],[setting]],$O$6:$AA$141,2,FALSE)+VLOOKUP(vcost[[#This Row],[gbd_super]],$AH$6:$AK$11,2,FALSE),0)</f>
        <v>9.4261868316315578</v>
      </c>
      <c r="E191">
        <f>IFERROR(VLOOKUP(vcost[[#This Row],[setting]],$A$6:$E$141,3,FALSE)+VLOOKUP(vcost[[#This Row],[setting]],$O$6:$AA$141,5,FALSE),0)</f>
        <v>4.1582689282451577</v>
      </c>
      <c r="F191" s="33">
        <f>IFERROR(VLOOKUP(vcost[[#This Row],[setting]],$A$6:$E$141,3,FALSE)+VLOOKUP(vcost[[#This Row],[setting]],$O$6:$AA$141,5,FALSE)+VLOOKUP(vcost[[#This Row],[gbd_super]],$AH$6:$AK$11,2,FALSE),0)</f>
        <v>8.9882689282451587</v>
      </c>
      <c r="G191" s="33">
        <f>IFERROR(VLOOKUP(vcost[[#This Row],[setting]],$A$6:$E$141,3,FALSE)+VLOOKUP(vcost[[#This Row],[setting]],$O$6:$AA$141,8,FALSE)+VLOOKUP(vcost[[#This Row],[gbd_super]],$AH$6:$AK$11,2,FALSE),0)</f>
        <v>8.9802123811146757</v>
      </c>
      <c r="H191">
        <f>IFERROR(VLOOKUP(vcost[[#This Row],[setting]],$A$6:$E$141,3,FALSE)+$J$8+VLOOKUP(vcost[[#This Row],[setting]],$O$6:$AA$141,11,FALSE),0)</f>
        <v>4.8422670005290032</v>
      </c>
      <c r="I191" s="33">
        <f>IFERROR(VLOOKUP(vcost[[#This Row],[setting]],$A$6:$E$141,3,FALSE)+$J$8+VLOOKUP(vcost[[#This Row],[setting]],$O$6:$AA$141,11,FALSE)+VLOOKUP(vcost[[#This Row],[gbd_super]],$AH$6:$AK$11,2,FALSE),0)</f>
        <v>9.6722670005290041</v>
      </c>
      <c r="O191" s="100" t="s">
        <v>103</v>
      </c>
      <c r="P191" s="134" t="s">
        <v>667</v>
      </c>
      <c r="Q191" s="33">
        <f>IFERROR(VLOOKUP(vcost_lb[[#This Row],[setting]],$A$6:$E$141,4,FALSE)+$K$6+VLOOKUP(vcost_lb[[#This Row],[setting]],$O$6:$AA$141,3,FALSE),0)</f>
        <v>2.0915832944539683</v>
      </c>
      <c r="R191" s="33">
        <f>IFERROR(VLOOKUP(vcost_lb[[#This Row],[setting]],$A$6:$E$141,4,FALSE)+$K$6+VLOOKUP(vcost_lb[[#This Row],[setting]],$O$6:$AA$141,3,FALSE)+VLOOKUP(vcost_lb[[#This Row],[gbd_super]],$AH$6:$AK$11,3,FALSE),0)</f>
        <v>6.6788482944539691</v>
      </c>
      <c r="S191" s="33">
        <f>IFERROR(VLOOKUP(vcost_lb[[#This Row],[setting]],$A$6:$E$141,4,FALSE)+VLOOKUP(vcost_lb[[#This Row],[setting]],$O$6:$AA$141,6,FALSE),0)</f>
        <v>1.7214242948981298</v>
      </c>
      <c r="T191" s="33">
        <f>IFERROR(VLOOKUP(vcost_lb[[#This Row],[setting]],$A$6:$E$141,4,FALSE)+VLOOKUP(vcost_lb[[#This Row],[setting]],$O$6:$AA$141,6,FALSE)+VLOOKUP(vcost_lb[[#This Row],[gbd_super]],$AH$6:$AK$11,3,FALSE),0)</f>
        <v>6.3086892948981301</v>
      </c>
      <c r="U191" s="33">
        <f>IFERROR(VLOOKUP(vcost_lb[[#This Row],[setting]],$A$6:$E$141,4,FALSE)+VLOOKUP(vcost_lb[[#This Row],[setting]],$O$6:$AA$141,9,FALSE)+VLOOKUP(vcost_lb[[#This Row],[gbd_super]],$AH$6:$AK$11,3,FALSE),0)</f>
        <v>6.3033889349438663</v>
      </c>
      <c r="V191" s="33">
        <f>IFERROR(VLOOKUP(vcost_lb[[#This Row],[setting]],$A$6:$E$141,4,FALSE)+$K$8+VLOOKUP(vcost_lb[[#This Row],[setting]],$O$6:$AA$141,12,FALSE),0)</f>
        <v>2.3048643973563969</v>
      </c>
      <c r="W191" s="33">
        <f>IFERROR(VLOOKUP(vcost_lb[[#This Row],[setting]],$A$6:$E$141,4,FALSE)+$K$8+VLOOKUP(vcost_lb[[#This Row],[setting]],$O$6:$AA$141,12,FALSE)+VLOOKUP(vcost_lb[[#This Row],[gbd_super]],$AH$6:$AK$11,3,FALSE),0)</f>
        <v>6.8921293973563973</v>
      </c>
      <c r="AH191" s="100" t="s">
        <v>103</v>
      </c>
      <c r="AI191" s="134" t="s">
        <v>667</v>
      </c>
      <c r="AJ191" s="33">
        <f>IFERROR(VLOOKUP(vcost_ub[[#This Row],[setting]],$A$6:$E$141,5,FALSE)+$L$6+VLOOKUP(vcost_ub[[#This Row],[setting]],$O$6:$AA$141,4,FALSE),0)</f>
        <v>9.1991315622469738</v>
      </c>
      <c r="AK191" s="33">
        <f>IFERROR(VLOOKUP(vcost_ub[[#This Row],[setting]],$A$6:$E$141,5,FALSE)+$L$6+VLOOKUP(vcost_ub[[#This Row],[setting]],$O$6:$AA$141,4,FALSE)+VLOOKUP(vcost_ub[[#This Row],[gbd_super]],$AH$6:$AK$11,4,FALSE),0)</f>
        <v>14.269266562246974</v>
      </c>
      <c r="AL191" s="33">
        <f>IFERROR(VLOOKUP(vcost_ub[[#This Row],[setting]],$A$6:$E$141,5,FALSE)+VLOOKUP(vcost_ub[[#This Row],[setting]],$O$6:$AA$141,7,FALSE),0)</f>
        <v>8.6778971795925202</v>
      </c>
      <c r="AM191" s="33">
        <f>IFERROR(VLOOKUP(vcost_ub[[#This Row],[setting]],$A$6:$E$141,5,FALSE)+VLOOKUP(vcost_ub[[#This Row],[setting]],$O$6:$AA$141,7,FALSE)+VLOOKUP(vcost_ub[[#This Row],[gbd_super]],$AH$6:$AK$11,4,FALSE),0)</f>
        <v>13.748032179592521</v>
      </c>
      <c r="AN191" s="33">
        <f>IFERROR(VLOOKUP(vcost_ub[[#This Row],[setting]],$A$6:$E$141,5,FALSE)+VLOOKUP(vcost_ub[[#This Row],[setting]],$O$6:$AA$141,10,FALSE)+VLOOKUP(vcost_ub[[#This Row],[gbd_super]],$AH$6:$AK$11,4,FALSE),0)</f>
        <v>13.726830739775467</v>
      </c>
      <c r="AO191" s="33">
        <f>IFERROR(VLOOKUP(vcost_ub[[#This Row],[setting]],$A$6:$E$141,5,FALSE)+$L$8+VLOOKUP(vcost_ub[[#This Row],[setting]],$O$6:$AA$141,13,FALSE),0)</f>
        <v>9.4735230141558002</v>
      </c>
      <c r="AP191" s="33">
        <f>IFERROR(VLOOKUP(vcost_ub[[#This Row],[setting]],$A$6:$E$141,5,FALSE)+$L$8+VLOOKUP(vcost_ub[[#This Row],[setting]],$O$6:$AA$141,13,FALSE)+VLOOKUP(vcost_ub[[#This Row],[gbd_super]],$AH$6:$AK$11,4,FALSE),0)</f>
        <v>14.543658014155801</v>
      </c>
    </row>
    <row r="192" spans="1:42" x14ac:dyDescent="0.25">
      <c r="A192" s="103" t="s">
        <v>234</v>
      </c>
      <c r="B192" s="135" t="s">
        <v>665</v>
      </c>
      <c r="C192">
        <f>IFERROR(VLOOKUP(vcost[[#This Row],[setting]],$A$6:$E$141,3,FALSE)+$J$6+VLOOKUP(vcost[[#This Row],[setting]],$O$6:$AA$141,2,FALSE),0)</f>
        <v>15.419633256169279</v>
      </c>
      <c r="D192">
        <f>IFERROR(VLOOKUP(vcost[[#This Row],[setting]],$A$6:$E$141,3,FALSE)+$J$6+VLOOKUP(vcost[[#This Row],[setting]],$O$6:$AA$141,2,FALSE)+VLOOKUP(vcost[[#This Row],[gbd_super]],$AH$6:$AK$11,2,FALSE),0)</f>
        <v>15.439633256169278</v>
      </c>
      <c r="E192">
        <f>IFERROR(VLOOKUP(vcost[[#This Row],[setting]],$A$6:$E$141,3,FALSE)+VLOOKUP(vcost[[#This Row],[setting]],$O$6:$AA$141,5,FALSE),0)</f>
        <v>14.977231448398657</v>
      </c>
      <c r="F192" s="33">
        <f>IFERROR(VLOOKUP(vcost[[#This Row],[setting]],$A$6:$E$141,3,FALSE)+VLOOKUP(vcost[[#This Row],[setting]],$O$6:$AA$141,5,FALSE)+VLOOKUP(vcost[[#This Row],[gbd_super]],$AH$6:$AK$11,2,FALSE),0)</f>
        <v>14.997231448398656</v>
      </c>
      <c r="G192" s="33">
        <f>IFERROR(VLOOKUP(vcost[[#This Row],[setting]],$A$6:$E$141,3,FALSE)+VLOOKUP(vcost[[#This Row],[setting]],$O$6:$AA$141,8,FALSE)+VLOOKUP(vcost[[#This Row],[gbd_super]],$AH$6:$AK$11,2,FALSE),0)</f>
        <v>14.987966113718786</v>
      </c>
      <c r="H192">
        <f>IFERROR(VLOOKUP(vcost[[#This Row],[setting]],$A$6:$E$141,3,FALSE)+$J$8+VLOOKUP(vcost[[#This Row],[setting]],$O$6:$AA$141,11,FALSE),0)</f>
        <v>15.667329716181968</v>
      </c>
      <c r="I192" s="33">
        <f>IFERROR(VLOOKUP(vcost[[#This Row],[setting]],$A$6:$E$141,3,FALSE)+$J$8+VLOOKUP(vcost[[#This Row],[setting]],$O$6:$AA$141,11,FALSE)+VLOOKUP(vcost[[#This Row],[gbd_super]],$AH$6:$AK$11,2,FALSE),0)</f>
        <v>15.687329716181967</v>
      </c>
      <c r="O192" s="103" t="s">
        <v>234</v>
      </c>
      <c r="P192" s="135" t="s">
        <v>665</v>
      </c>
      <c r="Q192" s="33">
        <f>IFERROR(VLOOKUP(vcost_lb[[#This Row],[setting]],$A$6:$E$141,4,FALSE)+$K$6+VLOOKUP(vcost_lb[[#This Row],[setting]],$O$6:$AA$141,3,FALSE),0)</f>
        <v>4.9388150604151182</v>
      </c>
      <c r="R192" s="33">
        <f>IFERROR(VLOOKUP(vcost_lb[[#This Row],[setting]],$A$6:$E$141,4,FALSE)+$K$6+VLOOKUP(vcost_lb[[#This Row],[setting]],$O$6:$AA$141,3,FALSE)+VLOOKUP(vcost_lb[[#This Row],[gbd_super]],$AH$6:$AK$11,3,FALSE),0)</f>
        <v>4.9595250604151184</v>
      </c>
      <c r="S192" s="33">
        <f>IFERROR(VLOOKUP(vcost_lb[[#This Row],[setting]],$A$6:$E$141,4,FALSE)+VLOOKUP(vcost_lb[[#This Row],[setting]],$O$6:$AA$141,6,FALSE),0)</f>
        <v>4.5668312160517468</v>
      </c>
      <c r="T192" s="33">
        <f>IFERROR(VLOOKUP(vcost_lb[[#This Row],[setting]],$A$6:$E$141,4,FALSE)+VLOOKUP(vcost_lb[[#This Row],[setting]],$O$6:$AA$141,6,FALSE)+VLOOKUP(vcost_lb[[#This Row],[gbd_super]],$AH$6:$AK$11,3,FALSE),0)</f>
        <v>4.587541216051747</v>
      </c>
      <c r="U192" s="33">
        <f>IFERROR(VLOOKUP(vcost_lb[[#This Row],[setting]],$A$6:$E$141,4,FALSE)+VLOOKUP(vcost_lb[[#This Row],[setting]],$O$6:$AA$141,9,FALSE)+VLOOKUP(vcost_lb[[#This Row],[gbd_super]],$AH$6:$AK$11,3,FALSE),0)</f>
        <v>4.5814456011307811</v>
      </c>
      <c r="V192" s="33">
        <f>IFERROR(VLOOKUP(vcost_lb[[#This Row],[setting]],$A$6:$E$141,4,FALSE)+$K$8+VLOOKUP(vcost_lb[[#This Row],[setting]],$O$6:$AA$141,12,FALSE),0)</f>
        <v>5.1528782396636323</v>
      </c>
      <c r="W192" s="33">
        <f>IFERROR(VLOOKUP(vcost_lb[[#This Row],[setting]],$A$6:$E$141,4,FALSE)+$K$8+VLOOKUP(vcost_lb[[#This Row],[setting]],$O$6:$AA$141,12,FALSE)+VLOOKUP(vcost_lb[[#This Row],[gbd_super]],$AH$6:$AK$11,3,FALSE),0)</f>
        <v>5.1735882396636326</v>
      </c>
      <c r="AH192" s="103" t="s">
        <v>234</v>
      </c>
      <c r="AI192" s="135" t="s">
        <v>665</v>
      </c>
      <c r="AJ192" s="33">
        <f>IFERROR(VLOOKUP(vcost_ub[[#This Row],[setting]],$A$6:$E$141,5,FALSE)+$L$6+VLOOKUP(vcost_ub[[#This Row],[setting]],$O$6:$AA$141,4,FALSE),0)</f>
        <v>38.30525780982223</v>
      </c>
      <c r="AK192" s="33">
        <f>IFERROR(VLOOKUP(vcost_ub[[#This Row],[setting]],$A$6:$E$141,5,FALSE)+$L$6+VLOOKUP(vcost_ub[[#This Row],[setting]],$O$6:$AA$141,4,FALSE)+VLOOKUP(vcost_ub[[#This Row],[gbd_super]],$AH$6:$AK$11,4,FALSE),0)</f>
        <v>38.328147809822227</v>
      </c>
      <c r="AL192" s="33">
        <f>IFERROR(VLOOKUP(vcost_ub[[#This Row],[setting]],$A$6:$E$141,5,FALSE)+VLOOKUP(vcost_ub[[#This Row],[setting]],$O$6:$AA$141,7,FALSE),0)</f>
        <v>37.775524864206986</v>
      </c>
      <c r="AM192" s="33">
        <f>IFERROR(VLOOKUP(vcost_ub[[#This Row],[setting]],$A$6:$E$141,5,FALSE)+VLOOKUP(vcost_ub[[#This Row],[setting]],$O$6:$AA$141,7,FALSE)+VLOOKUP(vcost_ub[[#This Row],[gbd_super]],$AH$6:$AK$11,4,FALSE),0)</f>
        <v>37.798414864206983</v>
      </c>
      <c r="AN192" s="33">
        <f>IFERROR(VLOOKUP(vcost_ub[[#This Row],[setting]],$A$6:$E$141,5,FALSE)+VLOOKUP(vcost_ub[[#This Row],[setting]],$O$6:$AA$141,10,FALSE)+VLOOKUP(vcost_ub[[#This Row],[gbd_super]],$AH$6:$AK$11,4,FALSE),0)</f>
        <v>37.774032404523112</v>
      </c>
      <c r="AO192" s="33">
        <f>IFERROR(VLOOKUP(vcost_ub[[#This Row],[setting]],$A$6:$E$141,5,FALSE)+$L$8+VLOOKUP(vcost_ub[[#This Row],[setting]],$O$6:$AA$141,13,FALSE),0)</f>
        <v>38.581578383384731</v>
      </c>
      <c r="AP192" s="33">
        <f>IFERROR(VLOOKUP(vcost_ub[[#This Row],[setting]],$A$6:$E$141,5,FALSE)+$L$8+VLOOKUP(vcost_ub[[#This Row],[setting]],$O$6:$AA$141,13,FALSE)+VLOOKUP(vcost_ub[[#This Row],[gbd_super]],$AH$6:$AK$11,4,FALSE),0)</f>
        <v>38.604468383384727</v>
      </c>
    </row>
    <row r="193" spans="1:42" x14ac:dyDescent="0.25">
      <c r="A193" s="100" t="s">
        <v>614</v>
      </c>
      <c r="B193" s="134" t="s">
        <v>665</v>
      </c>
      <c r="C193">
        <f>IFERROR(VLOOKUP(vcost[[#This Row],[setting]],$A$6:$E$141,3,FALSE)+$J$6+VLOOKUP(vcost[[#This Row],[setting]],$O$6:$AA$141,2,FALSE),0)</f>
        <v>5.1760138330561594</v>
      </c>
      <c r="D193">
        <f>IFERROR(VLOOKUP(vcost[[#This Row],[setting]],$A$6:$E$141,3,FALSE)+$J$6+VLOOKUP(vcost[[#This Row],[setting]],$O$6:$AA$141,2,FALSE)+VLOOKUP(vcost[[#This Row],[gbd_super]],$AH$6:$AK$11,2,FALSE),0)</f>
        <v>5.1960138330561589</v>
      </c>
      <c r="E193">
        <f>IFERROR(VLOOKUP(vcost[[#This Row],[setting]],$A$6:$E$141,3,FALSE)+VLOOKUP(vcost[[#This Row],[setting]],$O$6:$AA$141,5,FALSE),0)</f>
        <v>4.7310211017529955</v>
      </c>
      <c r="F193" s="33">
        <f>IFERROR(VLOOKUP(vcost[[#This Row],[setting]],$A$6:$E$141,3,FALSE)+VLOOKUP(vcost[[#This Row],[setting]],$O$6:$AA$141,5,FALSE)+VLOOKUP(vcost[[#This Row],[gbd_super]],$AH$6:$AK$11,2,FALSE),0)</f>
        <v>4.7510211017529951</v>
      </c>
      <c r="G193" s="33">
        <f>IFERROR(VLOOKUP(vcost[[#This Row],[setting]],$A$6:$E$141,3,FALSE)+VLOOKUP(vcost[[#This Row],[setting]],$O$6:$AA$141,8,FALSE)+VLOOKUP(vcost[[#This Row],[gbd_super]],$AH$6:$AK$11,2,FALSE),0)</f>
        <v>4.7397276712392609</v>
      </c>
      <c r="H193">
        <f>IFERROR(VLOOKUP(vcost[[#This Row],[setting]],$A$6:$E$141,3,FALSE)+$J$8+VLOOKUP(vcost[[#This Row],[setting]],$O$6:$AA$141,11,FALSE),0)</f>
        <v>5.4246442306212765</v>
      </c>
      <c r="I193" s="33">
        <f>IFERROR(VLOOKUP(vcost[[#This Row],[setting]],$A$6:$E$141,3,FALSE)+$J$8+VLOOKUP(vcost[[#This Row],[setting]],$O$6:$AA$141,11,FALSE)+VLOOKUP(vcost[[#This Row],[gbd_super]],$AH$6:$AK$11,2,FALSE),0)</f>
        <v>5.4446442306212761</v>
      </c>
      <c r="O193" s="100" t="s">
        <v>614</v>
      </c>
      <c r="P193" s="134" t="s">
        <v>665</v>
      </c>
      <c r="Q193" s="33">
        <f>IFERROR(VLOOKUP(vcost_lb[[#This Row],[setting]],$A$6:$E$141,4,FALSE)+$K$6+VLOOKUP(vcost_lb[[#This Row],[setting]],$O$6:$AA$141,3,FALSE),0)</f>
        <v>2.3560758569298397</v>
      </c>
      <c r="R193" s="33">
        <f>IFERROR(VLOOKUP(vcost_lb[[#This Row],[setting]],$A$6:$E$141,4,FALSE)+$K$6+VLOOKUP(vcost_lb[[#This Row],[setting]],$O$6:$AA$141,3,FALSE)+VLOOKUP(vcost_lb[[#This Row],[gbd_super]],$AH$6:$AK$11,3,FALSE),0)</f>
        <v>2.3767858569298395</v>
      </c>
      <c r="S193" s="33">
        <f>IFERROR(VLOOKUP(vcost_lb[[#This Row],[setting]],$A$6:$E$141,4,FALSE)+VLOOKUP(vcost_lb[[#This Row],[setting]],$O$6:$AA$141,6,FALSE),0)</f>
        <v>1.98303756694276</v>
      </c>
      <c r="T193" s="33">
        <f>IFERROR(VLOOKUP(vcost_lb[[#This Row],[setting]],$A$6:$E$141,4,FALSE)+VLOOKUP(vcost_lb[[#This Row],[setting]],$O$6:$AA$141,6,FALSE)+VLOOKUP(vcost_lb[[#This Row],[gbd_super]],$AH$6:$AK$11,3,FALSE),0)</f>
        <v>2.00374756694276</v>
      </c>
      <c r="U193" s="33">
        <f>IFERROR(VLOOKUP(vcost_lb[[#This Row],[setting]],$A$6:$E$141,4,FALSE)+VLOOKUP(vcost_lb[[#This Row],[setting]],$O$6:$AA$141,9,FALSE)+VLOOKUP(vcost_lb[[#This Row],[gbd_super]],$AH$6:$AK$11,3,FALSE),0)</f>
        <v>1.9963176784468821</v>
      </c>
      <c r="V193" s="33">
        <f>IFERROR(VLOOKUP(vcost_lb[[#This Row],[setting]],$A$6:$E$141,4,FALSE)+$K$8+VLOOKUP(vcost_lb[[#This Row],[setting]],$O$6:$AA$141,12,FALSE),0)</f>
        <v>2.5705909414456576</v>
      </c>
      <c r="W193" s="33">
        <f>IFERROR(VLOOKUP(vcost_lb[[#This Row],[setting]],$A$6:$E$141,4,FALSE)+$K$8+VLOOKUP(vcost_lb[[#This Row],[setting]],$O$6:$AA$141,12,FALSE)+VLOOKUP(vcost_lb[[#This Row],[gbd_super]],$AH$6:$AK$11,3,FALSE),0)</f>
        <v>2.5913009414456574</v>
      </c>
      <c r="AH193" s="100" t="s">
        <v>614</v>
      </c>
      <c r="AI193" s="134" t="s">
        <v>665</v>
      </c>
      <c r="AJ193" s="33">
        <f>IFERROR(VLOOKUP(vcost_ub[[#This Row],[setting]],$A$6:$E$141,5,FALSE)+$L$6+VLOOKUP(vcost_ub[[#This Row],[setting]],$O$6:$AA$141,4,FALSE),0)</f>
        <v>10.403193917290986</v>
      </c>
      <c r="AK193" s="33">
        <f>IFERROR(VLOOKUP(vcost_ub[[#This Row],[setting]],$A$6:$E$141,5,FALSE)+$L$6+VLOOKUP(vcost_ub[[#This Row],[setting]],$O$6:$AA$141,4,FALSE)+VLOOKUP(vcost_ub[[#This Row],[gbd_super]],$AH$6:$AK$11,4,FALSE),0)</f>
        <v>10.426083917290986</v>
      </c>
      <c r="AL193" s="33">
        <f>IFERROR(VLOOKUP(vcost_ub[[#This Row],[setting]],$A$6:$E$141,5,FALSE)+VLOOKUP(vcost_ub[[#This Row],[setting]],$O$6:$AA$141,7,FALSE),0)</f>
        <v>9.8685502677710399</v>
      </c>
      <c r="AM193" s="33">
        <f>IFERROR(VLOOKUP(vcost_ub[[#This Row],[setting]],$A$6:$E$141,5,FALSE)+VLOOKUP(vcost_ub[[#This Row],[setting]],$O$6:$AA$141,7,FALSE)+VLOOKUP(vcost_ub[[#This Row],[gbd_super]],$AH$6:$AK$11,4,FALSE),0)</f>
        <v>9.8914402677710402</v>
      </c>
      <c r="AN193" s="33">
        <f>IFERROR(VLOOKUP(vcost_ub[[#This Row],[setting]],$A$6:$E$141,5,FALSE)+VLOOKUP(vcost_ub[[#This Row],[setting]],$O$6:$AA$141,10,FALSE)+VLOOKUP(vcost_ub[[#This Row],[gbd_super]],$AH$6:$AK$11,4,FALSE),0)</f>
        <v>9.8617207137875287</v>
      </c>
      <c r="AO193" s="33">
        <f>IFERROR(VLOOKUP(vcost_ub[[#This Row],[setting]],$A$6:$E$141,5,FALSE)+$L$8+VLOOKUP(vcost_ub[[#This Row],[setting]],$O$6:$AA$141,13,FALSE),0)</f>
        <v>10.680629190512841</v>
      </c>
      <c r="AP193" s="33">
        <f>IFERROR(VLOOKUP(vcost_ub[[#This Row],[setting]],$A$6:$E$141,5,FALSE)+$L$8+VLOOKUP(vcost_ub[[#This Row],[setting]],$O$6:$AA$141,13,FALSE)+VLOOKUP(vcost_ub[[#This Row],[gbd_super]],$AH$6:$AK$11,4,FALSE),0)</f>
        <v>10.703519190512841</v>
      </c>
    </row>
    <row r="194" spans="1:42" x14ac:dyDescent="0.25">
      <c r="A194" s="103" t="s">
        <v>267</v>
      </c>
      <c r="B194" s="135" t="s">
        <v>665</v>
      </c>
      <c r="C194">
        <f>IFERROR(VLOOKUP(vcost[[#This Row],[setting]],$A$6:$E$141,3,FALSE)+$J$6+VLOOKUP(vcost[[#This Row],[setting]],$O$6:$AA$141,2,FALSE),0)</f>
        <v>3.5763010422925561</v>
      </c>
      <c r="D194">
        <f>IFERROR(VLOOKUP(vcost[[#This Row],[setting]],$A$6:$E$141,3,FALSE)+$J$6+VLOOKUP(vcost[[#This Row],[setting]],$O$6:$AA$141,2,FALSE)+VLOOKUP(vcost[[#This Row],[gbd_super]],$AH$6:$AK$11,2,FALSE),0)</f>
        <v>3.5963010422925561</v>
      </c>
      <c r="E194">
        <f>IFERROR(VLOOKUP(vcost[[#This Row],[setting]],$A$6:$E$141,3,FALSE)+VLOOKUP(vcost[[#This Row],[setting]],$O$6:$AA$141,5,FALSE),0)</f>
        <v>3.1384817678145147</v>
      </c>
      <c r="F194" s="33">
        <f>IFERROR(VLOOKUP(vcost[[#This Row],[setting]],$A$6:$E$141,3,FALSE)+VLOOKUP(vcost[[#This Row],[setting]],$O$6:$AA$141,5,FALSE)+VLOOKUP(vcost[[#This Row],[gbd_super]],$AH$6:$AK$11,2,FALSE),0)</f>
        <v>3.1584817678145147</v>
      </c>
      <c r="G194" s="33">
        <f>IFERROR(VLOOKUP(vcost[[#This Row],[setting]],$A$6:$E$141,3,FALSE)+VLOOKUP(vcost[[#This Row],[setting]],$O$6:$AA$141,8,FALSE)+VLOOKUP(vcost[[#This Row],[gbd_super]],$AH$6:$AK$11,2,FALSE),0)</f>
        <v>3.1503284227452526</v>
      </c>
      <c r="H194">
        <f>IFERROR(VLOOKUP(vcost[[#This Row],[setting]],$A$6:$E$141,3,FALSE)+$J$8+VLOOKUP(vcost[[#This Row],[setting]],$O$6:$AA$141,11,FALSE),0)</f>
        <v>3.8223456589090827</v>
      </c>
      <c r="I194" s="33">
        <f>IFERROR(VLOOKUP(vcost[[#This Row],[setting]],$A$6:$E$141,3,FALSE)+$J$8+VLOOKUP(vcost[[#This Row],[setting]],$O$6:$AA$141,11,FALSE)+VLOOKUP(vcost[[#This Row],[gbd_super]],$AH$6:$AK$11,2,FALSE),0)</f>
        <v>3.8423456589090828</v>
      </c>
      <c r="O194" s="103" t="s">
        <v>267</v>
      </c>
      <c r="P194" s="135" t="s">
        <v>665</v>
      </c>
      <c r="Q194" s="33">
        <f>IFERROR(VLOOKUP(vcost_lb[[#This Row],[setting]],$A$6:$E$141,4,FALSE)+$K$6+VLOOKUP(vcost_lb[[#This Row],[setting]],$O$6:$AA$141,3,FALSE),0)</f>
        <v>1.5043858123933818</v>
      </c>
      <c r="R194" s="33">
        <f>IFERROR(VLOOKUP(vcost_lb[[#This Row],[setting]],$A$6:$E$141,4,FALSE)+$K$6+VLOOKUP(vcost_lb[[#This Row],[setting]],$O$6:$AA$141,3,FALSE)+VLOOKUP(vcost_lb[[#This Row],[gbd_super]],$AH$6:$AK$11,3,FALSE),0)</f>
        <v>1.5250958123933818</v>
      </c>
      <c r="S194" s="33">
        <f>IFERROR(VLOOKUP(vcost_lb[[#This Row],[setting]],$A$6:$E$141,4,FALSE)+VLOOKUP(vcost_lb[[#This Row],[setting]],$O$6:$AA$141,6,FALSE),0)</f>
        <v>1.1342669525095495</v>
      </c>
      <c r="T194" s="33">
        <f>IFERROR(VLOOKUP(vcost_lb[[#This Row],[setting]],$A$6:$E$141,4,FALSE)+VLOOKUP(vcost_lb[[#This Row],[setting]],$O$6:$AA$141,6,FALSE)+VLOOKUP(vcost_lb[[#This Row],[gbd_super]],$AH$6:$AK$11,3,FALSE),0)</f>
        <v>1.1549769525095495</v>
      </c>
      <c r="U194" s="33">
        <f>IFERROR(VLOOKUP(vcost_lb[[#This Row],[setting]],$A$6:$E$141,4,FALSE)+VLOOKUP(vcost_lb[[#This Row],[setting]],$O$6:$AA$141,9,FALSE)+VLOOKUP(vcost_lb[[#This Row],[gbd_super]],$AH$6:$AK$11,3,FALSE),0)</f>
        <v>1.1496129097008243</v>
      </c>
      <c r="V194" s="33">
        <f>IFERROR(VLOOKUP(vcost_lb[[#This Row],[setting]],$A$6:$E$141,4,FALSE)+$K$8+VLOOKUP(vcost_lb[[#This Row],[setting]],$O$6:$AA$141,12,FALSE),0)</f>
        <v>1.7176497125792363</v>
      </c>
      <c r="W194" s="33">
        <f>IFERROR(VLOOKUP(vcost_lb[[#This Row],[setting]],$A$6:$E$141,4,FALSE)+$K$8+VLOOKUP(vcost_lb[[#This Row],[setting]],$O$6:$AA$141,12,FALSE)+VLOOKUP(vcost_lb[[#This Row],[gbd_super]],$AH$6:$AK$11,3,FALSE),0)</f>
        <v>1.7383597125792363</v>
      </c>
      <c r="AH194" s="103" t="s">
        <v>267</v>
      </c>
      <c r="AI194" s="135" t="s">
        <v>665</v>
      </c>
      <c r="AJ194" s="33">
        <f>IFERROR(VLOOKUP(vcost_ub[[#This Row],[setting]],$A$6:$E$141,5,FALSE)+$L$6+VLOOKUP(vcost_ub[[#This Row],[setting]],$O$6:$AA$141,4,FALSE),0)</f>
        <v>7.6846152565058778</v>
      </c>
      <c r="AK194" s="33">
        <f>IFERROR(VLOOKUP(vcost_ub[[#This Row],[setting]],$A$6:$E$141,5,FALSE)+$L$6+VLOOKUP(vcost_ub[[#This Row],[setting]],$O$6:$AA$141,4,FALSE)+VLOOKUP(vcost_ub[[#This Row],[gbd_super]],$AH$6:$AK$11,4,FALSE),0)</f>
        <v>7.7075052565058781</v>
      </c>
      <c r="AL194" s="33">
        <f>IFERROR(VLOOKUP(vcost_ub[[#This Row],[setting]],$A$6:$E$141,5,FALSE)+VLOOKUP(vcost_ub[[#This Row],[setting]],$O$6:$AA$141,7,FALSE),0)</f>
        <v>7.1635678100381979</v>
      </c>
      <c r="AM194" s="33">
        <f>IFERROR(VLOOKUP(vcost_ub[[#This Row],[setting]],$A$6:$E$141,5,FALSE)+VLOOKUP(vcost_ub[[#This Row],[setting]],$O$6:$AA$141,7,FALSE)+VLOOKUP(vcost_ub[[#This Row],[gbd_super]],$AH$6:$AK$11,4,FALSE),0)</f>
        <v>7.1864578100381982</v>
      </c>
      <c r="AN194" s="33">
        <f>IFERROR(VLOOKUP(vcost_ub[[#This Row],[setting]],$A$6:$E$141,5,FALSE)+VLOOKUP(vcost_ub[[#This Row],[setting]],$O$6:$AA$141,10,FALSE)+VLOOKUP(vcost_ub[[#This Row],[gbd_super]],$AH$6:$AK$11,4,FALSE),0)</f>
        <v>7.1650016388032975</v>
      </c>
      <c r="AO194" s="33">
        <f>IFERROR(VLOOKUP(vcost_ub[[#This Row],[setting]],$A$6:$E$141,5,FALSE)+$L$8+VLOOKUP(vcost_ub[[#This Row],[setting]],$O$6:$AA$141,13,FALSE),0)</f>
        <v>7.9589642750471556</v>
      </c>
      <c r="AP194" s="33">
        <f>IFERROR(VLOOKUP(vcost_ub[[#This Row],[setting]],$A$6:$E$141,5,FALSE)+$L$8+VLOOKUP(vcost_ub[[#This Row],[setting]],$O$6:$AA$141,13,FALSE)+VLOOKUP(vcost_ub[[#This Row],[gbd_super]],$AH$6:$AK$11,4,FALSE),0)</f>
        <v>7.9818542750471559</v>
      </c>
    </row>
    <row r="195" spans="1:42" x14ac:dyDescent="0.25">
      <c r="A195" s="100" t="s">
        <v>158</v>
      </c>
      <c r="B195" s="134" t="s">
        <v>579</v>
      </c>
      <c r="C195">
        <f>IFERROR(VLOOKUP(vcost[[#This Row],[setting]],$A$6:$E$141,3,FALSE)+$J$6+VLOOKUP(vcost[[#This Row],[setting]],$O$6:$AA$141,2,FALSE),0)</f>
        <v>2.7684170020583592</v>
      </c>
      <c r="D195">
        <f>IFERROR(VLOOKUP(vcost[[#This Row],[setting]],$A$6:$E$141,3,FALSE)+$J$6+VLOOKUP(vcost[[#This Row],[setting]],$O$6:$AA$141,2,FALSE)+VLOOKUP(vcost[[#This Row],[gbd_super]],$AH$6:$AK$11,2,FALSE),0)</f>
        <v>3.2484170020583591</v>
      </c>
      <c r="E195">
        <f>IFERROR(VLOOKUP(vcost[[#This Row],[setting]],$A$6:$E$141,3,FALSE)+VLOOKUP(vcost[[#This Row],[setting]],$O$6:$AA$141,5,FALSE),0)</f>
        <v>2.3329781440009412</v>
      </c>
      <c r="F195" s="33">
        <f>IFERROR(VLOOKUP(vcost[[#This Row],[setting]],$A$6:$E$141,3,FALSE)+VLOOKUP(vcost[[#This Row],[setting]],$O$6:$AA$141,5,FALSE)+VLOOKUP(vcost[[#This Row],[gbd_super]],$AH$6:$AK$11,2,FALSE),0)</f>
        <v>2.8129781440009411</v>
      </c>
      <c r="G195" s="33">
        <f>IFERROR(VLOOKUP(vcost[[#This Row],[setting]],$A$6:$E$141,3,FALSE)+VLOOKUP(vcost[[#This Row],[setting]],$O$6:$AA$141,8,FALSE)+VLOOKUP(vcost[[#This Row],[gbd_super]],$AH$6:$AK$11,2,FALSE),0)</f>
        <v>2.805998505295368</v>
      </c>
      <c r="H195">
        <f>IFERROR(VLOOKUP(vcost[[#This Row],[setting]],$A$6:$E$141,3,FALSE)+$J$8+VLOOKUP(vcost[[#This Row],[setting]],$O$6:$AA$141,11,FALSE),0)</f>
        <v>3.0136035615930341</v>
      </c>
      <c r="I195" s="33">
        <f>IFERROR(VLOOKUP(vcost[[#This Row],[setting]],$A$6:$E$141,3,FALSE)+$J$8+VLOOKUP(vcost[[#This Row],[setting]],$O$6:$AA$141,11,FALSE)+VLOOKUP(vcost[[#This Row],[gbd_super]],$AH$6:$AK$11,2,FALSE),0)</f>
        <v>3.4936035615930341</v>
      </c>
      <c r="O195" s="100" t="s">
        <v>158</v>
      </c>
      <c r="P195" s="134" t="s">
        <v>579</v>
      </c>
      <c r="Q195" s="33">
        <f>IFERROR(VLOOKUP(vcost_lb[[#This Row],[setting]],$A$6:$E$141,4,FALSE)+$K$6+VLOOKUP(vcost_lb[[#This Row],[setting]],$O$6:$AA$141,3,FALSE),0)</f>
        <v>1.1930330752334639</v>
      </c>
      <c r="R195" s="33">
        <f>IFERROR(VLOOKUP(vcost_lb[[#This Row],[setting]],$A$6:$E$141,4,FALSE)+$K$6+VLOOKUP(vcost_lb[[#This Row],[setting]],$O$6:$AA$141,3,FALSE)+VLOOKUP(vcost_lb[[#This Row],[gbd_super]],$AH$6:$AK$11,3,FALSE),0)</f>
        <v>1.6486530752334638</v>
      </c>
      <c r="S195" s="33">
        <f>IFERROR(VLOOKUP(vcost_lb[[#This Row],[setting]],$A$6:$E$141,4,FALSE)+VLOOKUP(vcost_lb[[#This Row],[setting]],$O$6:$AA$141,6,FALSE),0)</f>
        <v>0.82388298947430361</v>
      </c>
      <c r="T195" s="33">
        <f>IFERROR(VLOOKUP(vcost_lb[[#This Row],[setting]],$A$6:$E$141,4,FALSE)+VLOOKUP(vcost_lb[[#This Row],[setting]],$O$6:$AA$141,6,FALSE)+VLOOKUP(vcost_lb[[#This Row],[gbd_super]],$AH$6:$AK$11,3,FALSE),0)</f>
        <v>1.2795029894743037</v>
      </c>
      <c r="U195" s="33">
        <f>IFERROR(VLOOKUP(vcost_lb[[#This Row],[setting]],$A$6:$E$141,4,FALSE)+VLOOKUP(vcost_lb[[#This Row],[setting]],$O$6:$AA$141,9,FALSE)+VLOOKUP(vcost_lb[[#This Row],[gbd_super]],$AH$6:$AK$11,3,FALSE),0)</f>
        <v>1.2749111219048475</v>
      </c>
      <c r="V195" s="33">
        <f>IFERROR(VLOOKUP(vcost_lb[[#This Row],[setting]],$A$6:$E$141,4,FALSE)+$K$8+VLOOKUP(vcost_lb[[#This Row],[setting]],$O$6:$AA$141,12,FALSE),0)</f>
        <v>1.4058817865087447</v>
      </c>
      <c r="W195" s="33">
        <f>IFERROR(VLOOKUP(vcost_lb[[#This Row],[setting]],$A$6:$E$141,4,FALSE)+$K$8+VLOOKUP(vcost_lb[[#This Row],[setting]],$O$6:$AA$141,12,FALSE)+VLOOKUP(vcost_lb[[#This Row],[gbd_super]],$AH$6:$AK$11,3,FALSE),0)</f>
        <v>1.8615017865087449</v>
      </c>
      <c r="AH195" s="100" t="s">
        <v>158</v>
      </c>
      <c r="AI195" s="134" t="s">
        <v>579</v>
      </c>
      <c r="AJ195" s="33">
        <f>IFERROR(VLOOKUP(vcost_ub[[#This Row],[setting]],$A$6:$E$141,5,FALSE)+$L$6+VLOOKUP(vcost_ub[[#This Row],[setting]],$O$6:$AA$141,4,FALSE),0)</f>
        <v>5.7999676848699941</v>
      </c>
      <c r="AK195" s="33">
        <f>IFERROR(VLOOKUP(vcost_ub[[#This Row],[setting]],$A$6:$E$141,5,FALSE)+$L$6+VLOOKUP(vcost_ub[[#This Row],[setting]],$O$6:$AA$141,4,FALSE)+VLOOKUP(vcost_ub[[#This Row],[gbd_super]],$AH$6:$AK$11,4,FALSE),0)</f>
        <v>6.3035476848699945</v>
      </c>
      <c r="AL195" s="33">
        <f>IFERROR(VLOOKUP(vcost_ub[[#This Row],[setting]],$A$6:$E$141,5,FALSE)+VLOOKUP(vcost_ub[[#This Row],[setting]],$O$6:$AA$141,7,FALSE),0)</f>
        <v>5.2834319578972142</v>
      </c>
      <c r="AM195" s="33">
        <f>IFERROR(VLOOKUP(vcost_ub[[#This Row],[setting]],$A$6:$E$141,5,FALSE)+VLOOKUP(vcost_ub[[#This Row],[setting]],$O$6:$AA$141,7,FALSE)+VLOOKUP(vcost_ub[[#This Row],[gbd_super]],$AH$6:$AK$11,4,FALSE),0)</f>
        <v>5.7870119578972146</v>
      </c>
      <c r="AN195" s="33">
        <f>IFERROR(VLOOKUP(vcost_ub[[#This Row],[setting]],$A$6:$E$141,5,FALSE)+VLOOKUP(vcost_ub[[#This Row],[setting]],$O$6:$AA$141,10,FALSE)+VLOOKUP(vcost_ub[[#This Row],[gbd_super]],$AH$6:$AK$11,4,FALSE),0)</f>
        <v>5.7686444876193894</v>
      </c>
      <c r="AO195" s="33">
        <f>IFERROR(VLOOKUP(vcost_ub[[#This Row],[setting]],$A$6:$E$141,5,FALSE)+$L$8+VLOOKUP(vcost_ub[[#This Row],[setting]],$O$6:$AA$141,13,FALSE),0)</f>
        <v>6.0732925707651884</v>
      </c>
      <c r="AP195" s="33">
        <f>IFERROR(VLOOKUP(vcost_ub[[#This Row],[setting]],$A$6:$E$141,5,FALSE)+$L$8+VLOOKUP(vcost_ub[[#This Row],[setting]],$O$6:$AA$141,13,FALSE)+VLOOKUP(vcost_ub[[#This Row],[gbd_super]],$AH$6:$AK$11,4,FALSE),0)</f>
        <v>6.5768725707651887</v>
      </c>
    </row>
    <row r="196" spans="1:42" x14ac:dyDescent="0.25">
      <c r="A196" s="103" t="s">
        <v>255</v>
      </c>
      <c r="B196" s="135" t="s">
        <v>665</v>
      </c>
      <c r="C196">
        <f>IFERROR(VLOOKUP(vcost[[#This Row],[setting]],$A$6:$E$141,3,FALSE)+$J$6+VLOOKUP(vcost[[#This Row],[setting]],$O$6:$AA$141,2,FALSE),0)</f>
        <v>3.4120295872190045</v>
      </c>
      <c r="D196">
        <f>IFERROR(VLOOKUP(vcost[[#This Row],[setting]],$A$6:$E$141,3,FALSE)+$J$6+VLOOKUP(vcost[[#This Row],[setting]],$O$6:$AA$141,2,FALSE)+VLOOKUP(vcost[[#This Row],[gbd_super]],$AH$6:$AK$11,2,FALSE),0)</f>
        <v>3.4320295872190045</v>
      </c>
      <c r="E196">
        <f>IFERROR(VLOOKUP(vcost[[#This Row],[setting]],$A$6:$E$141,3,FALSE)+VLOOKUP(vcost[[#This Row],[setting]],$O$6:$AA$141,5,FALSE),0)</f>
        <v>2.9684618259281574</v>
      </c>
      <c r="F196" s="33">
        <f>IFERROR(VLOOKUP(vcost[[#This Row],[setting]],$A$6:$E$141,3,FALSE)+VLOOKUP(vcost[[#This Row],[setting]],$O$6:$AA$141,5,FALSE)+VLOOKUP(vcost[[#This Row],[gbd_super]],$AH$6:$AK$11,2,FALSE),0)</f>
        <v>2.9884618259281575</v>
      </c>
      <c r="G196" s="33">
        <f>IFERROR(VLOOKUP(vcost[[#This Row],[setting]],$A$6:$E$141,3,FALSE)+VLOOKUP(vcost[[#This Row],[setting]],$O$6:$AA$141,8,FALSE)+VLOOKUP(vcost[[#This Row],[gbd_super]],$AH$6:$AK$11,2,FALSE),0)</f>
        <v>2.9775863334208932</v>
      </c>
      <c r="H196">
        <f>IFERROR(VLOOKUP(vcost[[#This Row],[setting]],$A$6:$E$141,3,FALSE)+$J$8+VLOOKUP(vcost[[#This Row],[setting]],$O$6:$AA$141,11,FALSE),0)</f>
        <v>3.6601463328029382</v>
      </c>
      <c r="I196" s="33">
        <f>IFERROR(VLOOKUP(vcost[[#This Row],[setting]],$A$6:$E$141,3,FALSE)+$J$8+VLOOKUP(vcost[[#This Row],[setting]],$O$6:$AA$141,11,FALSE)+VLOOKUP(vcost[[#This Row],[gbd_super]],$AH$6:$AK$11,2,FALSE),0)</f>
        <v>3.6801463328029382</v>
      </c>
      <c r="O196" s="103" t="s">
        <v>255</v>
      </c>
      <c r="P196" s="135" t="s">
        <v>665</v>
      </c>
      <c r="Q196" s="33">
        <f>IFERROR(VLOOKUP(vcost_lb[[#This Row],[setting]],$A$6:$E$141,4,FALSE)+$K$6+VLOOKUP(vcost_lb[[#This Row],[setting]],$O$6:$AA$141,3,FALSE),0)</f>
        <v>1.4997674563362715</v>
      </c>
      <c r="R196" s="33">
        <f>IFERROR(VLOOKUP(vcost_lb[[#This Row],[setting]],$A$6:$E$141,4,FALSE)+$K$6+VLOOKUP(vcost_lb[[#This Row],[setting]],$O$6:$AA$141,3,FALSE)+VLOOKUP(vcost_lb[[#This Row],[gbd_super]],$AH$6:$AK$11,3,FALSE),0)</f>
        <v>1.5204774563362715</v>
      </c>
      <c r="S196" s="33">
        <f>IFERROR(VLOOKUP(vcost_lb[[#This Row],[setting]],$A$6:$E$141,4,FALSE)+VLOOKUP(vcost_lb[[#This Row],[setting]],$O$6:$AA$141,6,FALSE),0)</f>
        <v>1.1273090960053669</v>
      </c>
      <c r="T196" s="33">
        <f>IFERROR(VLOOKUP(vcost_lb[[#This Row],[setting]],$A$6:$E$141,4,FALSE)+VLOOKUP(vcost_lb[[#This Row],[setting]],$O$6:$AA$141,6,FALSE)+VLOOKUP(vcost_lb[[#This Row],[gbd_super]],$AH$6:$AK$11,3,FALSE),0)</f>
        <v>1.1480190960053669</v>
      </c>
      <c r="U196" s="33">
        <f>IFERROR(VLOOKUP(vcost_lb[[#This Row],[setting]],$A$6:$E$141,4,FALSE)+VLOOKUP(vcost_lb[[#This Row],[setting]],$O$6:$AA$141,9,FALSE)+VLOOKUP(vcost_lb[[#This Row],[gbd_super]],$AH$6:$AK$11,3,FALSE),0)</f>
        <v>1.140864166724272</v>
      </c>
      <c r="V196" s="33">
        <f>IFERROR(VLOOKUP(vcost_lb[[#This Row],[setting]],$A$6:$E$141,4,FALSE)+$K$8+VLOOKUP(vcost_lb[[#This Row],[setting]],$O$6:$AA$141,12,FALSE),0)</f>
        <v>1.7140339995708711</v>
      </c>
      <c r="W196" s="33">
        <f>IFERROR(VLOOKUP(vcost_lb[[#This Row],[setting]],$A$6:$E$141,4,FALSE)+$K$8+VLOOKUP(vcost_lb[[#This Row],[setting]],$O$6:$AA$141,12,FALSE)+VLOOKUP(vcost_lb[[#This Row],[gbd_super]],$AH$6:$AK$11,3,FALSE),0)</f>
        <v>1.7347439995708711</v>
      </c>
      <c r="AH196" s="103" t="s">
        <v>255</v>
      </c>
      <c r="AI196" s="135" t="s">
        <v>665</v>
      </c>
      <c r="AJ196" s="33">
        <f>IFERROR(VLOOKUP(vcost_ub[[#This Row],[setting]],$A$6:$E$141,5,FALSE)+$L$6+VLOOKUP(vcost_ub[[#This Row],[setting]],$O$6:$AA$141,4,FALSE),0)</f>
        <v>7.1526792182855141</v>
      </c>
      <c r="AK196" s="33">
        <f>IFERROR(VLOOKUP(vcost_ub[[#This Row],[setting]],$A$6:$E$141,5,FALSE)+$L$6+VLOOKUP(vcost_ub[[#This Row],[setting]],$O$6:$AA$141,4,FALSE)+VLOOKUP(vcost_ub[[#This Row],[gbd_super]],$AH$6:$AK$11,4,FALSE),0)</f>
        <v>7.1755692182855144</v>
      </c>
      <c r="AL196" s="33">
        <f>IFERROR(VLOOKUP(vcost_ub[[#This Row],[setting]],$A$6:$E$141,5,FALSE)+VLOOKUP(vcost_ub[[#This Row],[setting]],$O$6:$AA$141,7,FALSE),0)</f>
        <v>6.6207363840214679</v>
      </c>
      <c r="AM196" s="33">
        <f>IFERROR(VLOOKUP(vcost_ub[[#This Row],[setting]],$A$6:$E$141,5,FALSE)+VLOOKUP(vcost_ub[[#This Row],[setting]],$O$6:$AA$141,7,FALSE)+VLOOKUP(vcost_ub[[#This Row],[gbd_super]],$AH$6:$AK$11,4,FALSE),0)</f>
        <v>6.6436263840214682</v>
      </c>
      <c r="AN196" s="33">
        <f>IFERROR(VLOOKUP(vcost_ub[[#This Row],[setting]],$A$6:$E$141,5,FALSE)+VLOOKUP(vcost_ub[[#This Row],[setting]],$O$6:$AA$141,10,FALSE)+VLOOKUP(vcost_ub[[#This Row],[gbd_super]],$AH$6:$AK$11,4,FALSE),0)</f>
        <v>6.6150066668970888</v>
      </c>
      <c r="AO196" s="33">
        <f>IFERROR(VLOOKUP(vcost_ub[[#This Row],[setting]],$A$6:$E$141,5,FALSE)+$L$8+VLOOKUP(vcost_ub[[#This Row],[setting]],$O$6:$AA$141,13,FALSE),0)</f>
        <v>7.4295014230136953</v>
      </c>
      <c r="AP196" s="33">
        <f>IFERROR(VLOOKUP(vcost_ub[[#This Row],[setting]],$A$6:$E$141,5,FALSE)+$L$8+VLOOKUP(vcost_ub[[#This Row],[setting]],$O$6:$AA$141,13,FALSE)+VLOOKUP(vcost_ub[[#This Row],[gbd_super]],$AH$6:$AK$11,4,FALSE),0)</f>
        <v>7.4523914230136956</v>
      </c>
    </row>
    <row r="197" spans="1:42" x14ac:dyDescent="0.25">
      <c r="A197" s="100" t="s">
        <v>128</v>
      </c>
      <c r="B197" s="134" t="s">
        <v>667</v>
      </c>
      <c r="C197">
        <f>IFERROR(VLOOKUP(vcost[[#This Row],[setting]],$A$6:$E$141,3,FALSE)+$J$6+VLOOKUP(vcost[[#This Row],[setting]],$O$6:$AA$141,2,FALSE),0)</f>
        <v>1.9091699317871178</v>
      </c>
      <c r="D197">
        <f>IFERROR(VLOOKUP(vcost[[#This Row],[setting]],$A$6:$E$141,3,FALSE)+$J$6+VLOOKUP(vcost[[#This Row],[setting]],$O$6:$AA$141,2,FALSE)+VLOOKUP(vcost[[#This Row],[gbd_super]],$AH$6:$AK$11,2,FALSE),0)</f>
        <v>6.7391699317871181</v>
      </c>
      <c r="E197">
        <f>IFERROR(VLOOKUP(vcost[[#This Row],[setting]],$A$6:$E$141,3,FALSE)+VLOOKUP(vcost[[#This Row],[setting]],$O$6:$AA$141,5,FALSE),0)</f>
        <v>1.4651029752317166</v>
      </c>
      <c r="F197" s="33">
        <f>IFERROR(VLOOKUP(vcost[[#This Row],[setting]],$A$6:$E$141,3,FALSE)+VLOOKUP(vcost[[#This Row],[setting]],$O$6:$AA$141,5,FALSE)+VLOOKUP(vcost[[#This Row],[gbd_super]],$AH$6:$AK$11,2,FALSE),0)</f>
        <v>6.2951029752317167</v>
      </c>
      <c r="G197" s="33">
        <f>IFERROR(VLOOKUP(vcost[[#This Row],[setting]],$A$6:$E$141,3,FALSE)+VLOOKUP(vcost[[#This Row],[setting]],$O$6:$AA$141,8,FALSE)+VLOOKUP(vcost[[#This Row],[gbd_super]],$AH$6:$AK$11,2,FALSE),0)</f>
        <v>6.2843986740763143</v>
      </c>
      <c r="H197">
        <f>IFERROR(VLOOKUP(vcost[[#This Row],[setting]],$A$6:$E$141,3,FALSE)+$J$8+VLOOKUP(vcost[[#This Row],[setting]],$O$6:$AA$141,11,FALSE),0)</f>
        <v>2.1574666198501347</v>
      </c>
      <c r="I197" s="33">
        <f>IFERROR(VLOOKUP(vcost[[#This Row],[setting]],$A$6:$E$141,3,FALSE)+$J$8+VLOOKUP(vcost[[#This Row],[setting]],$O$6:$AA$141,11,FALSE)+VLOOKUP(vcost[[#This Row],[gbd_super]],$AH$6:$AK$11,2,FALSE),0)</f>
        <v>6.9874666198501352</v>
      </c>
      <c r="O197" s="100" t="s">
        <v>128</v>
      </c>
      <c r="P197" s="134" t="s">
        <v>667</v>
      </c>
      <c r="Q197" s="33">
        <f>IFERROR(VLOOKUP(vcost_lb[[#This Row],[setting]],$A$6:$E$141,4,FALSE)+$K$6+VLOOKUP(vcost_lb[[#This Row],[setting]],$O$6:$AA$141,3,FALSE),0)</f>
        <v>0.48056084700472573</v>
      </c>
      <c r="R197" s="33">
        <f>IFERROR(VLOOKUP(vcost_lb[[#This Row],[setting]],$A$6:$E$141,4,FALSE)+$K$6+VLOOKUP(vcost_lb[[#This Row],[setting]],$O$6:$AA$141,3,FALSE)+VLOOKUP(vcost_lb[[#This Row],[gbd_super]],$AH$6:$AK$11,3,FALSE),0)</f>
        <v>5.0678258470047259</v>
      </c>
      <c r="S197" s="33">
        <f>IFERROR(VLOOKUP(vcost_lb[[#This Row],[setting]],$A$6:$E$141,4,FALSE)+VLOOKUP(vcost_lb[[#This Row],[setting]],$O$6:$AA$141,6,FALSE),0)</f>
        <v>0.10789932581033998</v>
      </c>
      <c r="T197" s="33">
        <f>IFERROR(VLOOKUP(vcost_lb[[#This Row],[setting]],$A$6:$E$141,4,FALSE)+VLOOKUP(vcost_lb[[#This Row],[setting]],$O$6:$AA$141,6,FALSE)+VLOOKUP(vcost_lb[[#This Row],[gbd_super]],$AH$6:$AK$11,3,FALSE),0)</f>
        <v>4.6951643258103406</v>
      </c>
      <c r="U197" s="33">
        <f>IFERROR(VLOOKUP(vcost_lb[[#This Row],[setting]],$A$6:$E$141,4,FALSE)+VLOOKUP(vcost_lb[[#This Row],[setting]],$O$6:$AA$141,9,FALSE)+VLOOKUP(vcost_lb[[#This Row],[gbd_super]],$AH$6:$AK$11,3,FALSE),0)</f>
        <v>4.6881220224186286</v>
      </c>
      <c r="V197" s="33">
        <f>IFERROR(VLOOKUP(vcost_lb[[#This Row],[setting]],$A$6:$E$141,4,FALSE)+$K$8+VLOOKUP(vcost_lb[[#This Row],[setting]],$O$6:$AA$141,12,FALSE),0)</f>
        <v>0.6949144591808174</v>
      </c>
      <c r="W197" s="33">
        <f>IFERROR(VLOOKUP(vcost_lb[[#This Row],[setting]],$A$6:$E$141,4,FALSE)+$K$8+VLOOKUP(vcost_lb[[#This Row],[setting]],$O$6:$AA$141,12,FALSE)+VLOOKUP(vcost_lb[[#This Row],[gbd_super]],$AH$6:$AK$11,3,FALSE),0)</f>
        <v>5.282179459180818</v>
      </c>
      <c r="AH197" s="100" t="s">
        <v>128</v>
      </c>
      <c r="AI197" s="134" t="s">
        <v>667</v>
      </c>
      <c r="AJ197" s="33">
        <f>IFERROR(VLOOKUP(vcost_ub[[#This Row],[setting]],$A$6:$E$141,5,FALSE)+$L$6+VLOOKUP(vcost_ub[[#This Row],[setting]],$O$6:$AA$141,4,FALSE),0)</f>
        <v>7.5564862866696174</v>
      </c>
      <c r="AK197" s="33">
        <f>IFERROR(VLOOKUP(vcost_ub[[#This Row],[setting]],$A$6:$E$141,5,FALSE)+$L$6+VLOOKUP(vcost_ub[[#This Row],[setting]],$O$6:$AA$141,4,FALSE)+VLOOKUP(vcost_ub[[#This Row],[gbd_super]],$AH$6:$AK$11,4,FALSE),0)</f>
        <v>12.626621286669618</v>
      </c>
      <c r="AL197" s="33">
        <f>IFERROR(VLOOKUP(vcost_ub[[#This Row],[setting]],$A$6:$E$141,5,FALSE)+VLOOKUP(vcost_ub[[#This Row],[setting]],$O$6:$AA$141,7,FALSE),0)</f>
        <v>7.0235973032413597</v>
      </c>
      <c r="AM197" s="33">
        <f>IFERROR(VLOOKUP(vcost_ub[[#This Row],[setting]],$A$6:$E$141,5,FALSE)+VLOOKUP(vcost_ub[[#This Row],[setting]],$O$6:$AA$141,7,FALSE)+VLOOKUP(vcost_ub[[#This Row],[gbd_super]],$AH$6:$AK$11,4,FALSE),0)</f>
        <v>12.09373230324136</v>
      </c>
      <c r="AN197" s="33">
        <f>IFERROR(VLOOKUP(vcost_ub[[#This Row],[setting]],$A$6:$E$141,5,FALSE)+VLOOKUP(vcost_ub[[#This Row],[setting]],$O$6:$AA$141,10,FALSE)+VLOOKUP(vcost_ub[[#This Row],[gbd_super]],$AH$6:$AK$11,4,FALSE),0)</f>
        <v>12.065563089674512</v>
      </c>
      <c r="AO197" s="33">
        <f>IFERROR(VLOOKUP(vcost_ub[[#This Row],[setting]],$A$6:$E$141,5,FALSE)+$L$8+VLOOKUP(vcost_ub[[#This Row],[setting]],$O$6:$AA$141,13,FALSE),0)</f>
        <v>7.8335232614534798</v>
      </c>
      <c r="AP197" s="33">
        <f>IFERROR(VLOOKUP(vcost_ub[[#This Row],[setting]],$A$6:$E$141,5,FALSE)+$L$8+VLOOKUP(vcost_ub[[#This Row],[setting]],$O$6:$AA$141,13,FALSE)+VLOOKUP(vcost_ub[[#This Row],[gbd_super]],$AH$6:$AK$11,4,FALSE),0)</f>
        <v>12.903658261453479</v>
      </c>
    </row>
    <row r="198" spans="1:42" x14ac:dyDescent="0.25">
      <c r="A198" s="103" t="s">
        <v>104</v>
      </c>
      <c r="B198" s="135" t="s">
        <v>667</v>
      </c>
      <c r="C198">
        <f>IFERROR(VLOOKUP(vcost[[#This Row],[setting]],$A$6:$E$141,3,FALSE)+$J$6+VLOOKUP(vcost[[#This Row],[setting]],$O$6:$AA$141,2,FALSE),0)</f>
        <v>4.0126984988123064</v>
      </c>
      <c r="D198">
        <f>IFERROR(VLOOKUP(vcost[[#This Row],[setting]],$A$6:$E$141,3,FALSE)+$J$6+VLOOKUP(vcost[[#This Row],[setting]],$O$6:$AA$141,2,FALSE)+VLOOKUP(vcost[[#This Row],[gbd_super]],$AH$6:$AK$11,2,FALSE),0)</f>
        <v>8.8426984988123074</v>
      </c>
      <c r="E198">
        <f>IFERROR(VLOOKUP(vcost[[#This Row],[setting]],$A$6:$E$141,3,FALSE)+VLOOKUP(vcost[[#This Row],[setting]],$O$6:$AA$141,5,FALSE),0)</f>
        <v>3.5892669943299533</v>
      </c>
      <c r="F198" s="33">
        <f>IFERROR(VLOOKUP(vcost[[#This Row],[setting]],$A$6:$E$141,3,FALSE)+VLOOKUP(vcost[[#This Row],[setting]],$O$6:$AA$141,5,FALSE)+VLOOKUP(vcost[[#This Row],[gbd_super]],$AH$6:$AK$11,2,FALSE),0)</f>
        <v>8.4192669943299538</v>
      </c>
      <c r="G198" s="33">
        <f>IFERROR(VLOOKUP(vcost[[#This Row],[setting]],$A$6:$E$141,3,FALSE)+VLOOKUP(vcost[[#This Row],[setting]],$O$6:$AA$141,8,FALSE)+VLOOKUP(vcost[[#This Row],[gbd_super]],$AH$6:$AK$11,2,FALSE),0)</f>
        <v>8.417188165952604</v>
      </c>
      <c r="H198">
        <f>IFERROR(VLOOKUP(vcost[[#This Row],[setting]],$A$6:$E$141,3,FALSE)+$J$8+VLOOKUP(vcost[[#This Row],[setting]],$O$6:$AA$141,11,FALSE),0)</f>
        <v>4.2535568262443411</v>
      </c>
      <c r="I198" s="33">
        <f>IFERROR(VLOOKUP(vcost[[#This Row],[setting]],$A$6:$E$141,3,FALSE)+$J$8+VLOOKUP(vcost[[#This Row],[setting]],$O$6:$AA$141,11,FALSE)+VLOOKUP(vcost[[#This Row],[gbd_super]],$AH$6:$AK$11,2,FALSE),0)</f>
        <v>9.0835568262443402</v>
      </c>
      <c r="O198" s="103" t="s">
        <v>104</v>
      </c>
      <c r="P198" s="135" t="s">
        <v>667</v>
      </c>
      <c r="Q198" s="33">
        <f>IFERROR(VLOOKUP(vcost_lb[[#This Row],[setting]],$A$6:$E$141,4,FALSE)+$K$6+VLOOKUP(vcost_lb[[#This Row],[setting]],$O$6:$AA$141,3,FALSE),0)</f>
        <v>1.541665342048806</v>
      </c>
      <c r="R198" s="33">
        <f>IFERROR(VLOOKUP(vcost_lb[[#This Row],[setting]],$A$6:$E$141,4,FALSE)+$K$6+VLOOKUP(vcost_lb[[#This Row],[setting]],$O$6:$AA$141,3,FALSE)+VLOOKUP(vcost_lb[[#This Row],[gbd_super]],$AH$6:$AK$11,3,FALSE),0)</f>
        <v>6.1289303420488066</v>
      </c>
      <c r="S198" s="33">
        <f>IFERROR(VLOOKUP(vcost_lb[[#This Row],[setting]],$A$6:$E$141,4,FALSE)+VLOOKUP(vcost_lb[[#This Row],[setting]],$O$6:$AA$141,6,FALSE),0)</f>
        <v>1.1774019699539167</v>
      </c>
      <c r="T198" s="33">
        <f>IFERROR(VLOOKUP(vcost_lb[[#This Row],[setting]],$A$6:$E$141,4,FALSE)+VLOOKUP(vcost_lb[[#This Row],[setting]],$O$6:$AA$141,6,FALSE)+VLOOKUP(vcost_lb[[#This Row],[gbd_super]],$AH$6:$AK$11,3,FALSE),0)</f>
        <v>5.7646669699539173</v>
      </c>
      <c r="U198" s="33">
        <f>IFERROR(VLOOKUP(vcost_lb[[#This Row],[setting]],$A$6:$E$141,4,FALSE)+VLOOKUP(vcost_lb[[#This Row],[setting]],$O$6:$AA$141,9,FALSE)+VLOOKUP(vcost_lb[[#This Row],[gbd_super]],$AH$6:$AK$11,3,FALSE),0)</f>
        <v>5.763299319705661</v>
      </c>
      <c r="V198" s="33">
        <f>IFERROR(VLOOKUP(vcost_lb[[#This Row],[setting]],$A$6:$E$141,4,FALSE)+$K$8+VLOOKUP(vcost_lb[[#This Row],[setting]],$O$6:$AA$141,12,FALSE),0)</f>
        <v>1.7524197474679708</v>
      </c>
      <c r="W198" s="33">
        <f>IFERROR(VLOOKUP(vcost_lb[[#This Row],[setting]],$A$6:$E$141,4,FALSE)+$K$8+VLOOKUP(vcost_lb[[#This Row],[setting]],$O$6:$AA$141,12,FALSE)+VLOOKUP(vcost_lb[[#This Row],[gbd_super]],$AH$6:$AK$11,3,FALSE),0)</f>
        <v>6.3396847474679712</v>
      </c>
      <c r="AH198" s="103" t="s">
        <v>104</v>
      </c>
      <c r="AI198" s="135" t="s">
        <v>667</v>
      </c>
      <c r="AJ198" s="33">
        <f>IFERROR(VLOOKUP(vcost_ub[[#This Row],[setting]],$A$6:$E$141,5,FALSE)+$L$6+VLOOKUP(vcost_ub[[#This Row],[setting]],$O$6:$AA$141,4,FALSE),0)</f>
        <v>9.2821854831519843</v>
      </c>
      <c r="AK198" s="33">
        <f>IFERROR(VLOOKUP(vcost_ub[[#This Row],[setting]],$A$6:$E$141,5,FALSE)+$L$6+VLOOKUP(vcost_ub[[#This Row],[setting]],$O$6:$AA$141,4,FALSE)+VLOOKUP(vcost_ub[[#This Row],[gbd_super]],$AH$6:$AK$11,4,FALSE),0)</f>
        <v>14.352320483151985</v>
      </c>
      <c r="AL198" s="33">
        <f>IFERROR(VLOOKUP(vcost_ub[[#This Row],[setting]],$A$6:$E$141,5,FALSE)+VLOOKUP(vcost_ub[[#This Row],[setting]],$O$6:$AA$141,7,FALSE),0)</f>
        <v>8.7884078798156651</v>
      </c>
      <c r="AM198" s="33">
        <f>IFERROR(VLOOKUP(vcost_ub[[#This Row],[setting]],$A$6:$E$141,5,FALSE)+VLOOKUP(vcost_ub[[#This Row],[setting]],$O$6:$AA$141,7,FALSE)+VLOOKUP(vcost_ub[[#This Row],[gbd_super]],$AH$6:$AK$11,4,FALSE),0)</f>
        <v>13.858542879815666</v>
      </c>
      <c r="AN198" s="33">
        <f>IFERROR(VLOOKUP(vcost_ub[[#This Row],[setting]],$A$6:$E$141,5,FALSE)+VLOOKUP(vcost_ub[[#This Row],[setting]],$O$6:$AA$141,10,FALSE)+VLOOKUP(vcost_ub[[#This Row],[gbd_super]],$AH$6:$AK$11,4,FALSE),0)</f>
        <v>13.853072278822641</v>
      </c>
      <c r="AO198" s="33">
        <f>IFERROR(VLOOKUP(vcost_ub[[#This Row],[setting]],$A$6:$E$141,5,FALSE)+$L$8+VLOOKUP(vcost_ub[[#This Row],[setting]],$O$6:$AA$141,13,FALSE),0)</f>
        <v>9.5503444146020939</v>
      </c>
      <c r="AP198" s="33">
        <f>IFERROR(VLOOKUP(vcost_ub[[#This Row],[setting]],$A$6:$E$141,5,FALSE)+$L$8+VLOOKUP(vcost_ub[[#This Row],[setting]],$O$6:$AA$141,13,FALSE)+VLOOKUP(vcost_ub[[#This Row],[gbd_super]],$AH$6:$AK$11,4,FALSE),0)</f>
        <v>14.620479414602094</v>
      </c>
    </row>
    <row r="199" spans="1:42" x14ac:dyDescent="0.25">
      <c r="A199" s="100" t="s">
        <v>133</v>
      </c>
      <c r="B199" s="134" t="s">
        <v>667</v>
      </c>
      <c r="C199">
        <f>IFERROR(VLOOKUP(vcost[[#This Row],[setting]],$A$6:$E$141,3,FALSE)+$J$6+VLOOKUP(vcost[[#This Row],[setting]],$O$6:$AA$141,2,FALSE),0)</f>
        <v>6.3098630845355146</v>
      </c>
      <c r="D199">
        <f>IFERROR(VLOOKUP(vcost[[#This Row],[setting]],$A$6:$E$141,3,FALSE)+$J$6+VLOOKUP(vcost[[#This Row],[setting]],$O$6:$AA$141,2,FALSE)+VLOOKUP(vcost[[#This Row],[gbd_super]],$AH$6:$AK$11,2,FALSE),0)</f>
        <v>11.139863084535515</v>
      </c>
      <c r="E199">
        <f>IFERROR(VLOOKUP(vcost[[#This Row],[setting]],$A$6:$E$141,3,FALSE)+VLOOKUP(vcost[[#This Row],[setting]],$O$6:$AA$141,5,FALSE),0)</f>
        <v>5.8698874172618289</v>
      </c>
      <c r="F199" s="33">
        <f>IFERROR(VLOOKUP(vcost[[#This Row],[setting]],$A$6:$E$141,3,FALSE)+VLOOKUP(vcost[[#This Row],[setting]],$O$6:$AA$141,5,FALSE)+VLOOKUP(vcost[[#This Row],[gbd_super]],$AH$6:$AK$11,2,FALSE),0)</f>
        <v>10.699887417261829</v>
      </c>
      <c r="G199" s="33">
        <f>IFERROR(VLOOKUP(vcost[[#This Row],[setting]],$A$6:$E$141,3,FALSE)+VLOOKUP(vcost[[#This Row],[setting]],$O$6:$AA$141,8,FALSE)+VLOOKUP(vcost[[#This Row],[gbd_super]],$AH$6:$AK$11,2,FALSE),0)</f>
        <v>10.691362802419293</v>
      </c>
      <c r="H199">
        <f>IFERROR(VLOOKUP(vcost[[#This Row],[setting]],$A$6:$E$141,3,FALSE)+$J$8+VLOOKUP(vcost[[#This Row],[setting]],$O$6:$AA$141,11,FALSE),0)</f>
        <v>6.5566850055318664</v>
      </c>
      <c r="I199" s="33">
        <f>IFERROR(VLOOKUP(vcost[[#This Row],[setting]],$A$6:$E$141,3,FALSE)+$J$8+VLOOKUP(vcost[[#This Row],[setting]],$O$6:$AA$141,11,FALSE)+VLOOKUP(vcost[[#This Row],[gbd_super]],$AH$6:$AK$11,2,FALSE),0)</f>
        <v>11.386685005531866</v>
      </c>
      <c r="O199" s="100" t="s">
        <v>133</v>
      </c>
      <c r="P199" s="134" t="s">
        <v>667</v>
      </c>
      <c r="Q199" s="33">
        <f>IFERROR(VLOOKUP(vcost_lb[[#This Row],[setting]],$A$6:$E$141,4,FALSE)+$K$6+VLOOKUP(vcost_lb[[#This Row],[setting]],$O$6:$AA$141,3,FALSE),0)</f>
        <v>2.8970171308541932</v>
      </c>
      <c r="R199" s="33">
        <f>IFERROR(VLOOKUP(vcost_lb[[#This Row],[setting]],$A$6:$E$141,4,FALSE)+$K$6+VLOOKUP(vcost_lb[[#This Row],[setting]],$O$6:$AA$141,3,FALSE)+VLOOKUP(vcost_lb[[#This Row],[gbd_super]],$AH$6:$AK$11,3,FALSE),0)</f>
        <v>7.4842821308541936</v>
      </c>
      <c r="S199" s="33">
        <f>IFERROR(VLOOKUP(vcost_lb[[#This Row],[setting]],$A$6:$E$141,4,FALSE)+VLOOKUP(vcost_lb[[#This Row],[setting]],$O$6:$AA$141,6,FALSE),0)</f>
        <v>2.5260206692512033</v>
      </c>
      <c r="T199" s="33">
        <f>IFERROR(VLOOKUP(vcost_lb[[#This Row],[setting]],$A$6:$E$141,4,FALSE)+VLOOKUP(vcost_lb[[#This Row],[setting]],$O$6:$AA$141,6,FALSE)+VLOOKUP(vcost_lb[[#This Row],[gbd_super]],$AH$6:$AK$11,3,FALSE),0)</f>
        <v>7.1132856692512032</v>
      </c>
      <c r="U199" s="33">
        <f>IFERROR(VLOOKUP(vcost_lb[[#This Row],[setting]],$A$6:$E$141,4,FALSE)+VLOOKUP(vcost_lb[[#This Row],[setting]],$O$6:$AA$141,9,FALSE)+VLOOKUP(vcost_lb[[#This Row],[gbd_super]],$AH$6:$AK$11,3,FALSE),0)</f>
        <v>7.1076773700126932</v>
      </c>
      <c r="V199" s="33">
        <f>IFERROR(VLOOKUP(vcost_lb[[#This Row],[setting]],$A$6:$E$141,4,FALSE)+$K$8+VLOOKUP(vcost_lb[[#This Row],[setting]],$O$6:$AA$141,12,FALSE),0)</f>
        <v>3.1106571460625441</v>
      </c>
      <c r="W199" s="33">
        <f>IFERROR(VLOOKUP(vcost_lb[[#This Row],[setting]],$A$6:$E$141,4,FALSE)+$K$8+VLOOKUP(vcost_lb[[#This Row],[setting]],$O$6:$AA$141,12,FALSE)+VLOOKUP(vcost_lb[[#This Row],[gbd_super]],$AH$6:$AK$11,3,FALSE),0)</f>
        <v>7.6979221460625444</v>
      </c>
      <c r="AH199" s="100" t="s">
        <v>133</v>
      </c>
      <c r="AI199" s="134" t="s">
        <v>667</v>
      </c>
      <c r="AJ199" s="33">
        <f>IFERROR(VLOOKUP(vcost_ub[[#This Row],[setting]],$A$6:$E$141,5,FALSE)+$L$6+VLOOKUP(vcost_ub[[#This Row],[setting]],$O$6:$AA$141,4,FALSE),0)</f>
        <v>12.503817240050285</v>
      </c>
      <c r="AK199" s="33">
        <f>IFERROR(VLOOKUP(vcost_ub[[#This Row],[setting]],$A$6:$E$141,5,FALSE)+$L$6+VLOOKUP(vcost_ub[[#This Row],[setting]],$O$6:$AA$141,4,FALSE)+VLOOKUP(vcost_ub[[#This Row],[gbd_super]],$AH$6:$AK$11,4,FALSE),0)</f>
        <v>17.573952240050286</v>
      </c>
      <c r="AL199" s="33">
        <f>IFERROR(VLOOKUP(vcost_ub[[#This Row],[setting]],$A$6:$E$141,5,FALSE)+VLOOKUP(vcost_ub[[#This Row],[setting]],$O$6:$AA$141,7,FALSE),0)</f>
        <v>11.978682677004814</v>
      </c>
      <c r="AM199" s="33">
        <f>IFERROR(VLOOKUP(vcost_ub[[#This Row],[setting]],$A$6:$E$141,5,FALSE)+VLOOKUP(vcost_ub[[#This Row],[setting]],$O$6:$AA$141,7,FALSE)+VLOOKUP(vcost_ub[[#This Row],[gbd_super]],$AH$6:$AK$11,4,FALSE),0)</f>
        <v>17.048817677004813</v>
      </c>
      <c r="AN199" s="33">
        <f>IFERROR(VLOOKUP(vcost_ub[[#This Row],[setting]],$A$6:$E$141,5,FALSE)+VLOOKUP(vcost_ub[[#This Row],[setting]],$O$6:$AA$141,10,FALSE)+VLOOKUP(vcost_ub[[#This Row],[gbd_super]],$AH$6:$AK$11,4,FALSE),0)</f>
        <v>17.026384480050773</v>
      </c>
      <c r="AO199" s="33">
        <f>IFERROR(VLOOKUP(vcost_ub[[#This Row],[setting]],$A$6:$E$141,5,FALSE)+$L$8+VLOOKUP(vcost_ub[[#This Row],[setting]],$O$6:$AA$141,13,FALSE),0)</f>
        <v>12.779094008980389</v>
      </c>
      <c r="AP199" s="33">
        <f>IFERROR(VLOOKUP(vcost_ub[[#This Row],[setting]],$A$6:$E$141,5,FALSE)+$L$8+VLOOKUP(vcost_ub[[#This Row],[setting]],$O$6:$AA$141,13,FALSE)+VLOOKUP(vcost_ub[[#This Row],[gbd_super]],$AH$6:$AK$11,4,FALSE),0)</f>
        <v>17.849229008980387</v>
      </c>
    </row>
    <row r="200" spans="1:42" x14ac:dyDescent="0.25">
      <c r="A200" s="103" t="s">
        <v>105</v>
      </c>
      <c r="B200" s="135" t="s">
        <v>667</v>
      </c>
      <c r="C200">
        <f>IFERROR(VLOOKUP(vcost[[#This Row],[setting]],$A$6:$E$141,3,FALSE)+$J$6+VLOOKUP(vcost[[#This Row],[setting]],$O$6:$AA$141,2,FALSE),0)</f>
        <v>1.2353078544996832</v>
      </c>
      <c r="D200">
        <f>IFERROR(VLOOKUP(vcost[[#This Row],[setting]],$A$6:$E$141,3,FALSE)+$J$6+VLOOKUP(vcost[[#This Row],[setting]],$O$6:$AA$141,2,FALSE)+VLOOKUP(vcost[[#This Row],[gbd_super]],$AH$6:$AK$11,2,FALSE),0)</f>
        <v>6.0653078544996832</v>
      </c>
      <c r="E200">
        <f>IFERROR(VLOOKUP(vcost[[#This Row],[setting]],$A$6:$E$141,3,FALSE)+VLOOKUP(vcost[[#This Row],[setting]],$O$6:$AA$141,5,FALSE),0)</f>
        <v>0.8099602723067475</v>
      </c>
      <c r="F200" s="33">
        <f>IFERROR(VLOOKUP(vcost[[#This Row],[setting]],$A$6:$E$141,3,FALSE)+VLOOKUP(vcost[[#This Row],[setting]],$O$6:$AA$141,5,FALSE)+VLOOKUP(vcost[[#This Row],[gbd_super]],$AH$6:$AK$11,2,FALSE),0)</f>
        <v>5.6399602723067472</v>
      </c>
      <c r="G200" s="33">
        <f>IFERROR(VLOOKUP(vcost[[#This Row],[setting]],$A$6:$E$141,3,FALSE)+VLOOKUP(vcost[[#This Row],[setting]],$O$6:$AA$141,8,FALSE)+VLOOKUP(vcost[[#This Row],[gbd_super]],$AH$6:$AK$11,2,FALSE),0)</f>
        <v>5.6371135795443426</v>
      </c>
      <c r="H200">
        <f>IFERROR(VLOOKUP(vcost[[#This Row],[setting]],$A$6:$E$141,3,FALSE)+$J$8+VLOOKUP(vcost[[#This Row],[setting]],$O$6:$AA$141,11,FALSE),0)</f>
        <v>1.4768568611064627</v>
      </c>
      <c r="I200" s="33">
        <f>IFERROR(VLOOKUP(vcost[[#This Row],[setting]],$A$6:$E$141,3,FALSE)+$J$8+VLOOKUP(vcost[[#This Row],[setting]],$O$6:$AA$141,11,FALSE)+VLOOKUP(vcost[[#This Row],[gbd_super]],$AH$6:$AK$11,2,FALSE),0)</f>
        <v>6.3068568611064624</v>
      </c>
      <c r="O200" s="103" t="s">
        <v>105</v>
      </c>
      <c r="P200" s="135" t="s">
        <v>667</v>
      </c>
      <c r="Q200" s="33">
        <f>IFERROR(VLOOKUP(vcost_lb[[#This Row],[setting]],$A$6:$E$141,4,FALSE)+$K$6+VLOOKUP(vcost_lb[[#This Row],[setting]],$O$6:$AA$141,3,FALSE),0)</f>
        <v>0.59595913978601012</v>
      </c>
      <c r="R200" s="33">
        <f>IFERROR(VLOOKUP(vcost_lb[[#This Row],[setting]],$A$6:$E$141,4,FALSE)+$K$6+VLOOKUP(vcost_lb[[#This Row],[setting]],$O$6:$AA$141,3,FALSE)+VLOOKUP(vcost_lb[[#This Row],[gbd_super]],$AH$6:$AK$11,3,FALSE),0)</f>
        <v>5.1832241397860104</v>
      </c>
      <c r="S200" s="33">
        <f>IFERROR(VLOOKUP(vcost_lb[[#This Row],[setting]],$A$6:$E$141,4,FALSE)+VLOOKUP(vcost_lb[[#This Row],[setting]],$O$6:$AA$141,6,FALSE),0)</f>
        <v>0.23091596862286018</v>
      </c>
      <c r="T200" s="33">
        <f>IFERROR(VLOOKUP(vcost_lb[[#This Row],[setting]],$A$6:$E$141,4,FALSE)+VLOOKUP(vcost_lb[[#This Row],[setting]],$O$6:$AA$141,6,FALSE)+VLOOKUP(vcost_lb[[#This Row],[gbd_super]],$AH$6:$AK$11,3,FALSE),0)</f>
        <v>4.8181809686228609</v>
      </c>
      <c r="U200" s="33">
        <f>IFERROR(VLOOKUP(vcost_lb[[#This Row],[setting]],$A$6:$E$141,4,FALSE)+VLOOKUP(vcost_lb[[#This Row],[setting]],$O$6:$AA$141,9,FALSE)+VLOOKUP(vcost_lb[[#This Row],[gbd_super]],$AH$6:$AK$11,3,FALSE),0)</f>
        <v>4.8163081444370679</v>
      </c>
      <c r="V200" s="33">
        <f>IFERROR(VLOOKUP(vcost_lb[[#This Row],[setting]],$A$6:$E$141,4,FALSE)+$K$8+VLOOKUP(vcost_lb[[#This Row],[setting]],$O$6:$AA$141,12,FALSE),0)</f>
        <v>0.80704774480585784</v>
      </c>
      <c r="W200" s="33">
        <f>IFERROR(VLOOKUP(vcost_lb[[#This Row],[setting]],$A$6:$E$141,4,FALSE)+$K$8+VLOOKUP(vcost_lb[[#This Row],[setting]],$O$6:$AA$141,12,FALSE)+VLOOKUP(vcost_lb[[#This Row],[gbd_super]],$AH$6:$AK$11,3,FALSE),0)</f>
        <v>5.3943127448058581</v>
      </c>
      <c r="AH200" s="103" t="s">
        <v>105</v>
      </c>
      <c r="AI200" s="135" t="s">
        <v>667</v>
      </c>
      <c r="AJ200" s="33">
        <f>IFERROR(VLOOKUP(vcost_ub[[#This Row],[setting]],$A$6:$E$141,5,FALSE)+$L$6+VLOOKUP(vcost_ub[[#This Row],[setting]],$O$6:$AA$141,4,FALSE),0)</f>
        <v>2.6055731134885147</v>
      </c>
      <c r="AK200" s="33">
        <f>IFERROR(VLOOKUP(vcost_ub[[#This Row],[setting]],$A$6:$E$141,5,FALSE)+$L$6+VLOOKUP(vcost_ub[[#This Row],[setting]],$O$6:$AA$141,4,FALSE)+VLOOKUP(vcost_ub[[#This Row],[gbd_super]],$AH$6:$AK$11,4,FALSE),0)</f>
        <v>7.6757081134885148</v>
      </c>
      <c r="AL200" s="33">
        <f>IFERROR(VLOOKUP(vcost_ub[[#This Row],[setting]],$A$6:$E$141,5,FALSE)+VLOOKUP(vcost_ub[[#This Row],[setting]],$O$6:$AA$141,7,FALSE),0)</f>
        <v>2.1081638744914408</v>
      </c>
      <c r="AM200" s="33">
        <f>IFERROR(VLOOKUP(vcost_ub[[#This Row],[setting]],$A$6:$E$141,5,FALSE)+VLOOKUP(vcost_ub[[#This Row],[setting]],$O$6:$AA$141,7,FALSE)+VLOOKUP(vcost_ub[[#This Row],[gbd_super]],$AH$6:$AK$11,4,FALSE),0)</f>
        <v>7.1782988744914409</v>
      </c>
      <c r="AN200" s="33">
        <f>IFERROR(VLOOKUP(vcost_ub[[#This Row],[setting]],$A$6:$E$141,5,FALSE)+VLOOKUP(vcost_ub[[#This Row],[setting]],$O$6:$AA$141,10,FALSE)+VLOOKUP(vcost_ub[[#This Row],[gbd_super]],$AH$6:$AK$11,4,FALSE),0)</f>
        <v>7.1708075777482687</v>
      </c>
      <c r="AO200" s="33">
        <f>IFERROR(VLOOKUP(vcost_ub[[#This Row],[setting]],$A$6:$E$141,5,FALSE)+$L$8+VLOOKUP(vcost_ub[[#This Row],[setting]],$O$6:$AA$141,13,FALSE),0)</f>
        <v>2.8745564039536413</v>
      </c>
      <c r="AP200" s="33">
        <f>IFERROR(VLOOKUP(vcost_ub[[#This Row],[setting]],$A$6:$E$141,5,FALSE)+$L$8+VLOOKUP(vcost_ub[[#This Row],[setting]],$O$6:$AA$141,13,FALSE)+VLOOKUP(vcost_ub[[#This Row],[gbd_super]],$AH$6:$AK$11,4,FALSE),0)</f>
        <v>7.9446914039536418</v>
      </c>
    </row>
    <row r="201" spans="1:42" x14ac:dyDescent="0.25">
      <c r="A201" s="100" t="s">
        <v>281</v>
      </c>
      <c r="B201" s="134" t="s">
        <v>666</v>
      </c>
      <c r="C201">
        <f>IFERROR(VLOOKUP(vcost[[#This Row],[setting]],$A$6:$E$141,3,FALSE)+$J$6+VLOOKUP(vcost[[#This Row],[setting]],$O$6:$AA$141,2,FALSE),0)</f>
        <v>9.7028591736332643</v>
      </c>
      <c r="D201">
        <f>IFERROR(VLOOKUP(vcost[[#This Row],[setting]],$A$6:$E$141,3,FALSE)+$J$6+VLOOKUP(vcost[[#This Row],[setting]],$O$6:$AA$141,2,FALSE)+VLOOKUP(vcost[[#This Row],[gbd_super]],$AH$6:$AK$11,2,FALSE),0)</f>
        <v>10.332859173633265</v>
      </c>
      <c r="E201">
        <f>IFERROR(VLOOKUP(vcost[[#This Row],[setting]],$A$6:$E$141,3,FALSE)+VLOOKUP(vcost[[#This Row],[setting]],$O$6:$AA$141,5,FALSE),0)</f>
        <v>9.2660707677027485</v>
      </c>
      <c r="F201" s="33">
        <f>IFERROR(VLOOKUP(vcost[[#This Row],[setting]],$A$6:$E$141,3,FALSE)+VLOOKUP(vcost[[#This Row],[setting]],$O$6:$AA$141,5,FALSE)+VLOOKUP(vcost[[#This Row],[gbd_super]],$AH$6:$AK$11,2,FALSE),0)</f>
        <v>9.8960707677027493</v>
      </c>
      <c r="G201" s="33">
        <f>IFERROR(VLOOKUP(vcost[[#This Row],[setting]],$A$6:$E$141,3,FALSE)+VLOOKUP(vcost[[#This Row],[setting]],$O$6:$AA$141,8,FALSE)+VLOOKUP(vcost[[#This Row],[gbd_super]],$AH$6:$AK$11,2,FALSE),0)</f>
        <v>9.8888163241599987</v>
      </c>
      <c r="H201">
        <f>IFERROR(VLOOKUP(vcost[[#This Row],[setting]],$A$6:$E$141,3,FALSE)+$J$8+VLOOKUP(vcost[[#This Row],[setting]],$O$6:$AA$141,11,FALSE),0)</f>
        <v>9.9485321980989383</v>
      </c>
      <c r="I201" s="33">
        <f>IFERROR(VLOOKUP(vcost[[#This Row],[setting]],$A$6:$E$141,3,FALSE)+$J$8+VLOOKUP(vcost[[#This Row],[setting]],$O$6:$AA$141,11,FALSE)+VLOOKUP(vcost[[#This Row],[gbd_super]],$AH$6:$AK$11,2,FALSE),0)</f>
        <v>10.578532198098939</v>
      </c>
      <c r="O201" s="100" t="s">
        <v>281</v>
      </c>
      <c r="P201" s="134" t="s">
        <v>666</v>
      </c>
      <c r="Q201" s="33">
        <f>IFERROR(VLOOKUP(vcost_lb[[#This Row],[setting]],$A$6:$E$141,4,FALSE)+$K$6+VLOOKUP(vcost_lb[[#This Row],[setting]],$O$6:$AA$141,3,FALSE),0)</f>
        <v>4.3976669306894323</v>
      </c>
      <c r="R201" s="33">
        <f>IFERROR(VLOOKUP(vcost_lb[[#This Row],[setting]],$A$6:$E$141,4,FALSE)+$K$6+VLOOKUP(vcost_lb[[#This Row],[setting]],$O$6:$AA$141,3,FALSE)+VLOOKUP(vcost_lb[[#This Row],[gbd_super]],$AH$6:$AK$11,3,FALSE),0)</f>
        <v>4.9982569306894327</v>
      </c>
      <c r="S201" s="33">
        <f>IFERROR(VLOOKUP(vcost_lb[[#This Row],[setting]],$A$6:$E$141,4,FALSE)+VLOOKUP(vcost_lb[[#This Row],[setting]],$O$6:$AA$141,6,FALSE),0)</f>
        <v>4.0279676103307551</v>
      </c>
      <c r="T201" s="33">
        <f>IFERROR(VLOOKUP(vcost_lb[[#This Row],[setting]],$A$6:$E$141,4,FALSE)+VLOOKUP(vcost_lb[[#This Row],[setting]],$O$6:$AA$141,6,FALSE)+VLOOKUP(vcost_lb[[#This Row],[gbd_super]],$AH$6:$AK$11,3,FALSE),0)</f>
        <v>4.6285576103307555</v>
      </c>
      <c r="U201" s="33">
        <f>IFERROR(VLOOKUP(vcost_lb[[#This Row],[setting]],$A$6:$E$141,4,FALSE)+VLOOKUP(vcost_lb[[#This Row],[setting]],$O$6:$AA$141,9,FALSE)+VLOOKUP(vcost_lb[[#This Row],[gbd_super]],$AH$6:$AK$11,3,FALSE),0)</f>
        <v>4.6237849501052608</v>
      </c>
      <c r="V201" s="33">
        <f>IFERROR(VLOOKUP(vcost_lb[[#This Row],[setting]],$A$6:$E$141,4,FALSE)+$K$8+VLOOKUP(vcost_lb[[#This Row],[setting]],$O$6:$AA$141,12,FALSE),0)</f>
        <v>4.6107510282216486</v>
      </c>
      <c r="W201" s="33">
        <f>IFERROR(VLOOKUP(vcost_lb[[#This Row],[setting]],$A$6:$E$141,4,FALSE)+$K$8+VLOOKUP(vcost_lb[[#This Row],[setting]],$O$6:$AA$141,12,FALSE)+VLOOKUP(vcost_lb[[#This Row],[gbd_super]],$AH$6:$AK$11,3,FALSE),0)</f>
        <v>5.2113410282216481</v>
      </c>
      <c r="AH201" s="100" t="s">
        <v>281</v>
      </c>
      <c r="AI201" s="134" t="s">
        <v>666</v>
      </c>
      <c r="AJ201" s="33">
        <f>IFERROR(VLOOKUP(vcost_ub[[#This Row],[setting]],$A$6:$E$141,5,FALSE)+$L$6+VLOOKUP(vcost_ub[[#This Row],[setting]],$O$6:$AA$141,4,FALSE),0)</f>
        <v>9.1531640322878314</v>
      </c>
      <c r="AK201" s="33">
        <f>IFERROR(VLOOKUP(vcost_ub[[#This Row],[setting]],$A$6:$E$141,5,FALSE)+$L$6+VLOOKUP(vcost_ub[[#This Row],[setting]],$O$6:$AA$141,4,FALSE)+VLOOKUP(vcost_ub[[#This Row],[gbd_super]],$AH$6:$AK$11,4,FALSE),0)</f>
        <v>9.8169740322878312</v>
      </c>
      <c r="AL201" s="33">
        <f>IFERROR(VLOOKUP(vcost_ub[[#This Row],[setting]],$A$6:$E$141,5,FALSE)+VLOOKUP(vcost_ub[[#This Row],[setting]],$O$6:$AA$141,7,FALSE),0)</f>
        <v>8.6340704413230203</v>
      </c>
      <c r="AM201" s="33">
        <f>IFERROR(VLOOKUP(vcost_ub[[#This Row],[setting]],$A$6:$E$141,5,FALSE)+VLOOKUP(vcost_ub[[#This Row],[setting]],$O$6:$AA$141,7,FALSE)+VLOOKUP(vcost_ub[[#This Row],[gbd_super]],$AH$6:$AK$11,4,FALSE),0)</f>
        <v>9.2978804413230201</v>
      </c>
      <c r="AN201" s="33">
        <f>IFERROR(VLOOKUP(vcost_ub[[#This Row],[setting]],$A$6:$E$141,5,FALSE)+VLOOKUP(vcost_ub[[#This Row],[setting]],$O$6:$AA$141,10,FALSE)+VLOOKUP(vcost_ub[[#This Row],[gbd_super]],$AH$6:$AK$11,4,FALSE),0)</f>
        <v>9.2787898004210412</v>
      </c>
      <c r="AO201" s="33">
        <f>IFERROR(VLOOKUP(vcost_ub[[#This Row],[setting]],$A$6:$E$141,5,FALSE)+$L$8+VLOOKUP(vcost_ub[[#This Row],[setting]],$O$6:$AA$141,13,FALSE),0)</f>
        <v>9.4270695376168003</v>
      </c>
      <c r="AP201" s="33">
        <f>IFERROR(VLOOKUP(vcost_ub[[#This Row],[setting]],$A$6:$E$141,5,FALSE)+$L$8+VLOOKUP(vcost_ub[[#This Row],[setting]],$O$6:$AA$141,13,FALSE)+VLOOKUP(vcost_ub[[#This Row],[gbd_super]],$AH$6:$AK$11,4,FALSE),0)</f>
        <v>10.0908795376168</v>
      </c>
    </row>
    <row r="202" spans="1:42" x14ac:dyDescent="0.25">
      <c r="A202" s="103" t="s">
        <v>129</v>
      </c>
      <c r="B202" s="135" t="s">
        <v>667</v>
      </c>
      <c r="C202">
        <f>IFERROR(VLOOKUP(vcost[[#This Row],[setting]],$A$6:$E$141,3,FALSE)+$J$6+VLOOKUP(vcost[[#This Row],[setting]],$O$6:$AA$141,2,FALSE),0)</f>
        <v>3.8408677667676834</v>
      </c>
      <c r="D202">
        <f>IFERROR(VLOOKUP(vcost[[#This Row],[setting]],$A$6:$E$141,3,FALSE)+$J$6+VLOOKUP(vcost[[#This Row],[setting]],$O$6:$AA$141,2,FALSE)+VLOOKUP(vcost[[#This Row],[gbd_super]],$AH$6:$AK$11,2,FALSE),0)</f>
        <v>8.6708677667676834</v>
      </c>
      <c r="E202">
        <f>IFERROR(VLOOKUP(vcost[[#This Row],[setting]],$A$6:$E$141,3,FALSE)+VLOOKUP(vcost[[#This Row],[setting]],$O$6:$AA$141,5,FALSE),0)</f>
        <v>3.3992970212719822</v>
      </c>
      <c r="F202" s="33">
        <f>IFERROR(VLOOKUP(vcost[[#This Row],[setting]],$A$6:$E$141,3,FALSE)+VLOOKUP(vcost[[#This Row],[setting]],$O$6:$AA$141,5,FALSE)+VLOOKUP(vcost[[#This Row],[gbd_super]],$AH$6:$AK$11,2,FALSE),0)</f>
        <v>8.2292970212719823</v>
      </c>
      <c r="G202" s="33">
        <f>IFERROR(VLOOKUP(vcost[[#This Row],[setting]],$A$6:$E$141,3,FALSE)+VLOOKUP(vcost[[#This Row],[setting]],$O$6:$AA$141,8,FALSE)+VLOOKUP(vcost[[#This Row],[gbd_super]],$AH$6:$AK$11,2,FALSE),0)</f>
        <v>8.2202422982153625</v>
      </c>
      <c r="H202">
        <f>IFERROR(VLOOKUP(vcost[[#This Row],[setting]],$A$6:$E$141,3,FALSE)+$J$8+VLOOKUP(vcost[[#This Row],[setting]],$O$6:$AA$141,11,FALSE),0)</f>
        <v>4.0882646578208082</v>
      </c>
      <c r="I202" s="33">
        <f>IFERROR(VLOOKUP(vcost[[#This Row],[setting]],$A$6:$E$141,3,FALSE)+$J$8+VLOOKUP(vcost[[#This Row],[setting]],$O$6:$AA$141,11,FALSE)+VLOOKUP(vcost[[#This Row],[gbd_super]],$AH$6:$AK$11,2,FALSE),0)</f>
        <v>8.9182646578208082</v>
      </c>
      <c r="O202" s="103" t="s">
        <v>129</v>
      </c>
      <c r="P202" s="135" t="s">
        <v>667</v>
      </c>
      <c r="Q202" s="33">
        <f>IFERROR(VLOOKUP(vcost_lb[[#This Row],[setting]],$A$6:$E$141,4,FALSE)+$K$6+VLOOKUP(vcost_lb[[#This Row],[setting]],$O$6:$AA$141,3,FALSE),0)</f>
        <v>1.3020936616550227</v>
      </c>
      <c r="R202" s="33">
        <f>IFERROR(VLOOKUP(vcost_lb[[#This Row],[setting]],$A$6:$E$141,4,FALSE)+$K$6+VLOOKUP(vcost_lb[[#This Row],[setting]],$O$6:$AA$141,3,FALSE)+VLOOKUP(vcost_lb[[#This Row],[gbd_super]],$AH$6:$AK$11,3,FALSE),0)</f>
        <v>5.8893586616550229</v>
      </c>
      <c r="S202" s="33">
        <f>IFERROR(VLOOKUP(vcost_lb[[#This Row],[setting]],$A$6:$E$141,4,FALSE)+VLOOKUP(vcost_lb[[#This Row],[setting]],$O$6:$AA$141,6,FALSE),0)</f>
        <v>0.93044804031051465</v>
      </c>
      <c r="T202" s="33">
        <f>IFERROR(VLOOKUP(vcost_lb[[#This Row],[setting]],$A$6:$E$141,4,FALSE)+VLOOKUP(vcost_lb[[#This Row],[setting]],$O$6:$AA$141,6,FALSE)+VLOOKUP(vcost_lb[[#This Row],[gbd_super]],$AH$6:$AK$11,3,FALSE),0)</f>
        <v>5.5177130403105146</v>
      </c>
      <c r="U202" s="33">
        <f>IFERROR(VLOOKUP(vcost_lb[[#This Row],[setting]],$A$6:$E$141,4,FALSE)+VLOOKUP(vcost_lb[[#This Row],[setting]],$O$6:$AA$141,9,FALSE)+VLOOKUP(vcost_lb[[#This Row],[gbd_super]],$AH$6:$AK$11,3,FALSE),0)</f>
        <v>5.5117559856680023</v>
      </c>
      <c r="V202" s="33">
        <f>IFERROR(VLOOKUP(vcost_lb[[#This Row],[setting]],$A$6:$E$141,4,FALSE)+$K$8+VLOOKUP(vcost_lb[[#This Row],[setting]],$O$6:$AA$141,12,FALSE),0)</f>
        <v>1.5160118881811666</v>
      </c>
      <c r="W202" s="33">
        <f>IFERROR(VLOOKUP(vcost_lb[[#This Row],[setting]],$A$6:$E$141,4,FALSE)+$K$8+VLOOKUP(vcost_lb[[#This Row],[setting]],$O$6:$AA$141,12,FALSE)+VLOOKUP(vcost_lb[[#This Row],[gbd_super]],$AH$6:$AK$11,3,FALSE),0)</f>
        <v>6.103276888181167</v>
      </c>
      <c r="AH202" s="103" t="s">
        <v>129</v>
      </c>
      <c r="AI202" s="135" t="s">
        <v>667</v>
      </c>
      <c r="AJ202" s="33">
        <f>IFERROR(VLOOKUP(vcost_ub[[#This Row],[setting]],$A$6:$E$141,5,FALSE)+$L$6+VLOOKUP(vcost_ub[[#This Row],[setting]],$O$6:$AA$141,4,FALSE),0)</f>
        <v>9.698649953940885</v>
      </c>
      <c r="AK202" s="33">
        <f>IFERROR(VLOOKUP(vcost_ub[[#This Row],[setting]],$A$6:$E$141,5,FALSE)+$L$6+VLOOKUP(vcost_ub[[#This Row],[setting]],$O$6:$AA$141,4,FALSE)+VLOOKUP(vcost_ub[[#This Row],[gbd_super]],$AH$6:$AK$11,4,FALSE),0)</f>
        <v>14.768784953940886</v>
      </c>
      <c r="AL202" s="33">
        <f>IFERROR(VLOOKUP(vcost_ub[[#This Row],[setting]],$A$6:$E$141,5,FALSE)+VLOOKUP(vcost_ub[[#This Row],[setting]],$O$6:$AA$141,7,FALSE),0)</f>
        <v>9.1704921612420573</v>
      </c>
      <c r="AM202" s="33">
        <f>IFERROR(VLOOKUP(vcost_ub[[#This Row],[setting]],$A$6:$E$141,5,FALSE)+VLOOKUP(vcost_ub[[#This Row],[setting]],$O$6:$AA$141,7,FALSE)+VLOOKUP(vcost_ub[[#This Row],[gbd_super]],$AH$6:$AK$11,4,FALSE),0)</f>
        <v>14.240627161242058</v>
      </c>
      <c r="AN202" s="33">
        <f>IFERROR(VLOOKUP(vcost_ub[[#This Row],[setting]],$A$6:$E$141,5,FALSE)+VLOOKUP(vcost_ub[[#This Row],[setting]],$O$6:$AA$141,10,FALSE)+VLOOKUP(vcost_ub[[#This Row],[gbd_super]],$AH$6:$AK$11,4,FALSE),0)</f>
        <v>14.216798942672007</v>
      </c>
      <c r="AO202" s="33">
        <f>IFERROR(VLOOKUP(vcost_ub[[#This Row],[setting]],$A$6:$E$141,5,FALSE)+$L$8+VLOOKUP(vcost_ub[[#This Row],[setting]],$O$6:$AA$141,13,FALSE),0)</f>
        <v>9.9746129774548766</v>
      </c>
      <c r="AP202" s="33">
        <f>IFERROR(VLOOKUP(vcost_ub[[#This Row],[setting]],$A$6:$E$141,5,FALSE)+$L$8+VLOOKUP(vcost_ub[[#This Row],[setting]],$O$6:$AA$141,13,FALSE)+VLOOKUP(vcost_ub[[#This Row],[gbd_super]],$AH$6:$AK$11,4,FALSE),0)</f>
        <v>15.044747977454877</v>
      </c>
    </row>
    <row r="203" spans="1:42" x14ac:dyDescent="0.25">
      <c r="A203" s="100" t="s">
        <v>617</v>
      </c>
      <c r="B203" s="134" t="s">
        <v>667</v>
      </c>
      <c r="C203">
        <f>IFERROR(VLOOKUP(vcost[[#This Row],[setting]],$A$6:$E$141,3,FALSE)+$J$6+VLOOKUP(vcost[[#This Row],[setting]],$O$6:$AA$141,2,FALSE),0)</f>
        <v>4.0458377038325519</v>
      </c>
      <c r="D203">
        <f>IFERROR(VLOOKUP(vcost[[#This Row],[setting]],$A$6:$E$141,3,FALSE)+$J$6+VLOOKUP(vcost[[#This Row],[setting]],$O$6:$AA$141,2,FALSE)+VLOOKUP(vcost[[#This Row],[gbd_super]],$AH$6:$AK$11,2,FALSE),0)</f>
        <v>8.875837703832552</v>
      </c>
      <c r="E203">
        <f>IFERROR(VLOOKUP(vcost[[#This Row],[setting]],$A$6:$E$141,3,FALSE)+VLOOKUP(vcost[[#This Row],[setting]],$O$6:$AA$141,5,FALSE),0)</f>
        <v>3.6212174855740193</v>
      </c>
      <c r="F203" s="33">
        <f>IFERROR(VLOOKUP(vcost[[#This Row],[setting]],$A$6:$E$141,3,FALSE)+VLOOKUP(vcost[[#This Row],[setting]],$O$6:$AA$141,5,FALSE)+VLOOKUP(vcost[[#This Row],[gbd_super]],$AH$6:$AK$11,2,FALSE),0)</f>
        <v>8.4512174855740199</v>
      </c>
      <c r="G203" s="33">
        <f>IFERROR(VLOOKUP(vcost[[#This Row],[setting]],$A$6:$E$141,3,FALSE)+VLOOKUP(vcost[[#This Row],[setting]],$O$6:$AA$141,8,FALSE)+VLOOKUP(vcost[[#This Row],[gbd_super]],$AH$6:$AK$11,2,FALSE),0)</f>
        <v>8.4486753196805857</v>
      </c>
      <c r="H203">
        <f>IFERROR(VLOOKUP(vcost[[#This Row],[setting]],$A$6:$E$141,3,FALSE)+$J$8+VLOOKUP(vcost[[#This Row],[setting]],$O$6:$AA$141,11,FALSE),0)</f>
        <v>4.2871245211141398</v>
      </c>
      <c r="I203" s="33">
        <f>IFERROR(VLOOKUP(vcost[[#This Row],[setting]],$A$6:$E$141,3,FALSE)+$J$8+VLOOKUP(vcost[[#This Row],[setting]],$O$6:$AA$141,11,FALSE)+VLOOKUP(vcost[[#This Row],[gbd_super]],$AH$6:$AK$11,2,FALSE),0)</f>
        <v>9.117124521114139</v>
      </c>
      <c r="O203" s="100" t="s">
        <v>617</v>
      </c>
      <c r="P203" s="134" t="s">
        <v>667</v>
      </c>
      <c r="Q203" s="33">
        <f>IFERROR(VLOOKUP(vcost_lb[[#This Row],[setting]],$A$6:$E$141,4,FALSE)+$K$6+VLOOKUP(vcost_lb[[#This Row],[setting]],$O$6:$AA$141,3,FALSE),0)</f>
        <v>1.5222402335717748</v>
      </c>
      <c r="R203" s="33">
        <f>IFERROR(VLOOKUP(vcost_lb[[#This Row],[setting]],$A$6:$E$141,4,FALSE)+$K$6+VLOOKUP(vcost_lb[[#This Row],[setting]],$O$6:$AA$141,3,FALSE)+VLOOKUP(vcost_lb[[#This Row],[gbd_super]],$AH$6:$AK$11,3,FALSE),0)</f>
        <v>6.1095052335717757</v>
      </c>
      <c r="S203" s="33">
        <f>IFERROR(VLOOKUP(vcost_lb[[#This Row],[setting]],$A$6:$E$141,4,FALSE)+VLOOKUP(vcost_lb[[#This Row],[setting]],$O$6:$AA$141,6,FALSE),0)</f>
        <v>1.1574930826144867</v>
      </c>
      <c r="T203" s="33">
        <f>IFERROR(VLOOKUP(vcost_lb[[#This Row],[setting]],$A$6:$E$141,4,FALSE)+VLOOKUP(vcost_lb[[#This Row],[setting]],$O$6:$AA$141,6,FALSE)+VLOOKUP(vcost_lb[[#This Row],[gbd_super]],$AH$6:$AK$11,3,FALSE),0)</f>
        <v>5.7447580826144868</v>
      </c>
      <c r="U203" s="33">
        <f>IFERROR(VLOOKUP(vcost_lb[[#This Row],[setting]],$A$6:$E$141,4,FALSE)+VLOOKUP(vcost_lb[[#This Row],[setting]],$O$6:$AA$141,9,FALSE)+VLOOKUP(vcost_lb[[#This Row],[gbd_super]],$AH$6:$AK$11,3,FALSE),0)</f>
        <v>5.7430856050530181</v>
      </c>
      <c r="V203" s="33">
        <f>IFERROR(VLOOKUP(vcost_lb[[#This Row],[setting]],$A$6:$E$141,4,FALSE)+$K$8+VLOOKUP(vcost_lb[[#This Row],[setting]],$O$6:$AA$141,12,FALSE),0)</f>
        <v>1.7332019727891108</v>
      </c>
      <c r="W203" s="33">
        <f>IFERROR(VLOOKUP(vcost_lb[[#This Row],[setting]],$A$6:$E$141,4,FALSE)+$K$8+VLOOKUP(vcost_lb[[#This Row],[setting]],$O$6:$AA$141,12,FALSE)+VLOOKUP(vcost_lb[[#This Row],[gbd_super]],$AH$6:$AK$11,3,FALSE),0)</f>
        <v>6.3204669727891112</v>
      </c>
      <c r="AH203" s="100" t="s">
        <v>617</v>
      </c>
      <c r="AI203" s="134" t="s">
        <v>667</v>
      </c>
      <c r="AJ203" s="33">
        <f>IFERROR(VLOOKUP(vcost_ub[[#This Row],[setting]],$A$6:$E$141,5,FALSE)+$L$6+VLOOKUP(vcost_ub[[#This Row],[setting]],$O$6:$AA$141,4,FALSE),0)</f>
        <v>9.4520029610677216</v>
      </c>
      <c r="AK203" s="33">
        <f>IFERROR(VLOOKUP(vcost_ub[[#This Row],[setting]],$A$6:$E$141,5,FALSE)+$L$6+VLOOKUP(vcost_ub[[#This Row],[setting]],$O$6:$AA$141,4,FALSE)+VLOOKUP(vcost_ub[[#This Row],[gbd_super]],$AH$6:$AK$11,4,FALSE),0)</f>
        <v>14.522137961067722</v>
      </c>
      <c r="AL203" s="33">
        <f>IFERROR(VLOOKUP(vcost_ub[[#This Row],[setting]],$A$6:$E$141,5,FALSE)+VLOOKUP(vcost_ub[[#This Row],[setting]],$O$6:$AA$141,7,FALSE),0)</f>
        <v>8.9559723304579464</v>
      </c>
      <c r="AM203" s="33">
        <f>IFERROR(VLOOKUP(vcost_ub[[#This Row],[setting]],$A$6:$E$141,5,FALSE)+VLOOKUP(vcost_ub[[#This Row],[setting]],$O$6:$AA$141,7,FALSE)+VLOOKUP(vcost_ub[[#This Row],[gbd_super]],$AH$6:$AK$11,4,FALSE),0)</f>
        <v>14.026107330457947</v>
      </c>
      <c r="AN203" s="33">
        <f>IFERROR(VLOOKUP(vcost_ub[[#This Row],[setting]],$A$6:$E$141,5,FALSE)+VLOOKUP(vcost_ub[[#This Row],[setting]],$O$6:$AA$141,10,FALSE)+VLOOKUP(vcost_ub[[#This Row],[gbd_super]],$AH$6:$AK$11,4,FALSE),0)</f>
        <v>14.019417420212072</v>
      </c>
      <c r="AO203" s="33">
        <f>IFERROR(VLOOKUP(vcost_ub[[#This Row],[setting]],$A$6:$E$141,5,FALSE)+$L$8+VLOOKUP(vcost_ub[[#This Row],[setting]],$O$6:$AA$141,13,FALSE),0)</f>
        <v>9.7206733158866534</v>
      </c>
      <c r="AP203" s="33">
        <f>IFERROR(VLOOKUP(vcost_ub[[#This Row],[setting]],$A$6:$E$141,5,FALSE)+$L$8+VLOOKUP(vcost_ub[[#This Row],[setting]],$O$6:$AA$141,13,FALSE)+VLOOKUP(vcost_ub[[#This Row],[gbd_super]],$AH$6:$AK$11,4,FALSE),0)</f>
        <v>14.790808315886654</v>
      </c>
    </row>
    <row r="204" spans="1:42" x14ac:dyDescent="0.25">
      <c r="A204" s="103" t="s">
        <v>169</v>
      </c>
      <c r="B204" s="135" t="s">
        <v>663</v>
      </c>
      <c r="C204">
        <f>IFERROR(VLOOKUP(vcost[[#This Row],[setting]],$A$6:$E$141,3,FALSE)+$J$6+VLOOKUP(vcost[[#This Row],[setting]],$O$6:$AA$141,2,FALSE),0)</f>
        <v>5.3603900229122363</v>
      </c>
      <c r="D204">
        <f>IFERROR(VLOOKUP(vcost[[#This Row],[setting]],$A$6:$E$141,3,FALSE)+$J$6+VLOOKUP(vcost[[#This Row],[setting]],$O$6:$AA$141,2,FALSE)+VLOOKUP(vcost[[#This Row],[gbd_super]],$AH$6:$AK$11,2,FALSE),0)</f>
        <v>9.4303900229122366</v>
      </c>
      <c r="E204">
        <f>IFERROR(VLOOKUP(vcost[[#This Row],[setting]],$A$6:$E$141,3,FALSE)+VLOOKUP(vcost[[#This Row],[setting]],$O$6:$AA$141,5,FALSE),0)</f>
        <v>4.9268765982286862</v>
      </c>
      <c r="F204" s="33">
        <f>IFERROR(VLOOKUP(vcost[[#This Row],[setting]],$A$6:$E$141,3,FALSE)+VLOOKUP(vcost[[#This Row],[setting]],$O$6:$AA$141,5,FALSE)+VLOOKUP(vcost[[#This Row],[gbd_super]],$AH$6:$AK$11,2,FALSE),0)</f>
        <v>8.9968765982286865</v>
      </c>
      <c r="G204" s="33">
        <f>IFERROR(VLOOKUP(vcost[[#This Row],[setting]],$A$6:$E$141,3,FALSE)+VLOOKUP(vcost[[#This Row],[setting]],$O$6:$AA$141,8,FALSE)+VLOOKUP(vcost[[#This Row],[gbd_super]],$AH$6:$AK$11,2,FALSE),0)</f>
        <v>8.9902625495695005</v>
      </c>
      <c r="H204">
        <f>IFERROR(VLOOKUP(vcost[[#This Row],[setting]],$A$6:$E$141,3,FALSE)+$J$8+VLOOKUP(vcost[[#This Row],[setting]],$O$6:$AA$141,11,FALSE),0)</f>
        <v>5.6048825308819117</v>
      </c>
      <c r="I204" s="33">
        <f>IFERROR(VLOOKUP(vcost[[#This Row],[setting]],$A$6:$E$141,3,FALSE)+$J$8+VLOOKUP(vcost[[#This Row],[setting]],$O$6:$AA$141,11,FALSE)+VLOOKUP(vcost[[#This Row],[gbd_super]],$AH$6:$AK$11,2,FALSE),0)</f>
        <v>9.6748825308819129</v>
      </c>
      <c r="O204" s="103" t="s">
        <v>169</v>
      </c>
      <c r="P204" s="135" t="s">
        <v>663</v>
      </c>
      <c r="Q204" s="33">
        <f>IFERROR(VLOOKUP(vcost_lb[[#This Row],[setting]],$A$6:$E$141,4,FALSE)+$K$6+VLOOKUP(vcost_lb[[#This Row],[setting]],$O$6:$AA$141,3,FALSE),0)</f>
        <v>2.5610300306197575</v>
      </c>
      <c r="R204" s="33">
        <f>IFERROR(VLOOKUP(vcost_lb[[#This Row],[setting]],$A$6:$E$141,4,FALSE)+$K$6+VLOOKUP(vcost_lb[[#This Row],[setting]],$O$6:$AA$141,3,FALSE)+VLOOKUP(vcost_lb[[#This Row],[gbd_super]],$AH$6:$AK$11,3,FALSE),0)</f>
        <v>6.4234450306197584</v>
      </c>
      <c r="S204" s="33">
        <f>IFERROR(VLOOKUP(vcost_lb[[#This Row],[setting]],$A$6:$E$141,4,FALSE)+VLOOKUP(vcost_lb[[#This Row],[setting]],$O$6:$AA$141,6,FALSE),0)</f>
        <v>2.1926635514662411</v>
      </c>
      <c r="T204" s="33">
        <f>IFERROR(VLOOKUP(vcost_lb[[#This Row],[setting]],$A$6:$E$141,4,FALSE)+VLOOKUP(vcost_lb[[#This Row],[setting]],$O$6:$AA$141,6,FALSE)+VLOOKUP(vcost_lb[[#This Row],[gbd_super]],$AH$6:$AK$11,3,FALSE),0)</f>
        <v>6.0550785514662415</v>
      </c>
      <c r="U204" s="33">
        <f>IFERROR(VLOOKUP(vcost_lb[[#This Row],[setting]],$A$6:$E$141,4,FALSE)+VLOOKUP(vcost_lb[[#This Row],[setting]],$O$6:$AA$141,9,FALSE)+VLOOKUP(vcost_lb[[#This Row],[gbd_super]],$AH$6:$AK$11,3,FALSE),0)</f>
        <v>6.0507272036641453</v>
      </c>
      <c r="V204" s="33">
        <f>IFERROR(VLOOKUP(vcost_lb[[#This Row],[setting]],$A$6:$E$141,4,FALSE)+$K$8+VLOOKUP(vcost_lb[[#This Row],[setting]],$O$6:$AA$141,12,FALSE),0)</f>
        <v>2.773542910492619</v>
      </c>
      <c r="W204" s="33">
        <f>IFERROR(VLOOKUP(vcost_lb[[#This Row],[setting]],$A$6:$E$141,4,FALSE)+$K$8+VLOOKUP(vcost_lb[[#This Row],[setting]],$O$6:$AA$141,12,FALSE)+VLOOKUP(vcost_lb[[#This Row],[gbd_super]],$AH$6:$AK$11,3,FALSE),0)</f>
        <v>6.6359579104926194</v>
      </c>
      <c r="AH204" s="103" t="s">
        <v>169</v>
      </c>
      <c r="AI204" s="135" t="s">
        <v>663</v>
      </c>
      <c r="AJ204" s="33">
        <f>IFERROR(VLOOKUP(vcost_ub[[#This Row],[setting]],$A$6:$E$141,5,FALSE)+$L$6+VLOOKUP(vcost_ub[[#This Row],[setting]],$O$6:$AA$141,4,FALSE),0)</f>
        <v>10.375340564931458</v>
      </c>
      <c r="AK204" s="33">
        <f>IFERROR(VLOOKUP(vcost_ub[[#This Row],[setting]],$A$6:$E$141,5,FALSE)+$L$6+VLOOKUP(vcost_ub[[#This Row],[setting]],$O$6:$AA$141,4,FALSE)+VLOOKUP(vcost_ub[[#This Row],[gbd_super]],$AH$6:$AK$11,4,FALSE),0)</f>
        <v>14.644325564931458</v>
      </c>
      <c r="AL204" s="33">
        <f>IFERROR(VLOOKUP(vcost_ub[[#This Row],[setting]],$A$6:$E$141,5,FALSE)+VLOOKUP(vcost_ub[[#This Row],[setting]],$O$6:$AA$141,7,FALSE),0)</f>
        <v>9.8624542058649638</v>
      </c>
      <c r="AM204" s="33">
        <f>IFERROR(VLOOKUP(vcost_ub[[#This Row],[setting]],$A$6:$E$141,5,FALSE)+VLOOKUP(vcost_ub[[#This Row],[setting]],$O$6:$AA$141,7,FALSE)+VLOOKUP(vcost_ub[[#This Row],[gbd_super]],$AH$6:$AK$11,4,FALSE),0)</f>
        <v>14.131439205864964</v>
      </c>
      <c r="AN204" s="33">
        <f>IFERROR(VLOOKUP(vcost_ub[[#This Row],[setting]],$A$6:$E$141,5,FALSE)+VLOOKUP(vcost_ub[[#This Row],[setting]],$O$6:$AA$141,10,FALSE)+VLOOKUP(vcost_ub[[#This Row],[gbd_super]],$AH$6:$AK$11,4,FALSE),0)</f>
        <v>14.114033814656578</v>
      </c>
      <c r="AO204" s="33">
        <f>IFERROR(VLOOKUP(vcost_ub[[#This Row],[setting]],$A$6:$E$141,5,FALSE)+$L$8+VLOOKUP(vcost_ub[[#This Row],[setting]],$O$6:$AA$141,13,FALSE),0)</f>
        <v>10.647837066700687</v>
      </c>
      <c r="AP204" s="33">
        <f>IFERROR(VLOOKUP(vcost_ub[[#This Row],[setting]],$A$6:$E$141,5,FALSE)+$L$8+VLOOKUP(vcost_ub[[#This Row],[setting]],$O$6:$AA$141,13,FALSE)+VLOOKUP(vcost_ub[[#This Row],[gbd_super]],$AH$6:$AK$11,4,FALSE),0)</f>
        <v>14.916822066700687</v>
      </c>
    </row>
    <row r="205" spans="1:42" x14ac:dyDescent="0.25">
      <c r="A205" s="100" t="s">
        <v>143</v>
      </c>
      <c r="B205" s="134" t="s">
        <v>667</v>
      </c>
      <c r="C205">
        <f>IFERROR(VLOOKUP(vcost[[#This Row],[setting]],$A$6:$E$141,3,FALSE)+$J$6+VLOOKUP(vcost[[#This Row],[setting]],$O$6:$AA$141,2,FALSE),0)</f>
        <v>3.5724017372214236</v>
      </c>
      <c r="D205">
        <f>IFERROR(VLOOKUP(vcost[[#This Row],[setting]],$A$6:$E$141,3,FALSE)+$J$6+VLOOKUP(vcost[[#This Row],[setting]],$O$6:$AA$141,2,FALSE)+VLOOKUP(vcost[[#This Row],[gbd_super]],$AH$6:$AK$11,2,FALSE),0)</f>
        <v>8.4024017372214246</v>
      </c>
      <c r="E205">
        <f>IFERROR(VLOOKUP(vcost[[#This Row],[setting]],$A$6:$E$141,3,FALSE)+VLOOKUP(vcost[[#This Row],[setting]],$O$6:$AA$141,5,FALSE),0)</f>
        <v>3.1421203654354652</v>
      </c>
      <c r="F205" s="33">
        <f>IFERROR(VLOOKUP(vcost[[#This Row],[setting]],$A$6:$E$141,3,FALSE)+VLOOKUP(vcost[[#This Row],[setting]],$O$6:$AA$141,5,FALSE)+VLOOKUP(vcost[[#This Row],[gbd_super]],$AH$6:$AK$11,2,FALSE),0)</f>
        <v>7.9721203654354653</v>
      </c>
      <c r="G205" s="33">
        <f>IFERROR(VLOOKUP(vcost[[#This Row],[setting]],$A$6:$E$141,3,FALSE)+VLOOKUP(vcost[[#This Row],[setting]],$O$6:$AA$141,8,FALSE)+VLOOKUP(vcost[[#This Row],[gbd_super]],$AH$6:$AK$11,2,FALSE),0)</f>
        <v>7.9673985475229978</v>
      </c>
      <c r="H205">
        <f>IFERROR(VLOOKUP(vcost[[#This Row],[setting]],$A$6:$E$141,3,FALSE)+$J$8+VLOOKUP(vcost[[#This Row],[setting]],$O$6:$AA$141,11,FALSE),0)</f>
        <v>3.8157292028675487</v>
      </c>
      <c r="I205" s="33">
        <f>IFERROR(VLOOKUP(vcost[[#This Row],[setting]],$A$6:$E$141,3,FALSE)+$J$8+VLOOKUP(vcost[[#This Row],[setting]],$O$6:$AA$141,11,FALSE)+VLOOKUP(vcost[[#This Row],[gbd_super]],$AH$6:$AK$11,2,FALSE),0)</f>
        <v>8.6457292028675496</v>
      </c>
      <c r="O205" s="100" t="s">
        <v>143</v>
      </c>
      <c r="P205" s="134" t="s">
        <v>667</v>
      </c>
      <c r="Q205" s="33">
        <f>IFERROR(VLOOKUP(vcost_lb[[#This Row],[setting]],$A$6:$E$141,4,FALSE)+$K$6+VLOOKUP(vcost_lb[[#This Row],[setting]],$O$6:$AA$141,3,FALSE),0)</f>
        <v>1.3012355597326024</v>
      </c>
      <c r="R205" s="33">
        <f>IFERROR(VLOOKUP(vcost_lb[[#This Row],[setting]],$A$6:$E$141,4,FALSE)+$K$6+VLOOKUP(vcost_lb[[#This Row],[setting]],$O$6:$AA$141,3,FALSE)+VLOOKUP(vcost_lb[[#This Row],[gbd_super]],$AH$6:$AK$11,3,FALSE),0)</f>
        <v>5.888500559732603</v>
      </c>
      <c r="S205" s="33">
        <f>IFERROR(VLOOKUP(vcost_lb[[#This Row],[setting]],$A$6:$E$141,4,FALSE)+VLOOKUP(vcost_lb[[#This Row],[setting]],$O$6:$AA$141,6,FALSE),0)</f>
        <v>0.93418445094438507</v>
      </c>
      <c r="T205" s="33">
        <f>IFERROR(VLOOKUP(vcost_lb[[#This Row],[setting]],$A$6:$E$141,4,FALSE)+VLOOKUP(vcost_lb[[#This Row],[setting]],$O$6:$AA$141,6,FALSE)+VLOOKUP(vcost_lb[[#This Row],[gbd_super]],$AH$6:$AK$11,3,FALSE),0)</f>
        <v>5.5214494509443854</v>
      </c>
      <c r="U205" s="33">
        <f>IFERROR(VLOOKUP(vcost_lb[[#This Row],[setting]],$A$6:$E$141,4,FALSE)+VLOOKUP(vcost_lb[[#This Row],[setting]],$O$6:$AA$141,9,FALSE)+VLOOKUP(vcost_lb[[#This Row],[gbd_super]],$AH$6:$AK$11,3,FALSE),0)</f>
        <v>5.5183429917914459</v>
      </c>
      <c r="V205" s="33">
        <f>IFERROR(VLOOKUP(vcost_lb[[#This Row],[setting]],$A$6:$E$141,4,FALSE)+$K$8+VLOOKUP(vcost_lb[[#This Row],[setting]],$O$6:$AA$141,12,FALSE),0)</f>
        <v>1.5131847094489075</v>
      </c>
      <c r="W205" s="33">
        <f>IFERROR(VLOOKUP(vcost_lb[[#This Row],[setting]],$A$6:$E$141,4,FALSE)+$K$8+VLOOKUP(vcost_lb[[#This Row],[setting]],$O$6:$AA$141,12,FALSE)+VLOOKUP(vcost_lb[[#This Row],[gbd_super]],$AH$6:$AK$11,3,FALSE),0)</f>
        <v>6.1004497094489079</v>
      </c>
      <c r="AH205" s="100" t="s">
        <v>143</v>
      </c>
      <c r="AI205" s="134" t="s">
        <v>667</v>
      </c>
      <c r="AJ205" s="33">
        <f>IFERROR(VLOOKUP(vcost_ub[[#This Row],[setting]],$A$6:$E$141,5,FALSE)+$L$6+VLOOKUP(vcost_ub[[#This Row],[setting]],$O$6:$AA$141,4,FALSE),0)</f>
        <v>8.7136982951427839</v>
      </c>
      <c r="AK205" s="33">
        <f>IFERROR(VLOOKUP(vcost_ub[[#This Row],[setting]],$A$6:$E$141,5,FALSE)+$L$6+VLOOKUP(vcost_ub[[#This Row],[setting]],$O$6:$AA$141,4,FALSE)+VLOOKUP(vcost_ub[[#This Row],[gbd_super]],$AH$6:$AK$11,4,FALSE),0)</f>
        <v>13.783833295142784</v>
      </c>
      <c r="AL205" s="33">
        <f>IFERROR(VLOOKUP(vcost_ub[[#This Row],[setting]],$A$6:$E$141,5,FALSE)+VLOOKUP(vcost_ub[[#This Row],[setting]],$O$6:$AA$141,7,FALSE),0)</f>
        <v>8.2069378037775405</v>
      </c>
      <c r="AM205" s="33">
        <f>IFERROR(VLOOKUP(vcost_ub[[#This Row],[setting]],$A$6:$E$141,5,FALSE)+VLOOKUP(vcost_ub[[#This Row],[setting]],$O$6:$AA$141,7,FALSE)+VLOOKUP(vcost_ub[[#This Row],[gbd_super]],$AH$6:$AK$11,4,FALSE),0)</f>
        <v>13.277072803777541</v>
      </c>
      <c r="AN205" s="33">
        <f>IFERROR(VLOOKUP(vcost_ub[[#This Row],[setting]],$A$6:$E$141,5,FALSE)+VLOOKUP(vcost_ub[[#This Row],[setting]],$O$6:$AA$141,10,FALSE)+VLOOKUP(vcost_ub[[#This Row],[gbd_super]],$AH$6:$AK$11,4,FALSE),0)</f>
        <v>13.264646967165783</v>
      </c>
      <c r="AO205" s="33">
        <f>IFERROR(VLOOKUP(vcost_ub[[#This Row],[setting]],$A$6:$E$141,5,FALSE)+$L$8+VLOOKUP(vcost_ub[[#This Row],[setting]],$O$6:$AA$141,13,FALSE),0)</f>
        <v>8.9848042625258415</v>
      </c>
      <c r="AP205" s="33">
        <f>IFERROR(VLOOKUP(vcost_ub[[#This Row],[setting]],$A$6:$E$141,5,FALSE)+$L$8+VLOOKUP(vcost_ub[[#This Row],[setting]],$O$6:$AA$141,13,FALSE)+VLOOKUP(vcost_ub[[#This Row],[gbd_super]],$AH$6:$AK$11,4,FALSE),0)</f>
        <v>14.054939262525842</v>
      </c>
    </row>
    <row r="206" spans="1:42" x14ac:dyDescent="0.25">
      <c r="A206" s="103" t="s">
        <v>236</v>
      </c>
      <c r="B206" s="135" t="s">
        <v>665</v>
      </c>
      <c r="C206">
        <f>IFERROR(VLOOKUP(vcost[[#This Row],[setting]],$A$6:$E$141,3,FALSE)+$J$6+VLOOKUP(vcost[[#This Row],[setting]],$O$6:$AA$141,2,FALSE),0)</f>
        <v>16.506643500793057</v>
      </c>
      <c r="D206">
        <f>IFERROR(VLOOKUP(vcost[[#This Row],[setting]],$A$6:$E$141,3,FALSE)+$J$6+VLOOKUP(vcost[[#This Row],[setting]],$O$6:$AA$141,2,FALSE)+VLOOKUP(vcost[[#This Row],[gbd_super]],$AH$6:$AK$11,2,FALSE),0)</f>
        <v>16.526643500793057</v>
      </c>
      <c r="E206">
        <f>IFERROR(VLOOKUP(vcost[[#This Row],[setting]],$A$6:$E$141,3,FALSE)+VLOOKUP(vcost[[#This Row],[setting]],$O$6:$AA$141,5,FALSE),0)</f>
        <v>16.055848600197468</v>
      </c>
      <c r="F206" s="33">
        <f>IFERROR(VLOOKUP(vcost[[#This Row],[setting]],$A$6:$E$141,3,FALSE)+VLOOKUP(vcost[[#This Row],[setting]],$O$6:$AA$141,5,FALSE)+VLOOKUP(vcost[[#This Row],[gbd_super]],$AH$6:$AK$11,2,FALSE),0)</f>
        <v>16.075848600197467</v>
      </c>
      <c r="G206" s="33">
        <f>IFERROR(VLOOKUP(vcost[[#This Row],[setting]],$A$6:$E$141,3,FALSE)+VLOOKUP(vcost[[#This Row],[setting]],$O$6:$AA$141,8,FALSE)+VLOOKUP(vcost[[#This Row],[gbd_super]],$AH$6:$AK$11,2,FALSE),0)</f>
        <v>16.063279888976453</v>
      </c>
      <c r="H206">
        <f>IFERROR(VLOOKUP(vcost[[#This Row],[setting]],$A$6:$E$141,3,FALSE)+$J$8+VLOOKUP(vcost[[#This Row],[setting]],$O$6:$AA$141,11,FALSE),0)</f>
        <v>16.757365377986844</v>
      </c>
      <c r="I206" s="33">
        <f>IFERROR(VLOOKUP(vcost[[#This Row],[setting]],$A$6:$E$141,3,FALSE)+$J$8+VLOOKUP(vcost[[#This Row],[setting]],$O$6:$AA$141,11,FALSE)+VLOOKUP(vcost[[#This Row],[gbd_super]],$AH$6:$AK$11,2,FALSE),0)</f>
        <v>16.777365377986843</v>
      </c>
      <c r="O206" s="103" t="s">
        <v>236</v>
      </c>
      <c r="P206" s="135" t="s">
        <v>665</v>
      </c>
      <c r="Q206" s="33">
        <f>IFERROR(VLOOKUP(vcost_lb[[#This Row],[setting]],$A$6:$E$141,4,FALSE)+$K$6+VLOOKUP(vcost_lb[[#This Row],[setting]],$O$6:$AA$141,3,FALSE),0)</f>
        <v>5.626910559137472</v>
      </c>
      <c r="R206" s="33">
        <f>IFERROR(VLOOKUP(vcost_lb[[#This Row],[setting]],$A$6:$E$141,4,FALSE)+$K$6+VLOOKUP(vcost_lb[[#This Row],[setting]],$O$6:$AA$141,3,FALSE)+VLOOKUP(vcost_lb[[#This Row],[gbd_super]],$AH$6:$AK$11,3,FALSE),0)</f>
        <v>5.6476205591374722</v>
      </c>
      <c r="S206" s="33">
        <f>IFERROR(VLOOKUP(vcost_lb[[#This Row],[setting]],$A$6:$E$141,4,FALSE)+VLOOKUP(vcost_lb[[#This Row],[setting]],$O$6:$AA$141,6,FALSE),0)</f>
        <v>5.2515109211825433</v>
      </c>
      <c r="T206" s="33">
        <f>IFERROR(VLOOKUP(vcost_lb[[#This Row],[setting]],$A$6:$E$141,4,FALSE)+VLOOKUP(vcost_lb[[#This Row],[setting]],$O$6:$AA$141,6,FALSE)+VLOOKUP(vcost_lb[[#This Row],[gbd_super]],$AH$6:$AK$11,3,FALSE),0)</f>
        <v>5.2722209211825435</v>
      </c>
      <c r="U206" s="33">
        <f>IFERROR(VLOOKUP(vcost_lb[[#This Row],[setting]],$A$6:$E$141,4,FALSE)+VLOOKUP(vcost_lb[[#This Row],[setting]],$O$6:$AA$141,9,FALSE)+VLOOKUP(vcost_lb[[#This Row],[gbd_super]],$AH$6:$AK$11,3,FALSE),0)</f>
        <v>5.2639520322213516</v>
      </c>
      <c r="V206" s="33">
        <f>IFERROR(VLOOKUP(vcost_lb[[#This Row],[setting]],$A$6:$E$141,4,FALSE)+$K$8+VLOOKUP(vcost_lb[[#This Row],[setting]],$O$6:$AA$141,12,FALSE),0)</f>
        <v>5.8424376499252251</v>
      </c>
      <c r="W206" s="33">
        <f>IFERROR(VLOOKUP(vcost_lb[[#This Row],[setting]],$A$6:$E$141,4,FALSE)+$K$8+VLOOKUP(vcost_lb[[#This Row],[setting]],$O$6:$AA$141,12,FALSE)+VLOOKUP(vcost_lb[[#This Row],[gbd_super]],$AH$6:$AK$11,3,FALSE),0)</f>
        <v>5.8631476499252253</v>
      </c>
      <c r="AH206" s="103" t="s">
        <v>236</v>
      </c>
      <c r="AI206" s="135" t="s">
        <v>665</v>
      </c>
      <c r="AJ206" s="33">
        <f>IFERROR(VLOOKUP(vcost_ub[[#This Row],[setting]],$A$6:$E$141,5,FALSE)+$L$6+VLOOKUP(vcost_ub[[#This Row],[setting]],$O$6:$AA$141,4,FALSE),0)</f>
        <v>40.194684469071817</v>
      </c>
      <c r="AK206" s="33">
        <f>IFERROR(VLOOKUP(vcost_ub[[#This Row],[setting]],$A$6:$E$141,5,FALSE)+$L$6+VLOOKUP(vcost_ub[[#This Row],[setting]],$O$6:$AA$141,4,FALSE)+VLOOKUP(vcost_ub[[#This Row],[gbd_super]],$AH$6:$AK$11,4,FALSE),0)</f>
        <v>40.217574469071813</v>
      </c>
      <c r="AL206" s="33">
        <f>IFERROR(VLOOKUP(vcost_ub[[#This Row],[setting]],$A$6:$E$141,5,FALSE)+VLOOKUP(vcost_ub[[#This Row],[setting]],$O$6:$AA$141,7,FALSE),0)</f>
        <v>39.649043684730174</v>
      </c>
      <c r="AM206" s="33">
        <f>IFERROR(VLOOKUP(vcost_ub[[#This Row],[setting]],$A$6:$E$141,5,FALSE)+VLOOKUP(vcost_ub[[#This Row],[setting]],$O$6:$AA$141,7,FALSE)+VLOOKUP(vcost_ub[[#This Row],[gbd_super]],$AH$6:$AK$11,4,FALSE),0)</f>
        <v>39.67193368473017</v>
      </c>
      <c r="AN206" s="33">
        <f>IFERROR(VLOOKUP(vcost_ub[[#This Row],[setting]],$A$6:$E$141,5,FALSE)+VLOOKUP(vcost_ub[[#This Row],[setting]],$O$6:$AA$141,10,FALSE)+VLOOKUP(vcost_ub[[#This Row],[gbd_super]],$AH$6:$AK$11,4,FALSE),0)</f>
        <v>39.638858128885403</v>
      </c>
      <c r="AO206" s="33">
        <f>IFERROR(VLOOKUP(vcost_ub[[#This Row],[setting]],$A$6:$E$141,5,FALSE)+$L$8+VLOOKUP(vcost_ub[[#This Row],[setting]],$O$6:$AA$141,13,FALSE),0)</f>
        <v>40.474616024431107</v>
      </c>
      <c r="AP206" s="33">
        <f>IFERROR(VLOOKUP(vcost_ub[[#This Row],[setting]],$A$6:$E$141,5,FALSE)+$L$8+VLOOKUP(vcost_ub[[#This Row],[setting]],$O$6:$AA$141,13,FALSE)+VLOOKUP(vcost_ub[[#This Row],[gbd_super]],$AH$6:$AK$11,4,FALSE),0)</f>
        <v>40.497506024431104</v>
      </c>
    </row>
    <row r="207" spans="1:42" x14ac:dyDescent="0.25">
      <c r="A207" s="100" t="s">
        <v>256</v>
      </c>
      <c r="B207" s="134" t="s">
        <v>665</v>
      </c>
      <c r="C207">
        <f>IFERROR(VLOOKUP(vcost[[#This Row],[setting]],$A$6:$E$141,3,FALSE)+$J$6+VLOOKUP(vcost[[#This Row],[setting]],$O$6:$AA$141,2,FALSE),0)</f>
        <v>3.3424128659870345</v>
      </c>
      <c r="D207">
        <f>IFERROR(VLOOKUP(vcost[[#This Row],[setting]],$A$6:$E$141,3,FALSE)+$J$6+VLOOKUP(vcost[[#This Row],[setting]],$O$6:$AA$141,2,FALSE)+VLOOKUP(vcost[[#This Row],[gbd_super]],$AH$6:$AK$11,2,FALSE),0)</f>
        <v>3.3624128659870345</v>
      </c>
      <c r="E207">
        <f>IFERROR(VLOOKUP(vcost[[#This Row],[setting]],$A$6:$E$141,3,FALSE)+VLOOKUP(vcost[[#This Row],[setting]],$O$6:$AA$141,5,FALSE),0)</f>
        <v>2.9084626233748878</v>
      </c>
      <c r="F207" s="33">
        <f>IFERROR(VLOOKUP(vcost[[#This Row],[setting]],$A$6:$E$141,3,FALSE)+VLOOKUP(vcost[[#This Row],[setting]],$O$6:$AA$141,5,FALSE)+VLOOKUP(vcost[[#This Row],[gbd_super]],$AH$6:$AK$11,2,FALSE),0)</f>
        <v>2.9284626233748878</v>
      </c>
      <c r="G207" s="33">
        <f>IFERROR(VLOOKUP(vcost[[#This Row],[setting]],$A$6:$E$141,3,FALSE)+VLOOKUP(vcost[[#This Row],[setting]],$O$6:$AA$141,8,FALSE)+VLOOKUP(vcost[[#This Row],[gbd_super]],$AH$6:$AK$11,2,FALSE),0)</f>
        <v>2.9213440515974094</v>
      </c>
      <c r="H207">
        <f>IFERROR(VLOOKUP(vcost[[#This Row],[setting]],$A$6:$E$141,3,FALSE)+$J$8+VLOOKUP(vcost[[#This Row],[setting]],$O$6:$AA$141,11,FALSE),0)</f>
        <v>3.5870628315821347</v>
      </c>
      <c r="I207" s="33">
        <f>IFERROR(VLOOKUP(vcost[[#This Row],[setting]],$A$6:$E$141,3,FALSE)+$J$8+VLOOKUP(vcost[[#This Row],[setting]],$O$6:$AA$141,11,FALSE)+VLOOKUP(vcost[[#This Row],[gbd_super]],$AH$6:$AK$11,2,FALSE),0)</f>
        <v>3.6070628315821347</v>
      </c>
      <c r="O207" s="100" t="s">
        <v>256</v>
      </c>
      <c r="P207" s="134" t="s">
        <v>665</v>
      </c>
      <c r="Q207" s="33">
        <f>IFERROR(VLOOKUP(vcost_lb[[#This Row],[setting]],$A$6:$E$141,4,FALSE)+$K$6+VLOOKUP(vcost_lb[[#This Row],[setting]],$O$6:$AA$141,3,FALSE),0)</f>
        <v>1.5005617692701141</v>
      </c>
      <c r="R207" s="33">
        <f>IFERROR(VLOOKUP(vcost_lb[[#This Row],[setting]],$A$6:$E$141,4,FALSE)+$K$6+VLOOKUP(vcost_lb[[#This Row],[setting]],$O$6:$AA$141,3,FALSE)+VLOOKUP(vcost_lb[[#This Row],[gbd_super]],$AH$6:$AK$11,3,FALSE),0)</f>
        <v>1.5212717692701141</v>
      </c>
      <c r="S207" s="33">
        <f>IFERROR(VLOOKUP(vcost_lb[[#This Row],[setting]],$A$6:$E$141,4,FALSE)+VLOOKUP(vcost_lb[[#This Row],[setting]],$O$6:$AA$141,6,FALSE),0)</f>
        <v>1.1320175153782155</v>
      </c>
      <c r="T207" s="33">
        <f>IFERROR(VLOOKUP(vcost_lb[[#This Row],[setting]],$A$6:$E$141,4,FALSE)+VLOOKUP(vcost_lb[[#This Row],[setting]],$O$6:$AA$141,6,FALSE)+VLOOKUP(vcost_lb[[#This Row],[gbd_super]],$AH$6:$AK$11,3,FALSE),0)</f>
        <v>1.1527275153782155</v>
      </c>
      <c r="U207" s="33">
        <f>IFERROR(VLOOKUP(vcost_lb[[#This Row],[setting]],$A$6:$E$141,4,FALSE)+VLOOKUP(vcost_lb[[#This Row],[setting]],$O$6:$AA$141,9,FALSE)+VLOOKUP(vcost_lb[[#This Row],[gbd_super]],$AH$6:$AK$11,3,FALSE),0)</f>
        <v>1.1480442444719796</v>
      </c>
      <c r="V207" s="33">
        <f>IFERROR(VLOOKUP(vcost_lb[[#This Row],[setting]],$A$6:$E$141,4,FALSE)+$K$8+VLOOKUP(vcost_lb[[#This Row],[setting]],$O$6:$AA$141,12,FALSE),0)</f>
        <v>1.7131508383165683</v>
      </c>
      <c r="W207" s="33">
        <f>IFERROR(VLOOKUP(vcost_lb[[#This Row],[setting]],$A$6:$E$141,4,FALSE)+$K$8+VLOOKUP(vcost_lb[[#This Row],[setting]],$O$6:$AA$141,12,FALSE)+VLOOKUP(vcost_lb[[#This Row],[gbd_super]],$AH$6:$AK$11,3,FALSE),0)</f>
        <v>1.7338608383165683</v>
      </c>
      <c r="AH207" s="100" t="s">
        <v>256</v>
      </c>
      <c r="AI207" s="134" t="s">
        <v>665</v>
      </c>
      <c r="AJ207" s="33">
        <f>IFERROR(VLOOKUP(vcost_ub[[#This Row],[setting]],$A$6:$E$141,5,FALSE)+$L$6+VLOOKUP(vcost_ub[[#This Row],[setting]],$O$6:$AA$141,4,FALSE),0)</f>
        <v>6.8133843429323955</v>
      </c>
      <c r="AK207" s="33">
        <f>IFERROR(VLOOKUP(vcost_ub[[#This Row],[setting]],$A$6:$E$141,5,FALSE)+$L$6+VLOOKUP(vcost_ub[[#This Row],[setting]],$O$6:$AA$141,4,FALSE)+VLOOKUP(vcost_ub[[#This Row],[gbd_super]],$AH$6:$AK$11,4,FALSE),0)</f>
        <v>6.8362743429323958</v>
      </c>
      <c r="AL207" s="33">
        <f>IFERROR(VLOOKUP(vcost_ub[[#This Row],[setting]],$A$6:$E$141,5,FALSE)+VLOOKUP(vcost_ub[[#This Row],[setting]],$O$6:$AA$141,7,FALSE),0)</f>
        <v>6.2996700615128622</v>
      </c>
      <c r="AM207" s="33">
        <f>IFERROR(VLOOKUP(vcost_ub[[#This Row],[setting]],$A$6:$E$141,5,FALSE)+VLOOKUP(vcost_ub[[#This Row],[setting]],$O$6:$AA$141,7,FALSE)+VLOOKUP(vcost_ub[[#This Row],[gbd_super]],$AH$6:$AK$11,4,FALSE),0)</f>
        <v>6.3225600615128625</v>
      </c>
      <c r="AN207" s="33">
        <f>IFERROR(VLOOKUP(vcost_ub[[#This Row],[setting]],$A$6:$E$141,5,FALSE)+VLOOKUP(vcost_ub[[#This Row],[setting]],$O$6:$AA$141,10,FALSE)+VLOOKUP(vcost_ub[[#This Row],[gbd_super]],$AH$6:$AK$11,4,FALSE),0)</f>
        <v>6.303826977887919</v>
      </c>
      <c r="AO207" s="33">
        <f>IFERROR(VLOOKUP(vcost_ub[[#This Row],[setting]],$A$6:$E$141,5,FALSE)+$L$8+VLOOKUP(vcost_ub[[#This Row],[setting]],$O$6:$AA$141,13,FALSE),0)</f>
        <v>7.0860687779964842</v>
      </c>
      <c r="AP207" s="33">
        <f>IFERROR(VLOOKUP(vcost_ub[[#This Row],[setting]],$A$6:$E$141,5,FALSE)+$L$8+VLOOKUP(vcost_ub[[#This Row],[setting]],$O$6:$AA$141,13,FALSE)+VLOOKUP(vcost_ub[[#This Row],[gbd_super]],$AH$6:$AK$11,4,FALSE),0)</f>
        <v>7.1089587779964845</v>
      </c>
    </row>
    <row r="208" spans="1:42" x14ac:dyDescent="0.25">
      <c r="A208" s="103" t="s">
        <v>144</v>
      </c>
      <c r="B208" s="135" t="s">
        <v>667</v>
      </c>
      <c r="C208">
        <f>IFERROR(VLOOKUP(vcost[[#This Row],[setting]],$A$6:$E$141,3,FALSE)+$J$6+VLOOKUP(vcost[[#This Row],[setting]],$O$6:$AA$141,2,FALSE),0)</f>
        <v>1.0938807865514109</v>
      </c>
      <c r="D208">
        <f>IFERROR(VLOOKUP(vcost[[#This Row],[setting]],$A$6:$E$141,3,FALSE)+$J$6+VLOOKUP(vcost[[#This Row],[setting]],$O$6:$AA$141,2,FALSE)+VLOOKUP(vcost[[#This Row],[gbd_super]],$AH$6:$AK$11,2,FALSE),0)</f>
        <v>5.9238807865514111</v>
      </c>
      <c r="E208">
        <f>IFERROR(VLOOKUP(vcost[[#This Row],[setting]],$A$6:$E$141,3,FALSE)+VLOOKUP(vcost[[#This Row],[setting]],$O$6:$AA$141,5,FALSE),0)</f>
        <v>0.66706115401002708</v>
      </c>
      <c r="F208" s="33">
        <f>IFERROR(VLOOKUP(vcost[[#This Row],[setting]],$A$6:$E$141,3,FALSE)+VLOOKUP(vcost[[#This Row],[setting]],$O$6:$AA$141,5,FALSE)+VLOOKUP(vcost[[#This Row],[gbd_super]],$AH$6:$AK$11,2,FALSE),0)</f>
        <v>5.4970611540100274</v>
      </c>
      <c r="G208" s="33">
        <f>IFERROR(VLOOKUP(vcost[[#This Row],[setting]],$A$6:$E$141,3,FALSE)+VLOOKUP(vcost[[#This Row],[setting]],$O$6:$AA$141,8,FALSE)+VLOOKUP(vcost[[#This Row],[gbd_super]],$AH$6:$AK$11,2,FALSE),0)</f>
        <v>5.4933782497267734</v>
      </c>
      <c r="H208">
        <f>IFERROR(VLOOKUP(vcost[[#This Row],[setting]],$A$6:$E$141,3,FALSE)+$J$8+VLOOKUP(vcost[[#This Row],[setting]],$O$6:$AA$141,11,FALSE),0)</f>
        <v>1.3359604159582121</v>
      </c>
      <c r="I208" s="33">
        <f>IFERROR(VLOOKUP(vcost[[#This Row],[setting]],$A$6:$E$141,3,FALSE)+$J$8+VLOOKUP(vcost[[#This Row],[setting]],$O$6:$AA$141,11,FALSE)+VLOOKUP(vcost[[#This Row],[gbd_super]],$AH$6:$AK$11,2,FALSE),0)</f>
        <v>6.165960415958212</v>
      </c>
      <c r="O208" s="103" t="s">
        <v>144</v>
      </c>
      <c r="P208" s="135" t="s">
        <v>667</v>
      </c>
      <c r="Q208" s="33">
        <f>IFERROR(VLOOKUP(vcost_lb[[#This Row],[setting]],$A$6:$E$141,4,FALSE)+$K$6+VLOOKUP(vcost_lb[[#This Row],[setting]],$O$6:$AA$141,3,FALSE),0)</f>
        <v>0.46351407326994121</v>
      </c>
      <c r="R208" s="33">
        <f>IFERROR(VLOOKUP(vcost_lb[[#This Row],[setting]],$A$6:$E$141,4,FALSE)+$K$6+VLOOKUP(vcost_lb[[#This Row],[setting]],$O$6:$AA$141,3,FALSE)+VLOOKUP(vcost_lb[[#This Row],[gbd_super]],$AH$6:$AK$11,3,FALSE),0)</f>
        <v>5.0507790732699416</v>
      </c>
      <c r="S208" s="33">
        <f>IFERROR(VLOOKUP(vcost_lb[[#This Row],[setting]],$A$6:$E$141,4,FALSE)+VLOOKUP(vcost_lb[[#This Row],[setting]],$O$6:$AA$141,6,FALSE),0)</f>
        <v>9.7871811848702028E-2</v>
      </c>
      <c r="T208" s="33">
        <f>IFERROR(VLOOKUP(vcost_lb[[#This Row],[setting]],$A$6:$E$141,4,FALSE)+VLOOKUP(vcost_lb[[#This Row],[setting]],$O$6:$AA$141,6,FALSE)+VLOOKUP(vcost_lb[[#This Row],[gbd_super]],$AH$6:$AK$11,3,FALSE),0)</f>
        <v>4.685136811848702</v>
      </c>
      <c r="U208" s="33">
        <f>IFERROR(VLOOKUP(vcost_lb[[#This Row],[setting]],$A$6:$E$141,4,FALSE)+VLOOKUP(vcost_lb[[#This Row],[setting]],$O$6:$AA$141,9,FALSE)+VLOOKUP(vcost_lb[[#This Row],[gbd_super]],$AH$6:$AK$11,3,FALSE),0)</f>
        <v>4.6827138485044566</v>
      </c>
      <c r="V208" s="33">
        <f>IFERROR(VLOOKUP(vcost_lb[[#This Row],[setting]],$A$6:$E$141,4,FALSE)+$K$8+VLOOKUP(vcost_lb[[#This Row],[setting]],$O$6:$AA$141,12,FALSE),0)</f>
        <v>0.67485943125754155</v>
      </c>
      <c r="W208" s="33">
        <f>IFERROR(VLOOKUP(vcost_lb[[#This Row],[setting]],$A$6:$E$141,4,FALSE)+$K$8+VLOOKUP(vcost_lb[[#This Row],[setting]],$O$6:$AA$141,12,FALSE)+VLOOKUP(vcost_lb[[#This Row],[gbd_super]],$AH$6:$AK$11,3,FALSE),0)</f>
        <v>5.2621244312575417</v>
      </c>
      <c r="AH208" s="103" t="s">
        <v>144</v>
      </c>
      <c r="AI208" s="135" t="s">
        <v>667</v>
      </c>
      <c r="AJ208" s="33">
        <f>IFERROR(VLOOKUP(vcost_ub[[#This Row],[setting]],$A$6:$E$141,5,FALSE)+$L$6+VLOOKUP(vcost_ub[[#This Row],[setting]],$O$6:$AA$141,4,FALSE),0)</f>
        <v>2.9619865353081263</v>
      </c>
      <c r="AK208" s="33">
        <f>IFERROR(VLOOKUP(vcost_ub[[#This Row],[setting]],$A$6:$E$141,5,FALSE)+$L$6+VLOOKUP(vcost_ub[[#This Row],[setting]],$O$6:$AA$141,4,FALSE)+VLOOKUP(vcost_ub[[#This Row],[gbd_super]],$AH$6:$AK$11,4,FALSE),0)</f>
        <v>8.0321215353081268</v>
      </c>
      <c r="AL208" s="33">
        <f>IFERROR(VLOOKUP(vcost_ub[[#This Row],[setting]],$A$6:$E$141,5,FALSE)+VLOOKUP(vcost_ub[[#This Row],[setting]],$O$6:$AA$141,7,FALSE),0)</f>
        <v>2.4617872473948079</v>
      </c>
      <c r="AM208" s="33">
        <f>IFERROR(VLOOKUP(vcost_ub[[#This Row],[setting]],$A$6:$E$141,5,FALSE)+VLOOKUP(vcost_ub[[#This Row],[setting]],$O$6:$AA$141,7,FALSE)+VLOOKUP(vcost_ub[[#This Row],[gbd_super]],$AH$6:$AK$11,4,FALSE),0)</f>
        <v>7.5319222473948084</v>
      </c>
      <c r="AN208" s="33">
        <f>IFERROR(VLOOKUP(vcost_ub[[#This Row],[setting]],$A$6:$E$141,5,FALSE)+VLOOKUP(vcost_ub[[#This Row],[setting]],$O$6:$AA$141,10,FALSE)+VLOOKUP(vcost_ub[[#This Row],[gbd_super]],$AH$6:$AK$11,4,FALSE),0)</f>
        <v>7.5222303940178241</v>
      </c>
      <c r="AO208" s="33">
        <f>IFERROR(VLOOKUP(vcost_ub[[#This Row],[setting]],$A$6:$E$141,5,FALSE)+$L$8+VLOOKUP(vcost_ub[[#This Row],[setting]],$O$6:$AA$141,13,FALSE),0)</f>
        <v>3.2316031497603763</v>
      </c>
      <c r="AP208" s="33">
        <f>IFERROR(VLOOKUP(vcost_ub[[#This Row],[setting]],$A$6:$E$141,5,FALSE)+$L$8+VLOOKUP(vcost_ub[[#This Row],[setting]],$O$6:$AA$141,13,FALSE)+VLOOKUP(vcost_ub[[#This Row],[gbd_super]],$AH$6:$AK$11,4,FALSE),0)</f>
        <v>8.3017381497603768</v>
      </c>
    </row>
    <row r="209" spans="1:42" x14ac:dyDescent="0.25">
      <c r="A209" s="100" t="s">
        <v>145</v>
      </c>
      <c r="B209" s="134" t="s">
        <v>667</v>
      </c>
      <c r="C209">
        <f>IFERROR(VLOOKUP(vcost[[#This Row],[setting]],$A$6:$E$141,3,FALSE)+$J$6+VLOOKUP(vcost[[#This Row],[setting]],$O$6:$AA$141,2,FALSE),0)</f>
        <v>3.6121625438521474</v>
      </c>
      <c r="D209">
        <f>IFERROR(VLOOKUP(vcost[[#This Row],[setting]],$A$6:$E$141,3,FALSE)+$J$6+VLOOKUP(vcost[[#This Row],[setting]],$O$6:$AA$141,2,FALSE)+VLOOKUP(vcost[[#This Row],[gbd_super]],$AH$6:$AK$11,2,FALSE),0)</f>
        <v>8.442162543852147</v>
      </c>
      <c r="E209">
        <f>IFERROR(VLOOKUP(vcost[[#This Row],[setting]],$A$6:$E$141,3,FALSE)+VLOOKUP(vcost[[#This Row],[setting]],$O$6:$AA$141,5,FALSE),0)</f>
        <v>3.1881130895338297</v>
      </c>
      <c r="F209" s="33">
        <f>IFERROR(VLOOKUP(vcost[[#This Row],[setting]],$A$6:$E$141,3,FALSE)+VLOOKUP(vcost[[#This Row],[setting]],$O$6:$AA$141,5,FALSE)+VLOOKUP(vcost[[#This Row],[gbd_super]],$AH$6:$AK$11,2,FALSE),0)</f>
        <v>8.0181130895338306</v>
      </c>
      <c r="G209" s="33">
        <f>IFERROR(VLOOKUP(vcost[[#This Row],[setting]],$A$6:$E$141,3,FALSE)+VLOOKUP(vcost[[#This Row],[setting]],$O$6:$AA$141,8,FALSE)+VLOOKUP(vcost[[#This Row],[gbd_super]],$AH$6:$AK$11,2,FALSE),0)</f>
        <v>8.0157259156393845</v>
      </c>
      <c r="H209">
        <f>IFERROR(VLOOKUP(vcost[[#This Row],[setting]],$A$6:$E$141,3,FALSE)+$J$8+VLOOKUP(vcost[[#This Row],[setting]],$O$6:$AA$141,11,FALSE),0)</f>
        <v>3.8532436206436578</v>
      </c>
      <c r="I209" s="33">
        <f>IFERROR(VLOOKUP(vcost[[#This Row],[setting]],$A$6:$E$141,3,FALSE)+$J$8+VLOOKUP(vcost[[#This Row],[setting]],$O$6:$AA$141,11,FALSE)+VLOOKUP(vcost[[#This Row],[gbd_super]],$AH$6:$AK$11,2,FALSE),0)</f>
        <v>8.6832436206436583</v>
      </c>
      <c r="O209" s="100" t="s">
        <v>145</v>
      </c>
      <c r="P209" s="134" t="s">
        <v>667</v>
      </c>
      <c r="Q209" s="33">
        <f>IFERROR(VLOOKUP(vcost_lb[[#This Row],[setting]],$A$6:$E$141,4,FALSE)+$K$6+VLOOKUP(vcost_lb[[#This Row],[setting]],$O$6:$AA$141,3,FALSE),0)</f>
        <v>1.6143761064215623</v>
      </c>
      <c r="R209" s="33">
        <f>IFERROR(VLOOKUP(vcost_lb[[#This Row],[setting]],$A$6:$E$141,4,FALSE)+$K$6+VLOOKUP(vcost_lb[[#This Row],[setting]],$O$6:$AA$141,3,FALSE)+VLOOKUP(vcost_lb[[#This Row],[gbd_super]],$AH$6:$AK$11,3,FALSE),0)</f>
        <v>6.2016411064215626</v>
      </c>
      <c r="S209" s="33">
        <f>IFERROR(VLOOKUP(vcost_lb[[#This Row],[setting]],$A$6:$E$141,4,FALSE)+VLOOKUP(vcost_lb[[#This Row],[setting]],$O$6:$AA$141,6,FALSE),0)</f>
        <v>1.2498612431143614</v>
      </c>
      <c r="T209" s="33">
        <f>IFERROR(VLOOKUP(vcost_lb[[#This Row],[setting]],$A$6:$E$141,4,FALSE)+VLOOKUP(vcost_lb[[#This Row],[setting]],$O$6:$AA$141,6,FALSE)+VLOOKUP(vcost_lb[[#This Row],[gbd_super]],$AH$6:$AK$11,3,FALSE),0)</f>
        <v>5.837126243114362</v>
      </c>
      <c r="U209" s="33">
        <f>IFERROR(VLOOKUP(vcost_lb[[#This Row],[setting]],$A$6:$E$141,4,FALSE)+VLOOKUP(vcost_lb[[#This Row],[setting]],$O$6:$AA$141,9,FALSE)+VLOOKUP(vcost_lb[[#This Row],[gbd_super]],$AH$6:$AK$11,3,FALSE),0)</f>
        <v>5.8355557339732798</v>
      </c>
      <c r="V209" s="33">
        <f>IFERROR(VLOOKUP(vcost_lb[[#This Row],[setting]],$A$6:$E$141,4,FALSE)+$K$8+VLOOKUP(vcost_lb[[#This Row],[setting]],$O$6:$AA$141,12,FALSE),0)</f>
        <v>1.8252382937888605</v>
      </c>
      <c r="W209" s="33">
        <f>IFERROR(VLOOKUP(vcost_lb[[#This Row],[setting]],$A$6:$E$141,4,FALSE)+$K$8+VLOOKUP(vcost_lb[[#This Row],[setting]],$O$6:$AA$141,12,FALSE)+VLOOKUP(vcost_lb[[#This Row],[gbd_super]],$AH$6:$AK$11,3,FALSE),0)</f>
        <v>6.4125032937888609</v>
      </c>
      <c r="AH209" s="100" t="s">
        <v>145</v>
      </c>
      <c r="AI209" s="134" t="s">
        <v>667</v>
      </c>
      <c r="AJ209" s="33">
        <f>IFERROR(VLOOKUP(vcost_ub[[#This Row],[setting]],$A$6:$E$141,5,FALSE)+$L$6+VLOOKUP(vcost_ub[[#This Row],[setting]],$O$6:$AA$141,4,FALSE),0)</f>
        <v>7.2659938062968132</v>
      </c>
      <c r="AK209" s="33">
        <f>IFERROR(VLOOKUP(vcost_ub[[#This Row],[setting]],$A$6:$E$141,5,FALSE)+$L$6+VLOOKUP(vcost_ub[[#This Row],[setting]],$O$6:$AA$141,4,FALSE)+VLOOKUP(vcost_ub[[#This Row],[gbd_super]],$AH$6:$AK$11,4,FALSE),0)</f>
        <v>12.336128806296813</v>
      </c>
      <c r="AL209" s="33">
        <f>IFERROR(VLOOKUP(vcost_ub[[#This Row],[setting]],$A$6:$E$141,5,FALSE)+VLOOKUP(vcost_ub[[#This Row],[setting]],$O$6:$AA$141,7,FALSE),0)</f>
        <v>6.771044972457446</v>
      </c>
      <c r="AM209" s="33">
        <f>IFERROR(VLOOKUP(vcost_ub[[#This Row],[setting]],$A$6:$E$141,5,FALSE)+VLOOKUP(vcost_ub[[#This Row],[setting]],$O$6:$AA$141,7,FALSE)+VLOOKUP(vcost_ub[[#This Row],[gbd_super]],$AH$6:$AK$11,4,FALSE),0)</f>
        <v>11.841179972457446</v>
      </c>
      <c r="AN209" s="33">
        <f>IFERROR(VLOOKUP(vcost_ub[[#This Row],[setting]],$A$6:$E$141,5,FALSE)+VLOOKUP(vcost_ub[[#This Row],[setting]],$O$6:$AA$141,10,FALSE)+VLOOKUP(vcost_ub[[#This Row],[gbd_super]],$AH$6:$AK$11,4,FALSE),0)</f>
        <v>11.834897935893117</v>
      </c>
      <c r="AO209" s="33">
        <f>IFERROR(VLOOKUP(vcost_ub[[#This Row],[setting]],$A$6:$E$141,5,FALSE)+$L$8+VLOOKUP(vcost_ub[[#This Row],[setting]],$O$6:$AA$141,13,FALSE),0)</f>
        <v>7.5344185998856519</v>
      </c>
      <c r="AP209" s="33">
        <f>IFERROR(VLOOKUP(vcost_ub[[#This Row],[setting]],$A$6:$E$141,5,FALSE)+$L$8+VLOOKUP(vcost_ub[[#This Row],[setting]],$O$6:$AA$141,13,FALSE)+VLOOKUP(vcost_ub[[#This Row],[gbd_super]],$AH$6:$AK$11,4,FALSE),0)</f>
        <v>12.604553599885651</v>
      </c>
    </row>
    <row r="210" spans="1:42" x14ac:dyDescent="0.25">
      <c r="A210" s="103" t="s">
        <v>270</v>
      </c>
      <c r="B210" s="135" t="s">
        <v>665</v>
      </c>
      <c r="C210">
        <f>IFERROR(VLOOKUP(vcost[[#This Row],[setting]],$A$6:$E$141,3,FALSE)+$J$6+VLOOKUP(vcost[[#This Row],[setting]],$O$6:$AA$141,2,FALSE),0)</f>
        <v>8.0901740784108647</v>
      </c>
      <c r="D210">
        <f>IFERROR(VLOOKUP(vcost[[#This Row],[setting]],$A$6:$E$141,3,FALSE)+$J$6+VLOOKUP(vcost[[#This Row],[setting]],$O$6:$AA$141,2,FALSE)+VLOOKUP(vcost[[#This Row],[gbd_super]],$AH$6:$AK$11,2,FALSE),0)</f>
        <v>8.1101740784108642</v>
      </c>
      <c r="E210">
        <f>IFERROR(VLOOKUP(vcost[[#This Row],[setting]],$A$6:$E$141,3,FALSE)+VLOOKUP(vcost[[#This Row],[setting]],$O$6:$AA$141,5,FALSE),0)</f>
        <v>7.6510419575984132</v>
      </c>
      <c r="F210" s="33">
        <f>IFERROR(VLOOKUP(vcost[[#This Row],[setting]],$A$6:$E$141,3,FALSE)+VLOOKUP(vcost[[#This Row],[setting]],$O$6:$AA$141,5,FALSE)+VLOOKUP(vcost[[#This Row],[gbd_super]],$AH$6:$AK$11,2,FALSE),0)</f>
        <v>7.6710419575984128</v>
      </c>
      <c r="G210" s="33">
        <f>IFERROR(VLOOKUP(vcost[[#This Row],[setting]],$A$6:$E$141,3,FALSE)+VLOOKUP(vcost[[#This Row],[setting]],$O$6:$AA$141,8,FALSE)+VLOOKUP(vcost[[#This Row],[gbd_super]],$AH$6:$AK$11,2,FALSE),0)</f>
        <v>7.6623775793023663</v>
      </c>
      <c r="H210">
        <f>IFERROR(VLOOKUP(vcost[[#This Row],[setting]],$A$6:$E$141,3,FALSE)+$J$8+VLOOKUP(vcost[[#This Row],[setting]],$O$6:$AA$141,11,FALSE),0)</f>
        <v>8.3366919303339806</v>
      </c>
      <c r="I210" s="33">
        <f>IFERROR(VLOOKUP(vcost[[#This Row],[setting]],$A$6:$E$141,3,FALSE)+$J$8+VLOOKUP(vcost[[#This Row],[setting]],$O$6:$AA$141,11,FALSE)+VLOOKUP(vcost[[#This Row],[gbd_super]],$AH$6:$AK$11,2,FALSE),0)</f>
        <v>8.3566919303339802</v>
      </c>
      <c r="O210" s="103" t="s">
        <v>270</v>
      </c>
      <c r="P210" s="135" t="s">
        <v>665</v>
      </c>
      <c r="Q210" s="33">
        <f>IFERROR(VLOOKUP(vcost_lb[[#This Row],[setting]],$A$6:$E$141,4,FALSE)+$K$6+VLOOKUP(vcost_lb[[#This Row],[setting]],$O$6:$AA$141,3,FALSE),0)</f>
        <v>3.7407833930727397</v>
      </c>
      <c r="R210" s="33">
        <f>IFERROR(VLOOKUP(vcost_lb[[#This Row],[setting]],$A$6:$E$141,4,FALSE)+$K$6+VLOOKUP(vcost_lb[[#This Row],[setting]],$O$6:$AA$141,3,FALSE)+VLOOKUP(vcost_lb[[#This Row],[gbd_super]],$AH$6:$AK$11,3,FALSE),0)</f>
        <v>3.7614933930727394</v>
      </c>
      <c r="S210" s="33">
        <f>IFERROR(VLOOKUP(vcost_lb[[#This Row],[setting]],$A$6:$E$141,4,FALSE)+VLOOKUP(vcost_lb[[#This Row],[setting]],$O$6:$AA$141,6,FALSE),0)</f>
        <v>3.370130235262113</v>
      </c>
      <c r="T210" s="33">
        <f>IFERROR(VLOOKUP(vcost_lb[[#This Row],[setting]],$A$6:$E$141,4,FALSE)+VLOOKUP(vcost_lb[[#This Row],[setting]],$O$6:$AA$141,6,FALSE)+VLOOKUP(vcost_lb[[#This Row],[gbd_super]],$AH$6:$AK$11,3,FALSE),0)</f>
        <v>3.3908402352621128</v>
      </c>
      <c r="U210" s="33">
        <f>IFERROR(VLOOKUP(vcost_lb[[#This Row],[setting]],$A$6:$E$141,4,FALSE)+VLOOKUP(vcost_lb[[#This Row],[setting]],$O$6:$AA$141,9,FALSE)+VLOOKUP(vcost_lb[[#This Row],[gbd_super]],$AH$6:$AK$11,3,FALSE),0)</f>
        <v>3.3851399863831353</v>
      </c>
      <c r="V210" s="33">
        <f>IFERROR(VLOOKUP(vcost_lb[[#This Row],[setting]],$A$6:$E$141,4,FALSE)+$K$8+VLOOKUP(vcost_lb[[#This Row],[setting]],$O$6:$AA$141,12,FALSE),0)</f>
        <v>3.9542762780843637</v>
      </c>
      <c r="W210" s="33">
        <f>IFERROR(VLOOKUP(vcost_lb[[#This Row],[setting]],$A$6:$E$141,4,FALSE)+$K$8+VLOOKUP(vcost_lb[[#This Row],[setting]],$O$6:$AA$141,12,FALSE)+VLOOKUP(vcost_lb[[#This Row],[gbd_super]],$AH$6:$AK$11,3,FALSE),0)</f>
        <v>3.9749862780843634</v>
      </c>
      <c r="AH210" s="103" t="s">
        <v>270</v>
      </c>
      <c r="AI210" s="135" t="s">
        <v>665</v>
      </c>
      <c r="AJ210" s="33">
        <f>IFERROR(VLOOKUP(vcost_ub[[#This Row],[setting]],$A$6:$E$141,5,FALSE)+$L$6+VLOOKUP(vcost_ub[[#This Row],[setting]],$O$6:$AA$141,4,FALSE),0)</f>
        <v>15.919856689289492</v>
      </c>
      <c r="AK210" s="33">
        <f>IFERROR(VLOOKUP(vcost_ub[[#This Row],[setting]],$A$6:$E$141,5,FALSE)+$L$6+VLOOKUP(vcost_ub[[#This Row],[setting]],$O$6:$AA$141,4,FALSE)+VLOOKUP(vcost_ub[[#This Row],[gbd_super]],$AH$6:$AK$11,4,FALSE),0)</f>
        <v>15.942746689289493</v>
      </c>
      <c r="AL210" s="33">
        <f>IFERROR(VLOOKUP(vcost_ub[[#This Row],[setting]],$A$6:$E$141,5,FALSE)+VLOOKUP(vcost_ub[[#This Row],[setting]],$O$6:$AA$141,7,FALSE),0)</f>
        <v>15.396320941048455</v>
      </c>
      <c r="AM210" s="33">
        <f>IFERROR(VLOOKUP(vcost_ub[[#This Row],[setting]],$A$6:$E$141,5,FALSE)+VLOOKUP(vcost_ub[[#This Row],[setting]],$O$6:$AA$141,7,FALSE)+VLOOKUP(vcost_ub[[#This Row],[gbd_super]],$AH$6:$AK$11,4,FALSE),0)</f>
        <v>15.419210941048455</v>
      </c>
      <c r="AN210" s="33">
        <f>IFERROR(VLOOKUP(vcost_ub[[#This Row],[setting]],$A$6:$E$141,5,FALSE)+VLOOKUP(vcost_ub[[#This Row],[setting]],$O$6:$AA$141,10,FALSE)+VLOOKUP(vcost_ub[[#This Row],[gbd_super]],$AH$6:$AK$11,4,FALSE),0)</f>
        <v>15.396409945532545</v>
      </c>
      <c r="AO210" s="33">
        <f>IFERROR(VLOOKUP(vcost_ub[[#This Row],[setting]],$A$6:$E$141,5,FALSE)+$L$8+VLOOKUP(vcost_ub[[#This Row],[setting]],$O$6:$AA$141,13,FALSE),0)</f>
        <v>16.194770537067669</v>
      </c>
      <c r="AP210" s="33">
        <f>IFERROR(VLOOKUP(vcost_ub[[#This Row],[setting]],$A$6:$E$141,5,FALSE)+$L$8+VLOOKUP(vcost_ub[[#This Row],[setting]],$O$6:$AA$141,13,FALSE)+VLOOKUP(vcost_ub[[#This Row],[gbd_super]],$AH$6:$AK$11,4,FALSE),0)</f>
        <v>16.217660537067669</v>
      </c>
    </row>
    <row r="211" spans="1:42" x14ac:dyDescent="0.25">
      <c r="A211" s="100" t="s">
        <v>238</v>
      </c>
      <c r="B211" s="134" t="s">
        <v>665</v>
      </c>
      <c r="C211">
        <f>IFERROR(VLOOKUP(vcost[[#This Row],[setting]],$A$6:$E$141,3,FALSE)+$J$6+VLOOKUP(vcost[[#This Row],[setting]],$O$6:$AA$141,2,FALSE),0)</f>
        <v>1.5106242007893309</v>
      </c>
      <c r="D211">
        <f>IFERROR(VLOOKUP(vcost[[#This Row],[setting]],$A$6:$E$141,3,FALSE)+$J$6+VLOOKUP(vcost[[#This Row],[setting]],$O$6:$AA$141,2,FALSE)+VLOOKUP(vcost[[#This Row],[gbd_super]],$AH$6:$AK$11,2,FALSE),0)</f>
        <v>1.5306242007893309</v>
      </c>
      <c r="E211">
        <f>IFERROR(VLOOKUP(vcost[[#This Row],[setting]],$A$6:$E$141,3,FALSE)+VLOOKUP(vcost[[#This Row],[setting]],$O$6:$AA$141,5,FALSE),0)</f>
        <v>1.0812864594549774</v>
      </c>
      <c r="F211" s="33">
        <f>IFERROR(VLOOKUP(vcost[[#This Row],[setting]],$A$6:$E$141,3,FALSE)+VLOOKUP(vcost[[#This Row],[setting]],$O$6:$AA$141,5,FALSE)+VLOOKUP(vcost[[#This Row],[gbd_super]],$AH$6:$AK$11,2,FALSE),0)</f>
        <v>1.1012864594549774</v>
      </c>
      <c r="G211" s="33">
        <f>IFERROR(VLOOKUP(vcost[[#This Row],[setting]],$A$6:$E$141,3,FALSE)+VLOOKUP(vcost[[#This Row],[setting]],$O$6:$AA$141,8,FALSE)+VLOOKUP(vcost[[#This Row],[gbd_super]],$AH$6:$AK$11,2,FALSE),0)</f>
        <v>1.0967219822225027</v>
      </c>
      <c r="H211">
        <f>IFERROR(VLOOKUP(vcost[[#This Row],[setting]],$A$6:$E$141,3,FALSE)+$J$8+VLOOKUP(vcost[[#This Row],[setting]],$O$6:$AA$141,11,FALSE),0)</f>
        <v>1.7536115205749938</v>
      </c>
      <c r="I211" s="33">
        <f>IFERROR(VLOOKUP(vcost[[#This Row],[setting]],$A$6:$E$141,3,FALSE)+$J$8+VLOOKUP(vcost[[#This Row],[setting]],$O$6:$AA$141,11,FALSE)+VLOOKUP(vcost[[#This Row],[gbd_super]],$AH$6:$AK$11,2,FALSE),0)</f>
        <v>1.7736115205749938</v>
      </c>
      <c r="O211" s="100" t="s">
        <v>238</v>
      </c>
      <c r="P211" s="134" t="s">
        <v>665</v>
      </c>
      <c r="Q211" s="33">
        <f>IFERROR(VLOOKUP(vcost_lb[[#This Row],[setting]],$A$6:$E$141,4,FALSE)+$K$6+VLOOKUP(vcost_lb[[#This Row],[setting]],$O$6:$AA$141,3,FALSE),0)</f>
        <v>0.67200290172810917</v>
      </c>
      <c r="R211" s="33">
        <f>IFERROR(VLOOKUP(vcost_lb[[#This Row],[setting]],$A$6:$E$141,4,FALSE)+$K$6+VLOOKUP(vcost_lb[[#This Row],[setting]],$O$6:$AA$141,3,FALSE)+VLOOKUP(vcost_lb[[#This Row],[gbd_super]],$AH$6:$AK$11,3,FALSE),0)</f>
        <v>0.69271290172810918</v>
      </c>
      <c r="S211" s="33">
        <f>IFERROR(VLOOKUP(vcost_lb[[#This Row],[setting]],$A$6:$E$141,4,FALSE)+VLOOKUP(vcost_lb[[#This Row],[setting]],$O$6:$AA$141,6,FALSE),0)</f>
        <v>0.30533582858880082</v>
      </c>
      <c r="T211" s="33">
        <f>IFERROR(VLOOKUP(vcost_lb[[#This Row],[setting]],$A$6:$E$141,4,FALSE)+VLOOKUP(vcost_lb[[#This Row],[setting]],$O$6:$AA$141,6,FALSE)+VLOOKUP(vcost_lb[[#This Row],[gbd_super]],$AH$6:$AK$11,3,FALSE),0)</f>
        <v>0.32604582858880082</v>
      </c>
      <c r="U211" s="33">
        <f>IFERROR(VLOOKUP(vcost_lb[[#This Row],[setting]],$A$6:$E$141,4,FALSE)+VLOOKUP(vcost_lb[[#This Row],[setting]],$O$6:$AA$141,9,FALSE)+VLOOKUP(vcost_lb[[#This Row],[gbd_super]],$AH$6:$AK$11,3,FALSE),0)</f>
        <v>0.32304288304112</v>
      </c>
      <c r="V211" s="33">
        <f>IFERROR(VLOOKUP(vcost_lb[[#This Row],[setting]],$A$6:$E$141,4,FALSE)+$K$8+VLOOKUP(vcost_lb[[#This Row],[setting]],$O$6:$AA$141,12,FALSE),0)</f>
        <v>0.88378746473773917</v>
      </c>
      <c r="W211" s="33">
        <f>IFERROR(VLOOKUP(vcost_lb[[#This Row],[setting]],$A$6:$E$141,4,FALSE)+$K$8+VLOOKUP(vcost_lb[[#This Row],[setting]],$O$6:$AA$141,12,FALSE)+VLOOKUP(vcost_lb[[#This Row],[gbd_super]],$AH$6:$AK$11,3,FALSE),0)</f>
        <v>0.90449746473773918</v>
      </c>
      <c r="AH211" s="100" t="s">
        <v>238</v>
      </c>
      <c r="AI211" s="134" t="s">
        <v>665</v>
      </c>
      <c r="AJ211" s="33">
        <f>IFERROR(VLOOKUP(vcost_ub[[#This Row],[setting]],$A$6:$E$141,5,FALSE)+$L$6+VLOOKUP(vcost_ub[[#This Row],[setting]],$O$6:$AA$141,4,FALSE),0)</f>
        <v>3.3537152968412443</v>
      </c>
      <c r="AK211" s="33">
        <f>IFERROR(VLOOKUP(vcost_ub[[#This Row],[setting]],$A$6:$E$141,5,FALSE)+$L$6+VLOOKUP(vcost_ub[[#This Row],[setting]],$O$6:$AA$141,4,FALSE)+VLOOKUP(vcost_ub[[#This Row],[gbd_super]],$AH$6:$AK$11,4,FALSE),0)</f>
        <v>3.3766052968412441</v>
      </c>
      <c r="AL211" s="33">
        <f>IFERROR(VLOOKUP(vcost_ub[[#This Row],[setting]],$A$6:$E$141,5,FALSE)+VLOOKUP(vcost_ub[[#This Row],[setting]],$O$6:$AA$141,7,FALSE),0)</f>
        <v>2.8487433143552039</v>
      </c>
      <c r="AM211" s="33">
        <f>IFERROR(VLOOKUP(vcost_ub[[#This Row],[setting]],$A$6:$E$141,5,FALSE)+VLOOKUP(vcost_ub[[#This Row],[setting]],$O$6:$AA$141,7,FALSE)+VLOOKUP(vcost_ub[[#This Row],[gbd_super]],$AH$6:$AK$11,4,FALSE),0)</f>
        <v>2.8716333143552037</v>
      </c>
      <c r="AN211" s="33">
        <f>IFERROR(VLOOKUP(vcost_ub[[#This Row],[setting]],$A$6:$E$141,5,FALSE)+VLOOKUP(vcost_ub[[#This Row],[setting]],$O$6:$AA$141,10,FALSE)+VLOOKUP(vcost_ub[[#This Row],[gbd_super]],$AH$6:$AK$11,4,FALSE),0)</f>
        <v>2.8596215321644807</v>
      </c>
      <c r="AO211" s="33">
        <f>IFERROR(VLOOKUP(vcost_ub[[#This Row],[setting]],$A$6:$E$141,5,FALSE)+$L$8+VLOOKUP(vcost_ub[[#This Row],[setting]],$O$6:$AA$141,13,FALSE),0)</f>
        <v>3.6244152836811674</v>
      </c>
      <c r="AP211" s="33">
        <f>IFERROR(VLOOKUP(vcost_ub[[#This Row],[setting]],$A$6:$E$141,5,FALSE)+$L$8+VLOOKUP(vcost_ub[[#This Row],[setting]],$O$6:$AA$141,13,FALSE)+VLOOKUP(vcost_ub[[#This Row],[gbd_super]],$AH$6:$AK$11,4,FALSE),0)</f>
        <v>3.6473052836811672</v>
      </c>
    </row>
    <row r="212" spans="1:42" x14ac:dyDescent="0.25">
      <c r="A212" s="103" t="s">
        <v>257</v>
      </c>
      <c r="B212" s="135" t="s">
        <v>665</v>
      </c>
      <c r="C212">
        <f>IFERROR(VLOOKUP(vcost[[#This Row],[setting]],$A$6:$E$141,3,FALSE)+$J$6+VLOOKUP(vcost[[#This Row],[setting]],$O$6:$AA$141,2,FALSE),0)</f>
        <v>3.6190738115805074</v>
      </c>
      <c r="D212">
        <f>IFERROR(VLOOKUP(vcost[[#This Row],[setting]],$A$6:$E$141,3,FALSE)+$J$6+VLOOKUP(vcost[[#This Row],[setting]],$O$6:$AA$141,2,FALSE)+VLOOKUP(vcost[[#This Row],[gbd_super]],$AH$6:$AK$11,2,FALSE),0)</f>
        <v>3.6390738115805075</v>
      </c>
      <c r="E212">
        <f>IFERROR(VLOOKUP(vcost[[#This Row],[setting]],$A$6:$E$141,3,FALSE)+VLOOKUP(vcost[[#This Row],[setting]],$O$6:$AA$141,5,FALSE),0)</f>
        <v>3.1858875114310852</v>
      </c>
      <c r="F212" s="33">
        <f>IFERROR(VLOOKUP(vcost[[#This Row],[setting]],$A$6:$E$141,3,FALSE)+VLOOKUP(vcost[[#This Row],[setting]],$O$6:$AA$141,5,FALSE)+VLOOKUP(vcost[[#This Row],[gbd_super]],$AH$6:$AK$11,2,FALSE),0)</f>
        <v>3.2058875114310852</v>
      </c>
      <c r="G212" s="33">
        <f>IFERROR(VLOOKUP(vcost[[#This Row],[setting]],$A$6:$E$141,3,FALSE)+VLOOKUP(vcost[[#This Row],[setting]],$O$6:$AA$141,8,FALSE)+VLOOKUP(vcost[[#This Row],[gbd_super]],$AH$6:$AK$11,2,FALSE),0)</f>
        <v>3.1996479009811578</v>
      </c>
      <c r="H212">
        <f>IFERROR(VLOOKUP(vcost[[#This Row],[setting]],$A$6:$E$141,3,FALSE)+$J$8+VLOOKUP(vcost[[#This Row],[setting]],$O$6:$AA$141,11,FALSE),0)</f>
        <v>3.8634484025669513</v>
      </c>
      <c r="I212" s="33">
        <f>IFERROR(VLOOKUP(vcost[[#This Row],[setting]],$A$6:$E$141,3,FALSE)+$J$8+VLOOKUP(vcost[[#This Row],[setting]],$O$6:$AA$141,11,FALSE)+VLOOKUP(vcost[[#This Row],[gbd_super]],$AH$6:$AK$11,2,FALSE),0)</f>
        <v>3.8834484025669513</v>
      </c>
      <c r="O212" s="103" t="s">
        <v>257</v>
      </c>
      <c r="P212" s="135" t="s">
        <v>665</v>
      </c>
      <c r="Q212" s="33">
        <f>IFERROR(VLOOKUP(vcost_lb[[#This Row],[setting]],$A$6:$E$141,4,FALSE)+$K$6+VLOOKUP(vcost_lb[[#This Row],[setting]],$O$6:$AA$141,3,FALSE),0)</f>
        <v>1.7264067098592824</v>
      </c>
      <c r="R212" s="33">
        <f>IFERROR(VLOOKUP(vcost_lb[[#This Row],[setting]],$A$6:$E$141,4,FALSE)+$K$6+VLOOKUP(vcost_lb[[#This Row],[setting]],$O$6:$AA$141,3,FALSE)+VLOOKUP(vcost_lb[[#This Row],[gbd_super]],$AH$6:$AK$11,3,FALSE),0)</f>
        <v>1.7471167098592824</v>
      </c>
      <c r="S212" s="33">
        <f>IFERROR(VLOOKUP(vcost_lb[[#This Row],[setting]],$A$6:$E$141,4,FALSE)+VLOOKUP(vcost_lb[[#This Row],[setting]],$O$6:$AA$141,6,FALSE),0)</f>
        <v>1.3581733627836086</v>
      </c>
      <c r="T212" s="33">
        <f>IFERROR(VLOOKUP(vcost_lb[[#This Row],[setting]],$A$6:$E$141,4,FALSE)+VLOOKUP(vcost_lb[[#This Row],[setting]],$O$6:$AA$141,6,FALSE)+VLOOKUP(vcost_lb[[#This Row],[gbd_super]],$AH$6:$AK$11,3,FALSE),0)</f>
        <v>1.3788833627836086</v>
      </c>
      <c r="U212" s="33">
        <f>IFERROR(VLOOKUP(vcost_lb[[#This Row],[setting]],$A$6:$E$141,4,FALSE)+VLOOKUP(vcost_lb[[#This Row],[setting]],$O$6:$AA$141,9,FALSE)+VLOOKUP(vcost_lb[[#This Row],[gbd_super]],$AH$6:$AK$11,3,FALSE),0)</f>
        <v>1.3747783559086566</v>
      </c>
      <c r="V212" s="33">
        <f>IFERROR(VLOOKUP(vcost_lb[[#This Row],[setting]],$A$6:$E$141,4,FALSE)+$K$8+VLOOKUP(vcost_lb[[#This Row],[setting]],$O$6:$AA$141,12,FALSE),0)</f>
        <v>1.9388625331273548</v>
      </c>
      <c r="W212" s="33">
        <f>IFERROR(VLOOKUP(vcost_lb[[#This Row],[setting]],$A$6:$E$141,4,FALSE)+$K$8+VLOOKUP(vcost_lb[[#This Row],[setting]],$O$6:$AA$141,12,FALSE)+VLOOKUP(vcost_lb[[#This Row],[gbd_super]],$AH$6:$AK$11,3,FALSE),0)</f>
        <v>1.9595725331273548</v>
      </c>
      <c r="AH212" s="103" t="s">
        <v>257</v>
      </c>
      <c r="AI212" s="135" t="s">
        <v>665</v>
      </c>
      <c r="AJ212" s="33">
        <f>IFERROR(VLOOKUP(vcost_ub[[#This Row],[setting]],$A$6:$E$141,5,FALSE)+$L$6+VLOOKUP(vcost_ub[[#This Row],[setting]],$O$6:$AA$141,4,FALSE),0)</f>
        <v>7.0264597950955467</v>
      </c>
      <c r="AK212" s="33">
        <f>IFERROR(VLOOKUP(vcost_ub[[#This Row],[setting]],$A$6:$E$141,5,FALSE)+$L$6+VLOOKUP(vcost_ub[[#This Row],[setting]],$O$6:$AA$141,4,FALSE)+VLOOKUP(vcost_ub[[#This Row],[gbd_super]],$AH$6:$AK$11,4,FALSE),0)</f>
        <v>7.049349795095547</v>
      </c>
      <c r="AL212" s="33">
        <f>IFERROR(VLOOKUP(vcost_ub[[#This Row],[setting]],$A$6:$E$141,5,FALSE)+VLOOKUP(vcost_ub[[#This Row],[setting]],$O$6:$AA$141,7,FALSE),0)</f>
        <v>6.5141934511344335</v>
      </c>
      <c r="AM212" s="33">
        <f>IFERROR(VLOOKUP(vcost_ub[[#This Row],[setting]],$A$6:$E$141,5,FALSE)+VLOOKUP(vcost_ub[[#This Row],[setting]],$O$6:$AA$141,7,FALSE)+VLOOKUP(vcost_ub[[#This Row],[gbd_super]],$AH$6:$AK$11,4,FALSE),0)</f>
        <v>6.5370834511344338</v>
      </c>
      <c r="AN212" s="33">
        <f>IFERROR(VLOOKUP(vcost_ub[[#This Row],[setting]],$A$6:$E$141,5,FALSE)+VLOOKUP(vcost_ub[[#This Row],[setting]],$O$6:$AA$141,10,FALSE)+VLOOKUP(vcost_ub[[#This Row],[gbd_super]],$AH$6:$AK$11,4,FALSE),0)</f>
        <v>6.5206634236346259</v>
      </c>
      <c r="AO212" s="33">
        <f>IFERROR(VLOOKUP(vcost_ub[[#This Row],[setting]],$A$6:$E$141,5,FALSE)+$L$8+VLOOKUP(vcost_ub[[#This Row],[setting]],$O$6:$AA$141,13,FALSE),0)</f>
        <v>7.298815557239628</v>
      </c>
      <c r="AP212" s="33">
        <f>IFERROR(VLOOKUP(vcost_ub[[#This Row],[setting]],$A$6:$E$141,5,FALSE)+$L$8+VLOOKUP(vcost_ub[[#This Row],[setting]],$O$6:$AA$141,13,FALSE)+VLOOKUP(vcost_ub[[#This Row],[gbd_super]],$AH$6:$AK$11,4,FALSE),0)</f>
        <v>7.3217055572396283</v>
      </c>
    </row>
    <row r="213" spans="1:42" x14ac:dyDescent="0.25">
      <c r="A213" s="100" t="s">
        <v>194</v>
      </c>
      <c r="B213" s="134" t="s">
        <v>589</v>
      </c>
      <c r="C213">
        <f>IFERROR(VLOOKUP(vcost[[#This Row],[setting]],$A$6:$E$141,3,FALSE)+$J$6+VLOOKUP(vcost[[#This Row],[setting]],$O$6:$AA$141,2,FALSE),0)</f>
        <v>1.5230366832041071</v>
      </c>
      <c r="D213">
        <f>IFERROR(VLOOKUP(vcost[[#This Row],[setting]],$A$6:$E$141,3,FALSE)+$J$6+VLOOKUP(vcost[[#This Row],[setting]],$O$6:$AA$141,2,FALSE)+VLOOKUP(vcost[[#This Row],[gbd_super]],$AH$6:$AK$11,2,FALSE),0)</f>
        <v>3.9730366832041071</v>
      </c>
      <c r="E213">
        <f>IFERROR(VLOOKUP(vcost[[#This Row],[setting]],$A$6:$E$141,3,FALSE)+VLOOKUP(vcost[[#This Row],[setting]],$O$6:$AA$141,5,FALSE),0)</f>
        <v>1.0925775005878353</v>
      </c>
      <c r="F213" s="33">
        <f>IFERROR(VLOOKUP(vcost[[#This Row],[setting]],$A$6:$E$141,3,FALSE)+VLOOKUP(vcost[[#This Row],[setting]],$O$6:$AA$141,5,FALSE)+VLOOKUP(vcost[[#This Row],[gbd_super]],$AH$6:$AK$11,2,FALSE),0)</f>
        <v>3.5425775005878357</v>
      </c>
      <c r="G213" s="33">
        <f>IFERROR(VLOOKUP(vcost[[#This Row],[setting]],$A$6:$E$141,3,FALSE)+VLOOKUP(vcost[[#This Row],[setting]],$O$6:$AA$141,8,FALSE)+VLOOKUP(vcost[[#This Row],[gbd_super]],$AH$6:$AK$11,2,FALSE),0)</f>
        <v>3.5374099825057872</v>
      </c>
      <c r="H213">
        <f>IFERROR(VLOOKUP(vcost[[#This Row],[setting]],$A$6:$E$141,3,FALSE)+$J$8+VLOOKUP(vcost[[#This Row],[setting]],$O$6:$AA$141,11,FALSE),0)</f>
        <v>1.7664282434518568</v>
      </c>
      <c r="I213" s="33">
        <f>IFERROR(VLOOKUP(vcost[[#This Row],[setting]],$A$6:$E$141,3,FALSE)+$J$8+VLOOKUP(vcost[[#This Row],[setting]],$O$6:$AA$141,11,FALSE)+VLOOKUP(vcost[[#This Row],[gbd_super]],$AH$6:$AK$11,2,FALSE),0)</f>
        <v>4.2164282434518565</v>
      </c>
      <c r="O213" s="100" t="s">
        <v>194</v>
      </c>
      <c r="P213" s="134" t="s">
        <v>589</v>
      </c>
      <c r="Q213" s="33">
        <f>IFERROR(VLOOKUP(vcost_lb[[#This Row],[setting]],$A$6:$E$141,4,FALSE)+$K$6+VLOOKUP(vcost_lb[[#This Row],[setting]],$O$6:$AA$141,3,FALSE),0)</f>
        <v>0.63191130299512144</v>
      </c>
      <c r="R213" s="33">
        <f>IFERROR(VLOOKUP(vcost_lb[[#This Row],[setting]],$A$6:$E$141,4,FALSE)+$K$6+VLOOKUP(vcost_lb[[#This Row],[setting]],$O$6:$AA$141,3,FALSE)+VLOOKUP(vcost_lb[[#This Row],[gbd_super]],$AH$6:$AK$11,3,FALSE),0)</f>
        <v>2.9594113029951217</v>
      </c>
      <c r="S213" s="33">
        <f>IFERROR(VLOOKUP(vcost_lb[[#This Row],[setting]],$A$6:$E$141,4,FALSE)+VLOOKUP(vcost_lb[[#This Row],[setting]],$O$6:$AA$141,6,FALSE),0)</f>
        <v>0.26478782933410211</v>
      </c>
      <c r="T213" s="33">
        <f>IFERROR(VLOOKUP(vcost_lb[[#This Row],[setting]],$A$6:$E$141,4,FALSE)+VLOOKUP(vcost_lb[[#This Row],[setting]],$O$6:$AA$141,6,FALSE)+VLOOKUP(vcost_lb[[#This Row],[gbd_super]],$AH$6:$AK$11,3,FALSE),0)</f>
        <v>2.5922878293341021</v>
      </c>
      <c r="U213" s="33">
        <f>IFERROR(VLOOKUP(vcost_lb[[#This Row],[setting]],$A$6:$E$141,4,FALSE)+VLOOKUP(vcost_lb[[#This Row],[setting]],$O$6:$AA$141,9,FALSE)+VLOOKUP(vcost_lb[[#This Row],[gbd_super]],$AH$6:$AK$11,3,FALSE),0)</f>
        <v>2.5888881463853863</v>
      </c>
      <c r="V213" s="33">
        <f>IFERROR(VLOOKUP(vcost_lb[[#This Row],[setting]],$A$6:$E$141,4,FALSE)+$K$8+VLOOKUP(vcost_lb[[#This Row],[setting]],$O$6:$AA$141,12,FALSE),0)</f>
        <v>0.84389146622834166</v>
      </c>
      <c r="W213" s="33">
        <f>IFERROR(VLOOKUP(vcost_lb[[#This Row],[setting]],$A$6:$E$141,4,FALSE)+$K$8+VLOOKUP(vcost_lb[[#This Row],[setting]],$O$6:$AA$141,12,FALSE)+VLOOKUP(vcost_lb[[#This Row],[gbd_super]],$AH$6:$AK$11,3,FALSE),0)</f>
        <v>3.171391466228342</v>
      </c>
      <c r="AH213" s="100" t="s">
        <v>194</v>
      </c>
      <c r="AI213" s="134" t="s">
        <v>589</v>
      </c>
      <c r="AJ213" s="33">
        <f>IFERROR(VLOOKUP(vcost_ub[[#This Row],[setting]],$A$6:$E$141,5,FALSE)+$L$6+VLOOKUP(vcost_ub[[#This Row],[setting]],$O$6:$AA$141,4,FALSE),0)</f>
        <v>3.5850488222521313</v>
      </c>
      <c r="AK213" s="33">
        <f>IFERROR(VLOOKUP(vcost_ub[[#This Row],[setting]],$A$6:$E$141,5,FALSE)+$L$6+VLOOKUP(vcost_ub[[#This Row],[setting]],$O$6:$AA$141,4,FALSE)+VLOOKUP(vcost_ub[[#This Row],[gbd_super]],$AH$6:$AK$11,4,FALSE),0)</f>
        <v>6.1575488222521315</v>
      </c>
      <c r="AL213" s="33">
        <f>IFERROR(VLOOKUP(vcost_ub[[#This Row],[setting]],$A$6:$E$141,5,FALSE)+VLOOKUP(vcost_ub[[#This Row],[setting]],$O$6:$AA$141,7,FALSE),0)</f>
        <v>3.0779513173364084</v>
      </c>
      <c r="AM213" s="33">
        <f>IFERROR(VLOOKUP(vcost_ub[[#This Row],[setting]],$A$6:$E$141,5,FALSE)+VLOOKUP(vcost_ub[[#This Row],[setting]],$O$6:$AA$141,7,FALSE)+VLOOKUP(vcost_ub[[#This Row],[gbd_super]],$AH$6:$AK$11,4,FALSE),0)</f>
        <v>5.6504513173364082</v>
      </c>
      <c r="AN213" s="33">
        <f>IFERROR(VLOOKUP(vcost_ub[[#This Row],[setting]],$A$6:$E$141,5,FALSE)+VLOOKUP(vcost_ub[[#This Row],[setting]],$O$6:$AA$141,10,FALSE)+VLOOKUP(vcost_ub[[#This Row],[gbd_super]],$AH$6:$AK$11,4,FALSE),0)</f>
        <v>5.6368525855415452</v>
      </c>
      <c r="AO213" s="33">
        <f>IFERROR(VLOOKUP(vcost_ub[[#This Row],[setting]],$A$6:$E$141,5,FALSE)+$L$8+VLOOKUP(vcost_ub[[#This Row],[setting]],$O$6:$AA$141,13,FALSE),0)</f>
        <v>3.8562312896435769</v>
      </c>
      <c r="AP213" s="33">
        <f>IFERROR(VLOOKUP(vcost_ub[[#This Row],[setting]],$A$6:$E$141,5,FALSE)+$L$8+VLOOKUP(vcost_ub[[#This Row],[setting]],$O$6:$AA$141,13,FALSE)+VLOOKUP(vcost_ub[[#This Row],[gbd_super]],$AH$6:$AK$11,4,FALSE),0)</f>
        <v>6.4287312896435775</v>
      </c>
    </row>
    <row r="214" spans="1:42" x14ac:dyDescent="0.25">
      <c r="A214" s="103" t="s">
        <v>213</v>
      </c>
      <c r="B214" s="135" t="s">
        <v>666</v>
      </c>
      <c r="C214">
        <f>IFERROR(VLOOKUP(vcost[[#This Row],[setting]],$A$6:$E$141,3,FALSE)+$J$6+VLOOKUP(vcost[[#This Row],[setting]],$O$6:$AA$141,2,FALSE),0)</f>
        <v>1.8017456399268974</v>
      </c>
      <c r="D214">
        <f>IFERROR(VLOOKUP(vcost[[#This Row],[setting]],$A$6:$E$141,3,FALSE)+$J$6+VLOOKUP(vcost[[#This Row],[setting]],$O$6:$AA$141,2,FALSE)+VLOOKUP(vcost[[#This Row],[gbd_super]],$AH$6:$AK$11,2,FALSE),0)</f>
        <v>2.4317456399268975</v>
      </c>
      <c r="E214">
        <f>IFERROR(VLOOKUP(vcost[[#This Row],[setting]],$A$6:$E$141,3,FALSE)+VLOOKUP(vcost[[#This Row],[setting]],$O$6:$AA$141,5,FALSE),0)</f>
        <v>1.3600273815195147</v>
      </c>
      <c r="F214" s="33">
        <f>IFERROR(VLOOKUP(vcost[[#This Row],[setting]],$A$6:$E$141,3,FALSE)+VLOOKUP(vcost[[#This Row],[setting]],$O$6:$AA$141,5,FALSE)+VLOOKUP(vcost[[#This Row],[gbd_super]],$AH$6:$AK$11,2,FALSE),0)</f>
        <v>1.9900273815195146</v>
      </c>
      <c r="G214" s="33">
        <f>IFERROR(VLOOKUP(vcost[[#This Row],[setting]],$A$6:$E$141,3,FALSE)+VLOOKUP(vcost[[#This Row],[setting]],$O$6:$AA$141,8,FALSE)+VLOOKUP(vcost[[#This Row],[gbd_super]],$AH$6:$AK$11,2,FALSE),0)</f>
        <v>1.9806408616286659</v>
      </c>
      <c r="H214">
        <f>IFERROR(VLOOKUP(vcost[[#This Row],[setting]],$A$6:$E$141,3,FALSE)+$J$8+VLOOKUP(vcost[[#This Row],[setting]],$O$6:$AA$141,11,FALSE),0)</f>
        <v>2.0491957042388842</v>
      </c>
      <c r="I214" s="33">
        <f>IFERROR(VLOOKUP(vcost[[#This Row],[setting]],$A$6:$E$141,3,FALSE)+$J$8+VLOOKUP(vcost[[#This Row],[setting]],$O$6:$AA$141,11,FALSE)+VLOOKUP(vcost[[#This Row],[gbd_super]],$AH$6:$AK$11,2,FALSE),0)</f>
        <v>2.6791957042388841</v>
      </c>
      <c r="O214" s="103" t="s">
        <v>213</v>
      </c>
      <c r="P214" s="135" t="s">
        <v>666</v>
      </c>
      <c r="Q214" s="33">
        <f>IFERROR(VLOOKUP(vcost_lb[[#This Row],[setting]],$A$6:$E$141,4,FALSE)+$K$6+VLOOKUP(vcost_lb[[#This Row],[setting]],$O$6:$AA$141,3,FALSE),0)</f>
        <v>0.70483945930028902</v>
      </c>
      <c r="R214" s="33">
        <f>IFERROR(VLOOKUP(vcost_lb[[#This Row],[setting]],$A$6:$E$141,4,FALSE)+$K$6+VLOOKUP(vcost_lb[[#This Row],[setting]],$O$6:$AA$141,3,FALSE)+VLOOKUP(vcost_lb[[#This Row],[gbd_super]],$AH$6:$AK$11,3,FALSE),0)</f>
        <v>1.3054294593002891</v>
      </c>
      <c r="S214" s="33">
        <f>IFERROR(VLOOKUP(vcost_lb[[#This Row],[setting]],$A$6:$E$141,4,FALSE)+VLOOKUP(vcost_lb[[#This Row],[setting]],$O$6:$AA$141,6,FALSE),0)</f>
        <v>0.33313380363125955</v>
      </c>
      <c r="T214" s="33">
        <f>IFERROR(VLOOKUP(vcost_lb[[#This Row],[setting]],$A$6:$E$141,4,FALSE)+VLOOKUP(vcost_lb[[#This Row],[setting]],$O$6:$AA$141,6,FALSE)+VLOOKUP(vcost_lb[[#This Row],[gbd_super]],$AH$6:$AK$11,3,FALSE),0)</f>
        <v>0.93372380363125951</v>
      </c>
      <c r="U214" s="33">
        <f>IFERROR(VLOOKUP(vcost_lb[[#This Row],[setting]],$A$6:$E$141,4,FALSE)+VLOOKUP(vcost_lb[[#This Row],[setting]],$O$6:$AA$141,9,FALSE)+VLOOKUP(vcost_lb[[#This Row],[gbd_super]],$AH$6:$AK$11,3,FALSE),0)</f>
        <v>0.92754846159780646</v>
      </c>
      <c r="V214" s="33">
        <f>IFERROR(VLOOKUP(vcost_lb[[#This Row],[setting]],$A$6:$E$141,4,FALSE)+$K$8+VLOOKUP(vcost_lb[[#This Row],[setting]],$O$6:$AA$141,12,FALSE),0)</f>
        <v>0.91878341482265657</v>
      </c>
      <c r="W214" s="33">
        <f>IFERROR(VLOOKUP(vcost_lb[[#This Row],[setting]],$A$6:$E$141,4,FALSE)+$K$8+VLOOKUP(vcost_lb[[#This Row],[setting]],$O$6:$AA$141,12,FALSE)+VLOOKUP(vcost_lb[[#This Row],[gbd_super]],$AH$6:$AK$11,3,FALSE),0)</f>
        <v>1.5193734148226565</v>
      </c>
      <c r="AH214" s="103" t="s">
        <v>213</v>
      </c>
      <c r="AI214" s="135" t="s">
        <v>666</v>
      </c>
      <c r="AJ214" s="33">
        <f>IFERROR(VLOOKUP(vcost_ub[[#This Row],[setting]],$A$6:$E$141,5,FALSE)+$L$6+VLOOKUP(vcost_ub[[#This Row],[setting]],$O$6:$AA$141,4,FALSE),0)</f>
        <v>4.4050725956494947</v>
      </c>
      <c r="AK214" s="33">
        <f>IFERROR(VLOOKUP(vcost_ub[[#This Row],[setting]],$A$6:$E$141,5,FALSE)+$L$6+VLOOKUP(vcost_ub[[#This Row],[setting]],$O$6:$AA$141,4,FALSE)+VLOOKUP(vcost_ub[[#This Row],[gbd_super]],$AH$6:$AK$11,4,FALSE),0)</f>
        <v>5.0688825956494945</v>
      </c>
      <c r="AL214" s="33">
        <f>IFERROR(VLOOKUP(vcost_ub[[#This Row],[setting]],$A$6:$E$141,5,FALSE)+VLOOKUP(vcost_ub[[#This Row],[setting]],$O$6:$AA$141,7,FALSE),0)</f>
        <v>3.876635214525038</v>
      </c>
      <c r="AM214" s="33">
        <f>IFERROR(VLOOKUP(vcost_ub[[#This Row],[setting]],$A$6:$E$141,5,FALSE)+VLOOKUP(vcost_ub[[#This Row],[setting]],$O$6:$AA$141,7,FALSE)+VLOOKUP(vcost_ub[[#This Row],[gbd_super]],$AH$6:$AK$11,4,FALSE),0)</f>
        <v>4.5404452145250378</v>
      </c>
      <c r="AN214" s="33">
        <f>IFERROR(VLOOKUP(vcost_ub[[#This Row],[setting]],$A$6:$E$141,5,FALSE)+VLOOKUP(vcost_ub[[#This Row],[setting]],$O$6:$AA$141,10,FALSE)+VLOOKUP(vcost_ub[[#This Row],[gbd_super]],$AH$6:$AK$11,4,FALSE),0)</f>
        <v>4.5157438463912261</v>
      </c>
      <c r="AO214" s="33">
        <f>IFERROR(VLOOKUP(vcost_ub[[#This Row],[setting]],$A$6:$E$141,5,FALSE)+$L$8+VLOOKUP(vcost_ub[[#This Row],[setting]],$O$6:$AA$141,13,FALSE),0)</f>
        <v>4.6810990840208362</v>
      </c>
      <c r="AP214" s="33">
        <f>IFERROR(VLOOKUP(vcost_ub[[#This Row],[setting]],$A$6:$E$141,5,FALSE)+$L$8+VLOOKUP(vcost_ub[[#This Row],[setting]],$O$6:$AA$141,13,FALSE)+VLOOKUP(vcost_ub[[#This Row],[gbd_super]],$AH$6:$AK$11,4,FALSE),0)</f>
        <v>5.344909084020836</v>
      </c>
    </row>
    <row r="215" spans="1:42" x14ac:dyDescent="0.25">
      <c r="A215" s="81" t="s">
        <v>195</v>
      </c>
      <c r="B215" s="134" t="s">
        <v>579</v>
      </c>
      <c r="C215">
        <f>IFERROR(VLOOKUP(vcost[[#This Row],[setting]],$A$6:$E$141,3,FALSE)+$J$6+VLOOKUP(vcost[[#This Row],[setting]],$O$6:$AA$141,2,FALSE),0)</f>
        <v>3.6777708232529673</v>
      </c>
      <c r="D215">
        <f>IFERROR(VLOOKUP(vcost[[#This Row],[setting]],$A$6:$E$141,3,FALSE)+$J$6+VLOOKUP(vcost[[#This Row],[setting]],$O$6:$AA$141,2,FALSE)+VLOOKUP(vcost[[#This Row],[gbd_super]],$AH$6:$AK$11,2,FALSE),0)</f>
        <v>4.1577708232529673</v>
      </c>
      <c r="E215">
        <f>IFERROR(VLOOKUP(vcost[[#This Row],[setting]],$A$6:$E$141,3,FALSE)+VLOOKUP(vcost[[#This Row],[setting]],$O$6:$AA$141,5,FALSE),0)</f>
        <v>3.2407638872774243</v>
      </c>
      <c r="F215" s="33">
        <f>IFERROR(VLOOKUP(vcost[[#This Row],[setting]],$A$6:$E$141,3,FALSE)+VLOOKUP(vcost[[#This Row],[setting]],$O$6:$AA$141,5,FALSE)+VLOOKUP(vcost[[#This Row],[gbd_super]],$AH$6:$AK$11,2,FALSE),0)</f>
        <v>3.7207638872774242</v>
      </c>
      <c r="G215" s="33">
        <f>IFERROR(VLOOKUP(vcost[[#This Row],[setting]],$A$6:$E$141,3,FALSE)+VLOOKUP(vcost[[#This Row],[setting]],$O$6:$AA$141,8,FALSE)+VLOOKUP(vcost[[#This Row],[gbd_super]],$AH$6:$AK$11,2,FALSE),0)</f>
        <v>3.7123621299776706</v>
      </c>
      <c r="H215">
        <f>IFERROR(VLOOKUP(vcost[[#This Row],[setting]],$A$6:$E$141,3,FALSE)+$J$8+VLOOKUP(vcost[[#This Row],[setting]],$O$6:$AA$141,11,FALSE),0)</f>
        <v>3.9235226201767337</v>
      </c>
      <c r="I215" s="33">
        <f>IFERROR(VLOOKUP(vcost[[#This Row],[setting]],$A$6:$E$141,3,FALSE)+$J$8+VLOOKUP(vcost[[#This Row],[setting]],$O$6:$AA$141,11,FALSE)+VLOOKUP(vcost[[#This Row],[gbd_super]],$AH$6:$AK$11,2,FALSE),0)</f>
        <v>4.4035226201767337</v>
      </c>
      <c r="O215" s="81" t="s">
        <v>195</v>
      </c>
      <c r="P215" s="134" t="s">
        <v>579</v>
      </c>
      <c r="Q215" s="33">
        <f>IFERROR(VLOOKUP(vcost_lb[[#This Row],[setting]],$A$6:$E$141,4,FALSE)+$K$6+VLOOKUP(vcost_lb[[#This Row],[setting]],$O$6:$AA$141,3,FALSE),0)</f>
        <v>1.6271829196874248</v>
      </c>
      <c r="R215" s="33">
        <f>IFERROR(VLOOKUP(vcost_lb[[#This Row],[setting]],$A$6:$E$141,4,FALSE)+$K$6+VLOOKUP(vcost_lb[[#This Row],[setting]],$O$6:$AA$141,3,FALSE)+VLOOKUP(vcost_lb[[#This Row],[gbd_super]],$AH$6:$AK$11,3,FALSE),0)</f>
        <v>2.0828029196874249</v>
      </c>
      <c r="S215" s="33">
        <f>IFERROR(VLOOKUP(vcost_lb[[#This Row],[setting]],$A$6:$E$141,4,FALSE)+VLOOKUP(vcost_lb[[#This Row],[setting]],$O$6:$AA$141,6,FALSE),0)</f>
        <v>1.2573946626825159</v>
      </c>
      <c r="T215" s="33">
        <f>IFERROR(VLOOKUP(vcost_lb[[#This Row],[setting]],$A$6:$E$141,4,FALSE)+VLOOKUP(vcost_lb[[#This Row],[setting]],$O$6:$AA$141,6,FALSE)+VLOOKUP(vcost_lb[[#This Row],[gbd_super]],$AH$6:$AK$11,3,FALSE),0)</f>
        <v>1.7130146626825158</v>
      </c>
      <c r="U215" s="33">
        <f>IFERROR(VLOOKUP(vcost_lb[[#This Row],[setting]],$A$6:$E$141,4,FALSE)+VLOOKUP(vcost_lb[[#This Row],[setting]],$O$6:$AA$141,9,FALSE)+VLOOKUP(vcost_lb[[#This Row],[gbd_super]],$AH$6:$AK$11,3,FALSE),0)</f>
        <v>1.7074871907747835</v>
      </c>
      <c r="V215" s="33">
        <f>IFERROR(VLOOKUP(vcost_lb[[#This Row],[setting]],$A$6:$E$141,4,FALSE)+$K$8+VLOOKUP(vcost_lb[[#This Row],[setting]],$O$6:$AA$141,12,FALSE),0)</f>
        <v>1.8403051329251694</v>
      </c>
      <c r="W215" s="33">
        <f>IFERROR(VLOOKUP(vcost_lb[[#This Row],[setting]],$A$6:$E$141,4,FALSE)+$K$8+VLOOKUP(vcost_lb[[#This Row],[setting]],$O$6:$AA$141,12,FALSE)+VLOOKUP(vcost_lb[[#This Row],[gbd_super]],$AH$6:$AK$11,3,FALSE),0)</f>
        <v>2.2959251329251695</v>
      </c>
      <c r="AH215" s="81" t="s">
        <v>195</v>
      </c>
      <c r="AI215" s="134" t="s">
        <v>579</v>
      </c>
      <c r="AJ215" s="33">
        <f>IFERROR(VLOOKUP(vcost_ub[[#This Row],[setting]],$A$6:$E$141,5,FALSE)+$L$6+VLOOKUP(vcost_ub[[#This Row],[setting]],$O$6:$AA$141,4,FALSE),0)</f>
        <v>7.444286432361614</v>
      </c>
      <c r="AK215" s="33">
        <f>IFERROR(VLOOKUP(vcost_ub[[#This Row],[setting]],$A$6:$E$141,5,FALSE)+$L$6+VLOOKUP(vcost_ub[[#This Row],[setting]],$O$6:$AA$141,4,FALSE)+VLOOKUP(vcost_ub[[#This Row],[gbd_super]],$AH$6:$AK$11,4,FALSE),0)</f>
        <v>7.9478664323616144</v>
      </c>
      <c r="AL215" s="33">
        <f>IFERROR(VLOOKUP(vcost_ub[[#This Row],[setting]],$A$6:$E$141,5,FALSE)+VLOOKUP(vcost_ub[[#This Row],[setting]],$O$6:$AA$141,7,FALSE),0)</f>
        <v>6.9247786507300635</v>
      </c>
      <c r="AM215" s="33">
        <f>IFERROR(VLOOKUP(vcost_ub[[#This Row],[setting]],$A$6:$E$141,5,FALSE)+VLOOKUP(vcost_ub[[#This Row],[setting]],$O$6:$AA$141,7,FALSE)+VLOOKUP(vcost_ub[[#This Row],[gbd_super]],$AH$6:$AK$11,4,FALSE),0)</f>
        <v>7.4283586507300639</v>
      </c>
      <c r="AN215" s="33">
        <f>IFERROR(VLOOKUP(vcost_ub[[#This Row],[setting]],$A$6:$E$141,5,FALSE)+VLOOKUP(vcost_ub[[#This Row],[setting]],$O$6:$AA$141,10,FALSE)+VLOOKUP(vcost_ub[[#This Row],[gbd_super]],$AH$6:$AK$11,4,FALSE),0)</f>
        <v>7.4062487630991338</v>
      </c>
      <c r="AO215" s="33">
        <f>IFERROR(VLOOKUP(vcost_ub[[#This Row],[setting]],$A$6:$E$141,5,FALSE)+$L$8+VLOOKUP(vcost_ub[[#This Row],[setting]],$O$6:$AA$141,13,FALSE),0)</f>
        <v>7.7182859564308872</v>
      </c>
      <c r="AP215" s="33">
        <f>IFERROR(VLOOKUP(vcost_ub[[#This Row],[setting]],$A$6:$E$141,5,FALSE)+$L$8+VLOOKUP(vcost_ub[[#This Row],[setting]],$O$6:$AA$141,13,FALSE)+VLOOKUP(vcost_ub[[#This Row],[gbd_super]],$AH$6:$AK$11,4,FALSE),0)</f>
        <v>8.2218659564308876</v>
      </c>
    </row>
    <row r="216" spans="1:42" x14ac:dyDescent="0.25">
      <c r="A216" s="103" t="s">
        <v>170</v>
      </c>
      <c r="B216" s="135" t="s">
        <v>579</v>
      </c>
      <c r="C216">
        <f>IFERROR(VLOOKUP(vcost[[#This Row],[setting]],$A$6:$E$141,3,FALSE)+$J$6+VLOOKUP(vcost[[#This Row],[setting]],$O$6:$AA$141,2,FALSE),0)</f>
        <v>2.9554915896649456</v>
      </c>
      <c r="D216">
        <f>IFERROR(VLOOKUP(vcost[[#This Row],[setting]],$A$6:$E$141,3,FALSE)+$J$6+VLOOKUP(vcost[[#This Row],[setting]],$O$6:$AA$141,2,FALSE)+VLOOKUP(vcost[[#This Row],[gbd_super]],$AH$6:$AK$11,2,FALSE),0)</f>
        <v>3.4354915896649456</v>
      </c>
      <c r="E216">
        <f>IFERROR(VLOOKUP(vcost[[#This Row],[setting]],$A$6:$E$141,3,FALSE)+VLOOKUP(vcost[[#This Row],[setting]],$O$6:$AA$141,5,FALSE),0)</f>
        <v>2.5191637530015623</v>
      </c>
      <c r="F216" s="33">
        <f>IFERROR(VLOOKUP(vcost[[#This Row],[setting]],$A$6:$E$141,3,FALSE)+VLOOKUP(vcost[[#This Row],[setting]],$O$6:$AA$141,5,FALSE)+VLOOKUP(vcost[[#This Row],[gbd_super]],$AH$6:$AK$11,2,FALSE),0)</f>
        <v>2.9991637530015622</v>
      </c>
      <c r="G216" s="33">
        <f>IFERROR(VLOOKUP(vcost[[#This Row],[setting]],$A$6:$E$141,3,FALSE)+VLOOKUP(vcost[[#This Row],[setting]],$O$6:$AA$141,8,FALSE)+VLOOKUP(vcost[[#This Row],[gbd_super]],$AH$6:$AK$11,2,FALSE),0)</f>
        <v>2.9919797032442035</v>
      </c>
      <c r="H216">
        <f>IFERROR(VLOOKUP(vcost[[#This Row],[setting]],$A$6:$E$141,3,FALSE)+$J$8+VLOOKUP(vcost[[#This Row],[setting]],$O$6:$AA$141,11,FALSE),0)</f>
        <v>3.200998594976189</v>
      </c>
      <c r="I216" s="33">
        <f>IFERROR(VLOOKUP(vcost[[#This Row],[setting]],$A$6:$E$141,3,FALSE)+$J$8+VLOOKUP(vcost[[#This Row],[setting]],$O$6:$AA$141,11,FALSE)+VLOOKUP(vcost[[#This Row],[gbd_super]],$AH$6:$AK$11,2,FALSE),0)</f>
        <v>3.680998594976189</v>
      </c>
      <c r="O216" s="103" t="s">
        <v>170</v>
      </c>
      <c r="P216" s="135" t="s">
        <v>579</v>
      </c>
      <c r="Q216" s="33">
        <f>IFERROR(VLOOKUP(vcost_lb[[#This Row],[setting]],$A$6:$E$141,4,FALSE)+$K$6+VLOOKUP(vcost_lb[[#This Row],[setting]],$O$6:$AA$141,3,FALSE),0)</f>
        <v>1.2248117168788946</v>
      </c>
      <c r="R216" s="33">
        <f>IFERROR(VLOOKUP(vcost_lb[[#This Row],[setting]],$A$6:$E$141,4,FALSE)+$K$6+VLOOKUP(vcost_lb[[#This Row],[setting]],$O$6:$AA$141,3,FALSE)+VLOOKUP(vcost_lb[[#This Row],[gbd_super]],$AH$6:$AK$11,3,FALSE),0)</f>
        <v>1.6804317168788945</v>
      </c>
      <c r="S216" s="33">
        <f>IFERROR(VLOOKUP(vcost_lb[[#This Row],[setting]],$A$6:$E$141,4,FALSE)+VLOOKUP(vcost_lb[[#This Row],[setting]],$O$6:$AA$141,6,FALSE),0)</f>
        <v>0.85529983750102756</v>
      </c>
      <c r="T216" s="33">
        <f>IFERROR(VLOOKUP(vcost_lb[[#This Row],[setting]],$A$6:$E$141,4,FALSE)+VLOOKUP(vcost_lb[[#This Row],[setting]],$O$6:$AA$141,6,FALSE)+VLOOKUP(vcost_lb[[#This Row],[gbd_super]],$AH$6:$AK$11,3,FALSE),0)</f>
        <v>1.3109198375010276</v>
      </c>
      <c r="U216" s="33">
        <f>IFERROR(VLOOKUP(vcost_lb[[#This Row],[setting]],$A$6:$E$141,4,FALSE)+VLOOKUP(vcost_lb[[#This Row],[setting]],$O$6:$AA$141,9,FALSE)+VLOOKUP(vcost_lb[[#This Row],[gbd_super]],$AH$6:$AK$11,3,FALSE),0)</f>
        <v>1.3061934889764495</v>
      </c>
      <c r="V216" s="33">
        <f>IFERROR(VLOOKUP(vcost_lb[[#This Row],[setting]],$A$6:$E$141,4,FALSE)+$K$8+VLOOKUP(vcost_lb[[#This Row],[setting]],$O$6:$AA$141,12,FALSE),0)</f>
        <v>1.4378154825621927</v>
      </c>
      <c r="W216" s="33">
        <f>IFERROR(VLOOKUP(vcost_lb[[#This Row],[setting]],$A$6:$E$141,4,FALSE)+$K$8+VLOOKUP(vcost_lb[[#This Row],[setting]],$O$6:$AA$141,12,FALSE)+VLOOKUP(vcost_lb[[#This Row],[gbd_super]],$AH$6:$AK$11,3,FALSE),0)</f>
        <v>1.8934354825621926</v>
      </c>
      <c r="AH216" s="103" t="s">
        <v>170</v>
      </c>
      <c r="AI216" s="135" t="s">
        <v>579</v>
      </c>
      <c r="AJ216" s="33">
        <f>IFERROR(VLOOKUP(vcost_ub[[#This Row],[setting]],$A$6:$E$141,5,FALSE)+$L$6+VLOOKUP(vcost_ub[[#This Row],[setting]],$O$6:$AA$141,4,FALSE),0)</f>
        <v>6.39082000154401</v>
      </c>
      <c r="AK216" s="33">
        <f>IFERROR(VLOOKUP(vcost_ub[[#This Row],[setting]],$A$6:$E$141,5,FALSE)+$L$6+VLOOKUP(vcost_ub[[#This Row],[setting]],$O$6:$AA$141,4,FALSE)+VLOOKUP(vcost_ub[[#This Row],[gbd_super]],$AH$6:$AK$11,4,FALSE),0)</f>
        <v>6.8944000015440103</v>
      </c>
      <c r="AL216" s="33">
        <f>IFERROR(VLOOKUP(vcost_ub[[#This Row],[setting]],$A$6:$E$141,5,FALSE)+VLOOKUP(vcost_ub[[#This Row],[setting]],$O$6:$AA$141,7,FALSE),0)</f>
        <v>5.8725993500041103</v>
      </c>
      <c r="AM216" s="33">
        <f>IFERROR(VLOOKUP(vcost_ub[[#This Row],[setting]],$A$6:$E$141,5,FALSE)+VLOOKUP(vcost_ub[[#This Row],[setting]],$O$6:$AA$141,7,FALSE)+VLOOKUP(vcost_ub[[#This Row],[gbd_super]],$AH$6:$AK$11,4,FALSE),0)</f>
        <v>6.3761793500041106</v>
      </c>
      <c r="AN216" s="33">
        <f>IFERROR(VLOOKUP(vcost_ub[[#This Row],[setting]],$A$6:$E$141,5,FALSE)+VLOOKUP(vcost_ub[[#This Row],[setting]],$O$6:$AA$141,10,FALSE)+VLOOKUP(vcost_ub[[#This Row],[gbd_super]],$AH$6:$AK$11,4,FALSE),0)</f>
        <v>6.3572739559057991</v>
      </c>
      <c r="AO216" s="33">
        <f>IFERROR(VLOOKUP(vcost_ub[[#This Row],[setting]],$A$6:$E$141,5,FALSE)+$L$8+VLOOKUP(vcost_ub[[#This Row],[setting]],$O$6:$AA$141,13,FALSE),0)</f>
        <v>6.664527354978981</v>
      </c>
      <c r="AP216" s="33">
        <f>IFERROR(VLOOKUP(vcost_ub[[#This Row],[setting]],$A$6:$E$141,5,FALSE)+$L$8+VLOOKUP(vcost_ub[[#This Row],[setting]],$O$6:$AA$141,13,FALSE)+VLOOKUP(vcost_ub[[#This Row],[gbd_super]],$AH$6:$AK$11,4,FALSE),0)</f>
        <v>7.1681073549789813</v>
      </c>
    </row>
    <row r="217" spans="1:42" x14ac:dyDescent="0.25">
      <c r="A217" s="100" t="s">
        <v>239</v>
      </c>
      <c r="B217" s="134" t="s">
        <v>665</v>
      </c>
      <c r="C217">
        <f>IFERROR(VLOOKUP(vcost[[#This Row],[setting]],$A$6:$E$141,3,FALSE)+$J$6+VLOOKUP(vcost[[#This Row],[setting]],$O$6:$AA$141,2,FALSE),0)</f>
        <v>6.7050394138935978</v>
      </c>
      <c r="D217">
        <f>IFERROR(VLOOKUP(vcost[[#This Row],[setting]],$A$6:$E$141,3,FALSE)+$J$6+VLOOKUP(vcost[[#This Row],[setting]],$O$6:$AA$141,2,FALSE)+VLOOKUP(vcost[[#This Row],[gbd_super]],$AH$6:$AK$11,2,FALSE),0)</f>
        <v>6.7250394138935974</v>
      </c>
      <c r="E217">
        <f>IFERROR(VLOOKUP(vcost[[#This Row],[setting]],$A$6:$E$141,3,FALSE)+VLOOKUP(vcost[[#This Row],[setting]],$O$6:$AA$141,5,FALSE),0)</f>
        <v>6.2685269298001893</v>
      </c>
      <c r="F217" s="33">
        <f>IFERROR(VLOOKUP(vcost[[#This Row],[setting]],$A$6:$E$141,3,FALSE)+VLOOKUP(vcost[[#This Row],[setting]],$O$6:$AA$141,5,FALSE)+VLOOKUP(vcost[[#This Row],[gbd_super]],$AH$6:$AK$11,2,FALSE),0)</f>
        <v>6.2885269298001889</v>
      </c>
      <c r="G217" s="33">
        <f>IFERROR(VLOOKUP(vcost[[#This Row],[setting]],$A$6:$E$141,3,FALSE)+VLOOKUP(vcost[[#This Row],[setting]],$O$6:$AA$141,8,FALSE)+VLOOKUP(vcost[[#This Row],[gbd_super]],$AH$6:$AK$11,2,FALSE),0)</f>
        <v>6.2806112293398479</v>
      </c>
      <c r="H217">
        <f>IFERROR(VLOOKUP(vcost[[#This Row],[setting]],$A$6:$E$141,3,FALSE)+$J$8+VLOOKUP(vcost[[#This Row],[setting]],$O$6:$AA$141,11,FALSE),0)</f>
        <v>6.9506129781621748</v>
      </c>
      <c r="I217" s="33">
        <f>IFERROR(VLOOKUP(vcost[[#This Row],[setting]],$A$6:$E$141,3,FALSE)+$J$8+VLOOKUP(vcost[[#This Row],[setting]],$O$6:$AA$141,11,FALSE)+VLOOKUP(vcost[[#This Row],[gbd_super]],$AH$6:$AK$11,2,FALSE),0)</f>
        <v>6.9706129781621744</v>
      </c>
      <c r="O217" s="100" t="s">
        <v>239</v>
      </c>
      <c r="P217" s="134" t="s">
        <v>665</v>
      </c>
      <c r="Q217" s="33">
        <f>IFERROR(VLOOKUP(vcost_lb[[#This Row],[setting]],$A$6:$E$141,4,FALSE)+$K$6+VLOOKUP(vcost_lb[[#This Row],[setting]],$O$6:$AA$141,3,FALSE),0)</f>
        <v>3.2643942172457794</v>
      </c>
      <c r="R217" s="33">
        <f>IFERROR(VLOOKUP(vcost_lb[[#This Row],[setting]],$A$6:$E$141,4,FALSE)+$K$6+VLOOKUP(vcost_lb[[#This Row],[setting]],$O$6:$AA$141,3,FALSE)+VLOOKUP(vcost_lb[[#This Row],[gbd_super]],$AH$6:$AK$11,3,FALSE),0)</f>
        <v>3.2851042172457792</v>
      </c>
      <c r="S217" s="33">
        <f>IFERROR(VLOOKUP(vcost_lb[[#This Row],[setting]],$A$6:$E$141,4,FALSE)+VLOOKUP(vcost_lb[[#This Row],[setting]],$O$6:$AA$141,6,FALSE),0)</f>
        <v>2.8948071906580188</v>
      </c>
      <c r="T217" s="33">
        <f>IFERROR(VLOOKUP(vcost_lb[[#This Row],[setting]],$A$6:$E$141,4,FALSE)+VLOOKUP(vcost_lb[[#This Row],[setting]],$O$6:$AA$141,6,FALSE)+VLOOKUP(vcost_lb[[#This Row],[gbd_super]],$AH$6:$AK$11,3,FALSE),0)</f>
        <v>2.9155171906580186</v>
      </c>
      <c r="U217" s="33">
        <f>IFERROR(VLOOKUP(vcost_lb[[#This Row],[setting]],$A$6:$E$141,4,FALSE)+VLOOKUP(vcost_lb[[#This Row],[setting]],$O$6:$AA$141,9,FALSE)+VLOOKUP(vcost_lb[[#This Row],[gbd_super]],$AH$6:$AK$11,3,FALSE),0)</f>
        <v>2.9103094929867419</v>
      </c>
      <c r="V217" s="33">
        <f>IFERROR(VLOOKUP(vcost_lb[[#This Row],[setting]],$A$6:$E$141,4,FALSE)+$K$8+VLOOKUP(vcost_lb[[#This Row],[setting]],$O$6:$AA$141,12,FALSE),0)</f>
        <v>3.4774301888761747</v>
      </c>
      <c r="W217" s="33">
        <f>IFERROR(VLOOKUP(vcost_lb[[#This Row],[setting]],$A$6:$E$141,4,FALSE)+$K$8+VLOOKUP(vcost_lb[[#This Row],[setting]],$O$6:$AA$141,12,FALSE)+VLOOKUP(vcost_lb[[#This Row],[gbd_super]],$AH$6:$AK$11,3,FALSE),0)</f>
        <v>3.4981401888761745</v>
      </c>
      <c r="AH217" s="100" t="s">
        <v>239</v>
      </c>
      <c r="AI217" s="134" t="s">
        <v>665</v>
      </c>
      <c r="AJ217" s="33">
        <f>IFERROR(VLOOKUP(vcost_ub[[#This Row],[setting]],$A$6:$E$141,5,FALSE)+$L$6+VLOOKUP(vcost_ub[[#This Row],[setting]],$O$6:$AA$141,4,FALSE),0)</f>
        <v>12.633399385463767</v>
      </c>
      <c r="AK217" s="33">
        <f>IFERROR(VLOOKUP(vcost_ub[[#This Row],[setting]],$A$6:$E$141,5,FALSE)+$L$6+VLOOKUP(vcost_ub[[#This Row],[setting]],$O$6:$AA$141,4,FALSE)+VLOOKUP(vcost_ub[[#This Row],[gbd_super]],$AH$6:$AK$11,4,FALSE),0)</f>
        <v>12.656289385463767</v>
      </c>
      <c r="AL217" s="33">
        <f>IFERROR(VLOOKUP(vcost_ub[[#This Row],[setting]],$A$6:$E$141,5,FALSE)+VLOOKUP(vcost_ub[[#This Row],[setting]],$O$6:$AA$141,7,FALSE),0)</f>
        <v>12.114828762632076</v>
      </c>
      <c r="AM217" s="33">
        <f>IFERROR(VLOOKUP(vcost_ub[[#This Row],[setting]],$A$6:$E$141,5,FALSE)+VLOOKUP(vcost_ub[[#This Row],[setting]],$O$6:$AA$141,7,FALSE)+VLOOKUP(vcost_ub[[#This Row],[gbd_super]],$AH$6:$AK$11,4,FALSE),0)</f>
        <v>12.137718762632076</v>
      </c>
      <c r="AN217" s="33">
        <f>IFERROR(VLOOKUP(vcost_ub[[#This Row],[setting]],$A$6:$E$141,5,FALSE)+VLOOKUP(vcost_ub[[#This Row],[setting]],$O$6:$AA$141,10,FALSE)+VLOOKUP(vcost_ub[[#This Row],[gbd_super]],$AH$6:$AK$11,4,FALSE),0)</f>
        <v>12.116887971946969</v>
      </c>
      <c r="AO217" s="33">
        <f>IFERROR(VLOOKUP(vcost_ub[[#This Row],[setting]],$A$6:$E$141,5,FALSE)+$L$8+VLOOKUP(vcost_ub[[#This Row],[setting]],$O$6:$AA$141,13,FALSE),0)</f>
        <v>12.907186180234911</v>
      </c>
      <c r="AP217" s="33">
        <f>IFERROR(VLOOKUP(vcost_ub[[#This Row],[setting]],$A$6:$E$141,5,FALSE)+$L$8+VLOOKUP(vcost_ub[[#This Row],[setting]],$O$6:$AA$141,13,FALSE)+VLOOKUP(vcost_ub[[#This Row],[gbd_super]],$AH$6:$AK$11,4,FALSE),0)</f>
        <v>12.930076180234911</v>
      </c>
    </row>
    <row r="218" spans="1:42" x14ac:dyDescent="0.25">
      <c r="A218" s="103" t="s">
        <v>172</v>
      </c>
      <c r="B218" s="135" t="s">
        <v>579</v>
      </c>
      <c r="C218">
        <f>IFERROR(VLOOKUP(vcost[[#This Row],[setting]],$A$6:$E$141,3,FALSE)+$J$6+VLOOKUP(vcost[[#This Row],[setting]],$O$6:$AA$141,2,FALSE),0)</f>
        <v>4.8530417550702749</v>
      </c>
      <c r="D218">
        <f>IFERROR(VLOOKUP(vcost[[#This Row],[setting]],$A$6:$E$141,3,FALSE)+$J$6+VLOOKUP(vcost[[#This Row],[setting]],$O$6:$AA$141,2,FALSE)+VLOOKUP(vcost[[#This Row],[gbd_super]],$AH$6:$AK$11,2,FALSE),0)</f>
        <v>5.3330417550702744</v>
      </c>
      <c r="E218">
        <f>IFERROR(VLOOKUP(vcost[[#This Row],[setting]],$A$6:$E$141,3,FALSE)+VLOOKUP(vcost[[#This Row],[setting]],$O$6:$AA$141,5,FALSE),0)</f>
        <v>4.4209342009694943</v>
      </c>
      <c r="F218" s="33">
        <f>IFERROR(VLOOKUP(vcost[[#This Row],[setting]],$A$6:$E$141,3,FALSE)+VLOOKUP(vcost[[#This Row],[setting]],$O$6:$AA$141,5,FALSE)+VLOOKUP(vcost[[#This Row],[gbd_super]],$AH$6:$AK$11,2,FALSE),0)</f>
        <v>4.9009342009694947</v>
      </c>
      <c r="G218" s="33">
        <f>IFERROR(VLOOKUP(vcost[[#This Row],[setting]],$A$6:$E$141,3,FALSE)+VLOOKUP(vcost[[#This Row],[setting]],$O$6:$AA$141,8,FALSE)+VLOOKUP(vcost[[#This Row],[gbd_super]],$AH$6:$AK$11,2,FALSE),0)</f>
        <v>4.8951170101101251</v>
      </c>
      <c r="H218">
        <f>IFERROR(VLOOKUP(vcost[[#This Row],[setting]],$A$6:$E$141,3,FALSE)+$J$8+VLOOKUP(vcost[[#This Row],[setting]],$O$6:$AA$141,11,FALSE),0)</f>
        <v>5.0970274957368584</v>
      </c>
      <c r="I218" s="33">
        <f>IFERROR(VLOOKUP(vcost[[#This Row],[setting]],$A$6:$E$141,3,FALSE)+$J$8+VLOOKUP(vcost[[#This Row],[setting]],$O$6:$AA$141,11,FALSE)+VLOOKUP(vcost[[#This Row],[gbd_super]],$AH$6:$AK$11,2,FALSE),0)</f>
        <v>5.5770274957368589</v>
      </c>
      <c r="O218" s="103" t="s">
        <v>172</v>
      </c>
      <c r="P218" s="135" t="s">
        <v>579</v>
      </c>
      <c r="Q218" s="33">
        <f>IFERROR(VLOOKUP(vcost_lb[[#This Row],[setting]],$A$6:$E$141,4,FALSE)+$K$6+VLOOKUP(vcost_lb[[#This Row],[setting]],$O$6:$AA$141,3,FALSE),0)</f>
        <v>2.2712405073693454</v>
      </c>
      <c r="R218" s="33">
        <f>IFERROR(VLOOKUP(vcost_lb[[#This Row],[setting]],$A$6:$E$141,4,FALSE)+$K$6+VLOOKUP(vcost_lb[[#This Row],[setting]],$O$6:$AA$141,3,FALSE)+VLOOKUP(vcost_lb[[#This Row],[gbd_super]],$AH$6:$AK$11,3,FALSE),0)</f>
        <v>2.7268605073693455</v>
      </c>
      <c r="S218" s="33">
        <f>IFERROR(VLOOKUP(vcost_lb[[#This Row],[setting]],$A$6:$E$141,4,FALSE)+VLOOKUP(vcost_lb[[#This Row],[setting]],$O$6:$AA$141,6,FALSE),0)</f>
        <v>1.9034461848483515</v>
      </c>
      <c r="T218" s="33">
        <f>IFERROR(VLOOKUP(vcost_lb[[#This Row],[setting]],$A$6:$E$141,4,FALSE)+VLOOKUP(vcost_lb[[#This Row],[setting]],$O$6:$AA$141,6,FALSE)+VLOOKUP(vcost_lb[[#This Row],[gbd_super]],$AH$6:$AK$11,3,FALSE),0)</f>
        <v>2.3590661848483516</v>
      </c>
      <c r="U218" s="33">
        <f>IFERROR(VLOOKUP(vcost_lb[[#This Row],[setting]],$A$6:$E$141,4,FALSE)+VLOOKUP(vcost_lb[[#This Row],[setting]],$O$6:$AA$141,9,FALSE)+VLOOKUP(vcost_lb[[#This Row],[gbd_super]],$AH$6:$AK$11,3,FALSE),0)</f>
        <v>2.3552390855987664</v>
      </c>
      <c r="V218" s="33">
        <f>IFERROR(VLOOKUP(vcost_lb[[#This Row],[setting]],$A$6:$E$141,4,FALSE)+$K$8+VLOOKUP(vcost_lb[[#This Row],[setting]],$O$6:$AA$141,12,FALSE),0)</f>
        <v>2.4835081772568408</v>
      </c>
      <c r="W218" s="33">
        <f>IFERROR(VLOOKUP(vcost_lb[[#This Row],[setting]],$A$6:$E$141,4,FALSE)+$K$8+VLOOKUP(vcost_lb[[#This Row],[setting]],$O$6:$AA$141,12,FALSE)+VLOOKUP(vcost_lb[[#This Row],[gbd_super]],$AH$6:$AK$11,3,FALSE),0)</f>
        <v>2.9391281772568409</v>
      </c>
      <c r="AH218" s="103" t="s">
        <v>172</v>
      </c>
      <c r="AI218" s="135" t="s">
        <v>579</v>
      </c>
      <c r="AJ218" s="33">
        <f>IFERROR(VLOOKUP(vcost_ub[[#This Row],[setting]],$A$6:$E$141,5,FALSE)+$L$6+VLOOKUP(vcost_ub[[#This Row],[setting]],$O$6:$AA$141,4,FALSE),0)</f>
        <v>9.4012064832855806</v>
      </c>
      <c r="AK218" s="33">
        <f>IFERROR(VLOOKUP(vcost_ub[[#This Row],[setting]],$A$6:$E$141,5,FALSE)+$L$6+VLOOKUP(vcost_ub[[#This Row],[setting]],$O$6:$AA$141,4,FALSE)+VLOOKUP(vcost_ub[[#This Row],[gbd_super]],$AH$6:$AK$11,4,FALSE),0)</f>
        <v>9.9047864832855801</v>
      </c>
      <c r="AL218" s="33">
        <f>IFERROR(VLOOKUP(vcost_ub[[#This Row],[setting]],$A$6:$E$141,5,FALSE)+VLOOKUP(vcost_ub[[#This Row],[setting]],$O$6:$AA$141,7,FALSE),0)</f>
        <v>8.8909847393934065</v>
      </c>
      <c r="AM218" s="33">
        <f>IFERROR(VLOOKUP(vcost_ub[[#This Row],[setting]],$A$6:$E$141,5,FALSE)+VLOOKUP(vcost_ub[[#This Row],[setting]],$O$6:$AA$141,7,FALSE)+VLOOKUP(vcost_ub[[#This Row],[gbd_super]],$AH$6:$AK$11,4,FALSE),0)</f>
        <v>9.394564739393406</v>
      </c>
      <c r="AN218" s="33">
        <f>IFERROR(VLOOKUP(vcost_ub[[#This Row],[setting]],$A$6:$E$141,5,FALSE)+VLOOKUP(vcost_ub[[#This Row],[setting]],$O$6:$AA$141,10,FALSE)+VLOOKUP(vcost_ub[[#This Row],[gbd_super]],$AH$6:$AK$11,4,FALSE),0)</f>
        <v>9.3792563423950632</v>
      </c>
      <c r="AO218" s="33">
        <f>IFERROR(VLOOKUP(vcost_ub[[#This Row],[setting]],$A$6:$E$141,5,FALSE)+$L$8+VLOOKUP(vcost_ub[[#This Row],[setting]],$O$6:$AA$141,13,FALSE),0)</f>
        <v>9.6730981337575734</v>
      </c>
      <c r="AP218" s="33">
        <f>IFERROR(VLOOKUP(vcost_ub[[#This Row],[setting]],$A$6:$E$141,5,FALSE)+$L$8+VLOOKUP(vcost_ub[[#This Row],[setting]],$O$6:$AA$141,13,FALSE)+VLOOKUP(vcost_ub[[#This Row],[gbd_super]],$AH$6:$AK$11,4,FALSE),0)</f>
        <v>10.176678133757573</v>
      </c>
    </row>
    <row r="219" spans="1:42" x14ac:dyDescent="0.25">
      <c r="A219" s="100" t="s">
        <v>185</v>
      </c>
      <c r="B219" s="134" t="s">
        <v>663</v>
      </c>
      <c r="C219">
        <f>IFERROR(VLOOKUP(vcost[[#This Row],[setting]],$A$6:$E$141,3,FALSE)+$J$6+VLOOKUP(vcost[[#This Row],[setting]],$O$6:$AA$141,2,FALSE),0)</f>
        <v>5.6777222829324607</v>
      </c>
      <c r="D219">
        <f>IFERROR(VLOOKUP(vcost[[#This Row],[setting]],$A$6:$E$141,3,FALSE)+$J$6+VLOOKUP(vcost[[#This Row],[setting]],$O$6:$AA$141,2,FALSE)+VLOOKUP(vcost[[#This Row],[gbd_super]],$AH$6:$AK$11,2,FALSE),0)</f>
        <v>9.747722282932461</v>
      </c>
      <c r="E219">
        <f>IFERROR(VLOOKUP(vcost[[#This Row],[setting]],$A$6:$E$141,3,FALSE)+VLOOKUP(vcost[[#This Row],[setting]],$O$6:$AA$141,5,FALSE),0)</f>
        <v>5.2288497572505195</v>
      </c>
      <c r="F219" s="33">
        <f>IFERROR(VLOOKUP(vcost[[#This Row],[setting]],$A$6:$E$141,3,FALSE)+VLOOKUP(vcost[[#This Row],[setting]],$O$6:$AA$141,5,FALSE)+VLOOKUP(vcost[[#This Row],[gbd_super]],$AH$6:$AK$11,2,FALSE),0)</f>
        <v>9.2988497572505189</v>
      </c>
      <c r="G219" s="33">
        <f>IFERROR(VLOOKUP(vcost[[#This Row],[setting]],$A$6:$E$141,3,FALSE)+VLOOKUP(vcost[[#This Row],[setting]],$O$6:$AA$141,8,FALSE)+VLOOKUP(vcost[[#This Row],[gbd_super]],$AH$6:$AK$11,2,FALSE),0)</f>
        <v>9.2864608668080635</v>
      </c>
      <c r="H219">
        <f>IFERROR(VLOOKUP(vcost[[#This Row],[setting]],$A$6:$E$141,3,FALSE)+$J$8+VLOOKUP(vcost[[#This Row],[setting]],$O$6:$AA$141,11,FALSE),0)</f>
        <v>5.927751211029463</v>
      </c>
      <c r="I219" s="33">
        <f>IFERROR(VLOOKUP(vcost[[#This Row],[setting]],$A$6:$E$141,3,FALSE)+$J$8+VLOOKUP(vcost[[#This Row],[setting]],$O$6:$AA$141,11,FALSE)+VLOOKUP(vcost[[#This Row],[gbd_super]],$AH$6:$AK$11,2,FALSE),0)</f>
        <v>9.9977512110294633</v>
      </c>
      <c r="O219" s="100" t="s">
        <v>185</v>
      </c>
      <c r="P219" s="134" t="s">
        <v>663</v>
      </c>
      <c r="Q219" s="33">
        <f>IFERROR(VLOOKUP(vcost_lb[[#This Row],[setting]],$A$6:$E$141,4,FALSE)+$K$6+VLOOKUP(vcost_lb[[#This Row],[setting]],$O$6:$AA$141,3,FALSE),0)</f>
        <v>2.3187105374204924</v>
      </c>
      <c r="R219" s="33">
        <f>IFERROR(VLOOKUP(vcost_lb[[#This Row],[setting]],$A$6:$E$141,4,FALSE)+$K$6+VLOOKUP(vcost_lb[[#This Row],[setting]],$O$6:$AA$141,3,FALSE)+VLOOKUP(vcost_lb[[#This Row],[gbd_super]],$AH$6:$AK$11,3,FALSE),0)</f>
        <v>6.1811255374204928</v>
      </c>
      <c r="S219" s="33">
        <f>IFERROR(VLOOKUP(vcost_lb[[#This Row],[setting]],$A$6:$E$141,4,FALSE)+VLOOKUP(vcost_lb[[#This Row],[setting]],$O$6:$AA$141,6,FALSE),0)</f>
        <v>1.9440932613490263</v>
      </c>
      <c r="T219" s="33">
        <f>IFERROR(VLOOKUP(vcost_lb[[#This Row],[setting]],$A$6:$E$141,4,FALSE)+VLOOKUP(vcost_lb[[#This Row],[setting]],$O$6:$AA$141,6,FALSE)+VLOOKUP(vcost_lb[[#This Row],[gbd_super]],$AH$6:$AK$11,3,FALSE),0)</f>
        <v>5.8065082613490269</v>
      </c>
      <c r="U219" s="33">
        <f>IFERROR(VLOOKUP(vcost_lb[[#This Row],[setting]],$A$6:$E$141,4,FALSE)+VLOOKUP(vcost_lb[[#This Row],[setting]],$O$6:$AA$141,9,FALSE)+VLOOKUP(vcost_lb[[#This Row],[gbd_super]],$AH$6:$AK$11,3,FALSE),0)</f>
        <v>5.7983576755316211</v>
      </c>
      <c r="V219" s="33">
        <f>IFERROR(VLOOKUP(vcost_lb[[#This Row],[setting]],$A$6:$E$141,4,FALSE)+$K$8+VLOOKUP(vcost_lb[[#This Row],[setting]],$O$6:$AA$141,12,FALSE),0)</f>
        <v>2.53390233025819</v>
      </c>
      <c r="W219" s="33">
        <f>IFERROR(VLOOKUP(vcost_lb[[#This Row],[setting]],$A$6:$E$141,4,FALSE)+$K$8+VLOOKUP(vcost_lb[[#This Row],[setting]],$O$6:$AA$141,12,FALSE)+VLOOKUP(vcost_lb[[#This Row],[gbd_super]],$AH$6:$AK$11,3,FALSE),0)</f>
        <v>6.3963173302581904</v>
      </c>
      <c r="AH219" s="100" t="s">
        <v>185</v>
      </c>
      <c r="AI219" s="134" t="s">
        <v>663</v>
      </c>
      <c r="AJ219" s="33">
        <f>IFERROR(VLOOKUP(vcost_ub[[#This Row],[setting]],$A$6:$E$141,5,FALSE)+$L$6+VLOOKUP(vcost_ub[[#This Row],[setting]],$O$6:$AA$141,4,FALSE),0)</f>
        <v>12.036670258680479</v>
      </c>
      <c r="AK219" s="33">
        <f>IFERROR(VLOOKUP(vcost_ub[[#This Row],[setting]],$A$6:$E$141,5,FALSE)+$L$6+VLOOKUP(vcost_ub[[#This Row],[setting]],$O$6:$AA$141,4,FALSE)+VLOOKUP(vcost_ub[[#This Row],[gbd_super]],$AH$6:$AK$11,4,FALSE),0)</f>
        <v>16.305655258680481</v>
      </c>
      <c r="AL219" s="33">
        <f>IFERROR(VLOOKUP(vcost_ub[[#This Row],[setting]],$A$6:$E$141,5,FALSE)+VLOOKUP(vcost_ub[[#This Row],[setting]],$O$6:$AA$141,7,FALSE),0)</f>
        <v>11.494673045396105</v>
      </c>
      <c r="AM219" s="33">
        <f>IFERROR(VLOOKUP(vcost_ub[[#This Row],[setting]],$A$6:$E$141,5,FALSE)+VLOOKUP(vcost_ub[[#This Row],[setting]],$O$6:$AA$141,7,FALSE)+VLOOKUP(vcost_ub[[#This Row],[gbd_super]],$AH$6:$AK$11,4,FALSE),0)</f>
        <v>15.763658045396106</v>
      </c>
      <c r="AN219" s="33">
        <f>IFERROR(VLOOKUP(vcost_ub[[#This Row],[setting]],$A$6:$E$141,5,FALSE)+VLOOKUP(vcost_ub[[#This Row],[setting]],$O$6:$AA$141,10,FALSE)+VLOOKUP(vcost_ub[[#This Row],[gbd_super]],$AH$6:$AK$11,4,FALSE),0)</f>
        <v>15.731055702126483</v>
      </c>
      <c r="AO219" s="33">
        <f>IFERROR(VLOOKUP(vcost_ub[[#This Row],[setting]],$A$6:$E$141,5,FALSE)+$L$8+VLOOKUP(vcost_ub[[#This Row],[setting]],$O$6:$AA$141,13,FALSE),0)</f>
        <v>12.315774745762971</v>
      </c>
      <c r="AP219" s="33">
        <f>IFERROR(VLOOKUP(vcost_ub[[#This Row],[setting]],$A$6:$E$141,5,FALSE)+$L$8+VLOOKUP(vcost_ub[[#This Row],[setting]],$O$6:$AA$141,13,FALSE)+VLOOKUP(vcost_ub[[#This Row],[gbd_super]],$AH$6:$AK$11,4,FALSE),0)</f>
        <v>16.584759745762973</v>
      </c>
    </row>
    <row r="220" spans="1:42" x14ac:dyDescent="0.25">
      <c r="A220" s="103" t="s">
        <v>106</v>
      </c>
      <c r="B220" s="135" t="s">
        <v>667</v>
      </c>
      <c r="C220">
        <f>IFERROR(VLOOKUP(vcost[[#This Row],[setting]],$A$6:$E$141,3,FALSE)+$J$6+VLOOKUP(vcost[[#This Row],[setting]],$O$6:$AA$141,2,FALSE),0)</f>
        <v>2.6107828891683753</v>
      </c>
      <c r="D220">
        <f>IFERROR(VLOOKUP(vcost[[#This Row],[setting]],$A$6:$E$141,3,FALSE)+$J$6+VLOOKUP(vcost[[#This Row],[setting]],$O$6:$AA$141,2,FALSE)+VLOOKUP(vcost[[#This Row],[gbd_super]],$AH$6:$AK$11,2,FALSE),0)</f>
        <v>7.4407828891683749</v>
      </c>
      <c r="E220">
        <f>IFERROR(VLOOKUP(vcost[[#This Row],[setting]],$A$6:$E$141,3,FALSE)+VLOOKUP(vcost[[#This Row],[setting]],$O$6:$AA$141,5,FALSE),0)</f>
        <v>2.1824757206698377</v>
      </c>
      <c r="F220" s="33">
        <f>IFERROR(VLOOKUP(vcost[[#This Row],[setting]],$A$6:$E$141,3,FALSE)+VLOOKUP(vcost[[#This Row],[setting]],$O$6:$AA$141,5,FALSE)+VLOOKUP(vcost[[#This Row],[gbd_super]],$AH$6:$AK$11,2,FALSE),0)</f>
        <v>7.0124757206698378</v>
      </c>
      <c r="G220" s="33">
        <f>IFERROR(VLOOKUP(vcost[[#This Row],[setting]],$A$6:$E$141,3,FALSE)+VLOOKUP(vcost[[#This Row],[setting]],$O$6:$AA$141,8,FALSE)+VLOOKUP(vcost[[#This Row],[gbd_super]],$AH$6:$AK$11,2,FALSE),0)</f>
        <v>7.0084132431721979</v>
      </c>
      <c r="H220">
        <f>IFERROR(VLOOKUP(vcost[[#This Row],[setting]],$A$6:$E$141,3,FALSE)+$J$8+VLOOKUP(vcost[[#This Row],[setting]],$O$6:$AA$141,11,FALSE),0)</f>
        <v>2.8533987233969422</v>
      </c>
      <c r="I220" s="33">
        <f>IFERROR(VLOOKUP(vcost[[#This Row],[setting]],$A$6:$E$141,3,FALSE)+$J$8+VLOOKUP(vcost[[#This Row],[setting]],$O$6:$AA$141,11,FALSE)+VLOOKUP(vcost[[#This Row],[gbd_super]],$AH$6:$AK$11,2,FALSE),0)</f>
        <v>7.6833987233969427</v>
      </c>
      <c r="O220" s="103" t="s">
        <v>106</v>
      </c>
      <c r="P220" s="135" t="s">
        <v>667</v>
      </c>
      <c r="Q220" s="33">
        <f>IFERROR(VLOOKUP(vcost_lb[[#This Row],[setting]],$A$6:$E$141,4,FALSE)+$K$6+VLOOKUP(vcost_lb[[#This Row],[setting]],$O$6:$AA$141,3,FALSE),0)</f>
        <v>1.1756843122973613</v>
      </c>
      <c r="R220" s="33">
        <f>IFERROR(VLOOKUP(vcost_lb[[#This Row],[setting]],$A$6:$E$141,4,FALSE)+$K$6+VLOOKUP(vcost_lb[[#This Row],[setting]],$O$6:$AA$141,3,FALSE)+VLOOKUP(vcost_lb[[#This Row],[gbd_super]],$AH$6:$AK$11,3,FALSE),0)</f>
        <v>5.7629493122973621</v>
      </c>
      <c r="S220" s="33">
        <f>IFERROR(VLOOKUP(vcost_lb[[#This Row],[setting]],$A$6:$E$141,4,FALSE)+VLOOKUP(vcost_lb[[#This Row],[setting]],$O$6:$AA$141,6,FALSE),0)</f>
        <v>0.80943665833541967</v>
      </c>
      <c r="T220" s="33">
        <f>IFERROR(VLOOKUP(vcost_lb[[#This Row],[setting]],$A$6:$E$141,4,FALSE)+VLOOKUP(vcost_lb[[#This Row],[setting]],$O$6:$AA$141,6,FALSE)+VLOOKUP(vcost_lb[[#This Row],[gbd_super]],$AH$6:$AK$11,3,FALSE),0)</f>
        <v>5.3967016583354201</v>
      </c>
      <c r="U220" s="33">
        <f>IFERROR(VLOOKUP(vcost_lb[[#This Row],[setting]],$A$6:$E$141,4,FALSE)+VLOOKUP(vcost_lb[[#This Row],[setting]],$O$6:$AA$141,9,FALSE)+VLOOKUP(vcost_lb[[#This Row],[gbd_super]],$AH$6:$AK$11,3,FALSE),0)</f>
        <v>5.3940289757711835</v>
      </c>
      <c r="V220" s="33">
        <f>IFERROR(VLOOKUP(vcost_lb[[#This Row],[setting]],$A$6:$E$141,4,FALSE)+$K$8+VLOOKUP(vcost_lb[[#This Row],[setting]],$O$6:$AA$141,12,FALSE),0)</f>
        <v>1.3872891242309768</v>
      </c>
      <c r="W220" s="33">
        <f>IFERROR(VLOOKUP(vcost_lb[[#This Row],[setting]],$A$6:$E$141,4,FALSE)+$K$8+VLOOKUP(vcost_lb[[#This Row],[setting]],$O$6:$AA$141,12,FALSE)+VLOOKUP(vcost_lb[[#This Row],[gbd_super]],$AH$6:$AK$11,3,FALSE),0)</f>
        <v>5.974554124230977</v>
      </c>
      <c r="AH220" s="103" t="s">
        <v>106</v>
      </c>
      <c r="AI220" s="135" t="s">
        <v>667</v>
      </c>
      <c r="AJ220" s="33">
        <f>IFERROR(VLOOKUP(vcost_ub[[#This Row],[setting]],$A$6:$E$141,5,FALSE)+$L$6+VLOOKUP(vcost_ub[[#This Row],[setting]],$O$6:$AA$141,4,FALSE),0)</f>
        <v>5.3578653208016958</v>
      </c>
      <c r="AK220" s="33">
        <f>IFERROR(VLOOKUP(vcost_ub[[#This Row],[setting]],$A$6:$E$141,5,FALSE)+$L$6+VLOOKUP(vcost_ub[[#This Row],[setting]],$O$6:$AA$141,4,FALSE)+VLOOKUP(vcost_ub[[#This Row],[gbd_super]],$AH$6:$AK$11,4,FALSE),0)</f>
        <v>10.428000320801697</v>
      </c>
      <c r="AL220" s="33">
        <f>IFERROR(VLOOKUP(vcost_ub[[#This Row],[setting]],$A$6:$E$141,5,FALSE)+VLOOKUP(vcost_ub[[#This Row],[setting]],$O$6:$AA$141,7,FALSE),0)</f>
        <v>4.8548466333416789</v>
      </c>
      <c r="AM220" s="33">
        <f>IFERROR(VLOOKUP(vcost_ub[[#This Row],[setting]],$A$6:$E$141,5,FALSE)+VLOOKUP(vcost_ub[[#This Row],[setting]],$O$6:$AA$141,7,FALSE)+VLOOKUP(vcost_ub[[#This Row],[gbd_super]],$AH$6:$AK$11,4,FALSE),0)</f>
        <v>9.9249816333416803</v>
      </c>
      <c r="AN220" s="33">
        <f>IFERROR(VLOOKUP(vcost_ub[[#This Row],[setting]],$A$6:$E$141,5,FALSE)+VLOOKUP(vcost_ub[[#This Row],[setting]],$O$6:$AA$141,10,FALSE)+VLOOKUP(vcost_ub[[#This Row],[gbd_super]],$AH$6:$AK$11,4,FALSE),0)</f>
        <v>9.9142909030847335</v>
      </c>
      <c r="AO220" s="33">
        <f>IFERROR(VLOOKUP(vcost_ub[[#This Row],[setting]],$A$6:$E$141,5,FALSE)+$L$8+VLOOKUP(vcost_ub[[#This Row],[setting]],$O$6:$AA$141,13,FALSE),0)</f>
        <v>5.6281219216541176</v>
      </c>
      <c r="AP220" s="33">
        <f>IFERROR(VLOOKUP(vcost_ub[[#This Row],[setting]],$A$6:$E$141,5,FALSE)+$L$8+VLOOKUP(vcost_ub[[#This Row],[setting]],$O$6:$AA$141,13,FALSE)+VLOOKUP(vcost_ub[[#This Row],[gbd_super]],$AH$6:$AK$11,4,FALSE),0)</f>
        <v>10.698256921654117</v>
      </c>
    </row>
    <row r="221" spans="1:42" x14ac:dyDescent="0.25">
      <c r="A221" s="100" t="s">
        <v>288</v>
      </c>
      <c r="B221" s="134" t="s">
        <v>666</v>
      </c>
      <c r="C221">
        <f>IFERROR(VLOOKUP(vcost[[#This Row],[setting]],$A$6:$E$141,3,FALSE)+$J$6+VLOOKUP(vcost[[#This Row],[setting]],$O$6:$AA$141,2,FALSE),0)</f>
        <v>9.9011905770047139</v>
      </c>
      <c r="D221">
        <f>IFERROR(VLOOKUP(vcost[[#This Row],[setting]],$A$6:$E$141,3,FALSE)+$J$6+VLOOKUP(vcost[[#This Row],[setting]],$O$6:$AA$141,2,FALSE)+VLOOKUP(vcost[[#This Row],[gbd_super]],$AH$6:$AK$11,2,FALSE),0)</f>
        <v>10.531190577004715</v>
      </c>
      <c r="E221">
        <f>IFERROR(VLOOKUP(vcost[[#This Row],[setting]],$A$6:$E$141,3,FALSE)+VLOOKUP(vcost[[#This Row],[setting]],$O$6:$AA$141,5,FALSE),0)</f>
        <v>9.4739410557041683</v>
      </c>
      <c r="F221" s="33">
        <f>IFERROR(VLOOKUP(vcost[[#This Row],[setting]],$A$6:$E$141,3,FALSE)+VLOOKUP(vcost[[#This Row],[setting]],$O$6:$AA$141,5,FALSE)+VLOOKUP(vcost[[#This Row],[gbd_super]],$AH$6:$AK$11,2,FALSE),0)</f>
        <v>10.103941055704169</v>
      </c>
      <c r="G221" s="33">
        <f>IFERROR(VLOOKUP(vcost[[#This Row],[setting]],$A$6:$E$141,3,FALSE)+VLOOKUP(vcost[[#This Row],[setting]],$O$6:$AA$141,8,FALSE)+VLOOKUP(vcost[[#This Row],[gbd_super]],$AH$6:$AK$11,2,FALSE),0)</f>
        <v>10.100358740435873</v>
      </c>
      <c r="H221">
        <f>IFERROR(VLOOKUP(vcost[[#This Row],[setting]],$A$6:$E$141,3,FALSE)+$J$8+VLOOKUP(vcost[[#This Row],[setting]],$O$6:$AA$141,11,FALSE),0)</f>
        <v>10.143425166313072</v>
      </c>
      <c r="I221" s="33">
        <f>IFERROR(VLOOKUP(vcost[[#This Row],[setting]],$A$6:$E$141,3,FALSE)+$J$8+VLOOKUP(vcost[[#This Row],[setting]],$O$6:$AA$141,11,FALSE)+VLOOKUP(vcost[[#This Row],[gbd_super]],$AH$6:$AK$11,2,FALSE),0)</f>
        <v>10.773425166313073</v>
      </c>
      <c r="O221" s="100" t="s">
        <v>288</v>
      </c>
      <c r="P221" s="134" t="s">
        <v>666</v>
      </c>
      <c r="Q221" s="33">
        <f>IFERROR(VLOOKUP(vcost_lb[[#This Row],[setting]],$A$6:$E$141,4,FALSE)+$K$6+VLOOKUP(vcost_lb[[#This Row],[setting]],$O$6:$AA$141,3,FALSE),0)</f>
        <v>3.1522389633226</v>
      </c>
      <c r="R221" s="33">
        <f>IFERROR(VLOOKUP(vcost_lb[[#This Row],[setting]],$A$6:$E$141,4,FALSE)+$K$6+VLOOKUP(vcost_lb[[#This Row],[setting]],$O$6:$AA$141,3,FALSE)+VLOOKUP(vcost_lb[[#This Row],[gbd_super]],$AH$6:$AK$11,3,FALSE),0)</f>
        <v>3.7528289633226</v>
      </c>
      <c r="S221" s="33">
        <f>IFERROR(VLOOKUP(vcost_lb[[#This Row],[setting]],$A$6:$E$141,4,FALSE)+VLOOKUP(vcost_lb[[#This Row],[setting]],$O$6:$AA$141,6,FALSE),0)</f>
        <v>2.7864217471737955</v>
      </c>
      <c r="T221" s="33">
        <f>IFERROR(VLOOKUP(vcost_lb[[#This Row],[setting]],$A$6:$E$141,4,FALSE)+VLOOKUP(vcost_lb[[#This Row],[setting]],$O$6:$AA$141,6,FALSE)+VLOOKUP(vcost_lb[[#This Row],[gbd_super]],$AH$6:$AK$11,3,FALSE),0)</f>
        <v>3.3870117471737955</v>
      </c>
      <c r="U221" s="33">
        <f>IFERROR(VLOOKUP(vcost_lb[[#This Row],[setting]],$A$6:$E$141,4,FALSE)+VLOOKUP(vcost_lb[[#This Row],[setting]],$O$6:$AA$141,9,FALSE)+VLOOKUP(vcost_lb[[#This Row],[gbd_super]],$AH$6:$AK$11,3,FALSE),0)</f>
        <v>3.3846549608130738</v>
      </c>
      <c r="V221" s="33">
        <f>IFERROR(VLOOKUP(vcost_lb[[#This Row],[setting]],$A$6:$E$141,4,FALSE)+$K$8+VLOOKUP(vcost_lb[[#This Row],[setting]],$O$6:$AA$141,12,FALSE),0)</f>
        <v>3.3636593019077283</v>
      </c>
      <c r="W221" s="33">
        <f>IFERROR(VLOOKUP(vcost_lb[[#This Row],[setting]],$A$6:$E$141,4,FALSE)+$K$8+VLOOKUP(vcost_lb[[#This Row],[setting]],$O$6:$AA$141,12,FALSE)+VLOOKUP(vcost_lb[[#This Row],[gbd_super]],$AH$6:$AK$11,3,FALSE),0)</f>
        <v>3.9642493019077283</v>
      </c>
      <c r="AH221" s="100" t="s">
        <v>288</v>
      </c>
      <c r="AI221" s="134" t="s">
        <v>666</v>
      </c>
      <c r="AJ221" s="33">
        <f>IFERROR(VLOOKUP(vcost_ub[[#This Row],[setting]],$A$6:$E$141,5,FALSE)+$L$6+VLOOKUP(vcost_ub[[#This Row],[setting]],$O$6:$AA$141,4,FALSE),0)</f>
        <v>24.274501065768305</v>
      </c>
      <c r="AK221" s="33">
        <f>IFERROR(VLOOKUP(vcost_ub[[#This Row],[setting]],$A$6:$E$141,5,FALSE)+$L$6+VLOOKUP(vcost_ub[[#This Row],[setting]],$O$6:$AA$141,4,FALSE)+VLOOKUP(vcost_ub[[#This Row],[gbd_super]],$AH$6:$AK$11,4,FALSE),0)</f>
        <v>24.938311065768307</v>
      </c>
      <c r="AL221" s="33">
        <f>IFERROR(VLOOKUP(vcost_ub[[#This Row],[setting]],$A$6:$E$141,5,FALSE)+VLOOKUP(vcost_ub[[#This Row],[setting]],$O$6:$AA$141,7,FALSE),0)</f>
        <v>23.773486988695183</v>
      </c>
      <c r="AM221" s="33">
        <f>IFERROR(VLOOKUP(vcost_ub[[#This Row],[setting]],$A$6:$E$141,5,FALSE)+VLOOKUP(vcost_ub[[#This Row],[setting]],$O$6:$AA$141,7,FALSE)+VLOOKUP(vcost_ub[[#This Row],[gbd_super]],$AH$6:$AK$11,4,FALSE),0)</f>
        <v>24.437296988695184</v>
      </c>
      <c r="AN221" s="33">
        <f>IFERROR(VLOOKUP(vcost_ub[[#This Row],[setting]],$A$6:$E$141,5,FALSE)+VLOOKUP(vcost_ub[[#This Row],[setting]],$O$6:$AA$141,10,FALSE)+VLOOKUP(vcost_ub[[#This Row],[gbd_super]],$AH$6:$AK$11,4,FALSE),0)</f>
        <v>24.427869843252296</v>
      </c>
      <c r="AO221" s="33">
        <f>IFERROR(VLOOKUP(vcost_ub[[#This Row],[setting]],$A$6:$E$141,5,FALSE)+$L$8+VLOOKUP(vcost_ub[[#This Row],[setting]],$O$6:$AA$141,13,FALSE),0)</f>
        <v>24.544302632361124</v>
      </c>
      <c r="AP221" s="33">
        <f>IFERROR(VLOOKUP(vcost_ub[[#This Row],[setting]],$A$6:$E$141,5,FALSE)+$L$8+VLOOKUP(vcost_ub[[#This Row],[setting]],$O$6:$AA$141,13,FALSE)+VLOOKUP(vcost_ub[[#This Row],[gbd_super]],$AH$6:$AK$11,4,FALSE),0)</f>
        <v>25.208112632361125</v>
      </c>
    </row>
    <row r="222" spans="1:42" x14ac:dyDescent="0.25">
      <c r="A222" s="81" t="s">
        <v>610</v>
      </c>
      <c r="B222" s="135" t="s">
        <v>666</v>
      </c>
      <c r="C222">
        <f>IFERROR(VLOOKUP(vcost[[#This Row],[setting]],$A$6:$E$141,3,FALSE)+$J$6+VLOOKUP(vcost[[#This Row],[setting]],$O$6:$AA$141,2,FALSE),0)</f>
        <v>3.0547241161616161</v>
      </c>
      <c r="D222">
        <f>IFERROR(VLOOKUP(vcost[[#This Row],[setting]],$A$6:$E$141,3,FALSE)+$J$6+VLOOKUP(vcost[[#This Row],[setting]],$O$6:$AA$141,2,FALSE)+VLOOKUP(vcost[[#This Row],[gbd_super]],$AH$6:$AK$11,2,FALSE),0)</f>
        <v>3.684724116161616</v>
      </c>
      <c r="E222">
        <f>IFERROR(VLOOKUP(vcost[[#This Row],[setting]],$A$6:$E$141,3,FALSE)+VLOOKUP(vcost[[#This Row],[setting]],$O$6:$AA$141,5,FALSE),0)</f>
        <v>2.6368</v>
      </c>
      <c r="F222" s="33">
        <f>IFERROR(VLOOKUP(vcost[[#This Row],[setting]],$A$6:$E$141,3,FALSE)+VLOOKUP(vcost[[#This Row],[setting]],$O$6:$AA$141,5,FALSE)+VLOOKUP(vcost[[#This Row],[gbd_super]],$AH$6:$AK$11,2,FALSE),0)</f>
        <v>3.2667999999999999</v>
      </c>
      <c r="G222" s="33">
        <f>IFERROR(VLOOKUP(vcost[[#This Row],[setting]],$A$6:$E$141,3,FALSE)+VLOOKUP(vcost[[#This Row],[setting]],$O$6:$AA$141,8,FALSE)+VLOOKUP(vcost[[#This Row],[gbd_super]],$AH$6:$AK$11,2,FALSE),0)</f>
        <v>3.2667999999999999</v>
      </c>
      <c r="H222">
        <f>IFERROR(VLOOKUP(vcost[[#This Row],[setting]],$A$6:$E$141,3,FALSE)+$J$8+VLOOKUP(vcost[[#This Row],[setting]],$O$6:$AA$141,11,FALSE),0)</f>
        <v>3.2935972222222225</v>
      </c>
      <c r="I222" s="33">
        <f>IFERROR(VLOOKUP(vcost[[#This Row],[setting]],$A$6:$E$141,3,FALSE)+$J$8+VLOOKUP(vcost[[#This Row],[setting]],$O$6:$AA$141,11,FALSE)+VLOOKUP(vcost[[#This Row],[gbd_super]],$AH$6:$AK$11,2,FALSE),0)</f>
        <v>3.9235972222222224</v>
      </c>
      <c r="O222" s="81" t="s">
        <v>610</v>
      </c>
      <c r="P222" s="135" t="s">
        <v>666</v>
      </c>
      <c r="Q222" s="33">
        <f>IFERROR(VLOOKUP(vcost_lb[[#This Row],[setting]],$A$6:$E$141,4,FALSE)+$K$6+VLOOKUP(vcost_lb[[#This Row],[setting]],$O$6:$AA$141,3,FALSE),0)</f>
        <v>1.1860219931271478</v>
      </c>
      <c r="R222" s="33">
        <f>IFERROR(VLOOKUP(vcost_lb[[#This Row],[setting]],$A$6:$E$141,4,FALSE)+$K$6+VLOOKUP(vcost_lb[[#This Row],[setting]],$O$6:$AA$141,3,FALSE)+VLOOKUP(vcost_lb[[#This Row],[gbd_super]],$AH$6:$AK$11,3,FALSE),0)</f>
        <v>1.7866119931271478</v>
      </c>
      <c r="S222" s="33">
        <f>IFERROR(VLOOKUP(vcost_lb[[#This Row],[setting]],$A$6:$E$141,4,FALSE)+VLOOKUP(vcost_lb[[#This Row],[setting]],$O$6:$AA$141,6,FALSE),0)</f>
        <v>0.82400000000000007</v>
      </c>
      <c r="T222" s="33">
        <f>IFERROR(VLOOKUP(vcost_lb[[#This Row],[setting]],$A$6:$E$141,4,FALSE)+VLOOKUP(vcost_lb[[#This Row],[setting]],$O$6:$AA$141,6,FALSE)+VLOOKUP(vcost_lb[[#This Row],[gbd_super]],$AH$6:$AK$11,3,FALSE),0)</f>
        <v>1.42459</v>
      </c>
      <c r="U222" s="33">
        <f>IFERROR(VLOOKUP(vcost_lb[[#This Row],[setting]],$A$6:$E$141,4,FALSE)+VLOOKUP(vcost_lb[[#This Row],[setting]],$O$6:$AA$141,9,FALSE)+VLOOKUP(vcost_lb[[#This Row],[gbd_super]],$AH$6:$AK$11,3,FALSE),0)</f>
        <v>1.42459</v>
      </c>
      <c r="V222" s="33">
        <f>IFERROR(VLOOKUP(vcost_lb[[#This Row],[setting]],$A$6:$E$141,4,FALSE)+$K$8+VLOOKUP(vcost_lb[[#This Row],[setting]],$O$6:$AA$141,12,FALSE),0)</f>
        <v>1.3958158075601377</v>
      </c>
      <c r="W222" s="33">
        <f>IFERROR(VLOOKUP(vcost_lb[[#This Row],[setting]],$A$6:$E$141,4,FALSE)+$K$8+VLOOKUP(vcost_lb[[#This Row],[setting]],$O$6:$AA$141,12,FALSE)+VLOOKUP(vcost_lb[[#This Row],[gbd_super]],$AH$6:$AK$11,3,FALSE),0)</f>
        <v>1.9964058075601376</v>
      </c>
      <c r="AH222" s="81" t="s">
        <v>610</v>
      </c>
      <c r="AI222" s="135" t="s">
        <v>666</v>
      </c>
      <c r="AJ222" s="33">
        <f>IFERROR(VLOOKUP(vcost_ub[[#This Row],[setting]],$A$6:$E$141,5,FALSE)+$L$6+VLOOKUP(vcost_ub[[#This Row],[setting]],$O$6:$AA$141,4,FALSE),0)</f>
        <v>7.065039181286549</v>
      </c>
      <c r="AK222" s="33">
        <f>IFERROR(VLOOKUP(vcost_ub[[#This Row],[setting]],$A$6:$E$141,5,FALSE)+$L$6+VLOOKUP(vcost_ub[[#This Row],[setting]],$O$6:$AA$141,4,FALSE)+VLOOKUP(vcost_ub[[#This Row],[gbd_super]],$AH$6:$AK$11,4,FALSE),0)</f>
        <v>7.7288491812865487</v>
      </c>
      <c r="AL222" s="33">
        <f>IFERROR(VLOOKUP(vcost_ub[[#This Row],[setting]],$A$6:$E$141,5,FALSE)+VLOOKUP(vcost_ub[[#This Row],[setting]],$O$6:$AA$141,7,FALSE),0)</f>
        <v>6.5816999999999997</v>
      </c>
      <c r="AM222" s="33">
        <f>IFERROR(VLOOKUP(vcost_ub[[#This Row],[setting]],$A$6:$E$141,5,FALSE)+VLOOKUP(vcost_ub[[#This Row],[setting]],$O$6:$AA$141,7,FALSE)+VLOOKUP(vcost_ub[[#This Row],[gbd_super]],$AH$6:$AK$11,4,FALSE),0)</f>
        <v>7.2455099999999995</v>
      </c>
      <c r="AN222" s="33">
        <f>IFERROR(VLOOKUP(vcost_ub[[#This Row],[setting]],$A$6:$E$141,5,FALSE)+VLOOKUP(vcost_ub[[#This Row],[setting]],$O$6:$AA$141,10,FALSE)+VLOOKUP(vcost_ub[[#This Row],[gbd_super]],$AH$6:$AK$11,4,FALSE),0)</f>
        <v>7.2455099999999995</v>
      </c>
      <c r="AO222" s="33">
        <f>IFERROR(VLOOKUP(vcost_ub[[#This Row],[setting]],$A$6:$E$141,5,FALSE)+$L$8+VLOOKUP(vcost_ub[[#This Row],[setting]],$O$6:$AA$141,13,FALSE),0)</f>
        <v>7.3308286549707598</v>
      </c>
      <c r="AP222" s="33">
        <f>IFERROR(VLOOKUP(vcost_ub[[#This Row],[setting]],$A$6:$E$141,5,FALSE)+$L$8+VLOOKUP(vcost_ub[[#This Row],[setting]],$O$6:$AA$141,13,FALSE)+VLOOKUP(vcost_ub[[#This Row],[gbd_super]],$AH$6:$AK$11,4,FALSE),0)</f>
        <v>7.9946386549707595</v>
      </c>
    </row>
    <row r="223" spans="1:42" x14ac:dyDescent="0.25">
      <c r="A223" s="81" t="s">
        <v>186</v>
      </c>
      <c r="B223" s="134" t="s">
        <v>663</v>
      </c>
      <c r="C223">
        <f>IFERROR(VLOOKUP(vcost[[#This Row],[setting]],$A$6:$E$141,3,FALSE)+$J$6+VLOOKUP(vcost[[#This Row],[setting]],$O$6:$AA$141,2,FALSE),0)</f>
        <v>3.769671932945863</v>
      </c>
      <c r="D223">
        <f>IFERROR(VLOOKUP(vcost[[#This Row],[setting]],$A$6:$E$141,3,FALSE)+$J$6+VLOOKUP(vcost[[#This Row],[setting]],$O$6:$AA$141,2,FALSE)+VLOOKUP(vcost[[#This Row],[gbd_super]],$AH$6:$AK$11,2,FALSE),0)</f>
        <v>7.8396719329458637</v>
      </c>
      <c r="E223">
        <f>IFERROR(VLOOKUP(vcost[[#This Row],[setting]],$A$6:$E$141,3,FALSE)+VLOOKUP(vcost[[#This Row],[setting]],$O$6:$AA$141,5,FALSE),0)</f>
        <v>3.3440249017012516</v>
      </c>
      <c r="F223" s="33">
        <f>IFERROR(VLOOKUP(vcost[[#This Row],[setting]],$A$6:$E$141,3,FALSE)+VLOOKUP(vcost[[#This Row],[setting]],$O$6:$AA$141,5,FALSE)+VLOOKUP(vcost[[#This Row],[gbd_super]],$AH$6:$AK$11,2,FALSE),0)</f>
        <v>7.4140249017012518</v>
      </c>
      <c r="G223" s="33">
        <f>IFERROR(VLOOKUP(vcost[[#This Row],[setting]],$A$6:$E$141,3,FALSE)+VLOOKUP(vcost[[#This Row],[setting]],$O$6:$AA$141,8,FALSE)+VLOOKUP(vcost[[#This Row],[gbd_super]],$AH$6:$AK$11,2,FALSE),0)</f>
        <v>7.4108856987913256</v>
      </c>
      <c r="H223">
        <f>IFERROR(VLOOKUP(vcost[[#This Row],[setting]],$A$6:$E$141,3,FALSE)+$J$8+VLOOKUP(vcost[[#This Row],[setting]],$O$6:$AA$141,11,FALSE),0)</f>
        <v>4.0113288804898746</v>
      </c>
      <c r="I223" s="33">
        <f>IFERROR(VLOOKUP(vcost[[#This Row],[setting]],$A$6:$E$141,3,FALSE)+$J$8+VLOOKUP(vcost[[#This Row],[setting]],$O$6:$AA$141,11,FALSE)+VLOOKUP(vcost[[#This Row],[gbd_super]],$AH$6:$AK$11,2,FALSE),0)</f>
        <v>8.081328880489874</v>
      </c>
      <c r="O223" s="81" t="s">
        <v>186</v>
      </c>
      <c r="P223" s="134" t="s">
        <v>663</v>
      </c>
      <c r="Q223" s="33">
        <f>IFERROR(VLOOKUP(vcost_lb[[#This Row],[setting]],$A$6:$E$141,4,FALSE)+$K$6+VLOOKUP(vcost_lb[[#This Row],[setting]],$O$6:$AA$141,3,FALSE),0)</f>
        <v>1.6674551068719687</v>
      </c>
      <c r="R223" s="33">
        <f>IFERROR(VLOOKUP(vcost_lb[[#This Row],[setting]],$A$6:$E$141,4,FALSE)+$K$6+VLOOKUP(vcost_lb[[#This Row],[setting]],$O$6:$AA$141,3,FALSE)+VLOOKUP(vcost_lb[[#This Row],[gbd_super]],$AH$6:$AK$11,3,FALSE),0)</f>
        <v>5.5298701068719689</v>
      </c>
      <c r="S223" s="33">
        <f>IFERROR(VLOOKUP(vcost_lb[[#This Row],[setting]],$A$6:$E$141,4,FALSE)+VLOOKUP(vcost_lb[[#This Row],[setting]],$O$6:$AA$141,6,FALSE),0)</f>
        <v>1.3022900669087183</v>
      </c>
      <c r="T223" s="33">
        <f>IFERROR(VLOOKUP(vcost_lb[[#This Row],[setting]],$A$6:$E$141,4,FALSE)+VLOOKUP(vcost_lb[[#This Row],[setting]],$O$6:$AA$141,6,FALSE)+VLOOKUP(vcost_lb[[#This Row],[gbd_super]],$AH$6:$AK$11,3,FALSE),0)</f>
        <v>5.1647050669087182</v>
      </c>
      <c r="U223" s="33">
        <f>IFERROR(VLOOKUP(vcost_lb[[#This Row],[setting]],$A$6:$E$141,4,FALSE)+VLOOKUP(vcost_lb[[#This Row],[setting]],$O$6:$AA$141,9,FALSE)+VLOOKUP(vcost_lb[[#This Row],[gbd_super]],$AH$6:$AK$11,3,FALSE),0)</f>
        <v>5.1626398018363986</v>
      </c>
      <c r="V223" s="33">
        <f>IFERROR(VLOOKUP(vcost_lb[[#This Row],[setting]],$A$6:$E$141,4,FALSE)+$K$8+VLOOKUP(vcost_lb[[#This Row],[setting]],$O$6:$AA$141,12,FALSE),0)</f>
        <v>1.8785959413775737</v>
      </c>
      <c r="W223" s="33">
        <f>IFERROR(VLOOKUP(vcost_lb[[#This Row],[setting]],$A$6:$E$141,4,FALSE)+$K$8+VLOOKUP(vcost_lb[[#This Row],[setting]],$O$6:$AA$141,12,FALSE)+VLOOKUP(vcost_lb[[#This Row],[gbd_super]],$AH$6:$AK$11,3,FALSE),0)</f>
        <v>5.7410109413775743</v>
      </c>
      <c r="AH223" s="81" t="s">
        <v>186</v>
      </c>
      <c r="AI223" s="134" t="s">
        <v>663</v>
      </c>
      <c r="AJ223" s="33">
        <f>IFERROR(VLOOKUP(vcost_ub[[#This Row],[setting]],$A$6:$E$141,5,FALSE)+$L$6+VLOOKUP(vcost_ub[[#This Row],[setting]],$O$6:$AA$141,4,FALSE),0)</f>
        <v>7.8083370670438432</v>
      </c>
      <c r="AK223" s="33">
        <f>IFERROR(VLOOKUP(vcost_ub[[#This Row],[setting]],$A$6:$E$141,5,FALSE)+$L$6+VLOOKUP(vcost_ub[[#This Row],[setting]],$O$6:$AA$141,4,FALSE)+VLOOKUP(vcost_ub[[#This Row],[gbd_super]],$AH$6:$AK$11,4,FALSE),0)</f>
        <v>12.077322067043845</v>
      </c>
      <c r="AL223" s="33">
        <f>IFERROR(VLOOKUP(vcost_ub[[#This Row],[setting]],$A$6:$E$141,5,FALSE)+VLOOKUP(vcost_ub[[#This Row],[setting]],$O$6:$AA$141,7,FALSE),0)</f>
        <v>7.3103602676348736</v>
      </c>
      <c r="AM223" s="33">
        <f>IFERROR(VLOOKUP(vcost_ub[[#This Row],[setting]],$A$6:$E$141,5,FALSE)+VLOOKUP(vcost_ub[[#This Row],[setting]],$O$6:$AA$141,7,FALSE)+VLOOKUP(vcost_ub[[#This Row],[gbd_super]],$AH$6:$AK$11,4,FALSE),0)</f>
        <v>11.579345267634874</v>
      </c>
      <c r="AN223" s="33">
        <f>IFERROR(VLOOKUP(vcost_ub[[#This Row],[setting]],$A$6:$E$141,5,FALSE)+VLOOKUP(vcost_ub[[#This Row],[setting]],$O$6:$AA$141,10,FALSE)+VLOOKUP(vcost_ub[[#This Row],[gbd_super]],$AH$6:$AK$11,4,FALSE),0)</f>
        <v>11.571084207345596</v>
      </c>
      <c r="AO223" s="33">
        <f>IFERROR(VLOOKUP(vcost_ub[[#This Row],[setting]],$A$6:$E$141,5,FALSE)+$L$8+VLOOKUP(vcost_ub[[#This Row],[setting]],$O$6:$AA$141,13,FALSE),0)</f>
        <v>8.0774491902405074</v>
      </c>
      <c r="AP223" s="33">
        <f>IFERROR(VLOOKUP(vcost_ub[[#This Row],[setting]],$A$6:$E$141,5,FALSE)+$L$8+VLOOKUP(vcost_ub[[#This Row],[setting]],$O$6:$AA$141,13,FALSE)+VLOOKUP(vcost_ub[[#This Row],[gbd_super]],$AH$6:$AK$11,4,FALSE),0)</f>
        <v>12.346434190240508</v>
      </c>
    </row>
    <row r="224" spans="1:42" x14ac:dyDescent="0.25">
      <c r="A224" s="81" t="s">
        <v>628</v>
      </c>
      <c r="B224" s="135" t="s">
        <v>666</v>
      </c>
      <c r="C224">
        <f>IFERROR(VLOOKUP(vcost[[#This Row],[setting]],$A$6:$E$141,3,FALSE)+$J$6+VLOOKUP(vcost[[#This Row],[setting]],$O$6:$AA$141,2,FALSE),0)</f>
        <v>2.2177461431055265</v>
      </c>
      <c r="D224">
        <f>IFERROR(VLOOKUP(vcost[[#This Row],[setting]],$A$6:$E$141,3,FALSE)+$J$6+VLOOKUP(vcost[[#This Row],[setting]],$O$6:$AA$141,2,FALSE)+VLOOKUP(vcost[[#This Row],[gbd_super]],$AH$6:$AK$11,2,FALSE),0)</f>
        <v>2.8477461431055264</v>
      </c>
      <c r="E224">
        <f>IFERROR(VLOOKUP(vcost[[#This Row],[setting]],$A$6:$E$141,3,FALSE)+VLOOKUP(vcost[[#This Row],[setting]],$O$6:$AA$141,5,FALSE),0)</f>
        <v>1.7848399632576368</v>
      </c>
      <c r="F224" s="33">
        <f>IFERROR(VLOOKUP(vcost[[#This Row],[setting]],$A$6:$E$141,3,FALSE)+VLOOKUP(vcost[[#This Row],[setting]],$O$6:$AA$141,5,FALSE)+VLOOKUP(vcost[[#This Row],[gbd_super]],$AH$6:$AK$11,2,FALSE),0)</f>
        <v>2.4148399632576369</v>
      </c>
      <c r="G224" s="33">
        <f>IFERROR(VLOOKUP(vcost[[#This Row],[setting]],$A$6:$E$141,3,FALSE)+VLOOKUP(vcost[[#This Row],[setting]],$O$6:$AA$141,8,FALSE)+VLOOKUP(vcost[[#This Row],[gbd_super]],$AH$6:$AK$11,2,FALSE),0)</f>
        <v>2.4087352692323427</v>
      </c>
      <c r="H224">
        <f>IFERROR(VLOOKUP(vcost[[#This Row],[setting]],$A$6:$E$141,3,FALSE)+$J$8+VLOOKUP(vcost[[#This Row],[setting]],$O$6:$AA$141,11,FALSE),0)</f>
        <v>2.4620197604949055</v>
      </c>
      <c r="I224" s="33">
        <f>IFERROR(VLOOKUP(vcost[[#This Row],[setting]],$A$6:$E$141,3,FALSE)+$J$8+VLOOKUP(vcost[[#This Row],[setting]],$O$6:$AA$141,11,FALSE)+VLOOKUP(vcost[[#This Row],[gbd_super]],$AH$6:$AK$11,2,FALSE),0)</f>
        <v>3.0920197604949053</v>
      </c>
      <c r="O224" s="81" t="s">
        <v>628</v>
      </c>
      <c r="P224" s="135" t="s">
        <v>666</v>
      </c>
      <c r="Q224" s="33">
        <f>IFERROR(VLOOKUP(vcost_lb[[#This Row],[setting]],$A$6:$E$141,4,FALSE)+$K$6+VLOOKUP(vcost_lb[[#This Row],[setting]],$O$6:$AA$141,3,FALSE),0)</f>
        <v>0.91242984677055738</v>
      </c>
      <c r="R224" s="33">
        <f>IFERROR(VLOOKUP(vcost_lb[[#This Row],[setting]],$A$6:$E$141,4,FALSE)+$K$6+VLOOKUP(vcost_lb[[#This Row],[setting]],$O$6:$AA$141,3,FALSE)+VLOOKUP(vcost_lb[[#This Row],[gbd_super]],$AH$6:$AK$11,3,FALSE),0)</f>
        <v>1.5130198467705573</v>
      </c>
      <c r="S224" s="33">
        <f>IFERROR(VLOOKUP(vcost_lb[[#This Row],[setting]],$A$6:$E$141,4,FALSE)+VLOOKUP(vcost_lb[[#This Row],[setting]],$O$6:$AA$141,6,FALSE),0)</f>
        <v>0.54431050214318222</v>
      </c>
      <c r="T224" s="33">
        <f>IFERROR(VLOOKUP(vcost_lb[[#This Row],[setting]],$A$6:$E$141,4,FALSE)+VLOOKUP(vcost_lb[[#This Row],[setting]],$O$6:$AA$141,6,FALSE)+VLOOKUP(vcost_lb[[#This Row],[gbd_super]],$AH$6:$AK$11,3,FALSE),0)</f>
        <v>1.1449005021431822</v>
      </c>
      <c r="U224" s="33">
        <f>IFERROR(VLOOKUP(vcost_lb[[#This Row],[setting]],$A$6:$E$141,4,FALSE)+VLOOKUP(vcost_lb[[#This Row],[setting]],$O$6:$AA$141,9,FALSE)+VLOOKUP(vcost_lb[[#This Row],[gbd_super]],$AH$6:$AK$11,3,FALSE),0)</f>
        <v>1.1408842560739099</v>
      </c>
      <c r="V224" s="33">
        <f>IFERROR(VLOOKUP(vcost_lb[[#This Row],[setting]],$A$6:$E$141,4,FALSE)+$K$8+VLOOKUP(vcost_lb[[#This Row],[setting]],$O$6:$AA$141,12,FALSE),0)</f>
        <v>1.1248368118465017</v>
      </c>
      <c r="W224" s="33">
        <f>IFERROR(VLOOKUP(vcost_lb[[#This Row],[setting]],$A$6:$E$141,4,FALSE)+$K$8+VLOOKUP(vcost_lb[[#This Row],[setting]],$O$6:$AA$141,12,FALSE)+VLOOKUP(vcost_lb[[#This Row],[gbd_super]],$AH$6:$AK$11,3,FALSE),0)</f>
        <v>1.7254268118465017</v>
      </c>
      <c r="AH224" s="81" t="s">
        <v>628</v>
      </c>
      <c r="AI224" s="135" t="s">
        <v>666</v>
      </c>
      <c r="AJ224" s="33">
        <f>IFERROR(VLOOKUP(vcost_ub[[#This Row],[setting]],$A$6:$E$141,5,FALSE)+$L$6+VLOOKUP(vcost_ub[[#This Row],[setting]],$O$6:$AA$141,4,FALSE),0)</f>
        <v>5.0888774268460519</v>
      </c>
      <c r="AK224" s="33">
        <f>IFERROR(VLOOKUP(vcost_ub[[#This Row],[setting]],$A$6:$E$141,5,FALSE)+$L$6+VLOOKUP(vcost_ub[[#This Row],[setting]],$O$6:$AA$141,4,FALSE)+VLOOKUP(vcost_ub[[#This Row],[gbd_super]],$AH$6:$AK$11,4,FALSE),0)</f>
        <v>5.7526874268460517</v>
      </c>
      <c r="AL224" s="33">
        <f>IFERROR(VLOOKUP(vcost_ub[[#This Row],[setting]],$A$6:$E$141,5,FALSE)+VLOOKUP(vcost_ub[[#This Row],[setting]],$O$6:$AA$141,7,FALSE),0)</f>
        <v>4.5771420085727286</v>
      </c>
      <c r="AM224" s="33">
        <f>IFERROR(VLOOKUP(vcost_ub[[#This Row],[setting]],$A$6:$E$141,5,FALSE)+VLOOKUP(vcost_ub[[#This Row],[setting]],$O$6:$AA$141,7,FALSE)+VLOOKUP(vcost_ub[[#This Row],[gbd_super]],$AH$6:$AK$11,4,FALSE),0)</f>
        <v>5.2409520085727284</v>
      </c>
      <c r="AN224" s="33">
        <f>IFERROR(VLOOKUP(vcost_ub[[#This Row],[setting]],$A$6:$E$141,5,FALSE)+VLOOKUP(vcost_ub[[#This Row],[setting]],$O$6:$AA$141,10,FALSE)+VLOOKUP(vcost_ub[[#This Row],[gbd_super]],$AH$6:$AK$11,4,FALSE),0)</f>
        <v>5.2248870242956391</v>
      </c>
      <c r="AO224" s="33">
        <f>IFERROR(VLOOKUP(vcost_ub[[#This Row],[setting]],$A$6:$E$141,5,FALSE)+$L$8+VLOOKUP(vcost_ub[[#This Row],[setting]],$O$6:$AA$141,13,FALSE),0)</f>
        <v>5.3611126721162172</v>
      </c>
      <c r="AP224" s="33">
        <f>IFERROR(VLOOKUP(vcost_ub[[#This Row],[setting]],$A$6:$E$141,5,FALSE)+$L$8+VLOOKUP(vcost_ub[[#This Row],[setting]],$O$6:$AA$141,13,FALSE)+VLOOKUP(vcost_ub[[#This Row],[gbd_super]],$AH$6:$AK$11,4,FALSE),0)</f>
        <v>6.024922672116217</v>
      </c>
    </row>
    <row r="225" spans="1:42" x14ac:dyDescent="0.25">
      <c r="A225" s="100" t="s">
        <v>174</v>
      </c>
      <c r="B225" s="134" t="s">
        <v>579</v>
      </c>
      <c r="C225">
        <f>IFERROR(VLOOKUP(vcost[[#This Row],[setting]],$A$6:$E$141,3,FALSE)+$J$6+VLOOKUP(vcost[[#This Row],[setting]],$O$6:$AA$141,2,FALSE),0)</f>
        <v>4.3686137164105379</v>
      </c>
      <c r="D225">
        <f>IFERROR(VLOOKUP(vcost[[#This Row],[setting]],$A$6:$E$141,3,FALSE)+$J$6+VLOOKUP(vcost[[#This Row],[setting]],$O$6:$AA$141,2,FALSE)+VLOOKUP(vcost[[#This Row],[gbd_super]],$AH$6:$AK$11,2,FALSE),0)</f>
        <v>4.8486137164105383</v>
      </c>
      <c r="E225">
        <f>IFERROR(VLOOKUP(vcost[[#This Row],[setting]],$A$6:$E$141,3,FALSE)+VLOOKUP(vcost[[#This Row],[setting]],$O$6:$AA$141,5,FALSE),0)</f>
        <v>3.9257445038204821</v>
      </c>
      <c r="F225" s="33">
        <f>IFERROR(VLOOKUP(vcost[[#This Row],[setting]],$A$6:$E$141,3,FALSE)+VLOOKUP(vcost[[#This Row],[setting]],$O$6:$AA$141,5,FALSE)+VLOOKUP(vcost[[#This Row],[gbd_super]],$AH$6:$AK$11,2,FALSE),0)</f>
        <v>4.4057445038204825</v>
      </c>
      <c r="G225" s="33">
        <f>IFERROR(VLOOKUP(vcost[[#This Row],[setting]],$A$6:$E$141,3,FALSE)+VLOOKUP(vcost[[#This Row],[setting]],$O$6:$AA$141,8,FALSE)+VLOOKUP(vcost[[#This Row],[gbd_super]],$AH$6:$AK$11,2,FALSE),0)</f>
        <v>4.3952627938040836</v>
      </c>
      <c r="H225">
        <f>IFERROR(VLOOKUP(vcost[[#This Row],[setting]],$A$6:$E$141,3,FALSE)+$J$8+VLOOKUP(vcost[[#This Row],[setting]],$O$6:$AA$141,11,FALSE),0)</f>
        <v>4.6164786595558152</v>
      </c>
      <c r="I225" s="33">
        <f>IFERROR(VLOOKUP(vcost[[#This Row],[setting]],$A$6:$E$141,3,FALSE)+$J$8+VLOOKUP(vcost[[#This Row],[setting]],$O$6:$AA$141,11,FALSE)+VLOOKUP(vcost[[#This Row],[gbd_super]],$AH$6:$AK$11,2,FALSE),0)</f>
        <v>5.0964786595558156</v>
      </c>
      <c r="O225" s="100" t="s">
        <v>174</v>
      </c>
      <c r="P225" s="134" t="s">
        <v>579</v>
      </c>
      <c r="Q225" s="33">
        <f>IFERROR(VLOOKUP(vcost_lb[[#This Row],[setting]],$A$6:$E$141,4,FALSE)+$K$6+VLOOKUP(vcost_lb[[#This Row],[setting]],$O$6:$AA$141,3,FALSE),0)</f>
        <v>1.7153770302947919</v>
      </c>
      <c r="R225" s="33">
        <f>IFERROR(VLOOKUP(vcost_lb[[#This Row],[setting]],$A$6:$E$141,4,FALSE)+$K$6+VLOOKUP(vcost_lb[[#This Row],[setting]],$O$6:$AA$141,3,FALSE)+VLOOKUP(vcost_lb[[#This Row],[gbd_super]],$AH$6:$AK$11,3,FALSE),0)</f>
        <v>2.1709970302947919</v>
      </c>
      <c r="S225" s="33">
        <f>IFERROR(VLOOKUP(vcost_lb[[#This Row],[setting]],$A$6:$E$141,4,FALSE)+VLOOKUP(vcost_lb[[#This Row],[setting]],$O$6:$AA$141,6,FALSE),0)</f>
        <v>1.3432029630397908</v>
      </c>
      <c r="T225" s="33">
        <f>IFERROR(VLOOKUP(vcost_lb[[#This Row],[setting]],$A$6:$E$141,4,FALSE)+VLOOKUP(vcost_lb[[#This Row],[setting]],$O$6:$AA$141,6,FALSE)+VLOOKUP(vcost_lb[[#This Row],[gbd_super]],$AH$6:$AK$11,3,FALSE),0)</f>
        <v>1.7988229630397909</v>
      </c>
      <c r="U225" s="33">
        <f>IFERROR(VLOOKUP(vcost_lb[[#This Row],[setting]],$A$6:$E$141,4,FALSE)+VLOOKUP(vcost_lb[[#This Row],[setting]],$O$6:$AA$141,9,FALSE)+VLOOKUP(vcost_lb[[#This Row],[gbd_super]],$AH$6:$AK$11,3,FALSE),0)</f>
        <v>1.7919271011868969</v>
      </c>
      <c r="V225" s="33">
        <f>IFERROR(VLOOKUP(vcost_lb[[#This Row],[setting]],$A$6:$E$141,4,FALSE)+$K$8+VLOOKUP(vcost_lb[[#This Row],[setting]],$O$6:$AA$141,12,FALSE),0)</f>
        <v>1.9295217336397188</v>
      </c>
      <c r="W225" s="33">
        <f>IFERROR(VLOOKUP(vcost_lb[[#This Row],[setting]],$A$6:$E$141,4,FALSE)+$K$8+VLOOKUP(vcost_lb[[#This Row],[setting]],$O$6:$AA$141,12,FALSE)+VLOOKUP(vcost_lb[[#This Row],[gbd_super]],$AH$6:$AK$11,3,FALSE),0)</f>
        <v>2.3851417336397187</v>
      </c>
      <c r="AH225" s="100" t="s">
        <v>174</v>
      </c>
      <c r="AI225" s="134" t="s">
        <v>579</v>
      </c>
      <c r="AJ225" s="33">
        <f>IFERROR(VLOOKUP(vcost_ub[[#This Row],[setting]],$A$6:$E$141,5,FALSE)+$L$6+VLOOKUP(vcost_ub[[#This Row],[setting]],$O$6:$AA$141,4,FALSE),0)</f>
        <v>9.8586306929554297</v>
      </c>
      <c r="AK225" s="33">
        <f>IFERROR(VLOOKUP(vcost_ub[[#This Row],[setting]],$A$6:$E$141,5,FALSE)+$L$6+VLOOKUP(vcost_ub[[#This Row],[setting]],$O$6:$AA$141,4,FALSE)+VLOOKUP(vcost_ub[[#This Row],[gbd_super]],$AH$6:$AK$11,4,FALSE),0)</f>
        <v>10.362210692955429</v>
      </c>
      <c r="AL225" s="33">
        <f>IFERROR(VLOOKUP(vcost_ub[[#This Row],[setting]],$A$6:$E$141,5,FALSE)+VLOOKUP(vcost_ub[[#This Row],[setting]],$O$6:$AA$141,7,FALSE),0)</f>
        <v>9.3280118521591628</v>
      </c>
      <c r="AM225" s="33">
        <f>IFERROR(VLOOKUP(vcost_ub[[#This Row],[setting]],$A$6:$E$141,5,FALSE)+VLOOKUP(vcost_ub[[#This Row],[setting]],$O$6:$AA$141,7,FALSE)+VLOOKUP(vcost_ub[[#This Row],[gbd_super]],$AH$6:$AK$11,4,FALSE),0)</f>
        <v>9.8315918521591623</v>
      </c>
      <c r="AN225" s="33">
        <f>IFERROR(VLOOKUP(vcost_ub[[#This Row],[setting]],$A$6:$E$141,5,FALSE)+VLOOKUP(vcost_ub[[#This Row],[setting]],$O$6:$AA$141,10,FALSE)+VLOOKUP(vcost_ub[[#This Row],[gbd_super]],$AH$6:$AK$11,4,FALSE),0)</f>
        <v>9.8040084047475862</v>
      </c>
      <c r="AO225" s="33">
        <f>IFERROR(VLOOKUP(vcost_ub[[#This Row],[setting]],$A$6:$E$141,5,FALSE)+$L$8+VLOOKUP(vcost_ub[[#This Row],[setting]],$O$6:$AA$141,13,FALSE),0)</f>
        <v>10.135152359289087</v>
      </c>
      <c r="AP225" s="33">
        <f>IFERROR(VLOOKUP(vcost_ub[[#This Row],[setting]],$A$6:$E$141,5,FALSE)+$L$8+VLOOKUP(vcost_ub[[#This Row],[setting]],$O$6:$AA$141,13,FALSE)+VLOOKUP(vcost_ub[[#This Row],[gbd_super]],$AH$6:$AK$11,4,FALSE),0)</f>
        <v>10.638732359289087</v>
      </c>
    </row>
    <row r="226" spans="1:42" x14ac:dyDescent="0.25">
      <c r="A226" s="103" t="s">
        <v>134</v>
      </c>
      <c r="B226" s="135" t="s">
        <v>667</v>
      </c>
      <c r="C226">
        <f>IFERROR(VLOOKUP(vcost[[#This Row],[setting]],$A$6:$E$141,3,FALSE)+$J$6+VLOOKUP(vcost[[#This Row],[setting]],$O$6:$AA$141,2,FALSE),0)</f>
        <v>4.5703166864280105</v>
      </c>
      <c r="D226">
        <f>IFERROR(VLOOKUP(vcost[[#This Row],[setting]],$A$6:$E$141,3,FALSE)+$J$6+VLOOKUP(vcost[[#This Row],[setting]],$O$6:$AA$141,2,FALSE)+VLOOKUP(vcost[[#This Row],[gbd_super]],$AH$6:$AK$11,2,FALSE),0)</f>
        <v>9.4003166864280097</v>
      </c>
      <c r="E226">
        <f>IFERROR(VLOOKUP(vcost[[#This Row],[setting]],$A$6:$E$141,3,FALSE)+VLOOKUP(vcost[[#This Row],[setting]],$O$6:$AA$141,5,FALSE),0)</f>
        <v>4.1461323169150983</v>
      </c>
      <c r="F226" s="33">
        <f>IFERROR(VLOOKUP(vcost[[#This Row],[setting]],$A$6:$E$141,3,FALSE)+VLOOKUP(vcost[[#This Row],[setting]],$O$6:$AA$141,5,FALSE)+VLOOKUP(vcost[[#This Row],[gbd_super]],$AH$6:$AK$11,2,FALSE),0)</f>
        <v>8.9761323169150984</v>
      </c>
      <c r="G226" s="33">
        <f>IFERROR(VLOOKUP(vcost[[#This Row],[setting]],$A$6:$E$141,3,FALSE)+VLOOKUP(vcost[[#This Row],[setting]],$O$6:$AA$141,8,FALSE)+VLOOKUP(vcost[[#This Row],[gbd_super]],$AH$6:$AK$11,2,FALSE),0)</f>
        <v>8.9737473325025547</v>
      </c>
      <c r="H226">
        <f>IFERROR(VLOOKUP(vcost[[#This Row],[setting]],$A$6:$E$141,3,FALSE)+$J$8+VLOOKUP(vcost[[#This Row],[setting]],$O$6:$AA$141,11,FALSE),0)</f>
        <v>4.8114463954408269</v>
      </c>
      <c r="I226" s="33">
        <f>IFERROR(VLOOKUP(vcost[[#This Row],[setting]],$A$6:$E$141,3,FALSE)+$J$8+VLOOKUP(vcost[[#This Row],[setting]],$O$6:$AA$141,11,FALSE)+VLOOKUP(vcost[[#This Row],[gbd_super]],$AH$6:$AK$11,2,FALSE),0)</f>
        <v>9.6414463954408269</v>
      </c>
      <c r="O226" s="103" t="s">
        <v>134</v>
      </c>
      <c r="P226" s="135" t="s">
        <v>667</v>
      </c>
      <c r="Q226" s="33">
        <f>IFERROR(VLOOKUP(vcost_lb[[#This Row],[setting]],$A$6:$E$141,4,FALSE)+$K$6+VLOOKUP(vcost_lb[[#This Row],[setting]],$O$6:$AA$141,3,FALSE),0)</f>
        <v>2.0780094528348232</v>
      </c>
      <c r="R226" s="33">
        <f>IFERROR(VLOOKUP(vcost_lb[[#This Row],[setting]],$A$6:$E$141,4,FALSE)+$K$6+VLOOKUP(vcost_lb[[#This Row],[setting]],$O$6:$AA$141,3,FALSE)+VLOOKUP(vcost_lb[[#This Row],[gbd_super]],$AH$6:$AK$11,3,FALSE),0)</f>
        <v>6.665274452834824</v>
      </c>
      <c r="S226" s="33">
        <f>IFERROR(VLOOKUP(vcost_lb[[#This Row],[setting]],$A$6:$E$141,4,FALSE)+VLOOKUP(vcost_lb[[#This Row],[setting]],$O$6:$AA$141,6,FALSE),0)</f>
        <v>1.7134396821809856</v>
      </c>
      <c r="T226" s="33">
        <f>IFERROR(VLOOKUP(vcost_lb[[#This Row],[setting]],$A$6:$E$141,4,FALSE)+VLOOKUP(vcost_lb[[#This Row],[setting]],$O$6:$AA$141,6,FALSE)+VLOOKUP(vcost_lb[[#This Row],[gbd_super]],$AH$6:$AK$11,3,FALSE),0)</f>
        <v>6.300704682180986</v>
      </c>
      <c r="U226" s="33">
        <f>IFERROR(VLOOKUP(vcost_lb[[#This Row],[setting]],$A$6:$E$141,4,FALSE)+VLOOKUP(vcost_lb[[#This Row],[setting]],$O$6:$AA$141,9,FALSE)+VLOOKUP(vcost_lb[[#This Row],[gbd_super]],$AH$6:$AK$11,3,FALSE),0)</f>
        <v>6.2991356134885219</v>
      </c>
      <c r="V226" s="33">
        <f>IFERROR(VLOOKUP(vcost_lb[[#This Row],[setting]],$A$6:$E$141,4,FALSE)+$K$8+VLOOKUP(vcost_lb[[#This Row],[setting]],$O$6:$AA$141,12,FALSE),0)</f>
        <v>2.2888951719221087</v>
      </c>
      <c r="W226" s="33">
        <f>IFERROR(VLOOKUP(vcost_lb[[#This Row],[setting]],$A$6:$E$141,4,FALSE)+$K$8+VLOOKUP(vcost_lb[[#This Row],[setting]],$O$6:$AA$141,12,FALSE)+VLOOKUP(vcost_lb[[#This Row],[gbd_super]],$AH$6:$AK$11,3,FALSE),0)</f>
        <v>6.876160171922109</v>
      </c>
      <c r="AH226" s="103" t="s">
        <v>134</v>
      </c>
      <c r="AI226" s="135" t="s">
        <v>667</v>
      </c>
      <c r="AJ226" s="33">
        <f>IFERROR(VLOOKUP(vcost_ub[[#This Row],[setting]],$A$6:$E$141,5,FALSE)+$L$6+VLOOKUP(vcost_ub[[#This Row],[setting]],$O$6:$AA$141,4,FALSE),0)</f>
        <v>9.2132632739205054</v>
      </c>
      <c r="AK226" s="33">
        <f>IFERROR(VLOOKUP(vcost_ub[[#This Row],[setting]],$A$6:$E$141,5,FALSE)+$L$6+VLOOKUP(vcost_ub[[#This Row],[setting]],$O$6:$AA$141,4,FALSE)+VLOOKUP(vcost_ub[[#This Row],[gbd_super]],$AH$6:$AK$11,4,FALSE),0)</f>
        <v>14.283398273920506</v>
      </c>
      <c r="AL226" s="33">
        <f>IFERROR(VLOOKUP(vcost_ub[[#This Row],[setting]],$A$6:$E$141,5,FALSE)+VLOOKUP(vcost_ub[[#This Row],[setting]],$O$6:$AA$141,7,FALSE),0)</f>
        <v>8.7180587287239426</v>
      </c>
      <c r="AM226" s="33">
        <f>IFERROR(VLOOKUP(vcost_ub[[#This Row],[setting]],$A$6:$E$141,5,FALSE)+VLOOKUP(vcost_ub[[#This Row],[setting]],$O$6:$AA$141,7,FALSE)+VLOOKUP(vcost_ub[[#This Row],[gbd_super]],$AH$6:$AK$11,4,FALSE),0)</f>
        <v>13.788193728723943</v>
      </c>
      <c r="AN226" s="33">
        <f>IFERROR(VLOOKUP(vcost_ub[[#This Row],[setting]],$A$6:$E$141,5,FALSE)+VLOOKUP(vcost_ub[[#This Row],[setting]],$O$6:$AA$141,10,FALSE)+VLOOKUP(vcost_ub[[#This Row],[gbd_super]],$AH$6:$AK$11,4,FALSE),0)</f>
        <v>13.781917453954089</v>
      </c>
      <c r="AO226" s="33">
        <f>IFERROR(VLOOKUP(vcost_ub[[#This Row],[setting]],$A$6:$E$141,5,FALSE)+$L$8+VLOOKUP(vcost_ub[[#This Row],[setting]],$O$6:$AA$141,13,FALSE),0)</f>
        <v>9.4817461124186462</v>
      </c>
      <c r="AP226" s="33">
        <f>IFERROR(VLOOKUP(vcost_ub[[#This Row],[setting]],$A$6:$E$141,5,FALSE)+$L$8+VLOOKUP(vcost_ub[[#This Row],[setting]],$O$6:$AA$141,13,FALSE)+VLOOKUP(vcost_ub[[#This Row],[gbd_super]],$AH$6:$AK$11,4,FALSE),0)</f>
        <v>14.551881112418647</v>
      </c>
    </row>
    <row r="227" spans="1:42" x14ac:dyDescent="0.25">
      <c r="A227" s="100" t="s">
        <v>146</v>
      </c>
      <c r="B227" s="134" t="s">
        <v>667</v>
      </c>
      <c r="C227">
        <f>IFERROR(VLOOKUP(vcost[[#This Row],[setting]],$A$6:$E$141,3,FALSE)+$J$6+VLOOKUP(vcost[[#This Row],[setting]],$O$6:$AA$141,2,FALSE),0)</f>
        <v>2.6116195117754248</v>
      </c>
      <c r="D227">
        <f>IFERROR(VLOOKUP(vcost[[#This Row],[setting]],$A$6:$E$141,3,FALSE)+$J$6+VLOOKUP(vcost[[#This Row],[setting]],$O$6:$AA$141,2,FALSE)+VLOOKUP(vcost[[#This Row],[gbd_super]],$AH$6:$AK$11,2,FALSE),0)</f>
        <v>7.4416195117754249</v>
      </c>
      <c r="E227">
        <f>IFERROR(VLOOKUP(vcost[[#This Row],[setting]],$A$6:$E$141,3,FALSE)+VLOOKUP(vcost[[#This Row],[setting]],$O$6:$AA$141,5,FALSE),0)</f>
        <v>2.1883361115225277</v>
      </c>
      <c r="F227" s="33">
        <f>IFERROR(VLOOKUP(vcost[[#This Row],[setting]],$A$6:$E$141,3,FALSE)+VLOOKUP(vcost[[#This Row],[setting]],$O$6:$AA$141,5,FALSE)+VLOOKUP(vcost[[#This Row],[gbd_super]],$AH$6:$AK$11,2,FALSE),0)</f>
        <v>7.0183361115225278</v>
      </c>
      <c r="G227" s="33">
        <f>IFERROR(VLOOKUP(vcost[[#This Row],[setting]],$A$6:$E$141,3,FALSE)+VLOOKUP(vcost[[#This Row],[setting]],$O$6:$AA$141,8,FALSE)+VLOOKUP(vcost[[#This Row],[gbd_super]],$AH$6:$AK$11,2,FALSE),0)</f>
        <v>7.0162987083110915</v>
      </c>
      <c r="H227">
        <f>IFERROR(VLOOKUP(vcost[[#This Row],[setting]],$A$6:$E$141,3,FALSE)+$J$8+VLOOKUP(vcost[[#This Row],[setting]],$O$6:$AA$141,11,FALSE),0)</f>
        <v>2.8524244527991676</v>
      </c>
      <c r="I227" s="33">
        <f>IFERROR(VLOOKUP(vcost[[#This Row],[setting]],$A$6:$E$141,3,FALSE)+$J$8+VLOOKUP(vcost[[#This Row],[setting]],$O$6:$AA$141,11,FALSE)+VLOOKUP(vcost[[#This Row],[gbd_super]],$AH$6:$AK$11,2,FALSE),0)</f>
        <v>7.6824244527991681</v>
      </c>
      <c r="O227" s="100" t="s">
        <v>146</v>
      </c>
      <c r="P227" s="134" t="s">
        <v>667</v>
      </c>
      <c r="Q227" s="33">
        <f>IFERROR(VLOOKUP(vcost_lb[[#This Row],[setting]],$A$6:$E$141,4,FALSE)+$K$6+VLOOKUP(vcost_lb[[#This Row],[setting]],$O$6:$AA$141,3,FALSE),0)</f>
        <v>1.1913189599615537</v>
      </c>
      <c r="R227" s="33">
        <f>IFERROR(VLOOKUP(vcost_lb[[#This Row],[setting]],$A$6:$E$141,4,FALSE)+$K$6+VLOOKUP(vcost_lb[[#This Row],[setting]],$O$6:$AA$141,3,FALSE)+VLOOKUP(vcost_lb[[#This Row],[gbd_super]],$AH$6:$AK$11,3,FALSE),0)</f>
        <v>5.7785839599615541</v>
      </c>
      <c r="S227" s="33">
        <f>IFERROR(VLOOKUP(vcost_lb[[#This Row],[setting]],$A$6:$E$141,4,FALSE)+VLOOKUP(vcost_lb[[#This Row],[setting]],$O$6:$AA$141,6,FALSE),0)</f>
        <v>0.82711586284376815</v>
      </c>
      <c r="T227" s="33">
        <f>IFERROR(VLOOKUP(vcost_lb[[#This Row],[setting]],$A$6:$E$141,4,FALSE)+VLOOKUP(vcost_lb[[#This Row],[setting]],$O$6:$AA$141,6,FALSE)+VLOOKUP(vcost_lb[[#This Row],[gbd_super]],$AH$6:$AK$11,3,FALSE),0)</f>
        <v>5.4143808628437684</v>
      </c>
      <c r="U227" s="33">
        <f>IFERROR(VLOOKUP(vcost_lb[[#This Row],[setting]],$A$6:$E$141,4,FALSE)+VLOOKUP(vcost_lb[[#This Row],[setting]],$O$6:$AA$141,9,FALSE)+VLOOKUP(vcost_lb[[#This Row],[gbd_super]],$AH$6:$AK$11,3,FALSE),0)</f>
        <v>5.4130404659941398</v>
      </c>
      <c r="V227" s="33">
        <f>IFERROR(VLOOKUP(vcost_lb[[#This Row],[setting]],$A$6:$E$141,4,FALSE)+$K$8+VLOOKUP(vcost_lb[[#This Row],[setting]],$O$6:$AA$141,12,FALSE),0)</f>
        <v>1.4020475332476738</v>
      </c>
      <c r="W227" s="33">
        <f>IFERROR(VLOOKUP(vcost_lb[[#This Row],[setting]],$A$6:$E$141,4,FALSE)+$K$8+VLOOKUP(vcost_lb[[#This Row],[setting]],$O$6:$AA$141,12,FALSE)+VLOOKUP(vcost_lb[[#This Row],[gbd_super]],$AH$6:$AK$11,3,FALSE),0)</f>
        <v>5.9893125332476744</v>
      </c>
      <c r="AH227" s="100" t="s">
        <v>146</v>
      </c>
      <c r="AI227" s="134" t="s">
        <v>667</v>
      </c>
      <c r="AJ227" s="33">
        <f>IFERROR(VLOOKUP(vcost_ub[[#This Row],[setting]],$A$6:$E$141,5,FALSE)+$L$6+VLOOKUP(vcost_ub[[#This Row],[setting]],$O$6:$AA$141,4,FALSE),0)</f>
        <v>5.2645603455323071</v>
      </c>
      <c r="AK227" s="33">
        <f>IFERROR(VLOOKUP(vcost_ub[[#This Row],[setting]],$A$6:$E$141,5,FALSE)+$L$6+VLOOKUP(vcost_ub[[#This Row],[setting]],$O$6:$AA$141,4,FALSE)+VLOOKUP(vcost_ub[[#This Row],[gbd_super]],$AH$6:$AK$11,4,FALSE),0)</f>
        <v>10.334695345532307</v>
      </c>
      <c r="AL227" s="33">
        <f>IFERROR(VLOOKUP(vcost_ub[[#This Row],[setting]],$A$6:$E$141,5,FALSE)+VLOOKUP(vcost_ub[[#This Row],[setting]],$O$6:$AA$141,7,FALSE),0)</f>
        <v>4.7710634513750732</v>
      </c>
      <c r="AM227" s="33">
        <f>IFERROR(VLOOKUP(vcost_ub[[#This Row],[setting]],$A$6:$E$141,5,FALSE)+VLOOKUP(vcost_ub[[#This Row],[setting]],$O$6:$AA$141,7,FALSE)+VLOOKUP(vcost_ub[[#This Row],[gbd_super]],$AH$6:$AK$11,4,FALSE),0)</f>
        <v>9.8411984513750745</v>
      </c>
      <c r="AN227" s="33">
        <f>IFERROR(VLOOKUP(vcost_ub[[#This Row],[setting]],$A$6:$E$141,5,FALSE)+VLOOKUP(vcost_ub[[#This Row],[setting]],$O$6:$AA$141,10,FALSE)+VLOOKUP(vcost_ub[[#This Row],[gbd_super]],$AH$6:$AK$11,4,FALSE),0)</f>
        <v>9.8358368639765565</v>
      </c>
      <c r="AO227" s="33">
        <f>IFERROR(VLOOKUP(vcost_ub[[#This Row],[setting]],$A$6:$E$141,5,FALSE)+$L$8+VLOOKUP(vcost_ub[[#This Row],[setting]],$O$6:$AA$141,13,FALSE),0)</f>
        <v>5.5326555577209051</v>
      </c>
      <c r="AP227" s="33">
        <f>IFERROR(VLOOKUP(vcost_ub[[#This Row],[setting]],$A$6:$E$141,5,FALSE)+$L$8+VLOOKUP(vcost_ub[[#This Row],[setting]],$O$6:$AA$141,13,FALSE)+VLOOKUP(vcost_ub[[#This Row],[gbd_super]],$AH$6:$AK$11,4,FALSE),0)</f>
        <v>10.602790557720905</v>
      </c>
    </row>
    <row r="228" spans="1:42" x14ac:dyDescent="0.25">
      <c r="A228" s="103" t="s">
        <v>159</v>
      </c>
      <c r="B228" s="135" t="s">
        <v>579</v>
      </c>
      <c r="C228">
        <f>IFERROR(VLOOKUP(vcost[[#This Row],[setting]],$A$6:$E$141,3,FALSE)+$J$6+VLOOKUP(vcost[[#This Row],[setting]],$O$6:$AA$141,2,FALSE),0)</f>
        <v>6.240826824357339</v>
      </c>
      <c r="D228">
        <f>IFERROR(VLOOKUP(vcost[[#This Row],[setting]],$A$6:$E$141,3,FALSE)+$J$6+VLOOKUP(vcost[[#This Row],[setting]],$O$6:$AA$141,2,FALSE)+VLOOKUP(vcost[[#This Row],[gbd_super]],$AH$6:$AK$11,2,FALSE),0)</f>
        <v>6.7208268243573386</v>
      </c>
      <c r="E228">
        <f>IFERROR(VLOOKUP(vcost[[#This Row],[setting]],$A$6:$E$141,3,FALSE)+VLOOKUP(vcost[[#This Row],[setting]],$O$6:$AA$141,5,FALSE),0)</f>
        <v>5.7992247273016977</v>
      </c>
      <c r="F228" s="33">
        <f>IFERROR(VLOOKUP(vcost[[#This Row],[setting]],$A$6:$E$141,3,FALSE)+VLOOKUP(vcost[[#This Row],[setting]],$O$6:$AA$141,5,FALSE)+VLOOKUP(vcost[[#This Row],[gbd_super]],$AH$6:$AK$11,2,FALSE),0)</f>
        <v>6.2792247273016972</v>
      </c>
      <c r="G228" s="33">
        <f>IFERROR(VLOOKUP(vcost[[#This Row],[setting]],$A$6:$E$141,3,FALSE)+VLOOKUP(vcost[[#This Row],[setting]],$O$6:$AA$141,8,FALSE)+VLOOKUP(vcost[[#This Row],[gbd_super]],$AH$6:$AK$11,2,FALSE),0)</f>
        <v>6.2700187004248953</v>
      </c>
      <c r="H228">
        <f>IFERROR(VLOOKUP(vcost[[#This Row],[setting]],$A$6:$E$141,3,FALSE)+$J$8+VLOOKUP(vcost[[#This Row],[setting]],$O$6:$AA$141,11,FALSE),0)</f>
        <v>6.4882350165541629</v>
      </c>
      <c r="I228" s="33">
        <f>IFERROR(VLOOKUP(vcost[[#This Row],[setting]],$A$6:$E$141,3,FALSE)+$J$8+VLOOKUP(vcost[[#This Row],[setting]],$O$6:$AA$141,11,FALSE)+VLOOKUP(vcost[[#This Row],[gbd_super]],$AH$6:$AK$11,2,FALSE),0)</f>
        <v>6.9682350165541624</v>
      </c>
      <c r="O228" s="103" t="s">
        <v>159</v>
      </c>
      <c r="P228" s="135" t="s">
        <v>579</v>
      </c>
      <c r="Q228" s="33">
        <f>IFERROR(VLOOKUP(vcost_lb[[#This Row],[setting]],$A$6:$E$141,4,FALSE)+$K$6+VLOOKUP(vcost_lb[[#This Row],[setting]],$O$6:$AA$141,3,FALSE),0)</f>
        <v>2.7853246486619399</v>
      </c>
      <c r="R228" s="33">
        <f>IFERROR(VLOOKUP(vcost_lb[[#This Row],[setting]],$A$6:$E$141,4,FALSE)+$K$6+VLOOKUP(vcost_lb[[#This Row],[setting]],$O$6:$AA$141,3,FALSE)+VLOOKUP(vcost_lb[[#This Row],[gbd_super]],$AH$6:$AK$11,3,FALSE),0)</f>
        <v>3.24094464866194</v>
      </c>
      <c r="S228" s="33">
        <f>IFERROR(VLOOKUP(vcost_lb[[#This Row],[setting]],$A$6:$E$141,4,FALSE)+VLOOKUP(vcost_lb[[#This Row],[setting]],$O$6:$AA$141,6,FALSE),0)</f>
        <v>2.4136662679616427</v>
      </c>
      <c r="T228" s="33">
        <f>IFERROR(VLOOKUP(vcost_lb[[#This Row],[setting]],$A$6:$E$141,4,FALSE)+VLOOKUP(vcost_lb[[#This Row],[setting]],$O$6:$AA$141,6,FALSE)+VLOOKUP(vcost_lb[[#This Row],[gbd_super]],$AH$6:$AK$11,3,FALSE),0)</f>
        <v>2.8692862679616429</v>
      </c>
      <c r="U228" s="33">
        <f>IFERROR(VLOOKUP(vcost_lb[[#This Row],[setting]],$A$6:$E$141,4,FALSE)+VLOOKUP(vcost_lb[[#This Row],[setting]],$O$6:$AA$141,9,FALSE)+VLOOKUP(vcost_lb[[#This Row],[gbd_super]],$AH$6:$AK$11,3,FALSE),0)</f>
        <v>2.8632296713321677</v>
      </c>
      <c r="V228" s="33">
        <f>IFERROR(VLOOKUP(vcost_lb[[#This Row],[setting]],$A$6:$E$141,4,FALSE)+$K$8+VLOOKUP(vcost_lb[[#This Row],[setting]],$O$6:$AA$141,12,FALSE),0)</f>
        <v>2.9992483434834227</v>
      </c>
      <c r="W228" s="33">
        <f>IFERROR(VLOOKUP(vcost_lb[[#This Row],[setting]],$A$6:$E$141,4,FALSE)+$K$8+VLOOKUP(vcost_lb[[#This Row],[setting]],$O$6:$AA$141,12,FALSE)+VLOOKUP(vcost_lb[[#This Row],[gbd_super]],$AH$6:$AK$11,3,FALSE),0)</f>
        <v>3.4548683434834229</v>
      </c>
      <c r="AH228" s="103" t="s">
        <v>159</v>
      </c>
      <c r="AI228" s="135" t="s">
        <v>579</v>
      </c>
      <c r="AJ228" s="33">
        <f>IFERROR(VLOOKUP(vcost_ub[[#This Row],[setting]],$A$6:$E$141,5,FALSE)+$L$6+VLOOKUP(vcost_ub[[#This Row],[setting]],$O$6:$AA$141,4,FALSE),0)</f>
        <v>12.438582286688074</v>
      </c>
      <c r="AK228" s="33">
        <f>IFERROR(VLOOKUP(vcost_ub[[#This Row],[setting]],$A$6:$E$141,5,FALSE)+$L$6+VLOOKUP(vcost_ub[[#This Row],[setting]],$O$6:$AA$141,4,FALSE)+VLOOKUP(vcost_ub[[#This Row],[gbd_super]],$AH$6:$AK$11,4,FALSE),0)</f>
        <v>12.942162286688074</v>
      </c>
      <c r="AL228" s="33">
        <f>IFERROR(VLOOKUP(vcost_ub[[#This Row],[setting]],$A$6:$E$141,5,FALSE)+VLOOKUP(vcost_ub[[#This Row],[setting]],$O$6:$AA$141,7,FALSE),0)</f>
        <v>11.91036507184657</v>
      </c>
      <c r="AM228" s="33">
        <f>IFERROR(VLOOKUP(vcost_ub[[#This Row],[setting]],$A$6:$E$141,5,FALSE)+VLOOKUP(vcost_ub[[#This Row],[setting]],$O$6:$AA$141,7,FALSE)+VLOOKUP(vcost_ub[[#This Row],[gbd_super]],$AH$6:$AK$11,4,FALSE),0)</f>
        <v>12.41394507184657</v>
      </c>
      <c r="AN228" s="33">
        <f>IFERROR(VLOOKUP(vcost_ub[[#This Row],[setting]],$A$6:$E$141,5,FALSE)+VLOOKUP(vcost_ub[[#This Row],[setting]],$O$6:$AA$141,10,FALSE)+VLOOKUP(vcost_ub[[#This Row],[gbd_super]],$AH$6:$AK$11,4,FALSE),0)</f>
        <v>12.389718685328669</v>
      </c>
      <c r="AO228" s="33">
        <f>IFERROR(VLOOKUP(vcost_ub[[#This Row],[setting]],$A$6:$E$141,5,FALSE)+$L$8+VLOOKUP(vcost_ub[[#This Row],[setting]],$O$6:$AA$141,13,FALSE),0)</f>
        <v>12.714558798663901</v>
      </c>
      <c r="AP228" s="33">
        <f>IFERROR(VLOOKUP(vcost_ub[[#This Row],[setting]],$A$6:$E$141,5,FALSE)+$L$8+VLOOKUP(vcost_ub[[#This Row],[setting]],$O$6:$AA$141,13,FALSE)+VLOOKUP(vcost_ub[[#This Row],[gbd_super]],$AH$6:$AK$11,4,FALSE),0)</f>
        <v>13.218138798663901</v>
      </c>
    </row>
    <row r="229" spans="1:42" x14ac:dyDescent="0.25">
      <c r="A229" s="100" t="s">
        <v>107</v>
      </c>
      <c r="B229" s="134" t="s">
        <v>667</v>
      </c>
      <c r="C229">
        <f>IFERROR(VLOOKUP(vcost[[#This Row],[setting]],$A$6:$E$141,3,FALSE)+$J$6+VLOOKUP(vcost[[#This Row],[setting]],$O$6:$AA$141,2,FALSE),0)</f>
        <v>1.4779117693499806</v>
      </c>
      <c r="D229">
        <f>IFERROR(VLOOKUP(vcost[[#This Row],[setting]],$A$6:$E$141,3,FALSE)+$J$6+VLOOKUP(vcost[[#This Row],[setting]],$O$6:$AA$141,2,FALSE)+VLOOKUP(vcost[[#This Row],[gbd_super]],$AH$6:$AK$11,2,FALSE),0)</f>
        <v>6.3079117693499809</v>
      </c>
      <c r="E229">
        <f>IFERROR(VLOOKUP(vcost[[#This Row],[setting]],$A$6:$E$141,3,FALSE)+VLOOKUP(vcost[[#This Row],[setting]],$O$6:$AA$141,5,FALSE),0)</f>
        <v>1.0550040842118251</v>
      </c>
      <c r="F229" s="33">
        <f>IFERROR(VLOOKUP(vcost[[#This Row],[setting]],$A$6:$E$141,3,FALSE)+VLOOKUP(vcost[[#This Row],[setting]],$O$6:$AA$141,5,FALSE)+VLOOKUP(vcost[[#This Row],[gbd_super]],$AH$6:$AK$11,2,FALSE),0)</f>
        <v>5.8850040842118254</v>
      </c>
      <c r="G229" s="33">
        <f>IFERROR(VLOOKUP(vcost[[#This Row],[setting]],$A$6:$E$141,3,FALSE)+VLOOKUP(vcost[[#This Row],[setting]],$O$6:$AA$141,8,FALSE)+VLOOKUP(vcost[[#This Row],[gbd_super]],$AH$6:$AK$11,2,FALSE),0)</f>
        <v>5.8828711198908392</v>
      </c>
      <c r="H229">
        <f>IFERROR(VLOOKUP(vcost[[#This Row],[setting]],$A$6:$E$141,3,FALSE)+$J$8+VLOOKUP(vcost[[#This Row],[setting]],$O$6:$AA$141,11,FALSE),0)</f>
        <v>1.7185812781811993</v>
      </c>
      <c r="I229" s="33">
        <f>IFERROR(VLOOKUP(vcost[[#This Row],[setting]],$A$6:$E$141,3,FALSE)+$J$8+VLOOKUP(vcost[[#This Row],[setting]],$O$6:$AA$141,11,FALSE)+VLOOKUP(vcost[[#This Row],[gbd_super]],$AH$6:$AK$11,2,FALSE),0)</f>
        <v>6.5485812781811994</v>
      </c>
      <c r="O229" s="100" t="s">
        <v>107</v>
      </c>
      <c r="P229" s="134" t="s">
        <v>667</v>
      </c>
      <c r="Q229" s="33">
        <f>IFERROR(VLOOKUP(vcost_lb[[#This Row],[setting]],$A$6:$E$141,4,FALSE)+$K$6+VLOOKUP(vcost_lb[[#This Row],[setting]],$O$6:$AA$141,3,FALSE),0)</f>
        <v>0.6965476136272154</v>
      </c>
      <c r="R229" s="33">
        <f>IFERROR(VLOOKUP(vcost_lb[[#This Row],[setting]],$A$6:$E$141,4,FALSE)+$K$6+VLOOKUP(vcost_lb[[#This Row],[setting]],$O$6:$AA$141,3,FALSE)+VLOOKUP(vcost_lb[[#This Row],[gbd_super]],$AH$6:$AK$11,3,FALSE),0)</f>
        <v>5.2838126136272159</v>
      </c>
      <c r="S229" s="33">
        <f>IFERROR(VLOOKUP(vcost_lb[[#This Row],[setting]],$A$6:$E$141,4,FALSE)+VLOOKUP(vcost_lb[[#This Row],[setting]],$O$6:$AA$141,6,FALSE),0)</f>
        <v>0.33249742382356923</v>
      </c>
      <c r="T229" s="33">
        <f>IFERROR(VLOOKUP(vcost_lb[[#This Row],[setting]],$A$6:$E$141,4,FALSE)+VLOOKUP(vcost_lb[[#This Row],[setting]],$O$6:$AA$141,6,FALSE)+VLOOKUP(vcost_lb[[#This Row],[gbd_super]],$AH$6:$AK$11,3,FALSE),0)</f>
        <v>4.9197624238235695</v>
      </c>
      <c r="U229" s="33">
        <f>IFERROR(VLOOKUP(vcost_lb[[#This Row],[setting]],$A$6:$E$141,4,FALSE)+VLOOKUP(vcost_lb[[#This Row],[setting]],$O$6:$AA$141,9,FALSE)+VLOOKUP(vcost_lb[[#This Row],[gbd_super]],$AH$6:$AK$11,3,FALSE),0)</f>
        <v>4.9183591578229207</v>
      </c>
      <c r="V229" s="33">
        <f>IFERROR(VLOOKUP(vcost_lb[[#This Row],[setting]],$A$6:$E$141,4,FALSE)+$K$8+VLOOKUP(vcost_lb[[#This Row],[setting]],$O$6:$AA$141,12,FALSE),0)</f>
        <v>0.90721065520727595</v>
      </c>
      <c r="W229" s="33">
        <f>IFERROR(VLOOKUP(vcost_lb[[#This Row],[setting]],$A$6:$E$141,4,FALSE)+$K$8+VLOOKUP(vcost_lb[[#This Row],[setting]],$O$6:$AA$141,12,FALSE)+VLOOKUP(vcost_lb[[#This Row],[gbd_super]],$AH$6:$AK$11,3,FALSE),0)</f>
        <v>5.4944756552072764</v>
      </c>
      <c r="AH229" s="100" t="s">
        <v>107</v>
      </c>
      <c r="AI229" s="134" t="s">
        <v>667</v>
      </c>
      <c r="AJ229" s="33">
        <f>IFERROR(VLOOKUP(vcost_ub[[#This Row],[setting]],$A$6:$E$141,5,FALSE)+$L$6+VLOOKUP(vcost_ub[[#This Row],[setting]],$O$6:$AA$141,4,FALSE),0)</f>
        <v>3.0690744782456623</v>
      </c>
      <c r="AK229" s="33">
        <f>IFERROR(VLOOKUP(vcost_ub[[#This Row],[setting]],$A$6:$E$141,5,FALSE)+$L$6+VLOOKUP(vcost_ub[[#This Row],[setting]],$O$6:$AA$141,4,FALSE)+VLOOKUP(vcost_ub[[#This Row],[gbd_super]],$AH$6:$AK$11,4,FALSE),0)</f>
        <v>8.1392094782456628</v>
      </c>
      <c r="AL229" s="33">
        <f>IFERROR(VLOOKUP(vcost_ub[[#This Row],[setting]],$A$6:$E$141,5,FALSE)+VLOOKUP(vcost_ub[[#This Row],[setting]],$O$6:$AA$141,7,FALSE),0)</f>
        <v>2.5762896952942769</v>
      </c>
      <c r="AM229" s="33">
        <f>IFERROR(VLOOKUP(vcost_ub[[#This Row],[setting]],$A$6:$E$141,5,FALSE)+VLOOKUP(vcost_ub[[#This Row],[setting]],$O$6:$AA$141,7,FALSE)+VLOOKUP(vcost_ub[[#This Row],[gbd_super]],$AH$6:$AK$11,4,FALSE),0)</f>
        <v>7.6464246952942769</v>
      </c>
      <c r="AN229" s="33">
        <f>IFERROR(VLOOKUP(vcost_ub[[#This Row],[setting]],$A$6:$E$141,5,FALSE)+VLOOKUP(vcost_ub[[#This Row],[setting]],$O$6:$AA$141,10,FALSE)+VLOOKUP(vcost_ub[[#This Row],[gbd_super]],$AH$6:$AK$11,4,FALSE),0)</f>
        <v>7.6408116312916832</v>
      </c>
      <c r="AO229" s="33">
        <f>IFERROR(VLOOKUP(vcost_ub[[#This Row],[setting]],$A$6:$E$141,5,FALSE)+$L$8+VLOOKUP(vcost_ub[[#This Row],[setting]],$O$6:$AA$141,13,FALSE),0)</f>
        <v>3.3370080455593141</v>
      </c>
      <c r="AP229" s="33">
        <f>IFERROR(VLOOKUP(vcost_ub[[#This Row],[setting]],$A$6:$E$141,5,FALSE)+$L$8+VLOOKUP(vcost_ub[[#This Row],[setting]],$O$6:$AA$141,13,FALSE)+VLOOKUP(vcost_ub[[#This Row],[gbd_super]],$AH$6:$AK$11,4,FALSE),0)</f>
        <v>8.4071430455593141</v>
      </c>
    </row>
    <row r="230" spans="1:42" x14ac:dyDescent="0.25">
      <c r="A230" s="103" t="s">
        <v>108</v>
      </c>
      <c r="B230" s="135" t="s">
        <v>667</v>
      </c>
      <c r="C230">
        <f>IFERROR(VLOOKUP(vcost[[#This Row],[setting]],$A$6:$E$141,3,FALSE)+$J$6+VLOOKUP(vcost[[#This Row],[setting]],$O$6:$AA$141,2,FALSE),0)</f>
        <v>2.3507181232818537</v>
      </c>
      <c r="D230">
        <f>IFERROR(VLOOKUP(vcost[[#This Row],[setting]],$A$6:$E$141,3,FALSE)+$J$6+VLOOKUP(vcost[[#This Row],[setting]],$O$6:$AA$141,2,FALSE)+VLOOKUP(vcost[[#This Row],[gbd_super]],$AH$6:$AK$11,2,FALSE),0)</f>
        <v>7.1807181232818538</v>
      </c>
      <c r="E230">
        <f>IFERROR(VLOOKUP(vcost[[#This Row],[setting]],$A$6:$E$141,3,FALSE)+VLOOKUP(vcost[[#This Row],[setting]],$O$6:$AA$141,5,FALSE),0)</f>
        <v>1.9292403984020867</v>
      </c>
      <c r="F230" s="33">
        <f>IFERROR(VLOOKUP(vcost[[#This Row],[setting]],$A$6:$E$141,3,FALSE)+VLOOKUP(vcost[[#This Row],[setting]],$O$6:$AA$141,5,FALSE)+VLOOKUP(vcost[[#This Row],[gbd_super]],$AH$6:$AK$11,2,FALSE),0)</f>
        <v>6.7592403984020866</v>
      </c>
      <c r="G230" s="33">
        <f>IFERROR(VLOOKUP(vcost[[#This Row],[setting]],$A$6:$E$141,3,FALSE)+VLOOKUP(vcost[[#This Row],[setting]],$O$6:$AA$141,8,FALSE)+VLOOKUP(vcost[[#This Row],[gbd_super]],$AH$6:$AK$11,2,FALSE),0)</f>
        <v>6.757885933921715</v>
      </c>
      <c r="H230">
        <f>IFERROR(VLOOKUP(vcost[[#This Row],[setting]],$A$6:$E$141,3,FALSE)+$J$8+VLOOKUP(vcost[[#This Row],[setting]],$O$6:$AA$141,11,FALSE),0)</f>
        <v>2.5908721813222582</v>
      </c>
      <c r="I230" s="33">
        <f>IFERROR(VLOOKUP(vcost[[#This Row],[setting]],$A$6:$E$141,3,FALSE)+$J$8+VLOOKUP(vcost[[#This Row],[setting]],$O$6:$AA$141,11,FALSE)+VLOOKUP(vcost[[#This Row],[gbd_super]],$AH$6:$AK$11,2,FALSE),0)</f>
        <v>7.4208721813222578</v>
      </c>
      <c r="O230" s="103" t="s">
        <v>108</v>
      </c>
      <c r="P230" s="135" t="s">
        <v>667</v>
      </c>
      <c r="Q230" s="33">
        <f>IFERROR(VLOOKUP(vcost_lb[[#This Row],[setting]],$A$6:$E$141,4,FALSE)+$K$6+VLOOKUP(vcost_lb[[#This Row],[setting]],$O$6:$AA$141,3,FALSE),0)</f>
        <v>0.90113428081369218</v>
      </c>
      <c r="R230" s="33">
        <f>IFERROR(VLOOKUP(vcost_lb[[#This Row],[setting]],$A$6:$E$141,4,FALSE)+$K$6+VLOOKUP(vcost_lb[[#This Row],[setting]],$O$6:$AA$141,3,FALSE)+VLOOKUP(vcost_lb[[#This Row],[gbd_super]],$AH$6:$AK$11,3,FALSE),0)</f>
        <v>5.4883992808136925</v>
      </c>
      <c r="S230" s="33">
        <f>IFERROR(VLOOKUP(vcost_lb[[#This Row],[setting]],$A$6:$E$141,4,FALSE)+VLOOKUP(vcost_lb[[#This Row],[setting]],$O$6:$AA$141,6,FALSE),0)</f>
        <v>0.53766605158032021</v>
      </c>
      <c r="T230" s="33">
        <f>IFERROR(VLOOKUP(vcost_lb[[#This Row],[setting]],$A$6:$E$141,4,FALSE)+VLOOKUP(vcost_lb[[#This Row],[setting]],$O$6:$AA$141,6,FALSE)+VLOOKUP(vcost_lb[[#This Row],[gbd_super]],$AH$6:$AK$11,3,FALSE),0)</f>
        <v>5.1249310515803206</v>
      </c>
      <c r="U230" s="33">
        <f>IFERROR(VLOOKUP(vcost_lb[[#This Row],[setting]],$A$6:$E$141,4,FALSE)+VLOOKUP(vcost_lb[[#This Row],[setting]],$O$6:$AA$141,9,FALSE)+VLOOKUP(vcost_lb[[#This Row],[gbd_super]],$AH$6:$AK$11,3,FALSE),0)</f>
        <v>5.1240399565274446</v>
      </c>
      <c r="V230" s="33">
        <f>IFERROR(VLOOKUP(vcost_lb[[#This Row],[setting]],$A$6:$E$141,4,FALSE)+$K$8+VLOOKUP(vcost_lb[[#This Row],[setting]],$O$6:$AA$141,12,FALSE),0)</f>
        <v>1.1115479107207777</v>
      </c>
      <c r="W230" s="33">
        <f>IFERROR(VLOOKUP(vcost_lb[[#This Row],[setting]],$A$6:$E$141,4,FALSE)+$K$8+VLOOKUP(vcost_lb[[#This Row],[setting]],$O$6:$AA$141,12,FALSE)+VLOOKUP(vcost_lb[[#This Row],[gbd_super]],$AH$6:$AK$11,3,FALSE),0)</f>
        <v>5.6988129107207781</v>
      </c>
      <c r="AH230" s="103" t="s">
        <v>108</v>
      </c>
      <c r="AI230" s="135" t="s">
        <v>667</v>
      </c>
      <c r="AJ230" s="33">
        <f>IFERROR(VLOOKUP(vcost_ub[[#This Row],[setting]],$A$6:$E$141,5,FALSE)+$L$6+VLOOKUP(vcost_ub[[#This Row],[setting]],$O$6:$AA$141,4,FALSE),0)</f>
        <v>5.6277387157596745</v>
      </c>
      <c r="AK230" s="33">
        <f>IFERROR(VLOOKUP(vcost_ub[[#This Row],[setting]],$A$6:$E$141,5,FALSE)+$L$6+VLOOKUP(vcost_ub[[#This Row],[setting]],$O$6:$AA$141,4,FALSE)+VLOOKUP(vcost_ub[[#This Row],[gbd_super]],$AH$6:$AK$11,4,FALSE),0)</f>
        <v>10.697873715759675</v>
      </c>
      <c r="AL230" s="33">
        <f>IFERROR(VLOOKUP(vcost_ub[[#This Row],[setting]],$A$6:$E$141,5,FALSE)+VLOOKUP(vcost_ub[[#This Row],[setting]],$O$6:$AA$141,7,FALSE),0)</f>
        <v>5.137664206321281</v>
      </c>
      <c r="AM230" s="33">
        <f>IFERROR(VLOOKUP(vcost_ub[[#This Row],[setting]],$A$6:$E$141,5,FALSE)+VLOOKUP(vcost_ub[[#This Row],[setting]],$O$6:$AA$141,7,FALSE)+VLOOKUP(vcost_ub[[#This Row],[gbd_super]],$AH$6:$AK$11,4,FALSE),0)</f>
        <v>10.207799206321281</v>
      </c>
      <c r="AN230" s="33">
        <f>IFERROR(VLOOKUP(vcost_ub[[#This Row],[setting]],$A$6:$E$141,5,FALSE)+VLOOKUP(vcost_ub[[#This Row],[setting]],$O$6:$AA$141,10,FALSE)+VLOOKUP(vcost_ub[[#This Row],[gbd_super]],$AH$6:$AK$11,4,FALSE),0)</f>
        <v>10.204234826109776</v>
      </c>
      <c r="AO230" s="33">
        <f>IFERROR(VLOOKUP(vcost_ub[[#This Row],[setting]],$A$6:$E$141,5,FALSE)+$L$8+VLOOKUP(vcost_ub[[#This Row],[setting]],$O$6:$AA$141,13,FALSE),0)</f>
        <v>5.8950570676133216</v>
      </c>
      <c r="AP230" s="33">
        <f>IFERROR(VLOOKUP(vcost_ub[[#This Row],[setting]],$A$6:$E$141,5,FALSE)+$L$8+VLOOKUP(vcost_ub[[#This Row],[setting]],$O$6:$AA$141,13,FALSE)+VLOOKUP(vcost_ub[[#This Row],[gbd_super]],$AH$6:$AK$11,4,FALSE),0)</f>
        <v>10.965192067613323</v>
      </c>
    </row>
    <row r="231" spans="1:42" x14ac:dyDescent="0.25">
      <c r="A231" s="100" t="s">
        <v>215</v>
      </c>
      <c r="B231" s="134" t="s">
        <v>666</v>
      </c>
      <c r="C231">
        <f>IFERROR(VLOOKUP(vcost[[#This Row],[setting]],$A$6:$E$141,3,FALSE)+$J$6+VLOOKUP(vcost[[#This Row],[setting]],$O$6:$AA$141,2,FALSE),0)</f>
        <v>5.5526818063699945</v>
      </c>
      <c r="D231">
        <f>IFERROR(VLOOKUP(vcost[[#This Row],[setting]],$A$6:$E$141,3,FALSE)+$J$6+VLOOKUP(vcost[[#This Row],[setting]],$O$6:$AA$141,2,FALSE)+VLOOKUP(vcost[[#This Row],[gbd_super]],$AH$6:$AK$11,2,FALSE),0)</f>
        <v>6.1826818063699944</v>
      </c>
      <c r="E231">
        <f>IFERROR(VLOOKUP(vcost[[#This Row],[setting]],$A$6:$E$141,3,FALSE)+VLOOKUP(vcost[[#This Row],[setting]],$O$6:$AA$141,5,FALSE),0)</f>
        <v>5.0991060768878809</v>
      </c>
      <c r="F231" s="33">
        <f>IFERROR(VLOOKUP(vcost[[#This Row],[setting]],$A$6:$E$141,3,FALSE)+VLOOKUP(vcost[[#This Row],[setting]],$O$6:$AA$141,5,FALSE)+VLOOKUP(vcost[[#This Row],[gbd_super]],$AH$6:$AK$11,2,FALSE),0)</f>
        <v>5.7291060768878808</v>
      </c>
      <c r="G231" s="33">
        <f>IFERROR(VLOOKUP(vcost[[#This Row],[setting]],$A$6:$E$141,3,FALSE)+VLOOKUP(vcost[[#This Row],[setting]],$O$6:$AA$141,8,FALSE)+VLOOKUP(vcost[[#This Row],[gbd_super]],$AH$6:$AK$11,2,FALSE),0)</f>
        <v>5.7150031427358057</v>
      </c>
      <c r="H231">
        <f>IFERROR(VLOOKUP(vcost[[#This Row],[setting]],$A$6:$E$141,3,FALSE)+$J$8+VLOOKUP(vcost[[#This Row],[setting]],$O$6:$AA$141,11,FALSE),0)</f>
        <v>5.8044060753717099</v>
      </c>
      <c r="I231" s="33">
        <f>IFERROR(VLOOKUP(vcost[[#This Row],[setting]],$A$6:$E$141,3,FALSE)+$J$8+VLOOKUP(vcost[[#This Row],[setting]],$O$6:$AA$141,11,FALSE)+VLOOKUP(vcost[[#This Row],[gbd_super]],$AH$6:$AK$11,2,FALSE),0)</f>
        <v>6.4344060753717098</v>
      </c>
      <c r="O231" s="100" t="s">
        <v>215</v>
      </c>
      <c r="P231" s="134" t="s">
        <v>666</v>
      </c>
      <c r="Q231" s="33">
        <f>IFERROR(VLOOKUP(vcost_lb[[#This Row],[setting]],$A$6:$E$141,4,FALSE)+$K$6+VLOOKUP(vcost_lb[[#This Row],[setting]],$O$6:$AA$141,3,FALSE),0)</f>
        <v>2.148259052804383</v>
      </c>
      <c r="R231" s="33">
        <f>IFERROR(VLOOKUP(vcost_lb[[#This Row],[setting]],$A$6:$E$141,4,FALSE)+$K$6+VLOOKUP(vcost_lb[[#This Row],[setting]],$O$6:$AA$141,3,FALSE)+VLOOKUP(vcost_lb[[#This Row],[gbd_super]],$AH$6:$AK$11,3,FALSE),0)</f>
        <v>2.748849052804383</v>
      </c>
      <c r="S231" s="33">
        <f>IFERROR(VLOOKUP(vcost_lb[[#This Row],[setting]],$A$6:$E$141,4,FALSE)+VLOOKUP(vcost_lb[[#This Row],[setting]],$O$6:$AA$141,6,FALSE),0)</f>
        <v>1.7717276821630796</v>
      </c>
      <c r="T231" s="33">
        <f>IFERROR(VLOOKUP(vcost_lb[[#This Row],[setting]],$A$6:$E$141,4,FALSE)+VLOOKUP(vcost_lb[[#This Row],[setting]],$O$6:$AA$141,6,FALSE)+VLOOKUP(vcost_lb[[#This Row],[gbd_super]],$AH$6:$AK$11,3,FALSE),0)</f>
        <v>2.3723176821630796</v>
      </c>
      <c r="U231" s="33">
        <f>IFERROR(VLOOKUP(vcost_lb[[#This Row],[setting]],$A$6:$E$141,4,FALSE)+VLOOKUP(vcost_lb[[#This Row],[setting]],$O$6:$AA$141,9,FALSE)+VLOOKUP(vcost_lb[[#This Row],[gbd_super]],$AH$6:$AK$11,3,FALSE),0)</f>
        <v>2.363039436010399</v>
      </c>
      <c r="V231" s="33">
        <f>IFERROR(VLOOKUP(vcost_lb[[#This Row],[setting]],$A$6:$E$141,4,FALSE)+$K$8+VLOOKUP(vcost_lb[[#This Row],[setting]],$O$6:$AA$141,12,FALSE),0)</f>
        <v>2.3642711718862968</v>
      </c>
      <c r="W231" s="33">
        <f>IFERROR(VLOOKUP(vcost_lb[[#This Row],[setting]],$A$6:$E$141,4,FALSE)+$K$8+VLOOKUP(vcost_lb[[#This Row],[setting]],$O$6:$AA$141,12,FALSE)+VLOOKUP(vcost_lb[[#This Row],[gbd_super]],$AH$6:$AK$11,3,FALSE),0)</f>
        <v>2.9648611718862967</v>
      </c>
      <c r="AH231" s="100" t="s">
        <v>215</v>
      </c>
      <c r="AI231" s="134" t="s">
        <v>666</v>
      </c>
      <c r="AJ231" s="33">
        <f>IFERROR(VLOOKUP(vcost_ub[[#This Row],[setting]],$A$6:$E$141,5,FALSE)+$L$6+VLOOKUP(vcost_ub[[#This Row],[setting]],$O$6:$AA$141,4,FALSE),0)</f>
        <v>12.211022153790509</v>
      </c>
      <c r="AK231" s="33">
        <f>IFERROR(VLOOKUP(vcost_ub[[#This Row],[setting]],$A$6:$E$141,5,FALSE)+$L$6+VLOOKUP(vcost_ub[[#This Row],[setting]],$O$6:$AA$141,4,FALSE)+VLOOKUP(vcost_ub[[#This Row],[gbd_super]],$AH$6:$AK$11,4,FALSE),0)</f>
        <v>12.874832153790509</v>
      </c>
      <c r="AL231" s="33">
        <f>IFERROR(VLOOKUP(vcost_ub[[#This Row],[setting]],$A$6:$E$141,5,FALSE)+VLOOKUP(vcost_ub[[#This Row],[setting]],$O$6:$AA$141,7,FALSE),0)</f>
        <v>11.66011072865232</v>
      </c>
      <c r="AM231" s="33">
        <f>IFERROR(VLOOKUP(vcost_ub[[#This Row],[setting]],$A$6:$E$141,5,FALSE)+VLOOKUP(vcost_ub[[#This Row],[setting]],$O$6:$AA$141,7,FALSE)+VLOOKUP(vcost_ub[[#This Row],[gbd_super]],$AH$6:$AK$11,4,FALSE),0)</f>
        <v>12.32392072865232</v>
      </c>
      <c r="AN231" s="33">
        <f>IFERROR(VLOOKUP(vcost_ub[[#This Row],[setting]],$A$6:$E$141,5,FALSE)+VLOOKUP(vcost_ub[[#This Row],[setting]],$O$6:$AA$141,10,FALSE)+VLOOKUP(vcost_ub[[#This Row],[gbd_super]],$AH$6:$AK$11,4,FALSE),0)</f>
        <v>12.286807744041598</v>
      </c>
      <c r="AO231" s="33">
        <f>IFERROR(VLOOKUP(vcost_ub[[#This Row],[setting]],$A$6:$E$141,5,FALSE)+$L$8+VLOOKUP(vcost_ub[[#This Row],[setting]],$O$6:$AA$141,13,FALSE),0)</f>
        <v>12.4921501122754</v>
      </c>
      <c r="AP231" s="33">
        <f>IFERROR(VLOOKUP(vcost_ub[[#This Row],[setting]],$A$6:$E$141,5,FALSE)+$L$8+VLOOKUP(vcost_ub[[#This Row],[setting]],$O$6:$AA$141,13,FALSE)+VLOOKUP(vcost_ub[[#This Row],[gbd_super]],$AH$6:$AK$11,4,FALSE),0)</f>
        <v>13.1559601122754</v>
      </c>
    </row>
    <row r="232" spans="1:42" x14ac:dyDescent="0.25">
      <c r="A232" s="103" t="s">
        <v>196</v>
      </c>
      <c r="B232" s="135" t="s">
        <v>666</v>
      </c>
      <c r="C232">
        <f>IFERROR(VLOOKUP(vcost[[#This Row],[setting]],$A$6:$E$141,3,FALSE)+$J$6+VLOOKUP(vcost[[#This Row],[setting]],$O$6:$AA$141,2,FALSE),0)</f>
        <v>12.491684540530652</v>
      </c>
      <c r="D232">
        <f>IFERROR(VLOOKUP(vcost[[#This Row],[setting]],$A$6:$E$141,3,FALSE)+$J$6+VLOOKUP(vcost[[#This Row],[setting]],$O$6:$AA$141,2,FALSE)+VLOOKUP(vcost[[#This Row],[gbd_super]],$AH$6:$AK$11,2,FALSE),0)</f>
        <v>13.121684540530653</v>
      </c>
      <c r="E232">
        <f>IFERROR(VLOOKUP(vcost[[#This Row],[setting]],$A$6:$E$141,3,FALSE)+VLOOKUP(vcost[[#This Row],[setting]],$O$6:$AA$141,5,FALSE),0)</f>
        <v>12.039806125012634</v>
      </c>
      <c r="F232" s="33">
        <f>IFERROR(VLOOKUP(vcost[[#This Row],[setting]],$A$6:$E$141,3,FALSE)+VLOOKUP(vcost[[#This Row],[setting]],$O$6:$AA$141,5,FALSE)+VLOOKUP(vcost[[#This Row],[gbd_super]],$AH$6:$AK$11,2,FALSE),0)</f>
        <v>12.669806125012634</v>
      </c>
      <c r="G232" s="33">
        <f>IFERROR(VLOOKUP(vcost[[#This Row],[setting]],$A$6:$E$141,3,FALSE)+VLOOKUP(vcost[[#This Row],[setting]],$O$6:$AA$141,8,FALSE)+VLOOKUP(vcost[[#This Row],[gbd_super]],$AH$6:$AK$11,2,FALSE),0)</f>
        <v>12.656002153150329</v>
      </c>
      <c r="H232">
        <f>IFERROR(VLOOKUP(vcost[[#This Row],[setting]],$A$6:$E$141,3,FALSE)+$J$8+VLOOKUP(vcost[[#This Row],[setting]],$O$6:$AA$141,11,FALSE),0)</f>
        <v>12.742796987056938</v>
      </c>
      <c r="I232" s="33">
        <f>IFERROR(VLOOKUP(vcost[[#This Row],[setting]],$A$6:$E$141,3,FALSE)+$J$8+VLOOKUP(vcost[[#This Row],[setting]],$O$6:$AA$141,11,FALSE)+VLOOKUP(vcost[[#This Row],[gbd_super]],$AH$6:$AK$11,2,FALSE),0)</f>
        <v>13.372796987056939</v>
      </c>
      <c r="O232" s="103" t="s">
        <v>196</v>
      </c>
      <c r="P232" s="135" t="s">
        <v>666</v>
      </c>
      <c r="Q232" s="33">
        <f>IFERROR(VLOOKUP(vcost_lb[[#This Row],[setting]],$A$6:$E$141,4,FALSE)+$K$6+VLOOKUP(vcost_lb[[#This Row],[setting]],$O$6:$AA$141,3,FALSE),0)</f>
        <v>5.2674814750491734</v>
      </c>
      <c r="R232" s="33">
        <f>IFERROR(VLOOKUP(vcost_lb[[#This Row],[setting]],$A$6:$E$141,4,FALSE)+$K$6+VLOOKUP(vcost_lb[[#This Row],[setting]],$O$6:$AA$141,3,FALSE)+VLOOKUP(vcost_lb[[#This Row],[gbd_super]],$AH$6:$AK$11,3,FALSE),0)</f>
        <v>5.8680714750491738</v>
      </c>
      <c r="S232" s="33">
        <f>IFERROR(VLOOKUP(vcost_lb[[#This Row],[setting]],$A$6:$E$141,4,FALSE)+VLOOKUP(vcost_lb[[#This Row],[setting]],$O$6:$AA$141,6,FALSE),0)</f>
        <v>4.8916408717188391</v>
      </c>
      <c r="T232" s="33">
        <f>IFERROR(VLOOKUP(vcost_lb[[#This Row],[setting]],$A$6:$E$141,4,FALSE)+VLOOKUP(vcost_lb[[#This Row],[setting]],$O$6:$AA$141,6,FALSE)+VLOOKUP(vcost_lb[[#This Row],[gbd_super]],$AH$6:$AK$11,3,FALSE),0)</f>
        <v>5.4922308717188386</v>
      </c>
      <c r="U232" s="33">
        <f>IFERROR(VLOOKUP(vcost_lb[[#This Row],[setting]],$A$6:$E$141,4,FALSE)+VLOOKUP(vcost_lb[[#This Row],[setting]],$O$6:$AA$141,9,FALSE)+VLOOKUP(vcost_lb[[#This Row],[gbd_super]],$AH$6:$AK$11,3,FALSE),0)</f>
        <v>5.4831493112831104</v>
      </c>
      <c r="V232" s="33">
        <f>IFERROR(VLOOKUP(vcost_lb[[#This Row],[setting]],$A$6:$E$141,4,FALSE)+$K$8+VLOOKUP(vcost_lb[[#This Row],[setting]],$O$6:$AA$141,12,FALSE),0)</f>
        <v>5.483197550997815</v>
      </c>
      <c r="W232" s="33">
        <f>IFERROR(VLOOKUP(vcost_lb[[#This Row],[setting]],$A$6:$E$141,4,FALSE)+$K$8+VLOOKUP(vcost_lb[[#This Row],[setting]],$O$6:$AA$141,12,FALSE)+VLOOKUP(vcost_lb[[#This Row],[gbd_super]],$AH$6:$AK$11,3,FALSE),0)</f>
        <v>6.0837875509978154</v>
      </c>
      <c r="AH232" s="103" t="s">
        <v>196</v>
      </c>
      <c r="AI232" s="135" t="s">
        <v>666</v>
      </c>
      <c r="AJ232" s="33">
        <f>IFERROR(VLOOKUP(vcost_ub[[#This Row],[setting]],$A$6:$E$141,5,FALSE)+$L$6+VLOOKUP(vcost_ub[[#This Row],[setting]],$O$6:$AA$141,4,FALSE),0)</f>
        <v>26.417857909965313</v>
      </c>
      <c r="AK232" s="33">
        <f>IFERROR(VLOOKUP(vcost_ub[[#This Row],[setting]],$A$6:$E$141,5,FALSE)+$L$6+VLOOKUP(vcost_ub[[#This Row],[setting]],$O$6:$AA$141,4,FALSE)+VLOOKUP(vcost_ub[[#This Row],[gbd_super]],$AH$6:$AK$11,4,FALSE),0)</f>
        <v>27.081667909965315</v>
      </c>
      <c r="AL232" s="33">
        <f>IFERROR(VLOOKUP(vcost_ub[[#This Row],[setting]],$A$6:$E$141,5,FALSE)+VLOOKUP(vcost_ub[[#This Row],[setting]],$O$6:$AA$141,7,FALSE),0)</f>
        <v>25.870163486875352</v>
      </c>
      <c r="AM232" s="33">
        <f>IFERROR(VLOOKUP(vcost_ub[[#This Row],[setting]],$A$6:$E$141,5,FALSE)+VLOOKUP(vcost_ub[[#This Row],[setting]],$O$6:$AA$141,7,FALSE)+VLOOKUP(vcost_ub[[#This Row],[gbd_super]],$AH$6:$AK$11,4,FALSE),0)</f>
        <v>26.533973486875354</v>
      </c>
      <c r="AN232" s="33">
        <f>IFERROR(VLOOKUP(vcost_ub[[#This Row],[setting]],$A$6:$E$141,5,FALSE)+VLOOKUP(vcost_ub[[#This Row],[setting]],$O$6:$AA$141,10,FALSE)+VLOOKUP(vcost_ub[[#This Row],[gbd_super]],$AH$6:$AK$11,4,FALSE),0)</f>
        <v>26.497647245132441</v>
      </c>
      <c r="AO232" s="33">
        <f>IFERROR(VLOOKUP(vcost_ub[[#This Row],[setting]],$A$6:$E$141,5,FALSE)+$L$8+VLOOKUP(vcost_ub[[#This Row],[setting]],$O$6:$AA$141,13,FALSE),0)</f>
        <v>26.698255628721466</v>
      </c>
      <c r="AP232" s="33">
        <f>IFERROR(VLOOKUP(vcost_ub[[#This Row],[setting]],$A$6:$E$141,5,FALSE)+$L$8+VLOOKUP(vcost_ub[[#This Row],[setting]],$O$6:$AA$141,13,FALSE)+VLOOKUP(vcost_ub[[#This Row],[gbd_super]],$AH$6:$AK$11,4,FALSE),0)</f>
        <v>27.362065628721467</v>
      </c>
    </row>
    <row r="233" spans="1:42" x14ac:dyDescent="0.25">
      <c r="A233" s="100" t="s">
        <v>147</v>
      </c>
      <c r="B233" s="134" t="s">
        <v>667</v>
      </c>
      <c r="C233">
        <f>IFERROR(VLOOKUP(vcost[[#This Row],[setting]],$A$6:$E$141,3,FALSE)+$J$6+VLOOKUP(vcost[[#This Row],[setting]],$O$6:$AA$141,2,FALSE),0)</f>
        <v>1.5967015068630179</v>
      </c>
      <c r="D233">
        <f>IFERROR(VLOOKUP(vcost[[#This Row],[setting]],$A$6:$E$141,3,FALSE)+$J$6+VLOOKUP(vcost[[#This Row],[setting]],$O$6:$AA$141,2,FALSE)+VLOOKUP(vcost[[#This Row],[gbd_super]],$AH$6:$AK$11,2,FALSE),0)</f>
        <v>6.4267015068630178</v>
      </c>
      <c r="E233">
        <f>IFERROR(VLOOKUP(vcost[[#This Row],[setting]],$A$6:$E$141,3,FALSE)+VLOOKUP(vcost[[#This Row],[setting]],$O$6:$AA$141,5,FALSE),0)</f>
        <v>1.1708795166253489</v>
      </c>
      <c r="F233" s="33">
        <f>IFERROR(VLOOKUP(vcost[[#This Row],[setting]],$A$6:$E$141,3,FALSE)+VLOOKUP(vcost[[#This Row],[setting]],$O$6:$AA$141,5,FALSE)+VLOOKUP(vcost[[#This Row],[gbd_super]],$AH$6:$AK$11,2,FALSE),0)</f>
        <v>6.000879516625349</v>
      </c>
      <c r="G233" s="33">
        <f>IFERROR(VLOOKUP(vcost[[#This Row],[setting]],$A$6:$E$141,3,FALSE)+VLOOKUP(vcost[[#This Row],[setting]],$O$6:$AA$141,8,FALSE)+VLOOKUP(vcost[[#This Row],[gbd_super]],$AH$6:$AK$11,2,FALSE),0)</f>
        <v>5.997714460687309</v>
      </c>
      <c r="H233">
        <f>IFERROR(VLOOKUP(vcost[[#This Row],[setting]],$A$6:$E$141,3,FALSE)+$J$8+VLOOKUP(vcost[[#This Row],[setting]],$O$6:$AA$141,11,FALSE),0)</f>
        <v>1.8384215210208061</v>
      </c>
      <c r="I233" s="33">
        <f>IFERROR(VLOOKUP(vcost[[#This Row],[setting]],$A$6:$E$141,3,FALSE)+$J$8+VLOOKUP(vcost[[#This Row],[setting]],$O$6:$AA$141,11,FALSE)+VLOOKUP(vcost[[#This Row],[gbd_super]],$AH$6:$AK$11,2,FALSE),0)</f>
        <v>6.6684215210208064</v>
      </c>
      <c r="O233" s="100" t="s">
        <v>147</v>
      </c>
      <c r="P233" s="134" t="s">
        <v>667</v>
      </c>
      <c r="Q233" s="33">
        <f>IFERROR(VLOOKUP(vcost_lb[[#This Row],[setting]],$A$6:$E$141,4,FALSE)+$K$6+VLOOKUP(vcost_lb[[#This Row],[setting]],$O$6:$AA$141,3,FALSE),0)</f>
        <v>0.74062803145813028</v>
      </c>
      <c r="R233" s="33">
        <f>IFERROR(VLOOKUP(vcost_lb[[#This Row],[setting]],$A$6:$E$141,4,FALSE)+$K$6+VLOOKUP(vcost_lb[[#This Row],[setting]],$O$6:$AA$141,3,FALSE)+VLOOKUP(vcost_lb[[#This Row],[gbd_super]],$AH$6:$AK$11,3,FALSE),0)</f>
        <v>5.3278930314581308</v>
      </c>
      <c r="S233" s="33">
        <f>IFERROR(VLOOKUP(vcost_lb[[#This Row],[setting]],$A$6:$E$141,4,FALSE)+VLOOKUP(vcost_lb[[#This Row],[setting]],$O$6:$AA$141,6,FALSE),0)</f>
        <v>0.37539178725351913</v>
      </c>
      <c r="T233" s="33">
        <f>IFERROR(VLOOKUP(vcost_lb[[#This Row],[setting]],$A$6:$E$141,4,FALSE)+VLOOKUP(vcost_lb[[#This Row],[setting]],$O$6:$AA$141,6,FALSE)+VLOOKUP(vcost_lb[[#This Row],[gbd_super]],$AH$6:$AK$11,3,FALSE),0)</f>
        <v>4.9626567872535192</v>
      </c>
      <c r="U233" s="33">
        <f>IFERROR(VLOOKUP(vcost_lb[[#This Row],[setting]],$A$6:$E$141,4,FALSE)+VLOOKUP(vcost_lb[[#This Row],[setting]],$O$6:$AA$141,9,FALSE)+VLOOKUP(vcost_lb[[#This Row],[gbd_super]],$AH$6:$AK$11,3,FALSE),0)</f>
        <v>4.9605745136100721</v>
      </c>
      <c r="V233" s="33">
        <f>IFERROR(VLOOKUP(vcost_lb[[#This Row],[setting]],$A$6:$E$141,4,FALSE)+$K$8+VLOOKUP(vcost_lb[[#This Row],[setting]],$O$6:$AA$141,12,FALSE),0)</f>
        <v>0.95179938206717574</v>
      </c>
      <c r="W233" s="33">
        <f>IFERROR(VLOOKUP(vcost_lb[[#This Row],[setting]],$A$6:$E$141,4,FALSE)+$K$8+VLOOKUP(vcost_lb[[#This Row],[setting]],$O$6:$AA$141,12,FALSE)+VLOOKUP(vcost_lb[[#This Row],[gbd_super]],$AH$6:$AK$11,3,FALSE),0)</f>
        <v>5.5390643820671759</v>
      </c>
      <c r="AH233" s="100" t="s">
        <v>147</v>
      </c>
      <c r="AI233" s="134" t="s">
        <v>667</v>
      </c>
      <c r="AJ233" s="33">
        <f>IFERROR(VLOOKUP(vcost_ub[[#This Row],[setting]],$A$6:$E$141,5,FALSE)+$L$6+VLOOKUP(vcost_ub[[#This Row],[setting]],$O$6:$AA$141,4,FALSE),0)</f>
        <v>3.3594755567470984</v>
      </c>
      <c r="AK233" s="33">
        <f>IFERROR(VLOOKUP(vcost_ub[[#This Row],[setting]],$A$6:$E$141,5,FALSE)+$L$6+VLOOKUP(vcost_ub[[#This Row],[setting]],$O$6:$AA$141,4,FALSE)+VLOOKUP(vcost_ub[[#This Row],[gbd_super]],$AH$6:$AK$11,4,FALSE),0)</f>
        <v>8.4296105567470985</v>
      </c>
      <c r="AL233" s="33">
        <f>IFERROR(VLOOKUP(vcost_ub[[#This Row],[setting]],$A$6:$E$141,5,FALSE)+VLOOKUP(vcost_ub[[#This Row],[setting]],$O$6:$AA$141,7,FALSE),0)</f>
        <v>2.8611671490140766</v>
      </c>
      <c r="AM233" s="33">
        <f>IFERROR(VLOOKUP(vcost_ub[[#This Row],[setting]],$A$6:$E$141,5,FALSE)+VLOOKUP(vcost_ub[[#This Row],[setting]],$O$6:$AA$141,7,FALSE)+VLOOKUP(vcost_ub[[#This Row],[gbd_super]],$AH$6:$AK$11,4,FALSE),0)</f>
        <v>7.9313021490140772</v>
      </c>
      <c r="AN233" s="33">
        <f>IFERROR(VLOOKUP(vcost_ub[[#This Row],[setting]],$A$6:$E$141,5,FALSE)+VLOOKUP(vcost_ub[[#This Row],[setting]],$O$6:$AA$141,10,FALSE)+VLOOKUP(vcost_ub[[#This Row],[gbd_super]],$AH$6:$AK$11,4,FALSE),0)</f>
        <v>7.9229730544402859</v>
      </c>
      <c r="AO233" s="33">
        <f>IFERROR(VLOOKUP(vcost_ub[[#This Row],[setting]],$A$6:$E$141,5,FALSE)+$L$8+VLOOKUP(vcost_ub[[#This Row],[setting]],$O$6:$AA$141,13,FALSE),0)</f>
        <v>3.6286629529989129</v>
      </c>
      <c r="AP233" s="33">
        <f>IFERROR(VLOOKUP(vcost_ub[[#This Row],[setting]],$A$6:$E$141,5,FALSE)+$L$8+VLOOKUP(vcost_ub[[#This Row],[setting]],$O$6:$AA$141,13,FALSE)+VLOOKUP(vcost_ub[[#This Row],[gbd_super]],$AH$6:$AK$11,4,FALSE),0)</f>
        <v>8.6987979529989126</v>
      </c>
    </row>
    <row r="234" spans="1:42" x14ac:dyDescent="0.25">
      <c r="A234" s="103" t="s">
        <v>682</v>
      </c>
      <c r="B234" s="135" t="s">
        <v>666</v>
      </c>
      <c r="C234">
        <f>IFERROR(VLOOKUP(vcost[[#This Row],[setting]],$A$6:$E$141,3,FALSE)+$J$6+VLOOKUP(vcost[[#This Row],[setting]],$O$6:$AA$141,2,FALSE),0)</f>
        <v>9.0603914432264361</v>
      </c>
      <c r="D234">
        <f>IFERROR(VLOOKUP(vcost[[#This Row],[setting]],$A$6:$E$141,3,FALSE)+$J$6+VLOOKUP(vcost[[#This Row],[setting]],$O$6:$AA$141,2,FALSE)+VLOOKUP(vcost[[#This Row],[gbd_super]],$AH$6:$AK$11,2,FALSE),0)</f>
        <v>9.6903914432264369</v>
      </c>
      <c r="E234">
        <f>IFERROR(VLOOKUP(vcost[[#This Row],[setting]],$A$6:$E$141,3,FALSE)+VLOOKUP(vcost[[#This Row],[setting]],$O$6:$AA$141,5,FALSE),0)</f>
        <v>8.6311241781291752</v>
      </c>
      <c r="F234" s="33">
        <f>IFERROR(VLOOKUP(vcost[[#This Row],[setting]],$A$6:$E$141,3,FALSE)+VLOOKUP(vcost[[#This Row],[setting]],$O$6:$AA$141,5,FALSE)+VLOOKUP(vcost[[#This Row],[gbd_super]],$AH$6:$AK$11,2,FALSE),0)</f>
        <v>9.261124178129176</v>
      </c>
      <c r="G234" s="33">
        <f>IFERROR(VLOOKUP(vcost[[#This Row],[setting]],$A$6:$E$141,3,FALSE)+VLOOKUP(vcost[[#This Row],[setting]],$O$6:$AA$141,8,FALSE)+VLOOKUP(vcost[[#This Row],[gbd_super]],$AH$6:$AK$11,2,FALSE),0)</f>
        <v>9.2568757802941306</v>
      </c>
      <c r="H234">
        <f>IFERROR(VLOOKUP(vcost[[#This Row],[setting]],$A$6:$E$141,3,FALSE)+$J$8+VLOOKUP(vcost[[#This Row],[setting]],$O$6:$AA$141,11,FALSE),0)</f>
        <v>9.3033533587871009</v>
      </c>
      <c r="I234" s="33">
        <f>IFERROR(VLOOKUP(vcost[[#This Row],[setting]],$A$6:$E$141,3,FALSE)+$J$8+VLOOKUP(vcost[[#This Row],[setting]],$O$6:$AA$141,11,FALSE)+VLOOKUP(vcost[[#This Row],[gbd_super]],$AH$6:$AK$11,2,FALSE),0)</f>
        <v>9.9333533587871017</v>
      </c>
      <c r="O234" s="103" t="s">
        <v>682</v>
      </c>
      <c r="P234" s="135" t="s">
        <v>666</v>
      </c>
      <c r="Q234" s="33">
        <f>IFERROR(VLOOKUP(vcost_lb[[#This Row],[setting]],$A$6:$E$141,4,FALSE)+$K$6+VLOOKUP(vcost_lb[[#This Row],[setting]],$O$6:$AA$141,3,FALSE),0)</f>
        <v>2.9482332449821462</v>
      </c>
      <c r="R234" s="33">
        <f>IFERROR(VLOOKUP(vcost_lb[[#This Row],[setting]],$A$6:$E$141,4,FALSE)+$K$6+VLOOKUP(vcost_lb[[#This Row],[setting]],$O$6:$AA$141,3,FALSE)+VLOOKUP(vcost_lb[[#This Row],[gbd_super]],$AH$6:$AK$11,3,FALSE),0)</f>
        <v>3.5488232449821462</v>
      </c>
      <c r="S234" s="33">
        <f>IFERROR(VLOOKUP(vcost_lb[[#This Row],[setting]],$A$6:$E$141,4,FALSE)+VLOOKUP(vcost_lb[[#This Row],[setting]],$O$6:$AA$141,6,FALSE),0)</f>
        <v>2.5815948540323519</v>
      </c>
      <c r="T234" s="33">
        <f>IFERROR(VLOOKUP(vcost_lb[[#This Row],[setting]],$A$6:$E$141,4,FALSE)+VLOOKUP(vcost_lb[[#This Row],[setting]],$O$6:$AA$141,6,FALSE)+VLOOKUP(vcost_lb[[#This Row],[gbd_super]],$AH$6:$AK$11,3,FALSE),0)</f>
        <v>3.1821848540323519</v>
      </c>
      <c r="U234" s="33">
        <f>IFERROR(VLOOKUP(vcost_lb[[#This Row],[setting]],$A$6:$E$141,4,FALSE)+VLOOKUP(vcost_lb[[#This Row],[setting]],$O$6:$AA$141,9,FALSE)+VLOOKUP(vcost_lb[[#This Row],[gbd_super]],$AH$6:$AK$11,3,FALSE),0)</f>
        <v>3.1793898554566642</v>
      </c>
      <c r="V234" s="33">
        <f>IFERROR(VLOOKUP(vcost_lb[[#This Row],[setting]],$A$6:$E$141,4,FALSE)+$K$8+VLOOKUP(vcost_lb[[#This Row],[setting]],$O$6:$AA$141,12,FALSE),0)</f>
        <v>3.160005515624841</v>
      </c>
      <c r="W234" s="33">
        <f>IFERROR(VLOOKUP(vcost_lb[[#This Row],[setting]],$A$6:$E$141,4,FALSE)+$K$8+VLOOKUP(vcost_lb[[#This Row],[setting]],$O$6:$AA$141,12,FALSE)+VLOOKUP(vcost_lb[[#This Row],[gbd_super]],$AH$6:$AK$11,3,FALSE),0)</f>
        <v>3.760595515624841</v>
      </c>
      <c r="AH234" s="103" t="s">
        <v>682</v>
      </c>
      <c r="AI234" s="135" t="s">
        <v>666</v>
      </c>
      <c r="AJ234" s="33">
        <f>IFERROR(VLOOKUP(vcost_ub[[#This Row],[setting]],$A$6:$E$141,5,FALSE)+$L$6+VLOOKUP(vcost_ub[[#This Row],[setting]],$O$6:$AA$141,4,FALSE),0)</f>
        <v>22.346617821561424</v>
      </c>
      <c r="AK234" s="33">
        <f>IFERROR(VLOOKUP(vcost_ub[[#This Row],[setting]],$A$6:$E$141,5,FALSE)+$L$6+VLOOKUP(vcost_ub[[#This Row],[setting]],$O$6:$AA$141,4,FALSE)+VLOOKUP(vcost_ub[[#This Row],[gbd_super]],$AH$6:$AK$11,4,FALSE),0)</f>
        <v>23.010427821561425</v>
      </c>
      <c r="AL234" s="33">
        <f>IFERROR(VLOOKUP(vcost_ub[[#This Row],[setting]],$A$6:$E$141,5,FALSE)+VLOOKUP(vcost_ub[[#This Row],[setting]],$O$6:$AA$141,7,FALSE),0)</f>
        <v>21.841779416129409</v>
      </c>
      <c r="AM234" s="33">
        <f>IFERROR(VLOOKUP(vcost_ub[[#This Row],[setting]],$A$6:$E$141,5,FALSE)+VLOOKUP(vcost_ub[[#This Row],[setting]],$O$6:$AA$141,7,FALSE)+VLOOKUP(vcost_ub[[#This Row],[gbd_super]],$AH$6:$AK$11,4,FALSE),0)</f>
        <v>22.505589416129411</v>
      </c>
      <c r="AN234" s="33">
        <f>IFERROR(VLOOKUP(vcost_ub[[#This Row],[setting]],$A$6:$E$141,5,FALSE)+VLOOKUP(vcost_ub[[#This Row],[setting]],$O$6:$AA$141,10,FALSE)+VLOOKUP(vcost_ub[[#This Row],[gbd_super]],$AH$6:$AK$11,4,FALSE),0)</f>
        <v>22.49440942182666</v>
      </c>
      <c r="AO234" s="33">
        <f>IFERROR(VLOOKUP(vcost_ub[[#This Row],[setting]],$A$6:$E$141,5,FALSE)+$L$8+VLOOKUP(vcost_ub[[#This Row],[setting]],$O$6:$AA$141,13,FALSE),0)</f>
        <v>22.617287487229575</v>
      </c>
      <c r="AP234" s="33">
        <f>IFERROR(VLOOKUP(vcost_ub[[#This Row],[setting]],$A$6:$E$141,5,FALSE)+$L$8+VLOOKUP(vcost_ub[[#This Row],[setting]],$O$6:$AA$141,13,FALSE)+VLOOKUP(vcost_ub[[#This Row],[gbd_super]],$AH$6:$AK$11,4,FALSE),0)</f>
        <v>23.281097487229577</v>
      </c>
    </row>
    <row r="235" spans="1:42" x14ac:dyDescent="0.25">
      <c r="A235" s="100" t="s">
        <v>148</v>
      </c>
      <c r="B235" s="134" t="s">
        <v>667</v>
      </c>
      <c r="C235">
        <f>IFERROR(VLOOKUP(vcost[[#This Row],[setting]],$A$6:$E$141,3,FALSE)+$J$6+VLOOKUP(vcost[[#This Row],[setting]],$O$6:$AA$141,2,FALSE),0)</f>
        <v>2.8051937427511051</v>
      </c>
      <c r="D235">
        <f>IFERROR(VLOOKUP(vcost[[#This Row],[setting]],$A$6:$E$141,3,FALSE)+$J$6+VLOOKUP(vcost[[#This Row],[setting]],$O$6:$AA$141,2,FALSE)+VLOOKUP(vcost[[#This Row],[gbd_super]],$AH$6:$AK$11,2,FALSE),0)</f>
        <v>7.6351937427511052</v>
      </c>
      <c r="E235">
        <f>IFERROR(VLOOKUP(vcost[[#This Row],[setting]],$A$6:$E$141,3,FALSE)+VLOOKUP(vcost[[#This Row],[setting]],$O$6:$AA$141,5,FALSE),0)</f>
        <v>2.3775709359308714</v>
      </c>
      <c r="F235" s="33">
        <f>IFERROR(VLOOKUP(vcost[[#This Row],[setting]],$A$6:$E$141,3,FALSE)+VLOOKUP(vcost[[#This Row],[setting]],$O$6:$AA$141,5,FALSE)+VLOOKUP(vcost[[#This Row],[gbd_super]],$AH$6:$AK$11,2,FALSE),0)</f>
        <v>7.2075709359308711</v>
      </c>
      <c r="G235" s="33">
        <f>IFERROR(VLOOKUP(vcost[[#This Row],[setting]],$A$6:$E$141,3,FALSE)+VLOOKUP(vcost[[#This Row],[setting]],$O$6:$AA$141,8,FALSE)+VLOOKUP(vcost[[#This Row],[gbd_super]],$AH$6:$AK$11,2,FALSE),0)</f>
        <v>7.2037273263091963</v>
      </c>
      <c r="H235">
        <f>IFERROR(VLOOKUP(vcost[[#This Row],[setting]],$A$6:$E$141,3,FALSE)+$J$8+VLOOKUP(vcost[[#This Row],[setting]],$O$6:$AA$141,11,FALSE),0)</f>
        <v>3.0475628884677248</v>
      </c>
      <c r="I235" s="33">
        <f>IFERROR(VLOOKUP(vcost[[#This Row],[setting]],$A$6:$E$141,3,FALSE)+$J$8+VLOOKUP(vcost[[#This Row],[setting]],$O$6:$AA$141,11,FALSE)+VLOOKUP(vcost[[#This Row],[gbd_super]],$AH$6:$AK$11,2,FALSE),0)</f>
        <v>7.8775628884677253</v>
      </c>
      <c r="O235" s="100" t="s">
        <v>148</v>
      </c>
      <c r="P235" s="134" t="s">
        <v>667</v>
      </c>
      <c r="Q235" s="33">
        <f>IFERROR(VLOOKUP(vcost_lb[[#This Row],[setting]],$A$6:$E$141,4,FALSE)+$K$6+VLOOKUP(vcost_lb[[#This Row],[setting]],$O$6:$AA$141,3,FALSE),0)</f>
        <v>1.1853079083129909</v>
      </c>
      <c r="R235" s="33">
        <f>IFERROR(VLOOKUP(vcost_lb[[#This Row],[setting]],$A$6:$E$141,4,FALSE)+$K$6+VLOOKUP(vcost_lb[[#This Row],[setting]],$O$6:$AA$141,3,FALSE)+VLOOKUP(vcost_lb[[#This Row],[gbd_super]],$AH$6:$AK$11,3,FALSE),0)</f>
        <v>5.7725729083129913</v>
      </c>
      <c r="S235" s="33">
        <f>IFERROR(VLOOKUP(vcost_lb[[#This Row],[setting]],$A$6:$E$141,4,FALSE)+VLOOKUP(vcost_lb[[#This Row],[setting]],$O$6:$AA$141,6,FALSE),0)</f>
        <v>0.81933877363873131</v>
      </c>
      <c r="T235" s="33">
        <f>IFERROR(VLOOKUP(vcost_lb[[#This Row],[setting]],$A$6:$E$141,4,FALSE)+VLOOKUP(vcost_lb[[#This Row],[setting]],$O$6:$AA$141,6,FALSE)+VLOOKUP(vcost_lb[[#This Row],[gbd_super]],$AH$6:$AK$11,3,FALSE),0)</f>
        <v>5.4066037736387313</v>
      </c>
      <c r="U235" s="33">
        <f>IFERROR(VLOOKUP(vcost_lb[[#This Row],[setting]],$A$6:$E$141,4,FALSE)+VLOOKUP(vcost_lb[[#This Row],[setting]],$O$6:$AA$141,9,FALSE)+VLOOKUP(vcost_lb[[#This Row],[gbd_super]],$AH$6:$AK$11,3,FALSE),0)</f>
        <v>5.4040750830981565</v>
      </c>
      <c r="V235" s="33">
        <f>IFERROR(VLOOKUP(vcost_lb[[#This Row],[setting]],$A$6:$E$141,4,FALSE)+$K$8+VLOOKUP(vcost_lb[[#This Row],[setting]],$O$6:$AA$141,12,FALSE),0)</f>
        <v>1.3967933548376001</v>
      </c>
      <c r="W235" s="33">
        <f>IFERROR(VLOOKUP(vcost_lb[[#This Row],[setting]],$A$6:$E$141,4,FALSE)+$K$8+VLOOKUP(vcost_lb[[#This Row],[setting]],$O$6:$AA$141,12,FALSE)+VLOOKUP(vcost_lb[[#This Row],[gbd_super]],$AH$6:$AK$11,3,FALSE),0)</f>
        <v>5.9840583548376003</v>
      </c>
      <c r="AH235" s="100" t="s">
        <v>148</v>
      </c>
      <c r="AI235" s="134" t="s">
        <v>667</v>
      </c>
      <c r="AJ235" s="33">
        <f>IFERROR(VLOOKUP(vcost_ub[[#This Row],[setting]],$A$6:$E$141,5,FALSE)+$L$6+VLOOKUP(vcost_ub[[#This Row],[setting]],$O$6:$AA$141,4,FALSE),0)</f>
        <v>6.0553766779037383</v>
      </c>
      <c r="AK235" s="33">
        <f>IFERROR(VLOOKUP(vcost_ub[[#This Row],[setting]],$A$6:$E$141,5,FALSE)+$L$6+VLOOKUP(vcost_ub[[#This Row],[setting]],$O$6:$AA$141,4,FALSE)+VLOOKUP(vcost_ub[[#This Row],[gbd_super]],$AH$6:$AK$11,4,FALSE),0)</f>
        <v>11.125511677903738</v>
      </c>
      <c r="AL235" s="33">
        <f>IFERROR(VLOOKUP(vcost_ub[[#This Row],[setting]],$A$6:$E$141,5,FALSE)+VLOOKUP(vcost_ub[[#This Row],[setting]],$O$6:$AA$141,7,FALSE),0)</f>
        <v>5.5536550945549257</v>
      </c>
      <c r="AM235" s="33">
        <f>IFERROR(VLOOKUP(vcost_ub[[#This Row],[setting]],$A$6:$E$141,5,FALSE)+VLOOKUP(vcost_ub[[#This Row],[setting]],$O$6:$AA$141,7,FALSE)+VLOOKUP(vcost_ub[[#This Row],[gbd_super]],$AH$6:$AK$11,4,FALSE),0)</f>
        <v>10.623790094554927</v>
      </c>
      <c r="AN235" s="33">
        <f>IFERROR(VLOOKUP(vcost_ub[[#This Row],[setting]],$A$6:$E$141,5,FALSE)+VLOOKUP(vcost_ub[[#This Row],[setting]],$O$6:$AA$141,10,FALSE)+VLOOKUP(vcost_ub[[#This Row],[gbd_super]],$AH$6:$AK$11,4,FALSE),0)</f>
        <v>10.613675332392624</v>
      </c>
      <c r="AO235" s="33">
        <f>IFERROR(VLOOKUP(vcost_ub[[#This Row],[setting]],$A$6:$E$141,5,FALSE)+$L$8+VLOOKUP(vcost_ub[[#This Row],[setting]],$O$6:$AA$141,13,FALSE),0)</f>
        <v>6.3253388440806102</v>
      </c>
      <c r="AP235" s="33">
        <f>IFERROR(VLOOKUP(vcost_ub[[#This Row],[setting]],$A$6:$E$141,5,FALSE)+$L$8+VLOOKUP(vcost_ub[[#This Row],[setting]],$O$6:$AA$141,13,FALSE)+VLOOKUP(vcost_ub[[#This Row],[gbd_super]],$AH$6:$AK$11,4,FALSE),0)</f>
        <v>11.395473844080611</v>
      </c>
    </row>
    <row r="236" spans="1:42" x14ac:dyDescent="0.25">
      <c r="A236" s="103" t="s">
        <v>109</v>
      </c>
      <c r="B236" s="135" t="s">
        <v>666</v>
      </c>
      <c r="C236">
        <f>IFERROR(VLOOKUP(vcost[[#This Row],[setting]],$A$6:$E$141,3,FALSE)+$J$6+VLOOKUP(vcost[[#This Row],[setting]],$O$6:$AA$141,2,FALSE),0)</f>
        <v>9.8165806139030991</v>
      </c>
      <c r="D236">
        <f>IFERROR(VLOOKUP(vcost[[#This Row],[setting]],$A$6:$E$141,3,FALSE)+$J$6+VLOOKUP(vcost[[#This Row],[setting]],$O$6:$AA$141,2,FALSE)+VLOOKUP(vcost[[#This Row],[gbd_super]],$AH$6:$AK$11,2,FALSE),0)</f>
        <v>10.4465806139031</v>
      </c>
      <c r="E236">
        <f>IFERROR(VLOOKUP(vcost[[#This Row],[setting]],$A$6:$E$141,3,FALSE)+VLOOKUP(vcost[[#This Row],[setting]],$O$6:$AA$141,5,FALSE),0)</f>
        <v>9.3631647767182269</v>
      </c>
      <c r="F236" s="33">
        <f>IFERROR(VLOOKUP(vcost[[#This Row],[setting]],$A$6:$E$141,3,FALSE)+VLOOKUP(vcost[[#This Row],[setting]],$O$6:$AA$141,5,FALSE)+VLOOKUP(vcost[[#This Row],[gbd_super]],$AH$6:$AK$11,2,FALSE),0)</f>
        <v>9.9931647767182277</v>
      </c>
      <c r="G236" s="33">
        <f>IFERROR(VLOOKUP(vcost[[#This Row],[setting]],$A$6:$E$141,3,FALSE)+VLOOKUP(vcost[[#This Row],[setting]],$O$6:$AA$141,8,FALSE)+VLOOKUP(vcost[[#This Row],[gbd_super]],$AH$6:$AK$11,2,FALSE),0)</f>
        <v>9.9787229157409989</v>
      </c>
      <c r="H236">
        <f>IFERROR(VLOOKUP(vcost[[#This Row],[setting]],$A$6:$E$141,3,FALSE)+$J$8+VLOOKUP(vcost[[#This Row],[setting]],$O$6:$AA$141,11,FALSE),0)</f>
        <v>10.068247247309298</v>
      </c>
      <c r="I236" s="33">
        <f>IFERROR(VLOOKUP(vcost[[#This Row],[setting]],$A$6:$E$141,3,FALSE)+$J$8+VLOOKUP(vcost[[#This Row],[setting]],$O$6:$AA$141,11,FALSE)+VLOOKUP(vcost[[#This Row],[gbd_super]],$AH$6:$AK$11,2,FALSE),0)</f>
        <v>10.698247247309299</v>
      </c>
      <c r="O236" s="103" t="s">
        <v>109</v>
      </c>
      <c r="P236" s="135" t="s">
        <v>666</v>
      </c>
      <c r="Q236" s="33">
        <f>IFERROR(VLOOKUP(vcost_lb[[#This Row],[setting]],$A$6:$E$141,4,FALSE)+$K$6+VLOOKUP(vcost_lb[[#This Row],[setting]],$O$6:$AA$141,3,FALSE),0)</f>
        <v>4.1772010197199005</v>
      </c>
      <c r="R236" s="33">
        <f>IFERROR(VLOOKUP(vcost_lb[[#This Row],[setting]],$A$6:$E$141,4,FALSE)+$K$6+VLOOKUP(vcost_lb[[#This Row],[setting]],$O$6:$AA$141,3,FALSE)+VLOOKUP(vcost_lb[[#This Row],[gbd_super]],$AH$6:$AK$11,3,FALSE),0)</f>
        <v>4.7777910197199009</v>
      </c>
      <c r="S236" s="33">
        <f>IFERROR(VLOOKUP(vcost_lb[[#This Row],[setting]],$A$6:$E$141,4,FALSE)+VLOOKUP(vcost_lb[[#This Row],[setting]],$O$6:$AA$141,6,FALSE),0)</f>
        <v>3.8007347215251488</v>
      </c>
      <c r="T236" s="33">
        <f>IFERROR(VLOOKUP(vcost_lb[[#This Row],[setting]],$A$6:$E$141,4,FALSE)+VLOOKUP(vcost_lb[[#This Row],[setting]],$O$6:$AA$141,6,FALSE)+VLOOKUP(vcost_lb[[#This Row],[gbd_super]],$AH$6:$AK$11,3,FALSE),0)</f>
        <v>4.4013247215251488</v>
      </c>
      <c r="U236" s="33">
        <f>IFERROR(VLOOKUP(vcost_lb[[#This Row],[setting]],$A$6:$E$141,4,FALSE)+VLOOKUP(vcost_lb[[#This Row],[setting]],$O$6:$AA$141,9,FALSE)+VLOOKUP(vcost_lb[[#This Row],[gbd_super]],$AH$6:$AK$11,3,FALSE),0)</f>
        <v>4.3918234971980237</v>
      </c>
      <c r="V236" s="33">
        <f>IFERROR(VLOOKUP(vcost_lb[[#This Row],[setting]],$A$6:$E$141,4,FALSE)+$K$8+VLOOKUP(vcost_lb[[#This Row],[setting]],$O$6:$AA$141,12,FALSE),0)</f>
        <v>4.3931852506104354</v>
      </c>
      <c r="W236" s="33">
        <f>IFERROR(VLOOKUP(vcost_lb[[#This Row],[setting]],$A$6:$E$141,4,FALSE)+$K$8+VLOOKUP(vcost_lb[[#This Row],[setting]],$O$6:$AA$141,12,FALSE)+VLOOKUP(vcost_lb[[#This Row],[gbd_super]],$AH$6:$AK$11,3,FALSE),0)</f>
        <v>4.9937752506104349</v>
      </c>
      <c r="AH236" s="103" t="s">
        <v>109</v>
      </c>
      <c r="AI236" s="135" t="s">
        <v>666</v>
      </c>
      <c r="AJ236" s="33">
        <f>IFERROR(VLOOKUP(vcost_ub[[#This Row],[setting]],$A$6:$E$141,5,FALSE)+$L$6+VLOOKUP(vcost_ub[[#This Row],[setting]],$O$6:$AA$141,4,FALSE),0)</f>
        <v>21.006547259559127</v>
      </c>
      <c r="AK236" s="33">
        <f>IFERROR(VLOOKUP(vcost_ub[[#This Row],[setting]],$A$6:$E$141,5,FALSE)+$L$6+VLOOKUP(vcost_ub[[#This Row],[setting]],$O$6:$AA$141,4,FALSE)+VLOOKUP(vcost_ub[[#This Row],[gbd_super]],$AH$6:$AK$11,4,FALSE),0)</f>
        <v>21.670357259559129</v>
      </c>
      <c r="AL236" s="33">
        <f>IFERROR(VLOOKUP(vcost_ub[[#This Row],[setting]],$A$6:$E$141,5,FALSE)+VLOOKUP(vcost_ub[[#This Row],[setting]],$O$6:$AA$141,7,FALSE),0)</f>
        <v>20.455938886100594</v>
      </c>
      <c r="AM236" s="33">
        <f>IFERROR(VLOOKUP(vcost_ub[[#This Row],[setting]],$A$6:$E$141,5,FALSE)+VLOOKUP(vcost_ub[[#This Row],[setting]],$O$6:$AA$141,7,FALSE)+VLOOKUP(vcost_ub[[#This Row],[gbd_super]],$AH$6:$AK$11,4,FALSE),0)</f>
        <v>21.119748886100595</v>
      </c>
      <c r="AN236" s="33">
        <f>IFERROR(VLOOKUP(vcost_ub[[#This Row],[setting]],$A$6:$E$141,5,FALSE)+VLOOKUP(vcost_ub[[#This Row],[setting]],$O$6:$AA$141,10,FALSE)+VLOOKUP(vcost_ub[[#This Row],[gbd_super]],$AH$6:$AK$11,4,FALSE),0)</f>
        <v>21.081743988792098</v>
      </c>
      <c r="AO236" s="33">
        <f>IFERROR(VLOOKUP(vcost_ub[[#This Row],[setting]],$A$6:$E$141,5,FALSE)+$L$8+VLOOKUP(vcost_ub[[#This Row],[setting]],$O$6:$AA$141,13,FALSE),0)</f>
        <v>21.287606427171951</v>
      </c>
      <c r="AP236" s="33">
        <f>IFERROR(VLOOKUP(vcost_ub[[#This Row],[setting]],$A$6:$E$141,5,FALSE)+$L$8+VLOOKUP(vcost_ub[[#This Row],[setting]],$O$6:$AA$141,13,FALSE)+VLOOKUP(vcost_ub[[#This Row],[gbd_super]],$AH$6:$AK$11,4,FALSE),0)</f>
        <v>21.951416427171953</v>
      </c>
    </row>
    <row r="237" spans="1:42" x14ac:dyDescent="0.25">
      <c r="A237" s="100" t="s">
        <v>258</v>
      </c>
      <c r="B237" s="134" t="s">
        <v>665</v>
      </c>
      <c r="C237">
        <f>IFERROR(VLOOKUP(vcost[[#This Row],[setting]],$A$6:$E$141,3,FALSE)+$J$6+VLOOKUP(vcost[[#This Row],[setting]],$O$6:$AA$141,2,FALSE),0)</f>
        <v>3.0744266636486213</v>
      </c>
      <c r="D237">
        <f>IFERROR(VLOOKUP(vcost[[#This Row],[setting]],$A$6:$E$141,3,FALSE)+$J$6+VLOOKUP(vcost[[#This Row],[setting]],$O$6:$AA$141,2,FALSE)+VLOOKUP(vcost[[#This Row],[gbd_super]],$AH$6:$AK$11,2,FALSE),0)</f>
        <v>3.0944266636486213</v>
      </c>
      <c r="E237">
        <f>IFERROR(VLOOKUP(vcost[[#This Row],[setting]],$A$6:$E$141,3,FALSE)+VLOOKUP(vcost[[#This Row],[setting]],$O$6:$AA$141,5,FALSE),0)</f>
        <v>2.6241715654877309</v>
      </c>
      <c r="F237" s="33">
        <f>IFERROR(VLOOKUP(vcost[[#This Row],[setting]],$A$6:$E$141,3,FALSE)+VLOOKUP(vcost[[#This Row],[setting]],$O$6:$AA$141,5,FALSE)+VLOOKUP(vcost[[#This Row],[gbd_super]],$AH$6:$AK$11,2,FALSE),0)</f>
        <v>2.6441715654877309</v>
      </c>
      <c r="G237" s="33">
        <f>IFERROR(VLOOKUP(vcost[[#This Row],[setting]],$A$6:$E$141,3,FALSE)+VLOOKUP(vcost[[#This Row],[setting]],$O$6:$AA$141,8,FALSE)+VLOOKUP(vcost[[#This Row],[gbd_super]],$AH$6:$AK$11,2,FALSE),0)</f>
        <v>2.6307646318253806</v>
      </c>
      <c r="H237">
        <f>IFERROR(VLOOKUP(vcost[[#This Row],[setting]],$A$6:$E$141,3,FALSE)+$J$8+VLOOKUP(vcost[[#This Row],[setting]],$O$6:$AA$141,11,FALSE),0)</f>
        <v>3.3249539608950127</v>
      </c>
      <c r="I237" s="33">
        <f>IFERROR(VLOOKUP(vcost[[#This Row],[setting]],$A$6:$E$141,3,FALSE)+$J$8+VLOOKUP(vcost[[#This Row],[setting]],$O$6:$AA$141,11,FALSE)+VLOOKUP(vcost[[#This Row],[gbd_super]],$AH$6:$AK$11,2,FALSE),0)</f>
        <v>3.3449539608950127</v>
      </c>
      <c r="O237" s="100" t="s">
        <v>258</v>
      </c>
      <c r="P237" s="134" t="s">
        <v>665</v>
      </c>
      <c r="Q237" s="33">
        <f>IFERROR(VLOOKUP(vcost_lb[[#This Row],[setting]],$A$6:$E$141,4,FALSE)+$K$6+VLOOKUP(vcost_lb[[#This Row],[setting]],$O$6:$AA$141,3,FALSE),0)</f>
        <v>1.1355770334752677</v>
      </c>
      <c r="R237" s="33">
        <f>IFERROR(VLOOKUP(vcost_lb[[#This Row],[setting]],$A$6:$E$141,4,FALSE)+$K$6+VLOOKUP(vcost_lb[[#This Row],[setting]],$O$6:$AA$141,3,FALSE)+VLOOKUP(vcost_lb[[#This Row],[gbd_super]],$AH$6:$AK$11,3,FALSE),0)</f>
        <v>1.1562870334752677</v>
      </c>
      <c r="S237" s="33">
        <f>IFERROR(VLOOKUP(vcost_lb[[#This Row],[setting]],$A$6:$E$141,4,FALSE)+VLOOKUP(vcost_lb[[#This Row],[setting]],$O$6:$AA$141,6,FALSE),0)</f>
        <v>0.76039708255771765</v>
      </c>
      <c r="T237" s="33">
        <f>IFERROR(VLOOKUP(vcost_lb[[#This Row],[setting]],$A$6:$E$141,4,FALSE)+VLOOKUP(vcost_lb[[#This Row],[setting]],$O$6:$AA$141,6,FALSE)+VLOOKUP(vcost_lb[[#This Row],[gbd_super]],$AH$6:$AK$11,3,FALSE),0)</f>
        <v>0.78110708255771766</v>
      </c>
      <c r="U237" s="33">
        <f>IFERROR(VLOOKUP(vcost_lb[[#This Row],[setting]],$A$6:$E$141,4,FALSE)+VLOOKUP(vcost_lb[[#This Row],[setting]],$O$6:$AA$141,9,FALSE)+VLOOKUP(vcost_lb[[#This Row],[gbd_super]],$AH$6:$AK$11,3,FALSE),0)</f>
        <v>0.77228673146406612</v>
      </c>
      <c r="V237" s="33">
        <f>IFERROR(VLOOKUP(vcost_lb[[#This Row],[setting]],$A$6:$E$141,4,FALSE)+$K$8+VLOOKUP(vcost_lb[[#This Row],[setting]],$O$6:$AA$141,12,FALSE),0)</f>
        <v>1.3510099726755727</v>
      </c>
      <c r="W237" s="33">
        <f>IFERROR(VLOOKUP(vcost_lb[[#This Row],[setting]],$A$6:$E$141,4,FALSE)+$K$8+VLOOKUP(vcost_lb[[#This Row],[setting]],$O$6:$AA$141,12,FALSE)+VLOOKUP(vcost_lb[[#This Row],[gbd_super]],$AH$6:$AK$11,3,FALSE),0)</f>
        <v>1.3717199726755727</v>
      </c>
      <c r="AH237" s="100" t="s">
        <v>258</v>
      </c>
      <c r="AI237" s="134" t="s">
        <v>665</v>
      </c>
      <c r="AJ237" s="33">
        <f>IFERROR(VLOOKUP(vcost_ub[[#This Row],[setting]],$A$6:$E$141,5,FALSE)+$L$6+VLOOKUP(vcost_ub[[#This Row],[setting]],$O$6:$AA$141,4,FALSE),0)</f>
        <v>7.3457060006555803</v>
      </c>
      <c r="AK237" s="33">
        <f>IFERROR(VLOOKUP(vcost_ub[[#This Row],[setting]],$A$6:$E$141,5,FALSE)+$L$6+VLOOKUP(vcost_ub[[#This Row],[setting]],$O$6:$AA$141,4,FALSE)+VLOOKUP(vcost_ub[[#This Row],[gbd_super]],$AH$6:$AK$11,4,FALSE),0)</f>
        <v>7.3685960006555806</v>
      </c>
      <c r="AL237" s="33">
        <f>IFERROR(VLOOKUP(vcost_ub[[#This Row],[setting]],$A$6:$E$141,5,FALSE)+VLOOKUP(vcost_ub[[#This Row],[setting]],$O$6:$AA$141,7,FALSE),0)</f>
        <v>6.8010883302308702</v>
      </c>
      <c r="AM237" s="33">
        <f>IFERROR(VLOOKUP(vcost_ub[[#This Row],[setting]],$A$6:$E$141,5,FALSE)+VLOOKUP(vcost_ub[[#This Row],[setting]],$O$6:$AA$141,7,FALSE)+VLOOKUP(vcost_ub[[#This Row],[gbd_super]],$AH$6:$AK$11,4,FALSE),0)</f>
        <v>6.8239783302308705</v>
      </c>
      <c r="AN237" s="33">
        <f>IFERROR(VLOOKUP(vcost_ub[[#This Row],[setting]],$A$6:$E$141,5,FALSE)+VLOOKUP(vcost_ub[[#This Row],[setting]],$O$6:$AA$141,10,FALSE)+VLOOKUP(vcost_ub[[#This Row],[gbd_super]],$AH$6:$AK$11,4,FALSE),0)</f>
        <v>6.7886969258562644</v>
      </c>
      <c r="AO237" s="33">
        <f>IFERROR(VLOOKUP(vcost_ub[[#This Row],[setting]],$A$6:$E$141,5,FALSE)+$L$8+VLOOKUP(vcost_ub[[#This Row],[setting]],$O$6:$AA$141,13,FALSE),0)</f>
        <v>7.6254053154325012</v>
      </c>
      <c r="AP237" s="33">
        <f>IFERROR(VLOOKUP(vcost_ub[[#This Row],[setting]],$A$6:$E$141,5,FALSE)+$L$8+VLOOKUP(vcost_ub[[#This Row],[setting]],$O$6:$AA$141,13,FALSE)+VLOOKUP(vcost_ub[[#This Row],[gbd_super]],$AH$6:$AK$11,4,FALSE),0)</f>
        <v>7.6482953154325015</v>
      </c>
    </row>
    <row r="238" spans="1:42" x14ac:dyDescent="0.25">
      <c r="A238" s="81" t="s">
        <v>472</v>
      </c>
      <c r="B238" s="135" t="s">
        <v>666</v>
      </c>
      <c r="C238">
        <f>IFERROR(VLOOKUP(vcost[[#This Row],[setting]],$A$6:$E$141,3,FALSE)+$J$6+VLOOKUP(vcost[[#This Row],[setting]],$O$6:$AA$141,2,FALSE),0)</f>
        <v>6.2858874431838911</v>
      </c>
      <c r="D238">
        <f>IFERROR(VLOOKUP(vcost[[#This Row],[setting]],$A$6:$E$141,3,FALSE)+$J$6+VLOOKUP(vcost[[#This Row],[setting]],$O$6:$AA$141,2,FALSE)+VLOOKUP(vcost[[#This Row],[gbd_super]],$AH$6:$AK$11,2,FALSE),0)</f>
        <v>6.915887443183891</v>
      </c>
      <c r="E238">
        <f>IFERROR(VLOOKUP(vcost[[#This Row],[setting]],$A$6:$E$141,3,FALSE)+VLOOKUP(vcost[[#This Row],[setting]],$O$6:$AA$141,5,FALSE),0)</f>
        <v>5.8477037830474874</v>
      </c>
      <c r="F238" s="33">
        <f>IFERROR(VLOOKUP(vcost[[#This Row],[setting]],$A$6:$E$141,3,FALSE)+VLOOKUP(vcost[[#This Row],[setting]],$O$6:$AA$141,5,FALSE)+VLOOKUP(vcost[[#This Row],[gbd_super]],$AH$6:$AK$11,2,FALSE),0)</f>
        <v>6.4777037830474873</v>
      </c>
      <c r="G238" s="33">
        <f>IFERROR(VLOOKUP(vcost[[#This Row],[setting]],$A$6:$E$141,3,FALSE)+VLOOKUP(vcost[[#This Row],[setting]],$O$6:$AA$141,8,FALSE)+VLOOKUP(vcost[[#This Row],[gbd_super]],$AH$6:$AK$11,2,FALSE),0)</f>
        <v>6.4698440784143525</v>
      </c>
      <c r="H238">
        <f>IFERROR(VLOOKUP(vcost[[#This Row],[setting]],$A$6:$E$141,3,FALSE)+$J$8+VLOOKUP(vcost[[#This Row],[setting]],$O$6:$AA$141,11,FALSE),0)</f>
        <v>6.5320634081191296</v>
      </c>
      <c r="I238" s="33">
        <f>IFERROR(VLOOKUP(vcost[[#This Row],[setting]],$A$6:$E$141,3,FALSE)+$J$8+VLOOKUP(vcost[[#This Row],[setting]],$O$6:$AA$141,11,FALSE)+VLOOKUP(vcost[[#This Row],[gbd_super]],$AH$6:$AK$11,2,FALSE),0)</f>
        <v>7.1620634081191294</v>
      </c>
      <c r="O238" s="81" t="s">
        <v>472</v>
      </c>
      <c r="P238" s="135" t="s">
        <v>666</v>
      </c>
      <c r="Q238" s="33">
        <f>IFERROR(VLOOKUP(vcost_lb[[#This Row],[setting]],$A$6:$E$141,4,FALSE)+$K$6+VLOOKUP(vcost_lb[[#This Row],[setting]],$O$6:$AA$141,3,FALSE),0)</f>
        <v>2.1433459610092056</v>
      </c>
      <c r="R238" s="33">
        <f>IFERROR(VLOOKUP(vcost_lb[[#This Row],[setting]],$A$6:$E$141,4,FALSE)+$K$6+VLOOKUP(vcost_lb[[#This Row],[setting]],$O$6:$AA$141,3,FALSE)+VLOOKUP(vcost_lb[[#This Row],[gbd_super]],$AH$6:$AK$11,3,FALSE),0)</f>
        <v>2.7439359610092056</v>
      </c>
      <c r="S238" s="33">
        <f>IFERROR(VLOOKUP(vcost_lb[[#This Row],[setting]],$A$6:$E$141,4,FALSE)+VLOOKUP(vcost_lb[[#This Row],[setting]],$O$6:$AA$141,6,FALSE),0)</f>
        <v>1.7730788046365045</v>
      </c>
      <c r="T238" s="33">
        <f>IFERROR(VLOOKUP(vcost_lb[[#This Row],[setting]],$A$6:$E$141,4,FALSE)+VLOOKUP(vcost_lb[[#This Row],[setting]],$O$6:$AA$141,6,FALSE)+VLOOKUP(vcost_lb[[#This Row],[gbd_super]],$AH$6:$AK$11,3,FALSE),0)</f>
        <v>2.3736688046365044</v>
      </c>
      <c r="U238" s="33">
        <f>IFERROR(VLOOKUP(vcost_lb[[#This Row],[setting]],$A$6:$E$141,4,FALSE)+VLOOKUP(vcost_lb[[#This Row],[setting]],$O$6:$AA$141,9,FALSE)+VLOOKUP(vcost_lb[[#This Row],[gbd_super]],$AH$6:$AK$11,3,FALSE),0)</f>
        <v>2.3684979463252316</v>
      </c>
      <c r="V238" s="33">
        <f>IFERROR(VLOOKUP(vcost_lb[[#This Row],[setting]],$A$6:$E$141,4,FALSE)+$K$8+VLOOKUP(vcost_lb[[#This Row],[setting]],$O$6:$AA$141,12,FALSE),0)</f>
        <v>2.3566734168331465</v>
      </c>
      <c r="W238" s="33">
        <f>IFERROR(VLOOKUP(vcost_lb[[#This Row],[setting]],$A$6:$E$141,4,FALSE)+$K$8+VLOOKUP(vcost_lb[[#This Row],[setting]],$O$6:$AA$141,12,FALSE)+VLOOKUP(vcost_lb[[#This Row],[gbd_super]],$AH$6:$AK$11,3,FALSE),0)</f>
        <v>2.9572634168331464</v>
      </c>
      <c r="AH238" s="81" t="s">
        <v>472</v>
      </c>
      <c r="AI238" s="135" t="s">
        <v>666</v>
      </c>
      <c r="AJ238" s="33">
        <f>IFERROR(VLOOKUP(vcost_ub[[#This Row],[setting]],$A$6:$E$141,5,FALSE)+$L$6+VLOOKUP(vcost_ub[[#This Row],[setting]],$O$6:$AA$141,4,FALSE),0)</f>
        <v>15.112453302947571</v>
      </c>
      <c r="AK238" s="33">
        <f>IFERROR(VLOOKUP(vcost_ub[[#This Row],[setting]],$A$6:$E$141,5,FALSE)+$L$6+VLOOKUP(vcost_ub[[#This Row],[setting]],$O$6:$AA$141,4,FALSE)+VLOOKUP(vcost_ub[[#This Row],[gbd_super]],$AH$6:$AK$11,4,FALSE),0)</f>
        <v>15.776263302947571</v>
      </c>
      <c r="AL238" s="33">
        <f>IFERROR(VLOOKUP(vcost_ub[[#This Row],[setting]],$A$6:$E$141,5,FALSE)+VLOOKUP(vcost_ub[[#This Row],[setting]],$O$6:$AA$141,7,FALSE),0)</f>
        <v>14.590715218546018</v>
      </c>
      <c r="AM238" s="33">
        <f>IFERROR(VLOOKUP(vcost_ub[[#This Row],[setting]],$A$6:$E$141,5,FALSE)+VLOOKUP(vcost_ub[[#This Row],[setting]],$O$6:$AA$141,7,FALSE)+VLOOKUP(vcost_ub[[#This Row],[gbd_super]],$AH$6:$AK$11,4,FALSE),0)</f>
        <v>15.254525218546018</v>
      </c>
      <c r="AN238" s="33">
        <f>IFERROR(VLOOKUP(vcost_ub[[#This Row],[setting]],$A$6:$E$141,5,FALSE)+VLOOKUP(vcost_ub[[#This Row],[setting]],$O$6:$AA$141,10,FALSE)+VLOOKUP(vcost_ub[[#This Row],[gbd_super]],$AH$6:$AK$11,4,FALSE),0)</f>
        <v>15.233841785300925</v>
      </c>
      <c r="AO238" s="33">
        <f>IFERROR(VLOOKUP(vcost_ub[[#This Row],[setting]],$A$6:$E$141,5,FALSE)+$L$8+VLOOKUP(vcost_ub[[#This Row],[setting]],$O$6:$AA$141,13,FALSE),0)</f>
        <v>15.386959092062796</v>
      </c>
      <c r="AP238" s="33">
        <f>IFERROR(VLOOKUP(vcost_ub[[#This Row],[setting]],$A$6:$E$141,5,FALSE)+$L$8+VLOOKUP(vcost_ub[[#This Row],[setting]],$O$6:$AA$141,13,FALSE)+VLOOKUP(vcost_ub[[#This Row],[gbd_super]],$AH$6:$AK$11,4,FALSE),0)</f>
        <v>16.050769092062797</v>
      </c>
    </row>
    <row r="239" spans="1:42" x14ac:dyDescent="0.25">
      <c r="A239" s="81" t="s">
        <v>639</v>
      </c>
      <c r="B239" s="134" t="s">
        <v>663</v>
      </c>
      <c r="C239">
        <f>IFERROR(VLOOKUP(vcost[[#This Row],[setting]],$A$6:$E$141,3,FALSE)+$J$6+VLOOKUP(vcost[[#This Row],[setting]],$O$6:$AA$141,2,FALSE),0)</f>
        <v>5.1351076319743525</v>
      </c>
      <c r="D239">
        <f>IFERROR(VLOOKUP(vcost[[#This Row],[setting]],$A$6:$E$141,3,FALSE)+$J$6+VLOOKUP(vcost[[#This Row],[setting]],$O$6:$AA$141,2,FALSE)+VLOOKUP(vcost[[#This Row],[gbd_super]],$AH$6:$AK$11,2,FALSE),0)</f>
        <v>9.2051076319743537</v>
      </c>
      <c r="E239">
        <f>IFERROR(VLOOKUP(vcost[[#This Row],[setting]],$A$6:$E$141,3,FALSE)+VLOOKUP(vcost[[#This Row],[setting]],$O$6:$AA$141,5,FALSE),0)</f>
        <v>4.6899589333442471</v>
      </c>
      <c r="F239" s="33">
        <f>IFERROR(VLOOKUP(vcost[[#This Row],[setting]],$A$6:$E$141,3,FALSE)+VLOOKUP(vcost[[#This Row],[setting]],$O$6:$AA$141,5,FALSE)+VLOOKUP(vcost[[#This Row],[gbd_super]],$AH$6:$AK$11,2,FALSE),0)</f>
        <v>8.7599589333442474</v>
      </c>
      <c r="G239" s="33">
        <f>IFERROR(VLOOKUP(vcost[[#This Row],[setting]],$A$6:$E$141,3,FALSE)+VLOOKUP(vcost[[#This Row],[setting]],$O$6:$AA$141,8,FALSE)+VLOOKUP(vcost[[#This Row],[gbd_super]],$AH$6:$AK$11,2,FALSE),0)</f>
        <v>8.7485765663292412</v>
      </c>
      <c r="H239">
        <f>IFERROR(VLOOKUP(vcost[[#This Row],[setting]],$A$6:$E$141,3,FALSE)+$J$8+VLOOKUP(vcost[[#This Row],[setting]],$O$6:$AA$141,11,FALSE),0)</f>
        <v>5.3837942503201113</v>
      </c>
      <c r="I239" s="33">
        <f>IFERROR(VLOOKUP(vcost[[#This Row],[setting]],$A$6:$E$141,3,FALSE)+$J$8+VLOOKUP(vcost[[#This Row],[setting]],$O$6:$AA$141,11,FALSE)+VLOOKUP(vcost[[#This Row],[gbd_super]],$AH$6:$AK$11,2,FALSE),0)</f>
        <v>9.4537942503201116</v>
      </c>
      <c r="O239" s="81" t="s">
        <v>639</v>
      </c>
      <c r="P239" s="134" t="s">
        <v>663</v>
      </c>
      <c r="Q239" s="33">
        <f>IFERROR(VLOOKUP(vcost_lb[[#This Row],[setting]],$A$6:$E$141,4,FALSE)+$K$6+VLOOKUP(vcost_lb[[#This Row],[setting]],$O$6:$AA$141,3,FALSE),0)</f>
        <v>2.4283300106832124</v>
      </c>
      <c r="R239" s="33">
        <f>IFERROR(VLOOKUP(vcost_lb[[#This Row],[setting]],$A$6:$E$141,4,FALSE)+$K$6+VLOOKUP(vcost_lb[[#This Row],[setting]],$O$6:$AA$141,3,FALSE)+VLOOKUP(vcost_lb[[#This Row],[gbd_super]],$AH$6:$AK$11,3,FALSE),0)</f>
        <v>6.2907450106832128</v>
      </c>
      <c r="S239" s="33">
        <f>IFERROR(VLOOKUP(vcost_lb[[#This Row],[setting]],$A$6:$E$141,4,FALSE)+VLOOKUP(vcost_lb[[#This Row],[setting]],$O$6:$AA$141,6,FALSE),0)</f>
        <v>2.0552282456212145</v>
      </c>
      <c r="T239" s="33">
        <f>IFERROR(VLOOKUP(vcost_lb[[#This Row],[setting]],$A$6:$E$141,4,FALSE)+VLOOKUP(vcost_lb[[#This Row],[setting]],$O$6:$AA$141,6,FALSE)+VLOOKUP(vcost_lb[[#This Row],[gbd_super]],$AH$6:$AK$11,3,FALSE),0)</f>
        <v>5.9176432456212149</v>
      </c>
      <c r="U239" s="33">
        <f>IFERROR(VLOOKUP(vcost_lb[[#This Row],[setting]],$A$6:$E$141,4,FALSE)+VLOOKUP(vcost_lb[[#This Row],[setting]],$O$6:$AA$141,9,FALSE)+VLOOKUP(vcost_lb[[#This Row],[gbd_super]],$AH$6:$AK$11,3,FALSE),0)</f>
        <v>5.9101548462692381</v>
      </c>
      <c r="V239" s="33">
        <f>IFERROR(VLOOKUP(vcost_lb[[#This Row],[setting]],$A$6:$E$141,4,FALSE)+$K$8+VLOOKUP(vcost_lb[[#This Row],[setting]],$O$6:$AA$141,12,FALSE),0)</f>
        <v>2.6428722988025668</v>
      </c>
      <c r="W239" s="33">
        <f>IFERROR(VLOOKUP(vcost_lb[[#This Row],[setting]],$A$6:$E$141,4,FALSE)+$K$8+VLOOKUP(vcost_lb[[#This Row],[setting]],$O$6:$AA$141,12,FALSE)+VLOOKUP(vcost_lb[[#This Row],[gbd_super]],$AH$6:$AK$11,3,FALSE),0)</f>
        <v>6.5052872988025676</v>
      </c>
      <c r="AH239" s="81" t="s">
        <v>639</v>
      </c>
      <c r="AI239" s="134" t="s">
        <v>663</v>
      </c>
      <c r="AJ239" s="33">
        <f>IFERROR(VLOOKUP(vcost_ub[[#This Row],[setting]],$A$6:$E$141,5,FALSE)+$L$6+VLOOKUP(vcost_ub[[#This Row],[setting]],$O$6:$AA$141,4,FALSE),0)</f>
        <v>9.8785522444965679</v>
      </c>
      <c r="AK239" s="33">
        <f>IFERROR(VLOOKUP(vcost_ub[[#This Row],[setting]],$A$6:$E$141,5,FALSE)+$L$6+VLOOKUP(vcost_ub[[#This Row],[setting]],$O$6:$AA$141,4,FALSE)+VLOOKUP(vcost_ub[[#This Row],[gbd_super]],$AH$6:$AK$11,4,FALSE),0)</f>
        <v>14.147537244496569</v>
      </c>
      <c r="AL239" s="33">
        <f>IFERROR(VLOOKUP(vcost_ub[[#This Row],[setting]],$A$6:$E$141,5,FALSE)+VLOOKUP(vcost_ub[[#This Row],[setting]],$O$6:$AA$141,7,FALSE),0)</f>
        <v>9.3436129824848582</v>
      </c>
      <c r="AM239" s="33">
        <f>IFERROR(VLOOKUP(vcost_ub[[#This Row],[setting]],$A$6:$E$141,5,FALSE)+VLOOKUP(vcost_ub[[#This Row],[setting]],$O$6:$AA$141,7,FALSE)+VLOOKUP(vcost_ub[[#This Row],[gbd_super]],$AH$6:$AK$11,4,FALSE),0)</f>
        <v>13.612597982484859</v>
      </c>
      <c r="AN239" s="33">
        <f>IFERROR(VLOOKUP(vcost_ub[[#This Row],[setting]],$A$6:$E$141,5,FALSE)+VLOOKUP(vcost_ub[[#This Row],[setting]],$O$6:$AA$141,10,FALSE)+VLOOKUP(vcost_ub[[#This Row],[gbd_super]],$AH$6:$AK$11,4,FALSE),0)</f>
        <v>13.582644385076954</v>
      </c>
      <c r="AO239" s="33">
        <f>IFERROR(VLOOKUP(vcost_ub[[#This Row],[setting]],$A$6:$E$141,5,FALSE)+$L$8+VLOOKUP(vcost_ub[[#This Row],[setting]],$O$6:$AA$141,13,FALSE),0)</f>
        <v>10.156054619940479</v>
      </c>
      <c r="AP239" s="33">
        <f>IFERROR(VLOOKUP(vcost_ub[[#This Row],[setting]],$A$6:$E$141,5,FALSE)+$L$8+VLOOKUP(vcost_ub[[#This Row],[setting]],$O$6:$AA$141,13,FALSE)+VLOOKUP(vcost_ub[[#This Row],[gbd_super]],$AH$6:$AK$11,4,FALSE),0)</f>
        <v>14.425039619940479</v>
      </c>
    </row>
    <row r="240" spans="1:42" x14ac:dyDescent="0.25">
      <c r="A240" s="103" t="s">
        <v>208</v>
      </c>
      <c r="B240" s="135" t="s">
        <v>663</v>
      </c>
      <c r="C240">
        <f>IFERROR(VLOOKUP(vcost[[#This Row],[setting]],$A$6:$E$141,3,FALSE)+$J$6+VLOOKUP(vcost[[#This Row],[setting]],$O$6:$AA$141,2,FALSE),0)</f>
        <v>6.6785265038907387</v>
      </c>
      <c r="D240">
        <f>IFERROR(VLOOKUP(vcost[[#This Row],[setting]],$A$6:$E$141,3,FALSE)+$J$6+VLOOKUP(vcost[[#This Row],[setting]],$O$6:$AA$141,2,FALSE)+VLOOKUP(vcost[[#This Row],[gbd_super]],$AH$6:$AK$11,2,FALSE),0)</f>
        <v>10.748526503890739</v>
      </c>
      <c r="E240">
        <f>IFERROR(VLOOKUP(vcost[[#This Row],[setting]],$A$6:$E$141,3,FALSE)+VLOOKUP(vcost[[#This Row],[setting]],$O$6:$AA$141,5,FALSE),0)</f>
        <v>6.2342171695519344</v>
      </c>
      <c r="F240" s="33">
        <f>IFERROR(VLOOKUP(vcost[[#This Row],[setting]],$A$6:$E$141,3,FALSE)+VLOOKUP(vcost[[#This Row],[setting]],$O$6:$AA$141,5,FALSE)+VLOOKUP(vcost[[#This Row],[gbd_super]],$AH$6:$AK$11,2,FALSE),0)</f>
        <v>10.304217169551935</v>
      </c>
      <c r="G240" s="33">
        <f>IFERROR(VLOOKUP(vcost[[#This Row],[setting]],$A$6:$E$141,3,FALSE)+VLOOKUP(vcost[[#This Row],[setting]],$O$6:$AA$141,8,FALSE)+VLOOKUP(vcost[[#This Row],[gbd_super]],$AH$6:$AK$11,2,FALSE),0)</f>
        <v>10.293115855156408</v>
      </c>
      <c r="H240">
        <f>IFERROR(VLOOKUP(vcost[[#This Row],[setting]],$A$6:$E$141,3,FALSE)+$J$8+VLOOKUP(vcost[[#This Row],[setting]],$O$6:$AA$141,11,FALSE),0)</f>
        <v>6.9269105606896328</v>
      </c>
      <c r="I240" s="33">
        <f>IFERROR(VLOOKUP(vcost[[#This Row],[setting]],$A$6:$E$141,3,FALSE)+$J$8+VLOOKUP(vcost[[#This Row],[setting]],$O$6:$AA$141,11,FALSE)+VLOOKUP(vcost[[#This Row],[gbd_super]],$AH$6:$AK$11,2,FALSE),0)</f>
        <v>10.996910560689633</v>
      </c>
      <c r="O240" s="103" t="s">
        <v>208</v>
      </c>
      <c r="P240" s="135" t="s">
        <v>663</v>
      </c>
      <c r="Q240" s="33">
        <f>IFERROR(VLOOKUP(vcost_lb[[#This Row],[setting]],$A$6:$E$141,4,FALSE)+$K$6+VLOOKUP(vcost_lb[[#This Row],[setting]],$O$6:$AA$141,3,FALSE),0)</f>
        <v>3.1382004064418103</v>
      </c>
      <c r="R240" s="33">
        <f>IFERROR(VLOOKUP(vcost_lb[[#This Row],[setting]],$A$6:$E$141,4,FALSE)+$K$6+VLOOKUP(vcost_lb[[#This Row],[setting]],$O$6:$AA$141,3,FALSE)+VLOOKUP(vcost_lb[[#This Row],[gbd_super]],$AH$6:$AK$11,3,FALSE),0)</f>
        <v>7.0006154064418107</v>
      </c>
      <c r="S240" s="33">
        <f>IFERROR(VLOOKUP(vcost_lb[[#This Row],[setting]],$A$6:$E$141,4,FALSE)+VLOOKUP(vcost_lb[[#This Row],[setting]],$O$6:$AA$141,6,FALSE),0)</f>
        <v>2.7654402431262723</v>
      </c>
      <c r="T240" s="33">
        <f>IFERROR(VLOOKUP(vcost_lb[[#This Row],[setting]],$A$6:$E$141,4,FALSE)+VLOOKUP(vcost_lb[[#This Row],[setting]],$O$6:$AA$141,6,FALSE)+VLOOKUP(vcost_lb[[#This Row],[gbd_super]],$AH$6:$AK$11,3,FALSE),0)</f>
        <v>6.6278552431262732</v>
      </c>
      <c r="U240" s="33">
        <f>IFERROR(VLOOKUP(vcost_lb[[#This Row],[setting]],$A$6:$E$141,4,FALSE)+VLOOKUP(vcost_lb[[#This Row],[setting]],$O$6:$AA$141,9,FALSE)+VLOOKUP(vcost_lb[[#This Row],[gbd_super]],$AH$6:$AK$11,3,FALSE),0)</f>
        <v>6.620551746813427</v>
      </c>
      <c r="V240" s="33">
        <f>IFERROR(VLOOKUP(vcost_lb[[#This Row],[setting]],$A$6:$E$141,4,FALSE)+$K$8+VLOOKUP(vcost_lb[[#This Row],[setting]],$O$6:$AA$141,12,FALSE),0)</f>
        <v>3.3525962938126814</v>
      </c>
      <c r="W240" s="33">
        <f>IFERROR(VLOOKUP(vcost_lb[[#This Row],[setting]],$A$6:$E$141,4,FALSE)+$K$8+VLOOKUP(vcost_lb[[#This Row],[setting]],$O$6:$AA$141,12,FALSE)+VLOOKUP(vcost_lb[[#This Row],[gbd_super]],$AH$6:$AK$11,3,FALSE),0)</f>
        <v>7.2150112938126814</v>
      </c>
      <c r="AH240" s="103" t="s">
        <v>208</v>
      </c>
      <c r="AI240" s="135" t="s">
        <v>663</v>
      </c>
      <c r="AJ240" s="33">
        <f>IFERROR(VLOOKUP(vcost_ub[[#This Row],[setting]],$A$6:$E$141,5,FALSE)+$L$6+VLOOKUP(vcost_ub[[#This Row],[setting]],$O$6:$AA$141,4,FALSE),0)</f>
        <v>12.820809346383284</v>
      </c>
      <c r="AK240" s="33">
        <f>IFERROR(VLOOKUP(vcost_ub[[#This Row],[setting]],$A$6:$E$141,5,FALSE)+$L$6+VLOOKUP(vcost_ub[[#This Row],[setting]],$O$6:$AA$141,4,FALSE)+VLOOKUP(vcost_ub[[#This Row],[gbd_super]],$AH$6:$AK$11,4,FALSE),0)</f>
        <v>17.089794346383286</v>
      </c>
      <c r="AL240" s="33">
        <f>IFERROR(VLOOKUP(vcost_ub[[#This Row],[setting]],$A$6:$E$141,5,FALSE)+VLOOKUP(vcost_ub[[#This Row],[setting]],$O$6:$AA$141,7,FALSE),0)</f>
        <v>12.287460972505087</v>
      </c>
      <c r="AM240" s="33">
        <f>IFERROR(VLOOKUP(vcost_ub[[#This Row],[setting]],$A$6:$E$141,5,FALSE)+VLOOKUP(vcost_ub[[#This Row],[setting]],$O$6:$AA$141,7,FALSE)+VLOOKUP(vcost_ub[[#This Row],[gbd_super]],$AH$6:$AK$11,4,FALSE),0)</f>
        <v>16.556445972505088</v>
      </c>
      <c r="AN240" s="33">
        <f>IFERROR(VLOOKUP(vcost_ub[[#This Row],[setting]],$A$6:$E$141,5,FALSE)+VLOOKUP(vcost_ub[[#This Row],[setting]],$O$6:$AA$141,10,FALSE)+VLOOKUP(vcost_ub[[#This Row],[gbd_super]],$AH$6:$AK$11,4,FALSE),0)</f>
        <v>16.527231987253707</v>
      </c>
      <c r="AO240" s="33">
        <f>IFERROR(VLOOKUP(vcost_ub[[#This Row],[setting]],$A$6:$E$141,5,FALSE)+$L$8+VLOOKUP(vcost_ub[[#This Row],[setting]],$O$6:$AA$141,13,FALSE),0)</f>
        <v>13.097950599980935</v>
      </c>
      <c r="AP240" s="33">
        <f>IFERROR(VLOOKUP(vcost_ub[[#This Row],[setting]],$A$6:$E$141,5,FALSE)+$L$8+VLOOKUP(vcost_ub[[#This Row],[setting]],$O$6:$AA$141,13,FALSE)+VLOOKUP(vcost_ub[[#This Row],[gbd_super]],$AH$6:$AK$11,4,FALSE),0)</f>
        <v>17.366935599980934</v>
      </c>
    </row>
    <row r="241" spans="1:42" x14ac:dyDescent="0.25">
      <c r="A241" s="100" t="s">
        <v>341</v>
      </c>
      <c r="B241" s="134" t="s">
        <v>663</v>
      </c>
      <c r="C241">
        <f>IFERROR(VLOOKUP(vcost[[#This Row],[setting]],$A$6:$E$141,3,FALSE)+$J$6+VLOOKUP(vcost[[#This Row],[setting]],$O$6:$AA$141,2,FALSE),0)</f>
        <v>8.0309668743467455</v>
      </c>
      <c r="D241">
        <f>IFERROR(VLOOKUP(vcost[[#This Row],[setting]],$A$6:$E$141,3,FALSE)+$J$6+VLOOKUP(vcost[[#This Row],[setting]],$O$6:$AA$141,2,FALSE)+VLOOKUP(vcost[[#This Row],[gbd_super]],$AH$6:$AK$11,2,FALSE),0)</f>
        <v>12.100966874346746</v>
      </c>
      <c r="E241">
        <f>IFERROR(VLOOKUP(vcost[[#This Row],[setting]],$A$6:$E$141,3,FALSE)+VLOOKUP(vcost[[#This Row],[setting]],$O$6:$AA$141,5,FALSE),0)</f>
        <v>7.5849904297658624</v>
      </c>
      <c r="F241" s="33">
        <f>IFERROR(VLOOKUP(vcost[[#This Row],[setting]],$A$6:$E$141,3,FALSE)+VLOOKUP(vcost[[#This Row],[setting]],$O$6:$AA$141,5,FALSE)+VLOOKUP(vcost[[#This Row],[gbd_super]],$AH$6:$AK$11,2,FALSE),0)</f>
        <v>11.654990429765864</v>
      </c>
      <c r="G241" s="33">
        <f>IFERROR(VLOOKUP(vcost[[#This Row],[setting]],$A$6:$E$141,3,FALSE)+VLOOKUP(vcost[[#This Row],[setting]],$O$6:$AA$141,8,FALSE)+VLOOKUP(vcost[[#This Row],[gbd_super]],$AH$6:$AK$11,2,FALSE),0)</f>
        <v>11.643783375887281</v>
      </c>
      <c r="H241">
        <f>IFERROR(VLOOKUP(vcost[[#This Row],[setting]],$A$6:$E$141,3,FALSE)+$J$8+VLOOKUP(vcost[[#This Row],[setting]],$O$6:$AA$141,11,FALSE),0)</f>
        <v>8.2799518662328992</v>
      </c>
      <c r="I241" s="33">
        <f>IFERROR(VLOOKUP(vcost[[#This Row],[setting]],$A$6:$E$141,3,FALSE)+$J$8+VLOOKUP(vcost[[#This Row],[setting]],$O$6:$AA$141,11,FALSE)+VLOOKUP(vcost[[#This Row],[gbd_super]],$AH$6:$AK$11,2,FALSE),0)</f>
        <v>12.3499518662329</v>
      </c>
      <c r="O241" s="100" t="s">
        <v>341</v>
      </c>
      <c r="P241" s="134" t="s">
        <v>663</v>
      </c>
      <c r="Q241" s="33">
        <f>IFERROR(VLOOKUP(vcost_lb[[#This Row],[setting]],$A$6:$E$141,4,FALSE)+$K$6+VLOOKUP(vcost_lb[[#This Row],[setting]],$O$6:$AA$141,3,FALSE),0)</f>
        <v>2.9750481316810728</v>
      </c>
      <c r="R241" s="33">
        <f>IFERROR(VLOOKUP(vcost_lb[[#This Row],[setting]],$A$6:$E$141,4,FALSE)+$K$6+VLOOKUP(vcost_lb[[#This Row],[setting]],$O$6:$AA$141,3,FALSE)+VLOOKUP(vcost_lb[[#This Row],[gbd_super]],$AH$6:$AK$11,3,FALSE),0)</f>
        <v>6.8374631316810728</v>
      </c>
      <c r="S241" s="33">
        <f>IFERROR(VLOOKUP(vcost_lb[[#This Row],[setting]],$A$6:$E$141,4,FALSE)+VLOOKUP(vcost_lb[[#This Row],[setting]],$O$6:$AA$141,6,FALSE),0)</f>
        <v>2.6016094932670146</v>
      </c>
      <c r="T241" s="33">
        <f>IFERROR(VLOOKUP(vcost_lb[[#This Row],[setting]],$A$6:$E$141,4,FALSE)+VLOOKUP(vcost_lb[[#This Row],[setting]],$O$6:$AA$141,6,FALSE)+VLOOKUP(vcost_lb[[#This Row],[gbd_super]],$AH$6:$AK$11,3,FALSE),0)</f>
        <v>6.464024493267015</v>
      </c>
      <c r="U241" s="33">
        <f>IFERROR(VLOOKUP(vcost_lb[[#This Row],[setting]],$A$6:$E$141,4,FALSE)+VLOOKUP(vcost_lb[[#This Row],[setting]],$O$6:$AA$141,9,FALSE)+VLOOKUP(vcost_lb[[#This Row],[gbd_super]],$AH$6:$AK$11,3,FALSE),0)</f>
        <v>6.45665143150479</v>
      </c>
      <c r="V241" s="33">
        <f>IFERROR(VLOOKUP(vcost_lb[[#This Row],[setting]],$A$6:$E$141,4,FALSE)+$K$8+VLOOKUP(vcost_lb[[#This Row],[setting]],$O$6:$AA$141,12,FALSE),0)</f>
        <v>3.1897347940941669</v>
      </c>
      <c r="W241" s="33">
        <f>IFERROR(VLOOKUP(vcost_lb[[#This Row],[setting]],$A$6:$E$141,4,FALSE)+$K$8+VLOOKUP(vcost_lb[[#This Row],[setting]],$O$6:$AA$141,12,FALSE)+VLOOKUP(vcost_lb[[#This Row],[gbd_super]],$AH$6:$AK$11,3,FALSE),0)</f>
        <v>7.0521497940941673</v>
      </c>
      <c r="AH241" s="100" t="s">
        <v>341</v>
      </c>
      <c r="AI241" s="134" t="s">
        <v>663</v>
      </c>
      <c r="AJ241" s="33">
        <f>IFERROR(VLOOKUP(vcost_ub[[#This Row],[setting]],$A$6:$E$141,5,FALSE)+$L$6+VLOOKUP(vcost_ub[[#This Row],[setting]],$O$6:$AA$141,4,FALSE),0)</f>
        <v>18.688546102405077</v>
      </c>
      <c r="AK241" s="33">
        <f>IFERROR(VLOOKUP(vcost_ub[[#This Row],[setting]],$A$6:$E$141,5,FALSE)+$L$6+VLOOKUP(vcost_ub[[#This Row],[setting]],$O$6:$AA$141,4,FALSE)+VLOOKUP(vcost_ub[[#This Row],[gbd_super]],$AH$6:$AK$11,4,FALSE),0)</f>
        <v>22.957531102405078</v>
      </c>
      <c r="AL241" s="33">
        <f>IFERROR(VLOOKUP(vcost_ub[[#This Row],[setting]],$A$6:$E$141,5,FALSE)+VLOOKUP(vcost_ub[[#This Row],[setting]],$O$6:$AA$141,7,FALSE),0)</f>
        <v>18.152037973068062</v>
      </c>
      <c r="AM241" s="33">
        <f>IFERROR(VLOOKUP(vcost_ub[[#This Row],[setting]],$A$6:$E$141,5,FALSE)+VLOOKUP(vcost_ub[[#This Row],[setting]],$O$6:$AA$141,7,FALSE)+VLOOKUP(vcost_ub[[#This Row],[gbd_super]],$AH$6:$AK$11,4,FALSE),0)</f>
        <v>22.421022973068062</v>
      </c>
      <c r="AN241" s="33">
        <f>IFERROR(VLOOKUP(vcost_ub[[#This Row],[setting]],$A$6:$E$141,5,FALSE)+VLOOKUP(vcost_ub[[#This Row],[setting]],$O$6:$AA$141,10,FALSE)+VLOOKUP(vcost_ub[[#This Row],[gbd_super]],$AH$6:$AK$11,4,FALSE),0)</f>
        <v>22.391530726019163</v>
      </c>
      <c r="AO241" s="33">
        <f>IFERROR(VLOOKUP(vcost_ub[[#This Row],[setting]],$A$6:$E$141,5,FALSE)+$L$8+VLOOKUP(vcost_ub[[#This Row],[setting]],$O$6:$AA$141,13,FALSE),0)</f>
        <v>18.966404601106881</v>
      </c>
      <c r="AP241" s="33">
        <f>IFERROR(VLOOKUP(vcost_ub[[#This Row],[setting]],$A$6:$E$141,5,FALSE)+$L$8+VLOOKUP(vcost_ub[[#This Row],[setting]],$O$6:$AA$141,13,FALSE)+VLOOKUP(vcost_ub[[#This Row],[gbd_super]],$AH$6:$AK$11,4,FALSE),0)</f>
        <v>23.235389601106881</v>
      </c>
    </row>
    <row r="242" spans="1:42" x14ac:dyDescent="0.25">
      <c r="A242" s="103" t="s">
        <v>160</v>
      </c>
      <c r="B242" s="135" t="s">
        <v>579</v>
      </c>
      <c r="C242">
        <f>IFERROR(VLOOKUP(vcost[[#This Row],[setting]],$A$6:$E$141,3,FALSE)+$J$6+VLOOKUP(vcost[[#This Row],[setting]],$O$6:$AA$141,2,FALSE),0)</f>
        <v>3.9045529322116841</v>
      </c>
      <c r="D242">
        <f>IFERROR(VLOOKUP(vcost[[#This Row],[setting]],$A$6:$E$141,3,FALSE)+$J$6+VLOOKUP(vcost[[#This Row],[setting]],$O$6:$AA$141,2,FALSE)+VLOOKUP(vcost[[#This Row],[gbd_super]],$AH$6:$AK$11,2,FALSE),0)</f>
        <v>4.3845529322116841</v>
      </c>
      <c r="E242">
        <f>IFERROR(VLOOKUP(vcost[[#This Row],[setting]],$A$6:$E$141,3,FALSE)+VLOOKUP(vcost[[#This Row],[setting]],$O$6:$AA$141,5,FALSE),0)</f>
        <v>3.4674493211099087</v>
      </c>
      <c r="F242" s="33">
        <f>IFERROR(VLOOKUP(vcost[[#This Row],[setting]],$A$6:$E$141,3,FALSE)+VLOOKUP(vcost[[#This Row],[setting]],$O$6:$AA$141,5,FALSE)+VLOOKUP(vcost[[#This Row],[gbd_super]],$AH$6:$AK$11,2,FALSE),0)</f>
        <v>3.9474493211099086</v>
      </c>
      <c r="G242" s="33">
        <f>IFERROR(VLOOKUP(vcost[[#This Row],[setting]],$A$6:$E$141,3,FALSE)+VLOOKUP(vcost[[#This Row],[setting]],$O$6:$AA$141,8,FALSE)+VLOOKUP(vcost[[#This Row],[gbd_super]],$AH$6:$AK$11,2,FALSE),0)</f>
        <v>3.9395189340828933</v>
      </c>
      <c r="H242">
        <f>IFERROR(VLOOKUP(vcost[[#This Row],[setting]],$A$6:$E$141,3,FALSE)+$J$8+VLOOKUP(vcost[[#This Row],[setting]],$O$6:$AA$141,11,FALSE),0)</f>
        <v>4.1503395771460685</v>
      </c>
      <c r="I242" s="33">
        <f>IFERROR(VLOOKUP(vcost[[#This Row],[setting]],$A$6:$E$141,3,FALSE)+$J$8+VLOOKUP(vcost[[#This Row],[setting]],$O$6:$AA$141,11,FALSE)+VLOOKUP(vcost[[#This Row],[gbd_super]],$AH$6:$AK$11,2,FALSE),0)</f>
        <v>4.6303395771460689</v>
      </c>
      <c r="O242" s="103" t="s">
        <v>160</v>
      </c>
      <c r="P242" s="135" t="s">
        <v>579</v>
      </c>
      <c r="Q242" s="33">
        <f>IFERROR(VLOOKUP(vcost_lb[[#This Row],[setting]],$A$6:$E$141,4,FALSE)+$K$6+VLOOKUP(vcost_lb[[#This Row],[setting]],$O$6:$AA$141,3,FALSE),0)</f>
        <v>1.7405784706842822</v>
      </c>
      <c r="R242" s="33">
        <f>IFERROR(VLOOKUP(vcost_lb[[#This Row],[setting]],$A$6:$E$141,4,FALSE)+$K$6+VLOOKUP(vcost_lb[[#This Row],[setting]],$O$6:$AA$141,3,FALSE)+VLOOKUP(vcost_lb[[#This Row],[gbd_super]],$AH$6:$AK$11,3,FALSE),0)</f>
        <v>2.1961984706842821</v>
      </c>
      <c r="S242" s="33">
        <f>IFERROR(VLOOKUP(vcost_lb[[#This Row],[setting]],$A$6:$E$141,4,FALSE)+VLOOKUP(vcost_lb[[#This Row],[setting]],$O$6:$AA$141,6,FALSE),0)</f>
        <v>1.3707508691512555</v>
      </c>
      <c r="T242" s="33">
        <f>IFERROR(VLOOKUP(vcost_lb[[#This Row],[setting]],$A$6:$E$141,4,FALSE)+VLOOKUP(vcost_lb[[#This Row],[setting]],$O$6:$AA$141,6,FALSE)+VLOOKUP(vcost_lb[[#This Row],[gbd_super]],$AH$6:$AK$11,3,FALSE),0)</f>
        <v>1.8263708691512557</v>
      </c>
      <c r="U242" s="33">
        <f>IFERROR(VLOOKUP(vcost_lb[[#This Row],[setting]],$A$6:$E$141,4,FALSE)+VLOOKUP(vcost_lb[[#This Row],[setting]],$O$6:$AA$141,9,FALSE)+VLOOKUP(vcost_lb[[#This Row],[gbd_super]],$AH$6:$AK$11,3,FALSE),0)</f>
        <v>1.821153509265061</v>
      </c>
      <c r="V242" s="33">
        <f>IFERROR(VLOOKUP(vcost_lb[[#This Row],[setting]],$A$6:$E$141,4,FALSE)+$K$8+VLOOKUP(vcost_lb[[#This Row],[setting]],$O$6:$AA$141,12,FALSE),0)</f>
        <v>1.9537175458626486</v>
      </c>
      <c r="W242" s="33">
        <f>IFERROR(VLOOKUP(vcost_lb[[#This Row],[setting]],$A$6:$E$141,4,FALSE)+$K$8+VLOOKUP(vcost_lb[[#This Row],[setting]],$O$6:$AA$141,12,FALSE)+VLOOKUP(vcost_lb[[#This Row],[gbd_super]],$AH$6:$AK$11,3,FALSE),0)</f>
        <v>2.4093375458626487</v>
      </c>
      <c r="AH242" s="103" t="s">
        <v>160</v>
      </c>
      <c r="AI242" s="135" t="s">
        <v>579</v>
      </c>
      <c r="AJ242" s="33">
        <f>IFERROR(VLOOKUP(vcost_ub[[#This Row],[setting]],$A$6:$E$141,5,FALSE)+$L$6+VLOOKUP(vcost_ub[[#This Row],[setting]],$O$6:$AA$141,4,FALSE),0)</f>
        <v>7.8051944913246656</v>
      </c>
      <c r="AK242" s="33">
        <f>IFERROR(VLOOKUP(vcost_ub[[#This Row],[setting]],$A$6:$E$141,5,FALSE)+$L$6+VLOOKUP(vcost_ub[[#This Row],[setting]],$O$6:$AA$141,4,FALSE)+VLOOKUP(vcost_ub[[#This Row],[gbd_super]],$AH$6:$AK$11,4,FALSE),0)</f>
        <v>8.3087744913246659</v>
      </c>
      <c r="AL242" s="33">
        <f>IFERROR(VLOOKUP(vcost_ub[[#This Row],[setting]],$A$6:$E$141,5,FALSE)+VLOOKUP(vcost_ub[[#This Row],[setting]],$O$6:$AA$141,7,FALSE),0)</f>
        <v>7.2855034766050224</v>
      </c>
      <c r="AM242" s="33">
        <f>IFERROR(VLOOKUP(vcost_ub[[#This Row],[setting]],$A$6:$E$141,5,FALSE)+VLOOKUP(vcost_ub[[#This Row],[setting]],$O$6:$AA$141,7,FALSE)+VLOOKUP(vcost_ub[[#This Row],[gbd_super]],$AH$6:$AK$11,4,FALSE),0)</f>
        <v>7.7890834766050228</v>
      </c>
      <c r="AN242" s="33">
        <f>IFERROR(VLOOKUP(vcost_ub[[#This Row],[setting]],$A$6:$E$141,5,FALSE)+VLOOKUP(vcost_ub[[#This Row],[setting]],$O$6:$AA$141,10,FALSE)+VLOOKUP(vcost_ub[[#This Row],[gbd_super]],$AH$6:$AK$11,4,FALSE),0)</f>
        <v>7.768214037060245</v>
      </c>
      <c r="AO242" s="33">
        <f>IFERROR(VLOOKUP(vcost_ub[[#This Row],[setting]],$A$6:$E$141,5,FALSE)+$L$8+VLOOKUP(vcost_ub[[#This Row],[setting]],$O$6:$AA$141,13,FALSE),0)</f>
        <v>8.0792356081808041</v>
      </c>
      <c r="AP242" s="33">
        <f>IFERROR(VLOOKUP(vcost_ub[[#This Row],[setting]],$A$6:$E$141,5,FALSE)+$L$8+VLOOKUP(vcost_ub[[#This Row],[setting]],$O$6:$AA$141,13,FALSE)+VLOOKUP(vcost_ub[[#This Row],[gbd_super]],$AH$6:$AK$11,4,FALSE),0)</f>
        <v>8.5828156081808036</v>
      </c>
    </row>
    <row r="243" spans="1:42" x14ac:dyDescent="0.25">
      <c r="A243" s="100" t="s">
        <v>111</v>
      </c>
      <c r="B243" s="134" t="s">
        <v>667</v>
      </c>
      <c r="C243">
        <f>IFERROR(VLOOKUP(vcost[[#This Row],[setting]],$A$6:$E$141,3,FALSE)+$J$6+VLOOKUP(vcost[[#This Row],[setting]],$O$6:$AA$141,2,FALSE),0)</f>
        <v>1.6312737710304879</v>
      </c>
      <c r="D243">
        <f>IFERROR(VLOOKUP(vcost[[#This Row],[setting]],$A$6:$E$141,3,FALSE)+$J$6+VLOOKUP(vcost[[#This Row],[setting]],$O$6:$AA$141,2,FALSE)+VLOOKUP(vcost[[#This Row],[gbd_super]],$AH$6:$AK$11,2,FALSE),0)</f>
        <v>6.4612737710304877</v>
      </c>
      <c r="E243">
        <f>IFERROR(VLOOKUP(vcost[[#This Row],[setting]],$A$6:$E$141,3,FALSE)+VLOOKUP(vcost[[#This Row],[setting]],$O$6:$AA$141,5,FALSE),0)</f>
        <v>1.2089702084570015</v>
      </c>
      <c r="F243" s="33">
        <f>IFERROR(VLOOKUP(vcost[[#This Row],[setting]],$A$6:$E$141,3,FALSE)+VLOOKUP(vcost[[#This Row],[setting]],$O$6:$AA$141,5,FALSE)+VLOOKUP(vcost[[#This Row],[gbd_super]],$AH$6:$AK$11,2,FALSE),0)</f>
        <v>6.0389702084570018</v>
      </c>
      <c r="G243" s="33">
        <f>IFERROR(VLOOKUP(vcost[[#This Row],[setting]],$A$6:$E$141,3,FALSE)+VLOOKUP(vcost[[#This Row],[setting]],$O$6:$AA$141,8,FALSE)+VLOOKUP(vcost[[#This Row],[gbd_super]],$AH$6:$AK$11,2,FALSE),0)</f>
        <v>6.0372852484764854</v>
      </c>
      <c r="H243">
        <f>IFERROR(VLOOKUP(vcost[[#This Row],[setting]],$A$6:$E$141,3,FALSE)+$J$8+VLOOKUP(vcost[[#This Row],[setting]],$O$6:$AA$141,11,FALSE),0)</f>
        <v>1.8717255147511864</v>
      </c>
      <c r="I243" s="33">
        <f>IFERROR(VLOOKUP(vcost[[#This Row],[setting]],$A$6:$E$141,3,FALSE)+$J$8+VLOOKUP(vcost[[#This Row],[setting]],$O$6:$AA$141,11,FALSE)+VLOOKUP(vcost[[#This Row],[gbd_super]],$AH$6:$AK$11,2,FALSE),0)</f>
        <v>6.7017255147511863</v>
      </c>
      <c r="O243" s="100" t="s">
        <v>111</v>
      </c>
      <c r="P243" s="134" t="s">
        <v>667</v>
      </c>
      <c r="Q243" s="33">
        <f>IFERROR(VLOOKUP(vcost_lb[[#This Row],[setting]],$A$6:$E$141,4,FALSE)+$K$6+VLOOKUP(vcost_lb[[#This Row],[setting]],$O$6:$AA$141,3,FALSE),0)</f>
        <v>0.76805051574353089</v>
      </c>
      <c r="R243" s="33">
        <f>IFERROR(VLOOKUP(vcost_lb[[#This Row],[setting]],$A$6:$E$141,4,FALSE)+$K$6+VLOOKUP(vcost_lb[[#This Row],[setting]],$O$6:$AA$141,3,FALSE)+VLOOKUP(vcost_lb[[#This Row],[gbd_super]],$AH$6:$AK$11,3,FALSE),0)</f>
        <v>5.3553155157435315</v>
      </c>
      <c r="S243" s="33">
        <f>IFERROR(VLOOKUP(vcost_lb[[#This Row],[setting]],$A$6:$E$141,4,FALSE)+VLOOKUP(vcost_lb[[#This Row],[setting]],$O$6:$AA$141,6,FALSE),0)</f>
        <v>0.40424618977434307</v>
      </c>
      <c r="T243" s="33">
        <f>IFERROR(VLOOKUP(vcost_lb[[#This Row],[setting]],$A$6:$E$141,4,FALSE)+VLOOKUP(vcost_lb[[#This Row],[setting]],$O$6:$AA$141,6,FALSE)+VLOOKUP(vcost_lb[[#This Row],[gbd_super]],$AH$6:$AK$11,3,FALSE),0)</f>
        <v>4.9915111897743438</v>
      </c>
      <c r="U243" s="33">
        <f>IFERROR(VLOOKUP(vcost_lb[[#This Row],[setting]],$A$6:$E$141,4,FALSE)+VLOOKUP(vcost_lb[[#This Row],[setting]],$O$6:$AA$141,9,FALSE)+VLOOKUP(vcost_lb[[#This Row],[gbd_super]],$AH$6:$AK$11,3,FALSE),0)</f>
        <v>4.9904026634713725</v>
      </c>
      <c r="V243" s="33">
        <f>IFERROR(VLOOKUP(vcost_lb[[#This Row],[setting]],$A$6:$E$141,4,FALSE)+$K$8+VLOOKUP(vcost_lb[[#This Row],[setting]],$O$6:$AA$141,12,FALSE),0)</f>
        <v>0.97860818710882369</v>
      </c>
      <c r="W243" s="33">
        <f>IFERROR(VLOOKUP(vcost_lb[[#This Row],[setting]],$A$6:$E$141,4,FALSE)+$K$8+VLOOKUP(vcost_lb[[#This Row],[setting]],$O$6:$AA$141,12,FALSE)+VLOOKUP(vcost_lb[[#This Row],[gbd_super]],$AH$6:$AK$11,3,FALSE),0)</f>
        <v>5.5658731871088243</v>
      </c>
      <c r="AH243" s="100" t="s">
        <v>111</v>
      </c>
      <c r="AI243" s="134" t="s">
        <v>667</v>
      </c>
      <c r="AJ243" s="33">
        <f>IFERROR(VLOOKUP(vcost_ub[[#This Row],[setting]],$A$6:$E$141,5,FALSE)+$L$6+VLOOKUP(vcost_ub[[#This Row],[setting]],$O$6:$AA$141,4,FALSE),0)</f>
        <v>3.3652245190482803</v>
      </c>
      <c r="AK243" s="33">
        <f>IFERROR(VLOOKUP(vcost_ub[[#This Row],[setting]],$A$6:$E$141,5,FALSE)+$L$6+VLOOKUP(vcost_ub[[#This Row],[setting]],$O$6:$AA$141,4,FALSE)+VLOOKUP(vcost_ub[[#This Row],[gbd_super]],$AH$6:$AK$11,4,FALSE),0)</f>
        <v>8.43535951904828</v>
      </c>
      <c r="AL243" s="33">
        <f>IFERROR(VLOOKUP(vcost_ub[[#This Row],[setting]],$A$6:$E$141,5,FALSE)+VLOOKUP(vcost_ub[[#This Row],[setting]],$O$6:$AA$141,7,FALSE),0)</f>
        <v>2.8735847590973722</v>
      </c>
      <c r="AM243" s="33">
        <f>IFERROR(VLOOKUP(vcost_ub[[#This Row],[setting]],$A$6:$E$141,5,FALSE)+VLOOKUP(vcost_ub[[#This Row],[setting]],$O$6:$AA$141,7,FALSE)+VLOOKUP(vcost_ub[[#This Row],[gbd_super]],$AH$6:$AK$11,4,FALSE),0)</f>
        <v>7.9437197590973732</v>
      </c>
      <c r="AN243" s="33">
        <f>IFERROR(VLOOKUP(vcost_ub[[#This Row],[setting]],$A$6:$E$141,5,FALSE)+VLOOKUP(vcost_ub[[#This Row],[setting]],$O$6:$AA$141,10,FALSE)+VLOOKUP(vcost_ub[[#This Row],[gbd_super]],$AH$6:$AK$11,4,FALSE),0)</f>
        <v>7.9392856538854888</v>
      </c>
      <c r="AO243" s="33">
        <f>IFERROR(VLOOKUP(vcost_ub[[#This Row],[setting]],$A$6:$E$141,5,FALSE)+$L$8+VLOOKUP(vcost_ub[[#This Row],[setting]],$O$6:$AA$141,13,FALSE),0)</f>
        <v>3.6328981731655046</v>
      </c>
      <c r="AP243" s="33">
        <f>IFERROR(VLOOKUP(vcost_ub[[#This Row],[setting]],$A$6:$E$141,5,FALSE)+$L$8+VLOOKUP(vcost_ub[[#This Row],[setting]],$O$6:$AA$141,13,FALSE)+VLOOKUP(vcost_ub[[#This Row],[gbd_super]],$AH$6:$AK$11,4,FALSE),0)</f>
        <v>8.7030331731655046</v>
      </c>
    </row>
    <row r="244" spans="1:42" x14ac:dyDescent="0.25">
      <c r="A244" s="103" t="s">
        <v>216</v>
      </c>
      <c r="B244" s="135" t="s">
        <v>666</v>
      </c>
      <c r="C244">
        <f>IFERROR(VLOOKUP(vcost[[#This Row],[setting]],$A$6:$E$141,3,FALSE)+$J$6+VLOOKUP(vcost[[#This Row],[setting]],$O$6:$AA$141,2,FALSE),0)</f>
        <v>2.3394856597585356</v>
      </c>
      <c r="D244">
        <f>IFERROR(VLOOKUP(vcost[[#This Row],[setting]],$A$6:$E$141,3,FALSE)+$J$6+VLOOKUP(vcost[[#This Row],[setting]],$O$6:$AA$141,2,FALSE)+VLOOKUP(vcost[[#This Row],[gbd_super]],$AH$6:$AK$11,2,FALSE),0)</f>
        <v>2.9694856597585355</v>
      </c>
      <c r="E244">
        <f>IFERROR(VLOOKUP(vcost[[#This Row],[setting]],$A$6:$E$141,3,FALSE)+VLOOKUP(vcost[[#This Row],[setting]],$O$6:$AA$141,5,FALSE),0)</f>
        <v>1.9130350451442339</v>
      </c>
      <c r="F244" s="33">
        <f>IFERROR(VLOOKUP(vcost[[#This Row],[setting]],$A$6:$E$141,3,FALSE)+VLOOKUP(vcost[[#This Row],[setting]],$O$6:$AA$141,5,FALSE)+VLOOKUP(vcost[[#This Row],[gbd_super]],$AH$6:$AK$11,2,FALSE),0)</f>
        <v>2.5430350451442338</v>
      </c>
      <c r="G244" s="33">
        <f>IFERROR(VLOOKUP(vcost[[#This Row],[setting]],$A$6:$E$141,3,FALSE)+VLOOKUP(vcost[[#This Row],[setting]],$O$6:$AA$141,8,FALSE)+VLOOKUP(vcost[[#This Row],[gbd_super]],$AH$6:$AK$11,2,FALSE),0)</f>
        <v>2.539462733292563</v>
      </c>
      <c r="H244">
        <f>IFERROR(VLOOKUP(vcost[[#This Row],[setting]],$A$6:$E$141,3,FALSE)+$J$8+VLOOKUP(vcost[[#This Row],[setting]],$O$6:$AA$141,11,FALSE),0)</f>
        <v>2.5814322710753426</v>
      </c>
      <c r="I244" s="33">
        <f>IFERROR(VLOOKUP(vcost[[#This Row],[setting]],$A$6:$E$141,3,FALSE)+$J$8+VLOOKUP(vcost[[#This Row],[setting]],$O$6:$AA$141,11,FALSE)+VLOOKUP(vcost[[#This Row],[gbd_super]],$AH$6:$AK$11,2,FALSE),0)</f>
        <v>3.2114322710753425</v>
      </c>
      <c r="O244" s="103" t="s">
        <v>216</v>
      </c>
      <c r="P244" s="135" t="s">
        <v>666</v>
      </c>
      <c r="Q244" s="33">
        <f>IFERROR(VLOOKUP(vcost_lb[[#This Row],[setting]],$A$6:$E$141,4,FALSE)+$K$6+VLOOKUP(vcost_lb[[#This Row],[setting]],$O$6:$AA$141,3,FALSE),0)</f>
        <v>1.0708493462489881</v>
      </c>
      <c r="R244" s="33">
        <f>IFERROR(VLOOKUP(vcost_lb[[#This Row],[setting]],$A$6:$E$141,4,FALSE)+$K$6+VLOOKUP(vcost_lb[[#This Row],[setting]],$O$6:$AA$141,3,FALSE)+VLOOKUP(vcost_lb[[#This Row],[gbd_super]],$AH$6:$AK$11,3,FALSE),0)</f>
        <v>1.671439346248988</v>
      </c>
      <c r="S244" s="33">
        <f>IFERROR(VLOOKUP(vcost_lb[[#This Row],[setting]],$A$6:$E$141,4,FALSE)+VLOOKUP(vcost_lb[[#This Row],[setting]],$O$6:$AA$141,6,FALSE),0)</f>
        <v>0.70535726654225905</v>
      </c>
      <c r="T244" s="33">
        <f>IFERROR(VLOOKUP(vcost_lb[[#This Row],[setting]],$A$6:$E$141,4,FALSE)+VLOOKUP(vcost_lb[[#This Row],[setting]],$O$6:$AA$141,6,FALSE)+VLOOKUP(vcost_lb[[#This Row],[gbd_super]],$AH$6:$AK$11,3,FALSE),0)</f>
        <v>1.3059472665422591</v>
      </c>
      <c r="U244" s="33">
        <f>IFERROR(VLOOKUP(vcost_lb[[#This Row],[setting]],$A$6:$E$141,4,FALSE)+VLOOKUP(vcost_lb[[#This Row],[setting]],$O$6:$AA$141,9,FALSE)+VLOOKUP(vcost_lb[[#This Row],[gbd_super]],$AH$6:$AK$11,3,FALSE),0)</f>
        <v>1.3035970613766859</v>
      </c>
      <c r="V244" s="33">
        <f>IFERROR(VLOOKUP(vcost_lb[[#This Row],[setting]],$A$6:$E$141,4,FALSE)+$K$8+VLOOKUP(vcost_lb[[#This Row],[setting]],$O$6:$AA$141,12,FALSE),0)</f>
        <v>1.2821303406446556</v>
      </c>
      <c r="W244" s="33">
        <f>IFERROR(VLOOKUP(vcost_lb[[#This Row],[setting]],$A$6:$E$141,4,FALSE)+$K$8+VLOOKUP(vcost_lb[[#This Row],[setting]],$O$6:$AA$141,12,FALSE)+VLOOKUP(vcost_lb[[#This Row],[gbd_super]],$AH$6:$AK$11,3,FALSE),0)</f>
        <v>1.8827203406446555</v>
      </c>
      <c r="AH244" s="103" t="s">
        <v>216</v>
      </c>
      <c r="AI244" s="135" t="s">
        <v>666</v>
      </c>
      <c r="AJ244" s="33">
        <f>IFERROR(VLOOKUP(vcost_ub[[#This Row],[setting]],$A$6:$E$141,5,FALSE)+$L$6+VLOOKUP(vcost_ub[[#This Row],[setting]],$O$6:$AA$141,4,FALSE),0)</f>
        <v>4.8350289363833516</v>
      </c>
      <c r="AK244" s="33">
        <f>IFERROR(VLOOKUP(vcost_ub[[#This Row],[setting]],$A$6:$E$141,5,FALSE)+$L$6+VLOOKUP(vcost_ub[[#This Row],[setting]],$O$6:$AA$141,4,FALSE)+VLOOKUP(vcost_ub[[#This Row],[gbd_super]],$AH$6:$AK$11,4,FALSE),0)</f>
        <v>5.4988389363833514</v>
      </c>
      <c r="AL244" s="33">
        <f>IFERROR(VLOOKUP(vcost_ub[[#This Row],[setting]],$A$6:$E$141,5,FALSE)+VLOOKUP(vcost_ub[[#This Row],[setting]],$O$6:$AA$141,7,FALSE),0)</f>
        <v>4.3355290661690367</v>
      </c>
      <c r="AM244" s="33">
        <f>IFERROR(VLOOKUP(vcost_ub[[#This Row],[setting]],$A$6:$E$141,5,FALSE)+VLOOKUP(vcost_ub[[#This Row],[setting]],$O$6:$AA$141,7,FALSE)+VLOOKUP(vcost_ub[[#This Row],[gbd_super]],$AH$6:$AK$11,4,FALSE),0)</f>
        <v>4.9993390661690364</v>
      </c>
      <c r="AN244" s="33">
        <f>IFERROR(VLOOKUP(vcost_ub[[#This Row],[setting]],$A$6:$E$141,5,FALSE)+VLOOKUP(vcost_ub[[#This Row],[setting]],$O$6:$AA$141,10,FALSE)+VLOOKUP(vcost_ub[[#This Row],[gbd_super]],$AH$6:$AK$11,4,FALSE),0)</f>
        <v>4.9899382455067443</v>
      </c>
      <c r="AO244" s="33">
        <f>IFERROR(VLOOKUP(vcost_ub[[#This Row],[setting]],$A$6:$E$141,5,FALSE)+$L$8+VLOOKUP(vcost_ub[[#This Row],[setting]],$O$6:$AA$141,13,FALSE),0)</f>
        <v>5.1044867873088329</v>
      </c>
      <c r="AP244" s="33">
        <f>IFERROR(VLOOKUP(vcost_ub[[#This Row],[setting]],$A$6:$E$141,5,FALSE)+$L$8+VLOOKUP(vcost_ub[[#This Row],[setting]],$O$6:$AA$141,13,FALSE)+VLOOKUP(vcost_ub[[#This Row],[gbd_super]],$AH$6:$AK$11,4,FALSE),0)</f>
        <v>5.7682967873088327</v>
      </c>
    </row>
    <row r="245" spans="1:42" x14ac:dyDescent="0.25">
      <c r="A245" s="100" t="s">
        <v>135</v>
      </c>
      <c r="B245" s="134" t="s">
        <v>667</v>
      </c>
      <c r="C245">
        <f>IFERROR(VLOOKUP(vcost[[#This Row],[setting]],$A$6:$E$141,3,FALSE)+$J$6+VLOOKUP(vcost[[#This Row],[setting]],$O$6:$AA$141,2,FALSE),0)</f>
        <v>5.7198821565869071</v>
      </c>
      <c r="D245">
        <f>IFERROR(VLOOKUP(vcost[[#This Row],[setting]],$A$6:$E$141,3,FALSE)+$J$6+VLOOKUP(vcost[[#This Row],[setting]],$O$6:$AA$141,2,FALSE)+VLOOKUP(vcost[[#This Row],[gbd_super]],$AH$6:$AK$11,2,FALSE),0)</f>
        <v>10.549882156586907</v>
      </c>
      <c r="E245">
        <f>IFERROR(VLOOKUP(vcost[[#This Row],[setting]],$A$6:$E$141,3,FALSE)+VLOOKUP(vcost[[#This Row],[setting]],$O$6:$AA$141,5,FALSE),0)</f>
        <v>5.286903772051371</v>
      </c>
      <c r="F245" s="33">
        <f>IFERROR(VLOOKUP(vcost[[#This Row],[setting]],$A$6:$E$141,3,FALSE)+VLOOKUP(vcost[[#This Row],[setting]],$O$6:$AA$141,5,FALSE)+VLOOKUP(vcost[[#This Row],[gbd_super]],$AH$6:$AK$11,2,FALSE),0)</f>
        <v>10.116903772051371</v>
      </c>
      <c r="G245" s="33">
        <f>IFERROR(VLOOKUP(vcost[[#This Row],[setting]],$A$6:$E$141,3,FALSE)+VLOOKUP(vcost[[#This Row],[setting]],$O$6:$AA$141,8,FALSE)+VLOOKUP(vcost[[#This Row],[gbd_super]],$AH$6:$AK$11,2,FALSE),0)</f>
        <v>10.111158593709256</v>
      </c>
      <c r="H245">
        <f>IFERROR(VLOOKUP(vcost[[#This Row],[setting]],$A$6:$E$141,3,FALSE)+$J$8+VLOOKUP(vcost[[#This Row],[setting]],$O$6:$AA$141,11,FALSE),0)</f>
        <v>5.9641818012474141</v>
      </c>
      <c r="I245" s="33">
        <f>IFERROR(VLOOKUP(vcost[[#This Row],[setting]],$A$6:$E$141,3,FALSE)+$J$8+VLOOKUP(vcost[[#This Row],[setting]],$O$6:$AA$141,11,FALSE)+VLOOKUP(vcost[[#This Row],[gbd_super]],$AH$6:$AK$11,2,FALSE),0)</f>
        <v>10.794181801247415</v>
      </c>
      <c r="O245" s="100" t="s">
        <v>135</v>
      </c>
      <c r="P245" s="134" t="s">
        <v>667</v>
      </c>
      <c r="Q245" s="33">
        <f>IFERROR(VLOOKUP(vcost_lb[[#This Row],[setting]],$A$6:$E$141,4,FALSE)+$K$6+VLOOKUP(vcost_lb[[#This Row],[setting]],$O$6:$AA$141,3,FALSE),0)</f>
        <v>2.5605012118688131</v>
      </c>
      <c r="R245" s="33">
        <f>IFERROR(VLOOKUP(vcost_lb[[#This Row],[setting]],$A$6:$E$141,4,FALSE)+$K$6+VLOOKUP(vcost_lb[[#This Row],[setting]],$O$6:$AA$141,3,FALSE)+VLOOKUP(vcost_lb[[#This Row],[gbd_super]],$AH$6:$AK$11,3,FALSE),0)</f>
        <v>7.147766211868813</v>
      </c>
      <c r="S245" s="33">
        <f>IFERROR(VLOOKUP(vcost_lb[[#This Row],[setting]],$A$6:$E$141,4,FALSE)+VLOOKUP(vcost_lb[[#This Row],[setting]],$O$6:$AA$141,6,FALSE),0)</f>
        <v>2.1923524816127444</v>
      </c>
      <c r="T245" s="33">
        <f>IFERROR(VLOOKUP(vcost_lb[[#This Row],[setting]],$A$6:$E$141,4,FALSE)+VLOOKUP(vcost_lb[[#This Row],[setting]],$O$6:$AA$141,6,FALSE)+VLOOKUP(vcost_lb[[#This Row],[gbd_super]],$AH$6:$AK$11,3,FALSE),0)</f>
        <v>6.7796174816127444</v>
      </c>
      <c r="U245" s="33">
        <f>IFERROR(VLOOKUP(vcost_lb[[#This Row],[setting]],$A$6:$E$141,4,FALSE)+VLOOKUP(vcost_lb[[#This Row],[setting]],$O$6:$AA$141,9,FALSE)+VLOOKUP(vcost_lb[[#This Row],[gbd_super]],$AH$6:$AK$11,3,FALSE),0)</f>
        <v>6.7758377590192467</v>
      </c>
      <c r="V245" s="33">
        <f>IFERROR(VLOOKUP(vcost_lb[[#This Row],[setting]],$A$6:$E$141,4,FALSE)+$K$8+VLOOKUP(vcost_lb[[#This Row],[setting]],$O$6:$AA$141,12,FALSE),0)</f>
        <v>2.772920770785626</v>
      </c>
      <c r="W245" s="33">
        <f>IFERROR(VLOOKUP(vcost_lb[[#This Row],[setting]],$A$6:$E$141,4,FALSE)+$K$8+VLOOKUP(vcost_lb[[#This Row],[setting]],$O$6:$AA$141,12,FALSE)+VLOOKUP(vcost_lb[[#This Row],[gbd_super]],$AH$6:$AK$11,3,FALSE),0)</f>
        <v>7.3601857707856269</v>
      </c>
      <c r="AH245" s="100" t="s">
        <v>135</v>
      </c>
      <c r="AI245" s="134" t="s">
        <v>667</v>
      </c>
      <c r="AJ245" s="33">
        <f>IFERROR(VLOOKUP(vcost_ub[[#This Row],[setting]],$A$6:$E$141,5,FALSE)+$L$6+VLOOKUP(vcost_ub[[#This Row],[setting]],$O$6:$AA$141,4,FALSE),0)</f>
        <v>1.3296821977950719</v>
      </c>
      <c r="AK245" s="33">
        <f>IFERROR(VLOOKUP(vcost_ub[[#This Row],[setting]],$A$6:$E$141,5,FALSE)+$L$6+VLOOKUP(vcost_ub[[#This Row],[setting]],$O$6:$AA$141,4,FALSE)+VLOOKUP(vcost_ub[[#This Row],[gbd_super]],$AH$6:$AK$11,4,FALSE),0)</f>
        <v>6.3998171977950724</v>
      </c>
      <c r="AL245" s="33">
        <f>IFERROR(VLOOKUP(vcost_ub[[#This Row],[setting]],$A$6:$E$141,5,FALSE)+VLOOKUP(vcost_ub[[#This Row],[setting]],$O$6:$AA$141,7,FALSE),0)</f>
        <v>0.8178099264509765</v>
      </c>
      <c r="AM245" s="33">
        <f>IFERROR(VLOOKUP(vcost_ub[[#This Row],[setting]],$A$6:$E$141,5,FALSE)+VLOOKUP(vcost_ub[[#This Row],[setting]],$O$6:$AA$141,7,FALSE)+VLOOKUP(vcost_ub[[#This Row],[gbd_super]],$AH$6:$AK$11,4,FALSE),0)</f>
        <v>5.8879449264509773</v>
      </c>
      <c r="AN245" s="33">
        <f>IFERROR(VLOOKUP(vcost_ub[[#This Row],[setting]],$A$6:$E$141,5,FALSE)+VLOOKUP(vcost_ub[[#This Row],[setting]],$O$6:$AA$141,10,FALSE)+VLOOKUP(vcost_ub[[#This Row],[gbd_super]],$AH$6:$AK$11,4,FALSE),0)</f>
        <v>5.8728260360769857</v>
      </c>
      <c r="AO245" s="33">
        <f>IFERROR(VLOOKUP(vcost_ub[[#This Row],[setting]],$A$6:$E$141,5,FALSE)+$L$8+VLOOKUP(vcost_ub[[#This Row],[setting]],$O$6:$AA$141,13,FALSE),0)</f>
        <v>1.6019485078727131</v>
      </c>
      <c r="AP245" s="33">
        <f>IFERROR(VLOOKUP(vcost_ub[[#This Row],[setting]],$A$6:$E$141,5,FALSE)+$L$8+VLOOKUP(vcost_ub[[#This Row],[setting]],$O$6:$AA$141,13,FALSE)+VLOOKUP(vcost_ub[[#This Row],[gbd_super]],$AH$6:$AK$11,4,FALSE),0)</f>
        <v>6.6720835078727134</v>
      </c>
    </row>
    <row r="246" spans="1:42" x14ac:dyDescent="0.25">
      <c r="A246" s="103" t="s">
        <v>291</v>
      </c>
      <c r="B246" s="135" t="s">
        <v>666</v>
      </c>
      <c r="C246">
        <f>IFERROR(VLOOKUP(vcost[[#This Row],[setting]],$A$6:$E$141,3,FALSE)+$J$6+VLOOKUP(vcost[[#This Row],[setting]],$O$6:$AA$141,2,FALSE),0)</f>
        <v>0.47136228081471987</v>
      </c>
      <c r="D246">
        <f>IFERROR(VLOOKUP(vcost[[#This Row],[setting]],$A$6:$E$141,3,FALSE)+$J$6+VLOOKUP(vcost[[#This Row],[setting]],$O$6:$AA$141,2,FALSE)+VLOOKUP(vcost[[#This Row],[gbd_super]],$AH$6:$AK$11,2,FALSE),0)</f>
        <v>1.1013622808147199</v>
      </c>
      <c r="E246">
        <f>IFERROR(VLOOKUP(vcost[[#This Row],[setting]],$A$6:$E$141,3,FALSE)+VLOOKUP(vcost[[#This Row],[setting]],$O$6:$AA$141,5,FALSE),0)</f>
        <v>2.5069756257011615E-2</v>
      </c>
      <c r="F246" s="33">
        <f>IFERROR(VLOOKUP(vcost[[#This Row],[setting]],$A$6:$E$141,3,FALSE)+VLOOKUP(vcost[[#This Row],[setting]],$O$6:$AA$141,5,FALSE)+VLOOKUP(vcost[[#This Row],[gbd_super]],$AH$6:$AK$11,2,FALSE),0)</f>
        <v>0.65506975625701158</v>
      </c>
      <c r="G246" s="33">
        <f>IFERROR(VLOOKUP(vcost[[#This Row],[setting]],$A$6:$E$141,3,FALSE)+VLOOKUP(vcost[[#This Row],[setting]],$O$6:$AA$141,8,FALSE)+VLOOKUP(vcost[[#This Row],[gbd_super]],$AH$6:$AK$11,2,FALSE),0)</f>
        <v>0.64432749719631022</v>
      </c>
      <c r="H246">
        <f>IFERROR(VLOOKUP(vcost[[#This Row],[setting]],$A$6:$E$141,3,FALSE)+$J$8+VLOOKUP(vcost[[#This Row],[setting]],$O$6:$AA$141,11,FALSE),0)</f>
        <v>0.72046120850647555</v>
      </c>
      <c r="I246" s="33">
        <f>IFERROR(VLOOKUP(vcost[[#This Row],[setting]],$A$6:$E$141,3,FALSE)+$J$8+VLOOKUP(vcost[[#This Row],[setting]],$O$6:$AA$141,11,FALSE)+VLOOKUP(vcost[[#This Row],[gbd_super]],$AH$6:$AK$11,2,FALSE),0)</f>
        <v>1.3504612085064756</v>
      </c>
      <c r="O246" s="103" t="s">
        <v>291</v>
      </c>
      <c r="P246" s="135" t="s">
        <v>666</v>
      </c>
      <c r="Q246" s="33">
        <f>IFERROR(VLOOKUP(vcost_lb[[#This Row],[setting]],$A$6:$E$141,4,FALSE)+$K$6+VLOOKUP(vcost_lb[[#This Row],[setting]],$O$6:$AA$141,3,FALSE),0)</f>
        <v>0.39006053630933185</v>
      </c>
      <c r="R246" s="33">
        <f>IFERROR(VLOOKUP(vcost_lb[[#This Row],[setting]],$A$6:$E$141,4,FALSE)+$K$6+VLOOKUP(vcost_lb[[#This Row],[setting]],$O$6:$AA$141,3,FALSE)+VLOOKUP(vcost_lb[[#This Row],[gbd_super]],$AH$6:$AK$11,3,FALSE),0)</f>
        <v>0.99065053630933186</v>
      </c>
      <c r="S246" s="33">
        <f>IFERROR(VLOOKUP(vcost_lb[[#This Row],[setting]],$A$6:$E$141,4,FALSE)+VLOOKUP(vcost_lb[[#This Row],[setting]],$O$6:$AA$141,6,FALSE),0)</f>
        <v>1.6493260695402381E-2</v>
      </c>
      <c r="T246" s="33">
        <f>IFERROR(VLOOKUP(vcost_lb[[#This Row],[setting]],$A$6:$E$141,4,FALSE)+VLOOKUP(vcost_lb[[#This Row],[setting]],$O$6:$AA$141,6,FALSE)+VLOOKUP(vcost_lb[[#This Row],[gbd_super]],$AH$6:$AK$11,3,FALSE),0)</f>
        <v>0.61708326069540231</v>
      </c>
      <c r="U246" s="33">
        <f>IFERROR(VLOOKUP(vcost_lb[[#This Row],[setting]],$A$6:$E$141,4,FALSE)+VLOOKUP(vcost_lb[[#This Row],[setting]],$O$6:$AA$141,9,FALSE)+VLOOKUP(vcost_lb[[#This Row],[gbd_super]],$AH$6:$AK$11,3,FALSE),0)</f>
        <v>0.61001598499757248</v>
      </c>
      <c r="V246" s="33">
        <f>IFERROR(VLOOKUP(vcost_lb[[#This Row],[setting]],$A$6:$E$141,4,FALSE)+$K$8+VLOOKUP(vcost_lb[[#This Row],[setting]],$O$6:$AA$141,12,FALSE),0)</f>
        <v>0.60480232895094221</v>
      </c>
      <c r="W246" s="33">
        <f>IFERROR(VLOOKUP(vcost_lb[[#This Row],[setting]],$A$6:$E$141,4,FALSE)+$K$8+VLOOKUP(vcost_lb[[#This Row],[setting]],$O$6:$AA$141,12,FALSE)+VLOOKUP(vcost_lb[[#This Row],[gbd_super]],$AH$6:$AK$11,3,FALSE),0)</f>
        <v>1.2053923289509423</v>
      </c>
      <c r="AH246" s="103" t="s">
        <v>291</v>
      </c>
      <c r="AI246" s="135" t="s">
        <v>666</v>
      </c>
      <c r="AJ246" s="33">
        <f>IFERROR(VLOOKUP(vcost_ub[[#This Row],[setting]],$A$6:$E$141,5,FALSE)+$L$6+VLOOKUP(vcost_ub[[#This Row],[setting]],$O$6:$AA$141,4,FALSE),0)</f>
        <v>0.60308025393517106</v>
      </c>
      <c r="AK246" s="33">
        <f>IFERROR(VLOOKUP(vcost_ub[[#This Row],[setting]],$A$6:$E$141,5,FALSE)+$L$6+VLOOKUP(vcost_ub[[#This Row],[setting]],$O$6:$AA$141,4,FALSE)+VLOOKUP(vcost_ub[[#This Row],[gbd_super]],$AH$6:$AK$11,4,FALSE),0)</f>
        <v>1.2668902539351712</v>
      </c>
      <c r="AL246" s="33">
        <f>IFERROR(VLOOKUP(vcost_ub[[#This Row],[setting]],$A$6:$E$141,5,FALSE)+VLOOKUP(vcost_ub[[#This Row],[setting]],$O$6:$AA$141,7,FALSE),0)</f>
        <v>6.5973042781609523E-2</v>
      </c>
      <c r="AM246" s="33">
        <f>IFERROR(VLOOKUP(vcost_ub[[#This Row],[setting]],$A$6:$E$141,5,FALSE)+VLOOKUP(vcost_ub[[#This Row],[setting]],$O$6:$AA$141,7,FALSE)+VLOOKUP(vcost_ub[[#This Row],[gbd_super]],$AH$6:$AK$11,4,FALSE),0)</f>
        <v>0.72978304278160955</v>
      </c>
      <c r="AN246" s="33">
        <f>IFERROR(VLOOKUP(vcost_ub[[#This Row],[setting]],$A$6:$E$141,5,FALSE)+VLOOKUP(vcost_ub[[#This Row],[setting]],$O$6:$AA$141,10,FALSE)+VLOOKUP(vcost_ub[[#This Row],[gbd_super]],$AH$6:$AK$11,4,FALSE),0)</f>
        <v>0.70151393999028999</v>
      </c>
      <c r="AO246" s="33">
        <f>IFERROR(VLOOKUP(vcost_ub[[#This Row],[setting]],$A$6:$E$141,5,FALSE)+$L$8+VLOOKUP(vcost_ub[[#This Row],[setting]],$O$6:$AA$141,13,FALSE),0)</f>
        <v>0.88107474053397927</v>
      </c>
      <c r="AP246" s="33">
        <f>IFERROR(VLOOKUP(vcost_ub[[#This Row],[setting]],$A$6:$E$141,5,FALSE)+$L$8+VLOOKUP(vcost_ub[[#This Row],[setting]],$O$6:$AA$141,13,FALSE)+VLOOKUP(vcost_ub[[#This Row],[gbd_super]],$AH$6:$AK$11,4,FALSE),0)</f>
        <v>1.5448847405339792</v>
      </c>
    </row>
    <row r="247" spans="1:42" x14ac:dyDescent="0.25">
      <c r="A247" s="100" t="s">
        <v>197</v>
      </c>
      <c r="B247" s="134" t="s">
        <v>589</v>
      </c>
      <c r="C247">
        <f>IFERROR(VLOOKUP(vcost[[#This Row],[setting]],$A$6:$E$141,3,FALSE)+$J$6+VLOOKUP(vcost[[#This Row],[setting]],$O$6:$AA$141,2,FALSE),0)</f>
        <v>2.4957888929581169</v>
      </c>
      <c r="D247">
        <f>IFERROR(VLOOKUP(vcost[[#This Row],[setting]],$A$6:$E$141,3,FALSE)+$J$6+VLOOKUP(vcost[[#This Row],[setting]],$O$6:$AA$141,2,FALSE)+VLOOKUP(vcost[[#This Row],[gbd_super]],$AH$6:$AK$11,2,FALSE),0)</f>
        <v>4.9457888929581166</v>
      </c>
      <c r="E247">
        <f>IFERROR(VLOOKUP(vcost[[#This Row],[setting]],$A$6:$E$141,3,FALSE)+VLOOKUP(vcost[[#This Row],[setting]],$O$6:$AA$141,5,FALSE),0)</f>
        <v>2.0683810063983583</v>
      </c>
      <c r="F247" s="33">
        <f>IFERROR(VLOOKUP(vcost[[#This Row],[setting]],$A$6:$E$141,3,FALSE)+VLOOKUP(vcost[[#This Row],[setting]],$O$6:$AA$141,5,FALSE)+VLOOKUP(vcost[[#This Row],[gbd_super]],$AH$6:$AK$11,2,FALSE),0)</f>
        <v>4.5183810063983589</v>
      </c>
      <c r="G247" s="33">
        <f>IFERROR(VLOOKUP(vcost[[#This Row],[setting]],$A$6:$E$141,3,FALSE)+VLOOKUP(vcost[[#This Row],[setting]],$O$6:$AA$141,8,FALSE)+VLOOKUP(vcost[[#This Row],[gbd_super]],$AH$6:$AK$11,2,FALSE),0)</f>
        <v>4.5146478313868492</v>
      </c>
      <c r="H247">
        <f>IFERROR(VLOOKUP(vcost[[#This Row],[setting]],$A$6:$E$141,3,FALSE)+$J$8+VLOOKUP(vcost[[#This Row],[setting]],$O$6:$AA$141,11,FALSE),0)</f>
        <v>2.7380805674180535</v>
      </c>
      <c r="I247" s="33">
        <f>IFERROR(VLOOKUP(vcost[[#This Row],[setting]],$A$6:$E$141,3,FALSE)+$J$8+VLOOKUP(vcost[[#This Row],[setting]],$O$6:$AA$141,11,FALSE)+VLOOKUP(vcost[[#This Row],[gbd_super]],$AH$6:$AK$11,2,FALSE),0)</f>
        <v>5.1880805674180532</v>
      </c>
      <c r="O247" s="100" t="s">
        <v>197</v>
      </c>
      <c r="P247" s="134" t="s">
        <v>589</v>
      </c>
      <c r="Q247" s="33">
        <f>IFERROR(VLOOKUP(vcost_lb[[#This Row],[setting]],$A$6:$E$141,4,FALSE)+$K$6+VLOOKUP(vcost_lb[[#This Row],[setting]],$O$6:$AA$141,3,FALSE),0)</f>
        <v>1.1850954871253119</v>
      </c>
      <c r="R247" s="33">
        <f>IFERROR(VLOOKUP(vcost_lb[[#This Row],[setting]],$A$6:$E$141,4,FALSE)+$K$6+VLOOKUP(vcost_lb[[#This Row],[setting]],$O$6:$AA$141,3,FALSE)+VLOOKUP(vcost_lb[[#This Row],[gbd_super]],$AH$6:$AK$11,3,FALSE),0)</f>
        <v>3.5125954871253118</v>
      </c>
      <c r="S247" s="33">
        <f>IFERROR(VLOOKUP(vcost_lb[[#This Row],[setting]],$A$6:$E$141,4,FALSE)+VLOOKUP(vcost_lb[[#This Row],[setting]],$O$6:$AA$141,6,FALSE),0)</f>
        <v>0.81921381999892007</v>
      </c>
      <c r="T247" s="33">
        <f>IFERROR(VLOOKUP(vcost_lb[[#This Row],[setting]],$A$6:$E$141,4,FALSE)+VLOOKUP(vcost_lb[[#This Row],[setting]],$O$6:$AA$141,6,FALSE)+VLOOKUP(vcost_lb[[#This Row],[gbd_super]],$AH$6:$AK$11,3,FALSE),0)</f>
        <v>3.1467138199989204</v>
      </c>
      <c r="U247" s="33">
        <f>IFERROR(VLOOKUP(vcost_lb[[#This Row],[setting]],$A$6:$E$141,4,FALSE)+VLOOKUP(vcost_lb[[#This Row],[setting]],$O$6:$AA$141,9,FALSE)+VLOOKUP(vcost_lb[[#This Row],[gbd_super]],$AH$6:$AK$11,3,FALSE),0)</f>
        <v>3.1442577838071375</v>
      </c>
      <c r="V247" s="33">
        <f>IFERROR(VLOOKUP(vcost_lb[[#This Row],[setting]],$A$6:$E$141,4,FALSE)+$K$8+VLOOKUP(vcost_lb[[#This Row],[setting]],$O$6:$AA$141,12,FALSE),0)</f>
        <v>1.3965434475579777</v>
      </c>
      <c r="W247" s="33">
        <f>IFERROR(VLOOKUP(vcost_lb[[#This Row],[setting]],$A$6:$E$141,4,FALSE)+$K$8+VLOOKUP(vcost_lb[[#This Row],[setting]],$O$6:$AA$141,12,FALSE)+VLOOKUP(vcost_lb[[#This Row],[gbd_super]],$AH$6:$AK$11,3,FALSE),0)</f>
        <v>3.7240434475579778</v>
      </c>
      <c r="AH247" s="100" t="s">
        <v>197</v>
      </c>
      <c r="AI247" s="134" t="s">
        <v>589</v>
      </c>
      <c r="AJ247" s="33">
        <f>IFERROR(VLOOKUP(vcost_ub[[#This Row],[setting]],$A$6:$E$141,5,FALSE)+$L$6+VLOOKUP(vcost_ub[[#This Row],[setting]],$O$6:$AA$141,4,FALSE),0)</f>
        <v>4.9523695144787085</v>
      </c>
      <c r="AK247" s="33">
        <f>IFERROR(VLOOKUP(vcost_ub[[#This Row],[setting]],$A$6:$E$141,5,FALSE)+$L$6+VLOOKUP(vcost_ub[[#This Row],[setting]],$O$6:$AA$141,4,FALSE)+VLOOKUP(vcost_ub[[#This Row],[gbd_super]],$AH$6:$AK$11,4,FALSE),0)</f>
        <v>7.5248695144787092</v>
      </c>
      <c r="AL247" s="33">
        <f>IFERROR(VLOOKUP(vcost_ub[[#This Row],[setting]],$A$6:$E$141,5,FALSE)+VLOOKUP(vcost_ub[[#This Row],[setting]],$O$6:$AA$141,7,FALSE),0)</f>
        <v>4.4510552799956802</v>
      </c>
      <c r="AM247" s="33">
        <f>IFERROR(VLOOKUP(vcost_ub[[#This Row],[setting]],$A$6:$E$141,5,FALSE)+VLOOKUP(vcost_ub[[#This Row],[setting]],$O$6:$AA$141,7,FALSE)+VLOOKUP(vcost_ub[[#This Row],[gbd_super]],$AH$6:$AK$11,4,FALSE),0)</f>
        <v>7.02355527999568</v>
      </c>
      <c r="AN247" s="33">
        <f>IFERROR(VLOOKUP(vcost_ub[[#This Row],[setting]],$A$6:$E$141,5,FALSE)+VLOOKUP(vcost_ub[[#This Row],[setting]],$O$6:$AA$141,10,FALSE)+VLOOKUP(vcost_ub[[#This Row],[gbd_super]],$AH$6:$AK$11,4,FALSE),0)</f>
        <v>7.0137311352285501</v>
      </c>
      <c r="AO247" s="33">
        <f>IFERROR(VLOOKUP(vcost_ub[[#This Row],[setting]],$A$6:$E$141,5,FALSE)+$L$8+VLOOKUP(vcost_ub[[#This Row],[setting]],$O$6:$AA$141,13,FALSE),0)</f>
        <v>5.2222392149621202</v>
      </c>
      <c r="AP247" s="33">
        <f>IFERROR(VLOOKUP(vcost_ub[[#This Row],[setting]],$A$6:$E$141,5,FALSE)+$L$8+VLOOKUP(vcost_ub[[#This Row],[setting]],$O$6:$AA$141,13,FALSE)+VLOOKUP(vcost_ub[[#This Row],[gbd_super]],$AH$6:$AK$11,4,FALSE),0)</f>
        <v>7.7947392149621209</v>
      </c>
    </row>
    <row r="248" spans="1:42" x14ac:dyDescent="0.25">
      <c r="A248" s="103" t="s">
        <v>259</v>
      </c>
      <c r="B248" s="135" t="s">
        <v>665</v>
      </c>
      <c r="C248">
        <f>IFERROR(VLOOKUP(vcost[[#This Row],[setting]],$A$6:$E$141,3,FALSE)+$J$6+VLOOKUP(vcost[[#This Row],[setting]],$O$6:$AA$141,2,FALSE),0)</f>
        <v>4.7244859673724848</v>
      </c>
      <c r="D248">
        <f>IFERROR(VLOOKUP(vcost[[#This Row],[setting]],$A$6:$E$141,3,FALSE)+$J$6+VLOOKUP(vcost[[#This Row],[setting]],$O$6:$AA$141,2,FALSE)+VLOOKUP(vcost[[#This Row],[gbd_super]],$AH$6:$AK$11,2,FALSE),0)</f>
        <v>4.7444859673724844</v>
      </c>
      <c r="E248">
        <f>IFERROR(VLOOKUP(vcost[[#This Row],[setting]],$A$6:$E$141,3,FALSE)+VLOOKUP(vcost[[#This Row],[setting]],$O$6:$AA$141,5,FALSE),0)</f>
        <v>4.2950092635310249</v>
      </c>
      <c r="F248" s="33">
        <f>IFERROR(VLOOKUP(vcost[[#This Row],[setting]],$A$6:$E$141,3,FALSE)+VLOOKUP(vcost[[#This Row],[setting]],$O$6:$AA$141,5,FALSE)+VLOOKUP(vcost[[#This Row],[gbd_super]],$AH$6:$AK$11,2,FALSE),0)</f>
        <v>4.3150092635310244</v>
      </c>
      <c r="G248" s="33">
        <f>IFERROR(VLOOKUP(vcost[[#This Row],[setting]],$A$6:$E$141,3,FALSE)+VLOOKUP(vcost[[#This Row],[setting]],$O$6:$AA$141,8,FALSE)+VLOOKUP(vcost[[#This Row],[gbd_super]],$AH$6:$AK$11,2,FALSE),0)</f>
        <v>4.3101844698018068</v>
      </c>
      <c r="H248">
        <f>IFERROR(VLOOKUP(vcost[[#This Row],[setting]],$A$6:$E$141,3,FALSE)+$J$8+VLOOKUP(vcost[[#This Row],[setting]],$O$6:$AA$141,11,FALSE),0)</f>
        <v>4.9675233782944286</v>
      </c>
      <c r="I248" s="33">
        <f>IFERROR(VLOOKUP(vcost[[#This Row],[setting]],$A$6:$E$141,3,FALSE)+$J$8+VLOOKUP(vcost[[#This Row],[setting]],$O$6:$AA$141,11,FALSE)+VLOOKUP(vcost[[#This Row],[gbd_super]],$AH$6:$AK$11,2,FALSE),0)</f>
        <v>4.9875233782944282</v>
      </c>
      <c r="O248" s="103" t="s">
        <v>259</v>
      </c>
      <c r="P248" s="135" t="s">
        <v>665</v>
      </c>
      <c r="Q248" s="33">
        <f>IFERROR(VLOOKUP(vcost_lb[[#This Row],[setting]],$A$6:$E$141,4,FALSE)+$K$6+VLOOKUP(vcost_lb[[#This Row],[setting]],$O$6:$AA$141,3,FALSE),0)</f>
        <v>1.9802402483921091</v>
      </c>
      <c r="R248" s="33">
        <f>IFERROR(VLOOKUP(vcost_lb[[#This Row],[setting]],$A$6:$E$141,4,FALSE)+$K$6+VLOOKUP(vcost_lb[[#This Row],[setting]],$O$6:$AA$141,3,FALSE)+VLOOKUP(vcost_lb[[#This Row],[gbd_super]],$AH$6:$AK$11,3,FALSE),0)</f>
        <v>2.0009502483921091</v>
      </c>
      <c r="S248" s="33">
        <f>IFERROR(VLOOKUP(vcost_lb[[#This Row],[setting]],$A$6:$E$141,4,FALSE)+VLOOKUP(vcost_lb[[#This Row],[setting]],$O$6:$AA$141,6,FALSE),0)</f>
        <v>1.6135166207440947</v>
      </c>
      <c r="T248" s="33">
        <f>IFERROR(VLOOKUP(vcost_lb[[#This Row],[setting]],$A$6:$E$141,4,FALSE)+VLOOKUP(vcost_lb[[#This Row],[setting]],$O$6:$AA$141,6,FALSE)+VLOOKUP(vcost_lb[[#This Row],[gbd_super]],$AH$6:$AK$11,3,FALSE),0)</f>
        <v>1.6342266207440947</v>
      </c>
      <c r="U248" s="33">
        <f>IFERROR(VLOOKUP(vcost_lb[[#This Row],[setting]],$A$6:$E$141,4,FALSE)+VLOOKUP(vcost_lb[[#This Row],[setting]],$O$6:$AA$141,9,FALSE)+VLOOKUP(vcost_lb[[#This Row],[gbd_super]],$AH$6:$AK$11,3,FALSE),0)</f>
        <v>1.6310524143432938</v>
      </c>
      <c r="V248" s="33">
        <f>IFERROR(VLOOKUP(vcost_lb[[#This Row],[setting]],$A$6:$E$141,4,FALSE)+$K$8+VLOOKUP(vcost_lb[[#This Row],[setting]],$O$6:$AA$141,12,FALSE),0)</f>
        <v>2.1920490490483271</v>
      </c>
      <c r="W248" s="33">
        <f>IFERROR(VLOOKUP(vcost_lb[[#This Row],[setting]],$A$6:$E$141,4,FALSE)+$K$8+VLOOKUP(vcost_lb[[#This Row],[setting]],$O$6:$AA$141,12,FALSE)+VLOOKUP(vcost_lb[[#This Row],[gbd_super]],$AH$6:$AK$11,3,FALSE),0)</f>
        <v>2.2127590490483269</v>
      </c>
      <c r="AH248" s="103" t="s">
        <v>259</v>
      </c>
      <c r="AI248" s="135" t="s">
        <v>665</v>
      </c>
      <c r="AJ248" s="33">
        <f>IFERROR(VLOOKUP(vcost_ub[[#This Row],[setting]],$A$6:$E$141,5,FALSE)+$L$6+VLOOKUP(vcost_ub[[#This Row],[setting]],$O$6:$AA$141,4,FALSE),0)</f>
        <v>10.193501847888678</v>
      </c>
      <c r="AK248" s="33">
        <f>IFERROR(VLOOKUP(vcost_ub[[#This Row],[setting]],$A$6:$E$141,5,FALSE)+$L$6+VLOOKUP(vcost_ub[[#This Row],[setting]],$O$6:$AA$141,4,FALSE)+VLOOKUP(vcost_ub[[#This Row],[gbd_super]],$AH$6:$AK$11,4,FALSE),0)</f>
        <v>10.216391847888678</v>
      </c>
      <c r="AL248" s="33">
        <f>IFERROR(VLOOKUP(vcost_ub[[#This Row],[setting]],$A$6:$E$141,5,FALSE)+VLOOKUP(vcost_ub[[#This Row],[setting]],$O$6:$AA$141,7,FALSE),0)</f>
        <v>9.6882664829763794</v>
      </c>
      <c r="AM248" s="33">
        <f>IFERROR(VLOOKUP(vcost_ub[[#This Row],[setting]],$A$6:$E$141,5,FALSE)+VLOOKUP(vcost_ub[[#This Row],[setting]],$O$6:$AA$141,7,FALSE)+VLOOKUP(vcost_ub[[#This Row],[gbd_super]],$AH$6:$AK$11,4,FALSE),0)</f>
        <v>9.7111564829763797</v>
      </c>
      <c r="AN248" s="33">
        <f>IFERROR(VLOOKUP(vcost_ub[[#This Row],[setting]],$A$6:$E$141,5,FALSE)+VLOOKUP(vcost_ub[[#This Row],[setting]],$O$6:$AA$141,10,FALSE)+VLOOKUP(vcost_ub[[#This Row],[gbd_super]],$AH$6:$AK$11,4,FALSE),0)</f>
        <v>9.6984596573731761</v>
      </c>
      <c r="AO248" s="33">
        <f>IFERROR(VLOOKUP(vcost_ub[[#This Row],[setting]],$A$6:$E$141,5,FALSE)+$L$8+VLOOKUP(vcost_ub[[#This Row],[setting]],$O$6:$AA$141,13,FALSE),0)</f>
        <v>10.464261620923519</v>
      </c>
      <c r="AP248" s="33">
        <f>IFERROR(VLOOKUP(vcost_ub[[#This Row],[setting]],$A$6:$E$141,5,FALSE)+$L$8+VLOOKUP(vcost_ub[[#This Row],[setting]],$O$6:$AA$141,13,FALSE)+VLOOKUP(vcost_ub[[#This Row],[gbd_super]],$AH$6:$AK$11,4,FALSE),0)</f>
        <v>10.48715162092352</v>
      </c>
    </row>
    <row r="249" spans="1:42" x14ac:dyDescent="0.25">
      <c r="A249" s="100" t="s">
        <v>633</v>
      </c>
      <c r="B249" s="134" t="s">
        <v>667</v>
      </c>
      <c r="C249">
        <f>IFERROR(VLOOKUP(vcost[[#This Row],[setting]],$A$6:$E$141,3,FALSE)+$J$6+VLOOKUP(vcost[[#This Row],[setting]],$O$6:$AA$141,2,FALSE),0)</f>
        <v>1.6218527666964158</v>
      </c>
      <c r="D249">
        <f>IFERROR(VLOOKUP(vcost[[#This Row],[setting]],$A$6:$E$141,3,FALSE)+$J$6+VLOOKUP(vcost[[#This Row],[setting]],$O$6:$AA$141,2,FALSE)+VLOOKUP(vcost[[#This Row],[gbd_super]],$AH$6:$AK$11,2,FALSE),0)</f>
        <v>6.4518527666964154</v>
      </c>
      <c r="E249">
        <f>IFERROR(VLOOKUP(vcost[[#This Row],[setting]],$A$6:$E$141,3,FALSE)+VLOOKUP(vcost[[#This Row],[setting]],$O$6:$AA$141,5,FALSE),0)</f>
        <v>1.1990825767941036</v>
      </c>
      <c r="F249" s="33">
        <f>IFERROR(VLOOKUP(vcost[[#This Row],[setting]],$A$6:$E$141,3,FALSE)+VLOOKUP(vcost[[#This Row],[setting]],$O$6:$AA$141,5,FALSE)+VLOOKUP(vcost[[#This Row],[gbd_super]],$AH$6:$AK$11,2,FALSE),0)</f>
        <v>6.0290825767941039</v>
      </c>
      <c r="G249" s="33">
        <f>IFERROR(VLOOKUP(vcost[[#This Row],[setting]],$A$6:$E$141,3,FALSE)+VLOOKUP(vcost[[#This Row],[setting]],$O$6:$AA$141,8,FALSE)+VLOOKUP(vcost[[#This Row],[gbd_super]],$AH$6:$AK$11,2,FALSE),0)</f>
        <v>6.0272036309902353</v>
      </c>
      <c r="H249">
        <f>IFERROR(VLOOKUP(vcost[[#This Row],[setting]],$A$6:$E$141,3,FALSE)+$J$8+VLOOKUP(vcost[[#This Row],[setting]],$O$6:$AA$141,11,FALSE),0)</f>
        <v>1.8624727132914591</v>
      </c>
      <c r="I249" s="33">
        <f>IFERROR(VLOOKUP(vcost[[#This Row],[setting]],$A$6:$E$141,3,FALSE)+$J$8+VLOOKUP(vcost[[#This Row],[setting]],$O$6:$AA$141,11,FALSE)+VLOOKUP(vcost[[#This Row],[gbd_super]],$AH$6:$AK$11,2,FALSE),0)</f>
        <v>6.6924727132914592</v>
      </c>
      <c r="O249" s="100" t="s">
        <v>633</v>
      </c>
      <c r="P249" s="134" t="s">
        <v>667</v>
      </c>
      <c r="Q249" s="33">
        <f>IFERROR(VLOOKUP(vcost_lb[[#This Row],[setting]],$A$6:$E$141,4,FALSE)+$K$6+VLOOKUP(vcost_lb[[#This Row],[setting]],$O$6:$AA$141,3,FALSE),0)</f>
        <v>0.74791171717318472</v>
      </c>
      <c r="R249" s="33">
        <f>IFERROR(VLOOKUP(vcost_lb[[#This Row],[setting]],$A$6:$E$141,4,FALSE)+$K$6+VLOOKUP(vcost_lb[[#This Row],[setting]],$O$6:$AA$141,3,FALSE)+VLOOKUP(vcost_lb[[#This Row],[gbd_super]],$AH$6:$AK$11,3,FALSE),0)</f>
        <v>5.3351767171731854</v>
      </c>
      <c r="S249" s="33">
        <f>IFERROR(VLOOKUP(vcost_lb[[#This Row],[setting]],$A$6:$E$141,4,FALSE)+VLOOKUP(vcost_lb[[#This Row],[setting]],$O$6:$AA$141,6,FALSE),0)</f>
        <v>0.38391748473296289</v>
      </c>
      <c r="T249" s="33">
        <f>IFERROR(VLOOKUP(vcost_lb[[#This Row],[setting]],$A$6:$E$141,4,FALSE)+VLOOKUP(vcost_lb[[#This Row],[setting]],$O$6:$AA$141,6,FALSE)+VLOOKUP(vcost_lb[[#This Row],[gbd_super]],$AH$6:$AK$11,3,FALSE),0)</f>
        <v>4.9711824847329629</v>
      </c>
      <c r="U249" s="33">
        <f>IFERROR(VLOOKUP(vcost_lb[[#This Row],[setting]],$A$6:$E$141,4,FALSE)+VLOOKUP(vcost_lb[[#This Row],[setting]],$O$6:$AA$141,9,FALSE)+VLOOKUP(vcost_lb[[#This Row],[gbd_super]],$AH$6:$AK$11,3,FALSE),0)</f>
        <v>4.9699463361777863</v>
      </c>
      <c r="V249" s="33">
        <f>IFERROR(VLOOKUP(vcost_lb[[#This Row],[setting]],$A$6:$E$141,4,FALSE)+$K$8+VLOOKUP(vcost_lb[[#This Row],[setting]],$O$6:$AA$141,12,FALSE),0)</f>
        <v>0.95855077702606328</v>
      </c>
      <c r="W249" s="33">
        <f>IFERROR(VLOOKUP(vcost_lb[[#This Row],[setting]],$A$6:$E$141,4,FALSE)+$K$8+VLOOKUP(vcost_lb[[#This Row],[setting]],$O$6:$AA$141,12,FALSE)+VLOOKUP(vcost_lb[[#This Row],[gbd_super]],$AH$6:$AK$11,3,FALSE),0)</f>
        <v>5.5458157770260641</v>
      </c>
      <c r="AH249" s="100" t="s">
        <v>633</v>
      </c>
      <c r="AI249" s="134" t="s">
        <v>667</v>
      </c>
      <c r="AJ249" s="33">
        <f>IFERROR(VLOOKUP(vcost_ub[[#This Row],[setting]],$A$6:$E$141,5,FALSE)+$L$6+VLOOKUP(vcost_ub[[#This Row],[setting]],$O$6:$AA$141,4,FALSE),0)</f>
        <v>3.3568941204478606</v>
      </c>
      <c r="AK249" s="33">
        <f>IFERROR(VLOOKUP(vcost_ub[[#This Row],[setting]],$A$6:$E$141,5,FALSE)+$L$6+VLOOKUP(vcost_ub[[#This Row],[setting]],$O$6:$AA$141,4,FALSE)+VLOOKUP(vcost_ub[[#This Row],[gbd_super]],$AH$6:$AK$11,4,FALSE),0)</f>
        <v>8.4270291204478607</v>
      </c>
      <c r="AL249" s="33">
        <f>IFERROR(VLOOKUP(vcost_ub[[#This Row],[setting]],$A$6:$E$141,5,FALSE)+VLOOKUP(vcost_ub[[#This Row],[setting]],$O$6:$AA$141,7,FALSE),0)</f>
        <v>2.8643699389318518</v>
      </c>
      <c r="AM249" s="33">
        <f>IFERROR(VLOOKUP(vcost_ub[[#This Row],[setting]],$A$6:$E$141,5,FALSE)+VLOOKUP(vcost_ub[[#This Row],[setting]],$O$6:$AA$141,7,FALSE)+VLOOKUP(vcost_ub[[#This Row],[gbd_super]],$AH$6:$AK$11,4,FALSE),0)</f>
        <v>7.9345049389318518</v>
      </c>
      <c r="AN249" s="33">
        <f>IFERROR(VLOOKUP(vcost_ub[[#This Row],[setting]],$A$6:$E$141,5,FALSE)+VLOOKUP(vcost_ub[[#This Row],[setting]],$O$6:$AA$141,10,FALSE)+VLOOKUP(vcost_ub[[#This Row],[gbd_super]],$AH$6:$AK$11,4,FALSE),0)</f>
        <v>7.9295603447111453</v>
      </c>
      <c r="AO249" s="33">
        <f>IFERROR(VLOOKUP(vcost_ub[[#This Row],[setting]],$A$6:$E$141,5,FALSE)+$L$8+VLOOKUP(vcost_ub[[#This Row],[setting]],$O$6:$AA$141,13,FALSE),0)</f>
        <v>3.6247685328344632</v>
      </c>
      <c r="AP249" s="33">
        <f>IFERROR(VLOOKUP(vcost_ub[[#This Row],[setting]],$A$6:$E$141,5,FALSE)+$L$8+VLOOKUP(vcost_ub[[#This Row],[setting]],$O$6:$AA$141,13,FALSE)+VLOOKUP(vcost_ub[[#This Row],[gbd_super]],$AH$6:$AK$11,4,FALSE),0)</f>
        <v>8.6949035328344628</v>
      </c>
    </row>
    <row r="250" spans="1:42" x14ac:dyDescent="0.25">
      <c r="A250" s="103" t="s">
        <v>150</v>
      </c>
      <c r="B250" s="135" t="s">
        <v>667</v>
      </c>
      <c r="C250">
        <f>IFERROR(VLOOKUP(vcost[[#This Row],[setting]],$A$6:$E$141,3,FALSE)+$J$6+VLOOKUP(vcost[[#This Row],[setting]],$O$6:$AA$141,2,FALSE),0)</f>
        <v>1.0811629827076694</v>
      </c>
      <c r="D250">
        <f>IFERROR(VLOOKUP(vcost[[#This Row],[setting]],$A$6:$E$141,3,FALSE)+$J$6+VLOOKUP(vcost[[#This Row],[setting]],$O$6:$AA$141,2,FALSE)+VLOOKUP(vcost[[#This Row],[gbd_super]],$AH$6:$AK$11,2,FALSE),0)</f>
        <v>5.911162982707669</v>
      </c>
      <c r="E250">
        <f>IFERROR(VLOOKUP(vcost[[#This Row],[setting]],$A$6:$E$141,3,FALSE)+VLOOKUP(vcost[[#This Row],[setting]],$O$6:$AA$141,5,FALSE),0)</f>
        <v>0.6501589744290126</v>
      </c>
      <c r="F250" s="33">
        <f>IFERROR(VLOOKUP(vcost[[#This Row],[setting]],$A$6:$E$141,3,FALSE)+VLOOKUP(vcost[[#This Row],[setting]],$O$6:$AA$141,5,FALSE)+VLOOKUP(vcost[[#This Row],[gbd_super]],$AH$6:$AK$11,2,FALSE),0)</f>
        <v>5.4801589744290125</v>
      </c>
      <c r="G250" s="33">
        <f>IFERROR(VLOOKUP(vcost[[#This Row],[setting]],$A$6:$E$141,3,FALSE)+VLOOKUP(vcost[[#This Row],[setting]],$O$6:$AA$141,8,FALSE)+VLOOKUP(vcost[[#This Row],[gbd_super]],$AH$6:$AK$11,2,FALSE),0)</f>
        <v>5.4748766392931332</v>
      </c>
      <c r="H250">
        <f>IFERROR(VLOOKUP(vcost[[#This Row],[setting]],$A$6:$E$141,3,FALSE)+$J$8+VLOOKUP(vcost[[#This Row],[setting]],$O$6:$AA$141,11,FALSE),0)</f>
        <v>1.324750933601162</v>
      </c>
      <c r="I250" s="33">
        <f>IFERROR(VLOOKUP(vcost[[#This Row],[setting]],$A$6:$E$141,3,FALSE)+$J$8+VLOOKUP(vcost[[#This Row],[setting]],$O$6:$AA$141,11,FALSE)+VLOOKUP(vcost[[#This Row],[gbd_super]],$AH$6:$AK$11,2,FALSE),0)</f>
        <v>6.1547509336011625</v>
      </c>
      <c r="O250" s="103" t="s">
        <v>150</v>
      </c>
      <c r="P250" s="135" t="s">
        <v>667</v>
      </c>
      <c r="Q250" s="33">
        <f>IFERROR(VLOOKUP(vcost_lb[[#This Row],[setting]],$A$6:$E$141,4,FALSE)+$K$6+VLOOKUP(vcost_lb[[#This Row],[setting]],$O$6:$AA$141,3,FALSE),0)</f>
        <v>0.4882497934753855</v>
      </c>
      <c r="R250" s="33">
        <f>IFERROR(VLOOKUP(vcost_lb[[#This Row],[setting]],$A$6:$E$141,4,FALSE)+$K$6+VLOOKUP(vcost_lb[[#This Row],[setting]],$O$6:$AA$141,3,FALSE)+VLOOKUP(vcost_lb[[#This Row],[gbd_super]],$AH$6:$AK$11,3,FALSE),0)</f>
        <v>5.0755147934753859</v>
      </c>
      <c r="S250" s="33">
        <f>IFERROR(VLOOKUP(vcost_lb[[#This Row],[setting]],$A$6:$E$141,4,FALSE)+VLOOKUP(vcost_lb[[#This Row],[setting]],$O$6:$AA$141,6,FALSE),0)</f>
        <v>0.12090458844013983</v>
      </c>
      <c r="T250" s="33">
        <f>IFERROR(VLOOKUP(vcost_lb[[#This Row],[setting]],$A$6:$E$141,4,FALSE)+VLOOKUP(vcost_lb[[#This Row],[setting]],$O$6:$AA$141,6,FALSE)+VLOOKUP(vcost_lb[[#This Row],[gbd_super]],$AH$6:$AK$11,3,FALSE),0)</f>
        <v>4.70816958844014</v>
      </c>
      <c r="U250" s="33">
        <f>IFERROR(VLOOKUP(vcost_lb[[#This Row],[setting]],$A$6:$E$141,4,FALSE)+VLOOKUP(vcost_lb[[#This Row],[setting]],$O$6:$AA$141,9,FALSE)+VLOOKUP(vcost_lb[[#This Row],[gbd_super]],$AH$6:$AK$11,3,FALSE),0)</f>
        <v>4.7046943679560087</v>
      </c>
      <c r="V250" s="33">
        <f>IFERROR(VLOOKUP(vcost_lb[[#This Row],[setting]],$A$6:$E$141,4,FALSE)+$K$8+VLOOKUP(vcost_lb[[#This Row],[setting]],$O$6:$AA$141,12,FALSE),0)</f>
        <v>0.70032498444041713</v>
      </c>
      <c r="W250" s="33">
        <f>IFERROR(VLOOKUP(vcost_lb[[#This Row],[setting]],$A$6:$E$141,4,FALSE)+$K$8+VLOOKUP(vcost_lb[[#This Row],[setting]],$O$6:$AA$141,12,FALSE)+VLOOKUP(vcost_lb[[#This Row],[gbd_super]],$AH$6:$AK$11,3,FALSE),0)</f>
        <v>5.2875899844404177</v>
      </c>
      <c r="AH250" s="103" t="s">
        <v>150</v>
      </c>
      <c r="AI250" s="135" t="s">
        <v>667</v>
      </c>
      <c r="AJ250" s="33">
        <f>IFERROR(VLOOKUP(vcost_ub[[#This Row],[setting]],$A$6:$E$141,5,FALSE)+$L$6+VLOOKUP(vcost_ub[[#This Row],[setting]],$O$6:$AA$141,4,FALSE),0)</f>
        <v>2.650048493361965</v>
      </c>
      <c r="AK250" s="33">
        <f>IFERROR(VLOOKUP(vcost_ub[[#This Row],[setting]],$A$6:$E$141,5,FALSE)+$L$6+VLOOKUP(vcost_ub[[#This Row],[setting]],$O$6:$AA$141,4,FALSE)+VLOOKUP(vcost_ub[[#This Row],[gbd_super]],$AH$6:$AK$11,4,FALSE),0)</f>
        <v>7.7201834933619651</v>
      </c>
      <c r="AL250" s="33">
        <f>IFERROR(VLOOKUP(vcost_ub[[#This Row],[setting]],$A$6:$E$141,5,FALSE)+VLOOKUP(vcost_ub[[#This Row],[setting]],$O$6:$AA$141,7,FALSE),0)</f>
        <v>2.1419183537605595</v>
      </c>
      <c r="AM250" s="33">
        <f>IFERROR(VLOOKUP(vcost_ub[[#This Row],[setting]],$A$6:$E$141,5,FALSE)+VLOOKUP(vcost_ub[[#This Row],[setting]],$O$6:$AA$141,7,FALSE)+VLOOKUP(vcost_ub[[#This Row],[gbd_super]],$AH$6:$AK$11,4,FALSE),0)</f>
        <v>7.2120533537605596</v>
      </c>
      <c r="AN250" s="33">
        <f>IFERROR(VLOOKUP(vcost_ub[[#This Row],[setting]],$A$6:$E$141,5,FALSE)+VLOOKUP(vcost_ub[[#This Row],[setting]],$O$6:$AA$141,10,FALSE)+VLOOKUP(vcost_ub[[#This Row],[gbd_super]],$AH$6:$AK$11,4,FALSE),0)</f>
        <v>7.1981524718240344</v>
      </c>
      <c r="AO250" s="33">
        <f>IFERROR(VLOOKUP(vcost_ub[[#This Row],[setting]],$A$6:$E$141,5,FALSE)+$L$8+VLOOKUP(vcost_ub[[#This Row],[setting]],$O$6:$AA$141,13,FALSE),0)</f>
        <v>2.9214653624918787</v>
      </c>
      <c r="AP250" s="33">
        <f>IFERROR(VLOOKUP(vcost_ub[[#This Row],[setting]],$A$6:$E$141,5,FALSE)+$L$8+VLOOKUP(vcost_ub[[#This Row],[setting]],$O$6:$AA$141,13,FALSE)+VLOOKUP(vcost_ub[[#This Row],[gbd_super]],$AH$6:$AK$11,4,FALSE),0)</f>
        <v>7.9916003624918792</v>
      </c>
    </row>
    <row r="251" spans="1:42" x14ac:dyDescent="0.25">
      <c r="A251" s="100" t="s">
        <v>342</v>
      </c>
      <c r="B251" s="134" t="s">
        <v>663</v>
      </c>
      <c r="C251">
        <f>IFERROR(VLOOKUP(vcost[[#This Row],[setting]],$A$6:$E$141,3,FALSE)+$J$6+VLOOKUP(vcost[[#This Row],[setting]],$O$6:$AA$141,2,FALSE),0)</f>
        <v>6.2325918514465952</v>
      </c>
      <c r="D251">
        <f>IFERROR(VLOOKUP(vcost[[#This Row],[setting]],$A$6:$E$141,3,FALSE)+$J$6+VLOOKUP(vcost[[#This Row],[setting]],$O$6:$AA$141,2,FALSE)+VLOOKUP(vcost[[#This Row],[gbd_super]],$AH$6:$AK$11,2,FALSE),0)</f>
        <v>10.302591851446596</v>
      </c>
      <c r="E251">
        <f>IFERROR(VLOOKUP(vcost[[#This Row],[setting]],$A$6:$E$141,3,FALSE)+VLOOKUP(vcost[[#This Row],[setting]],$O$6:$AA$141,5,FALSE),0)</f>
        <v>5.7953614066769044</v>
      </c>
      <c r="F251" s="33">
        <f>IFERROR(VLOOKUP(vcost[[#This Row],[setting]],$A$6:$E$141,3,FALSE)+VLOOKUP(vcost[[#This Row],[setting]],$O$6:$AA$141,5,FALSE)+VLOOKUP(vcost[[#This Row],[gbd_super]],$AH$6:$AK$11,2,FALSE),0)</f>
        <v>9.8653614066769038</v>
      </c>
      <c r="G251" s="33">
        <f>IFERROR(VLOOKUP(vcost[[#This Row],[setting]],$A$6:$E$141,3,FALSE)+VLOOKUP(vcost[[#This Row],[setting]],$O$6:$AA$141,8,FALSE)+VLOOKUP(vcost[[#This Row],[gbd_super]],$AH$6:$AK$11,2,FALSE),0)</f>
        <v>9.8574820209648824</v>
      </c>
      <c r="H251">
        <f>IFERROR(VLOOKUP(vcost[[#This Row],[setting]],$A$6:$E$141,3,FALSE)+$J$8+VLOOKUP(vcost[[#This Row],[setting]],$O$6:$AA$141,11,FALSE),0)</f>
        <v>6.478424215493833</v>
      </c>
      <c r="I251" s="33">
        <f>IFERROR(VLOOKUP(vcost[[#This Row],[setting]],$A$6:$E$141,3,FALSE)+$J$8+VLOOKUP(vcost[[#This Row],[setting]],$O$6:$AA$141,11,FALSE)+VLOOKUP(vcost[[#This Row],[gbd_super]],$AH$6:$AK$11,2,FALSE),0)</f>
        <v>10.548424215493833</v>
      </c>
      <c r="O251" s="100" t="s">
        <v>342</v>
      </c>
      <c r="P251" s="134" t="s">
        <v>663</v>
      </c>
      <c r="Q251" s="33">
        <f>IFERROR(VLOOKUP(vcost_lb[[#This Row],[setting]],$A$6:$E$141,4,FALSE)+$K$6+VLOOKUP(vcost_lb[[#This Row],[setting]],$O$6:$AA$141,3,FALSE),0)</f>
        <v>2.9046038295421059</v>
      </c>
      <c r="R251" s="33">
        <f>IFERROR(VLOOKUP(vcost_lb[[#This Row],[setting]],$A$6:$E$141,4,FALSE)+$K$6+VLOOKUP(vcost_lb[[#This Row],[setting]],$O$6:$AA$141,3,FALSE)+VLOOKUP(vcost_lb[[#This Row],[gbd_super]],$AH$6:$AK$11,3,FALSE),0)</f>
        <v>6.7670188295421063</v>
      </c>
      <c r="S251" s="33">
        <f>IFERROR(VLOOKUP(vcost_lb[[#This Row],[setting]],$A$6:$E$141,4,FALSE)+VLOOKUP(vcost_lb[[#This Row],[setting]],$O$6:$AA$141,6,FALSE),0)</f>
        <v>2.534724609655858</v>
      </c>
      <c r="T251" s="33">
        <f>IFERROR(VLOOKUP(vcost_lb[[#This Row],[setting]],$A$6:$E$141,4,FALSE)+VLOOKUP(vcost_lb[[#This Row],[setting]],$O$6:$AA$141,6,FALSE)+VLOOKUP(vcost_lb[[#This Row],[gbd_super]],$AH$6:$AK$11,3,FALSE),0)</f>
        <v>6.3971396096558584</v>
      </c>
      <c r="U251" s="33">
        <f>IFERROR(VLOOKUP(vcost_lb[[#This Row],[setting]],$A$6:$E$141,4,FALSE)+VLOOKUP(vcost_lb[[#This Row],[setting]],$O$6:$AA$141,9,FALSE)+VLOOKUP(vcost_lb[[#This Row],[gbd_super]],$AH$6:$AK$11,3,FALSE),0)</f>
        <v>6.3919558032663701</v>
      </c>
      <c r="V251" s="33">
        <f>IFERROR(VLOOKUP(vcost_lb[[#This Row],[setting]],$A$6:$E$141,4,FALSE)+$K$8+VLOOKUP(vcost_lb[[#This Row],[setting]],$O$6:$AA$141,12,FALSE),0)</f>
        <v>3.1177650268718526</v>
      </c>
      <c r="W251" s="33">
        <f>IFERROR(VLOOKUP(vcost_lb[[#This Row],[setting]],$A$6:$E$141,4,FALSE)+$K$8+VLOOKUP(vcost_lb[[#This Row],[setting]],$O$6:$AA$141,12,FALSE)+VLOOKUP(vcost_lb[[#This Row],[gbd_super]],$AH$6:$AK$11,3,FALSE),0)</f>
        <v>6.980180026871853</v>
      </c>
      <c r="AH251" s="100" t="s">
        <v>342</v>
      </c>
      <c r="AI251" s="134" t="s">
        <v>663</v>
      </c>
      <c r="AJ251" s="33">
        <f>IFERROR(VLOOKUP(vcost_ub[[#This Row],[setting]],$A$6:$E$141,5,FALSE)+$L$6+VLOOKUP(vcost_ub[[#This Row],[setting]],$O$6:$AA$141,4,FALSE),0)</f>
        <v>12.255329847388074</v>
      </c>
      <c r="AK251" s="33">
        <f>IFERROR(VLOOKUP(vcost_ub[[#This Row],[setting]],$A$6:$E$141,5,FALSE)+$L$6+VLOOKUP(vcost_ub[[#This Row],[setting]],$O$6:$AA$141,4,FALSE)+VLOOKUP(vcost_ub[[#This Row],[gbd_super]],$AH$6:$AK$11,4,FALSE),0)</f>
        <v>16.524314847388077</v>
      </c>
      <c r="AL251" s="33">
        <f>IFERROR(VLOOKUP(vcost_ub[[#This Row],[setting]],$A$6:$E$141,5,FALSE)+VLOOKUP(vcost_ub[[#This Row],[setting]],$O$6:$AA$141,7,FALSE),0)</f>
        <v>11.735398438623431</v>
      </c>
      <c r="AM251" s="33">
        <f>IFERROR(VLOOKUP(vcost_ub[[#This Row],[setting]],$A$6:$E$141,5,FALSE)+VLOOKUP(vcost_ub[[#This Row],[setting]],$O$6:$AA$141,7,FALSE)+VLOOKUP(vcost_ub[[#This Row],[gbd_super]],$AH$6:$AK$11,4,FALSE),0)</f>
        <v>16.004383438623432</v>
      </c>
      <c r="AN251" s="33">
        <f>IFERROR(VLOOKUP(vcost_ub[[#This Row],[setting]],$A$6:$E$141,5,FALSE)+VLOOKUP(vcost_ub[[#This Row],[setting]],$O$6:$AA$141,10,FALSE)+VLOOKUP(vcost_ub[[#This Row],[gbd_super]],$AH$6:$AK$11,4,FALSE),0)</f>
        <v>15.983648213065477</v>
      </c>
      <c r="AO251" s="33">
        <f>IFERROR(VLOOKUP(vcost_ub[[#This Row],[setting]],$A$6:$E$141,5,FALSE)+$L$8+VLOOKUP(vcost_ub[[#This Row],[setting]],$O$6:$AA$141,13,FALSE),0)</f>
        <v>12.529425532217621</v>
      </c>
      <c r="AP251" s="33">
        <f>IFERROR(VLOOKUP(vcost_ub[[#This Row],[setting]],$A$6:$E$141,5,FALSE)+$L$8+VLOOKUP(vcost_ub[[#This Row],[setting]],$O$6:$AA$141,13,FALSE)+VLOOKUP(vcost_ub[[#This Row],[gbd_super]],$AH$6:$AK$11,4,FALSE),0)</f>
        <v>16.798410532217623</v>
      </c>
    </row>
    <row r="252" spans="1:42" x14ac:dyDescent="0.25">
      <c r="A252" s="103" t="s">
        <v>198</v>
      </c>
      <c r="B252" s="135" t="s">
        <v>589</v>
      </c>
      <c r="C252">
        <f>IFERROR(VLOOKUP(vcost[[#This Row],[setting]],$A$6:$E$141,3,FALSE)+$J$6+VLOOKUP(vcost[[#This Row],[setting]],$O$6:$AA$141,2,FALSE),0)</f>
        <v>1.3601324002125419</v>
      </c>
      <c r="D252">
        <f>IFERROR(VLOOKUP(vcost[[#This Row],[setting]],$A$6:$E$141,3,FALSE)+$J$6+VLOOKUP(vcost[[#This Row],[setting]],$O$6:$AA$141,2,FALSE)+VLOOKUP(vcost[[#This Row],[gbd_super]],$AH$6:$AK$11,2,FALSE),0)</f>
        <v>3.8101324002125421</v>
      </c>
      <c r="E252">
        <f>IFERROR(VLOOKUP(vcost[[#This Row],[setting]],$A$6:$E$141,3,FALSE)+VLOOKUP(vcost[[#This Row],[setting]],$O$6:$AA$141,5,FALSE),0)</f>
        <v>0.93413475054240969</v>
      </c>
      <c r="F252" s="33">
        <f>IFERROR(VLOOKUP(vcost[[#This Row],[setting]],$A$6:$E$141,3,FALSE)+VLOOKUP(vcost[[#This Row],[setting]],$O$6:$AA$141,5,FALSE)+VLOOKUP(vcost[[#This Row],[gbd_super]],$AH$6:$AK$11,2,FALSE),0)</f>
        <v>3.38413475054241</v>
      </c>
      <c r="G252" s="33">
        <f>IFERROR(VLOOKUP(vcost[[#This Row],[setting]],$A$6:$E$141,3,FALSE)+VLOOKUP(vcost[[#This Row],[setting]],$O$6:$AA$141,8,FALSE)+VLOOKUP(vcost[[#This Row],[gbd_super]],$AH$6:$AK$11,2,FALSE),0)</f>
        <v>3.3806161983373495</v>
      </c>
      <c r="H252">
        <f>IFERROR(VLOOKUP(vcost[[#This Row],[setting]],$A$6:$E$141,3,FALSE)+$J$8+VLOOKUP(vcost[[#This Row],[setting]],$O$6:$AA$141,11,FALSE),0)</f>
        <v>1.6019157334680785</v>
      </c>
      <c r="I252" s="33">
        <f>IFERROR(VLOOKUP(vcost[[#This Row],[setting]],$A$6:$E$141,3,FALSE)+$J$8+VLOOKUP(vcost[[#This Row],[setting]],$O$6:$AA$141,11,FALSE)+VLOOKUP(vcost[[#This Row],[gbd_super]],$AH$6:$AK$11,2,FALSE),0)</f>
        <v>4.0519157334680784</v>
      </c>
      <c r="O252" s="103" t="s">
        <v>198</v>
      </c>
      <c r="P252" s="135" t="s">
        <v>589</v>
      </c>
      <c r="Q252" s="33">
        <f>IFERROR(VLOOKUP(vcost_lb[[#This Row],[setting]],$A$6:$E$141,4,FALSE)+$K$6+VLOOKUP(vcost_lb[[#This Row],[setting]],$O$6:$AA$141,3,FALSE),0)</f>
        <v>0.61720164833905322</v>
      </c>
      <c r="R252" s="33">
        <f>IFERROR(VLOOKUP(vcost_lb[[#This Row],[setting]],$A$6:$E$141,4,FALSE)+$K$6+VLOOKUP(vcost_lb[[#This Row],[setting]],$O$6:$AA$141,3,FALSE)+VLOOKUP(vcost_lb[[#This Row],[gbd_super]],$AH$6:$AK$11,3,FALSE),0)</f>
        <v>2.9447016483390533</v>
      </c>
      <c r="S252" s="33">
        <f>IFERROR(VLOOKUP(vcost_lb[[#This Row],[setting]],$A$6:$E$141,4,FALSE)+VLOOKUP(vcost_lb[[#This Row],[setting]],$O$6:$AA$141,6,FALSE),0)</f>
        <v>0.25189391483053264</v>
      </c>
      <c r="T252" s="33">
        <f>IFERROR(VLOOKUP(vcost_lb[[#This Row],[setting]],$A$6:$E$141,4,FALSE)+VLOOKUP(vcost_lb[[#This Row],[setting]],$O$6:$AA$141,6,FALSE)+VLOOKUP(vcost_lb[[#This Row],[gbd_super]],$AH$6:$AK$11,3,FALSE),0)</f>
        <v>2.5793939148305327</v>
      </c>
      <c r="U252" s="33">
        <f>IFERROR(VLOOKUP(vcost_lb[[#This Row],[setting]],$A$6:$E$141,4,FALSE)+VLOOKUP(vcost_lb[[#This Row],[setting]],$O$6:$AA$141,9,FALSE)+VLOOKUP(vcost_lb[[#This Row],[gbd_super]],$AH$6:$AK$11,3,FALSE),0)</f>
        <v>2.5770790778535195</v>
      </c>
      <c r="V252" s="33">
        <f>IFERROR(VLOOKUP(vcost_lb[[#This Row],[setting]],$A$6:$E$141,4,FALSE)+$K$8+VLOOKUP(vcost_lb[[#This Row],[setting]],$O$6:$AA$141,12,FALSE),0)</f>
        <v>0.8284036372212028</v>
      </c>
      <c r="W252" s="33">
        <f>IFERROR(VLOOKUP(vcost_lb[[#This Row],[setting]],$A$6:$E$141,4,FALSE)+$K$8+VLOOKUP(vcost_lb[[#This Row],[setting]],$O$6:$AA$141,12,FALSE)+VLOOKUP(vcost_lb[[#This Row],[gbd_super]],$AH$6:$AK$11,3,FALSE),0)</f>
        <v>3.1559036372212028</v>
      </c>
      <c r="AH252" s="103" t="s">
        <v>198</v>
      </c>
      <c r="AI252" s="135" t="s">
        <v>589</v>
      </c>
      <c r="AJ252" s="33">
        <f>IFERROR(VLOOKUP(vcost_ub[[#This Row],[setting]],$A$6:$E$141,5,FALSE)+$L$6+VLOOKUP(vcost_ub[[#This Row],[setting]],$O$6:$AA$141,4,FALSE),0)</f>
        <v>2.999717002956217</v>
      </c>
      <c r="AK252" s="33">
        <f>IFERROR(VLOOKUP(vcost_ub[[#This Row],[setting]],$A$6:$E$141,5,FALSE)+$L$6+VLOOKUP(vcost_ub[[#This Row],[setting]],$O$6:$AA$141,4,FALSE)+VLOOKUP(vcost_ub[[#This Row],[gbd_super]],$AH$6:$AK$11,4,FALSE),0)</f>
        <v>5.5722170029562168</v>
      </c>
      <c r="AL252" s="33">
        <f>IFERROR(VLOOKUP(vcost_ub[[#This Row],[setting]],$A$6:$E$141,5,FALSE)+VLOOKUP(vcost_ub[[#This Row],[setting]],$O$6:$AA$141,7,FALSE),0)</f>
        <v>2.5010756593221308</v>
      </c>
      <c r="AM252" s="33">
        <f>IFERROR(VLOOKUP(vcost_ub[[#This Row],[setting]],$A$6:$E$141,5,FALSE)+VLOOKUP(vcost_ub[[#This Row],[setting]],$O$6:$AA$141,7,FALSE)+VLOOKUP(vcost_ub[[#This Row],[gbd_super]],$AH$6:$AK$11,4,FALSE),0)</f>
        <v>5.0735756593221311</v>
      </c>
      <c r="AN252" s="33">
        <f>IFERROR(VLOOKUP(vcost_ub[[#This Row],[setting]],$A$6:$E$141,5,FALSE)+VLOOKUP(vcost_ub[[#This Row],[setting]],$O$6:$AA$141,10,FALSE)+VLOOKUP(vcost_ub[[#This Row],[gbd_super]],$AH$6:$AK$11,4,FALSE),0)</f>
        <v>5.0643163114140775</v>
      </c>
      <c r="AO252" s="33">
        <f>IFERROR(VLOOKUP(vcost_ub[[#This Row],[setting]],$A$6:$E$141,5,FALSE)+$L$8+VLOOKUP(vcost_ub[[#This Row],[setting]],$O$6:$AA$141,13,FALSE),0)</f>
        <v>3.2689799736150218</v>
      </c>
      <c r="AP252" s="33">
        <f>IFERROR(VLOOKUP(vcost_ub[[#This Row],[setting]],$A$6:$E$141,5,FALSE)+$L$8+VLOOKUP(vcost_ub[[#This Row],[setting]],$O$6:$AA$141,13,FALSE)+VLOOKUP(vcost_ub[[#This Row],[gbd_super]],$AH$6:$AK$11,4,FALSE),0)</f>
        <v>5.841479973615022</v>
      </c>
    </row>
    <row r="253" spans="1:42" x14ac:dyDescent="0.25">
      <c r="A253" s="81" t="s">
        <v>683</v>
      </c>
      <c r="B253" s="134" t="s">
        <v>579</v>
      </c>
      <c r="C253">
        <f>IFERROR(VLOOKUP(vcost[[#This Row],[setting]],$A$6:$E$141,3,FALSE)+$J$6+VLOOKUP(vcost[[#This Row],[setting]],$O$6:$AA$141,2,FALSE),0)</f>
        <v>0.41792411616161618</v>
      </c>
      <c r="D253">
        <f>IFERROR(VLOOKUP(vcost[[#This Row],[setting]],$A$6:$E$141,3,FALSE)+$J$6+VLOOKUP(vcost[[#This Row],[setting]],$O$6:$AA$141,2,FALSE)+VLOOKUP(vcost[[#This Row],[gbd_super]],$AH$6:$AK$11,2,FALSE),0)</f>
        <v>0.89792411616161616</v>
      </c>
      <c r="E253">
        <f>IFERROR(VLOOKUP(vcost[[#This Row],[setting]],$A$6:$E$141,3,FALSE)+VLOOKUP(vcost[[#This Row],[setting]],$O$6:$AA$141,5,FALSE),0)</f>
        <v>0</v>
      </c>
      <c r="F253" s="33">
        <f>IFERROR(VLOOKUP(vcost[[#This Row],[setting]],$A$6:$E$141,3,FALSE)+VLOOKUP(vcost[[#This Row],[setting]],$O$6:$AA$141,5,FALSE)+VLOOKUP(vcost[[#This Row],[gbd_super]],$AH$6:$AK$11,2,FALSE),0)</f>
        <v>0.48</v>
      </c>
      <c r="G253" s="33">
        <f>IFERROR(VLOOKUP(vcost[[#This Row],[setting]],$A$6:$E$141,3,FALSE)+VLOOKUP(vcost[[#This Row],[setting]],$O$6:$AA$141,8,FALSE)+VLOOKUP(vcost[[#This Row],[gbd_super]],$AH$6:$AK$11,2,FALSE),0)</f>
        <v>0.48</v>
      </c>
      <c r="H253">
        <f>IFERROR(VLOOKUP(vcost[[#This Row],[setting]],$A$6:$E$141,3,FALSE)+$J$8+VLOOKUP(vcost[[#This Row],[setting]],$O$6:$AA$141,11,FALSE),0)</f>
        <v>0.65679722222222237</v>
      </c>
      <c r="I253" s="33">
        <f>IFERROR(VLOOKUP(vcost[[#This Row],[setting]],$A$6:$E$141,3,FALSE)+$J$8+VLOOKUP(vcost[[#This Row],[setting]],$O$6:$AA$141,11,FALSE)+VLOOKUP(vcost[[#This Row],[gbd_super]],$AH$6:$AK$11,2,FALSE),0)</f>
        <v>1.1367972222222225</v>
      </c>
      <c r="O253" s="81" t="s">
        <v>683</v>
      </c>
      <c r="P253" s="134" t="s">
        <v>579</v>
      </c>
      <c r="Q253" s="33">
        <f>IFERROR(VLOOKUP(vcost_lb[[#This Row],[setting]],$A$6:$E$141,4,FALSE)+$K$6+VLOOKUP(vcost_lb[[#This Row],[setting]],$O$6:$AA$141,3,FALSE),0)</f>
        <v>0.36202199312714778</v>
      </c>
      <c r="R253" s="33">
        <f>IFERROR(VLOOKUP(vcost_lb[[#This Row],[setting]],$A$6:$E$141,4,FALSE)+$K$6+VLOOKUP(vcost_lb[[#This Row],[setting]],$O$6:$AA$141,3,FALSE)+VLOOKUP(vcost_lb[[#This Row],[gbd_super]],$AH$6:$AK$11,3,FALSE),0)</f>
        <v>0.8176419931271478</v>
      </c>
      <c r="S253" s="33">
        <f>IFERROR(VLOOKUP(vcost_lb[[#This Row],[setting]],$A$6:$E$141,4,FALSE)+VLOOKUP(vcost_lb[[#This Row],[setting]],$O$6:$AA$141,6,FALSE),0)</f>
        <v>0</v>
      </c>
      <c r="T253" s="33">
        <f>IFERROR(VLOOKUP(vcost_lb[[#This Row],[setting]],$A$6:$E$141,4,FALSE)+VLOOKUP(vcost_lb[[#This Row],[setting]],$O$6:$AA$141,6,FALSE)+VLOOKUP(vcost_lb[[#This Row],[gbd_super]],$AH$6:$AK$11,3,FALSE),0)</f>
        <v>0.45562000000000002</v>
      </c>
      <c r="U253" s="33">
        <f>IFERROR(VLOOKUP(vcost_lb[[#This Row],[setting]],$A$6:$E$141,4,FALSE)+VLOOKUP(vcost_lb[[#This Row],[setting]],$O$6:$AA$141,9,FALSE)+VLOOKUP(vcost_lb[[#This Row],[gbd_super]],$AH$6:$AK$11,3,FALSE),0)</f>
        <v>0.45562000000000002</v>
      </c>
      <c r="V253" s="33">
        <f>IFERROR(VLOOKUP(vcost_lb[[#This Row],[setting]],$A$6:$E$141,4,FALSE)+$K$8+VLOOKUP(vcost_lb[[#This Row],[setting]],$O$6:$AA$141,12,FALSE),0)</f>
        <v>0.5718158075601375</v>
      </c>
      <c r="W253" s="33">
        <f>IFERROR(VLOOKUP(vcost_lb[[#This Row],[setting]],$A$6:$E$141,4,FALSE)+$K$8+VLOOKUP(vcost_lb[[#This Row],[setting]],$O$6:$AA$141,12,FALSE)+VLOOKUP(vcost_lb[[#This Row],[gbd_super]],$AH$6:$AK$11,3,FALSE),0)</f>
        <v>1.0274358075601375</v>
      </c>
      <c r="AH253" s="81" t="s">
        <v>683</v>
      </c>
      <c r="AI253" s="134" t="s">
        <v>579</v>
      </c>
      <c r="AJ253" s="33">
        <f>IFERROR(VLOOKUP(vcost_ub[[#This Row],[setting]],$A$6:$E$141,5,FALSE)+$L$6+VLOOKUP(vcost_ub[[#This Row],[setting]],$O$6:$AA$141,4,FALSE),0)</f>
        <v>0.48333918128654974</v>
      </c>
      <c r="AK253" s="33">
        <f>IFERROR(VLOOKUP(vcost_ub[[#This Row],[setting]],$A$6:$E$141,5,FALSE)+$L$6+VLOOKUP(vcost_ub[[#This Row],[setting]],$O$6:$AA$141,4,FALSE)+VLOOKUP(vcost_ub[[#This Row],[gbd_super]],$AH$6:$AK$11,4,FALSE),0)</f>
        <v>0.98691918128654976</v>
      </c>
      <c r="AL253" s="33">
        <f>IFERROR(VLOOKUP(vcost_ub[[#This Row],[setting]],$A$6:$E$141,5,FALSE)+VLOOKUP(vcost_ub[[#This Row],[setting]],$O$6:$AA$141,7,FALSE),0)</f>
        <v>0</v>
      </c>
      <c r="AM253" s="33">
        <f>IFERROR(VLOOKUP(vcost_ub[[#This Row],[setting]],$A$6:$E$141,5,FALSE)+VLOOKUP(vcost_ub[[#This Row],[setting]],$O$6:$AA$141,7,FALSE)+VLOOKUP(vcost_ub[[#This Row],[gbd_super]],$AH$6:$AK$11,4,FALSE),0)</f>
        <v>0.50358000000000003</v>
      </c>
      <c r="AN253" s="33">
        <f>IFERROR(VLOOKUP(vcost_ub[[#This Row],[setting]],$A$6:$E$141,5,FALSE)+VLOOKUP(vcost_ub[[#This Row],[setting]],$O$6:$AA$141,10,FALSE)+VLOOKUP(vcost_ub[[#This Row],[gbd_super]],$AH$6:$AK$11,4,FALSE),0)</f>
        <v>0.50358000000000003</v>
      </c>
      <c r="AO253" s="33">
        <f>IFERROR(VLOOKUP(vcost_ub[[#This Row],[setting]],$A$6:$E$141,5,FALSE)+$L$8+VLOOKUP(vcost_ub[[#This Row],[setting]],$O$6:$AA$141,13,FALSE),0)</f>
        <v>0.7491286549707602</v>
      </c>
      <c r="AP253" s="33">
        <f>IFERROR(VLOOKUP(vcost_ub[[#This Row],[setting]],$A$6:$E$141,5,FALSE)+$L$8+VLOOKUP(vcost_ub[[#This Row],[setting]],$O$6:$AA$141,13,FALSE)+VLOOKUP(vcost_ub[[#This Row],[gbd_super]],$AH$6:$AK$11,4,FALSE),0)</f>
        <v>1.2527086549707602</v>
      </c>
    </row>
    <row r="254" spans="1:42" x14ac:dyDescent="0.25">
      <c r="A254" s="103" t="s">
        <v>283</v>
      </c>
      <c r="B254" s="135" t="s">
        <v>666</v>
      </c>
      <c r="C254">
        <f>IFERROR(VLOOKUP(vcost[[#This Row],[setting]],$A$6:$E$141,3,FALSE)+$J$6+VLOOKUP(vcost[[#This Row],[setting]],$O$6:$AA$141,2,FALSE),0)</f>
        <v>1.8492791554984747</v>
      </c>
      <c r="D254">
        <f>IFERROR(VLOOKUP(vcost[[#This Row],[setting]],$A$6:$E$141,3,FALSE)+$J$6+VLOOKUP(vcost[[#This Row],[setting]],$O$6:$AA$141,2,FALSE)+VLOOKUP(vcost[[#This Row],[gbd_super]],$AH$6:$AK$11,2,FALSE),0)</f>
        <v>2.4792791554984746</v>
      </c>
      <c r="E254">
        <f>IFERROR(VLOOKUP(vcost[[#This Row],[setting]],$A$6:$E$141,3,FALSE)+VLOOKUP(vcost[[#This Row],[setting]],$O$6:$AA$141,5,FALSE),0)</f>
        <v>1.4151344628987732</v>
      </c>
      <c r="F254" s="33">
        <f>IFERROR(VLOOKUP(vcost[[#This Row],[setting]],$A$6:$E$141,3,FALSE)+VLOOKUP(vcost[[#This Row],[setting]],$O$6:$AA$141,5,FALSE)+VLOOKUP(vcost[[#This Row],[gbd_super]],$AH$6:$AK$11,2,FALSE),0)</f>
        <v>2.0451344628987731</v>
      </c>
      <c r="G254" s="33">
        <f>IFERROR(VLOOKUP(vcost[[#This Row],[setting]],$A$6:$E$141,3,FALSE)+VLOOKUP(vcost[[#This Row],[setting]],$O$6:$AA$141,8,FALSE)+VLOOKUP(vcost[[#This Row],[gbd_super]],$AH$6:$AK$11,2,FALSE),0)</f>
        <v>2.0387635904993182</v>
      </c>
      <c r="H254">
        <f>IFERROR(VLOOKUP(vcost[[#This Row],[setting]],$A$6:$E$141,3,FALSE)+$J$8+VLOOKUP(vcost[[#This Row],[setting]],$O$6:$AA$141,11,FALSE),0)</f>
        <v>2.0939992135309486</v>
      </c>
      <c r="I254" s="33">
        <f>IFERROR(VLOOKUP(vcost[[#This Row],[setting]],$A$6:$E$141,3,FALSE)+$J$8+VLOOKUP(vcost[[#This Row],[setting]],$O$6:$AA$141,11,FALSE)+VLOOKUP(vcost[[#This Row],[gbd_super]],$AH$6:$AK$11,2,FALSE),0)</f>
        <v>2.7239992135309485</v>
      </c>
      <c r="O254" s="103" t="s">
        <v>283</v>
      </c>
      <c r="P254" s="135" t="s">
        <v>666</v>
      </c>
      <c r="Q254" s="33">
        <f>IFERROR(VLOOKUP(vcost_lb[[#This Row],[setting]],$A$6:$E$141,4,FALSE)+$K$6+VLOOKUP(vcost_lb[[#This Row],[setting]],$O$6:$AA$141,3,FALSE),0)</f>
        <v>0.73855395821130188</v>
      </c>
      <c r="R254" s="33">
        <f>IFERROR(VLOOKUP(vcost_lb[[#This Row],[setting]],$A$6:$E$141,4,FALSE)+$K$6+VLOOKUP(vcost_lb[[#This Row],[setting]],$O$6:$AA$141,3,FALSE)+VLOOKUP(vcost_lb[[#This Row],[gbd_super]],$AH$6:$AK$11,3,FALSE),0)</f>
        <v>1.3391439582113018</v>
      </c>
      <c r="S254" s="33">
        <f>IFERROR(VLOOKUP(vcost_lb[[#This Row],[setting]],$A$6:$E$141,4,FALSE)+VLOOKUP(vcost_lb[[#This Row],[setting]],$O$6:$AA$141,6,FALSE),0)</f>
        <v>0.36993056769656124</v>
      </c>
      <c r="T254" s="33">
        <f>IFERROR(VLOOKUP(vcost_lb[[#This Row],[setting]],$A$6:$E$141,4,FALSE)+VLOOKUP(vcost_lb[[#This Row],[setting]],$O$6:$AA$141,6,FALSE)+VLOOKUP(vcost_lb[[#This Row],[gbd_super]],$AH$6:$AK$11,3,FALSE),0)</f>
        <v>0.97052056769656114</v>
      </c>
      <c r="U254" s="33">
        <f>IFERROR(VLOOKUP(vcost_lb[[#This Row],[setting]],$A$6:$E$141,4,FALSE)+VLOOKUP(vcost_lb[[#This Row],[setting]],$O$6:$AA$141,9,FALSE)+VLOOKUP(vcost_lb[[#This Row],[gbd_super]],$AH$6:$AK$11,3,FALSE),0)</f>
        <v>0.96632920427586733</v>
      </c>
      <c r="V254" s="33">
        <f>IFERROR(VLOOKUP(vcost_lb[[#This Row],[setting]],$A$6:$E$141,4,FALSE)+$K$8+VLOOKUP(vcost_lb[[#This Row],[setting]],$O$6:$AA$141,12,FALSE),0)</f>
        <v>0.95117694295325994</v>
      </c>
      <c r="W254" s="33">
        <f>IFERROR(VLOOKUP(vcost_lb[[#This Row],[setting]],$A$6:$E$141,4,FALSE)+$K$8+VLOOKUP(vcost_lb[[#This Row],[setting]],$O$6:$AA$141,12,FALSE)+VLOOKUP(vcost_lb[[#This Row],[gbd_super]],$AH$6:$AK$11,3,FALSE),0)</f>
        <v>1.5517669429532599</v>
      </c>
      <c r="AH254" s="103" t="s">
        <v>283</v>
      </c>
      <c r="AI254" s="135" t="s">
        <v>666</v>
      </c>
      <c r="AJ254" s="33">
        <f>IFERROR(VLOOKUP(vcost_ub[[#This Row],[setting]],$A$6:$E$141,5,FALSE)+$L$6+VLOOKUP(vcost_ub[[#This Row],[setting]],$O$6:$AA$141,4,FALSE),0)</f>
        <v>4.4452051027635839</v>
      </c>
      <c r="AK254" s="33">
        <f>IFERROR(VLOOKUP(vcost_ub[[#This Row],[setting]],$A$6:$E$141,5,FALSE)+$L$6+VLOOKUP(vcost_ub[[#This Row],[setting]],$O$6:$AA$141,4,FALSE)+VLOOKUP(vcost_ub[[#This Row],[gbd_super]],$AH$6:$AK$11,4,FALSE),0)</f>
        <v>5.1090151027635837</v>
      </c>
      <c r="AL254" s="33">
        <f>IFERROR(VLOOKUP(vcost_ub[[#This Row],[setting]],$A$6:$E$141,5,FALSE)+VLOOKUP(vcost_ub[[#This Row],[setting]],$O$6:$AA$141,7,FALSE),0)</f>
        <v>3.9311222707862448</v>
      </c>
      <c r="AM254" s="33">
        <f>IFERROR(VLOOKUP(vcost_ub[[#This Row],[setting]],$A$6:$E$141,5,FALSE)+VLOOKUP(vcost_ub[[#This Row],[setting]],$O$6:$AA$141,7,FALSE)+VLOOKUP(vcost_ub[[#This Row],[gbd_super]],$AH$6:$AK$11,4,FALSE),0)</f>
        <v>4.594932270786245</v>
      </c>
      <c r="AN254" s="33">
        <f>IFERROR(VLOOKUP(vcost_ub[[#This Row],[setting]],$A$6:$E$141,5,FALSE)+VLOOKUP(vcost_ub[[#This Row],[setting]],$O$6:$AA$141,10,FALSE)+VLOOKUP(vcost_ub[[#This Row],[gbd_super]],$AH$6:$AK$11,4,FALSE),0)</f>
        <v>4.5781668171034688</v>
      </c>
      <c r="AO254" s="33">
        <f>IFERROR(VLOOKUP(vcost_ub[[#This Row],[setting]],$A$6:$E$141,5,FALSE)+$L$8+VLOOKUP(vcost_ub[[#This Row],[setting]],$O$6:$AA$141,13,FALSE),0)</f>
        <v>4.7179731965432499</v>
      </c>
      <c r="AP254" s="33">
        <f>IFERROR(VLOOKUP(vcost_ub[[#This Row],[setting]],$A$6:$E$141,5,FALSE)+$L$8+VLOOKUP(vcost_ub[[#This Row],[setting]],$O$6:$AA$141,13,FALSE)+VLOOKUP(vcost_ub[[#This Row],[gbd_super]],$AH$6:$AK$11,4,FALSE),0)</f>
        <v>5.3817831965432497</v>
      </c>
    </row>
    <row r="255" spans="1:42" x14ac:dyDescent="0.25">
      <c r="A255" s="100" t="s">
        <v>271</v>
      </c>
      <c r="B255" s="134" t="s">
        <v>665</v>
      </c>
      <c r="C255">
        <f>IFERROR(VLOOKUP(vcost[[#This Row],[setting]],$A$6:$E$141,3,FALSE)+$J$6+VLOOKUP(vcost[[#This Row],[setting]],$O$6:$AA$141,2,FALSE),0)</f>
        <v>4.508946170856527</v>
      </c>
      <c r="D255">
        <f>IFERROR(VLOOKUP(vcost[[#This Row],[setting]],$A$6:$E$141,3,FALSE)+$J$6+VLOOKUP(vcost[[#This Row],[setting]],$O$6:$AA$141,2,FALSE)+VLOOKUP(vcost[[#This Row],[gbd_super]],$AH$6:$AK$11,2,FALSE),0)</f>
        <v>4.5289461708565266</v>
      </c>
      <c r="E255">
        <f>IFERROR(VLOOKUP(vcost[[#This Row],[setting]],$A$6:$E$141,3,FALSE)+VLOOKUP(vcost[[#This Row],[setting]],$O$6:$AA$141,5,FALSE),0)</f>
        <v>4.0735980009679826</v>
      </c>
      <c r="F255" s="33">
        <f>IFERROR(VLOOKUP(vcost[[#This Row],[setting]],$A$6:$E$141,3,FALSE)+VLOOKUP(vcost[[#This Row],[setting]],$O$6:$AA$141,5,FALSE)+VLOOKUP(vcost[[#This Row],[gbd_super]],$AH$6:$AK$11,2,FALSE),0)</f>
        <v>4.0935980009679822</v>
      </c>
      <c r="G255" s="33">
        <f>IFERROR(VLOOKUP(vcost[[#This Row],[setting]],$A$6:$E$141,3,FALSE)+VLOOKUP(vcost[[#This Row],[setting]],$O$6:$AA$141,8,FALSE)+VLOOKUP(vcost[[#This Row],[gbd_super]],$AH$6:$AK$11,2,FALSE),0)</f>
        <v>4.086455897451045</v>
      </c>
      <c r="H255">
        <f>IFERROR(VLOOKUP(vcost[[#This Row],[setting]],$A$6:$E$141,3,FALSE)+$J$8+VLOOKUP(vcost[[#This Row],[setting]],$O$6:$AA$141,11,FALSE),0)</f>
        <v>4.7541000404698623</v>
      </c>
      <c r="I255" s="33">
        <f>IFERROR(VLOOKUP(vcost[[#This Row],[setting]],$A$6:$E$141,3,FALSE)+$J$8+VLOOKUP(vcost[[#This Row],[setting]],$O$6:$AA$141,11,FALSE)+VLOOKUP(vcost[[#This Row],[gbd_super]],$AH$6:$AK$11,2,FALSE),0)</f>
        <v>4.7741000404698619</v>
      </c>
      <c r="O255" s="100" t="s">
        <v>271</v>
      </c>
      <c r="P255" s="134" t="s">
        <v>665</v>
      </c>
      <c r="Q255" s="33">
        <f>IFERROR(VLOOKUP(vcost_lb[[#This Row],[setting]],$A$6:$E$141,4,FALSE)+$K$6+VLOOKUP(vcost_lb[[#This Row],[setting]],$O$6:$AA$141,3,FALSE),0)</f>
        <v>1.9860434415781809</v>
      </c>
      <c r="R255" s="33">
        <f>IFERROR(VLOOKUP(vcost_lb[[#This Row],[setting]],$A$6:$E$141,4,FALSE)+$K$6+VLOOKUP(vcost_lb[[#This Row],[setting]],$O$6:$AA$141,3,FALSE)+VLOOKUP(vcost_lb[[#This Row],[gbd_super]],$AH$6:$AK$11,3,FALSE),0)</f>
        <v>2.0067534415781809</v>
      </c>
      <c r="S255" s="33">
        <f>IFERROR(VLOOKUP(vcost_lb[[#This Row],[setting]],$A$6:$E$141,4,FALSE)+VLOOKUP(vcost_lb[[#This Row],[setting]],$O$6:$AA$141,6,FALSE),0)</f>
        <v>1.6169302637947254</v>
      </c>
      <c r="T255" s="33">
        <f>IFERROR(VLOOKUP(vcost_lb[[#This Row],[setting]],$A$6:$E$141,4,FALSE)+VLOOKUP(vcost_lb[[#This Row],[setting]],$O$6:$AA$141,6,FALSE)+VLOOKUP(vcost_lb[[#This Row],[gbd_super]],$AH$6:$AK$11,3,FALSE),0)</f>
        <v>1.6376402637947254</v>
      </c>
      <c r="U255" s="33">
        <f>IFERROR(VLOOKUP(vcost_lb[[#This Row],[setting]],$A$6:$E$141,4,FALSE)+VLOOKUP(vcost_lb[[#This Row],[setting]],$O$6:$AA$141,9,FALSE)+VLOOKUP(vcost_lb[[#This Row],[gbd_super]],$AH$6:$AK$11,3,FALSE),0)</f>
        <v>1.6329415114809509</v>
      </c>
      <c r="V255" s="33">
        <f>IFERROR(VLOOKUP(vcost_lb[[#This Row],[setting]],$A$6:$E$141,4,FALSE)+$K$8+VLOOKUP(vcost_lb[[#This Row],[setting]],$O$6:$AA$141,12,FALSE),0)</f>
        <v>2.1988763351495884</v>
      </c>
      <c r="W255" s="33">
        <f>IFERROR(VLOOKUP(vcost_lb[[#This Row],[setting]],$A$6:$E$141,4,FALSE)+$K$8+VLOOKUP(vcost_lb[[#This Row],[setting]],$O$6:$AA$141,12,FALSE)+VLOOKUP(vcost_lb[[#This Row],[gbd_super]],$AH$6:$AK$11,3,FALSE),0)</f>
        <v>2.2195863351495881</v>
      </c>
      <c r="AH255" s="100" t="s">
        <v>271</v>
      </c>
      <c r="AI255" s="134" t="s">
        <v>665</v>
      </c>
      <c r="AJ255" s="33">
        <f>IFERROR(VLOOKUP(vcost_ub[[#This Row],[setting]],$A$6:$E$141,5,FALSE)+$L$6+VLOOKUP(vcost_ub[[#This Row],[setting]],$O$6:$AA$141,4,FALSE),0)</f>
        <v>9.2603848964362552</v>
      </c>
      <c r="AK255" s="33">
        <f>IFERROR(VLOOKUP(vcost_ub[[#This Row],[setting]],$A$6:$E$141,5,FALSE)+$L$6+VLOOKUP(vcost_ub[[#This Row],[setting]],$O$6:$AA$141,4,FALSE)+VLOOKUP(vcost_ub[[#This Row],[gbd_super]],$AH$6:$AK$11,4,FALSE),0)</f>
        <v>9.2832748964362555</v>
      </c>
      <c r="AL255" s="33">
        <f>IFERROR(VLOOKUP(vcost_ub[[#This Row],[setting]],$A$6:$E$141,5,FALSE)+VLOOKUP(vcost_ub[[#This Row],[setting]],$O$6:$AA$141,7,FALSE),0)</f>
        <v>8.7440210551789015</v>
      </c>
      <c r="AM255" s="33">
        <f>IFERROR(VLOOKUP(vcost_ub[[#This Row],[setting]],$A$6:$E$141,5,FALSE)+VLOOKUP(vcost_ub[[#This Row],[setting]],$O$6:$AA$141,7,FALSE)+VLOOKUP(vcost_ub[[#This Row],[gbd_super]],$AH$6:$AK$11,4,FALSE),0)</f>
        <v>8.7669110551789018</v>
      </c>
      <c r="AN255" s="33">
        <f>IFERROR(VLOOKUP(vcost_ub[[#This Row],[setting]],$A$6:$E$141,5,FALSE)+VLOOKUP(vcost_ub[[#This Row],[setting]],$O$6:$AA$141,10,FALSE)+VLOOKUP(vcost_ub[[#This Row],[gbd_super]],$AH$6:$AK$11,4,FALSE),0)</f>
        <v>8.748116045923803</v>
      </c>
      <c r="AO255" s="33">
        <f>IFERROR(VLOOKUP(vcost_ub[[#This Row],[setting]],$A$6:$E$141,5,FALSE)+$L$8+VLOOKUP(vcost_ub[[#This Row],[setting]],$O$6:$AA$141,13,FALSE),0)</f>
        <v>9.5336707653285639</v>
      </c>
      <c r="AP255" s="33">
        <f>IFERROR(VLOOKUP(vcost_ub[[#This Row],[setting]],$A$6:$E$141,5,FALSE)+$L$8+VLOOKUP(vcost_ub[[#This Row],[setting]],$O$6:$AA$141,13,FALSE)+VLOOKUP(vcost_ub[[#This Row],[gbd_super]],$AH$6:$AK$11,4,FALSE),0)</f>
        <v>9.5565607653285642</v>
      </c>
    </row>
    <row r="256" spans="1:42" x14ac:dyDescent="0.25">
      <c r="A256" s="103" t="s">
        <v>272</v>
      </c>
      <c r="B256" s="135" t="s">
        <v>665</v>
      </c>
      <c r="C256">
        <f>IFERROR(VLOOKUP(vcost[[#This Row],[setting]],$A$6:$E$141,3,FALSE)+$J$6+VLOOKUP(vcost[[#This Row],[setting]],$O$6:$AA$141,2,FALSE),0)</f>
        <v>3.2094407931038518</v>
      </c>
      <c r="D256">
        <f>IFERROR(VLOOKUP(vcost[[#This Row],[setting]],$A$6:$E$141,3,FALSE)+$J$6+VLOOKUP(vcost[[#This Row],[setting]],$O$6:$AA$141,2,FALSE)+VLOOKUP(vcost[[#This Row],[gbd_super]],$AH$6:$AK$11,2,FALSE),0)</f>
        <v>3.2294407931038518</v>
      </c>
      <c r="E256">
        <f>IFERROR(VLOOKUP(vcost[[#This Row],[setting]],$A$6:$E$141,3,FALSE)+VLOOKUP(vcost[[#This Row],[setting]],$O$6:$AA$141,5,FALSE),0)</f>
        <v>2.7695300459729006</v>
      </c>
      <c r="F256" s="33">
        <f>IFERROR(VLOOKUP(vcost[[#This Row],[setting]],$A$6:$E$141,3,FALSE)+VLOOKUP(vcost[[#This Row],[setting]],$O$6:$AA$141,5,FALSE)+VLOOKUP(vcost[[#This Row],[gbd_super]],$AH$6:$AK$11,2,FALSE),0)</f>
        <v>2.7895300459729007</v>
      </c>
      <c r="G256" s="33">
        <f>IFERROR(VLOOKUP(vcost[[#This Row],[setting]],$A$6:$E$141,3,FALSE)+VLOOKUP(vcost[[#This Row],[setting]],$O$6:$AA$141,8,FALSE)+VLOOKUP(vcost[[#This Row],[gbd_super]],$AH$6:$AK$11,2,FALSE),0)</f>
        <v>2.7807388324601101</v>
      </c>
      <c r="H256">
        <f>IFERROR(VLOOKUP(vcost[[#This Row],[setting]],$A$6:$E$141,3,FALSE)+$J$8+VLOOKUP(vcost[[#This Row],[setting]],$O$6:$AA$141,11,FALSE),0)</f>
        <v>3.4562393126534046</v>
      </c>
      <c r="I256" s="33">
        <f>IFERROR(VLOOKUP(vcost[[#This Row],[setting]],$A$6:$E$141,3,FALSE)+$J$8+VLOOKUP(vcost[[#This Row],[setting]],$O$6:$AA$141,11,FALSE)+VLOOKUP(vcost[[#This Row],[gbd_super]],$AH$6:$AK$11,2,FALSE),0)</f>
        <v>3.4762393126534046</v>
      </c>
      <c r="O256" s="103" t="s">
        <v>272</v>
      </c>
      <c r="P256" s="135" t="s">
        <v>665</v>
      </c>
      <c r="Q256" s="33">
        <f>IFERROR(VLOOKUP(vcost_lb[[#This Row],[setting]],$A$6:$E$141,4,FALSE)+$K$6+VLOOKUP(vcost_lb[[#This Row],[setting]],$O$6:$AA$141,3,FALSE),0)</f>
        <v>1.2798529655968391</v>
      </c>
      <c r="R256" s="33">
        <f>IFERROR(VLOOKUP(vcost_lb[[#This Row],[setting]],$A$6:$E$141,4,FALSE)+$K$6+VLOOKUP(vcost_lb[[#This Row],[setting]],$O$6:$AA$141,3,FALSE)+VLOOKUP(vcost_lb[[#This Row],[gbd_super]],$AH$6:$AK$11,3,FALSE),0)</f>
        <v>1.3005629655968391</v>
      </c>
      <c r="S256" s="33">
        <f>IFERROR(VLOOKUP(vcost_lb[[#This Row],[setting]],$A$6:$E$141,4,FALSE)+VLOOKUP(vcost_lb[[#This Row],[setting]],$O$6:$AA$141,6,FALSE),0)</f>
        <v>0.90888292498217149</v>
      </c>
      <c r="T256" s="33">
        <f>IFERROR(VLOOKUP(vcost_lb[[#This Row],[setting]],$A$6:$E$141,4,FALSE)+VLOOKUP(vcost_lb[[#This Row],[setting]],$O$6:$AA$141,6,FALSE)+VLOOKUP(vcost_lb[[#This Row],[gbd_super]],$AH$6:$AK$11,3,FALSE),0)</f>
        <v>0.9295929249821715</v>
      </c>
      <c r="U256" s="33">
        <f>IFERROR(VLOOKUP(vcost_lb[[#This Row],[setting]],$A$6:$E$141,4,FALSE)+VLOOKUP(vcost_lb[[#This Row],[setting]],$O$6:$AA$141,9,FALSE)+VLOOKUP(vcost_lb[[#This Row],[gbd_super]],$AH$6:$AK$11,3,FALSE),0)</f>
        <v>0.9238092318816512</v>
      </c>
      <c r="V256" s="33">
        <f>IFERROR(VLOOKUP(vcost_lb[[#This Row],[setting]],$A$6:$E$141,4,FALSE)+$K$8+VLOOKUP(vcost_lb[[#This Row],[setting]],$O$6:$AA$141,12,FALSE),0)</f>
        <v>1.4934816575244805</v>
      </c>
      <c r="W256" s="33">
        <f>IFERROR(VLOOKUP(vcost_lb[[#This Row],[setting]],$A$6:$E$141,4,FALSE)+$K$8+VLOOKUP(vcost_lb[[#This Row],[setting]],$O$6:$AA$141,12,FALSE)+VLOOKUP(vcost_lb[[#This Row],[gbd_super]],$AH$6:$AK$11,3,FALSE),0)</f>
        <v>1.5141916575244805</v>
      </c>
      <c r="AH256" s="103" t="s">
        <v>272</v>
      </c>
      <c r="AI256" s="135" t="s">
        <v>665</v>
      </c>
      <c r="AJ256" s="33">
        <f>IFERROR(VLOOKUP(vcost_ub[[#This Row],[setting]],$A$6:$E$141,5,FALSE)+$L$6+VLOOKUP(vcost_ub[[#This Row],[setting]],$O$6:$AA$141,4,FALSE),0)</f>
        <v>7.1990432166571132</v>
      </c>
      <c r="AK256" s="33">
        <f>IFERROR(VLOOKUP(vcost_ub[[#This Row],[setting]],$A$6:$E$141,5,FALSE)+$L$6+VLOOKUP(vcost_ub[[#This Row],[setting]],$O$6:$AA$141,4,FALSE)+VLOOKUP(vcost_ub[[#This Row],[gbd_super]],$AH$6:$AK$11,4,FALSE),0)</f>
        <v>7.2219332166571135</v>
      </c>
      <c r="AL256" s="33">
        <f>IFERROR(VLOOKUP(vcost_ub[[#This Row],[setting]],$A$6:$E$141,5,FALSE)+VLOOKUP(vcost_ub[[#This Row],[setting]],$O$6:$AA$141,7,FALSE),0)</f>
        <v>6.6740316999286851</v>
      </c>
      <c r="AM256" s="33">
        <f>IFERROR(VLOOKUP(vcost_ub[[#This Row],[setting]],$A$6:$E$141,5,FALSE)+VLOOKUP(vcost_ub[[#This Row],[setting]],$O$6:$AA$141,7,FALSE)+VLOOKUP(vcost_ub[[#This Row],[gbd_super]],$AH$6:$AK$11,4,FALSE),0)</f>
        <v>6.6969216999286854</v>
      </c>
      <c r="AN256" s="33">
        <f>IFERROR(VLOOKUP(vcost_ub[[#This Row],[setting]],$A$6:$E$141,5,FALSE)+VLOOKUP(vcost_ub[[#This Row],[setting]],$O$6:$AA$141,10,FALSE)+VLOOKUP(vcost_ub[[#This Row],[gbd_super]],$AH$6:$AK$11,4,FALSE),0)</f>
        <v>6.6737869275266046</v>
      </c>
      <c r="AO256" s="33">
        <f>IFERROR(VLOOKUP(vcost_ub[[#This Row],[setting]],$A$6:$E$141,5,FALSE)+$L$8+VLOOKUP(vcost_ub[[#This Row],[setting]],$O$6:$AA$141,13,FALSE),0)</f>
        <v>7.4742920548281315</v>
      </c>
      <c r="AP256" s="33">
        <f>IFERROR(VLOOKUP(vcost_ub[[#This Row],[setting]],$A$6:$E$141,5,FALSE)+$L$8+VLOOKUP(vcost_ub[[#This Row],[setting]],$O$6:$AA$141,13,FALSE)+VLOOKUP(vcost_ub[[#This Row],[gbd_super]],$AH$6:$AK$11,4,FALSE),0)</f>
        <v>7.4971820548281318</v>
      </c>
    </row>
    <row r="257" spans="1:42" x14ac:dyDescent="0.25">
      <c r="A257" s="100" t="s">
        <v>654</v>
      </c>
      <c r="B257" s="134" t="s">
        <v>666</v>
      </c>
      <c r="C257">
        <f>IFERROR(VLOOKUP(vcost[[#This Row],[setting]],$A$6:$E$141,3,FALSE)+$J$6+VLOOKUP(vcost[[#This Row],[setting]],$O$6:$AA$141,2,FALSE),0)</f>
        <v>1.4441675209954445</v>
      </c>
      <c r="D257">
        <f>IFERROR(VLOOKUP(vcost[[#This Row],[setting]],$A$6:$E$141,3,FALSE)+$J$6+VLOOKUP(vcost[[#This Row],[setting]],$O$6:$AA$141,2,FALSE)+VLOOKUP(vcost[[#This Row],[gbd_super]],$AH$6:$AK$11,2,FALSE),0)</f>
        <v>2.0741675209954447</v>
      </c>
      <c r="E257">
        <f>IFERROR(VLOOKUP(vcost[[#This Row],[setting]],$A$6:$E$141,3,FALSE)+VLOOKUP(vcost[[#This Row],[setting]],$O$6:$AA$141,5,FALSE),0)</f>
        <v>1.0063660417738949</v>
      </c>
      <c r="F257" s="33">
        <f>IFERROR(VLOOKUP(vcost[[#This Row],[setting]],$A$6:$E$141,3,FALSE)+VLOOKUP(vcost[[#This Row],[setting]],$O$6:$AA$141,5,FALSE)+VLOOKUP(vcost[[#This Row],[gbd_super]],$AH$6:$AK$11,2,FALSE),0)</f>
        <v>1.6363660417738948</v>
      </c>
      <c r="G257" s="33">
        <f>IFERROR(VLOOKUP(vcost[[#This Row],[setting]],$A$6:$E$141,3,FALSE)+VLOOKUP(vcost[[#This Row],[setting]],$O$6:$AA$141,8,FALSE)+VLOOKUP(vcost[[#This Row],[gbd_super]],$AH$6:$AK$11,2,FALSE),0)</f>
        <v>1.6286098666887132</v>
      </c>
      <c r="H257">
        <f>IFERROR(VLOOKUP(vcost[[#This Row],[setting]],$A$6:$E$141,3,FALSE)+$J$8+VLOOKUP(vcost[[#This Row],[setting]],$O$6:$AA$141,11,FALSE),0)</f>
        <v>1.6902057230427712</v>
      </c>
      <c r="I257" s="33">
        <f>IFERROR(VLOOKUP(vcost[[#This Row],[setting]],$A$6:$E$141,3,FALSE)+$J$8+VLOOKUP(vcost[[#This Row],[setting]],$O$6:$AA$141,11,FALSE)+VLOOKUP(vcost[[#This Row],[gbd_super]],$AH$6:$AK$11,2,FALSE),0)</f>
        <v>2.3202057230427711</v>
      </c>
      <c r="O257" s="100" t="s">
        <v>654</v>
      </c>
      <c r="P257" s="134" t="s">
        <v>666</v>
      </c>
      <c r="Q257" s="33">
        <f>IFERROR(VLOOKUP(vcost_lb[[#This Row],[setting]],$A$6:$E$141,4,FALSE)+$K$6+VLOOKUP(vcost_lb[[#This Row],[setting]],$O$6:$AA$141,3,FALSE),0)</f>
        <v>0.60826822405847758</v>
      </c>
      <c r="R257" s="33">
        <f>IFERROR(VLOOKUP(vcost_lb[[#This Row],[setting]],$A$6:$E$141,4,FALSE)+$K$6+VLOOKUP(vcost_lb[[#This Row],[setting]],$O$6:$AA$141,3,FALSE)+VLOOKUP(vcost_lb[[#This Row],[gbd_super]],$AH$6:$AK$11,3,FALSE),0)</f>
        <v>1.2088582240584775</v>
      </c>
      <c r="S257" s="33">
        <f>IFERROR(VLOOKUP(vcost_lb[[#This Row],[setting]],$A$6:$E$141,4,FALSE)+VLOOKUP(vcost_lb[[#This Row],[setting]],$O$6:$AA$141,6,FALSE),0)</f>
        <v>0.23815660643019396</v>
      </c>
      <c r="T257" s="33">
        <f>IFERROR(VLOOKUP(vcost_lb[[#This Row],[setting]],$A$6:$E$141,4,FALSE)+VLOOKUP(vcost_lb[[#This Row],[setting]],$O$6:$AA$141,6,FALSE)+VLOOKUP(vcost_lb[[#This Row],[gbd_super]],$AH$6:$AK$11,3,FALSE),0)</f>
        <v>0.83874660643019394</v>
      </c>
      <c r="U257" s="33">
        <f>IFERROR(VLOOKUP(vcost_lb[[#This Row],[setting]],$A$6:$E$141,4,FALSE)+VLOOKUP(vcost_lb[[#This Row],[setting]],$O$6:$AA$141,9,FALSE)+VLOOKUP(vcost_lb[[#This Row],[gbd_super]],$AH$6:$AK$11,3,FALSE),0)</f>
        <v>0.83364385966362697</v>
      </c>
      <c r="V257" s="33">
        <f>IFERROR(VLOOKUP(vcost_lb[[#This Row],[setting]],$A$6:$E$141,4,FALSE)+$K$8+VLOOKUP(vcost_lb[[#This Row],[setting]],$O$6:$AA$141,12,FALSE),0)</f>
        <v>0.82152902042052545</v>
      </c>
      <c r="W257" s="33">
        <f>IFERROR(VLOOKUP(vcost_lb[[#This Row],[setting]],$A$6:$E$141,4,FALSE)+$K$8+VLOOKUP(vcost_lb[[#This Row],[setting]],$O$6:$AA$141,12,FALSE)+VLOOKUP(vcost_lb[[#This Row],[gbd_super]],$AH$6:$AK$11,3,FALSE),0)</f>
        <v>1.4221190204205254</v>
      </c>
      <c r="AH257" s="100" t="s">
        <v>654</v>
      </c>
      <c r="AI257" s="134" t="s">
        <v>666</v>
      </c>
      <c r="AJ257" s="33">
        <f>IFERROR(VLOOKUP(vcost_ub[[#This Row],[setting]],$A$6:$E$141,5,FALSE)+$L$6+VLOOKUP(vcost_ub[[#This Row],[setting]],$O$6:$AA$141,4,FALSE),0)</f>
        <v>3.5130401439697576</v>
      </c>
      <c r="AK257" s="33">
        <f>IFERROR(VLOOKUP(vcost_ub[[#This Row],[setting]],$A$6:$E$141,5,FALSE)+$L$6+VLOOKUP(vcost_ub[[#This Row],[setting]],$O$6:$AA$141,4,FALSE)+VLOOKUP(vcost_ub[[#This Row],[gbd_super]],$AH$6:$AK$11,4,FALSE),0)</f>
        <v>4.1768501439697578</v>
      </c>
      <c r="AL257" s="33">
        <f>IFERROR(VLOOKUP(vcost_ub[[#This Row],[setting]],$A$6:$E$141,5,FALSE)+VLOOKUP(vcost_ub[[#This Row],[setting]],$O$6:$AA$141,7,FALSE),0)</f>
        <v>2.9920264257207756</v>
      </c>
      <c r="AM257" s="33">
        <f>IFERROR(VLOOKUP(vcost_ub[[#This Row],[setting]],$A$6:$E$141,5,FALSE)+VLOOKUP(vcost_ub[[#This Row],[setting]],$O$6:$AA$141,7,FALSE)+VLOOKUP(vcost_ub[[#This Row],[gbd_super]],$AH$6:$AK$11,4,FALSE),0)</f>
        <v>3.6558364257207758</v>
      </c>
      <c r="AN257" s="33">
        <f>IFERROR(VLOOKUP(vcost_ub[[#This Row],[setting]],$A$6:$E$141,5,FALSE)+VLOOKUP(vcost_ub[[#This Row],[setting]],$O$6:$AA$141,10,FALSE)+VLOOKUP(vcost_ub[[#This Row],[gbd_super]],$AH$6:$AK$11,4,FALSE),0)</f>
        <v>3.635425438654508</v>
      </c>
      <c r="AO257" s="33">
        <f>IFERROR(VLOOKUP(vcost_ub[[#This Row],[setting]],$A$6:$E$141,5,FALSE)+$L$8+VLOOKUP(vcost_ub[[#This Row],[setting]],$O$6:$AA$141,13,FALSE),0)</f>
        <v>3.7873815064123115</v>
      </c>
      <c r="AP257" s="33">
        <f>IFERROR(VLOOKUP(vcost_ub[[#This Row],[setting]],$A$6:$E$141,5,FALSE)+$L$8+VLOOKUP(vcost_ub[[#This Row],[setting]],$O$6:$AA$141,13,FALSE)+VLOOKUP(vcost_ub[[#This Row],[gbd_super]],$AH$6:$AK$11,4,FALSE),0)</f>
        <v>4.4511915064123118</v>
      </c>
    </row>
    <row r="258" spans="1:42" x14ac:dyDescent="0.25">
      <c r="A258" s="103" t="s">
        <v>313</v>
      </c>
      <c r="B258" s="135" t="s">
        <v>663</v>
      </c>
      <c r="C258">
        <f>IFERROR(VLOOKUP(vcost[[#This Row],[setting]],$A$6:$E$141,3,FALSE)+$J$6+VLOOKUP(vcost[[#This Row],[setting]],$O$6:$AA$141,2,FALSE),0)</f>
        <v>4.3870239011754144</v>
      </c>
      <c r="D258">
        <f>IFERROR(VLOOKUP(vcost[[#This Row],[setting]],$A$6:$E$141,3,FALSE)+$J$6+VLOOKUP(vcost[[#This Row],[setting]],$O$6:$AA$141,2,FALSE)+VLOOKUP(vcost[[#This Row],[gbd_super]],$AH$6:$AK$11,2,FALSE),0)</f>
        <v>8.4570239011754147</v>
      </c>
      <c r="E258">
        <f>IFERROR(VLOOKUP(vcost[[#This Row],[setting]],$A$6:$E$141,3,FALSE)+VLOOKUP(vcost[[#This Row],[setting]],$O$6:$AA$141,5,FALSE),0)</f>
        <v>3.9289134793891893</v>
      </c>
      <c r="F258" s="33">
        <f>IFERROR(VLOOKUP(vcost[[#This Row],[setting]],$A$6:$E$141,3,FALSE)+VLOOKUP(vcost[[#This Row],[setting]],$O$6:$AA$141,5,FALSE)+VLOOKUP(vcost[[#This Row],[gbd_super]],$AH$6:$AK$11,2,FALSE),0)</f>
        <v>7.9989134793891896</v>
      </c>
      <c r="G258" s="33">
        <f>IFERROR(VLOOKUP(vcost[[#This Row],[setting]],$A$6:$E$141,3,FALSE)+VLOOKUP(vcost[[#This Row],[setting]],$O$6:$AA$141,8,FALSE)+VLOOKUP(vcost[[#This Row],[gbd_super]],$AH$6:$AK$11,2,FALSE),0)</f>
        <v>7.983098295198241</v>
      </c>
      <c r="H258">
        <f>IFERROR(VLOOKUP(vcost[[#This Row],[setting]],$A$6:$E$141,3,FALSE)+$J$8+VLOOKUP(vcost[[#This Row],[setting]],$O$6:$AA$141,11,FALSE),0)</f>
        <v>4.6403827685658214</v>
      </c>
      <c r="I258" s="33">
        <f>IFERROR(VLOOKUP(vcost[[#This Row],[setting]],$A$6:$E$141,3,FALSE)+$J$8+VLOOKUP(vcost[[#This Row],[setting]],$O$6:$AA$141,11,FALSE)+VLOOKUP(vcost[[#This Row],[gbd_super]],$AH$6:$AK$11,2,FALSE),0)</f>
        <v>8.7103827685658217</v>
      </c>
      <c r="O258" s="103" t="s">
        <v>313</v>
      </c>
      <c r="P258" s="135" t="s">
        <v>663</v>
      </c>
      <c r="Q258" s="33">
        <f>IFERROR(VLOOKUP(vcost_lb[[#This Row],[setting]],$A$6:$E$141,4,FALSE)+$K$6+VLOOKUP(vcost_lb[[#This Row],[setting]],$O$6:$AA$141,3,FALSE),0)</f>
        <v>1.5656410161282148</v>
      </c>
      <c r="R258" s="33">
        <f>IFERROR(VLOOKUP(vcost_lb[[#This Row],[setting]],$A$6:$E$141,4,FALSE)+$K$6+VLOOKUP(vcost_lb[[#This Row],[setting]],$O$6:$AA$141,3,FALSE)+VLOOKUP(vcost_lb[[#This Row],[gbd_super]],$AH$6:$AK$11,3,FALSE),0)</f>
        <v>5.428056016128215</v>
      </c>
      <c r="S258" s="33">
        <f>IFERROR(VLOOKUP(vcost_lb[[#This Row],[setting]],$A$6:$E$141,4,FALSE)+VLOOKUP(vcost_lb[[#This Row],[setting]],$O$6:$AA$141,6,FALSE),0)</f>
        <v>1.1872641311770982</v>
      </c>
      <c r="T258" s="33">
        <f>IFERROR(VLOOKUP(vcost_lb[[#This Row],[setting]],$A$6:$E$141,4,FALSE)+VLOOKUP(vcost_lb[[#This Row],[setting]],$O$6:$AA$141,6,FALSE)+VLOOKUP(vcost_lb[[#This Row],[gbd_super]],$AH$6:$AK$11,3,FALSE),0)</f>
        <v>5.0496791311770988</v>
      </c>
      <c r="U258" s="33">
        <f>IFERROR(VLOOKUP(vcost_lb[[#This Row],[setting]],$A$6:$E$141,4,FALSE)+VLOOKUP(vcost_lb[[#This Row],[setting]],$O$6:$AA$141,9,FALSE)+VLOOKUP(vcost_lb[[#This Row],[gbd_super]],$AH$6:$AK$11,3,FALSE),0)</f>
        <v>5.0392744047356857</v>
      </c>
      <c r="V258" s="33">
        <f>IFERROR(VLOOKUP(vcost_lb[[#This Row],[setting]],$A$6:$E$141,4,FALSE)+$K$8+VLOOKUP(vcost_lb[[#This Row],[setting]],$O$6:$AA$141,12,FALSE),0)</f>
        <v>1.7824440699143338</v>
      </c>
      <c r="W258" s="33">
        <f>IFERROR(VLOOKUP(vcost_lb[[#This Row],[setting]],$A$6:$E$141,4,FALSE)+$K$8+VLOOKUP(vcost_lb[[#This Row],[setting]],$O$6:$AA$141,12,FALSE)+VLOOKUP(vcost_lb[[#This Row],[gbd_super]],$AH$6:$AK$11,3,FALSE),0)</f>
        <v>5.6448590699143342</v>
      </c>
      <c r="AH258" s="103" t="s">
        <v>313</v>
      </c>
      <c r="AI258" s="135" t="s">
        <v>663</v>
      </c>
      <c r="AJ258" s="33">
        <f>IFERROR(VLOOKUP(vcost_ub[[#This Row],[setting]],$A$6:$E$141,5,FALSE)+$L$6+VLOOKUP(vcost_ub[[#This Row],[setting]],$O$6:$AA$141,4,FALSE),0)</f>
        <v>10.437962773632282</v>
      </c>
      <c r="AK258" s="33">
        <f>IFERROR(VLOOKUP(vcost_ub[[#This Row],[setting]],$A$6:$E$141,5,FALSE)+$L$6+VLOOKUP(vcost_ub[[#This Row],[setting]],$O$6:$AA$141,4,FALSE)+VLOOKUP(vcost_ub[[#This Row],[gbd_super]],$AH$6:$AK$11,4,FALSE),0)</f>
        <v>14.706947773632283</v>
      </c>
      <c r="AL258" s="33">
        <f>IFERROR(VLOOKUP(vcost_ub[[#This Row],[setting]],$A$6:$E$141,5,FALSE)+VLOOKUP(vcost_ub[[#This Row],[setting]],$O$6:$AA$141,7,FALSE),0)</f>
        <v>9.878456524708394</v>
      </c>
      <c r="AM258" s="33">
        <f>IFERROR(VLOOKUP(vcost_ub[[#This Row],[setting]],$A$6:$E$141,5,FALSE)+VLOOKUP(vcost_ub[[#This Row],[setting]],$O$6:$AA$141,7,FALSE)+VLOOKUP(vcost_ub[[#This Row],[gbd_super]],$AH$6:$AK$11,4,FALSE),0)</f>
        <v>14.147441524708395</v>
      </c>
      <c r="AN258" s="33">
        <f>IFERROR(VLOOKUP(vcost_ub[[#This Row],[setting]],$A$6:$E$141,5,FALSE)+VLOOKUP(vcost_ub[[#This Row],[setting]],$O$6:$AA$141,10,FALSE)+VLOOKUP(vcost_ub[[#This Row],[gbd_super]],$AH$6:$AK$11,4,FALSE),0)</f>
        <v>14.105822618942742</v>
      </c>
      <c r="AO258" s="33">
        <f>IFERROR(VLOOKUP(vcost_ub[[#This Row],[setting]],$A$6:$E$141,5,FALSE)+$L$8+VLOOKUP(vcost_ub[[#This Row],[setting]],$O$6:$AA$141,13,FALSE),0)</f>
        <v>10.721041704387547</v>
      </c>
      <c r="AP258" s="33">
        <f>IFERROR(VLOOKUP(vcost_ub[[#This Row],[setting]],$A$6:$E$141,5,FALSE)+$L$8+VLOOKUP(vcost_ub[[#This Row],[setting]],$O$6:$AA$141,13,FALSE)+VLOOKUP(vcost_ub[[#This Row],[gbd_super]],$AH$6:$AK$11,4,FALSE),0)</f>
        <v>14.990026704387548</v>
      </c>
    </row>
    <row r="259" spans="1:42" x14ac:dyDescent="0.25">
      <c r="A259" s="100" t="s">
        <v>641</v>
      </c>
      <c r="B259" s="134" t="s">
        <v>663</v>
      </c>
      <c r="C259">
        <f>IFERROR(VLOOKUP(vcost[[#This Row],[setting]],$A$6:$E$141,3,FALSE)+$J$6+VLOOKUP(vcost[[#This Row],[setting]],$O$6:$AA$141,2,FALSE),0)</f>
        <v>4.1116582995694033</v>
      </c>
      <c r="D259">
        <f>IFERROR(VLOOKUP(vcost[[#This Row],[setting]],$A$6:$E$141,3,FALSE)+$J$6+VLOOKUP(vcost[[#This Row],[setting]],$O$6:$AA$141,2,FALSE)+VLOOKUP(vcost[[#This Row],[gbd_super]],$AH$6:$AK$11,2,FALSE),0)</f>
        <v>8.1816582995694027</v>
      </c>
      <c r="E259">
        <f>IFERROR(VLOOKUP(vcost[[#This Row],[setting]],$A$6:$E$141,3,FALSE)+VLOOKUP(vcost[[#This Row],[setting]],$O$6:$AA$141,5,FALSE),0)</f>
        <v>3.6575641848085914</v>
      </c>
      <c r="F259" s="33">
        <f>IFERROR(VLOOKUP(vcost[[#This Row],[setting]],$A$6:$E$141,3,FALSE)+VLOOKUP(vcost[[#This Row],[setting]],$O$6:$AA$141,5,FALSE)+VLOOKUP(vcost[[#This Row],[gbd_super]],$AH$6:$AK$11,2,FALSE),0)</f>
        <v>7.7275641848085916</v>
      </c>
      <c r="G259" s="33">
        <f>IFERROR(VLOOKUP(vcost[[#This Row],[setting]],$A$6:$E$141,3,FALSE)+VLOOKUP(vcost[[#This Row],[setting]],$O$6:$AA$141,8,FALSE)+VLOOKUP(vcost[[#This Row],[gbd_super]],$AH$6:$AK$11,2,FALSE),0)</f>
        <v>7.7132635423426219</v>
      </c>
      <c r="H259">
        <f>IFERROR(VLOOKUP(vcost[[#This Row],[setting]],$A$6:$E$141,3,FALSE)+$J$8+VLOOKUP(vcost[[#This Row],[setting]],$O$6:$AA$141,11,FALSE),0)</f>
        <v>4.3635694283808819</v>
      </c>
      <c r="I259" s="33">
        <f>IFERROR(VLOOKUP(vcost[[#This Row],[setting]],$A$6:$E$141,3,FALSE)+$J$8+VLOOKUP(vcost[[#This Row],[setting]],$O$6:$AA$141,11,FALSE)+VLOOKUP(vcost[[#This Row],[gbd_super]],$AH$6:$AK$11,2,FALSE),0)</f>
        <v>8.4335694283808813</v>
      </c>
      <c r="O259" s="100" t="s">
        <v>641</v>
      </c>
      <c r="P259" s="134" t="s">
        <v>663</v>
      </c>
      <c r="Q259" s="33">
        <f>IFERROR(VLOOKUP(vcost_lb[[#This Row],[setting]],$A$6:$E$141,4,FALSE)+$K$6+VLOOKUP(vcost_lb[[#This Row],[setting]],$O$6:$AA$141,3,FALSE),0)</f>
        <v>1.324771410347283</v>
      </c>
      <c r="R259" s="33">
        <f>IFERROR(VLOOKUP(vcost_lb[[#This Row],[setting]],$A$6:$E$141,4,FALSE)+$K$6+VLOOKUP(vcost_lb[[#This Row],[setting]],$O$6:$AA$141,3,FALSE)+VLOOKUP(vcost_lb[[#This Row],[gbd_super]],$AH$6:$AK$11,3,FALSE),0)</f>
        <v>5.1871864103472838</v>
      </c>
      <c r="S259" s="33">
        <f>IFERROR(VLOOKUP(vcost_lb[[#This Row],[setting]],$A$6:$E$141,4,FALSE)+VLOOKUP(vcost_lb[[#This Row],[setting]],$O$6:$AA$141,6,FALSE),0)</f>
        <v>0.94802906895302075</v>
      </c>
      <c r="T259" s="33">
        <f>IFERROR(VLOOKUP(vcost_lb[[#This Row],[setting]],$A$6:$E$141,4,FALSE)+VLOOKUP(vcost_lb[[#This Row],[setting]],$O$6:$AA$141,6,FALSE)+VLOOKUP(vcost_lb[[#This Row],[gbd_super]],$AH$6:$AK$11,3,FALSE),0)</f>
        <v>4.8104440689530215</v>
      </c>
      <c r="U259" s="33">
        <f>IFERROR(VLOOKUP(vcost_lb[[#This Row],[setting]],$A$6:$E$141,4,FALSE)+VLOOKUP(vcost_lb[[#This Row],[setting]],$O$6:$AA$141,9,FALSE)+VLOOKUP(vcost_lb[[#This Row],[gbd_super]],$AH$6:$AK$11,3,FALSE),0)</f>
        <v>4.8010357515411988</v>
      </c>
      <c r="V259" s="33">
        <f>IFERROR(VLOOKUP(vcost_lb[[#This Row],[setting]],$A$6:$E$141,4,FALSE)+$K$8+VLOOKUP(vcost_lb[[#This Row],[setting]],$O$6:$AA$141,12,FALSE),0)</f>
        <v>1.5408739454661788</v>
      </c>
      <c r="W259" s="33">
        <f>IFERROR(VLOOKUP(vcost_lb[[#This Row],[setting]],$A$6:$E$141,4,FALSE)+$K$8+VLOOKUP(vcost_lb[[#This Row],[setting]],$O$6:$AA$141,12,FALSE)+VLOOKUP(vcost_lb[[#This Row],[gbd_super]],$AH$6:$AK$11,3,FALSE),0)</f>
        <v>5.403288945466179</v>
      </c>
      <c r="AH259" s="100" t="s">
        <v>641</v>
      </c>
      <c r="AI259" s="134" t="s">
        <v>663</v>
      </c>
      <c r="AJ259" s="33">
        <f>IFERROR(VLOOKUP(vcost_ub[[#This Row],[setting]],$A$6:$E$141,5,FALSE)+$L$6+VLOOKUP(vcost_ub[[#This Row],[setting]],$O$6:$AA$141,4,FALSE),0)</f>
        <v>10.25621022188548</v>
      </c>
      <c r="AK259" s="33">
        <f>IFERROR(VLOOKUP(vcost_ub[[#This Row],[setting]],$A$6:$E$141,5,FALSE)+$L$6+VLOOKUP(vcost_ub[[#This Row],[setting]],$O$6:$AA$141,4,FALSE)+VLOOKUP(vcost_ub[[#This Row],[gbd_super]],$AH$6:$AK$11,4,FALSE),0)</f>
        <v>14.525195221885481</v>
      </c>
      <c r="AL259" s="33">
        <f>IFERROR(VLOOKUP(vcost_ub[[#This Row],[setting]],$A$6:$E$141,5,FALSE)+VLOOKUP(vcost_ub[[#This Row],[setting]],$O$6:$AA$141,7,FALSE),0)</f>
        <v>9.7043162758120829</v>
      </c>
      <c r="AM259" s="33">
        <f>IFERROR(VLOOKUP(vcost_ub[[#This Row],[setting]],$A$6:$E$141,5,FALSE)+VLOOKUP(vcost_ub[[#This Row],[setting]],$O$6:$AA$141,7,FALSE)+VLOOKUP(vcost_ub[[#This Row],[gbd_super]],$AH$6:$AK$11,4,FALSE),0)</f>
        <v>13.973301275812084</v>
      </c>
      <c r="AN259" s="33">
        <f>IFERROR(VLOOKUP(vcost_ub[[#This Row],[setting]],$A$6:$E$141,5,FALSE)+VLOOKUP(vcost_ub[[#This Row],[setting]],$O$6:$AA$141,10,FALSE)+VLOOKUP(vcost_ub[[#This Row],[gbd_super]],$AH$6:$AK$11,4,FALSE),0)</f>
        <v>13.935668006164796</v>
      </c>
      <c r="AO259" s="33">
        <f>IFERROR(VLOOKUP(vcost_ub[[#This Row],[setting]],$A$6:$E$141,5,FALSE)+$L$8+VLOOKUP(vcost_ub[[#This Row],[setting]],$O$6:$AA$141,13,FALSE),0)</f>
        <v>10.537561206594926</v>
      </c>
      <c r="AP259" s="33">
        <f>IFERROR(VLOOKUP(vcost_ub[[#This Row],[setting]],$A$6:$E$141,5,FALSE)+$L$8+VLOOKUP(vcost_ub[[#This Row],[setting]],$O$6:$AA$141,13,FALSE)+VLOOKUP(vcost_ub[[#This Row],[gbd_super]],$AH$6:$AK$11,4,FALSE),0)</f>
        <v>14.806546206594927</v>
      </c>
    </row>
    <row r="260" spans="1:42" x14ac:dyDescent="0.25">
      <c r="A260" s="103" t="s">
        <v>113</v>
      </c>
      <c r="B260" s="135" t="s">
        <v>667</v>
      </c>
      <c r="C260">
        <f>IFERROR(VLOOKUP(vcost[[#This Row],[setting]],$A$6:$E$141,3,FALSE)+$J$6+VLOOKUP(vcost[[#This Row],[setting]],$O$6:$AA$141,2,FALSE),0)</f>
        <v>3.2638319578744377</v>
      </c>
      <c r="D260">
        <f>IFERROR(VLOOKUP(vcost[[#This Row],[setting]],$A$6:$E$141,3,FALSE)+$J$6+VLOOKUP(vcost[[#This Row],[setting]],$O$6:$AA$141,2,FALSE)+VLOOKUP(vcost[[#This Row],[gbd_super]],$AH$6:$AK$11,2,FALSE),0)</f>
        <v>8.0938319578744373</v>
      </c>
      <c r="E260">
        <f>IFERROR(VLOOKUP(vcost[[#This Row],[setting]],$A$6:$E$141,3,FALSE)+VLOOKUP(vcost[[#This Row],[setting]],$O$6:$AA$141,5,FALSE),0)</f>
        <v>2.8387900985813239</v>
      </c>
      <c r="F260" s="33">
        <f>IFERROR(VLOOKUP(vcost[[#This Row],[setting]],$A$6:$E$141,3,FALSE)+VLOOKUP(vcost[[#This Row],[setting]],$O$6:$AA$141,5,FALSE)+VLOOKUP(vcost[[#This Row],[gbd_super]],$AH$6:$AK$11,2,FALSE),0)</f>
        <v>7.668790098581324</v>
      </c>
      <c r="G260" s="33">
        <f>IFERROR(VLOOKUP(vcost[[#This Row],[setting]],$A$6:$E$141,3,FALSE)+VLOOKUP(vcost[[#This Row],[setting]],$O$6:$AA$141,8,FALSE)+VLOOKUP(vcost[[#This Row],[gbd_super]],$AH$6:$AK$11,2,FALSE),0)</f>
        <v>7.6660585045980598</v>
      </c>
      <c r="H260">
        <f>IFERROR(VLOOKUP(vcost[[#This Row],[setting]],$A$6:$E$141,3,FALSE)+$J$8+VLOOKUP(vcost[[#This Row],[setting]],$O$6:$AA$141,11,FALSE),0)</f>
        <v>3.5052707620405843</v>
      </c>
      <c r="I260" s="33">
        <f>IFERROR(VLOOKUP(vcost[[#This Row],[setting]],$A$6:$E$141,3,FALSE)+$J$8+VLOOKUP(vcost[[#This Row],[setting]],$O$6:$AA$141,11,FALSE)+VLOOKUP(vcost[[#This Row],[gbd_super]],$AH$6:$AK$11,2,FALSE),0)</f>
        <v>8.3352707620405848</v>
      </c>
      <c r="O260" s="103" t="s">
        <v>113</v>
      </c>
      <c r="P260" s="135" t="s">
        <v>667</v>
      </c>
      <c r="Q260" s="33">
        <f>IFERROR(VLOOKUP(vcost_lb[[#This Row],[setting]],$A$6:$E$141,4,FALSE)+$K$6+VLOOKUP(vcost_lb[[#This Row],[setting]],$O$6:$AA$141,3,FALSE),0)</f>
        <v>1.4711569718036284</v>
      </c>
      <c r="R260" s="33">
        <f>IFERROR(VLOOKUP(vcost_lb[[#This Row],[setting]],$A$6:$E$141,4,FALSE)+$K$6+VLOOKUP(vcost_lb[[#This Row],[setting]],$O$6:$AA$141,3,FALSE)+VLOOKUP(vcost_lb[[#This Row],[gbd_super]],$AH$6:$AK$11,3,FALSE),0)</f>
        <v>6.0584219718036287</v>
      </c>
      <c r="S260" s="33">
        <f>IFERROR(VLOOKUP(vcost_lb[[#This Row],[setting]],$A$6:$E$141,4,FALSE)+VLOOKUP(vcost_lb[[#This Row],[setting]],$O$6:$AA$141,6,FALSE),0)</f>
        <v>1.1062382227508709</v>
      </c>
      <c r="T260" s="33">
        <f>IFERROR(VLOOKUP(vcost_lb[[#This Row],[setting]],$A$6:$E$141,4,FALSE)+VLOOKUP(vcost_lb[[#This Row],[setting]],$O$6:$AA$141,6,FALSE)+VLOOKUP(vcost_lb[[#This Row],[gbd_super]],$AH$6:$AK$11,3,FALSE),0)</f>
        <v>5.6935032227508717</v>
      </c>
      <c r="U260" s="33">
        <f>IFERROR(VLOOKUP(vcost_lb[[#This Row],[setting]],$A$6:$E$141,4,FALSE)+VLOOKUP(vcost_lb[[#This Row],[setting]],$O$6:$AA$141,9,FALSE)+VLOOKUP(vcost_lb[[#This Row],[gbd_super]],$AH$6:$AK$11,3,FALSE),0)</f>
        <v>5.6917061214460922</v>
      </c>
      <c r="V260" s="33">
        <f>IFERROR(VLOOKUP(vcost_lb[[#This Row],[setting]],$A$6:$E$141,4,FALSE)+$K$8+VLOOKUP(vcost_lb[[#This Row],[setting]],$O$6:$AA$141,12,FALSE),0)</f>
        <v>1.6821922530618794</v>
      </c>
      <c r="W260" s="33">
        <f>IFERROR(VLOOKUP(vcost_lb[[#This Row],[setting]],$A$6:$E$141,4,FALSE)+$K$8+VLOOKUP(vcost_lb[[#This Row],[setting]],$O$6:$AA$141,12,FALSE)+VLOOKUP(vcost_lb[[#This Row],[gbd_super]],$AH$6:$AK$11,3,FALSE),0)</f>
        <v>6.26945725306188</v>
      </c>
      <c r="AH260" s="103" t="s">
        <v>113</v>
      </c>
      <c r="AI260" s="135" t="s">
        <v>667</v>
      </c>
      <c r="AJ260" s="33">
        <f>IFERROR(VLOOKUP(vcost_ub[[#This Row],[setting]],$A$6:$E$141,5,FALSE)+$L$6+VLOOKUP(vcost_ub[[#This Row],[setting]],$O$6:$AA$141,4,FALSE),0)</f>
        <v>6.6315826784578737</v>
      </c>
      <c r="AK260" s="33">
        <f>IFERROR(VLOOKUP(vcost_ub[[#This Row],[setting]],$A$6:$E$141,5,FALSE)+$L$6+VLOOKUP(vcost_ub[[#This Row],[setting]],$O$6:$AA$141,4,FALSE)+VLOOKUP(vcost_ub[[#This Row],[gbd_super]],$AH$6:$AK$11,4,FALSE),0)</f>
        <v>11.701717678457875</v>
      </c>
      <c r="AL260" s="33">
        <f>IFERROR(VLOOKUP(vcost_ub[[#This Row],[setting]],$A$6:$E$141,5,FALSE)+VLOOKUP(vcost_ub[[#This Row],[setting]],$O$6:$AA$141,7,FALSE),0)</f>
        <v>6.1347528910034841</v>
      </c>
      <c r="AM260" s="33">
        <f>IFERROR(VLOOKUP(vcost_ub[[#This Row],[setting]],$A$6:$E$141,5,FALSE)+VLOOKUP(vcost_ub[[#This Row],[setting]],$O$6:$AA$141,7,FALSE)+VLOOKUP(vcost_ub[[#This Row],[gbd_super]],$AH$6:$AK$11,4,FALSE),0)</f>
        <v>11.204887891003484</v>
      </c>
      <c r="AN260" s="33">
        <f>IFERROR(VLOOKUP(vcost_ub[[#This Row],[setting]],$A$6:$E$141,5,FALSE)+VLOOKUP(vcost_ub[[#This Row],[setting]],$O$6:$AA$141,10,FALSE)+VLOOKUP(vcost_ub[[#This Row],[gbd_super]],$AH$6:$AK$11,4,FALSE),0)</f>
        <v>11.197699485784369</v>
      </c>
      <c r="AO260" s="33">
        <f>IFERROR(VLOOKUP(vcost_ub[[#This Row],[setting]],$A$6:$E$141,5,FALSE)+$L$8+VLOOKUP(vcost_ub[[#This Row],[setting]],$O$6:$AA$141,13,FALSE),0)</f>
        <v>6.9004344369777284</v>
      </c>
      <c r="AP260" s="33">
        <f>IFERROR(VLOOKUP(vcost_ub[[#This Row],[setting]],$A$6:$E$141,5,FALSE)+$L$8+VLOOKUP(vcost_ub[[#This Row],[setting]],$O$6:$AA$141,13,FALSE)+VLOOKUP(vcost_ub[[#This Row],[gbd_super]],$AH$6:$AK$11,4,FALSE),0)</f>
        <v>11.97056943697773</v>
      </c>
    </row>
    <row r="261" spans="1:42" x14ac:dyDescent="0.25">
      <c r="A261" s="100" t="s">
        <v>245</v>
      </c>
      <c r="B261" s="134" t="s">
        <v>665</v>
      </c>
      <c r="C261">
        <f>IFERROR(VLOOKUP(vcost[[#This Row],[setting]],$A$6:$E$141,3,FALSE)+$J$6+VLOOKUP(vcost[[#This Row],[setting]],$O$6:$AA$141,2,FALSE),0)</f>
        <v>14.131737809085214</v>
      </c>
      <c r="D261">
        <f>IFERROR(VLOOKUP(vcost[[#This Row],[setting]],$A$6:$E$141,3,FALSE)+$J$6+VLOOKUP(vcost[[#This Row],[setting]],$O$6:$AA$141,2,FALSE)+VLOOKUP(vcost[[#This Row],[gbd_super]],$AH$6:$AK$11,2,FALSE),0)</f>
        <v>14.151737809085214</v>
      </c>
      <c r="E261">
        <f>IFERROR(VLOOKUP(vcost[[#This Row],[setting]],$A$6:$E$141,3,FALSE)+VLOOKUP(vcost[[#This Row],[setting]],$O$6:$AA$141,5,FALSE),0)</f>
        <v>13.678610127544404</v>
      </c>
      <c r="F261" s="33">
        <f>IFERROR(VLOOKUP(vcost[[#This Row],[setting]],$A$6:$E$141,3,FALSE)+VLOOKUP(vcost[[#This Row],[setting]],$O$6:$AA$141,5,FALSE)+VLOOKUP(vcost[[#This Row],[gbd_super]],$AH$6:$AK$11,2,FALSE),0)</f>
        <v>13.698610127544404</v>
      </c>
      <c r="G261" s="33">
        <f>IFERROR(VLOOKUP(vcost[[#This Row],[setting]],$A$6:$E$141,3,FALSE)+VLOOKUP(vcost[[#This Row],[setting]],$O$6:$AA$141,8,FALSE)+VLOOKUP(vcost[[#This Row],[gbd_super]],$AH$6:$AK$11,2,FALSE),0)</f>
        <v>13.685203824787081</v>
      </c>
      <c r="H261">
        <f>IFERROR(VLOOKUP(vcost[[#This Row],[setting]],$A$6:$E$141,3,FALSE)+$J$8+VLOOKUP(vcost[[#This Row],[setting]],$O$6:$AA$141,11,FALSE),0)</f>
        <v>14.383300572433669</v>
      </c>
      <c r="I261" s="33">
        <f>IFERROR(VLOOKUP(vcost[[#This Row],[setting]],$A$6:$E$141,3,FALSE)+$J$8+VLOOKUP(vcost[[#This Row],[setting]],$O$6:$AA$141,11,FALSE)+VLOOKUP(vcost[[#This Row],[gbd_super]],$AH$6:$AK$11,2,FALSE),0)</f>
        <v>14.403300572433668</v>
      </c>
      <c r="O261" s="100" t="s">
        <v>245</v>
      </c>
      <c r="P261" s="134" t="s">
        <v>665</v>
      </c>
      <c r="Q261" s="33">
        <f>IFERROR(VLOOKUP(vcost_lb[[#This Row],[setting]],$A$6:$E$141,4,FALSE)+$K$6+VLOOKUP(vcost_lb[[#This Row],[setting]],$O$6:$AA$141,3,FALSE),0)</f>
        <v>5.3923162147228618</v>
      </c>
      <c r="R261" s="33">
        <f>IFERROR(VLOOKUP(vcost_lb[[#This Row],[setting]],$A$6:$E$141,4,FALSE)+$K$6+VLOOKUP(vcost_lb[[#This Row],[setting]],$O$6:$AA$141,3,FALSE)+VLOOKUP(vcost_lb[[#This Row],[gbd_super]],$AH$6:$AK$11,3,FALSE),0)</f>
        <v>5.4130262147228621</v>
      </c>
      <c r="S261" s="33">
        <f>IFERROR(VLOOKUP(vcost_lb[[#This Row],[setting]],$A$6:$E$141,4,FALSE)+VLOOKUP(vcost_lb[[#This Row],[setting]],$O$6:$AA$141,6,FALSE),0)</f>
        <v>5.0159671891739492</v>
      </c>
      <c r="T261" s="33">
        <f>IFERROR(VLOOKUP(vcost_lb[[#This Row],[setting]],$A$6:$E$141,4,FALSE)+VLOOKUP(vcost_lb[[#This Row],[setting]],$O$6:$AA$141,6,FALSE)+VLOOKUP(vcost_lb[[#This Row],[gbd_super]],$AH$6:$AK$11,3,FALSE),0)</f>
        <v>5.0366771891739495</v>
      </c>
      <c r="U261" s="33">
        <f>IFERROR(VLOOKUP(vcost_lb[[#This Row],[setting]],$A$6:$E$141,4,FALSE)+VLOOKUP(vcost_lb[[#This Row],[setting]],$O$6:$AA$141,9,FALSE)+VLOOKUP(vcost_lb[[#This Row],[gbd_super]],$AH$6:$AK$11,3,FALSE),0)</f>
        <v>5.0278572531493948</v>
      </c>
      <c r="V261" s="33">
        <f>IFERROR(VLOOKUP(vcost_lb[[#This Row],[setting]],$A$6:$E$141,4,FALSE)+$K$8+VLOOKUP(vcost_lb[[#This Row],[setting]],$O$6:$AA$141,12,FALSE),0)</f>
        <v>5.6082501859080365</v>
      </c>
      <c r="W261" s="33">
        <f>IFERROR(VLOOKUP(vcost_lb[[#This Row],[setting]],$A$6:$E$141,4,FALSE)+$K$8+VLOOKUP(vcost_lb[[#This Row],[setting]],$O$6:$AA$141,12,FALSE)+VLOOKUP(vcost_lb[[#This Row],[gbd_super]],$AH$6:$AK$11,3,FALSE),0)</f>
        <v>5.6289601859080367</v>
      </c>
      <c r="AH261" s="100" t="s">
        <v>245</v>
      </c>
      <c r="AI261" s="134" t="s">
        <v>665</v>
      </c>
      <c r="AJ261" s="33">
        <f>IFERROR(VLOOKUP(vcost_ub[[#This Row],[setting]],$A$6:$E$141,5,FALSE)+$L$6+VLOOKUP(vcost_ub[[#This Row],[setting]],$O$6:$AA$141,4,FALSE),0)</f>
        <v>32.016030974689421</v>
      </c>
      <c r="AK261" s="33">
        <f>IFERROR(VLOOKUP(vcost_ub[[#This Row],[setting]],$A$6:$E$141,5,FALSE)+$L$6+VLOOKUP(vcost_ub[[#This Row],[setting]],$O$6:$AA$141,4,FALSE)+VLOOKUP(vcost_ub[[#This Row],[gbd_super]],$AH$6:$AK$11,4,FALSE),0)</f>
        <v>32.038920974689418</v>
      </c>
      <c r="AL261" s="33">
        <f>IFERROR(VLOOKUP(vcost_ub[[#This Row],[setting]],$A$6:$E$141,5,FALSE)+VLOOKUP(vcost_ub[[#This Row],[setting]],$O$6:$AA$141,7,FALSE),0)</f>
        <v>31.465968756695798</v>
      </c>
      <c r="AM261" s="33">
        <f>IFERROR(VLOOKUP(vcost_ub[[#This Row],[setting]],$A$6:$E$141,5,FALSE)+VLOOKUP(vcost_ub[[#This Row],[setting]],$O$6:$AA$141,7,FALSE)+VLOOKUP(vcost_ub[[#This Row],[gbd_super]],$AH$6:$AK$11,4,FALSE),0)</f>
        <v>31.488858756695798</v>
      </c>
      <c r="AN261" s="33">
        <f>IFERROR(VLOOKUP(vcost_ub[[#This Row],[setting]],$A$6:$E$141,5,FALSE)+VLOOKUP(vcost_ub[[#This Row],[setting]],$O$6:$AA$141,10,FALSE)+VLOOKUP(vcost_ub[[#This Row],[gbd_super]],$AH$6:$AK$11,4,FALSE),0)</f>
        <v>31.453579012597579</v>
      </c>
      <c r="AO261" s="33">
        <f>IFERROR(VLOOKUP(vcost_ub[[#This Row],[setting]],$A$6:$E$141,5,FALSE)+$L$8+VLOOKUP(vcost_ub[[#This Row],[setting]],$O$6:$AA$141,13,FALSE),0)</f>
        <v>32.296966168362353</v>
      </c>
      <c r="AP261" s="33">
        <f>IFERROR(VLOOKUP(vcost_ub[[#This Row],[setting]],$A$6:$E$141,5,FALSE)+$L$8+VLOOKUP(vcost_ub[[#This Row],[setting]],$O$6:$AA$141,13,FALSE)+VLOOKUP(vcost_ub[[#This Row],[gbd_super]],$AH$6:$AK$11,4,FALSE),0)</f>
        <v>32.31985616836235</v>
      </c>
    </row>
    <row r="262" spans="1:42" x14ac:dyDescent="0.25">
      <c r="A262" s="103" t="s">
        <v>247</v>
      </c>
      <c r="B262" s="135" t="s">
        <v>665</v>
      </c>
      <c r="C262">
        <f>IFERROR(VLOOKUP(vcost[[#This Row],[setting]],$A$6:$E$141,3,FALSE)+$J$6+VLOOKUP(vcost[[#This Row],[setting]],$O$6:$AA$141,2,FALSE),0)</f>
        <v>15.415347587023158</v>
      </c>
      <c r="D262">
        <f>IFERROR(VLOOKUP(vcost[[#This Row],[setting]],$A$6:$E$141,3,FALSE)+$J$6+VLOOKUP(vcost[[#This Row],[setting]],$O$6:$AA$141,2,FALSE)+VLOOKUP(vcost[[#This Row],[gbd_super]],$AH$6:$AK$11,2,FALSE),0)</f>
        <v>15.435347587023157</v>
      </c>
      <c r="E262">
        <f>IFERROR(VLOOKUP(vcost[[#This Row],[setting]],$A$6:$E$141,3,FALSE)+VLOOKUP(vcost[[#This Row],[setting]],$O$6:$AA$141,5,FALSE),0)</f>
        <v>14.975220887564674</v>
      </c>
      <c r="F262" s="33">
        <f>IFERROR(VLOOKUP(vcost[[#This Row],[setting]],$A$6:$E$141,3,FALSE)+VLOOKUP(vcost[[#This Row],[setting]],$O$6:$AA$141,5,FALSE)+VLOOKUP(vcost[[#This Row],[gbd_super]],$AH$6:$AK$11,2,FALSE),0)</f>
        <v>14.995220887564674</v>
      </c>
      <c r="G262" s="33">
        <f>IFERROR(VLOOKUP(vcost[[#This Row],[setting]],$A$6:$E$141,3,FALSE)+VLOOKUP(vcost[[#This Row],[setting]],$O$6:$AA$141,8,FALSE)+VLOOKUP(vcost[[#This Row],[gbd_super]],$AH$6:$AK$11,2,FALSE),0)</f>
        <v>14.986970400292869</v>
      </c>
      <c r="H262">
        <f>IFERROR(VLOOKUP(vcost[[#This Row],[setting]],$A$6:$E$141,3,FALSE)+$J$8+VLOOKUP(vcost[[#This Row],[setting]],$O$6:$AA$141,11,FALSE),0)</f>
        <v>15.662223949853564</v>
      </c>
      <c r="I262" s="33">
        <f>IFERROR(VLOOKUP(vcost[[#This Row],[setting]],$A$6:$E$141,3,FALSE)+$J$8+VLOOKUP(vcost[[#This Row],[setting]],$O$6:$AA$141,11,FALSE)+VLOOKUP(vcost[[#This Row],[gbd_super]],$AH$6:$AK$11,2,FALSE),0)</f>
        <v>15.682223949853563</v>
      </c>
      <c r="O262" s="103" t="s">
        <v>247</v>
      </c>
      <c r="P262" s="135" t="s">
        <v>665</v>
      </c>
      <c r="Q262" s="33">
        <f>IFERROR(VLOOKUP(vcost_lb[[#This Row],[setting]],$A$6:$E$141,4,FALSE)+$K$6+VLOOKUP(vcost_lb[[#This Row],[setting]],$O$6:$AA$141,3,FALSE),0)</f>
        <v>5.9047664068507961</v>
      </c>
      <c r="R262" s="33">
        <f>IFERROR(VLOOKUP(vcost_lb[[#This Row],[setting]],$A$6:$E$141,4,FALSE)+$K$6+VLOOKUP(vcost_lb[[#This Row],[setting]],$O$6:$AA$141,3,FALSE)+VLOOKUP(vcost_lb[[#This Row],[gbd_super]],$AH$6:$AK$11,3,FALSE),0)</f>
        <v>5.9254764068507964</v>
      </c>
      <c r="S262" s="33">
        <f>IFERROR(VLOOKUP(vcost_lb[[#This Row],[setting]],$A$6:$E$141,4,FALSE)+VLOOKUP(vcost_lb[[#This Row],[setting]],$O$6:$AA$141,6,FALSE),0)</f>
        <v>5.5337084786609694</v>
      </c>
      <c r="T262" s="33">
        <f>IFERROR(VLOOKUP(vcost_lb[[#This Row],[setting]],$A$6:$E$141,4,FALSE)+VLOOKUP(vcost_lb[[#This Row],[setting]],$O$6:$AA$141,6,FALSE)+VLOOKUP(vcost_lb[[#This Row],[gbd_super]],$AH$6:$AK$11,3,FALSE),0)</f>
        <v>5.5544184786609696</v>
      </c>
      <c r="U262" s="33">
        <f>IFERROR(VLOOKUP(vcost_lb[[#This Row],[setting]],$A$6:$E$141,4,FALSE)+VLOOKUP(vcost_lb[[#This Row],[setting]],$O$6:$AA$141,9,FALSE)+VLOOKUP(vcost_lb[[#This Row],[gbd_super]],$AH$6:$AK$11,3,FALSE),0)</f>
        <v>5.5489905265084669</v>
      </c>
      <c r="V262" s="33">
        <f>IFERROR(VLOOKUP(vcost_lb[[#This Row],[setting]],$A$6:$E$141,4,FALSE)+$K$8+VLOOKUP(vcost_lb[[#This Row],[setting]],$O$6:$AA$141,12,FALSE),0)</f>
        <v>6.1184327648820762</v>
      </c>
      <c r="W262" s="33">
        <f>IFERROR(VLOOKUP(vcost_lb[[#This Row],[setting]],$A$6:$E$141,4,FALSE)+$K$8+VLOOKUP(vcost_lb[[#This Row],[setting]],$O$6:$AA$141,12,FALSE)+VLOOKUP(vcost_lb[[#This Row],[gbd_super]],$AH$6:$AK$11,3,FALSE),0)</f>
        <v>6.1391427648820764</v>
      </c>
      <c r="AH262" s="103" t="s">
        <v>247</v>
      </c>
      <c r="AI262" s="135" t="s">
        <v>665</v>
      </c>
      <c r="AJ262" s="33">
        <f>IFERROR(VLOOKUP(vcost_ub[[#This Row],[setting]],$A$6:$E$141,5,FALSE)+$L$6+VLOOKUP(vcost_ub[[#This Row],[setting]],$O$6:$AA$141,4,FALSE),0)</f>
        <v>34.597954736365196</v>
      </c>
      <c r="AK262" s="33">
        <f>IFERROR(VLOOKUP(vcost_ub[[#This Row],[setting]],$A$6:$E$141,5,FALSE)+$L$6+VLOOKUP(vcost_ub[[#This Row],[setting]],$O$6:$AA$141,4,FALSE)+VLOOKUP(vcost_ub[[#This Row],[gbd_super]],$AH$6:$AK$11,4,FALSE),0)</f>
        <v>34.620844736365193</v>
      </c>
      <c r="AL262" s="33">
        <f>IFERROR(VLOOKUP(vcost_ub[[#This Row],[setting]],$A$6:$E$141,5,FALSE)+VLOOKUP(vcost_ub[[#This Row],[setting]],$O$6:$AA$141,7,FALSE),0)</f>
        <v>34.072533914643884</v>
      </c>
      <c r="AM262" s="33">
        <f>IFERROR(VLOOKUP(vcost_ub[[#This Row],[setting]],$A$6:$E$141,5,FALSE)+VLOOKUP(vcost_ub[[#This Row],[setting]],$O$6:$AA$141,7,FALSE)+VLOOKUP(vcost_ub[[#This Row],[gbd_super]],$AH$6:$AK$11,4,FALSE),0)</f>
        <v>34.095423914643881</v>
      </c>
      <c r="AN262" s="33">
        <f>IFERROR(VLOOKUP(vcost_ub[[#This Row],[setting]],$A$6:$E$141,5,FALSE)+VLOOKUP(vcost_ub[[#This Row],[setting]],$O$6:$AA$141,10,FALSE)+VLOOKUP(vcost_ub[[#This Row],[gbd_super]],$AH$6:$AK$11,4,FALSE),0)</f>
        <v>34.073712106033867</v>
      </c>
      <c r="AO262" s="33">
        <f>IFERROR(VLOOKUP(vcost_ub[[#This Row],[setting]],$A$6:$E$141,5,FALSE)+$L$8+VLOOKUP(vcost_ub[[#This Row],[setting]],$O$6:$AA$141,13,FALSE),0)</f>
        <v>34.873296484258518</v>
      </c>
      <c r="AP262" s="33">
        <f>IFERROR(VLOOKUP(vcost_ub[[#This Row],[setting]],$A$6:$E$141,5,FALSE)+$L$8+VLOOKUP(vcost_ub[[#This Row],[setting]],$O$6:$AA$141,13,FALSE)+VLOOKUP(vcost_ub[[#This Row],[gbd_super]],$AH$6:$AK$11,4,FALSE),0)</f>
        <v>34.896186484258514</v>
      </c>
    </row>
    <row r="263" spans="1:42" x14ac:dyDescent="0.25">
      <c r="A263" s="100" t="s">
        <v>299</v>
      </c>
      <c r="B263" s="134" t="s">
        <v>666</v>
      </c>
      <c r="C263">
        <f>IFERROR(VLOOKUP(vcost[[#This Row],[setting]],$A$6:$E$141,3,FALSE)+$J$6+VLOOKUP(vcost[[#This Row],[setting]],$O$6:$AA$141,2,FALSE),0)</f>
        <v>2.4508641788116901</v>
      </c>
      <c r="D263">
        <f>IFERROR(VLOOKUP(vcost[[#This Row],[setting]],$A$6:$E$141,3,FALSE)+$J$6+VLOOKUP(vcost[[#This Row],[setting]],$O$6:$AA$141,2,FALSE)+VLOOKUP(vcost[[#This Row],[gbd_super]],$AH$6:$AK$11,2,FALSE),0)</f>
        <v>3.0808641788116899</v>
      </c>
      <c r="E263">
        <f>IFERROR(VLOOKUP(vcost[[#This Row],[setting]],$A$6:$E$141,3,FALSE)+VLOOKUP(vcost[[#This Row],[setting]],$O$6:$AA$141,5,FALSE),0)</f>
        <v>2.0199657084037383</v>
      </c>
      <c r="F263" s="33">
        <f>IFERROR(VLOOKUP(vcost[[#This Row],[setting]],$A$6:$E$141,3,FALSE)+VLOOKUP(vcost[[#This Row],[setting]],$O$6:$AA$141,5,FALSE)+VLOOKUP(vcost[[#This Row],[gbd_super]],$AH$6:$AK$11,2,FALSE),0)</f>
        <v>2.6499657084037382</v>
      </c>
      <c r="G263" s="33">
        <f>IFERROR(VLOOKUP(vcost[[#This Row],[setting]],$A$6:$E$141,3,FALSE)+VLOOKUP(vcost[[#This Row],[setting]],$O$6:$AA$141,8,FALSE)+VLOOKUP(vcost[[#This Row],[gbd_super]],$AH$6:$AK$11,2,FALSE),0)</f>
        <v>2.6450927868058391</v>
      </c>
      <c r="H263">
        <f>IFERROR(VLOOKUP(vcost[[#This Row],[setting]],$A$6:$E$141,3,FALSE)+$J$8+VLOOKUP(vcost[[#This Row],[setting]],$O$6:$AA$141,11,FALSE),0)</f>
        <v>2.6944140869843474</v>
      </c>
      <c r="I263" s="33">
        <f>IFERROR(VLOOKUP(vcost[[#This Row],[setting]],$A$6:$E$141,3,FALSE)+$J$8+VLOOKUP(vcost[[#This Row],[setting]],$O$6:$AA$141,11,FALSE)+VLOOKUP(vcost[[#This Row],[gbd_super]],$AH$6:$AK$11,2,FALSE),0)</f>
        <v>3.3244140869843473</v>
      </c>
      <c r="O263" s="100" t="s">
        <v>299</v>
      </c>
      <c r="P263" s="134" t="s">
        <v>666</v>
      </c>
      <c r="Q263" s="33">
        <f>IFERROR(VLOOKUP(vcost_lb[[#This Row],[setting]],$A$6:$E$141,4,FALSE)+$K$6+VLOOKUP(vcost_lb[[#This Row],[setting]],$O$6:$AA$141,3,FALSE),0)</f>
        <v>0.57054548278922346</v>
      </c>
      <c r="R263" s="33">
        <f>IFERROR(VLOOKUP(vcost_lb[[#This Row],[setting]],$A$6:$E$141,4,FALSE)+$K$6+VLOOKUP(vcost_lb[[#This Row],[setting]],$O$6:$AA$141,3,FALSE)+VLOOKUP(vcost_lb[[#This Row],[gbd_super]],$AH$6:$AK$11,3,FALSE),0)</f>
        <v>1.1711354827892233</v>
      </c>
      <c r="S263" s="33">
        <f>IFERROR(VLOOKUP(vcost_lb[[#This Row],[setting]],$A$6:$E$141,4,FALSE)+VLOOKUP(vcost_lb[[#This Row],[setting]],$O$6:$AA$141,6,FALSE),0)</f>
        <v>0.20324322921298574</v>
      </c>
      <c r="T263" s="33">
        <f>IFERROR(VLOOKUP(vcost_lb[[#This Row],[setting]],$A$6:$E$141,4,FALSE)+VLOOKUP(vcost_lb[[#This Row],[setting]],$O$6:$AA$141,6,FALSE)+VLOOKUP(vcost_lb[[#This Row],[gbd_super]],$AH$6:$AK$11,3,FALSE),0)</f>
        <v>0.80383322921298572</v>
      </c>
      <c r="U263" s="33">
        <f>IFERROR(VLOOKUP(vcost_lb[[#This Row],[setting]],$A$6:$E$141,4,FALSE)+VLOOKUP(vcost_lb[[#This Row],[setting]],$O$6:$AA$141,9,FALSE)+VLOOKUP(vcost_lb[[#This Row],[gbd_super]],$AH$6:$AK$11,3,FALSE),0)</f>
        <v>0.80062735974068355</v>
      </c>
      <c r="V263" s="33">
        <f>IFERROR(VLOOKUP(vcost_lb[[#This Row],[setting]],$A$6:$E$141,4,FALSE)+$K$8+VLOOKUP(vcost_lb[[#This Row],[setting]],$O$6:$AA$141,12,FALSE),0)</f>
        <v>0.78260226598610894</v>
      </c>
      <c r="W263" s="33">
        <f>IFERROR(VLOOKUP(vcost_lb[[#This Row],[setting]],$A$6:$E$141,4,FALSE)+$K$8+VLOOKUP(vcost_lb[[#This Row],[setting]],$O$6:$AA$141,12,FALSE)+VLOOKUP(vcost_lb[[#This Row],[gbd_super]],$AH$6:$AK$11,3,FALSE),0)</f>
        <v>1.3831922659861089</v>
      </c>
      <c r="AH263" s="100" t="s">
        <v>299</v>
      </c>
      <c r="AI263" s="134" t="s">
        <v>666</v>
      </c>
      <c r="AJ263" s="33">
        <f>IFERROR(VLOOKUP(vcost_ub[[#This Row],[setting]],$A$6:$E$141,5,FALSE)+$L$6+VLOOKUP(vcost_ub[[#This Row],[setting]],$O$6:$AA$141,4,FALSE),0)</f>
        <v>8.8502030253728261</v>
      </c>
      <c r="AK263" s="33">
        <f>IFERROR(VLOOKUP(vcost_ub[[#This Row],[setting]],$A$6:$E$141,5,FALSE)+$L$6+VLOOKUP(vcost_ub[[#This Row],[setting]],$O$6:$AA$141,4,FALSE)+VLOOKUP(vcost_ub[[#This Row],[gbd_super]],$AH$6:$AK$11,4,FALSE),0)</f>
        <v>9.5140130253728259</v>
      </c>
      <c r="AL263" s="33">
        <f>IFERROR(VLOOKUP(vcost_ub[[#This Row],[setting]],$A$6:$E$141,5,FALSE)+VLOOKUP(vcost_ub[[#This Row],[setting]],$O$6:$AA$141,7,FALSE),0)</f>
        <v>8.3422729168519432</v>
      </c>
      <c r="AM263" s="33">
        <f>IFERROR(VLOOKUP(vcost_ub[[#This Row],[setting]],$A$6:$E$141,5,FALSE)+VLOOKUP(vcost_ub[[#This Row],[setting]],$O$6:$AA$141,7,FALSE)+VLOOKUP(vcost_ub[[#This Row],[gbd_super]],$AH$6:$AK$11,4,FALSE),0)</f>
        <v>9.006082916851943</v>
      </c>
      <c r="AN263" s="33">
        <f>IFERROR(VLOOKUP(vcost_ub[[#This Row],[setting]],$A$6:$E$141,5,FALSE)+VLOOKUP(vcost_ub[[#This Row],[setting]],$O$6:$AA$141,10,FALSE)+VLOOKUP(vcost_ub[[#This Row],[gbd_super]],$AH$6:$AK$11,4,FALSE),0)</f>
        <v>8.9932594389627347</v>
      </c>
      <c r="AO263" s="33">
        <f>IFERROR(VLOOKUP(vcost_ub[[#This Row],[setting]],$A$6:$E$141,5,FALSE)+$L$8+VLOOKUP(vcost_ub[[#This Row],[setting]],$O$6:$AA$141,13,FALSE),0)</f>
        <v>9.1215744886746482</v>
      </c>
      <c r="AP263" s="33">
        <f>IFERROR(VLOOKUP(vcost_ub[[#This Row],[setting]],$A$6:$E$141,5,FALSE)+$L$8+VLOOKUP(vcost_ub[[#This Row],[setting]],$O$6:$AA$141,13,FALSE)+VLOOKUP(vcost_ub[[#This Row],[gbd_super]],$AH$6:$AK$11,4,FALSE),0)</f>
        <v>9.7853844886746479</v>
      </c>
    </row>
    <row r="264" spans="1:42" x14ac:dyDescent="0.25">
      <c r="A264" s="103" t="s">
        <v>684</v>
      </c>
      <c r="B264" s="135" t="s">
        <v>667</v>
      </c>
      <c r="C264">
        <f>IFERROR(VLOOKUP(vcost[[#This Row],[setting]],$A$6:$E$141,3,FALSE)+$J$6+VLOOKUP(vcost[[#This Row],[setting]],$O$6:$AA$141,2,FALSE),0)</f>
        <v>8.8123812930487908</v>
      </c>
      <c r="D264">
        <f>IFERROR(VLOOKUP(vcost[[#This Row],[setting]],$A$6:$E$141,3,FALSE)+$J$6+VLOOKUP(vcost[[#This Row],[setting]],$O$6:$AA$141,2,FALSE)+VLOOKUP(vcost[[#This Row],[gbd_super]],$AH$6:$AK$11,2,FALSE),0)</f>
        <v>13.642381293048791</v>
      </c>
      <c r="E264">
        <f>IFERROR(VLOOKUP(vcost[[#This Row],[setting]],$A$6:$E$141,3,FALSE)+VLOOKUP(vcost[[#This Row],[setting]],$O$6:$AA$141,5,FALSE),0)</f>
        <v>8.3835441076754655</v>
      </c>
      <c r="F264" s="33">
        <f>IFERROR(VLOOKUP(vcost[[#This Row],[setting]],$A$6:$E$141,3,FALSE)+VLOOKUP(vcost[[#This Row],[setting]],$O$6:$AA$141,5,FALSE)+VLOOKUP(vcost[[#This Row],[gbd_super]],$AH$6:$AK$11,2,FALSE),0)</f>
        <v>13.213544107675466</v>
      </c>
      <c r="G264" s="33">
        <f>IFERROR(VLOOKUP(vcost[[#This Row],[setting]],$A$6:$E$141,3,FALSE)+VLOOKUP(vcost[[#This Row],[setting]],$O$6:$AA$141,8,FALSE)+VLOOKUP(vcost[[#This Row],[gbd_super]],$AH$6:$AK$11,2,FALSE),0)</f>
        <v>13.20937944128301</v>
      </c>
      <c r="H264">
        <f>IFERROR(VLOOKUP(vcost[[#This Row],[setting]],$A$6:$E$141,3,FALSE)+$J$8+VLOOKUP(vcost[[#This Row],[setting]],$O$6:$AA$141,11,FALSE),0)</f>
        <v>9.0551881798717577</v>
      </c>
      <c r="I264" s="33">
        <f>IFERROR(VLOOKUP(vcost[[#This Row],[setting]],$A$6:$E$141,3,FALSE)+$J$8+VLOOKUP(vcost[[#This Row],[setting]],$O$6:$AA$141,11,FALSE)+VLOOKUP(vcost[[#This Row],[gbd_super]],$AH$6:$AK$11,2,FALSE),0)</f>
        <v>13.885188179871758</v>
      </c>
      <c r="O264" s="103" t="s">
        <v>684</v>
      </c>
      <c r="P264" s="135" t="s">
        <v>667</v>
      </c>
      <c r="Q264" s="33">
        <f>IFERROR(VLOOKUP(vcost_lb[[#This Row],[setting]],$A$6:$E$141,4,FALSE)+$K$6+VLOOKUP(vcost_lb[[#This Row],[setting]],$O$6:$AA$141,3,FALSE),0)</f>
        <v>3.6379081661852326</v>
      </c>
      <c r="R264" s="33">
        <f>IFERROR(VLOOKUP(vcost_lb[[#This Row],[setting]],$A$6:$E$141,4,FALSE)+$K$6+VLOOKUP(vcost_lb[[#This Row],[setting]],$O$6:$AA$141,3,FALSE)+VLOOKUP(vcost_lb[[#This Row],[gbd_super]],$AH$6:$AK$11,3,FALSE),0)</f>
        <v>8.2251731661852325</v>
      </c>
      <c r="S264" s="33">
        <f>IFERROR(VLOOKUP(vcost_lb[[#This Row],[setting]],$A$6:$E$141,4,FALSE)+VLOOKUP(vcost_lb[[#This Row],[setting]],$O$6:$AA$141,6,FALSE),0)</f>
        <v>3.2714448076812266</v>
      </c>
      <c r="T264" s="33">
        <f>IFERROR(VLOOKUP(vcost_lb[[#This Row],[setting]],$A$6:$E$141,4,FALSE)+VLOOKUP(vcost_lb[[#This Row],[setting]],$O$6:$AA$141,6,FALSE)+VLOOKUP(vcost_lb[[#This Row],[gbd_super]],$AH$6:$AK$11,3,FALSE),0)</f>
        <v>7.858709807681227</v>
      </c>
      <c r="U264" s="33">
        <f>IFERROR(VLOOKUP(vcost_lb[[#This Row],[setting]],$A$6:$E$141,4,FALSE)+VLOOKUP(vcost_lb[[#This Row],[setting]],$O$6:$AA$141,9,FALSE)+VLOOKUP(vcost_lb[[#This Row],[gbd_super]],$AH$6:$AK$11,3,FALSE),0)</f>
        <v>7.8559698955809276</v>
      </c>
      <c r="V264" s="33">
        <f>IFERROR(VLOOKUP(vcost_lb[[#This Row],[setting]],$A$6:$E$141,4,FALSE)+$K$8+VLOOKUP(vcost_lb[[#This Row],[setting]],$O$6:$AA$141,12,FALSE),0)</f>
        <v>3.8496054229225902</v>
      </c>
      <c r="W264" s="33">
        <f>IFERROR(VLOOKUP(vcost_lb[[#This Row],[setting]],$A$6:$E$141,4,FALSE)+$K$8+VLOOKUP(vcost_lb[[#This Row],[setting]],$O$6:$AA$141,12,FALSE)+VLOOKUP(vcost_lb[[#This Row],[gbd_super]],$AH$6:$AK$11,3,FALSE),0)</f>
        <v>8.4368704229225902</v>
      </c>
      <c r="AH264" s="103" t="s">
        <v>684</v>
      </c>
      <c r="AI264" s="135" t="s">
        <v>667</v>
      </c>
      <c r="AJ264" s="33">
        <f>IFERROR(VLOOKUP(vcost_ub[[#This Row],[setting]],$A$6:$E$141,5,FALSE)+$L$6+VLOOKUP(vcost_ub[[#This Row],[setting]],$O$6:$AA$141,4,FALSE),0)</f>
        <v>18.564702485052258</v>
      </c>
      <c r="AK264" s="33">
        <f>IFERROR(VLOOKUP(vcost_ub[[#This Row],[setting]],$A$6:$E$141,5,FALSE)+$L$6+VLOOKUP(vcost_ub[[#This Row],[setting]],$O$6:$AA$141,4,FALSE)+VLOOKUP(vcost_ub[[#This Row],[gbd_super]],$AH$6:$AK$11,4,FALSE),0)</f>
        <v>23.634837485052259</v>
      </c>
      <c r="AL264" s="33">
        <f>IFERROR(VLOOKUP(vcost_ub[[#This Row],[setting]],$A$6:$E$141,5,FALSE)+VLOOKUP(vcost_ub[[#This Row],[setting]],$O$6:$AA$141,7,FALSE),0)</f>
        <v>18.060679230724908</v>
      </c>
      <c r="AM264" s="33">
        <f>IFERROR(VLOOKUP(vcost_ub[[#This Row],[setting]],$A$6:$E$141,5,FALSE)+VLOOKUP(vcost_ub[[#This Row],[setting]],$O$6:$AA$141,7,FALSE)+VLOOKUP(vcost_ub[[#This Row],[gbd_super]],$AH$6:$AK$11,4,FALSE),0)</f>
        <v>23.130814230724908</v>
      </c>
      <c r="AN264" s="33">
        <f>IFERROR(VLOOKUP(vcost_ub[[#This Row],[setting]],$A$6:$E$141,5,FALSE)+VLOOKUP(vcost_ub[[#This Row],[setting]],$O$6:$AA$141,10,FALSE)+VLOOKUP(vcost_ub[[#This Row],[gbd_super]],$AH$6:$AK$11,4,FALSE),0)</f>
        <v>23.119854582323715</v>
      </c>
      <c r="AO264" s="33">
        <f>IFERROR(VLOOKUP(vcost_ub[[#This Row],[setting]],$A$6:$E$141,5,FALSE)+$L$8+VLOOKUP(vcost_ub[[#This Row],[setting]],$O$6:$AA$141,13,FALSE),0)</f>
        <v>18.835187116420578</v>
      </c>
      <c r="AP264" s="33">
        <f>IFERROR(VLOOKUP(vcost_ub[[#This Row],[setting]],$A$6:$E$141,5,FALSE)+$L$8+VLOOKUP(vcost_ub[[#This Row],[setting]],$O$6:$AA$141,13,FALSE)+VLOOKUP(vcost_ub[[#This Row],[gbd_super]],$AH$6:$AK$11,4,FALSE),0)</f>
        <v>23.905322116420578</v>
      </c>
    </row>
    <row r="265" spans="1:42" x14ac:dyDescent="0.25">
      <c r="A265" s="100" t="s">
        <v>152</v>
      </c>
      <c r="B265" s="134" t="s">
        <v>667</v>
      </c>
      <c r="C265">
        <f>IFERROR(VLOOKUP(vcost[[#This Row],[setting]],$A$6:$E$141,3,FALSE)+$J$6+VLOOKUP(vcost[[#This Row],[setting]],$O$6:$AA$141,2,FALSE),0)</f>
        <v>2.3701038530933087</v>
      </c>
      <c r="D265">
        <f>IFERROR(VLOOKUP(vcost[[#This Row],[setting]],$A$6:$E$141,3,FALSE)+$J$6+VLOOKUP(vcost[[#This Row],[setting]],$O$6:$AA$141,2,FALSE)+VLOOKUP(vcost[[#This Row],[gbd_super]],$AH$6:$AK$11,2,FALSE),0)</f>
        <v>7.2001038530933084</v>
      </c>
      <c r="E265">
        <f>IFERROR(VLOOKUP(vcost[[#This Row],[setting]],$A$6:$E$141,3,FALSE)+VLOOKUP(vcost[[#This Row],[setting]],$O$6:$AA$141,5,FALSE),0)</f>
        <v>1.9438028395482014</v>
      </c>
      <c r="F265" s="33">
        <f>IFERROR(VLOOKUP(vcost[[#This Row],[setting]],$A$6:$E$141,3,FALSE)+VLOOKUP(vcost[[#This Row],[setting]],$O$6:$AA$141,5,FALSE)+VLOOKUP(vcost[[#This Row],[gbd_super]],$AH$6:$AK$11,2,FALSE),0)</f>
        <v>6.7738028395482015</v>
      </c>
      <c r="G265" s="33">
        <f>IFERROR(VLOOKUP(vcost[[#This Row],[setting]],$A$6:$E$141,3,FALSE)+VLOOKUP(vcost[[#This Row],[setting]],$O$6:$AA$141,8,FALSE)+VLOOKUP(vcost[[#This Row],[gbd_super]],$AH$6:$AK$11,2,FALSE),0)</f>
        <v>6.770472561234798</v>
      </c>
      <c r="H265">
        <f>IFERROR(VLOOKUP(vcost[[#This Row],[setting]],$A$6:$E$141,3,FALSE)+$J$8+VLOOKUP(vcost[[#This Row],[setting]],$O$6:$AA$141,11,FALSE),0)</f>
        <v>2.611996538443313</v>
      </c>
      <c r="I265" s="33">
        <f>IFERROR(VLOOKUP(vcost[[#This Row],[setting]],$A$6:$E$141,3,FALSE)+$J$8+VLOOKUP(vcost[[#This Row],[setting]],$O$6:$AA$141,11,FALSE)+VLOOKUP(vcost[[#This Row],[gbd_super]],$AH$6:$AK$11,2,FALSE),0)</f>
        <v>7.4419965384433127</v>
      </c>
      <c r="O265" s="100" t="s">
        <v>152</v>
      </c>
      <c r="P265" s="134" t="s">
        <v>667</v>
      </c>
      <c r="Q265" s="33">
        <f>IFERROR(VLOOKUP(vcost_lb[[#This Row],[setting]],$A$6:$E$141,4,FALSE)+$K$6+VLOOKUP(vcost_lb[[#This Row],[setting]],$O$6:$AA$141,3,FALSE),0)</f>
        <v>1.03980148472711</v>
      </c>
      <c r="R265" s="33">
        <f>IFERROR(VLOOKUP(vcost_lb[[#This Row],[setting]],$A$6:$E$141,4,FALSE)+$K$6+VLOOKUP(vcost_lb[[#This Row],[setting]],$O$6:$AA$141,3,FALSE)+VLOOKUP(vcost_lb[[#This Row],[gbd_super]],$AH$6:$AK$11,3,FALSE),0)</f>
        <v>5.6270664847271101</v>
      </c>
      <c r="S265" s="33">
        <f>IFERROR(VLOOKUP(vcost_lb[[#This Row],[setting]],$A$6:$E$141,4,FALSE)+VLOOKUP(vcost_lb[[#This Row],[setting]],$O$6:$AA$141,6,FALSE),0)</f>
        <v>0.67437028917644848</v>
      </c>
      <c r="T265" s="33">
        <f>IFERROR(VLOOKUP(vcost_lb[[#This Row],[setting]],$A$6:$E$141,4,FALSE)+VLOOKUP(vcost_lb[[#This Row],[setting]],$O$6:$AA$141,6,FALSE)+VLOOKUP(vcost_lb[[#This Row],[gbd_super]],$AH$6:$AK$11,3,FALSE),0)</f>
        <v>5.2616352891764491</v>
      </c>
      <c r="U265" s="33">
        <f>IFERROR(VLOOKUP(vcost_lb[[#This Row],[setting]],$A$6:$E$141,4,FALSE)+VLOOKUP(vcost_lb[[#This Row],[setting]],$O$6:$AA$141,9,FALSE)+VLOOKUP(vcost_lb[[#This Row],[gbd_super]],$AH$6:$AK$11,3,FALSE),0)</f>
        <v>5.259444316601841</v>
      </c>
      <c r="V265" s="33">
        <f>IFERROR(VLOOKUP(vcost_lb[[#This Row],[setting]],$A$6:$E$141,4,FALSE)+$K$8+VLOOKUP(vcost_lb[[#This Row],[setting]],$O$6:$AA$141,12,FALSE),0)</f>
        <v>1.2510563859130344</v>
      </c>
      <c r="W265" s="33">
        <f>IFERROR(VLOOKUP(vcost_lb[[#This Row],[setting]],$A$6:$E$141,4,FALSE)+$K$8+VLOOKUP(vcost_lb[[#This Row],[setting]],$O$6:$AA$141,12,FALSE)+VLOOKUP(vcost_lb[[#This Row],[gbd_super]],$AH$6:$AK$11,3,FALSE),0)</f>
        <v>5.8383213859130345</v>
      </c>
      <c r="AH265" s="100" t="s">
        <v>152</v>
      </c>
      <c r="AI265" s="134" t="s">
        <v>667</v>
      </c>
      <c r="AJ265" s="33">
        <f>IFERROR(VLOOKUP(vcost_ub[[#This Row],[setting]],$A$6:$E$141,5,FALSE)+$L$6+VLOOKUP(vcost_ub[[#This Row],[setting]],$O$6:$AA$141,4,FALSE),0)</f>
        <v>5.0094974807075641</v>
      </c>
      <c r="AK265" s="33">
        <f>IFERROR(VLOOKUP(vcost_ub[[#This Row],[setting]],$A$6:$E$141,5,FALSE)+$L$6+VLOOKUP(vcost_ub[[#This Row],[setting]],$O$6:$AA$141,4,FALSE)+VLOOKUP(vcost_ub[[#This Row],[gbd_super]],$AH$6:$AK$11,4,FALSE),0)</f>
        <v>10.079632480707565</v>
      </c>
      <c r="AL265" s="33">
        <f>IFERROR(VLOOKUP(vcost_ub[[#This Row],[setting]],$A$6:$E$141,5,FALSE)+VLOOKUP(vcost_ub[[#This Row],[setting]],$O$6:$AA$141,7,FALSE),0)</f>
        <v>4.5102811567057932</v>
      </c>
      <c r="AM265" s="33">
        <f>IFERROR(VLOOKUP(vcost_ub[[#This Row],[setting]],$A$6:$E$141,5,FALSE)+VLOOKUP(vcost_ub[[#This Row],[setting]],$O$6:$AA$141,7,FALSE)+VLOOKUP(vcost_ub[[#This Row],[gbd_super]],$AH$6:$AK$11,4,FALSE),0)</f>
        <v>9.5804161567057946</v>
      </c>
      <c r="AN265" s="33">
        <f>IFERROR(VLOOKUP(vcost_ub[[#This Row],[setting]],$A$6:$E$141,5,FALSE)+VLOOKUP(vcost_ub[[#This Row],[setting]],$O$6:$AA$141,10,FALSE)+VLOOKUP(vcost_ub[[#This Row],[gbd_super]],$AH$6:$AK$11,4,FALSE),0)</f>
        <v>9.571652266407364</v>
      </c>
      <c r="AO265" s="33">
        <f>IFERROR(VLOOKUP(vcost_ub[[#This Row],[setting]],$A$6:$E$141,5,FALSE)+$L$8+VLOOKUP(vcost_ub[[#This Row],[setting]],$O$6:$AA$141,13,FALSE),0)</f>
        <v>5.2788909683823473</v>
      </c>
      <c r="AP265" s="33">
        <f>IFERROR(VLOOKUP(vcost_ub[[#This Row],[setting]],$A$6:$E$141,5,FALSE)+$L$8+VLOOKUP(vcost_ub[[#This Row],[setting]],$O$6:$AA$141,13,FALSE)+VLOOKUP(vcost_ub[[#This Row],[gbd_super]],$AH$6:$AK$11,4,FALSE),0)</f>
        <v>10.349025968382348</v>
      </c>
    </row>
    <row r="266" spans="1:42" x14ac:dyDescent="0.25">
      <c r="A266" s="103" t="s">
        <v>345</v>
      </c>
      <c r="B266" s="135" t="s">
        <v>663</v>
      </c>
      <c r="C266">
        <f>IFERROR(VLOOKUP(vcost[[#This Row],[setting]],$A$6:$E$141,3,FALSE)+$J$6+VLOOKUP(vcost[[#This Row],[setting]],$O$6:$AA$141,2,FALSE),0)</f>
        <v>5.9002244802964441</v>
      </c>
      <c r="D266">
        <f>IFERROR(VLOOKUP(vcost[[#This Row],[setting]],$A$6:$E$141,3,FALSE)+$J$6+VLOOKUP(vcost[[#This Row],[setting]],$O$6:$AA$141,2,FALSE)+VLOOKUP(vcost[[#This Row],[gbd_super]],$AH$6:$AK$11,2,FALSE),0)</f>
        <v>9.9702244802964444</v>
      </c>
      <c r="E266">
        <f>IFERROR(VLOOKUP(vcost[[#This Row],[setting]],$A$6:$E$141,3,FALSE)+VLOOKUP(vcost[[#This Row],[setting]],$O$6:$AA$141,5,FALSE),0)</f>
        <v>5.4589952325570801</v>
      </c>
      <c r="F266" s="33">
        <f>IFERROR(VLOOKUP(vcost[[#This Row],[setting]],$A$6:$E$141,3,FALSE)+VLOOKUP(vcost[[#This Row],[setting]],$O$6:$AA$141,5,FALSE)+VLOOKUP(vcost[[#This Row],[gbd_super]],$AH$6:$AK$11,2,FALSE),0)</f>
        <v>9.5289952325570795</v>
      </c>
      <c r="G266" s="33">
        <f>IFERROR(VLOOKUP(vcost[[#This Row],[setting]],$A$6:$E$141,3,FALSE)+VLOOKUP(vcost[[#This Row],[setting]],$O$6:$AA$141,8,FALSE)+VLOOKUP(vcost[[#This Row],[gbd_super]],$AH$6:$AK$11,2,FALSE),0)</f>
        <v>9.5197007624736898</v>
      </c>
      <c r="H266">
        <f>IFERROR(VLOOKUP(vcost[[#This Row],[setting]],$A$6:$E$141,3,FALSE)+$J$8+VLOOKUP(vcost[[#This Row],[setting]],$O$6:$AA$141,11,FALSE),0)</f>
        <v>6.147498273321121</v>
      </c>
      <c r="I266" s="33">
        <f>IFERROR(VLOOKUP(vcost[[#This Row],[setting]],$A$6:$E$141,3,FALSE)+$J$8+VLOOKUP(vcost[[#This Row],[setting]],$O$6:$AA$141,11,FALSE)+VLOOKUP(vcost[[#This Row],[gbd_super]],$AH$6:$AK$11,2,FALSE),0)</f>
        <v>10.217498273321121</v>
      </c>
      <c r="O266" s="103" t="s">
        <v>345</v>
      </c>
      <c r="P266" s="135" t="s">
        <v>663</v>
      </c>
      <c r="Q266" s="33">
        <f>IFERROR(VLOOKUP(vcost_lb[[#This Row],[setting]],$A$6:$E$141,4,FALSE)+$K$6+VLOOKUP(vcost_lb[[#This Row],[setting]],$O$6:$AA$141,3,FALSE),0)</f>
        <v>2.5789561348028278</v>
      </c>
      <c r="R266" s="33">
        <f>IFERROR(VLOOKUP(vcost_lb[[#This Row],[setting]],$A$6:$E$141,4,FALSE)+$K$6+VLOOKUP(vcost_lb[[#This Row],[setting]],$O$6:$AA$141,3,FALSE)+VLOOKUP(vcost_lb[[#This Row],[gbd_super]],$AH$6:$AK$11,3,FALSE),0)</f>
        <v>6.4413711348028286</v>
      </c>
      <c r="S266" s="33">
        <f>IFERROR(VLOOKUP(vcost_lb[[#This Row],[setting]],$A$6:$E$141,4,FALSE)+VLOOKUP(vcost_lb[[#This Row],[setting]],$O$6:$AA$141,6,FALSE),0)</f>
        <v>2.2074494951033414</v>
      </c>
      <c r="T266" s="33">
        <f>IFERROR(VLOOKUP(vcost_lb[[#This Row],[setting]],$A$6:$E$141,4,FALSE)+VLOOKUP(vcost_lb[[#This Row],[setting]],$O$6:$AA$141,6,FALSE)+VLOOKUP(vcost_lb[[#This Row],[gbd_super]],$AH$6:$AK$11,3,FALSE),0)</f>
        <v>6.0698644951033423</v>
      </c>
      <c r="U266" s="33">
        <f>IFERROR(VLOOKUP(vcost_lb[[#This Row],[setting]],$A$6:$E$141,4,FALSE)+VLOOKUP(vcost_lb[[#This Row],[setting]],$O$6:$AA$141,9,FALSE)+VLOOKUP(vcost_lb[[#This Row],[gbd_super]],$AH$6:$AK$11,3,FALSE),0)</f>
        <v>6.0637497121537436</v>
      </c>
      <c r="V266" s="33">
        <f>IFERROR(VLOOKUP(vcost_lb[[#This Row],[setting]],$A$6:$E$141,4,FALSE)+$K$8+VLOOKUP(vcost_lb[[#This Row],[setting]],$O$6:$AA$141,12,FALSE),0)</f>
        <v>2.7928147977668205</v>
      </c>
      <c r="W266" s="33">
        <f>IFERROR(VLOOKUP(vcost_lb[[#This Row],[setting]],$A$6:$E$141,4,FALSE)+$K$8+VLOOKUP(vcost_lb[[#This Row],[setting]],$O$6:$AA$141,12,FALSE)+VLOOKUP(vcost_lb[[#This Row],[gbd_super]],$AH$6:$AK$11,3,FALSE),0)</f>
        <v>6.6552297977668209</v>
      </c>
      <c r="AH266" s="103" t="s">
        <v>345</v>
      </c>
      <c r="AI266" s="135" t="s">
        <v>663</v>
      </c>
      <c r="AJ266" s="33">
        <f>IFERROR(VLOOKUP(vcost_ub[[#This Row],[setting]],$A$6:$E$141,5,FALSE)+$L$6+VLOOKUP(vcost_ub[[#This Row],[setting]],$O$6:$AA$141,4,FALSE),0)</f>
        <v>12.128008515736809</v>
      </c>
      <c r="AK266" s="33">
        <f>IFERROR(VLOOKUP(vcost_ub[[#This Row],[setting]],$A$6:$E$141,5,FALSE)+$L$6+VLOOKUP(vcost_ub[[#This Row],[setting]],$O$6:$AA$141,4,FALSE)+VLOOKUP(vcost_ub[[#This Row],[gbd_super]],$AH$6:$AK$11,4,FALSE),0)</f>
        <v>16.39699351573681</v>
      </c>
      <c r="AL266" s="33">
        <f>IFERROR(VLOOKUP(vcost_ub[[#This Row],[setting]],$A$6:$E$141,5,FALSE)+VLOOKUP(vcost_ub[[#This Row],[setting]],$O$6:$AA$141,7,FALSE),0)</f>
        <v>11.600497980413367</v>
      </c>
      <c r="AM266" s="33">
        <f>IFERROR(VLOOKUP(vcost_ub[[#This Row],[setting]],$A$6:$E$141,5,FALSE)+VLOOKUP(vcost_ub[[#This Row],[setting]],$O$6:$AA$141,7,FALSE)+VLOOKUP(vcost_ub[[#This Row],[gbd_super]],$AH$6:$AK$11,4,FALSE),0)</f>
        <v>15.869482980413368</v>
      </c>
      <c r="AN266" s="33">
        <f>IFERROR(VLOOKUP(vcost_ub[[#This Row],[setting]],$A$6:$E$141,5,FALSE)+VLOOKUP(vcost_ub[[#This Row],[setting]],$O$6:$AA$141,10,FALSE)+VLOOKUP(vcost_ub[[#This Row],[gbd_super]],$AH$6:$AK$11,4,FALSE),0)</f>
        <v>15.845023848614975</v>
      </c>
      <c r="AO266" s="33">
        <f>IFERROR(VLOOKUP(vcost_ub[[#This Row],[setting]],$A$6:$E$141,5,FALSE)+$L$8+VLOOKUP(vcost_ub[[#This Row],[setting]],$O$6:$AA$141,13,FALSE),0)</f>
        <v>12.403824615797495</v>
      </c>
      <c r="AP266" s="33">
        <f>IFERROR(VLOOKUP(vcost_ub[[#This Row],[setting]],$A$6:$E$141,5,FALSE)+$L$8+VLOOKUP(vcost_ub[[#This Row],[setting]],$O$6:$AA$141,13,FALSE)+VLOOKUP(vcost_ub[[#This Row],[gbd_super]],$AH$6:$AK$11,4,FALSE),0)</f>
        <v>16.672809615797497</v>
      </c>
    </row>
    <row r="267" spans="1:42" x14ac:dyDescent="0.25">
      <c r="A267" s="100" t="s">
        <v>153</v>
      </c>
      <c r="B267" s="134" t="s">
        <v>667</v>
      </c>
      <c r="C267">
        <f>IFERROR(VLOOKUP(vcost[[#This Row],[setting]],$A$6:$E$141,3,FALSE)+$J$6+VLOOKUP(vcost[[#This Row],[setting]],$O$6:$AA$141,2,FALSE),0)</f>
        <v>2.702850032597182</v>
      </c>
      <c r="D267">
        <f>IFERROR(VLOOKUP(vcost[[#This Row],[setting]],$A$6:$E$141,3,FALSE)+$J$6+VLOOKUP(vcost[[#This Row],[setting]],$O$6:$AA$141,2,FALSE)+VLOOKUP(vcost[[#This Row],[gbd_super]],$AH$6:$AK$11,2,FALSE),0)</f>
        <v>7.5328500325971817</v>
      </c>
      <c r="E267">
        <f>IFERROR(VLOOKUP(vcost[[#This Row],[setting]],$A$6:$E$141,3,FALSE)+VLOOKUP(vcost[[#This Row],[setting]],$O$6:$AA$141,5,FALSE),0)</f>
        <v>2.2803467262290309</v>
      </c>
      <c r="F267" s="33">
        <f>IFERROR(VLOOKUP(vcost[[#This Row],[setting]],$A$6:$E$141,3,FALSE)+VLOOKUP(vcost[[#This Row],[setting]],$O$6:$AA$141,5,FALSE)+VLOOKUP(vcost[[#This Row],[gbd_super]],$AH$6:$AK$11,2,FALSE),0)</f>
        <v>7.1103467262290305</v>
      </c>
      <c r="G267" s="33">
        <f>IFERROR(VLOOKUP(vcost[[#This Row],[setting]],$A$6:$E$141,3,FALSE)+VLOOKUP(vcost[[#This Row],[setting]],$O$6:$AA$141,8,FALSE)+VLOOKUP(vcost[[#This Row],[gbd_super]],$AH$6:$AK$11,2,FALSE),0)</f>
        <v>7.1085892354628548</v>
      </c>
      <c r="H267">
        <f>IFERROR(VLOOKUP(vcost[[#This Row],[setting]],$A$6:$E$141,3,FALSE)+$J$8+VLOOKUP(vcost[[#This Row],[setting]],$O$6:$AA$141,11,FALSE),0)</f>
        <v>2.9433737769880515</v>
      </c>
      <c r="I267" s="33">
        <f>IFERROR(VLOOKUP(vcost[[#This Row],[setting]],$A$6:$E$141,3,FALSE)+$J$8+VLOOKUP(vcost[[#This Row],[setting]],$O$6:$AA$141,11,FALSE)+VLOOKUP(vcost[[#This Row],[gbd_super]],$AH$6:$AK$11,2,FALSE),0)</f>
        <v>7.773373776988052</v>
      </c>
      <c r="O267" s="100" t="s">
        <v>153</v>
      </c>
      <c r="P267" s="134" t="s">
        <v>667</v>
      </c>
      <c r="Q267" s="33">
        <f>IFERROR(VLOOKUP(vcost_lb[[#This Row],[setting]],$A$6:$E$141,4,FALSE)+$K$6+VLOOKUP(vcost_lb[[#This Row],[setting]],$O$6:$AA$141,3,FALSE),0)</f>
        <v>1.2008479369359326</v>
      </c>
      <c r="R267" s="33">
        <f>IFERROR(VLOOKUP(vcost_lb[[#This Row],[setting]],$A$6:$E$141,4,FALSE)+$K$6+VLOOKUP(vcost_lb[[#This Row],[setting]],$O$6:$AA$141,3,FALSE)+VLOOKUP(vcost_lb[[#This Row],[gbd_super]],$AH$6:$AK$11,3,FALSE),0)</f>
        <v>5.7881129369359332</v>
      </c>
      <c r="S267" s="33">
        <f>IFERROR(VLOOKUP(vcost_lb[[#This Row],[setting]],$A$6:$E$141,4,FALSE)+VLOOKUP(vcost_lb[[#This Row],[setting]],$O$6:$AA$141,6,FALSE),0)</f>
        <v>0.83696231988752046</v>
      </c>
      <c r="T267" s="33">
        <f>IFERROR(VLOOKUP(vcost_lb[[#This Row],[setting]],$A$6:$E$141,4,FALSE)+VLOOKUP(vcost_lb[[#This Row],[setting]],$O$6:$AA$141,6,FALSE)+VLOOKUP(vcost_lb[[#This Row],[gbd_super]],$AH$6:$AK$11,3,FALSE),0)</f>
        <v>5.424227319887521</v>
      </c>
      <c r="U267" s="33">
        <f>IFERROR(VLOOKUP(vcost_lb[[#This Row],[setting]],$A$6:$E$141,4,FALSE)+VLOOKUP(vcost_lb[[#This Row],[setting]],$O$6:$AA$141,9,FALSE)+VLOOKUP(vcost_lb[[#This Row],[gbd_super]],$AH$6:$AK$11,3,FALSE),0)</f>
        <v>5.4230710759624055</v>
      </c>
      <c r="V267" s="33">
        <f>IFERROR(VLOOKUP(vcost_lb[[#This Row],[setting]],$A$6:$E$141,4,FALSE)+$K$8+VLOOKUP(vcost_lb[[#This Row],[setting]],$O$6:$AA$141,12,FALSE),0)</f>
        <v>1.4114404473351785</v>
      </c>
      <c r="W267" s="33">
        <f>IFERROR(VLOOKUP(vcost_lb[[#This Row],[setting]],$A$6:$E$141,4,FALSE)+$K$8+VLOOKUP(vcost_lb[[#This Row],[setting]],$O$6:$AA$141,12,FALSE)+VLOOKUP(vcost_lb[[#This Row],[gbd_super]],$AH$6:$AK$11,3,FALSE),0)</f>
        <v>5.9987054473351789</v>
      </c>
      <c r="AH267" s="100" t="s">
        <v>153</v>
      </c>
      <c r="AI267" s="134" t="s">
        <v>667</v>
      </c>
      <c r="AJ267" s="33">
        <f>IFERROR(VLOOKUP(vcost_ub[[#This Row],[setting]],$A$6:$E$141,5,FALSE)+$L$6+VLOOKUP(vcost_ub[[#This Row],[setting]],$O$6:$AA$141,4,FALSE),0)</f>
        <v>5.518767623669949</v>
      </c>
      <c r="AK267" s="33">
        <f>IFERROR(VLOOKUP(vcost_ub[[#This Row],[setting]],$A$6:$E$141,5,FALSE)+$L$6+VLOOKUP(vcost_ub[[#This Row],[setting]],$O$6:$AA$141,4,FALSE)+VLOOKUP(vcost_ub[[#This Row],[gbd_super]],$AH$6:$AK$11,4,FALSE),0)</f>
        <v>10.588902623669949</v>
      </c>
      <c r="AL267" s="33">
        <f>IFERROR(VLOOKUP(vcost_ub[[#This Row],[setting]],$A$6:$E$141,5,FALSE)+VLOOKUP(vcost_ub[[#This Row],[setting]],$O$6:$AA$141,7,FALSE),0)</f>
        <v>5.0267492795500823</v>
      </c>
      <c r="AM267" s="33">
        <f>IFERROR(VLOOKUP(vcost_ub[[#This Row],[setting]],$A$6:$E$141,5,FALSE)+VLOOKUP(vcost_ub[[#This Row],[setting]],$O$6:$AA$141,7,FALSE)+VLOOKUP(vcost_ub[[#This Row],[gbd_super]],$AH$6:$AK$11,4,FALSE),0)</f>
        <v>10.096884279550082</v>
      </c>
      <c r="AN267" s="33">
        <f>IFERROR(VLOOKUP(vcost_ub[[#This Row],[setting]],$A$6:$E$141,5,FALSE)+VLOOKUP(vcost_ub[[#This Row],[setting]],$O$6:$AA$141,10,FALSE)+VLOOKUP(vcost_ub[[#This Row],[gbd_super]],$AH$6:$AK$11,4,FALSE),0)</f>
        <v>10.09225930384962</v>
      </c>
      <c r="AO267" s="33">
        <f>IFERROR(VLOOKUP(vcost_ub[[#This Row],[setting]],$A$6:$E$141,5,FALSE)+$L$8+VLOOKUP(vcost_ub[[#This Row],[setting]],$O$6:$AA$141,13,FALSE),0)</f>
        <v>5.7865272140709241</v>
      </c>
      <c r="AP267" s="33">
        <f>IFERROR(VLOOKUP(vcost_ub[[#This Row],[setting]],$A$6:$E$141,5,FALSE)+$L$8+VLOOKUP(vcost_ub[[#This Row],[setting]],$O$6:$AA$141,13,FALSE)+VLOOKUP(vcost_ub[[#This Row],[gbd_super]],$AH$6:$AK$11,4,FALSE),0)</f>
        <v>10.856662214070925</v>
      </c>
    </row>
    <row r="268" spans="1:42" x14ac:dyDescent="0.25">
      <c r="A268" s="103" t="s">
        <v>284</v>
      </c>
      <c r="B268" s="135" t="s">
        <v>666</v>
      </c>
      <c r="C268">
        <f>IFERROR(VLOOKUP(vcost[[#This Row],[setting]],$A$6:$E$141,3,FALSE)+$J$6+VLOOKUP(vcost[[#This Row],[setting]],$O$6:$AA$141,2,FALSE),0)</f>
        <v>5.2224866508980927</v>
      </c>
      <c r="D268">
        <f>IFERROR(VLOOKUP(vcost[[#This Row],[setting]],$A$6:$E$141,3,FALSE)+$J$6+VLOOKUP(vcost[[#This Row],[setting]],$O$6:$AA$141,2,FALSE)+VLOOKUP(vcost[[#This Row],[gbd_super]],$AH$6:$AK$11,2,FALSE),0)</f>
        <v>5.8524866508980926</v>
      </c>
      <c r="E268">
        <f>IFERROR(VLOOKUP(vcost[[#This Row],[setting]],$A$6:$E$141,3,FALSE)+VLOOKUP(vcost[[#This Row],[setting]],$O$6:$AA$141,5,FALSE),0)</f>
        <v>4.7910984730862474</v>
      </c>
      <c r="F268" s="33">
        <f>IFERROR(VLOOKUP(vcost[[#This Row],[setting]],$A$6:$E$141,3,FALSE)+VLOOKUP(vcost[[#This Row],[setting]],$O$6:$AA$141,5,FALSE)+VLOOKUP(vcost[[#This Row],[gbd_super]],$AH$6:$AK$11,2,FALSE),0)</f>
        <v>5.4210984730862473</v>
      </c>
      <c r="G268" s="33">
        <f>IFERROR(VLOOKUP(vcost[[#This Row],[setting]],$A$6:$E$141,3,FALSE)+VLOOKUP(vcost[[#This Row],[setting]],$O$6:$AA$141,8,FALSE)+VLOOKUP(vcost[[#This Row],[gbd_super]],$AH$6:$AK$11,2,FALSE),0)</f>
        <v>5.4158813358426796</v>
      </c>
      <c r="H268">
        <f>IFERROR(VLOOKUP(vcost[[#This Row],[setting]],$A$6:$E$141,3,FALSE)+$J$8+VLOOKUP(vcost[[#This Row],[setting]],$O$6:$AA$141,11,FALSE),0)</f>
        <v>5.4662130815070364</v>
      </c>
      <c r="I268" s="33">
        <f>IFERROR(VLOOKUP(vcost[[#This Row],[setting]],$A$6:$E$141,3,FALSE)+$J$8+VLOOKUP(vcost[[#This Row],[setting]],$O$6:$AA$141,11,FALSE)+VLOOKUP(vcost[[#This Row],[gbd_super]],$AH$6:$AK$11,2,FALSE),0)</f>
        <v>6.0962130815070363</v>
      </c>
      <c r="O268" s="103" t="s">
        <v>284</v>
      </c>
      <c r="P268" s="135" t="s">
        <v>666</v>
      </c>
      <c r="Q268" s="33">
        <f>IFERROR(VLOOKUP(vcost_lb[[#This Row],[setting]],$A$6:$E$141,4,FALSE)+$K$6+VLOOKUP(vcost_lb[[#This Row],[setting]],$O$6:$AA$141,3,FALSE),0)</f>
        <v>2.1366294959209782</v>
      </c>
      <c r="R268" s="33">
        <f>IFERROR(VLOOKUP(vcost_lb[[#This Row],[setting]],$A$6:$E$141,4,FALSE)+$K$6+VLOOKUP(vcost_lb[[#This Row],[setting]],$O$6:$AA$141,3,FALSE)+VLOOKUP(vcost_lb[[#This Row],[gbd_super]],$AH$6:$AK$11,3,FALSE),0)</f>
        <v>2.7372194959209781</v>
      </c>
      <c r="S268" s="33">
        <f>IFERROR(VLOOKUP(vcost_lb[[#This Row],[setting]],$A$6:$E$141,4,FALSE)+VLOOKUP(vcost_lb[[#This Row],[setting]],$O$6:$AA$141,6,FALSE),0)</f>
        <v>1.7691279428199003</v>
      </c>
      <c r="T268" s="33">
        <f>IFERROR(VLOOKUP(vcost_lb[[#This Row],[setting]],$A$6:$E$141,4,FALSE)+VLOOKUP(vcost_lb[[#This Row],[setting]],$O$6:$AA$141,6,FALSE)+VLOOKUP(vcost_lb[[#This Row],[gbd_super]],$AH$6:$AK$11,3,FALSE),0)</f>
        <v>2.3697179428199</v>
      </c>
      <c r="U268" s="33">
        <f>IFERROR(VLOOKUP(vcost_lb[[#This Row],[setting]],$A$6:$E$141,4,FALSE)+VLOOKUP(vcost_lb[[#This Row],[setting]],$O$6:$AA$141,9,FALSE)+VLOOKUP(vcost_lb[[#This Row],[gbd_super]],$AH$6:$AK$11,3,FALSE),0)</f>
        <v>2.3662856156859737</v>
      </c>
      <c r="V268" s="33">
        <f>IFERROR(VLOOKUP(vcost_lb[[#This Row],[setting]],$A$6:$E$141,4,FALSE)+$K$8+VLOOKUP(vcost_lb[[#This Row],[setting]],$O$6:$AA$141,12,FALSE),0)</f>
        <v>2.3487716931999381</v>
      </c>
      <c r="W268" s="33">
        <f>IFERROR(VLOOKUP(vcost_lb[[#This Row],[setting]],$A$6:$E$141,4,FALSE)+$K$8+VLOOKUP(vcost_lb[[#This Row],[setting]],$O$6:$AA$141,12,FALSE)+VLOOKUP(vcost_lb[[#This Row],[gbd_super]],$AH$6:$AK$11,3,FALSE),0)</f>
        <v>2.949361693199938</v>
      </c>
      <c r="AH268" s="103" t="s">
        <v>284</v>
      </c>
      <c r="AI268" s="135" t="s">
        <v>666</v>
      </c>
      <c r="AJ268" s="33">
        <f>IFERROR(VLOOKUP(vcost_ub[[#This Row],[setting]],$A$6:$E$141,5,FALSE)+$L$6+VLOOKUP(vcost_ub[[#This Row],[setting]],$O$6:$AA$141,4,FALSE),0)</f>
        <v>11.190370046159025</v>
      </c>
      <c r="AK268" s="33">
        <f>IFERROR(VLOOKUP(vcost_ub[[#This Row],[setting]],$A$6:$E$141,5,FALSE)+$L$6+VLOOKUP(vcost_ub[[#This Row],[setting]],$O$6:$AA$141,4,FALSE)+VLOOKUP(vcost_ub[[#This Row],[gbd_super]],$AH$6:$AK$11,4,FALSE),0)</f>
        <v>11.854180046159025</v>
      </c>
      <c r="AL268" s="33">
        <f>IFERROR(VLOOKUP(vcost_ub[[#This Row],[setting]],$A$6:$E$141,5,FALSE)+VLOOKUP(vcost_ub[[#This Row],[setting]],$O$6:$AA$141,7,FALSE),0)</f>
        <v>10.681511771279601</v>
      </c>
      <c r="AM268" s="33">
        <f>IFERROR(VLOOKUP(vcost_ub[[#This Row],[setting]],$A$6:$E$141,5,FALSE)+VLOOKUP(vcost_ub[[#This Row],[setting]],$O$6:$AA$141,7,FALSE)+VLOOKUP(vcost_ub[[#This Row],[gbd_super]],$AH$6:$AK$11,4,FALSE),0)</f>
        <v>11.3453217712796</v>
      </c>
      <c r="AN268" s="33">
        <f>IFERROR(VLOOKUP(vcost_ub[[#This Row],[setting]],$A$6:$E$141,5,FALSE)+VLOOKUP(vcost_ub[[#This Row],[setting]],$O$6:$AA$141,10,FALSE)+VLOOKUP(vcost_ub[[#This Row],[gbd_super]],$AH$6:$AK$11,4,FALSE),0)</f>
        <v>11.331592462743894</v>
      </c>
      <c r="AO268" s="33">
        <f>IFERROR(VLOOKUP(vcost_ub[[#This Row],[setting]],$A$6:$E$141,5,FALSE)+$L$8+VLOOKUP(vcost_ub[[#This Row],[setting]],$O$6:$AA$141,13,FALSE),0)</f>
        <v>11.461952197529962</v>
      </c>
      <c r="AP268" s="33">
        <f>IFERROR(VLOOKUP(vcost_ub[[#This Row],[setting]],$A$6:$E$141,5,FALSE)+$L$8+VLOOKUP(vcost_ub[[#This Row],[setting]],$O$6:$AA$141,13,FALSE)+VLOOKUP(vcost_ub[[#This Row],[gbd_super]],$AH$6:$AK$11,4,FALSE),0)</f>
        <v>12.125762197529962</v>
      </c>
    </row>
    <row r="269" spans="1:42" x14ac:dyDescent="0.25">
      <c r="A269" s="100" t="s">
        <v>115</v>
      </c>
      <c r="B269" s="134" t="s">
        <v>667</v>
      </c>
      <c r="C269">
        <f>IFERROR(VLOOKUP(vcost[[#This Row],[setting]],$A$6:$E$141,3,FALSE)+$J$6+VLOOKUP(vcost[[#This Row],[setting]],$O$6:$AA$141,2,FALSE),0)</f>
        <v>0.91443059975032437</v>
      </c>
      <c r="D269">
        <f>IFERROR(VLOOKUP(vcost[[#This Row],[setting]],$A$6:$E$141,3,FALSE)+$J$6+VLOOKUP(vcost[[#This Row],[setting]],$O$6:$AA$141,2,FALSE)+VLOOKUP(vcost[[#This Row],[gbd_super]],$AH$6:$AK$11,2,FALSE),0)</f>
        <v>5.7444305997503244</v>
      </c>
      <c r="E269">
        <f>IFERROR(VLOOKUP(vcost[[#This Row],[setting]],$A$6:$E$141,3,FALSE)+VLOOKUP(vcost[[#This Row],[setting]],$O$6:$AA$141,5,FALSE),0)</f>
        <v>0.4953882268687767</v>
      </c>
      <c r="F269" s="33">
        <f>IFERROR(VLOOKUP(vcost[[#This Row],[setting]],$A$6:$E$141,3,FALSE)+VLOOKUP(vcost[[#This Row],[setting]],$O$6:$AA$141,5,FALSE)+VLOOKUP(vcost[[#This Row],[gbd_super]],$AH$6:$AK$11,2,FALSE),0)</f>
        <v>5.3253882268687764</v>
      </c>
      <c r="G269" s="33">
        <f>IFERROR(VLOOKUP(vcost[[#This Row],[setting]],$A$6:$E$141,3,FALSE)+VLOOKUP(vcost[[#This Row],[setting]],$O$6:$AA$141,8,FALSE)+VLOOKUP(vcost[[#This Row],[gbd_super]],$AH$6:$AK$11,2,FALSE),0)</f>
        <v>5.3249507914761818</v>
      </c>
      <c r="H269">
        <f>IFERROR(VLOOKUP(vcost[[#This Row],[setting]],$A$6:$E$141,3,FALSE)+$J$8+VLOOKUP(vcost[[#This Row],[setting]],$O$6:$AA$141,11,FALSE),0)</f>
        <v>1.1537067983495106</v>
      </c>
      <c r="I269" s="33">
        <f>IFERROR(VLOOKUP(vcost[[#This Row],[setting]],$A$6:$E$141,3,FALSE)+$J$8+VLOOKUP(vcost[[#This Row],[setting]],$O$6:$AA$141,11,FALSE)+VLOOKUP(vcost[[#This Row],[gbd_super]],$AH$6:$AK$11,2,FALSE),0)</f>
        <v>5.9837067983495107</v>
      </c>
      <c r="O269" s="100" t="s">
        <v>115</v>
      </c>
      <c r="P269" s="134" t="s">
        <v>667</v>
      </c>
      <c r="Q269" s="33">
        <f>IFERROR(VLOOKUP(vcost_lb[[#This Row],[setting]],$A$6:$E$141,4,FALSE)+$K$6+VLOOKUP(vcost_lb[[#This Row],[setting]],$O$6:$AA$141,3,FALSE),0)</f>
        <v>0.43522724686196379</v>
      </c>
      <c r="R269" s="33">
        <f>IFERROR(VLOOKUP(vcost_lb[[#This Row],[setting]],$A$6:$E$141,4,FALSE)+$K$6+VLOOKUP(vcost_lb[[#This Row],[setting]],$O$6:$AA$141,3,FALSE)+VLOOKUP(vcost_lb[[#This Row],[gbd_super]],$AH$6:$AK$11,3,FALSE),0)</f>
        <v>5.0224922468619644</v>
      </c>
      <c r="S269" s="33">
        <f>IFERROR(VLOOKUP(vcost_lb[[#This Row],[setting]],$A$6:$E$141,4,FALSE)+VLOOKUP(vcost_lb[[#This Row],[setting]],$O$6:$AA$141,6,FALSE),0)</f>
        <v>7.2750149255774138E-2</v>
      </c>
      <c r="T269" s="33">
        <f>IFERROR(VLOOKUP(vcost_lb[[#This Row],[setting]],$A$6:$E$141,4,FALSE)+VLOOKUP(vcost_lb[[#This Row],[setting]],$O$6:$AA$141,6,FALSE)+VLOOKUP(vcost_lb[[#This Row],[gbd_super]],$AH$6:$AK$11,3,FALSE),0)</f>
        <v>4.6600151492557744</v>
      </c>
      <c r="U269" s="33">
        <f>IFERROR(VLOOKUP(vcost_lb[[#This Row],[setting]],$A$6:$E$141,4,FALSE)+VLOOKUP(vcost_lb[[#This Row],[setting]],$O$6:$AA$141,9,FALSE)+VLOOKUP(vcost_lb[[#This Row],[gbd_super]],$AH$6:$AK$11,3,FALSE),0)</f>
        <v>4.6597273628132774</v>
      </c>
      <c r="V269" s="33">
        <f>IFERROR(VLOOKUP(vcost_lb[[#This Row],[setting]],$A$6:$E$141,4,FALSE)+$K$8+VLOOKUP(vcost_lb[[#This Row],[setting]],$O$6:$AA$141,12,FALSE),0)</f>
        <v>0.64521610607168578</v>
      </c>
      <c r="W269" s="33">
        <f>IFERROR(VLOOKUP(vcost_lb[[#This Row],[setting]],$A$6:$E$141,4,FALSE)+$K$8+VLOOKUP(vcost_lb[[#This Row],[setting]],$O$6:$AA$141,12,FALSE)+VLOOKUP(vcost_lb[[#This Row],[gbd_super]],$AH$6:$AK$11,3,FALSE),0)</f>
        <v>5.2324811060716865</v>
      </c>
      <c r="AH269" s="100" t="s">
        <v>115</v>
      </c>
      <c r="AI269" s="134" t="s">
        <v>667</v>
      </c>
      <c r="AJ269" s="33">
        <f>IFERROR(VLOOKUP(vcost_ub[[#This Row],[setting]],$A$6:$E$141,5,FALSE)+$L$6+VLOOKUP(vcost_ub[[#This Row],[setting]],$O$6:$AA$141,4,FALSE),0)</f>
        <v>2.2596592648834699</v>
      </c>
      <c r="AK269" s="33">
        <f>IFERROR(VLOOKUP(vcost_ub[[#This Row],[setting]],$A$6:$E$141,5,FALSE)+$L$6+VLOOKUP(vcost_ub[[#This Row],[setting]],$O$6:$AA$141,4,FALSE)+VLOOKUP(vcost_ub[[#This Row],[gbd_super]],$AH$6:$AK$11,4,FALSE),0)</f>
        <v>7.3297942648834704</v>
      </c>
      <c r="AL269" s="33">
        <f>IFERROR(VLOOKUP(vcost_ub[[#This Row],[setting]],$A$6:$E$141,5,FALSE)+VLOOKUP(vcost_ub[[#This Row],[setting]],$O$6:$AA$141,7,FALSE),0)</f>
        <v>1.7742005970230965</v>
      </c>
      <c r="AM269" s="33">
        <f>IFERROR(VLOOKUP(vcost_ub[[#This Row],[setting]],$A$6:$E$141,5,FALSE)+VLOOKUP(vcost_ub[[#This Row],[setting]],$O$6:$AA$141,7,FALSE)+VLOOKUP(vcost_ub[[#This Row],[gbd_super]],$AH$6:$AK$11,4,FALSE),0)</f>
        <v>6.8443355970230968</v>
      </c>
      <c r="AN269" s="33">
        <f>IFERROR(VLOOKUP(vcost_ub[[#This Row],[setting]],$A$6:$E$141,5,FALSE)+VLOOKUP(vcost_ub[[#This Row],[setting]],$O$6:$AA$141,10,FALSE)+VLOOKUP(vcost_ub[[#This Row],[gbd_super]],$AH$6:$AK$11,4,FALSE),0)</f>
        <v>6.8431844512531104</v>
      </c>
      <c r="AO269" s="33">
        <f>IFERROR(VLOOKUP(vcost_ub[[#This Row],[setting]],$A$6:$E$141,5,FALSE)+$L$8+VLOOKUP(vcost_ub[[#This Row],[setting]],$O$6:$AA$141,13,FALSE),0)</f>
        <v>2.5259298490169533</v>
      </c>
      <c r="AP269" s="33">
        <f>IFERROR(VLOOKUP(vcost_ub[[#This Row],[setting]],$A$6:$E$141,5,FALSE)+$L$8+VLOOKUP(vcost_ub[[#This Row],[setting]],$O$6:$AA$141,13,FALSE)+VLOOKUP(vcost_ub[[#This Row],[gbd_super]],$AH$6:$AK$11,4,FALSE),0)</f>
        <v>7.5960648490169538</v>
      </c>
    </row>
    <row r="270" spans="1:42" x14ac:dyDescent="0.25">
      <c r="A270" s="103" t="s">
        <v>136</v>
      </c>
      <c r="B270" s="135" t="s">
        <v>667</v>
      </c>
      <c r="C270">
        <f>IFERROR(VLOOKUP(vcost[[#This Row],[setting]],$A$6:$E$141,3,FALSE)+$J$6+VLOOKUP(vcost[[#This Row],[setting]],$O$6:$AA$141,2,FALSE),0)</f>
        <v>2.2564996401913309</v>
      </c>
      <c r="D270">
        <f>IFERROR(VLOOKUP(vcost[[#This Row],[setting]],$A$6:$E$141,3,FALSE)+$J$6+VLOOKUP(vcost[[#This Row],[setting]],$O$6:$AA$141,2,FALSE)+VLOOKUP(vcost[[#This Row],[gbd_super]],$AH$6:$AK$11,2,FALSE),0)</f>
        <v>7.0864996401913309</v>
      </c>
      <c r="E270">
        <f>IFERROR(VLOOKUP(vcost[[#This Row],[setting]],$A$6:$E$141,3,FALSE)+VLOOKUP(vcost[[#This Row],[setting]],$O$6:$AA$141,5,FALSE),0)</f>
        <v>1.8194243199151747</v>
      </c>
      <c r="F270" s="33">
        <f>IFERROR(VLOOKUP(vcost[[#This Row],[setting]],$A$6:$E$141,3,FALSE)+VLOOKUP(vcost[[#This Row],[setting]],$O$6:$AA$141,5,FALSE)+VLOOKUP(vcost[[#This Row],[gbd_super]],$AH$6:$AK$11,2,FALSE),0)</f>
        <v>6.649424319915175</v>
      </c>
      <c r="G270" s="33">
        <f>IFERROR(VLOOKUP(vcost[[#This Row],[setting]],$A$6:$E$141,3,FALSE)+VLOOKUP(vcost[[#This Row],[setting]],$O$6:$AA$141,8,FALSE)+VLOOKUP(vcost[[#This Row],[gbd_super]],$AH$6:$AK$11,2,FALSE),0)</f>
        <v>6.6416502839570706</v>
      </c>
      <c r="H270">
        <f>IFERROR(VLOOKUP(vcost[[#This Row],[setting]],$A$6:$E$141,3,FALSE)+$J$8+VLOOKUP(vcost[[#This Row],[setting]],$O$6:$AA$141,11,FALSE),0)</f>
        <v>2.5022760872699688</v>
      </c>
      <c r="I270" s="33">
        <f>IFERROR(VLOOKUP(vcost[[#This Row],[setting]],$A$6:$E$141,3,FALSE)+$J$8+VLOOKUP(vcost[[#This Row],[setting]],$O$6:$AA$141,11,FALSE)+VLOOKUP(vcost[[#This Row],[gbd_super]],$AH$6:$AK$11,2,FALSE),0)</f>
        <v>7.3322760872699693</v>
      </c>
      <c r="O270" s="103" t="s">
        <v>136</v>
      </c>
      <c r="P270" s="135" t="s">
        <v>667</v>
      </c>
      <c r="Q270" s="33">
        <f>IFERROR(VLOOKUP(vcost_lb[[#This Row],[setting]],$A$6:$E$141,4,FALSE)+$K$6+VLOOKUP(vcost_lb[[#This Row],[setting]],$O$6:$AA$141,3,FALSE),0)</f>
        <v>0.83415050882175124</v>
      </c>
      <c r="R270" s="33">
        <f>IFERROR(VLOOKUP(vcost_lb[[#This Row],[setting]],$A$6:$E$141,4,FALSE)+$K$6+VLOOKUP(vcost_lb[[#This Row],[setting]],$O$6:$AA$141,3,FALSE)+VLOOKUP(vcost_lb[[#This Row],[gbd_super]],$AH$6:$AK$11,3,FALSE),0)</f>
        <v>5.4214155088217515</v>
      </c>
      <c r="S270" s="33">
        <f>IFERROR(VLOOKUP(vcost_lb[[#This Row],[setting]],$A$6:$E$141,4,FALSE)+VLOOKUP(vcost_lb[[#This Row],[setting]],$O$6:$AA$141,6,FALSE),0)</f>
        <v>0.46433442099682548</v>
      </c>
      <c r="T270" s="33">
        <f>IFERROR(VLOOKUP(vcost_lb[[#This Row],[setting]],$A$6:$E$141,4,FALSE)+VLOOKUP(vcost_lb[[#This Row],[setting]],$O$6:$AA$141,6,FALSE)+VLOOKUP(vcost_lb[[#This Row],[gbd_super]],$AH$6:$AK$11,3,FALSE),0)</f>
        <v>5.0515994209968262</v>
      </c>
      <c r="U270" s="33">
        <f>IFERROR(VLOOKUP(vcost_lb[[#This Row],[setting]],$A$6:$E$141,4,FALSE)+VLOOKUP(vcost_lb[[#This Row],[setting]],$O$6:$AA$141,9,FALSE)+VLOOKUP(vcost_lb[[#This Row],[gbd_super]],$AH$6:$AK$11,3,FALSE),0)</f>
        <v>5.0464849236559672</v>
      </c>
      <c r="V270" s="33">
        <f>IFERROR(VLOOKUP(vcost_lb[[#This Row],[setting]],$A$6:$E$141,4,FALSE)+$K$8+VLOOKUP(vcost_lb[[#This Row],[setting]],$O$6:$AA$141,12,FALSE),0)</f>
        <v>1.0472846495537884</v>
      </c>
      <c r="W270" s="33">
        <f>IFERROR(VLOOKUP(vcost_lb[[#This Row],[setting]],$A$6:$E$141,4,FALSE)+$K$8+VLOOKUP(vcost_lb[[#This Row],[setting]],$O$6:$AA$141,12,FALSE)+VLOOKUP(vcost_lb[[#This Row],[gbd_super]],$AH$6:$AK$11,3,FALSE),0)</f>
        <v>5.6345496495537883</v>
      </c>
      <c r="AH270" s="103" t="s">
        <v>136</v>
      </c>
      <c r="AI270" s="135" t="s">
        <v>667</v>
      </c>
      <c r="AJ270" s="33">
        <f>IFERROR(VLOOKUP(vcost_ub[[#This Row],[setting]],$A$6:$E$141,5,FALSE)+$L$6+VLOOKUP(vcost_ub[[#This Row],[setting]],$O$6:$AA$141,4,FALSE),0)</f>
        <v>5.6214750777235043</v>
      </c>
      <c r="AK270" s="33">
        <f>IFERROR(VLOOKUP(vcost_ub[[#This Row],[setting]],$A$6:$E$141,5,FALSE)+$L$6+VLOOKUP(vcost_ub[[#This Row],[setting]],$O$6:$AA$141,4,FALSE)+VLOOKUP(vcost_ub[[#This Row],[gbd_super]],$AH$6:$AK$11,4,FALSE),0)</f>
        <v>10.691610077723505</v>
      </c>
      <c r="AL270" s="33">
        <f>IFERROR(VLOOKUP(vcost_ub[[#This Row],[setting]],$A$6:$E$141,5,FALSE)+VLOOKUP(vcost_ub[[#This Row],[setting]],$O$6:$AA$141,7,FALSE),0)</f>
        <v>5.101837683987303</v>
      </c>
      <c r="AM270" s="33">
        <f>IFERROR(VLOOKUP(vcost_ub[[#This Row],[setting]],$A$6:$E$141,5,FALSE)+VLOOKUP(vcost_ub[[#This Row],[setting]],$O$6:$AA$141,7,FALSE)+VLOOKUP(vcost_ub[[#This Row],[gbd_super]],$AH$6:$AK$11,4,FALSE),0)</f>
        <v>10.171972683987303</v>
      </c>
      <c r="AN270" s="33">
        <f>IFERROR(VLOOKUP(vcost_ub[[#This Row],[setting]],$A$6:$E$141,5,FALSE)+VLOOKUP(vcost_ub[[#This Row],[setting]],$O$6:$AA$141,10,FALSE)+VLOOKUP(vcost_ub[[#This Row],[gbd_super]],$AH$6:$AK$11,4,FALSE),0)</f>
        <v>10.15151469462387</v>
      </c>
      <c r="AO270" s="33">
        <f>IFERROR(VLOOKUP(vcost_ub[[#This Row],[setting]],$A$6:$E$141,5,FALSE)+$L$8+VLOOKUP(vcost_ub[[#This Row],[setting]],$O$6:$AA$141,13,FALSE),0)</f>
        <v>5.8955040229453646</v>
      </c>
      <c r="AP270" s="33">
        <f>IFERROR(VLOOKUP(vcost_ub[[#This Row],[setting]],$A$6:$E$141,5,FALSE)+$L$8+VLOOKUP(vcost_ub[[#This Row],[setting]],$O$6:$AA$141,13,FALSE)+VLOOKUP(vcost_ub[[#This Row],[gbd_super]],$AH$6:$AK$11,4,FALSE),0)</f>
        <v>10.965639022945364</v>
      </c>
    </row>
    <row r="271" spans="1:42" x14ac:dyDescent="0.25">
      <c r="A271" s="100" t="s">
        <v>116</v>
      </c>
      <c r="B271" s="134" t="s">
        <v>667</v>
      </c>
      <c r="C271">
        <f>IFERROR(VLOOKUP(vcost[[#This Row],[setting]],$A$6:$E$141,3,FALSE)+$J$6+VLOOKUP(vcost[[#This Row],[setting]],$O$6:$AA$141,2,FALSE),0)</f>
        <v>1.1080241161616162</v>
      </c>
      <c r="D271">
        <f>IFERROR(VLOOKUP(vcost[[#This Row],[setting]],$A$6:$E$141,3,FALSE)+$J$6+VLOOKUP(vcost[[#This Row],[setting]],$O$6:$AA$141,2,FALSE)+VLOOKUP(vcost[[#This Row],[gbd_super]],$AH$6:$AK$11,2,FALSE),0)</f>
        <v>5.9380241161616159</v>
      </c>
      <c r="E271">
        <f>IFERROR(VLOOKUP(vcost[[#This Row],[setting]],$A$6:$E$141,3,FALSE)+VLOOKUP(vcost[[#This Row],[setting]],$O$6:$AA$141,5,FALSE),0)</f>
        <v>0.69010000000000005</v>
      </c>
      <c r="F271" s="33">
        <f>IFERROR(VLOOKUP(vcost[[#This Row],[setting]],$A$6:$E$141,3,FALSE)+VLOOKUP(vcost[[#This Row],[setting]],$O$6:$AA$141,5,FALSE)+VLOOKUP(vcost[[#This Row],[gbd_super]],$AH$6:$AK$11,2,FALSE),0)</f>
        <v>5.5201000000000002</v>
      </c>
      <c r="G271" s="33">
        <f>IFERROR(VLOOKUP(vcost[[#This Row],[setting]],$A$6:$E$141,3,FALSE)+VLOOKUP(vcost[[#This Row],[setting]],$O$6:$AA$141,8,FALSE)+VLOOKUP(vcost[[#This Row],[gbd_super]],$AH$6:$AK$11,2,FALSE),0)</f>
        <v>5.5201000000000002</v>
      </c>
      <c r="H271">
        <f>IFERROR(VLOOKUP(vcost[[#This Row],[setting]],$A$6:$E$141,3,FALSE)+$J$8+VLOOKUP(vcost[[#This Row],[setting]],$O$6:$AA$141,11,FALSE),0)</f>
        <v>1.3468972222222224</v>
      </c>
      <c r="I271" s="33">
        <f>IFERROR(VLOOKUP(vcost[[#This Row],[setting]],$A$6:$E$141,3,FALSE)+$J$8+VLOOKUP(vcost[[#This Row],[setting]],$O$6:$AA$141,11,FALSE)+VLOOKUP(vcost[[#This Row],[gbd_super]],$AH$6:$AK$11,2,FALSE),0)</f>
        <v>6.1768972222222223</v>
      </c>
      <c r="O271" s="100" t="s">
        <v>116</v>
      </c>
      <c r="P271" s="134" t="s">
        <v>667</v>
      </c>
      <c r="Q271" s="33">
        <f>IFERROR(VLOOKUP(vcost_lb[[#This Row],[setting]],$A$6:$E$141,4,FALSE)+$K$6+VLOOKUP(vcost_lb[[#This Row],[setting]],$O$6:$AA$141,3,FALSE),0)</f>
        <v>0.4959219931271478</v>
      </c>
      <c r="R271" s="33">
        <f>IFERROR(VLOOKUP(vcost_lb[[#This Row],[setting]],$A$6:$E$141,4,FALSE)+$K$6+VLOOKUP(vcost_lb[[#This Row],[setting]],$O$6:$AA$141,3,FALSE)+VLOOKUP(vcost_lb[[#This Row],[gbd_super]],$AH$6:$AK$11,3,FALSE),0)</f>
        <v>5.0831869931271481</v>
      </c>
      <c r="S271" s="33">
        <f>IFERROR(VLOOKUP(vcost_lb[[#This Row],[setting]],$A$6:$E$141,4,FALSE)+VLOOKUP(vcost_lb[[#This Row],[setting]],$O$6:$AA$141,6,FALSE),0)</f>
        <v>0.13390000000000002</v>
      </c>
      <c r="T271" s="33">
        <f>IFERROR(VLOOKUP(vcost_lb[[#This Row],[setting]],$A$6:$E$141,4,FALSE)+VLOOKUP(vcost_lb[[#This Row],[setting]],$O$6:$AA$141,6,FALSE)+VLOOKUP(vcost_lb[[#This Row],[gbd_super]],$AH$6:$AK$11,3,FALSE),0)</f>
        <v>4.7211650000000001</v>
      </c>
      <c r="U271" s="33">
        <f>IFERROR(VLOOKUP(vcost_lb[[#This Row],[setting]],$A$6:$E$141,4,FALSE)+VLOOKUP(vcost_lb[[#This Row],[setting]],$O$6:$AA$141,9,FALSE)+VLOOKUP(vcost_lb[[#This Row],[gbd_super]],$AH$6:$AK$11,3,FALSE),0)</f>
        <v>4.7211650000000001</v>
      </c>
      <c r="V271" s="33">
        <f>IFERROR(VLOOKUP(vcost_lb[[#This Row],[setting]],$A$6:$E$141,4,FALSE)+$K$8+VLOOKUP(vcost_lb[[#This Row],[setting]],$O$6:$AA$141,12,FALSE),0)</f>
        <v>0.70571580756013752</v>
      </c>
      <c r="W271" s="33">
        <f>IFERROR(VLOOKUP(vcost_lb[[#This Row],[setting]],$A$6:$E$141,4,FALSE)+$K$8+VLOOKUP(vcost_lb[[#This Row],[setting]],$O$6:$AA$141,12,FALSE)+VLOOKUP(vcost_lb[[#This Row],[gbd_super]],$AH$6:$AK$11,3,FALSE),0)</f>
        <v>5.2929808075601379</v>
      </c>
      <c r="AH271" s="100" t="s">
        <v>116</v>
      </c>
      <c r="AI271" s="134" t="s">
        <v>667</v>
      </c>
      <c r="AJ271" s="33">
        <f>IFERROR(VLOOKUP(vcost_ub[[#This Row],[setting]],$A$6:$E$141,5,FALSE)+$L$6+VLOOKUP(vcost_ub[[#This Row],[setting]],$O$6:$AA$141,4,FALSE),0)</f>
        <v>2.6772391812865495</v>
      </c>
      <c r="AK271" s="33">
        <f>IFERROR(VLOOKUP(vcost_ub[[#This Row],[setting]],$A$6:$E$141,5,FALSE)+$L$6+VLOOKUP(vcost_ub[[#This Row],[setting]],$O$6:$AA$141,4,FALSE)+VLOOKUP(vcost_ub[[#This Row],[gbd_super]],$AH$6:$AK$11,4,FALSE),0)</f>
        <v>7.74737418128655</v>
      </c>
      <c r="AL271" s="33">
        <f>IFERROR(VLOOKUP(vcost_ub[[#This Row],[setting]],$A$6:$E$141,5,FALSE)+VLOOKUP(vcost_ub[[#This Row],[setting]],$O$6:$AA$141,7,FALSE),0)</f>
        <v>2.1938999999999997</v>
      </c>
      <c r="AM271" s="33">
        <f>IFERROR(VLOOKUP(vcost_ub[[#This Row],[setting]],$A$6:$E$141,5,FALSE)+VLOOKUP(vcost_ub[[#This Row],[setting]],$O$6:$AA$141,7,FALSE)+VLOOKUP(vcost_ub[[#This Row],[gbd_super]],$AH$6:$AK$11,4,FALSE),0)</f>
        <v>7.2640349999999998</v>
      </c>
      <c r="AN271" s="33">
        <f>IFERROR(VLOOKUP(vcost_ub[[#This Row],[setting]],$A$6:$E$141,5,FALSE)+VLOOKUP(vcost_ub[[#This Row],[setting]],$O$6:$AA$141,10,FALSE)+VLOOKUP(vcost_ub[[#This Row],[gbd_super]],$AH$6:$AK$11,4,FALSE),0)</f>
        <v>7.2640349999999998</v>
      </c>
      <c r="AO271" s="33">
        <f>IFERROR(VLOOKUP(vcost_ub[[#This Row],[setting]],$A$6:$E$141,5,FALSE)+$L$8+VLOOKUP(vcost_ub[[#This Row],[setting]],$O$6:$AA$141,13,FALSE),0)</f>
        <v>2.9430286549707598</v>
      </c>
      <c r="AP271" s="33">
        <f>IFERROR(VLOOKUP(vcost_ub[[#This Row],[setting]],$A$6:$E$141,5,FALSE)+$L$8+VLOOKUP(vcost_ub[[#This Row],[setting]],$O$6:$AA$141,13,FALSE)+VLOOKUP(vcost_ub[[#This Row],[gbd_super]],$AH$6:$AK$11,4,FALSE),0)</f>
        <v>8.0131636549707608</v>
      </c>
    </row>
    <row r="272" spans="1:42" x14ac:dyDescent="0.25">
      <c r="A272" s="103" t="s">
        <v>199</v>
      </c>
      <c r="B272" s="135" t="s">
        <v>666</v>
      </c>
      <c r="C272">
        <f>IFERROR(VLOOKUP(vcost[[#This Row],[setting]],$A$6:$E$141,3,FALSE)+$J$6+VLOOKUP(vcost[[#This Row],[setting]],$O$6:$AA$141,2,FALSE),0)</f>
        <v>4.6224348013577394</v>
      </c>
      <c r="D272">
        <f>IFERROR(VLOOKUP(vcost[[#This Row],[setting]],$A$6:$E$141,3,FALSE)+$J$6+VLOOKUP(vcost[[#This Row],[setting]],$O$6:$AA$141,2,FALSE)+VLOOKUP(vcost[[#This Row],[gbd_super]],$AH$6:$AK$11,2,FALSE),0)</f>
        <v>5.2524348013577393</v>
      </c>
      <c r="E272">
        <f>IFERROR(VLOOKUP(vcost[[#This Row],[setting]],$A$6:$E$141,3,FALSE)+VLOOKUP(vcost[[#This Row],[setting]],$O$6:$AA$141,5,FALSE),0)</f>
        <v>4.1924543955241074</v>
      </c>
      <c r="F272" s="33">
        <f>IFERROR(VLOOKUP(vcost[[#This Row],[setting]],$A$6:$E$141,3,FALSE)+VLOOKUP(vcost[[#This Row],[setting]],$O$6:$AA$141,5,FALSE)+VLOOKUP(vcost[[#This Row],[gbd_super]],$AH$6:$AK$11,2,FALSE),0)</f>
        <v>4.8224543955241073</v>
      </c>
      <c r="G272" s="33">
        <f>IFERROR(VLOOKUP(vcost[[#This Row],[setting]],$A$6:$E$141,3,FALSE)+VLOOKUP(vcost[[#This Row],[setting]],$O$6:$AA$141,8,FALSE)+VLOOKUP(vcost[[#This Row],[gbd_super]],$AH$6:$AK$11,2,FALSE),0)</f>
        <v>4.8176747634082941</v>
      </c>
      <c r="H272">
        <f>IFERROR(VLOOKUP(vcost[[#This Row],[setting]],$A$6:$E$141,3,FALSE)+$J$8+VLOOKUP(vcost[[#This Row],[setting]],$O$6:$AA$141,11,FALSE),0)</f>
        <v>4.8656537792768626</v>
      </c>
      <c r="I272" s="33">
        <f>IFERROR(VLOOKUP(vcost[[#This Row],[setting]],$A$6:$E$141,3,FALSE)+$J$8+VLOOKUP(vcost[[#This Row],[setting]],$O$6:$AA$141,11,FALSE)+VLOOKUP(vcost[[#This Row],[gbd_super]],$AH$6:$AK$11,2,FALSE),0)</f>
        <v>5.4956537792768625</v>
      </c>
      <c r="O272" s="103" t="s">
        <v>199</v>
      </c>
      <c r="P272" s="135" t="s">
        <v>666</v>
      </c>
      <c r="Q272" s="33">
        <f>IFERROR(VLOOKUP(vcost_lb[[#This Row],[setting]],$A$6:$E$141,4,FALSE)+$K$6+VLOOKUP(vcost_lb[[#This Row],[setting]],$O$6:$AA$141,3,FALSE),0)</f>
        <v>1.9395380933843729</v>
      </c>
      <c r="R272" s="33">
        <f>IFERROR(VLOOKUP(vcost_lb[[#This Row],[setting]],$A$6:$E$141,4,FALSE)+$K$6+VLOOKUP(vcost_lb[[#This Row],[setting]],$O$6:$AA$141,3,FALSE)+VLOOKUP(vcost_lb[[#This Row],[gbd_super]],$AH$6:$AK$11,3,FALSE),0)</f>
        <v>2.5401280933843728</v>
      </c>
      <c r="S272" s="33">
        <f>IFERROR(VLOOKUP(vcost_lb[[#This Row],[setting]],$A$6:$E$141,4,FALSE)+VLOOKUP(vcost_lb[[#This Row],[setting]],$O$6:$AA$141,6,FALSE),0)</f>
        <v>1.5726094707395442</v>
      </c>
      <c r="T272" s="33">
        <f>IFERROR(VLOOKUP(vcost_lb[[#This Row],[setting]],$A$6:$E$141,4,FALSE)+VLOOKUP(vcost_lb[[#This Row],[setting]],$O$6:$AA$141,6,FALSE)+VLOOKUP(vcost_lb[[#This Row],[gbd_super]],$AH$6:$AK$11,3,FALSE),0)</f>
        <v>2.1731994707395441</v>
      </c>
      <c r="U272" s="33">
        <f>IFERROR(VLOOKUP(vcost_lb[[#This Row],[setting]],$A$6:$E$141,4,FALSE)+VLOOKUP(vcost_lb[[#This Row],[setting]],$O$6:$AA$141,9,FALSE)+VLOOKUP(vcost_lb[[#This Row],[gbd_super]],$AH$6:$AK$11,3,FALSE),0)</f>
        <v>2.1700549759265098</v>
      </c>
      <c r="V272" s="33">
        <f>IFERROR(VLOOKUP(vcost_lb[[#This Row],[setting]],$A$6:$E$141,4,FALSE)+$K$8+VLOOKUP(vcost_lb[[#This Row],[setting]],$O$6:$AA$141,12,FALSE),0)</f>
        <v>2.1514347490392258</v>
      </c>
      <c r="W272" s="33">
        <f>IFERROR(VLOOKUP(vcost_lb[[#This Row],[setting]],$A$6:$E$141,4,FALSE)+$K$8+VLOOKUP(vcost_lb[[#This Row],[setting]],$O$6:$AA$141,12,FALSE)+VLOOKUP(vcost_lb[[#This Row],[gbd_super]],$AH$6:$AK$11,3,FALSE),0)</f>
        <v>2.7520247490392258</v>
      </c>
      <c r="AH272" s="103" t="s">
        <v>199</v>
      </c>
      <c r="AI272" s="135" t="s">
        <v>666</v>
      </c>
      <c r="AJ272" s="33">
        <f>IFERROR(VLOOKUP(vcost_ub[[#This Row],[setting]],$A$6:$E$141,5,FALSE)+$L$6+VLOOKUP(vcost_ub[[#This Row],[setting]],$O$6:$AA$141,4,FALSE),0)</f>
        <v>9.6806279388556415</v>
      </c>
      <c r="AK272" s="33">
        <f>IFERROR(VLOOKUP(vcost_ub[[#This Row],[setting]],$A$6:$E$141,5,FALSE)+$L$6+VLOOKUP(vcost_ub[[#This Row],[setting]],$O$6:$AA$141,4,FALSE)+VLOOKUP(vcost_ub[[#This Row],[gbd_super]],$AH$6:$AK$11,4,FALSE),0)</f>
        <v>10.344437938855641</v>
      </c>
      <c r="AL272" s="33">
        <f>IFERROR(VLOOKUP(vcost_ub[[#This Row],[setting]],$A$6:$E$141,5,FALSE)+VLOOKUP(vcost_ub[[#This Row],[setting]],$O$6:$AA$141,7,FALSE),0)</f>
        <v>9.1744378829581787</v>
      </c>
      <c r="AM272" s="33">
        <f>IFERROR(VLOOKUP(vcost_ub[[#This Row],[setting]],$A$6:$E$141,5,FALSE)+VLOOKUP(vcost_ub[[#This Row],[setting]],$O$6:$AA$141,7,FALSE)+VLOOKUP(vcost_ub[[#This Row],[gbd_super]],$AH$6:$AK$11,4,FALSE),0)</f>
        <v>9.8382478829581785</v>
      </c>
      <c r="AN272" s="33">
        <f>IFERROR(VLOOKUP(vcost_ub[[#This Row],[setting]],$A$6:$E$141,5,FALSE)+VLOOKUP(vcost_ub[[#This Row],[setting]],$O$6:$AA$141,10,FALSE)+VLOOKUP(vcost_ub[[#This Row],[gbd_super]],$AH$6:$AK$11,4,FALSE),0)</f>
        <v>9.8256699037060393</v>
      </c>
      <c r="AO272" s="33">
        <f>IFERROR(VLOOKUP(vcost_ub[[#This Row],[setting]],$A$6:$E$141,5,FALSE)+$L$8+VLOOKUP(vcost_ub[[#This Row],[setting]],$O$6:$AA$141,13,FALSE),0)</f>
        <v>9.9516044208871151</v>
      </c>
      <c r="AP272" s="33">
        <f>IFERROR(VLOOKUP(vcost_ub[[#This Row],[setting]],$A$6:$E$141,5,FALSE)+$L$8+VLOOKUP(vcost_ub[[#This Row],[setting]],$O$6:$AA$141,13,FALSE)+VLOOKUP(vcost_ub[[#This Row],[gbd_super]],$AH$6:$AK$11,4,FALSE),0)</f>
        <v>10.615414420887115</v>
      </c>
    </row>
    <row r="273" spans="1:42" x14ac:dyDescent="0.25">
      <c r="A273" s="100" t="s">
        <v>647</v>
      </c>
      <c r="B273" s="134" t="s">
        <v>667</v>
      </c>
      <c r="C273">
        <f>IFERROR(VLOOKUP(vcost[[#This Row],[setting]],$A$6:$E$141,3,FALSE)+$J$6+VLOOKUP(vcost[[#This Row],[setting]],$O$6:$AA$141,2,FALSE),0)</f>
        <v>2.4622318869126065</v>
      </c>
      <c r="D273">
        <f>IFERROR(VLOOKUP(vcost[[#This Row],[setting]],$A$6:$E$141,3,FALSE)+$J$6+VLOOKUP(vcost[[#This Row],[setting]],$O$6:$AA$141,2,FALSE)+VLOOKUP(vcost[[#This Row],[gbd_super]],$AH$6:$AK$11,2,FALSE),0)</f>
        <v>7.2922318869126066</v>
      </c>
      <c r="E273">
        <f>IFERROR(VLOOKUP(vcost[[#This Row],[setting]],$A$6:$E$141,3,FALSE)+VLOOKUP(vcost[[#This Row],[setting]],$O$6:$AA$141,5,FALSE),0)</f>
        <v>2.0417024109696005</v>
      </c>
      <c r="F273" s="33">
        <f>IFERROR(VLOOKUP(vcost[[#This Row],[setting]],$A$6:$E$141,3,FALSE)+VLOOKUP(vcost[[#This Row],[setting]],$O$6:$AA$141,5,FALSE)+VLOOKUP(vcost[[#This Row],[gbd_super]],$AH$6:$AK$11,2,FALSE),0)</f>
        <v>6.8717024109696005</v>
      </c>
      <c r="G273" s="33">
        <f>IFERROR(VLOOKUP(vcost[[#This Row],[setting]],$A$6:$E$141,3,FALSE)+VLOOKUP(vcost[[#This Row],[setting]],$O$6:$AA$141,8,FALSE)+VLOOKUP(vcost[[#This Row],[gbd_super]],$AH$6:$AK$11,2,FALSE),0)</f>
        <v>6.8706427565132024</v>
      </c>
      <c r="H273">
        <f>IFERROR(VLOOKUP(vcost[[#This Row],[setting]],$A$6:$E$141,3,FALSE)+$J$8+VLOOKUP(vcost[[#This Row],[setting]],$O$6:$AA$141,11,FALSE),0)</f>
        <v>2.7020441342897605</v>
      </c>
      <c r="I273" s="33">
        <f>IFERROR(VLOOKUP(vcost[[#This Row],[setting]],$A$6:$E$141,3,FALSE)+$J$8+VLOOKUP(vcost[[#This Row],[setting]],$O$6:$AA$141,11,FALSE)+VLOOKUP(vcost[[#This Row],[gbd_super]],$AH$6:$AK$11,2,FALSE),0)</f>
        <v>7.5320441342897606</v>
      </c>
      <c r="O273" s="100" t="s">
        <v>647</v>
      </c>
      <c r="P273" s="134" t="s">
        <v>667</v>
      </c>
      <c r="Q273" s="33">
        <f>IFERROR(VLOOKUP(vcost_lb[[#This Row],[setting]],$A$6:$E$141,4,FALSE)+$K$6+VLOOKUP(vcost_lb[[#This Row],[setting]],$O$6:$AA$141,3,FALSE),0)</f>
        <v>1.1061970580273588</v>
      </c>
      <c r="R273" s="33">
        <f>IFERROR(VLOOKUP(vcost_lb[[#This Row],[setting]],$A$6:$E$141,4,FALSE)+$K$6+VLOOKUP(vcost_lb[[#This Row],[setting]],$O$6:$AA$141,3,FALSE)+VLOOKUP(vcost_lb[[#This Row],[gbd_super]],$AH$6:$AK$11,3,FALSE),0)</f>
        <v>5.6934620580273592</v>
      </c>
      <c r="S273" s="33">
        <f>IFERROR(VLOOKUP(vcost_lb[[#This Row],[setting]],$A$6:$E$141,4,FALSE)+VLOOKUP(vcost_lb[[#This Row],[setting]],$O$6:$AA$141,6,FALSE),0)</f>
        <v>0.74311474405894773</v>
      </c>
      <c r="T273" s="33">
        <f>IFERROR(VLOOKUP(vcost_lb[[#This Row],[setting]],$A$6:$E$141,4,FALSE)+VLOOKUP(vcost_lb[[#This Row],[setting]],$O$6:$AA$141,6,FALSE)+VLOOKUP(vcost_lb[[#This Row],[gbd_super]],$AH$6:$AK$11,3,FALSE),0)</f>
        <v>5.3303797440589484</v>
      </c>
      <c r="U273" s="33">
        <f>IFERROR(VLOOKUP(vcost_lb[[#This Row],[setting]],$A$6:$E$141,4,FALSE)+VLOOKUP(vcost_lb[[#This Row],[setting]],$O$6:$AA$141,9,FALSE)+VLOOKUP(vcost_lb[[#This Row],[gbd_super]],$AH$6:$AK$11,3,FALSE),0)</f>
        <v>5.3296826029692124</v>
      </c>
      <c r="V273" s="33">
        <f>IFERROR(VLOOKUP(vcost_lb[[#This Row],[setting]],$A$6:$E$141,4,FALSE)+$K$8+VLOOKUP(vcost_lb[[#This Row],[setting]],$O$6:$AA$141,12,FALSE),0)</f>
        <v>1.3164452956780328</v>
      </c>
      <c r="W273" s="33">
        <f>IFERROR(VLOOKUP(vcost_lb[[#This Row],[setting]],$A$6:$E$141,4,FALSE)+$K$8+VLOOKUP(vcost_lb[[#This Row],[setting]],$O$6:$AA$141,12,FALSE)+VLOOKUP(vcost_lb[[#This Row],[gbd_super]],$AH$6:$AK$11,3,FALSE),0)</f>
        <v>5.9037102956780334</v>
      </c>
      <c r="AH273" s="100" t="s">
        <v>647</v>
      </c>
      <c r="AI273" s="134" t="s">
        <v>667</v>
      </c>
      <c r="AJ273" s="33">
        <f>IFERROR(VLOOKUP(vcost_ub[[#This Row],[setting]],$A$6:$E$141,5,FALSE)+$L$6+VLOOKUP(vcost_ub[[#This Row],[setting]],$O$6:$AA$141,4,FALSE),0)</f>
        <v>5.0469362231545087</v>
      </c>
      <c r="AK273" s="33">
        <f>IFERROR(VLOOKUP(vcost_ub[[#This Row],[setting]],$A$6:$E$141,5,FALSE)+$L$6+VLOOKUP(vcost_ub[[#This Row],[setting]],$O$6:$AA$141,4,FALSE)+VLOOKUP(vcost_ub[[#This Row],[gbd_super]],$AH$6:$AK$11,4,FALSE),0)</f>
        <v>10.117071223154509</v>
      </c>
      <c r="AL273" s="33">
        <f>IFERROR(VLOOKUP(vcost_ub[[#This Row],[setting]],$A$6:$E$141,5,FALSE)+VLOOKUP(vcost_ub[[#This Row],[setting]],$O$6:$AA$141,7,FALSE),0)</f>
        <v>4.5586589762357903</v>
      </c>
      <c r="AM273" s="33">
        <f>IFERROR(VLOOKUP(vcost_ub[[#This Row],[setting]],$A$6:$E$141,5,FALSE)+VLOOKUP(vcost_ub[[#This Row],[setting]],$O$6:$AA$141,7,FALSE)+VLOOKUP(vcost_ub[[#This Row],[gbd_super]],$AH$6:$AK$11,4,FALSE),0)</f>
        <v>9.6287939762357908</v>
      </c>
      <c r="AN273" s="33">
        <f>IFERROR(VLOOKUP(vcost_ub[[#This Row],[setting]],$A$6:$E$141,5,FALSE)+VLOOKUP(vcost_ub[[#This Row],[setting]],$O$6:$AA$141,10,FALSE)+VLOOKUP(vcost_ub[[#This Row],[gbd_super]],$AH$6:$AK$11,4,FALSE),0)</f>
        <v>9.6260054118768483</v>
      </c>
      <c r="AO273" s="33">
        <f>IFERROR(VLOOKUP(vcost_ub[[#This Row],[setting]],$A$6:$E$141,5,FALSE)+$L$8+VLOOKUP(vcost_ub[[#This Row],[setting]],$O$6:$AA$141,13,FALSE),0)</f>
        <v>5.3138466074423416</v>
      </c>
      <c r="AP273" s="33">
        <f>IFERROR(VLOOKUP(vcost_ub[[#This Row],[setting]],$A$6:$E$141,5,FALSE)+$L$8+VLOOKUP(vcost_ub[[#This Row],[setting]],$O$6:$AA$141,13,FALSE)+VLOOKUP(vcost_ub[[#This Row],[gbd_super]],$AH$6:$AK$11,4,FALSE),0)</f>
        <v>10.383981607442342</v>
      </c>
    </row>
    <row r="274" spans="1:42" x14ac:dyDescent="0.25">
      <c r="A274" s="103" t="s">
        <v>273</v>
      </c>
      <c r="B274" s="135" t="s">
        <v>665</v>
      </c>
      <c r="C274">
        <f>IFERROR(VLOOKUP(vcost[[#This Row],[setting]],$A$6:$E$141,3,FALSE)+$J$6+VLOOKUP(vcost[[#This Row],[setting]],$O$6:$AA$141,2,FALSE),0)</f>
        <v>9.2721280178652226</v>
      </c>
      <c r="D274">
        <f>IFERROR(VLOOKUP(vcost[[#This Row],[setting]],$A$6:$E$141,3,FALSE)+$J$6+VLOOKUP(vcost[[#This Row],[setting]],$O$6:$AA$141,2,FALSE)+VLOOKUP(vcost[[#This Row],[gbd_super]],$AH$6:$AK$11,2,FALSE),0)</f>
        <v>9.2921280178652221</v>
      </c>
      <c r="E274">
        <f>IFERROR(VLOOKUP(vcost[[#This Row],[setting]],$A$6:$E$141,3,FALSE)+VLOOKUP(vcost[[#This Row],[setting]],$O$6:$AA$141,5,FALSE),0)</f>
        <v>8.8343475094411978</v>
      </c>
      <c r="F274" s="33">
        <f>IFERROR(VLOOKUP(vcost[[#This Row],[setting]],$A$6:$E$141,3,FALSE)+VLOOKUP(vcost[[#This Row],[setting]],$O$6:$AA$141,5,FALSE)+VLOOKUP(vcost[[#This Row],[gbd_super]],$AH$6:$AK$11,2,FALSE),0)</f>
        <v>8.8543475094411974</v>
      </c>
      <c r="G274" s="33">
        <f>IFERROR(VLOOKUP(vcost[[#This Row],[setting]],$A$6:$E$141,3,FALSE)+VLOOKUP(vcost[[#This Row],[setting]],$O$6:$AA$141,8,FALSE)+VLOOKUP(vcost[[#This Row],[gbd_super]],$AH$6:$AK$11,2,FALSE),0)</f>
        <v>8.8464967833503927</v>
      </c>
      <c r="H274">
        <f>IFERROR(VLOOKUP(vcost[[#This Row],[setting]],$A$6:$E$141,3,FALSE)+$J$8+VLOOKUP(vcost[[#This Row],[setting]],$O$6:$AA$141,11,FALSE),0)</f>
        <v>9.5181586606715811</v>
      </c>
      <c r="I274" s="33">
        <f>IFERROR(VLOOKUP(vcost[[#This Row],[setting]],$A$6:$E$141,3,FALSE)+$J$8+VLOOKUP(vcost[[#This Row],[setting]],$O$6:$AA$141,11,FALSE)+VLOOKUP(vcost[[#This Row],[gbd_super]],$AH$6:$AK$11,2,FALSE),0)</f>
        <v>9.5381586606715807</v>
      </c>
      <c r="O274" s="103" t="s">
        <v>273</v>
      </c>
      <c r="P274" s="135" t="s">
        <v>665</v>
      </c>
      <c r="Q274" s="33">
        <f>IFERROR(VLOOKUP(vcost_lb[[#This Row],[setting]],$A$6:$E$141,4,FALSE)+$K$6+VLOOKUP(vcost_lb[[#This Row],[setting]],$O$6:$AA$141,3,FALSE),0)</f>
        <v>4.1411474971074353</v>
      </c>
      <c r="R274" s="33">
        <f>IFERROR(VLOOKUP(vcost_lb[[#This Row],[setting]],$A$6:$E$141,4,FALSE)+$K$6+VLOOKUP(vcost_lb[[#This Row],[setting]],$O$6:$AA$141,3,FALSE)+VLOOKUP(vcost_lb[[#This Row],[gbd_super]],$AH$6:$AK$11,3,FALSE),0)</f>
        <v>4.1618574971074356</v>
      </c>
      <c r="S274" s="33">
        <f>IFERROR(VLOOKUP(vcost_lb[[#This Row],[setting]],$A$6:$E$141,4,FALSE)+VLOOKUP(vcost_lb[[#This Row],[setting]],$O$6:$AA$141,6,FALSE),0)</f>
        <v>3.7710444141060515</v>
      </c>
      <c r="T274" s="33">
        <f>IFERROR(VLOOKUP(vcost_lb[[#This Row],[setting]],$A$6:$E$141,4,FALSE)+VLOOKUP(vcost_lb[[#This Row],[setting]],$O$6:$AA$141,6,FALSE)+VLOOKUP(vcost_lb[[#This Row],[gbd_super]],$AH$6:$AK$11,3,FALSE),0)</f>
        <v>3.7917544141060513</v>
      </c>
      <c r="U274" s="33">
        <f>IFERROR(VLOOKUP(vcost_lb[[#This Row],[setting]],$A$6:$E$141,4,FALSE)+VLOOKUP(vcost_lb[[#This Row],[setting]],$O$6:$AA$141,9,FALSE)+VLOOKUP(vcost_lb[[#This Row],[gbd_super]],$AH$6:$AK$11,3,FALSE),0)</f>
        <v>3.7865894627305212</v>
      </c>
      <c r="V274" s="33">
        <f>IFERROR(VLOOKUP(vcost_lb[[#This Row],[setting]],$A$6:$E$141,4,FALSE)+$K$8+VLOOKUP(vcost_lb[[#This Row],[setting]],$O$6:$AA$141,12,FALSE),0)</f>
        <v>4.3544046357722408</v>
      </c>
      <c r="W274" s="33">
        <f>IFERROR(VLOOKUP(vcost_lb[[#This Row],[setting]],$A$6:$E$141,4,FALSE)+$K$8+VLOOKUP(vcost_lb[[#This Row],[setting]],$O$6:$AA$141,12,FALSE)+VLOOKUP(vcost_lb[[#This Row],[gbd_super]],$AH$6:$AK$11,3,FALSE),0)</f>
        <v>4.375114635772241</v>
      </c>
      <c r="AH274" s="103" t="s">
        <v>273</v>
      </c>
      <c r="AI274" s="135" t="s">
        <v>665</v>
      </c>
      <c r="AJ274" s="33">
        <f>IFERROR(VLOOKUP(vcost_ub[[#This Row],[setting]],$A$6:$E$141,5,FALSE)+$L$6+VLOOKUP(vcost_ub[[#This Row],[setting]],$O$6:$AA$141,4,FALSE),0)</f>
        <v>18.756951627696484</v>
      </c>
      <c r="AK274" s="33">
        <f>IFERROR(VLOOKUP(vcost_ub[[#This Row],[setting]],$A$6:$E$141,5,FALSE)+$L$6+VLOOKUP(vcost_ub[[#This Row],[setting]],$O$6:$AA$141,4,FALSE)+VLOOKUP(vcost_ub[[#This Row],[gbd_super]],$AH$6:$AK$11,4,FALSE),0)</f>
        <v>18.779841627696484</v>
      </c>
      <c r="AL274" s="33">
        <f>IFERROR(VLOOKUP(vcost_ub[[#This Row],[setting]],$A$6:$E$141,5,FALSE)+VLOOKUP(vcost_ub[[#This Row],[setting]],$O$6:$AA$141,7,FALSE),0)</f>
        <v>18.235977656424208</v>
      </c>
      <c r="AM274" s="33">
        <f>IFERROR(VLOOKUP(vcost_ub[[#This Row],[setting]],$A$6:$E$141,5,FALSE)+VLOOKUP(vcost_ub[[#This Row],[setting]],$O$6:$AA$141,7,FALSE)+VLOOKUP(vcost_ub[[#This Row],[gbd_super]],$AH$6:$AK$11,4,FALSE),0)</f>
        <v>18.258867656424208</v>
      </c>
      <c r="AN274" s="33">
        <f>IFERROR(VLOOKUP(vcost_ub[[#This Row],[setting]],$A$6:$E$141,5,FALSE)+VLOOKUP(vcost_ub[[#This Row],[setting]],$O$6:$AA$141,10,FALSE)+VLOOKUP(vcost_ub[[#This Row],[gbd_super]],$AH$6:$AK$11,4,FALSE),0)</f>
        <v>18.238207850922088</v>
      </c>
      <c r="AO274" s="33">
        <f>IFERROR(VLOOKUP(vcost_ub[[#This Row],[setting]],$A$6:$E$141,5,FALSE)+$L$8+VLOOKUP(vcost_ub[[#This Row],[setting]],$O$6:$AA$141,13,FALSE),0)</f>
        <v>19.031283967819174</v>
      </c>
      <c r="AP274" s="33">
        <f>IFERROR(VLOOKUP(vcost_ub[[#This Row],[setting]],$A$6:$E$141,5,FALSE)+$L$8+VLOOKUP(vcost_ub[[#This Row],[setting]],$O$6:$AA$141,13,FALSE)+VLOOKUP(vcost_ub[[#This Row],[gbd_super]],$AH$6:$AK$11,4,FALSE),0)</f>
        <v>19.054173967819175</v>
      </c>
    </row>
    <row r="275" spans="1:42" x14ac:dyDescent="0.25">
      <c r="A275" s="100" t="s">
        <v>648</v>
      </c>
      <c r="B275" s="134" t="s">
        <v>579</v>
      </c>
      <c r="C275">
        <f>IFERROR(VLOOKUP(vcost[[#This Row],[setting]],$A$6:$E$141,3,FALSE)+$J$6+VLOOKUP(vcost[[#This Row],[setting]],$O$6:$AA$141,2,FALSE),0)</f>
        <v>1.2261836989596153</v>
      </c>
      <c r="D275">
        <f>IFERROR(VLOOKUP(vcost[[#This Row],[setting]],$A$6:$E$141,3,FALSE)+$J$6+VLOOKUP(vcost[[#This Row],[setting]],$O$6:$AA$141,2,FALSE)+VLOOKUP(vcost[[#This Row],[gbd_super]],$AH$6:$AK$11,2,FALSE),0)</f>
        <v>1.7061836989596153</v>
      </c>
      <c r="E275">
        <f>IFERROR(VLOOKUP(vcost[[#This Row],[setting]],$A$6:$E$141,3,FALSE)+VLOOKUP(vcost[[#This Row],[setting]],$O$6:$AA$141,5,FALSE),0)</f>
        <v>0.7892761005719009</v>
      </c>
      <c r="F275" s="33">
        <f>IFERROR(VLOOKUP(vcost[[#This Row],[setting]],$A$6:$E$141,3,FALSE)+VLOOKUP(vcost[[#This Row],[setting]],$O$6:$AA$141,5,FALSE)+VLOOKUP(vcost[[#This Row],[gbd_super]],$AH$6:$AK$11,2,FALSE),0)</f>
        <v>1.2692761005719009</v>
      </c>
      <c r="G275" s="33">
        <f>IFERROR(VLOOKUP(vcost[[#This Row],[setting]],$A$6:$E$141,3,FALSE)+VLOOKUP(vcost[[#This Row],[setting]],$O$6:$AA$141,8,FALSE)+VLOOKUP(vcost[[#This Row],[gbd_super]],$AH$6:$AK$11,2,FALSE),0)</f>
        <v>1.261320582178993</v>
      </c>
      <c r="H275">
        <f>IFERROR(VLOOKUP(vcost[[#This Row],[setting]],$A$6:$E$141,3,FALSE)+$J$8+VLOOKUP(vcost[[#This Row],[setting]],$O$6:$AA$141,11,FALSE),0)</f>
        <v>1.471899688148234</v>
      </c>
      <c r="I275" s="33">
        <f>IFERROR(VLOOKUP(vcost[[#This Row],[setting]],$A$6:$E$141,3,FALSE)+$J$8+VLOOKUP(vcost[[#This Row],[setting]],$O$6:$AA$141,11,FALSE)+VLOOKUP(vcost[[#This Row],[gbd_super]],$AH$6:$AK$11,2,FALSE),0)</f>
        <v>1.951899688148234</v>
      </c>
      <c r="O275" s="100" t="s">
        <v>648</v>
      </c>
      <c r="P275" s="134" t="s">
        <v>579</v>
      </c>
      <c r="Q275" s="33">
        <f>IFERROR(VLOOKUP(vcost_lb[[#This Row],[setting]],$A$6:$E$141,4,FALSE)+$K$6+VLOOKUP(vcost_lb[[#This Row],[setting]],$O$6:$AA$141,3,FALSE),0)</f>
        <v>0.51468473718782648</v>
      </c>
      <c r="R275" s="33">
        <f>IFERROR(VLOOKUP(vcost_lb[[#This Row],[setting]],$A$6:$E$141,4,FALSE)+$K$6+VLOOKUP(vcost_lb[[#This Row],[setting]],$O$6:$AA$141,3,FALSE)+VLOOKUP(vcost_lb[[#This Row],[gbd_super]],$AH$6:$AK$11,3,FALSE),0)</f>
        <v>0.9703047371878265</v>
      </c>
      <c r="S275" s="33">
        <f>IFERROR(VLOOKUP(vcost_lb[[#This Row],[setting]],$A$6:$E$141,4,FALSE)+VLOOKUP(vcost_lb[[#This Row],[setting]],$O$6:$AA$141,6,FALSE),0)</f>
        <v>0.14493690827098749</v>
      </c>
      <c r="T275" s="33">
        <f>IFERROR(VLOOKUP(vcost_lb[[#This Row],[setting]],$A$6:$E$141,4,FALSE)+VLOOKUP(vcost_lb[[#This Row],[setting]],$O$6:$AA$141,6,FALSE)+VLOOKUP(vcost_lb[[#This Row],[gbd_super]],$AH$6:$AK$11,3,FALSE),0)</f>
        <v>0.60055690827098751</v>
      </c>
      <c r="U275" s="33">
        <f>IFERROR(VLOOKUP(vcost_lb[[#This Row],[setting]],$A$6:$E$141,4,FALSE)+VLOOKUP(vcost_lb[[#This Row],[setting]],$O$6:$AA$141,9,FALSE)+VLOOKUP(vcost_lb[[#This Row],[gbd_super]],$AH$6:$AK$11,3,FALSE),0)</f>
        <v>0.59532301459144288</v>
      </c>
      <c r="V275" s="33">
        <f>IFERROR(VLOOKUP(vcost_lb[[#This Row],[setting]],$A$6:$E$141,4,FALSE)+$K$8+VLOOKUP(vcost_lb[[#This Row],[setting]],$O$6:$AA$141,12,FALSE),0)</f>
        <v>0.72778962410211245</v>
      </c>
      <c r="W275" s="33">
        <f>IFERROR(VLOOKUP(vcost_lb[[#This Row],[setting]],$A$6:$E$141,4,FALSE)+$K$8+VLOOKUP(vcost_lb[[#This Row],[setting]],$O$6:$AA$141,12,FALSE)+VLOOKUP(vcost_lb[[#This Row],[gbd_super]],$AH$6:$AK$11,3,FALSE),0)</f>
        <v>1.1834096241021124</v>
      </c>
      <c r="AH275" s="100" t="s">
        <v>648</v>
      </c>
      <c r="AI275" s="134" t="s">
        <v>579</v>
      </c>
      <c r="AJ275" s="33">
        <f>IFERROR(VLOOKUP(vcost_ub[[#This Row],[setting]],$A$6:$E$141,5,FALSE)+$L$6+VLOOKUP(vcost_ub[[#This Row],[setting]],$O$6:$AA$141,4,FALSE),0)</f>
        <v>3.1693671353339186</v>
      </c>
      <c r="AK275" s="33">
        <f>IFERROR(VLOOKUP(vcost_ub[[#This Row],[setting]],$A$6:$E$141,5,FALSE)+$L$6+VLOOKUP(vcost_ub[[#This Row],[setting]],$O$6:$AA$141,4,FALSE)+VLOOKUP(vcost_ub[[#This Row],[gbd_super]],$AH$6:$AK$11,4,FALSE),0)</f>
        <v>3.6729471353339185</v>
      </c>
      <c r="AL275" s="33">
        <f>IFERROR(VLOOKUP(vcost_ub[[#This Row],[setting]],$A$6:$E$141,5,FALSE)+VLOOKUP(vcost_ub[[#This Row],[setting]],$O$6:$AA$141,7,FALSE),0)</f>
        <v>2.6500476330839495</v>
      </c>
      <c r="AM275" s="33">
        <f>IFERROR(VLOOKUP(vcost_ub[[#This Row],[setting]],$A$6:$E$141,5,FALSE)+VLOOKUP(vcost_ub[[#This Row],[setting]],$O$6:$AA$141,7,FALSE)+VLOOKUP(vcost_ub[[#This Row],[gbd_super]],$AH$6:$AK$11,4,FALSE),0)</f>
        <v>3.1536276330839494</v>
      </c>
      <c r="AN275" s="33">
        <f>IFERROR(VLOOKUP(vcost_ub[[#This Row],[setting]],$A$6:$E$141,5,FALSE)+VLOOKUP(vcost_ub[[#This Row],[setting]],$O$6:$AA$141,10,FALSE)+VLOOKUP(vcost_ub[[#This Row],[gbd_super]],$AH$6:$AK$11,4,FALSE),0)</f>
        <v>3.1326920583657709</v>
      </c>
      <c r="AO275" s="33">
        <f>IFERROR(VLOOKUP(vcost_ub[[#This Row],[setting]],$A$6:$E$141,5,FALSE)+$L$8+VLOOKUP(vcost_ub[[#This Row],[setting]],$O$6:$AA$141,13,FALSE),0)</f>
        <v>3.4433239211386595</v>
      </c>
      <c r="AP275" s="33">
        <f>IFERROR(VLOOKUP(vcost_ub[[#This Row],[setting]],$A$6:$E$141,5,FALSE)+$L$8+VLOOKUP(vcost_ub[[#This Row],[setting]],$O$6:$AA$141,13,FALSE)+VLOOKUP(vcost_ub[[#This Row],[gbd_super]],$AH$6:$AK$11,4,FALSE),0)</f>
        <v>3.9469039211386594</v>
      </c>
    </row>
    <row r="276" spans="1:42" x14ac:dyDescent="0.25">
      <c r="A276" s="103" t="s">
        <v>187</v>
      </c>
      <c r="B276" s="135" t="s">
        <v>663</v>
      </c>
      <c r="C276">
        <f>IFERROR(VLOOKUP(vcost[[#This Row],[setting]],$A$6:$E$141,3,FALSE)+$J$6+VLOOKUP(vcost[[#This Row],[setting]],$O$6:$AA$141,2,FALSE),0)</f>
        <v>3.409491582242365</v>
      </c>
      <c r="D276">
        <f>IFERROR(VLOOKUP(vcost[[#This Row],[setting]],$A$6:$E$141,3,FALSE)+$J$6+VLOOKUP(vcost[[#This Row],[setting]],$O$6:$AA$141,2,FALSE)+VLOOKUP(vcost[[#This Row],[gbd_super]],$AH$6:$AK$11,2,FALSE),0)</f>
        <v>7.4794915822423658</v>
      </c>
      <c r="E276">
        <f>IFERROR(VLOOKUP(vcost[[#This Row],[setting]],$A$6:$E$141,3,FALSE)+VLOOKUP(vcost[[#This Row],[setting]],$O$6:$AA$141,5,FALSE),0)</f>
        <v>2.983674860630475</v>
      </c>
      <c r="F276" s="33">
        <f>IFERROR(VLOOKUP(vcost[[#This Row],[setting]],$A$6:$E$141,3,FALSE)+VLOOKUP(vcost[[#This Row],[setting]],$O$6:$AA$141,5,FALSE)+VLOOKUP(vcost[[#This Row],[gbd_super]],$AH$6:$AK$11,2,FALSE),0)</f>
        <v>7.0536748606304753</v>
      </c>
      <c r="G276" s="33">
        <f>IFERROR(VLOOKUP(vcost[[#This Row],[setting]],$A$6:$E$141,3,FALSE)+VLOOKUP(vcost[[#This Row],[setting]],$O$6:$AA$141,8,FALSE)+VLOOKUP(vcost[[#This Row],[gbd_super]],$AH$6:$AK$11,2,FALSE),0)</f>
        <v>7.0504787881191007</v>
      </c>
      <c r="H276">
        <f>IFERROR(VLOOKUP(vcost[[#This Row],[setting]],$A$6:$E$141,3,FALSE)+$J$8+VLOOKUP(vcost[[#This Row],[setting]],$O$6:$AA$141,11,FALSE),0)</f>
        <v>3.6512096972443491</v>
      </c>
      <c r="I276" s="33">
        <f>IFERROR(VLOOKUP(vcost[[#This Row],[setting]],$A$6:$E$141,3,FALSE)+$J$8+VLOOKUP(vcost[[#This Row],[setting]],$O$6:$AA$141,11,FALSE)+VLOOKUP(vcost[[#This Row],[gbd_super]],$AH$6:$AK$11,2,FALSE),0)</f>
        <v>7.7212096972443494</v>
      </c>
      <c r="O276" s="103" t="s">
        <v>187</v>
      </c>
      <c r="P276" s="135" t="s">
        <v>663</v>
      </c>
      <c r="Q276" s="33">
        <f>IFERROR(VLOOKUP(vcost_lb[[#This Row],[setting]],$A$6:$E$141,4,FALSE)+$K$6+VLOOKUP(vcost_lb[[#This Row],[setting]],$O$6:$AA$141,3,FALSE),0)</f>
        <v>1.5440228240954419</v>
      </c>
      <c r="R276" s="33">
        <f>IFERROR(VLOOKUP(vcost_lb[[#This Row],[setting]],$A$6:$E$141,4,FALSE)+$K$6+VLOOKUP(vcost_lb[[#This Row],[setting]],$O$6:$AA$141,3,FALSE)+VLOOKUP(vcost_lb[[#This Row],[gbd_super]],$AH$6:$AK$11,3,FALSE),0)</f>
        <v>5.406437824095442</v>
      </c>
      <c r="S276" s="33">
        <f>IFERROR(VLOOKUP(vcost_lb[[#This Row],[setting]],$A$6:$E$141,4,FALSE)+VLOOKUP(vcost_lb[[#This Row],[setting]],$O$6:$AA$141,6,FALSE),0)</f>
        <v>1.1787887240989965</v>
      </c>
      <c r="T276" s="33">
        <f>IFERROR(VLOOKUP(vcost_lb[[#This Row],[setting]],$A$6:$E$141,4,FALSE)+VLOOKUP(vcost_lb[[#This Row],[setting]],$O$6:$AA$141,6,FALSE)+VLOOKUP(vcost_lb[[#This Row],[gbd_super]],$AH$6:$AK$11,3,FALSE),0)</f>
        <v>5.0412037240989971</v>
      </c>
      <c r="U276" s="33">
        <f>IFERROR(VLOOKUP(vcost_lb[[#This Row],[setting]],$A$6:$E$141,4,FALSE)+VLOOKUP(vcost_lb[[#This Row],[setting]],$O$6:$AA$141,9,FALSE)+VLOOKUP(vcost_lb[[#This Row],[gbd_super]],$AH$6:$AK$11,3,FALSE),0)</f>
        <v>5.0391010448151974</v>
      </c>
      <c r="V276" s="33">
        <f>IFERROR(VLOOKUP(vcost_lb[[#This Row],[setting]],$A$6:$E$141,4,FALSE)+$K$8+VLOOKUP(vcost_lb[[#This Row],[setting]],$O$6:$AA$141,12,FALSE),0)</f>
        <v>1.7551932557581305</v>
      </c>
      <c r="W276" s="33">
        <f>IFERROR(VLOOKUP(vcost_lb[[#This Row],[setting]],$A$6:$E$141,4,FALSE)+$K$8+VLOOKUP(vcost_lb[[#This Row],[setting]],$O$6:$AA$141,12,FALSE)+VLOOKUP(vcost_lb[[#This Row],[gbd_super]],$AH$6:$AK$11,3,FALSE),0)</f>
        <v>5.6176082557581308</v>
      </c>
      <c r="AH276" s="103" t="s">
        <v>187</v>
      </c>
      <c r="AI276" s="135" t="s">
        <v>663</v>
      </c>
      <c r="AJ276" s="33">
        <f>IFERROR(VLOOKUP(vcost_ub[[#This Row],[setting]],$A$6:$E$141,5,FALSE)+$L$6+VLOOKUP(vcost_ub[[#This Row],[setting]],$O$6:$AA$141,4,FALSE),0)</f>
        <v>6.8614533182452657</v>
      </c>
      <c r="AK276" s="33">
        <f>IFERROR(VLOOKUP(vcost_ub[[#This Row],[setting]],$A$6:$E$141,5,FALSE)+$L$6+VLOOKUP(vcost_ub[[#This Row],[setting]],$O$6:$AA$141,4,FALSE)+VLOOKUP(vcost_ub[[#This Row],[gbd_super]],$AH$6:$AK$11,4,FALSE),0)</f>
        <v>11.130438318245266</v>
      </c>
      <c r="AL276" s="33">
        <f>IFERROR(VLOOKUP(vcost_ub[[#This Row],[setting]],$A$6:$E$141,5,FALSE)+VLOOKUP(vcost_ub[[#This Row],[setting]],$O$6:$AA$141,7,FALSE),0)</f>
        <v>6.3631548963959865</v>
      </c>
      <c r="AM276" s="33">
        <f>IFERROR(VLOOKUP(vcost_ub[[#This Row],[setting]],$A$6:$E$141,5,FALSE)+VLOOKUP(vcost_ub[[#This Row],[setting]],$O$6:$AA$141,7,FALSE)+VLOOKUP(vcost_ub[[#This Row],[gbd_super]],$AH$6:$AK$11,4,FALSE),0)</f>
        <v>10.632139896395987</v>
      </c>
      <c r="AN276" s="33">
        <f>IFERROR(VLOOKUP(vcost_ub[[#This Row],[setting]],$A$6:$E$141,5,FALSE)+VLOOKUP(vcost_ub[[#This Row],[setting]],$O$6:$AA$141,10,FALSE)+VLOOKUP(vcost_ub[[#This Row],[gbd_super]],$AH$6:$AK$11,4,FALSE),0)</f>
        <v>10.623729179260792</v>
      </c>
      <c r="AO276" s="33">
        <f>IFERROR(VLOOKUP(vcost_ub[[#This Row],[setting]],$A$6:$E$141,5,FALSE)+$L$8+VLOOKUP(vcost_ub[[#This Row],[setting]],$O$6:$AA$141,13,FALSE),0)</f>
        <v>7.1306384477627329</v>
      </c>
      <c r="AP276" s="33">
        <f>IFERROR(VLOOKUP(vcost_ub[[#This Row],[setting]],$A$6:$E$141,5,FALSE)+$L$8+VLOOKUP(vcost_ub[[#This Row],[setting]],$O$6:$AA$141,13,FALSE)+VLOOKUP(vcost_ub[[#This Row],[gbd_super]],$AH$6:$AK$11,4,FALSE),0)</f>
        <v>11.399623447762734</v>
      </c>
    </row>
    <row r="277" spans="1:42" x14ac:dyDescent="0.25">
      <c r="A277" s="81" t="s">
        <v>652</v>
      </c>
      <c r="B277" s="134" t="s">
        <v>667</v>
      </c>
      <c r="C277">
        <f>IFERROR(VLOOKUP(vcost[[#This Row],[setting]],$A$6:$E$141,3,FALSE)+$J$6+VLOOKUP(vcost[[#This Row],[setting]],$O$6:$AA$141,2,FALSE),0)</f>
        <v>2.7328700115651938</v>
      </c>
      <c r="D277">
        <f>IFERROR(VLOOKUP(vcost[[#This Row],[setting]],$A$6:$E$141,3,FALSE)+$J$6+VLOOKUP(vcost[[#This Row],[setting]],$O$6:$AA$141,2,FALSE)+VLOOKUP(vcost[[#This Row],[gbd_super]],$AH$6:$AK$11,2,FALSE),0)</f>
        <v>7.5628700115651935</v>
      </c>
      <c r="E277">
        <f>IFERROR(VLOOKUP(vcost[[#This Row],[setting]],$A$6:$E$141,3,FALSE)+VLOOKUP(vcost[[#This Row],[setting]],$O$6:$AA$141,5,FALSE),0)</f>
        <v>2.3053659756214313</v>
      </c>
      <c r="F277" s="33">
        <f>IFERROR(VLOOKUP(vcost[[#This Row],[setting]],$A$6:$E$141,3,FALSE)+VLOOKUP(vcost[[#This Row],[setting]],$O$6:$AA$141,5,FALSE)+VLOOKUP(vcost[[#This Row],[gbd_super]],$AH$6:$AK$11,2,FALSE),0)</f>
        <v>7.1353659756214309</v>
      </c>
      <c r="G277" s="33">
        <f>IFERROR(VLOOKUP(vcost[[#This Row],[setting]],$A$6:$E$141,3,FALSE)+VLOOKUP(vcost[[#This Row],[setting]],$O$6:$AA$141,8,FALSE)+VLOOKUP(vcost[[#This Row],[gbd_super]],$AH$6:$AK$11,2,FALSE),0)</f>
        <v>7.1317694545232353</v>
      </c>
      <c r="H277">
        <f>IFERROR(VLOOKUP(vcost[[#This Row],[setting]],$A$6:$E$141,3,FALSE)+$J$8+VLOOKUP(vcost[[#This Row],[setting]],$O$6:$AA$141,11,FALSE),0)</f>
        <v>2.9751963445240159</v>
      </c>
      <c r="I277" s="33">
        <f>IFERROR(VLOOKUP(vcost[[#This Row],[setting]],$A$6:$E$141,3,FALSE)+$J$8+VLOOKUP(vcost[[#This Row],[setting]],$O$6:$AA$141,11,FALSE)+VLOOKUP(vcost[[#This Row],[gbd_super]],$AH$6:$AK$11,2,FALSE),0)</f>
        <v>7.805196344524016</v>
      </c>
      <c r="O277" s="81" t="s">
        <v>652</v>
      </c>
      <c r="P277" s="134" t="s">
        <v>667</v>
      </c>
      <c r="Q277" s="33">
        <f>IFERROR(VLOOKUP(vcost_lb[[#This Row],[setting]],$A$6:$E$141,4,FALSE)+$K$6+VLOOKUP(vcost_lb[[#This Row],[setting]],$O$6:$AA$141,3,FALSE),0)</f>
        <v>1.1954905184932225</v>
      </c>
      <c r="R277" s="33">
        <f>IFERROR(VLOOKUP(vcost_lb[[#This Row],[setting]],$A$6:$E$141,4,FALSE)+$K$6+VLOOKUP(vcost_lb[[#This Row],[setting]],$O$6:$AA$141,3,FALSE)+VLOOKUP(vcost_lb[[#This Row],[gbd_super]],$AH$6:$AK$11,3,FALSE),0)</f>
        <v>5.7827555184932233</v>
      </c>
      <c r="S277" s="33">
        <f>IFERROR(VLOOKUP(vcost_lb[[#This Row],[setting]],$A$6:$E$141,4,FALSE)+VLOOKUP(vcost_lb[[#This Row],[setting]],$O$6:$AA$141,6,FALSE),0)</f>
        <v>0.8295697208035735</v>
      </c>
      <c r="T277" s="33">
        <f>IFERROR(VLOOKUP(vcost_lb[[#This Row],[setting]],$A$6:$E$141,4,FALSE)+VLOOKUP(vcost_lb[[#This Row],[setting]],$O$6:$AA$141,6,FALSE)+VLOOKUP(vcost_lb[[#This Row],[gbd_super]],$AH$6:$AK$11,3,FALSE),0)</f>
        <v>5.4168347208035739</v>
      </c>
      <c r="U277" s="33">
        <f>IFERROR(VLOOKUP(vcost_lb[[#This Row],[setting]],$A$6:$E$141,4,FALSE)+VLOOKUP(vcost_lb[[#This Row],[setting]],$O$6:$AA$141,9,FALSE)+VLOOKUP(vcost_lb[[#This Row],[gbd_super]],$AH$6:$AK$11,3,FALSE),0)</f>
        <v>5.4144685885021282</v>
      </c>
      <c r="V277" s="33">
        <f>IFERROR(VLOOKUP(vcost_lb[[#This Row],[setting]],$A$6:$E$141,4,FALSE)+$K$8+VLOOKUP(vcost_lb[[#This Row],[setting]],$O$6:$AA$141,12,FALSE),0)</f>
        <v>1.4069552491672845</v>
      </c>
      <c r="W277" s="33">
        <f>IFERROR(VLOOKUP(vcost_lb[[#This Row],[setting]],$A$6:$E$141,4,FALSE)+$K$8+VLOOKUP(vcost_lb[[#This Row],[setting]],$O$6:$AA$141,12,FALSE)+VLOOKUP(vcost_lb[[#This Row],[gbd_super]],$AH$6:$AK$11,3,FALSE),0)</f>
        <v>5.9942202491672845</v>
      </c>
      <c r="AH277" s="81" t="s">
        <v>652</v>
      </c>
      <c r="AI277" s="134" t="s">
        <v>667</v>
      </c>
      <c r="AJ277" s="33">
        <f>IFERROR(VLOOKUP(vcost_ub[[#This Row],[setting]],$A$6:$E$141,5,FALSE)+$L$6+VLOOKUP(vcost_ub[[#This Row],[setting]],$O$6:$AA$141,4,FALSE),0)</f>
        <v>5.7458753543204928</v>
      </c>
      <c r="AK277" s="33">
        <f>IFERROR(VLOOKUP(vcost_ub[[#This Row],[setting]],$A$6:$E$141,5,FALSE)+$L$6+VLOOKUP(vcost_ub[[#This Row],[setting]],$O$6:$AA$141,4,FALSE)+VLOOKUP(vcost_ub[[#This Row],[gbd_super]],$AH$6:$AK$11,4,FALSE),0)</f>
        <v>10.816010354320493</v>
      </c>
      <c r="AL277" s="33">
        <f>IFERROR(VLOOKUP(vcost_ub[[#This Row],[setting]],$A$6:$E$141,5,FALSE)+VLOOKUP(vcost_ub[[#This Row],[setting]],$O$6:$AA$141,7,FALSE),0)</f>
        <v>5.2443788832142939</v>
      </c>
      <c r="AM277" s="33">
        <f>IFERROR(VLOOKUP(vcost_ub[[#This Row],[setting]],$A$6:$E$141,5,FALSE)+VLOOKUP(vcost_ub[[#This Row],[setting]],$O$6:$AA$141,7,FALSE)+VLOOKUP(vcost_ub[[#This Row],[gbd_super]],$AH$6:$AK$11,4,FALSE),0)</f>
        <v>10.314513883214294</v>
      </c>
      <c r="AN277" s="33">
        <f>IFERROR(VLOOKUP(vcost_ub[[#This Row],[setting]],$A$6:$E$141,5,FALSE)+VLOOKUP(vcost_ub[[#This Row],[setting]],$O$6:$AA$141,10,FALSE)+VLOOKUP(vcost_ub[[#This Row],[gbd_super]],$AH$6:$AK$11,4,FALSE),0)</f>
        <v>10.305049354008514</v>
      </c>
      <c r="AO277" s="33">
        <f>IFERROR(VLOOKUP(vcost_ub[[#This Row],[setting]],$A$6:$E$141,5,FALSE)+$L$8+VLOOKUP(vcost_ub[[#This Row],[setting]],$O$6:$AA$141,13,FALSE),0)</f>
        <v>6.0157864213993477</v>
      </c>
      <c r="AP277" s="33">
        <f>IFERROR(VLOOKUP(vcost_ub[[#This Row],[setting]],$A$6:$E$141,5,FALSE)+$L$8+VLOOKUP(vcost_ub[[#This Row],[setting]],$O$6:$AA$141,13,FALSE)+VLOOKUP(vcost_ub[[#This Row],[gbd_super]],$AH$6:$AK$11,4,FALSE),0)</f>
        <v>11.085921421399348</v>
      </c>
    </row>
    <row r="278" spans="1:42" x14ac:dyDescent="0.25">
      <c r="A278" s="103" t="s">
        <v>219</v>
      </c>
      <c r="B278" s="135" t="s">
        <v>666</v>
      </c>
      <c r="C278">
        <f>IFERROR(VLOOKUP(vcost[[#This Row],[setting]],$A$6:$E$141,3,FALSE)+$J$6+VLOOKUP(vcost[[#This Row],[setting]],$O$6:$AA$141,2,FALSE),0)</f>
        <v>4.1710653325395572</v>
      </c>
      <c r="D278">
        <f>IFERROR(VLOOKUP(vcost[[#This Row],[setting]],$A$6:$E$141,3,FALSE)+$J$6+VLOOKUP(vcost[[#This Row],[setting]],$O$6:$AA$141,2,FALSE)+VLOOKUP(vcost[[#This Row],[gbd_super]],$AH$6:$AK$11,2,FALSE),0)</f>
        <v>4.8010653325395571</v>
      </c>
      <c r="E278">
        <f>IFERROR(VLOOKUP(vcost[[#This Row],[setting]],$A$6:$E$141,3,FALSE)+VLOOKUP(vcost[[#This Row],[setting]],$O$6:$AA$141,5,FALSE),0)</f>
        <v>3.7291773607698984</v>
      </c>
      <c r="F278" s="33">
        <f>IFERROR(VLOOKUP(vcost[[#This Row],[setting]],$A$6:$E$141,3,FALSE)+VLOOKUP(vcost[[#This Row],[setting]],$O$6:$AA$141,5,FALSE)+VLOOKUP(vcost[[#This Row],[gbd_super]],$AH$6:$AK$11,2,FALSE),0)</f>
        <v>4.3591773607698983</v>
      </c>
      <c r="G278" s="33">
        <f>IFERROR(VLOOKUP(vcost[[#This Row],[setting]],$A$6:$E$141,3,FALSE)+VLOOKUP(vcost[[#This Row],[setting]],$O$6:$AA$141,8,FALSE)+VLOOKUP(vcost[[#This Row],[gbd_super]],$AH$6:$AK$11,2,FALSE),0)</f>
        <v>4.3499028723835229</v>
      </c>
      <c r="H278">
        <f>IFERROR(VLOOKUP(vcost[[#This Row],[setting]],$A$6:$E$141,3,FALSE)+$J$8+VLOOKUP(vcost[[#This Row],[setting]],$O$6:$AA$141,11,FALSE),0)</f>
        <v>4.4185765725984112</v>
      </c>
      <c r="I278" s="33">
        <f>IFERROR(VLOOKUP(vcost[[#This Row],[setting]],$A$6:$E$141,3,FALSE)+$J$8+VLOOKUP(vcost[[#This Row],[setting]],$O$6:$AA$141,11,FALSE)+VLOOKUP(vcost[[#This Row],[gbd_super]],$AH$6:$AK$11,2,FALSE),0)</f>
        <v>5.0485765725984111</v>
      </c>
      <c r="O278" s="103" t="s">
        <v>219</v>
      </c>
      <c r="P278" s="135" t="s">
        <v>666</v>
      </c>
      <c r="Q278" s="33">
        <f>IFERROR(VLOOKUP(vcost_lb[[#This Row],[setting]],$A$6:$E$141,4,FALSE)+$K$6+VLOOKUP(vcost_lb[[#This Row],[setting]],$O$6:$AA$141,3,FALSE),0)</f>
        <v>1.4466071992513758</v>
      </c>
      <c r="R278" s="33">
        <f>IFERROR(VLOOKUP(vcost_lb[[#This Row],[setting]],$A$6:$E$141,4,FALSE)+$K$6+VLOOKUP(vcost_lb[[#This Row],[setting]],$O$6:$AA$141,3,FALSE)+VLOOKUP(vcost_lb[[#This Row],[gbd_super]],$AH$6:$AK$11,3,FALSE),0)</f>
        <v>2.047197199251376</v>
      </c>
      <c r="S278" s="33">
        <f>IFERROR(VLOOKUP(vcost_lb[[#This Row],[setting]],$A$6:$E$141,4,FALSE)+VLOOKUP(vcost_lb[[#This Row],[setting]],$O$6:$AA$141,6,FALSE),0)</f>
        <v>1.0748324741907225</v>
      </c>
      <c r="T278" s="33">
        <f>IFERROR(VLOOKUP(vcost_lb[[#This Row],[setting]],$A$6:$E$141,4,FALSE)+VLOOKUP(vcost_lb[[#This Row],[setting]],$O$6:$AA$141,6,FALSE)+VLOOKUP(vcost_lb[[#This Row],[gbd_super]],$AH$6:$AK$11,3,FALSE),0)</f>
        <v>1.6754224741907224</v>
      </c>
      <c r="U278" s="33">
        <f>IFERROR(VLOOKUP(vcost_lb[[#This Row],[setting]],$A$6:$E$141,4,FALSE)+VLOOKUP(vcost_lb[[#This Row],[setting]],$O$6:$AA$141,9,FALSE)+VLOOKUP(vcost_lb[[#This Row],[gbd_super]],$AH$6:$AK$11,3,FALSE),0)</f>
        <v>1.6693208370944226</v>
      </c>
      <c r="V278" s="33">
        <f>IFERROR(VLOOKUP(vcost_lb[[#This Row],[setting]],$A$6:$E$141,4,FALSE)+$K$8+VLOOKUP(vcost_lb[[#This Row],[setting]],$O$6:$AA$141,12,FALSE),0)</f>
        <v>1.6605807559415824</v>
      </c>
      <c r="W278" s="33">
        <f>IFERROR(VLOOKUP(vcost_lb[[#This Row],[setting]],$A$6:$E$141,4,FALSE)+$K$8+VLOOKUP(vcost_lb[[#This Row],[setting]],$O$6:$AA$141,12,FALSE)+VLOOKUP(vcost_lb[[#This Row],[gbd_super]],$AH$6:$AK$11,3,FALSE),0)</f>
        <v>2.2611707559415821</v>
      </c>
      <c r="AH278" s="103" t="s">
        <v>219</v>
      </c>
      <c r="AI278" s="135" t="s">
        <v>666</v>
      </c>
      <c r="AJ278" s="33">
        <f>IFERROR(VLOOKUP(vcost_ub[[#This Row],[setting]],$A$6:$E$141,5,FALSE)+$L$6+VLOOKUP(vcost_ub[[#This Row],[setting]],$O$6:$AA$141,4,FALSE),0)</f>
        <v>9.9162889439111961</v>
      </c>
      <c r="AK278" s="33">
        <f>IFERROR(VLOOKUP(vcost_ub[[#This Row],[setting]],$A$6:$E$141,5,FALSE)+$L$6+VLOOKUP(vcost_ub[[#This Row],[setting]],$O$6:$AA$141,4,FALSE)+VLOOKUP(vcost_ub[[#This Row],[gbd_super]],$AH$6:$AK$11,4,FALSE),0)</f>
        <v>10.580098943911196</v>
      </c>
      <c r="AL278" s="33">
        <f>IFERROR(VLOOKUP(vcost_ub[[#This Row],[setting]],$A$6:$E$141,5,FALSE)+VLOOKUP(vcost_ub[[#This Row],[setting]],$O$6:$AA$141,7,FALSE),0)</f>
        <v>9.3875298967628904</v>
      </c>
      <c r="AM278" s="33">
        <f>IFERROR(VLOOKUP(vcost_ub[[#This Row],[setting]],$A$6:$E$141,5,FALSE)+VLOOKUP(vcost_ub[[#This Row],[setting]],$O$6:$AA$141,7,FALSE)+VLOOKUP(vcost_ub[[#This Row],[gbd_super]],$AH$6:$AK$11,4,FALSE),0)</f>
        <v>10.05133989676289</v>
      </c>
      <c r="AN278" s="33">
        <f>IFERROR(VLOOKUP(vcost_ub[[#This Row],[setting]],$A$6:$E$141,5,FALSE)+VLOOKUP(vcost_ub[[#This Row],[setting]],$O$6:$AA$141,10,FALSE)+VLOOKUP(vcost_ub[[#This Row],[gbd_super]],$AH$6:$AK$11,4,FALSE),0)</f>
        <v>10.026933348377693</v>
      </c>
      <c r="AO278" s="33">
        <f>IFERROR(VLOOKUP(vcost_ub[[#This Row],[setting]],$A$6:$E$141,5,FALSE)+$L$8+VLOOKUP(vcost_ub[[#This Row],[setting]],$O$6:$AA$141,13,FALSE),0)</f>
        <v>10.192388448496542</v>
      </c>
      <c r="AP278" s="33">
        <f>IFERROR(VLOOKUP(vcost_ub[[#This Row],[setting]],$A$6:$E$141,5,FALSE)+$L$8+VLOOKUP(vcost_ub[[#This Row],[setting]],$O$6:$AA$141,13,FALSE)+VLOOKUP(vcost_ub[[#This Row],[gbd_super]],$AH$6:$AK$11,4,FALSE),0)</f>
        <v>10.856198448496542</v>
      </c>
    </row>
    <row r="279" spans="1:42" x14ac:dyDescent="0.25">
      <c r="A279" s="100" t="s">
        <v>220</v>
      </c>
      <c r="B279" s="134" t="s">
        <v>666</v>
      </c>
      <c r="C279">
        <f>IFERROR(VLOOKUP(vcost[[#This Row],[setting]],$A$6:$E$141,3,FALSE)+$J$6+VLOOKUP(vcost[[#This Row],[setting]],$O$6:$AA$141,2,FALSE),0)</f>
        <v>4.21547015891404</v>
      </c>
      <c r="D279">
        <f>IFERROR(VLOOKUP(vcost[[#This Row],[setting]],$A$6:$E$141,3,FALSE)+$J$6+VLOOKUP(vcost[[#This Row],[setting]],$O$6:$AA$141,2,FALSE)+VLOOKUP(vcost[[#This Row],[gbd_super]],$AH$6:$AK$11,2,FALSE),0)</f>
        <v>4.8454701589140399</v>
      </c>
      <c r="E279">
        <f>IFERROR(VLOOKUP(vcost[[#This Row],[setting]],$A$6:$E$141,3,FALSE)+VLOOKUP(vcost[[#This Row],[setting]],$O$6:$AA$141,5,FALSE),0)</f>
        <v>3.7882845632665689</v>
      </c>
      <c r="F279" s="33">
        <f>IFERROR(VLOOKUP(vcost[[#This Row],[setting]],$A$6:$E$141,3,FALSE)+VLOOKUP(vcost[[#This Row],[setting]],$O$6:$AA$141,5,FALSE)+VLOOKUP(vcost[[#This Row],[gbd_super]],$AH$6:$AK$11,2,FALSE),0)</f>
        <v>4.4182845632665693</v>
      </c>
      <c r="G279" s="33">
        <f>IFERROR(VLOOKUP(vcost[[#This Row],[setting]],$A$6:$E$141,3,FALSE)+VLOOKUP(vcost[[#This Row],[setting]],$O$6:$AA$141,8,FALSE)+VLOOKUP(vcost[[#This Row],[gbd_super]],$AH$6:$AK$11,2,FALSE),0)</f>
        <v>4.4144925461645093</v>
      </c>
      <c r="H279">
        <f>IFERROR(VLOOKUP(vcost[[#This Row],[setting]],$A$6:$E$141,3,FALSE)+$J$8+VLOOKUP(vcost[[#This Row],[setting]],$O$6:$AA$141,11,FALSE),0)</f>
        <v>4.45768170525443</v>
      </c>
      <c r="I279" s="33">
        <f>IFERROR(VLOOKUP(vcost[[#This Row],[setting]],$A$6:$E$141,3,FALSE)+$J$8+VLOOKUP(vcost[[#This Row],[setting]],$O$6:$AA$141,11,FALSE)+VLOOKUP(vcost[[#This Row],[gbd_super]],$AH$6:$AK$11,2,FALSE),0)</f>
        <v>5.0876817052544299</v>
      </c>
      <c r="O279" s="100" t="s">
        <v>220</v>
      </c>
      <c r="P279" s="134" t="s">
        <v>666</v>
      </c>
      <c r="Q279" s="33">
        <f>IFERROR(VLOOKUP(vcost_lb[[#This Row],[setting]],$A$6:$E$141,4,FALSE)+$K$6+VLOOKUP(vcost_lb[[#This Row],[setting]],$O$6:$AA$141,3,FALSE),0)</f>
        <v>1.9264757809910737</v>
      </c>
      <c r="R279" s="33">
        <f>IFERROR(VLOOKUP(vcost_lb[[#This Row],[setting]],$A$6:$E$141,4,FALSE)+$K$6+VLOOKUP(vcost_lb[[#This Row],[setting]],$O$6:$AA$141,3,FALSE)+VLOOKUP(vcost_lb[[#This Row],[gbd_super]],$AH$6:$AK$11,3,FALSE),0)</f>
        <v>2.5270657809910739</v>
      </c>
      <c r="S279" s="33">
        <f>IFERROR(VLOOKUP(vcost_lb[[#This Row],[setting]],$A$6:$E$141,4,FALSE)+VLOOKUP(vcost_lb[[#This Row],[setting]],$O$6:$AA$141,6,FALSE),0)</f>
        <v>1.5606845810964269</v>
      </c>
      <c r="T279" s="33">
        <f>IFERROR(VLOOKUP(vcost_lb[[#This Row],[setting]],$A$6:$E$141,4,FALSE)+VLOOKUP(vcost_lb[[#This Row],[setting]],$O$6:$AA$141,6,FALSE)+VLOOKUP(vcost_lb[[#This Row],[gbd_super]],$AH$6:$AK$11,3,FALSE),0)</f>
        <v>2.1612745810964267</v>
      </c>
      <c r="U279" s="33">
        <f>IFERROR(VLOOKUP(vcost_lb[[#This Row],[setting]],$A$6:$E$141,4,FALSE)+VLOOKUP(vcost_lb[[#This Row],[setting]],$O$6:$AA$141,9,FALSE)+VLOOKUP(vcost_lb[[#This Row],[gbd_super]],$AH$6:$AK$11,3,FALSE),0)</f>
        <v>2.1587798330029666</v>
      </c>
      <c r="V279" s="33">
        <f>IFERROR(VLOOKUP(vcost_lb[[#This Row],[setting]],$A$6:$E$141,4,FALSE)+$K$8+VLOOKUP(vcost_lb[[#This Row],[setting]],$O$6:$AA$141,12,FALSE),0)</f>
        <v>2.1378849697529914</v>
      </c>
      <c r="W279" s="33">
        <f>IFERROR(VLOOKUP(vcost_lb[[#This Row],[setting]],$A$6:$E$141,4,FALSE)+$K$8+VLOOKUP(vcost_lb[[#This Row],[setting]],$O$6:$AA$141,12,FALSE)+VLOOKUP(vcost_lb[[#This Row],[gbd_super]],$AH$6:$AK$11,3,FALSE),0)</f>
        <v>2.7384749697529913</v>
      </c>
      <c r="AH279" s="100" t="s">
        <v>220</v>
      </c>
      <c r="AI279" s="134" t="s">
        <v>666</v>
      </c>
      <c r="AJ279" s="33">
        <f>IFERROR(VLOOKUP(vcost_ub[[#This Row],[setting]],$A$6:$E$141,5,FALSE)+$L$6+VLOOKUP(vcost_ub[[#This Row],[setting]],$O$6:$AA$141,4,FALSE),0)</f>
        <v>8.3607312400466096</v>
      </c>
      <c r="AK279" s="33">
        <f>IFERROR(VLOOKUP(vcost_ub[[#This Row],[setting]],$A$6:$E$141,5,FALSE)+$L$6+VLOOKUP(vcost_ub[[#This Row],[setting]],$O$6:$AA$141,4,FALSE)+VLOOKUP(vcost_ub[[#This Row],[gbd_super]],$AH$6:$AK$11,4,FALSE),0)</f>
        <v>9.0245412400466094</v>
      </c>
      <c r="AL279" s="33">
        <f>IFERROR(VLOOKUP(vcost_ub[[#This Row],[setting]],$A$6:$E$141,5,FALSE)+VLOOKUP(vcost_ub[[#This Row],[setting]],$O$6:$AA$141,7,FALSE),0)</f>
        <v>7.8598383243857075</v>
      </c>
      <c r="AM279" s="33">
        <f>IFERROR(VLOOKUP(vcost_ub[[#This Row],[setting]],$A$6:$E$141,5,FALSE)+VLOOKUP(vcost_ub[[#This Row],[setting]],$O$6:$AA$141,7,FALSE)+VLOOKUP(vcost_ub[[#This Row],[gbd_super]],$AH$6:$AK$11,4,FALSE),0)</f>
        <v>8.5236483243857073</v>
      </c>
      <c r="AN279" s="33">
        <f>IFERROR(VLOOKUP(vcost_ub[[#This Row],[setting]],$A$6:$E$141,5,FALSE)+VLOOKUP(vcost_ub[[#This Row],[setting]],$O$6:$AA$141,10,FALSE)+VLOOKUP(vcost_ub[[#This Row],[gbd_super]],$AH$6:$AK$11,4,FALSE),0)</f>
        <v>8.513669332011867</v>
      </c>
      <c r="AO279" s="33">
        <f>IFERROR(VLOOKUP(vcost_ub[[#This Row],[setting]],$A$6:$E$141,5,FALSE)+$L$8+VLOOKUP(vcost_ub[[#This Row],[setting]],$O$6:$AA$141,13,FALSE),0)</f>
        <v>8.6305053037421757</v>
      </c>
      <c r="AP279" s="33">
        <f>IFERROR(VLOOKUP(vcost_ub[[#This Row],[setting]],$A$6:$E$141,5,FALSE)+$L$8+VLOOKUP(vcost_ub[[#This Row],[setting]],$O$6:$AA$141,13,FALSE)+VLOOKUP(vcost_ub[[#This Row],[gbd_super]],$AH$6:$AK$11,4,FALSE),0)</f>
        <v>9.2943153037421755</v>
      </c>
    </row>
    <row r="280" spans="1:42" x14ac:dyDescent="0.25">
      <c r="A280" s="103" t="s">
        <v>154</v>
      </c>
      <c r="B280" s="135" t="s">
        <v>667</v>
      </c>
      <c r="C280">
        <f>IFERROR(VLOOKUP(vcost[[#This Row],[setting]],$A$6:$E$141,3,FALSE)+$J$6+VLOOKUP(vcost[[#This Row],[setting]],$O$6:$AA$141,2,FALSE),0)</f>
        <v>2.6642686712808143</v>
      </c>
      <c r="D280">
        <f>IFERROR(VLOOKUP(vcost[[#This Row],[setting]],$A$6:$E$141,3,FALSE)+$J$6+VLOOKUP(vcost[[#This Row],[setting]],$O$6:$AA$141,2,FALSE)+VLOOKUP(vcost[[#This Row],[gbd_super]],$AH$6:$AK$11,2,FALSE),0)</f>
        <v>7.494268671280814</v>
      </c>
      <c r="E280">
        <f>IFERROR(VLOOKUP(vcost[[#This Row],[setting]],$A$6:$E$141,3,FALSE)+VLOOKUP(vcost[[#This Row],[setting]],$O$6:$AA$141,5,FALSE),0)</f>
        <v>2.2403752233892535</v>
      </c>
      <c r="F280" s="33">
        <f>IFERROR(VLOOKUP(vcost[[#This Row],[setting]],$A$6:$E$141,3,FALSE)+VLOOKUP(vcost[[#This Row],[setting]],$O$6:$AA$141,5,FALSE)+VLOOKUP(vcost[[#This Row],[gbd_super]],$AH$6:$AK$11,2,FALSE),0)</f>
        <v>7.0703752233892541</v>
      </c>
      <c r="G280" s="33">
        <f>IFERROR(VLOOKUP(vcost[[#This Row],[setting]],$A$6:$E$141,3,FALSE)+VLOOKUP(vcost[[#This Row],[setting]],$O$6:$AA$141,8,FALSE)+VLOOKUP(vcost[[#This Row],[gbd_super]],$AH$6:$AK$11,2,FALSE),0)</f>
        <v>7.0680477842290816</v>
      </c>
      <c r="H280">
        <f>IFERROR(VLOOKUP(vcost[[#This Row],[setting]],$A$6:$E$141,3,FALSE)+$J$8+VLOOKUP(vcost[[#This Row],[setting]],$O$6:$AA$141,11,FALSE),0)</f>
        <v>2.9052935131975635</v>
      </c>
      <c r="I280" s="33">
        <f>IFERROR(VLOOKUP(vcost[[#This Row],[setting]],$A$6:$E$141,3,FALSE)+$J$8+VLOOKUP(vcost[[#This Row],[setting]],$O$6:$AA$141,11,FALSE)+VLOOKUP(vcost[[#This Row],[gbd_super]],$AH$6:$AK$11,2,FALSE),0)</f>
        <v>7.7352935131975631</v>
      </c>
      <c r="O280" s="103" t="s">
        <v>154</v>
      </c>
      <c r="P280" s="135" t="s">
        <v>667</v>
      </c>
      <c r="Q280" s="33">
        <f>IFERROR(VLOOKUP(vcost_lb[[#This Row],[setting]],$A$6:$E$141,4,FALSE)+$K$6+VLOOKUP(vcost_lb[[#This Row],[setting]],$O$6:$AA$141,3,FALSE),0)</f>
        <v>1.2331219140230234</v>
      </c>
      <c r="R280" s="33">
        <f>IFERROR(VLOOKUP(vcost_lb[[#This Row],[setting]],$A$6:$E$141,4,FALSE)+$K$6+VLOOKUP(vcost_lb[[#This Row],[setting]],$O$6:$AA$141,3,FALSE)+VLOOKUP(vcost_lb[[#This Row],[gbd_super]],$AH$6:$AK$11,3,FALSE),0)</f>
        <v>5.8203869140230236</v>
      </c>
      <c r="S280" s="33">
        <f>IFERROR(VLOOKUP(vcost_lb[[#This Row],[setting]],$A$6:$E$141,4,FALSE)+VLOOKUP(vcost_lb[[#This Row],[setting]],$O$6:$AA$141,6,FALSE),0)</f>
        <v>0.86867054170345614</v>
      </c>
      <c r="T280" s="33">
        <f>IFERROR(VLOOKUP(vcost_lb[[#This Row],[setting]],$A$6:$E$141,4,FALSE)+VLOOKUP(vcost_lb[[#This Row],[setting]],$O$6:$AA$141,6,FALSE)+VLOOKUP(vcost_lb[[#This Row],[gbd_super]],$AH$6:$AK$11,3,FALSE),0)</f>
        <v>5.4559355417034565</v>
      </c>
      <c r="U280" s="33">
        <f>IFERROR(VLOOKUP(vcost_lb[[#This Row],[setting]],$A$6:$E$141,4,FALSE)+VLOOKUP(vcost_lb[[#This Row],[setting]],$O$6:$AA$141,9,FALSE)+VLOOKUP(vcost_lb[[#This Row],[gbd_super]],$AH$6:$AK$11,3,FALSE),0)</f>
        <v>5.4544043317296591</v>
      </c>
      <c r="V280" s="33">
        <f>IFERROR(VLOOKUP(vcost_lb[[#This Row],[setting]],$A$6:$E$141,4,FALSE)+$K$8+VLOOKUP(vcost_lb[[#This Row],[setting]],$O$6:$AA$141,12,FALSE),0)</f>
        <v>1.4439568909670499</v>
      </c>
      <c r="W280" s="33">
        <f>IFERROR(VLOOKUP(vcost_lb[[#This Row],[setting]],$A$6:$E$141,4,FALSE)+$K$8+VLOOKUP(vcost_lb[[#This Row],[setting]],$O$6:$AA$141,12,FALSE)+VLOOKUP(vcost_lb[[#This Row],[gbd_super]],$AH$6:$AK$11,3,FALSE),0)</f>
        <v>6.0312218909670499</v>
      </c>
      <c r="AH280" s="103" t="s">
        <v>154</v>
      </c>
      <c r="AI280" s="135" t="s">
        <v>667</v>
      </c>
      <c r="AJ280" s="33">
        <f>IFERROR(VLOOKUP(vcost_ub[[#This Row],[setting]],$A$6:$E$141,5,FALSE)+$L$6+VLOOKUP(vcost_ub[[#This Row],[setting]],$O$6:$AA$141,4,FALSE),0)</f>
        <v>5.3186353140536413</v>
      </c>
      <c r="AK280" s="33">
        <f>IFERROR(VLOOKUP(vcost_ub[[#This Row],[setting]],$A$6:$E$141,5,FALSE)+$L$6+VLOOKUP(vcost_ub[[#This Row],[setting]],$O$6:$AA$141,4,FALSE)+VLOOKUP(vcost_ub[[#This Row],[gbd_super]],$AH$6:$AK$11,4,FALSE),0)</f>
        <v>10.388770314053641</v>
      </c>
      <c r="AL280" s="33">
        <f>IFERROR(VLOOKUP(vcost_ub[[#This Row],[setting]],$A$6:$E$141,5,FALSE)+VLOOKUP(vcost_ub[[#This Row],[setting]],$O$6:$AA$141,7,FALSE),0)</f>
        <v>4.823982166813825</v>
      </c>
      <c r="AM280" s="33">
        <f>IFERROR(VLOOKUP(vcost_ub[[#This Row],[setting]],$A$6:$E$141,5,FALSE)+VLOOKUP(vcost_ub[[#This Row],[setting]],$O$6:$AA$141,7,FALSE)+VLOOKUP(vcost_ub[[#This Row],[gbd_super]],$AH$6:$AK$11,4,FALSE),0)</f>
        <v>9.8941171668138246</v>
      </c>
      <c r="AN280" s="33">
        <f>IFERROR(VLOOKUP(vcost_ub[[#This Row],[setting]],$A$6:$E$141,5,FALSE)+VLOOKUP(vcost_ub[[#This Row],[setting]],$O$6:$AA$141,10,FALSE)+VLOOKUP(vcost_ub[[#This Row],[gbd_super]],$AH$6:$AK$11,4,FALSE),0)</f>
        <v>9.8879923269186349</v>
      </c>
      <c r="AO280" s="33">
        <f>IFERROR(VLOOKUP(vcost_ub[[#This Row],[setting]],$A$6:$E$141,5,FALSE)+$L$8+VLOOKUP(vcost_ub[[#This Row],[setting]],$O$6:$AA$141,13,FALSE),0)</f>
        <v>5.5869929885984098</v>
      </c>
      <c r="AP280" s="33">
        <f>IFERROR(VLOOKUP(vcost_ub[[#This Row],[setting]],$A$6:$E$141,5,FALSE)+$L$8+VLOOKUP(vcost_ub[[#This Row],[setting]],$O$6:$AA$141,13,FALSE)+VLOOKUP(vcost_ub[[#This Row],[gbd_super]],$AH$6:$AK$11,4,FALSE),0)</f>
        <v>10.657127988598411</v>
      </c>
    </row>
    <row r="281" spans="1:42" x14ac:dyDescent="0.25">
      <c r="A281" s="100" t="s">
        <v>301</v>
      </c>
      <c r="B281" s="134" t="s">
        <v>666</v>
      </c>
      <c r="C281">
        <f>IFERROR(VLOOKUP(vcost[[#This Row],[setting]],$A$6:$E$141,3,FALSE)+$J$6+VLOOKUP(vcost[[#This Row],[setting]],$O$6:$AA$141,2,FALSE),0)</f>
        <v>8.3559960831028484</v>
      </c>
      <c r="D281">
        <f>IFERROR(VLOOKUP(vcost[[#This Row],[setting]],$A$6:$E$141,3,FALSE)+$J$6+VLOOKUP(vcost[[#This Row],[setting]],$O$6:$AA$141,2,FALSE)+VLOOKUP(vcost[[#This Row],[gbd_super]],$AH$6:$AK$11,2,FALSE),0)</f>
        <v>8.9859960831028491</v>
      </c>
      <c r="E281">
        <f>IFERROR(VLOOKUP(vcost[[#This Row],[setting]],$A$6:$E$141,3,FALSE)+VLOOKUP(vcost[[#This Row],[setting]],$O$6:$AA$141,5,FALSE),0)</f>
        <v>7.9233819104168752</v>
      </c>
      <c r="F281" s="33">
        <f>IFERROR(VLOOKUP(vcost[[#This Row],[setting]],$A$6:$E$141,3,FALSE)+VLOOKUP(vcost[[#This Row],[setting]],$O$6:$AA$141,5,FALSE)+VLOOKUP(vcost[[#This Row],[gbd_super]],$AH$6:$AK$11,2,FALSE),0)</f>
        <v>8.553381910416876</v>
      </c>
      <c r="G281" s="33">
        <f>IFERROR(VLOOKUP(vcost[[#This Row],[setting]],$A$6:$E$141,3,FALSE)+VLOOKUP(vcost[[#This Row],[setting]],$O$6:$AA$141,8,FALSE)+VLOOKUP(vcost[[#This Row],[gbd_super]],$AH$6:$AK$11,2,FALSE),0)</f>
        <v>8.5478757948579212</v>
      </c>
      <c r="H281">
        <f>IFERROR(VLOOKUP(vcost[[#This Row],[setting]],$A$6:$E$141,3,FALSE)+$J$8+VLOOKUP(vcost[[#This Row],[setting]],$O$6:$AA$141,11,FALSE),0)</f>
        <v>8.6001644420966556</v>
      </c>
      <c r="I281" s="33">
        <f>IFERROR(VLOOKUP(vcost[[#This Row],[setting]],$A$6:$E$141,3,FALSE)+$J$8+VLOOKUP(vcost[[#This Row],[setting]],$O$6:$AA$141,11,FALSE)+VLOOKUP(vcost[[#This Row],[gbd_super]],$AH$6:$AK$11,2,FALSE),0)</f>
        <v>9.2301644420966564</v>
      </c>
      <c r="O281" s="100" t="s">
        <v>301</v>
      </c>
      <c r="P281" s="134" t="s">
        <v>666</v>
      </c>
      <c r="Q281" s="33">
        <f>IFERROR(VLOOKUP(vcost_lb[[#This Row],[setting]],$A$6:$E$141,4,FALSE)+$K$6+VLOOKUP(vcost_lb[[#This Row],[setting]],$O$6:$AA$141,3,FALSE),0)</f>
        <v>2.9824412350407572</v>
      </c>
      <c r="R281" s="33">
        <f>IFERROR(VLOOKUP(vcost_lb[[#This Row],[setting]],$A$6:$E$141,4,FALSE)+$K$6+VLOOKUP(vcost_lb[[#This Row],[setting]],$O$6:$AA$141,3,FALSE)+VLOOKUP(vcost_lb[[#This Row],[gbd_super]],$AH$6:$AK$11,3,FALSE),0)</f>
        <v>3.5830312350407572</v>
      </c>
      <c r="S281" s="33">
        <f>IFERROR(VLOOKUP(vcost_lb[[#This Row],[setting]],$A$6:$E$141,4,FALSE)+VLOOKUP(vcost_lb[[#This Row],[setting]],$O$6:$AA$141,6,FALSE),0)</f>
        <v>2.6144407305374173</v>
      </c>
      <c r="T281" s="33">
        <f>IFERROR(VLOOKUP(vcost_lb[[#This Row],[setting]],$A$6:$E$141,4,FALSE)+VLOOKUP(vcost_lb[[#This Row],[setting]],$O$6:$AA$141,6,FALSE)+VLOOKUP(vcost_lb[[#This Row],[gbd_super]],$AH$6:$AK$11,3,FALSE),0)</f>
        <v>3.2150307305374173</v>
      </c>
      <c r="U281" s="33">
        <f>IFERROR(VLOOKUP(vcost_lb[[#This Row],[setting]],$A$6:$E$141,4,FALSE)+VLOOKUP(vcost_lb[[#This Row],[setting]],$O$6:$AA$141,9,FALSE)+VLOOKUP(vcost_lb[[#This Row],[gbd_super]],$AH$6:$AK$11,3,FALSE),0)</f>
        <v>3.2114082860907369</v>
      </c>
      <c r="V281" s="33">
        <f>IFERROR(VLOOKUP(vcost_lb[[#This Row],[setting]],$A$6:$E$141,4,FALSE)+$K$8+VLOOKUP(vcost_lb[[#This Row],[setting]],$O$6:$AA$141,12,FALSE),0)</f>
        <v>3.1947972686349724</v>
      </c>
      <c r="W281" s="33">
        <f>IFERROR(VLOOKUP(vcost_lb[[#This Row],[setting]],$A$6:$E$141,4,FALSE)+$K$8+VLOOKUP(vcost_lb[[#This Row],[setting]],$O$6:$AA$141,12,FALSE)+VLOOKUP(vcost_lb[[#This Row],[gbd_super]],$AH$6:$AK$11,3,FALSE),0)</f>
        <v>3.7953872686349723</v>
      </c>
      <c r="AH281" s="100" t="s">
        <v>301</v>
      </c>
      <c r="AI281" s="134" t="s">
        <v>666</v>
      </c>
      <c r="AJ281" s="33">
        <f>IFERROR(VLOOKUP(vcost_ub[[#This Row],[setting]],$A$6:$E$141,5,FALSE)+$L$6+VLOOKUP(vcost_ub[[#This Row],[setting]],$O$6:$AA$141,4,FALSE),0)</f>
        <v>19.373744884988202</v>
      </c>
      <c r="AK281" s="33">
        <f>IFERROR(VLOOKUP(vcost_ub[[#This Row],[setting]],$A$6:$E$141,5,FALSE)+$L$6+VLOOKUP(vcost_ub[[#This Row],[setting]],$O$6:$AA$141,4,FALSE)+VLOOKUP(vcost_ub[[#This Row],[gbd_super]],$AH$6:$AK$11,4,FALSE),0)</f>
        <v>20.037554884988204</v>
      </c>
      <c r="AL281" s="33">
        <f>IFERROR(VLOOKUP(vcost_ub[[#This Row],[setting]],$A$6:$E$141,5,FALSE)+VLOOKUP(vcost_ub[[#This Row],[setting]],$O$6:$AA$141,7,FALSE),0)</f>
        <v>18.862562922149671</v>
      </c>
      <c r="AM281" s="33">
        <f>IFERROR(VLOOKUP(vcost_ub[[#This Row],[setting]],$A$6:$E$141,5,FALSE)+VLOOKUP(vcost_ub[[#This Row],[setting]],$O$6:$AA$141,7,FALSE)+VLOOKUP(vcost_ub[[#This Row],[gbd_super]],$AH$6:$AK$11,4,FALSE),0)</f>
        <v>19.526372922149672</v>
      </c>
      <c r="AN281" s="33">
        <f>IFERROR(VLOOKUP(vcost_ub[[#This Row],[setting]],$A$6:$E$141,5,FALSE)+VLOOKUP(vcost_ub[[#This Row],[setting]],$O$6:$AA$141,10,FALSE)+VLOOKUP(vcost_ub[[#This Row],[gbd_super]],$AH$6:$AK$11,4,FALSE),0)</f>
        <v>19.511883144362955</v>
      </c>
      <c r="AO281" s="33">
        <f>IFERROR(VLOOKUP(vcost_ub[[#This Row],[setting]],$A$6:$E$141,5,FALSE)+$L$8+VLOOKUP(vcost_ub[[#This Row],[setting]],$O$6:$AA$141,13,FALSE),0)</f>
        <v>19.645854499270104</v>
      </c>
      <c r="AP281" s="33">
        <f>IFERROR(VLOOKUP(vcost_ub[[#This Row],[setting]],$A$6:$E$141,5,FALSE)+$L$8+VLOOKUP(vcost_ub[[#This Row],[setting]],$O$6:$AA$141,13,FALSE)+VLOOKUP(vcost_ub[[#This Row],[gbd_super]],$AH$6:$AK$11,4,FALSE),0)</f>
        <v>20.309664499270106</v>
      </c>
    </row>
    <row r="282" spans="1:42" x14ac:dyDescent="0.25">
      <c r="A282" s="103" t="s">
        <v>162</v>
      </c>
      <c r="B282" s="135" t="s">
        <v>579</v>
      </c>
      <c r="C282">
        <f>IFERROR(VLOOKUP(vcost[[#This Row],[setting]],$A$6:$E$141,3,FALSE)+$J$6+VLOOKUP(vcost[[#This Row],[setting]],$O$6:$AA$141,2,FALSE),0)</f>
        <v>4.6680054387729486</v>
      </c>
      <c r="D282">
        <f>IFERROR(VLOOKUP(vcost[[#This Row],[setting]],$A$6:$E$141,3,FALSE)+$J$6+VLOOKUP(vcost[[#This Row],[setting]],$O$6:$AA$141,2,FALSE)+VLOOKUP(vcost[[#This Row],[gbd_super]],$AH$6:$AK$11,2,FALSE),0)</f>
        <v>5.1480054387729481</v>
      </c>
      <c r="E282">
        <f>IFERROR(VLOOKUP(vcost[[#This Row],[setting]],$A$6:$E$141,3,FALSE)+VLOOKUP(vcost[[#This Row],[setting]],$O$6:$AA$141,5,FALSE),0)</f>
        <v>4.2302369167806253</v>
      </c>
      <c r="F282" s="33">
        <f>IFERROR(VLOOKUP(vcost[[#This Row],[setting]],$A$6:$E$141,3,FALSE)+VLOOKUP(vcost[[#This Row],[setting]],$O$6:$AA$141,5,FALSE)+VLOOKUP(vcost[[#This Row],[gbd_super]],$AH$6:$AK$11,2,FALSE),0)</f>
        <v>4.7102369167806248</v>
      </c>
      <c r="G282" s="33">
        <f>IFERROR(VLOOKUP(vcost[[#This Row],[setting]],$A$6:$E$141,3,FALSE)+VLOOKUP(vcost[[#This Row],[setting]],$O$6:$AA$141,8,FALSE)+VLOOKUP(vcost[[#This Row],[gbd_super]],$AH$6:$AK$11,2,FALSE),0)</f>
        <v>4.7020380175216339</v>
      </c>
      <c r="H282">
        <f>IFERROR(VLOOKUP(vcost[[#This Row],[setting]],$A$6:$E$141,3,FALSE)+$J$8+VLOOKUP(vcost[[#This Row],[setting]],$O$6:$AA$141,11,FALSE),0)</f>
        <v>4.9140317608888093</v>
      </c>
      <c r="I282" s="33">
        <f>IFERROR(VLOOKUP(vcost[[#This Row],[setting]],$A$6:$E$141,3,FALSE)+$J$8+VLOOKUP(vcost[[#This Row],[setting]],$O$6:$AA$141,11,FALSE)+VLOOKUP(vcost[[#This Row],[gbd_super]],$AH$6:$AK$11,2,FALSE),0)</f>
        <v>5.3940317608888098</v>
      </c>
      <c r="O282" s="103" t="s">
        <v>162</v>
      </c>
      <c r="P282" s="135" t="s">
        <v>579</v>
      </c>
      <c r="Q282" s="33">
        <f>IFERROR(VLOOKUP(vcost_lb[[#This Row],[setting]],$A$6:$E$141,4,FALSE)+$K$6+VLOOKUP(vcost_lb[[#This Row],[setting]],$O$6:$AA$141,3,FALSE),0)</f>
        <v>2.1326356500528463</v>
      </c>
      <c r="R282" s="33">
        <f>IFERROR(VLOOKUP(vcost_lb[[#This Row],[setting]],$A$6:$E$141,4,FALSE)+$K$6+VLOOKUP(vcost_lb[[#This Row],[setting]],$O$6:$AA$141,3,FALSE)+VLOOKUP(vcost_lb[[#This Row],[gbd_super]],$AH$6:$AK$11,3,FALSE),0)</f>
        <v>2.5882556500528464</v>
      </c>
      <c r="S282" s="33">
        <f>IFERROR(VLOOKUP(vcost_lb[[#This Row],[setting]],$A$6:$E$141,4,FALSE)+VLOOKUP(vcost_lb[[#This Row],[setting]],$O$6:$AA$141,6,FALSE),0)</f>
        <v>1.762537445250411</v>
      </c>
      <c r="T282" s="33">
        <f>IFERROR(VLOOKUP(vcost_lb[[#This Row],[setting]],$A$6:$E$141,4,FALSE)+VLOOKUP(vcost_lb[[#This Row],[setting]],$O$6:$AA$141,6,FALSE)+VLOOKUP(vcost_lb[[#This Row],[gbd_super]],$AH$6:$AK$11,3,FALSE),0)</f>
        <v>2.2181574452504109</v>
      </c>
      <c r="U282" s="33">
        <f>IFERROR(VLOOKUP(vcost_lb[[#This Row],[setting]],$A$6:$E$141,4,FALSE)+VLOOKUP(vcost_lb[[#This Row],[setting]],$O$6:$AA$141,9,FALSE)+VLOOKUP(vcost_lb[[#This Row],[gbd_super]],$AH$6:$AK$11,3,FALSE),0)</f>
        <v>2.2127634325800227</v>
      </c>
      <c r="V282" s="33">
        <f>IFERROR(VLOOKUP(vcost_lb[[#This Row],[setting]],$A$6:$E$141,4,FALSE)+$K$8+VLOOKUP(vcost_lb[[#This Row],[setting]],$O$6:$AA$141,12,FALSE),0)</f>
        <v>2.3458906980609595</v>
      </c>
      <c r="W282" s="33">
        <f>IFERROR(VLOOKUP(vcost_lb[[#This Row],[setting]],$A$6:$E$141,4,FALSE)+$K$8+VLOOKUP(vcost_lb[[#This Row],[setting]],$O$6:$AA$141,12,FALSE)+VLOOKUP(vcost_lb[[#This Row],[gbd_super]],$AH$6:$AK$11,3,FALSE),0)</f>
        <v>2.8015106980609596</v>
      </c>
      <c r="AH282" s="103" t="s">
        <v>162</v>
      </c>
      <c r="AI282" s="135" t="s">
        <v>579</v>
      </c>
      <c r="AJ282" s="33">
        <f>IFERROR(VLOOKUP(vcost_ub[[#This Row],[setting]],$A$6:$E$141,5,FALSE)+$L$6+VLOOKUP(vcost_ub[[#This Row],[setting]],$O$6:$AA$141,4,FALSE),0)</f>
        <v>9.2088010338045354</v>
      </c>
      <c r="AK282" s="33">
        <f>IFERROR(VLOOKUP(vcost_ub[[#This Row],[setting]],$A$6:$E$141,5,FALSE)+$L$6+VLOOKUP(vcost_ub[[#This Row],[setting]],$O$6:$AA$141,4,FALSE)+VLOOKUP(vcost_ub[[#This Row],[gbd_super]],$AH$6:$AK$11,4,FALSE),0)</f>
        <v>9.7123810338045349</v>
      </c>
      <c r="AL282" s="33">
        <f>IFERROR(VLOOKUP(vcost_ub[[#This Row],[setting]],$A$6:$E$141,5,FALSE)+VLOOKUP(vcost_ub[[#This Row],[setting]],$O$6:$AA$141,7,FALSE),0)</f>
        <v>8.6878497810016455</v>
      </c>
      <c r="AM282" s="33">
        <f>IFERROR(VLOOKUP(vcost_ub[[#This Row],[setting]],$A$6:$E$141,5,FALSE)+VLOOKUP(vcost_ub[[#This Row],[setting]],$O$6:$AA$141,7,FALSE)+VLOOKUP(vcost_ub[[#This Row],[gbd_super]],$AH$6:$AK$11,4,FALSE),0)</f>
        <v>9.191429781001645</v>
      </c>
      <c r="AN282" s="33">
        <f>IFERROR(VLOOKUP(vcost_ub[[#This Row],[setting]],$A$6:$E$141,5,FALSE)+VLOOKUP(vcost_ub[[#This Row],[setting]],$O$6:$AA$141,10,FALSE)+VLOOKUP(vcost_ub[[#This Row],[gbd_super]],$AH$6:$AK$11,4,FALSE),0)</f>
        <v>9.1698537303200904</v>
      </c>
      <c r="AO282" s="33">
        <f>IFERROR(VLOOKUP(vcost_ub[[#This Row],[setting]],$A$6:$E$141,5,FALSE)+$L$8+VLOOKUP(vcost_ub[[#This Row],[setting]],$O$6:$AA$141,13,FALSE),0)</f>
        <v>9.4831282169740501</v>
      </c>
      <c r="AP282" s="33">
        <f>IFERROR(VLOOKUP(vcost_ub[[#This Row],[setting]],$A$6:$E$141,5,FALSE)+$L$8+VLOOKUP(vcost_ub[[#This Row],[setting]],$O$6:$AA$141,13,FALSE)+VLOOKUP(vcost_ub[[#This Row],[gbd_super]],$AH$6:$AK$11,4,FALSE),0)</f>
        <v>9.9867082169740495</v>
      </c>
    </row>
    <row r="283" spans="1:42" x14ac:dyDescent="0.25">
      <c r="A283" s="100" t="s">
        <v>180</v>
      </c>
      <c r="B283" s="134" t="s">
        <v>579</v>
      </c>
      <c r="C283">
        <f>IFERROR(VLOOKUP(vcost[[#This Row],[setting]],$A$6:$E$141,3,FALSE)+$J$6+VLOOKUP(vcost[[#This Row],[setting]],$O$6:$AA$141,2,FALSE),0)</f>
        <v>4.5206460292020809</v>
      </c>
      <c r="D283">
        <f>IFERROR(VLOOKUP(vcost[[#This Row],[setting]],$A$6:$E$141,3,FALSE)+$J$6+VLOOKUP(vcost[[#This Row],[setting]],$O$6:$AA$141,2,FALSE)+VLOOKUP(vcost[[#This Row],[gbd_super]],$AH$6:$AK$11,2,FALSE),0)</f>
        <v>5.0006460292020805</v>
      </c>
      <c r="E283">
        <f>IFERROR(VLOOKUP(vcost[[#This Row],[setting]],$A$6:$E$141,3,FALSE)+VLOOKUP(vcost[[#This Row],[setting]],$O$6:$AA$141,5,FALSE),0)</f>
        <v>4.0736189221671317</v>
      </c>
      <c r="F283" s="33">
        <f>IFERROR(VLOOKUP(vcost[[#This Row],[setting]],$A$6:$E$141,3,FALSE)+VLOOKUP(vcost[[#This Row],[setting]],$O$6:$AA$141,5,FALSE)+VLOOKUP(vcost[[#This Row],[gbd_super]],$AH$6:$AK$11,2,FALSE),0)</f>
        <v>4.5536189221671322</v>
      </c>
      <c r="G283" s="33">
        <f>IFERROR(VLOOKUP(vcost[[#This Row],[setting]],$A$6:$E$141,3,FALSE)+VLOOKUP(vcost[[#This Row],[setting]],$O$6:$AA$141,8,FALSE)+VLOOKUP(vcost[[#This Row],[gbd_super]],$AH$6:$AK$11,2,FALSE),0)</f>
        <v>4.5418151892124996</v>
      </c>
      <c r="H283">
        <f>IFERROR(VLOOKUP(vcost[[#This Row],[setting]],$A$6:$E$141,3,FALSE)+$J$8+VLOOKUP(vcost[[#This Row],[setting]],$O$6:$AA$141,11,FALSE),0)</f>
        <v>4.770009748251911</v>
      </c>
      <c r="I283" s="33">
        <f>IFERROR(VLOOKUP(vcost[[#This Row],[setting]],$A$6:$E$141,3,FALSE)+$J$8+VLOOKUP(vcost[[#This Row],[setting]],$O$6:$AA$141,11,FALSE)+VLOOKUP(vcost[[#This Row],[gbd_super]],$AH$6:$AK$11,2,FALSE),0)</f>
        <v>5.2500097482519106</v>
      </c>
      <c r="O283" s="100" t="s">
        <v>180</v>
      </c>
      <c r="P283" s="134" t="s">
        <v>579</v>
      </c>
      <c r="Q283" s="33">
        <f>IFERROR(VLOOKUP(vcost_lb[[#This Row],[setting]],$A$6:$E$141,4,FALSE)+$K$6+VLOOKUP(vcost_lb[[#This Row],[setting]],$O$6:$AA$141,3,FALSE),0)</f>
        <v>1.4310865771298606</v>
      </c>
      <c r="R283" s="33">
        <f>IFERROR(VLOOKUP(vcost_lb[[#This Row],[setting]],$A$6:$E$141,4,FALSE)+$K$6+VLOOKUP(vcost_lb[[#This Row],[setting]],$O$6:$AA$141,3,FALSE)+VLOOKUP(vcost_lb[[#This Row],[gbd_super]],$AH$6:$AK$11,3,FALSE),0)</f>
        <v>1.8867065771298606</v>
      </c>
      <c r="S283" s="33">
        <f>IFERROR(VLOOKUP(vcost_lb[[#This Row],[setting]],$A$6:$E$141,4,FALSE)+VLOOKUP(vcost_lb[[#This Row],[setting]],$O$6:$AA$141,6,FALSE),0)</f>
        <v>1.0572203435310075</v>
      </c>
      <c r="T283" s="33">
        <f>IFERROR(VLOOKUP(vcost_lb[[#This Row],[setting]],$A$6:$E$141,4,FALSE)+VLOOKUP(vcost_lb[[#This Row],[setting]],$O$6:$AA$141,6,FALSE)+VLOOKUP(vcost_lb[[#This Row],[gbd_super]],$AH$6:$AK$11,3,FALSE),0)</f>
        <v>1.5128403435310074</v>
      </c>
      <c r="U283" s="33">
        <f>IFERROR(VLOOKUP(vcost_lb[[#This Row],[setting]],$A$6:$E$141,4,FALSE)+VLOOKUP(vcost_lb[[#This Row],[setting]],$O$6:$AA$141,9,FALSE)+VLOOKUP(vcost_lb[[#This Row],[gbd_super]],$AH$6:$AK$11,3,FALSE),0)</f>
        <v>1.5050747297450657</v>
      </c>
      <c r="V283" s="33">
        <f>IFERROR(VLOOKUP(vcost_lb[[#This Row],[setting]],$A$6:$E$141,4,FALSE)+$K$8+VLOOKUP(vcost_lb[[#This Row],[setting]],$O$6:$AA$141,12,FALSE),0)</f>
        <v>1.6459564946221528</v>
      </c>
      <c r="W283" s="33">
        <f>IFERROR(VLOOKUP(vcost_lb[[#This Row],[setting]],$A$6:$E$141,4,FALSE)+$K$8+VLOOKUP(vcost_lb[[#This Row],[setting]],$O$6:$AA$141,12,FALSE)+VLOOKUP(vcost_lb[[#This Row],[gbd_super]],$AH$6:$AK$11,3,FALSE),0)</f>
        <v>2.1015764946221527</v>
      </c>
      <c r="AH283" s="100" t="s">
        <v>180</v>
      </c>
      <c r="AI283" s="134" t="s">
        <v>579</v>
      </c>
      <c r="AJ283" s="33">
        <f>IFERROR(VLOOKUP(vcost_ub[[#This Row],[setting]],$A$6:$E$141,5,FALSE)+$L$6+VLOOKUP(vcost_ub[[#This Row],[setting]],$O$6:$AA$141,4,FALSE),0)</f>
        <v>11.410880875321665</v>
      </c>
      <c r="AK283" s="33">
        <f>IFERROR(VLOOKUP(vcost_ub[[#This Row],[setting]],$A$6:$E$141,5,FALSE)+$L$6+VLOOKUP(vcost_ub[[#This Row],[setting]],$O$6:$AA$141,4,FALSE)+VLOOKUP(vcost_ub[[#This Row],[gbd_super]],$AH$6:$AK$11,4,FALSE),0)</f>
        <v>11.914460875321664</v>
      </c>
      <c r="AL283" s="33">
        <f>IFERROR(VLOOKUP(vcost_ub[[#This Row],[setting]],$A$6:$E$141,5,FALSE)+VLOOKUP(vcost_ub[[#This Row],[setting]],$O$6:$AA$141,7,FALSE),0)</f>
        <v>10.87238137412403</v>
      </c>
      <c r="AM283" s="33">
        <f>IFERROR(VLOOKUP(vcost_ub[[#This Row],[setting]],$A$6:$E$141,5,FALSE)+VLOOKUP(vcost_ub[[#This Row],[setting]],$O$6:$AA$141,7,FALSE)+VLOOKUP(vcost_ub[[#This Row],[gbd_super]],$AH$6:$AK$11,4,FALSE),0)</f>
        <v>11.37596137412403</v>
      </c>
      <c r="AN283" s="33">
        <f>IFERROR(VLOOKUP(vcost_ub[[#This Row],[setting]],$A$6:$E$141,5,FALSE)+VLOOKUP(vcost_ub[[#This Row],[setting]],$O$6:$AA$141,10,FALSE)+VLOOKUP(vcost_ub[[#This Row],[gbd_super]],$AH$6:$AK$11,4,FALSE),0)</f>
        <v>11.344898918980263</v>
      </c>
      <c r="AO283" s="33">
        <f>IFERROR(VLOOKUP(vcost_ub[[#This Row],[setting]],$A$6:$E$141,5,FALSE)+$L$8+VLOOKUP(vcost_ub[[#This Row],[setting]],$O$6:$AA$141,13,FALSE),0)</f>
        <v>11.689191403218821</v>
      </c>
      <c r="AP283" s="33">
        <f>IFERROR(VLOOKUP(vcost_ub[[#This Row],[setting]],$A$6:$E$141,5,FALSE)+$L$8+VLOOKUP(vcost_ub[[#This Row],[setting]],$O$6:$AA$141,13,FALSE)+VLOOKUP(vcost_ub[[#This Row],[gbd_super]],$AH$6:$AK$11,4,FALSE),0)</f>
        <v>12.192771403218821</v>
      </c>
    </row>
    <row r="284" spans="1:42" x14ac:dyDescent="0.25">
      <c r="A284" s="103" t="s">
        <v>188</v>
      </c>
      <c r="B284" s="135" t="s">
        <v>663</v>
      </c>
      <c r="C284">
        <f>IFERROR(VLOOKUP(vcost[[#This Row],[setting]],$A$6:$E$141,3,FALSE)+$J$6+VLOOKUP(vcost[[#This Row],[setting]],$O$6:$AA$141,2,FALSE),0)</f>
        <v>6.8348534122934801</v>
      </c>
      <c r="D284">
        <f>IFERROR(VLOOKUP(vcost[[#This Row],[setting]],$A$6:$E$141,3,FALSE)+$J$6+VLOOKUP(vcost[[#This Row],[setting]],$O$6:$AA$141,2,FALSE)+VLOOKUP(vcost[[#This Row],[gbd_super]],$AH$6:$AK$11,2,FALSE),0)</f>
        <v>10.90485341229348</v>
      </c>
      <c r="E284">
        <f>IFERROR(VLOOKUP(vcost[[#This Row],[setting]],$A$6:$E$141,3,FALSE)+VLOOKUP(vcost[[#This Row],[setting]],$O$6:$AA$141,5,FALSE),0)</f>
        <v>6.3950421389260592</v>
      </c>
      <c r="F284" s="33">
        <f>IFERROR(VLOOKUP(vcost[[#This Row],[setting]],$A$6:$E$141,3,FALSE)+VLOOKUP(vcost[[#This Row],[setting]],$O$6:$AA$141,5,FALSE)+VLOOKUP(vcost[[#This Row],[gbd_super]],$AH$6:$AK$11,2,FALSE),0)</f>
        <v>10.465042138926059</v>
      </c>
      <c r="G284" s="33">
        <f>IFERROR(VLOOKUP(vcost[[#This Row],[setting]],$A$6:$E$141,3,FALSE)+VLOOKUP(vcost[[#This Row],[setting]],$O$6:$AA$141,8,FALSE)+VLOOKUP(vcost[[#This Row],[gbd_super]],$AH$6:$AK$11,2,FALSE),0)</f>
        <v>10.456321968805099</v>
      </c>
      <c r="H284">
        <f>IFERROR(VLOOKUP(vcost[[#This Row],[setting]],$A$6:$E$141,3,FALSE)+$J$8+VLOOKUP(vcost[[#This Row],[setting]],$O$6:$AA$141,11,FALSE),0)</f>
        <v>7.0816160750212935</v>
      </c>
      <c r="I284" s="33">
        <f>IFERROR(VLOOKUP(vcost[[#This Row],[setting]],$A$6:$E$141,3,FALSE)+$J$8+VLOOKUP(vcost[[#This Row],[setting]],$O$6:$AA$141,11,FALSE)+VLOOKUP(vcost[[#This Row],[gbd_super]],$AH$6:$AK$11,2,FALSE),0)</f>
        <v>11.151616075021295</v>
      </c>
      <c r="O284" s="103" t="s">
        <v>188</v>
      </c>
      <c r="P284" s="135" t="s">
        <v>663</v>
      </c>
      <c r="Q284" s="33">
        <f>IFERROR(VLOOKUP(vcost_lb[[#This Row],[setting]],$A$6:$E$141,4,FALSE)+$K$6+VLOOKUP(vcost_lb[[#This Row],[setting]],$O$6:$AA$141,3,FALSE),0)</f>
        <v>2.8968546485049771</v>
      </c>
      <c r="R284" s="33">
        <f>IFERROR(VLOOKUP(vcost_lb[[#This Row],[setting]],$A$6:$E$141,4,FALSE)+$K$6+VLOOKUP(vcost_lb[[#This Row],[setting]],$O$6:$AA$141,3,FALSE)+VLOOKUP(vcost_lb[[#This Row],[gbd_super]],$AH$6:$AK$11,3,FALSE),0)</f>
        <v>6.7592696485049775</v>
      </c>
      <c r="S284" s="33">
        <f>IFERROR(VLOOKUP(vcost_lb[[#This Row],[setting]],$A$6:$E$141,4,FALSE)+VLOOKUP(vcost_lb[[#This Row],[setting]],$O$6:$AA$141,6,FALSE),0)</f>
        <v>2.5259250913987232</v>
      </c>
      <c r="T284" s="33">
        <f>IFERROR(VLOOKUP(vcost_lb[[#This Row],[setting]],$A$6:$E$141,4,FALSE)+VLOOKUP(vcost_lb[[#This Row],[setting]],$O$6:$AA$141,6,FALSE)+VLOOKUP(vcost_lb[[#This Row],[gbd_super]],$AH$6:$AK$11,3,FALSE),0)</f>
        <v>6.3883400913987236</v>
      </c>
      <c r="U284" s="33">
        <f>IFERROR(VLOOKUP(vcost_lb[[#This Row],[setting]],$A$6:$E$141,4,FALSE)+VLOOKUP(vcost_lb[[#This Row],[setting]],$O$6:$AA$141,9,FALSE)+VLOOKUP(vcost_lb[[#This Row],[gbd_super]],$AH$6:$AK$11,3,FALSE),0)</f>
        <v>6.3826031373717749</v>
      </c>
      <c r="V284" s="33">
        <f>IFERROR(VLOOKUP(vcost_lb[[#This Row],[setting]],$A$6:$E$141,4,FALSE)+$K$8+VLOOKUP(vcost_lb[[#This Row],[setting]],$O$6:$AA$141,12,FALSE),0)</f>
        <v>3.1104659903575835</v>
      </c>
      <c r="W284" s="33">
        <f>IFERROR(VLOOKUP(vcost_lb[[#This Row],[setting]],$A$6:$E$141,4,FALSE)+$K$8+VLOOKUP(vcost_lb[[#This Row],[setting]],$O$6:$AA$141,12,FALSE)+VLOOKUP(vcost_lb[[#This Row],[gbd_super]],$AH$6:$AK$11,3,FALSE),0)</f>
        <v>6.9728809903575844</v>
      </c>
      <c r="AH284" s="103" t="s">
        <v>188</v>
      </c>
      <c r="AI284" s="135" t="s">
        <v>663</v>
      </c>
      <c r="AJ284" s="33">
        <f>IFERROR(VLOOKUP(vcost_ub[[#This Row],[setting]],$A$6:$E$141,5,FALSE)+$L$6+VLOOKUP(vcost_ub[[#This Row],[setting]],$O$6:$AA$141,4,FALSE),0)</f>
        <v>14.068723344841279</v>
      </c>
      <c r="AK284" s="33">
        <f>IFERROR(VLOOKUP(vcost_ub[[#This Row],[setting]],$A$6:$E$141,5,FALSE)+$L$6+VLOOKUP(vcost_ub[[#This Row],[setting]],$O$6:$AA$141,4,FALSE)+VLOOKUP(vcost_ub[[#This Row],[gbd_super]],$AH$6:$AK$11,4,FALSE),0)</f>
        <v>18.337708344841282</v>
      </c>
      <c r="AL284" s="33">
        <f>IFERROR(VLOOKUP(vcost_ub[[#This Row],[setting]],$A$6:$E$141,5,FALSE)+VLOOKUP(vcost_ub[[#This Row],[setting]],$O$6:$AA$141,7,FALSE),0)</f>
        <v>13.543900365594894</v>
      </c>
      <c r="AM284" s="33">
        <f>IFERROR(VLOOKUP(vcost_ub[[#This Row],[setting]],$A$6:$E$141,5,FALSE)+VLOOKUP(vcost_ub[[#This Row],[setting]],$O$6:$AA$141,7,FALSE)+VLOOKUP(vcost_ub[[#This Row],[gbd_super]],$AH$6:$AK$11,4,FALSE),0)</f>
        <v>17.812885365594894</v>
      </c>
      <c r="AN284" s="33">
        <f>IFERROR(VLOOKUP(vcost_ub[[#This Row],[setting]],$A$6:$E$141,5,FALSE)+VLOOKUP(vcost_ub[[#This Row],[setting]],$O$6:$AA$141,10,FALSE)+VLOOKUP(vcost_ub[[#This Row],[gbd_super]],$AH$6:$AK$11,4,FALSE),0)</f>
        <v>17.789937549487099</v>
      </c>
      <c r="AO284" s="33">
        <f>IFERROR(VLOOKUP(vcost_ub[[#This Row],[setting]],$A$6:$E$141,5,FALSE)+$L$8+VLOOKUP(vcost_ub[[#This Row],[setting]],$O$6:$AA$141,13,FALSE),0)</f>
        <v>14.343929386160546</v>
      </c>
      <c r="AP284" s="33">
        <f>IFERROR(VLOOKUP(vcost_ub[[#This Row],[setting]],$A$6:$E$141,5,FALSE)+$L$8+VLOOKUP(vcost_ub[[#This Row],[setting]],$O$6:$AA$141,13,FALSE)+VLOOKUP(vcost_ub[[#This Row],[gbd_super]],$AH$6:$AK$11,4,FALSE),0)</f>
        <v>18.612914386160547</v>
      </c>
    </row>
    <row r="285" spans="1:42" x14ac:dyDescent="0.25">
      <c r="A285" s="100" t="s">
        <v>302</v>
      </c>
      <c r="B285" s="134" t="s">
        <v>666</v>
      </c>
      <c r="C285">
        <f>IFERROR(VLOOKUP(vcost[[#This Row],[setting]],$A$6:$E$141,3,FALSE)+$J$6+VLOOKUP(vcost[[#This Row],[setting]],$O$6:$AA$141,2,FALSE),0)</f>
        <v>17.106542827638439</v>
      </c>
      <c r="D285">
        <f>IFERROR(VLOOKUP(vcost[[#This Row],[setting]],$A$6:$E$141,3,FALSE)+$J$6+VLOOKUP(vcost[[#This Row],[setting]],$O$6:$AA$141,2,FALSE)+VLOOKUP(vcost[[#This Row],[gbd_super]],$AH$6:$AK$11,2,FALSE),0)</f>
        <v>17.736542827638438</v>
      </c>
      <c r="E285">
        <f>IFERROR(VLOOKUP(vcost[[#This Row],[setting]],$A$6:$E$141,3,FALSE)+VLOOKUP(vcost[[#This Row],[setting]],$O$6:$AA$141,5,FALSE),0)</f>
        <v>16.676292728840981</v>
      </c>
      <c r="F285" s="33">
        <f>IFERROR(VLOOKUP(vcost[[#This Row],[setting]],$A$6:$E$141,3,FALSE)+VLOOKUP(vcost[[#This Row],[setting]],$O$6:$AA$141,5,FALSE)+VLOOKUP(vcost[[#This Row],[gbd_super]],$AH$6:$AK$11,2,FALSE),0)</f>
        <v>17.30629272884098</v>
      </c>
      <c r="G285" s="33">
        <f>IFERROR(VLOOKUP(vcost[[#This Row],[setting]],$A$6:$E$141,3,FALSE)+VLOOKUP(vcost[[#This Row],[setting]],$O$6:$AA$141,8,FALSE)+VLOOKUP(vcost[[#This Row],[gbd_super]],$AH$6:$AK$11,2,FALSE),0)</f>
        <v>17.3015887679564</v>
      </c>
      <c r="H285">
        <f>IFERROR(VLOOKUP(vcost[[#This Row],[setting]],$A$6:$E$141,3,FALSE)+$J$8+VLOOKUP(vcost[[#This Row],[setting]],$O$6:$AA$141,11,FALSE),0)</f>
        <v>17.349859020463132</v>
      </c>
      <c r="I285" s="33">
        <f>IFERROR(VLOOKUP(vcost[[#This Row],[setting]],$A$6:$E$141,3,FALSE)+$J$8+VLOOKUP(vcost[[#This Row],[setting]],$O$6:$AA$141,11,FALSE)+VLOOKUP(vcost[[#This Row],[gbd_super]],$AH$6:$AK$11,2,FALSE),0)</f>
        <v>17.979859020463131</v>
      </c>
      <c r="O285" s="100" t="s">
        <v>302</v>
      </c>
      <c r="P285" s="134" t="s">
        <v>666</v>
      </c>
      <c r="Q285" s="33">
        <f>IFERROR(VLOOKUP(vcost_lb[[#This Row],[setting]],$A$6:$E$141,4,FALSE)+$K$6+VLOOKUP(vcost_lb[[#This Row],[setting]],$O$6:$AA$141,3,FALSE),0)</f>
        <v>4.926804650383505</v>
      </c>
      <c r="R285" s="33">
        <f>IFERROR(VLOOKUP(vcost_lb[[#This Row],[setting]],$A$6:$E$141,4,FALSE)+$K$6+VLOOKUP(vcost_lb[[#This Row],[setting]],$O$6:$AA$141,3,FALSE)+VLOOKUP(vcost_lb[[#This Row],[gbd_super]],$AH$6:$AK$11,3,FALSE),0)</f>
        <v>5.5273946503835045</v>
      </c>
      <c r="S285" s="33">
        <f>IFERROR(VLOOKUP(vcost_lb[[#This Row],[setting]],$A$6:$E$141,4,FALSE)+VLOOKUP(vcost_lb[[#This Row],[setting]],$O$6:$AA$141,6,FALSE),0)</f>
        <v>4.5597662689743279</v>
      </c>
      <c r="T285" s="33">
        <f>IFERROR(VLOOKUP(vcost_lb[[#This Row],[setting]],$A$6:$E$141,4,FALSE)+VLOOKUP(vcost_lb[[#This Row],[setting]],$O$6:$AA$141,6,FALSE)+VLOOKUP(vcost_lb[[#This Row],[gbd_super]],$AH$6:$AK$11,3,FALSE),0)</f>
        <v>5.1603562689743274</v>
      </c>
      <c r="U285" s="33">
        <f>IFERROR(VLOOKUP(vcost_lb[[#This Row],[setting]],$A$6:$E$141,4,FALSE)+VLOOKUP(vcost_lb[[#This Row],[setting]],$O$6:$AA$141,9,FALSE)+VLOOKUP(vcost_lb[[#This Row],[gbd_super]],$AH$6:$AK$11,3,FALSE),0)</f>
        <v>5.1572615578660521</v>
      </c>
      <c r="V285" s="33">
        <f>IFERROR(VLOOKUP(vcost_lb[[#This Row],[setting]],$A$6:$E$141,4,FALSE)+$K$8+VLOOKUP(vcost_lb[[#This Row],[setting]],$O$6:$AA$141,12,FALSE),0)</f>
        <v>5.1387483455087937</v>
      </c>
      <c r="W285" s="33">
        <f>IFERROR(VLOOKUP(vcost_lb[[#This Row],[setting]],$A$6:$E$141,4,FALSE)+$K$8+VLOOKUP(vcost_lb[[#This Row],[setting]],$O$6:$AA$141,12,FALSE)+VLOOKUP(vcost_lb[[#This Row],[gbd_super]],$AH$6:$AK$11,3,FALSE),0)</f>
        <v>5.7393383455087932</v>
      </c>
      <c r="AH285" s="100" t="s">
        <v>302</v>
      </c>
      <c r="AI285" s="134" t="s">
        <v>666</v>
      </c>
      <c r="AJ285" s="33">
        <f>IFERROR(VLOOKUP(vcost_ub[[#This Row],[setting]],$A$6:$E$141,5,FALSE)+$L$6+VLOOKUP(vcost_ub[[#This Row],[setting]],$O$6:$AA$141,4,FALSE),0)</f>
        <v>45.021066294040175</v>
      </c>
      <c r="AK285" s="33">
        <f>IFERROR(VLOOKUP(vcost_ub[[#This Row],[setting]],$A$6:$E$141,5,FALSE)+$L$6+VLOOKUP(vcost_ub[[#This Row],[setting]],$O$6:$AA$141,4,FALSE)+VLOOKUP(vcost_ub[[#This Row],[gbd_super]],$AH$6:$AK$11,4,FALSE),0)</f>
        <v>45.684876294040173</v>
      </c>
      <c r="AL285" s="33">
        <f>IFERROR(VLOOKUP(vcost_ub[[#This Row],[setting]],$A$6:$E$141,5,FALSE)+VLOOKUP(vcost_ub[[#This Row],[setting]],$O$6:$AA$141,7,FALSE),0)</f>
        <v>44.51436507589731</v>
      </c>
      <c r="AM285" s="33">
        <f>IFERROR(VLOOKUP(vcost_ub[[#This Row],[setting]],$A$6:$E$141,5,FALSE)+VLOOKUP(vcost_ub[[#This Row],[setting]],$O$6:$AA$141,7,FALSE)+VLOOKUP(vcost_ub[[#This Row],[gbd_super]],$AH$6:$AK$11,4,FALSE),0)</f>
        <v>45.178175075897308</v>
      </c>
      <c r="AN285" s="33">
        <f>IFERROR(VLOOKUP(vcost_ub[[#This Row],[setting]],$A$6:$E$141,5,FALSE)+VLOOKUP(vcost_ub[[#This Row],[setting]],$O$6:$AA$141,10,FALSE)+VLOOKUP(vcost_ub[[#This Row],[gbd_super]],$AH$6:$AK$11,4,FALSE),0)</f>
        <v>45.165796231464206</v>
      </c>
      <c r="AO285" s="33">
        <f>IFERROR(VLOOKUP(vcost_ub[[#This Row],[setting]],$A$6:$E$141,5,FALSE)+$L$8+VLOOKUP(vcost_ub[[#This Row],[setting]],$O$6:$AA$141,13,FALSE),0)</f>
        <v>45.292158806765386</v>
      </c>
      <c r="AP285" s="33">
        <f>IFERROR(VLOOKUP(vcost_ub[[#This Row],[setting]],$A$6:$E$141,5,FALSE)+$L$8+VLOOKUP(vcost_ub[[#This Row],[setting]],$O$6:$AA$141,13,FALSE)+VLOOKUP(vcost_ub[[#This Row],[gbd_super]],$AH$6:$AK$11,4,FALSE),0)</f>
        <v>45.955968806765384</v>
      </c>
    </row>
    <row r="286" spans="1:42" x14ac:dyDescent="0.25">
      <c r="A286" s="103" t="s">
        <v>117</v>
      </c>
      <c r="B286" s="135" t="s">
        <v>667</v>
      </c>
      <c r="C286">
        <f>IFERROR(VLOOKUP(vcost[[#This Row],[setting]],$A$6:$E$141,3,FALSE)+$J$6+VLOOKUP(vcost[[#This Row],[setting]],$O$6:$AA$141,2,FALSE),0)</f>
        <v>2.274665772948699</v>
      </c>
      <c r="D286">
        <f>IFERROR(VLOOKUP(vcost[[#This Row],[setting]],$A$6:$E$141,3,FALSE)+$J$6+VLOOKUP(vcost[[#This Row],[setting]],$O$6:$AA$141,2,FALSE)+VLOOKUP(vcost[[#This Row],[gbd_super]],$AH$6:$AK$11,2,FALSE),0)</f>
        <v>7.1046657729486995</v>
      </c>
      <c r="E286">
        <f>IFERROR(VLOOKUP(vcost[[#This Row],[setting]],$A$6:$E$141,3,FALSE)+VLOOKUP(vcost[[#This Row],[setting]],$O$6:$AA$141,5,FALSE),0)</f>
        <v>1.8498183081223352</v>
      </c>
      <c r="F286" s="33">
        <f>IFERROR(VLOOKUP(vcost[[#This Row],[setting]],$A$6:$E$141,3,FALSE)+VLOOKUP(vcost[[#This Row],[setting]],$O$6:$AA$141,5,FALSE)+VLOOKUP(vcost[[#This Row],[gbd_super]],$AH$6:$AK$11,2,FALSE),0)</f>
        <v>6.6798183081223357</v>
      </c>
      <c r="G286" s="33">
        <f>IFERROR(VLOOKUP(vcost[[#This Row],[setting]],$A$6:$E$141,3,FALSE)+VLOOKUP(vcost[[#This Row],[setting]],$O$6:$AA$141,8,FALSE)+VLOOKUP(vcost[[#This Row],[gbd_super]],$AH$6:$AK$11,2,FALSE),0)</f>
        <v>6.6771470480109612</v>
      </c>
      <c r="H286">
        <f>IFERROR(VLOOKUP(vcost[[#This Row],[setting]],$A$6:$E$141,3,FALSE)+$J$8+VLOOKUP(vcost[[#This Row],[setting]],$O$6:$AA$141,11,FALSE),0)</f>
        <v>2.5160345046907842</v>
      </c>
      <c r="I286" s="33">
        <f>IFERROR(VLOOKUP(vcost[[#This Row],[setting]],$A$6:$E$141,3,FALSE)+$J$8+VLOOKUP(vcost[[#This Row],[setting]],$O$6:$AA$141,11,FALSE)+VLOOKUP(vcost[[#This Row],[gbd_super]],$AH$6:$AK$11,2,FALSE),0)</f>
        <v>7.3460345046907847</v>
      </c>
      <c r="O286" s="103" t="s">
        <v>117</v>
      </c>
      <c r="P286" s="135" t="s">
        <v>667</v>
      </c>
      <c r="Q286" s="33">
        <f>IFERROR(VLOOKUP(vcost_lb[[#This Row],[setting]],$A$6:$E$141,4,FALSE)+$K$6+VLOOKUP(vcost_lb[[#This Row],[setting]],$O$6:$AA$141,3,FALSE),0)</f>
        <v>0.98686483773765421</v>
      </c>
      <c r="R286" s="33">
        <f>IFERROR(VLOOKUP(vcost_lb[[#This Row],[setting]],$A$6:$E$141,4,FALSE)+$K$6+VLOOKUP(vcost_lb[[#This Row],[setting]],$O$6:$AA$141,3,FALSE)+VLOOKUP(vcost_lb[[#This Row],[gbd_super]],$AH$6:$AK$11,3,FALSE),0)</f>
        <v>5.5741298377376545</v>
      </c>
      <c r="S286" s="33">
        <f>IFERROR(VLOOKUP(vcost_lb[[#This Row],[setting]],$A$6:$E$141,4,FALSE)+VLOOKUP(vcost_lb[[#This Row],[setting]],$O$6:$AA$141,6,FALSE),0)</f>
        <v>0.62202520271206263</v>
      </c>
      <c r="T286" s="33">
        <f>IFERROR(VLOOKUP(vcost_lb[[#This Row],[setting]],$A$6:$E$141,4,FALSE)+VLOOKUP(vcost_lb[[#This Row],[setting]],$O$6:$AA$141,6,FALSE)+VLOOKUP(vcost_lb[[#This Row],[gbd_super]],$AH$6:$AK$11,3,FALSE),0)</f>
        <v>5.2092902027120633</v>
      </c>
      <c r="U286" s="33">
        <f>IFERROR(VLOOKUP(vcost_lb[[#This Row],[setting]],$A$6:$E$141,4,FALSE)+VLOOKUP(vcost_lb[[#This Row],[setting]],$O$6:$AA$141,9,FALSE)+VLOOKUP(vcost_lb[[#This Row],[gbd_super]],$AH$6:$AK$11,3,FALSE),0)</f>
        <v>5.2075327947440542</v>
      </c>
      <c r="V286" s="33">
        <f>IFERROR(VLOOKUP(vcost_lb[[#This Row],[setting]],$A$6:$E$141,4,FALSE)+$K$8+VLOOKUP(vcost_lb[[#This Row],[setting]],$O$6:$AA$141,12,FALSE),0)</f>
        <v>1.1978662129842628</v>
      </c>
      <c r="W286" s="33">
        <f>IFERROR(VLOOKUP(vcost_lb[[#This Row],[setting]],$A$6:$E$141,4,FALSE)+$K$8+VLOOKUP(vcost_lb[[#This Row],[setting]],$O$6:$AA$141,12,FALSE)+VLOOKUP(vcost_lb[[#This Row],[gbd_super]],$AH$6:$AK$11,3,FALSE),0)</f>
        <v>5.7851312129842629</v>
      </c>
      <c r="AH286" s="103" t="s">
        <v>117</v>
      </c>
      <c r="AI286" s="135" t="s">
        <v>667</v>
      </c>
      <c r="AJ286" s="33">
        <f>IFERROR(VLOOKUP(vcost_ub[[#This Row],[setting]],$A$6:$E$141,5,FALSE)+$L$6+VLOOKUP(vcost_ub[[#This Row],[setting]],$O$6:$AA$141,4,FALSE),0)</f>
        <v>4.807662152976123</v>
      </c>
      <c r="AK286" s="33">
        <f>IFERROR(VLOOKUP(vcost_ub[[#This Row],[setting]],$A$6:$E$141,5,FALSE)+$L$6+VLOOKUP(vcost_ub[[#This Row],[setting]],$O$6:$AA$141,4,FALSE)+VLOOKUP(vcost_ub[[#This Row],[gbd_super]],$AH$6:$AK$11,4,FALSE),0)</f>
        <v>9.8777971529761235</v>
      </c>
      <c r="AL286" s="33">
        <f>IFERROR(VLOOKUP(vcost_ub[[#This Row],[setting]],$A$6:$E$141,5,FALSE)+VLOOKUP(vcost_ub[[#This Row],[setting]],$O$6:$AA$141,7,FALSE),0)</f>
        <v>4.3112008108482502</v>
      </c>
      <c r="AM286" s="33">
        <f>IFERROR(VLOOKUP(vcost_ub[[#This Row],[setting]],$A$6:$E$141,5,FALSE)+VLOOKUP(vcost_ub[[#This Row],[setting]],$O$6:$AA$141,7,FALSE)+VLOOKUP(vcost_ub[[#This Row],[gbd_super]],$AH$6:$AK$11,4,FALSE),0)</f>
        <v>9.3813358108482507</v>
      </c>
      <c r="AN286" s="33">
        <f>IFERROR(VLOOKUP(vcost_ub[[#This Row],[setting]],$A$6:$E$141,5,FALSE)+VLOOKUP(vcost_ub[[#This Row],[setting]],$O$6:$AA$141,10,FALSE)+VLOOKUP(vcost_ub[[#This Row],[gbd_super]],$AH$6:$AK$11,4,FALSE),0)</f>
        <v>9.3743061789762141</v>
      </c>
      <c r="AO286" s="33">
        <f>IFERROR(VLOOKUP(vcost_ub[[#This Row],[setting]],$A$6:$E$141,5,FALSE)+$L$8+VLOOKUP(vcost_ub[[#This Row],[setting]],$O$6:$AA$141,13,FALSE),0)</f>
        <v>5.0764302766672609</v>
      </c>
      <c r="AP286" s="33">
        <f>IFERROR(VLOOKUP(vcost_ub[[#This Row],[setting]],$A$6:$E$141,5,FALSE)+$L$8+VLOOKUP(vcost_ub[[#This Row],[setting]],$O$6:$AA$141,13,FALSE)+VLOOKUP(vcost_ub[[#This Row],[gbd_super]],$AH$6:$AK$11,4,FALSE),0)</f>
        <v>10.14656527666726</v>
      </c>
    </row>
    <row r="287" spans="1:42" x14ac:dyDescent="0.25">
      <c r="A287" s="100" t="s">
        <v>316</v>
      </c>
      <c r="B287" s="134" t="s">
        <v>663</v>
      </c>
      <c r="C287">
        <f>IFERROR(VLOOKUP(vcost[[#This Row],[setting]],$A$6:$E$141,3,FALSE)+$J$6+VLOOKUP(vcost[[#This Row],[setting]],$O$6:$AA$141,2,FALSE),0)</f>
        <v>1.2622957525439826</v>
      </c>
      <c r="D287">
        <f>IFERROR(VLOOKUP(vcost[[#This Row],[setting]],$A$6:$E$141,3,FALSE)+$J$6+VLOOKUP(vcost[[#This Row],[setting]],$O$6:$AA$141,2,FALSE)+VLOOKUP(vcost[[#This Row],[gbd_super]],$AH$6:$AK$11,2,FALSE),0)</f>
        <v>5.3322957525439829</v>
      </c>
      <c r="E287">
        <f>IFERROR(VLOOKUP(vcost[[#This Row],[setting]],$A$6:$E$141,3,FALSE)+VLOOKUP(vcost[[#This Row],[setting]],$O$6:$AA$141,5,FALSE),0)</f>
        <v>0.8226212615127152</v>
      </c>
      <c r="F287" s="33">
        <f>IFERROR(VLOOKUP(vcost[[#This Row],[setting]],$A$6:$E$141,3,FALSE)+VLOOKUP(vcost[[#This Row],[setting]],$O$6:$AA$141,5,FALSE)+VLOOKUP(vcost[[#This Row],[gbd_super]],$AH$6:$AK$11,2,FALSE),0)</f>
        <v>4.8926212615127156</v>
      </c>
      <c r="G287" s="33">
        <f>IFERROR(VLOOKUP(vcost[[#This Row],[setting]],$A$6:$E$141,3,FALSE)+VLOOKUP(vcost[[#This Row],[setting]],$O$6:$AA$141,8,FALSE)+VLOOKUP(vcost[[#This Row],[gbd_super]],$AH$6:$AK$11,2,FALSE),0)</f>
        <v>4.8836994955457191</v>
      </c>
      <c r="H287">
        <f>IFERROR(VLOOKUP(vcost[[#This Row],[setting]],$A$6:$E$141,3,FALSE)+$J$8+VLOOKUP(vcost[[#This Row],[setting]],$O$6:$AA$141,11,FALSE),0)</f>
        <v>1.5090091100110912</v>
      </c>
      <c r="I287" s="33">
        <f>IFERROR(VLOOKUP(vcost[[#This Row],[setting]],$A$6:$E$141,3,FALSE)+$J$8+VLOOKUP(vcost[[#This Row],[setting]],$O$6:$AA$141,11,FALSE)+VLOOKUP(vcost[[#This Row],[gbd_super]],$AH$6:$AK$11,2,FALSE),0)</f>
        <v>5.579009110011091</v>
      </c>
      <c r="O287" s="100" t="s">
        <v>316</v>
      </c>
      <c r="P287" s="134" t="s">
        <v>663</v>
      </c>
      <c r="Q287" s="33">
        <f>IFERROR(VLOOKUP(vcost_lb[[#This Row],[setting]],$A$6:$E$141,4,FALSE)+$K$6+VLOOKUP(vcost_lb[[#This Row],[setting]],$O$6:$AA$141,3,FALSE),0)</f>
        <v>0.51741945666110556</v>
      </c>
      <c r="R287" s="33">
        <f>IFERROR(VLOOKUP(vcost_lb[[#This Row],[setting]],$A$6:$E$141,4,FALSE)+$K$6+VLOOKUP(vcost_lb[[#This Row],[setting]],$O$6:$AA$141,3,FALSE)+VLOOKUP(vcost_lb[[#This Row],[gbd_super]],$AH$6:$AK$11,3,FALSE),0)</f>
        <v>4.379834456661106</v>
      </c>
      <c r="S287" s="33">
        <f>IFERROR(VLOOKUP(vcost_lb[[#This Row],[setting]],$A$6:$E$141,4,FALSE)+VLOOKUP(vcost_lb[[#This Row],[setting]],$O$6:$AA$141,6,FALSE),0)</f>
        <v>0.14654556678468106</v>
      </c>
      <c r="T287" s="33">
        <f>IFERROR(VLOOKUP(vcost_lb[[#This Row],[setting]],$A$6:$E$141,4,FALSE)+VLOOKUP(vcost_lb[[#This Row],[setting]],$O$6:$AA$141,6,FALSE)+VLOOKUP(vcost_lb[[#This Row],[gbd_super]],$AH$6:$AK$11,3,FALSE),0)</f>
        <v>4.0089605667846815</v>
      </c>
      <c r="U287" s="33">
        <f>IFERROR(VLOOKUP(vcost_lb[[#This Row],[setting]],$A$6:$E$141,4,FALSE)+VLOOKUP(vcost_lb[[#This Row],[setting]],$O$6:$AA$141,9,FALSE)+VLOOKUP(vcost_lb[[#This Row],[gbd_super]],$AH$6:$AK$11,3,FALSE),0)</f>
        <v>4.0030909839116573</v>
      </c>
      <c r="V287" s="33">
        <f>IFERROR(VLOOKUP(vcost_lb[[#This Row],[setting]],$A$6:$E$141,4,FALSE)+$K$8+VLOOKUP(vcost_lb[[#This Row],[setting]],$O$6:$AA$141,12,FALSE),0)</f>
        <v>0.7310069411294996</v>
      </c>
      <c r="W287" s="33">
        <f>IFERROR(VLOOKUP(vcost_lb[[#This Row],[setting]],$A$6:$E$141,4,FALSE)+$K$8+VLOOKUP(vcost_lb[[#This Row],[setting]],$O$6:$AA$141,12,FALSE)+VLOOKUP(vcost_lb[[#This Row],[gbd_super]],$AH$6:$AK$11,3,FALSE),0)</f>
        <v>4.5934219411294999</v>
      </c>
      <c r="AH287" s="100" t="s">
        <v>316</v>
      </c>
      <c r="AI287" s="134" t="s">
        <v>663</v>
      </c>
      <c r="AJ287" s="33">
        <f>IFERROR(VLOOKUP(vcost_ub[[#This Row],[setting]],$A$6:$E$141,5,FALSE)+$L$6+VLOOKUP(vcost_ub[[#This Row],[setting]],$O$6:$AA$141,4,FALSE),0)</f>
        <v>3.3355459961433342</v>
      </c>
      <c r="AK287" s="33">
        <f>IFERROR(VLOOKUP(vcost_ub[[#This Row],[setting]],$A$6:$E$141,5,FALSE)+$L$6+VLOOKUP(vcost_ub[[#This Row],[setting]],$O$6:$AA$141,4,FALSE)+VLOOKUP(vcost_ub[[#This Row],[gbd_super]],$AH$6:$AK$11,4,FALSE),0)</f>
        <v>7.6045309961433354</v>
      </c>
      <c r="AL287" s="33">
        <f>IFERROR(VLOOKUP(vcost_ub[[#This Row],[setting]],$A$6:$E$141,5,FALSE)+VLOOKUP(vcost_ub[[#This Row],[setting]],$O$6:$AA$141,7,FALSE),0)</f>
        <v>2.8109822671387241</v>
      </c>
      <c r="AM287" s="33">
        <f>IFERROR(VLOOKUP(vcost_ub[[#This Row],[setting]],$A$6:$E$141,5,FALSE)+VLOOKUP(vcost_ub[[#This Row],[setting]],$O$6:$AA$141,7,FALSE)+VLOOKUP(vcost_ub[[#This Row],[gbd_super]],$AH$6:$AK$11,4,FALSE),0)</f>
        <v>7.0799672671387253</v>
      </c>
      <c r="AN287" s="33">
        <f>IFERROR(VLOOKUP(vcost_ub[[#This Row],[setting]],$A$6:$E$141,5,FALSE)+VLOOKUP(vcost_ub[[#This Row],[setting]],$O$6:$AA$141,10,FALSE)+VLOOKUP(vcost_ub[[#This Row],[gbd_super]],$AH$6:$AK$11,4,FALSE),0)</f>
        <v>7.0564889356466294</v>
      </c>
      <c r="AO287" s="33">
        <f>IFERROR(VLOOKUP(vcost_ub[[#This Row],[setting]],$A$6:$E$141,5,FALSE)+$L$8+VLOOKUP(vcost_ub[[#This Row],[setting]],$O$6:$AA$141,13,FALSE),0)</f>
        <v>3.6106931892482086</v>
      </c>
      <c r="AP287" s="33">
        <f>IFERROR(VLOOKUP(vcost_ub[[#This Row],[setting]],$A$6:$E$141,5,FALSE)+$L$8+VLOOKUP(vcost_ub[[#This Row],[setting]],$O$6:$AA$141,13,FALSE)+VLOOKUP(vcost_ub[[#This Row],[gbd_super]],$AH$6:$AK$11,4,FALSE),0)</f>
        <v>7.8796781892482093</v>
      </c>
    </row>
    <row r="288" spans="1:42" x14ac:dyDescent="0.25">
      <c r="A288" s="103" t="s">
        <v>189</v>
      </c>
      <c r="B288" s="135" t="s">
        <v>663</v>
      </c>
      <c r="C288">
        <f>IFERROR(VLOOKUP(vcost[[#This Row],[setting]],$A$6:$E$141,3,FALSE)+$J$6+VLOOKUP(vcost[[#This Row],[setting]],$O$6:$AA$141,2,FALSE),0)</f>
        <v>3.2589097128978812</v>
      </c>
      <c r="D288">
        <f>IFERROR(VLOOKUP(vcost[[#This Row],[setting]],$A$6:$E$141,3,FALSE)+$J$6+VLOOKUP(vcost[[#This Row],[setting]],$O$6:$AA$141,2,FALSE)+VLOOKUP(vcost[[#This Row],[gbd_super]],$AH$6:$AK$11,2,FALSE),0)</f>
        <v>7.3289097128978815</v>
      </c>
      <c r="E288">
        <f>IFERROR(VLOOKUP(vcost[[#This Row],[setting]],$A$6:$E$141,3,FALSE)+VLOOKUP(vcost[[#This Row],[setting]],$O$6:$AA$141,5,FALSE),0)</f>
        <v>2.8310129959997297</v>
      </c>
      <c r="F288" s="33">
        <f>IFERROR(VLOOKUP(vcost[[#This Row],[setting]],$A$6:$E$141,3,FALSE)+VLOOKUP(vcost[[#This Row],[setting]],$O$6:$AA$141,5,FALSE)+VLOOKUP(vcost[[#This Row],[gbd_super]],$AH$6:$AK$11,2,FALSE),0)</f>
        <v>6.9010129959997304</v>
      </c>
      <c r="G288" s="33">
        <f>IFERROR(VLOOKUP(vcost[[#This Row],[setting]],$A$6:$E$141,3,FALSE)+VLOOKUP(vcost[[#This Row],[setting]],$O$6:$AA$141,8,FALSE)+VLOOKUP(vcost[[#This Row],[gbd_super]],$AH$6:$AK$11,2,FALSE),0)</f>
        <v>6.8970551083783498</v>
      </c>
      <c r="H288">
        <f>IFERROR(VLOOKUP(vcost[[#This Row],[setting]],$A$6:$E$141,3,FALSE)+$J$8+VLOOKUP(vcost[[#This Row],[setting]],$O$6:$AA$141,11,FALSE),0)</f>
        <v>3.5013775936425877</v>
      </c>
      <c r="I288" s="33">
        <f>IFERROR(VLOOKUP(vcost[[#This Row],[setting]],$A$6:$E$141,3,FALSE)+$J$8+VLOOKUP(vcost[[#This Row],[setting]],$O$6:$AA$141,11,FALSE)+VLOOKUP(vcost[[#This Row],[gbd_super]],$AH$6:$AK$11,2,FALSE),0)</f>
        <v>7.5713775936425876</v>
      </c>
      <c r="O288" s="103" t="s">
        <v>189</v>
      </c>
      <c r="P288" s="135" t="s">
        <v>663</v>
      </c>
      <c r="Q288" s="33">
        <f>IFERROR(VLOOKUP(vcost_lb[[#This Row],[setting]],$A$6:$E$141,4,FALSE)+$K$6+VLOOKUP(vcost_lb[[#This Row],[setting]],$O$6:$AA$141,3,FALSE),0)</f>
        <v>1.4533786333900029</v>
      </c>
      <c r="R288" s="33">
        <f>IFERROR(VLOOKUP(vcost_lb[[#This Row],[setting]],$A$6:$E$141,4,FALSE)+$K$6+VLOOKUP(vcost_lb[[#This Row],[setting]],$O$6:$AA$141,3,FALSE)+VLOOKUP(vcost_lb[[#This Row],[gbd_super]],$AH$6:$AK$11,3,FALSE),0)</f>
        <v>5.3157936333900029</v>
      </c>
      <c r="S288" s="33">
        <f>IFERROR(VLOOKUP(vcost_lb[[#This Row],[setting]],$A$6:$E$141,4,FALSE)+VLOOKUP(vcost_lb[[#This Row],[setting]],$O$6:$AA$141,6,FALSE),0)</f>
        <v>1.0872980236840324</v>
      </c>
      <c r="T288" s="33">
        <f>IFERROR(VLOOKUP(vcost_lb[[#This Row],[setting]],$A$6:$E$141,4,FALSE)+VLOOKUP(vcost_lb[[#This Row],[setting]],$O$6:$AA$141,6,FALSE)+VLOOKUP(vcost_lb[[#This Row],[gbd_super]],$AH$6:$AK$11,3,FALSE),0)</f>
        <v>4.9497130236840325</v>
      </c>
      <c r="U288" s="33">
        <f>IFERROR(VLOOKUP(vcost_lb[[#This Row],[setting]],$A$6:$E$141,4,FALSE)+VLOOKUP(vcost_lb[[#This Row],[setting]],$O$6:$AA$141,9,FALSE)+VLOOKUP(vcost_lb[[#This Row],[gbd_super]],$AH$6:$AK$11,3,FALSE),0)</f>
        <v>4.9471091502489148</v>
      </c>
      <c r="V288" s="33">
        <f>IFERROR(VLOOKUP(vcost_lb[[#This Row],[setting]],$A$6:$E$141,4,FALSE)+$K$8+VLOOKUP(vcost_lb[[#This Row],[setting]],$O$6:$AA$141,12,FALSE),0)</f>
        <v>1.6649118549282023</v>
      </c>
      <c r="W288" s="33">
        <f>IFERROR(VLOOKUP(vcost_lb[[#This Row],[setting]],$A$6:$E$141,4,FALSE)+$K$8+VLOOKUP(vcost_lb[[#This Row],[setting]],$O$6:$AA$141,12,FALSE)+VLOOKUP(vcost_lb[[#This Row],[gbd_super]],$AH$6:$AK$11,3,FALSE),0)</f>
        <v>5.5273268549282024</v>
      </c>
      <c r="AH288" s="103" t="s">
        <v>189</v>
      </c>
      <c r="AI288" s="135" t="s">
        <v>663</v>
      </c>
      <c r="AJ288" s="33">
        <f>IFERROR(VLOOKUP(vcost_ub[[#This Row],[setting]],$A$6:$E$141,5,FALSE)+$L$6+VLOOKUP(vcost_ub[[#This Row],[setting]],$O$6:$AA$141,4,FALSE),0)</f>
        <v>6.6436328332326262</v>
      </c>
      <c r="AK288" s="33">
        <f>IFERROR(VLOOKUP(vcost_ub[[#This Row],[setting]],$A$6:$E$141,5,FALSE)+$L$6+VLOOKUP(vcost_ub[[#This Row],[setting]],$O$6:$AA$141,4,FALSE)+VLOOKUP(vcost_ub[[#This Row],[gbd_super]],$AH$6:$AK$11,4,FALSE),0)</f>
        <v>10.912617833232627</v>
      </c>
      <c r="AL288" s="33">
        <f>IFERROR(VLOOKUP(vcost_ub[[#This Row],[setting]],$A$6:$E$141,5,FALSE)+VLOOKUP(vcost_ub[[#This Row],[setting]],$O$6:$AA$141,7,FALSE),0)</f>
        <v>6.1413920947361298</v>
      </c>
      <c r="AM288" s="33">
        <f>IFERROR(VLOOKUP(vcost_ub[[#This Row],[setting]],$A$6:$E$141,5,FALSE)+VLOOKUP(vcost_ub[[#This Row],[setting]],$O$6:$AA$141,7,FALSE)+VLOOKUP(vcost_ub[[#This Row],[gbd_super]],$AH$6:$AK$11,4,FALSE),0)</f>
        <v>10.41037709473613</v>
      </c>
      <c r="AN288" s="33">
        <f>IFERROR(VLOOKUP(vcost_ub[[#This Row],[setting]],$A$6:$E$141,5,FALSE)+VLOOKUP(vcost_ub[[#This Row],[setting]],$O$6:$AA$141,10,FALSE)+VLOOKUP(vcost_ub[[#This Row],[gbd_super]],$AH$6:$AK$11,4,FALSE),0)</f>
        <v>10.39996160099566</v>
      </c>
      <c r="AO288" s="33">
        <f>IFERROR(VLOOKUP(vcost_ub[[#This Row],[setting]],$A$6:$E$141,5,FALSE)+$L$8+VLOOKUP(vcost_ub[[#This Row],[setting]],$O$6:$AA$141,13,FALSE),0)</f>
        <v>6.9137128444430198</v>
      </c>
      <c r="AP288" s="33">
        <f>IFERROR(VLOOKUP(vcost_ub[[#This Row],[setting]],$A$6:$E$141,5,FALSE)+$L$8+VLOOKUP(vcost_ub[[#This Row],[setting]],$O$6:$AA$141,13,FALSE)+VLOOKUP(vcost_ub[[#This Row],[gbd_super]],$AH$6:$AK$11,4,FALSE),0)</f>
        <v>11.18269784444302</v>
      </c>
    </row>
    <row r="289" spans="1:42" x14ac:dyDescent="0.25">
      <c r="A289" s="100" t="s">
        <v>285</v>
      </c>
      <c r="B289" s="134" t="s">
        <v>666</v>
      </c>
      <c r="C289">
        <f>IFERROR(VLOOKUP(vcost[[#This Row],[setting]],$A$6:$E$141,3,FALSE)+$J$6+VLOOKUP(vcost[[#This Row],[setting]],$O$6:$AA$141,2,FALSE),0)</f>
        <v>6.7137627885238551</v>
      </c>
      <c r="D289">
        <f>IFERROR(VLOOKUP(vcost[[#This Row],[setting]],$A$6:$E$141,3,FALSE)+$J$6+VLOOKUP(vcost[[#This Row],[setting]],$O$6:$AA$141,2,FALSE)+VLOOKUP(vcost[[#This Row],[gbd_super]],$AH$6:$AK$11,2,FALSE),0)</f>
        <v>7.343762788523855</v>
      </c>
      <c r="E289">
        <f>IFERROR(VLOOKUP(vcost[[#This Row],[setting]],$A$6:$E$141,3,FALSE)+VLOOKUP(vcost[[#This Row],[setting]],$O$6:$AA$141,5,FALSE),0)</f>
        <v>6.2780872783921611</v>
      </c>
      <c r="F289" s="33">
        <f>IFERROR(VLOOKUP(vcost[[#This Row],[setting]],$A$6:$E$141,3,FALSE)+VLOOKUP(vcost[[#This Row],[setting]],$O$6:$AA$141,5,FALSE)+VLOOKUP(vcost[[#This Row],[gbd_super]],$AH$6:$AK$11,2,FALSE),0)</f>
        <v>6.908087278392161</v>
      </c>
      <c r="G289" s="33">
        <f>IFERROR(VLOOKUP(vcost[[#This Row],[setting]],$A$6:$E$141,3,FALSE)+VLOOKUP(vcost[[#This Row],[setting]],$O$6:$AA$141,8,FALSE)+VLOOKUP(vcost[[#This Row],[gbd_super]],$AH$6:$AK$11,2,FALSE),0)</f>
        <v>6.9011691575982548</v>
      </c>
      <c r="H289">
        <f>IFERROR(VLOOKUP(vcost[[#This Row],[setting]],$A$6:$E$141,3,FALSE)+$J$8+VLOOKUP(vcost[[#This Row],[setting]],$O$6:$AA$141,11,FALSE),0)</f>
        <v>6.9590346528759994</v>
      </c>
      <c r="I289" s="33">
        <f>IFERROR(VLOOKUP(vcost[[#This Row],[setting]],$A$6:$E$141,3,FALSE)+$J$8+VLOOKUP(vcost[[#This Row],[setting]],$O$6:$AA$141,11,FALSE)+VLOOKUP(vcost[[#This Row],[gbd_super]],$AH$6:$AK$11,2,FALSE),0)</f>
        <v>7.5890346528759993</v>
      </c>
      <c r="O289" s="100" t="s">
        <v>285</v>
      </c>
      <c r="P289" s="134" t="s">
        <v>666</v>
      </c>
      <c r="Q289" s="33">
        <f>IFERROR(VLOOKUP(vcost_lb[[#This Row],[setting]],$A$6:$E$141,4,FALSE)+$K$6+VLOOKUP(vcost_lb[[#This Row],[setting]],$O$6:$AA$141,3,FALSE),0)</f>
        <v>2.8309669755394329</v>
      </c>
      <c r="R289" s="33">
        <f>IFERROR(VLOOKUP(vcost_lb[[#This Row],[setting]],$A$6:$E$141,4,FALSE)+$K$6+VLOOKUP(vcost_lb[[#This Row],[setting]],$O$6:$AA$141,3,FALSE)+VLOOKUP(vcost_lb[[#This Row],[gbd_super]],$AH$6:$AK$11,3,FALSE),0)</f>
        <v>3.4315569755394328</v>
      </c>
      <c r="S289" s="33">
        <f>IFERROR(VLOOKUP(vcost_lb[[#This Row],[setting]],$A$6:$E$141,4,FALSE)+VLOOKUP(vcost_lb[[#This Row],[setting]],$O$6:$AA$141,6,FALSE),0)</f>
        <v>2.4617205778895794</v>
      </c>
      <c r="T289" s="33">
        <f>IFERROR(VLOOKUP(vcost_lb[[#This Row],[setting]],$A$6:$E$141,4,FALSE)+VLOOKUP(vcost_lb[[#This Row],[setting]],$O$6:$AA$141,6,FALSE)+VLOOKUP(vcost_lb[[#This Row],[gbd_super]],$AH$6:$AK$11,3,FALSE),0)</f>
        <v>3.0623105778895794</v>
      </c>
      <c r="U289" s="33">
        <f>IFERROR(VLOOKUP(vcost_lb[[#This Row],[setting]],$A$6:$E$141,4,FALSE)+VLOOKUP(vcost_lb[[#This Row],[setting]],$O$6:$AA$141,9,FALSE)+VLOOKUP(vcost_lb[[#This Row],[gbd_super]],$AH$6:$AK$11,3,FALSE),0)</f>
        <v>3.0577591826304307</v>
      </c>
      <c r="V289" s="33">
        <f>IFERROR(VLOOKUP(vcost_lb[[#This Row],[setting]],$A$6:$E$141,4,FALSE)+$K$8+VLOOKUP(vcost_lb[[#This Row],[setting]],$O$6:$AA$141,12,FALSE),0)</f>
        <v>3.0438569633392967</v>
      </c>
      <c r="W289" s="33">
        <f>IFERROR(VLOOKUP(vcost_lb[[#This Row],[setting]],$A$6:$E$141,4,FALSE)+$K$8+VLOOKUP(vcost_lb[[#This Row],[setting]],$O$6:$AA$141,12,FALSE)+VLOOKUP(vcost_lb[[#This Row],[gbd_super]],$AH$6:$AK$11,3,FALSE),0)</f>
        <v>3.6444469633392966</v>
      </c>
      <c r="AH289" s="100" t="s">
        <v>285</v>
      </c>
      <c r="AI289" s="134" t="s">
        <v>666</v>
      </c>
      <c r="AJ289" s="33">
        <f>IFERROR(VLOOKUP(vcost_ub[[#This Row],[setting]],$A$6:$E$141,5,FALSE)+$L$6+VLOOKUP(vcost_ub[[#This Row],[setting]],$O$6:$AA$141,4,FALSE),0)</f>
        <v>14.205766576764898</v>
      </c>
      <c r="AK289" s="33">
        <f>IFERROR(VLOOKUP(vcost_ub[[#This Row],[setting]],$A$6:$E$141,5,FALSE)+$L$6+VLOOKUP(vcost_ub[[#This Row],[setting]],$O$6:$AA$141,4,FALSE)+VLOOKUP(vcost_ub[[#This Row],[gbd_super]],$AH$6:$AK$11,4,FALSE),0)</f>
        <v>14.869576576764898</v>
      </c>
      <c r="AL289" s="33">
        <f>IFERROR(VLOOKUP(vcost_ub[[#This Row],[setting]],$A$6:$E$141,5,FALSE)+VLOOKUP(vcost_ub[[#This Row],[setting]],$O$6:$AA$141,7,FALSE),0)</f>
        <v>13.688782311558318</v>
      </c>
      <c r="AM289" s="33">
        <f>IFERROR(VLOOKUP(vcost_ub[[#This Row],[setting]],$A$6:$E$141,5,FALSE)+VLOOKUP(vcost_ub[[#This Row],[setting]],$O$6:$AA$141,7,FALSE)+VLOOKUP(vcost_ub[[#This Row],[gbd_super]],$AH$6:$AK$11,4,FALSE),0)</f>
        <v>14.352592311558318</v>
      </c>
      <c r="AN289" s="33">
        <f>IFERROR(VLOOKUP(vcost_ub[[#This Row],[setting]],$A$6:$E$141,5,FALSE)+VLOOKUP(vcost_ub[[#This Row],[setting]],$O$6:$AA$141,10,FALSE)+VLOOKUP(vcost_ub[[#This Row],[gbd_super]],$AH$6:$AK$11,4,FALSE),0)</f>
        <v>14.334386730521723</v>
      </c>
      <c r="AO289" s="33">
        <f>IFERROR(VLOOKUP(vcost_ub[[#This Row],[setting]],$A$6:$E$141,5,FALSE)+$L$8+VLOOKUP(vcost_ub[[#This Row],[setting]],$O$6:$AA$141,13,FALSE),0)</f>
        <v>14.479193278087399</v>
      </c>
      <c r="AP289" s="33">
        <f>IFERROR(VLOOKUP(vcost_ub[[#This Row],[setting]],$A$6:$E$141,5,FALSE)+$L$8+VLOOKUP(vcost_ub[[#This Row],[setting]],$O$6:$AA$141,13,FALSE)+VLOOKUP(vcost_ub[[#This Row],[gbd_super]],$AH$6:$AK$11,4,FALSE),0)</f>
        <v>15.143003278087399</v>
      </c>
    </row>
    <row r="290" spans="1:42" x14ac:dyDescent="0.25">
      <c r="A290" s="83" t="s">
        <v>275</v>
      </c>
      <c r="B290" s="135" t="s">
        <v>665</v>
      </c>
      <c r="C290">
        <f>IFERROR(VLOOKUP(vcost[[#This Row],[setting]],$A$6:$E$141,3,FALSE)+$J$6+VLOOKUP(vcost[[#This Row],[setting]],$O$6:$AA$141,2,FALSE),0)</f>
        <v>2.4664506943986586</v>
      </c>
      <c r="D290">
        <f>IFERROR(VLOOKUP(vcost[[#This Row],[setting]],$A$6:$E$141,3,FALSE)+$J$6+VLOOKUP(vcost[[#This Row],[setting]],$O$6:$AA$141,2,FALSE)+VLOOKUP(vcost[[#This Row],[gbd_super]],$AH$6:$AK$11,2,FALSE),0)</f>
        <v>2.4864506943986586</v>
      </c>
      <c r="E290">
        <f>IFERROR(VLOOKUP(vcost[[#This Row],[setting]],$A$6:$E$141,3,FALSE)+VLOOKUP(vcost[[#This Row],[setting]],$O$6:$AA$141,5,FALSE),0)</f>
        <v>1.994470493493921</v>
      </c>
      <c r="F290" s="33">
        <f>IFERROR(VLOOKUP(vcost[[#This Row],[setting]],$A$6:$E$141,3,FALSE)+VLOOKUP(vcost[[#This Row],[setting]],$O$6:$AA$141,5,FALSE)+VLOOKUP(vcost[[#This Row],[gbd_super]],$AH$6:$AK$11,2,FALSE),0)</f>
        <v>2.014470493493921</v>
      </c>
      <c r="G290" s="33">
        <f>IFERROR(VLOOKUP(vcost[[#This Row],[setting]],$A$6:$E$141,3,FALSE)+VLOOKUP(vcost[[#This Row],[setting]],$O$6:$AA$141,8,FALSE)+VLOOKUP(vcost[[#This Row],[gbd_super]],$AH$6:$AK$11,2,FALSE),0)</f>
        <v>1.991178142942807</v>
      </c>
      <c r="H290">
        <f>IFERROR(VLOOKUP(vcost[[#This Row],[setting]],$A$6:$E$141,3,FALSE)+$J$8+VLOOKUP(vcost[[#This Row],[setting]],$O$6:$AA$141,11,FALSE),0)</f>
        <v>2.7248091333317852</v>
      </c>
      <c r="I290" s="33">
        <f>IFERROR(VLOOKUP(vcost[[#This Row],[setting]],$A$6:$E$141,3,FALSE)+$J$8+VLOOKUP(vcost[[#This Row],[setting]],$O$6:$AA$141,11,FALSE)+VLOOKUP(vcost[[#This Row],[gbd_super]],$AH$6:$AK$11,2,FALSE),0)</f>
        <v>2.7448091333317852</v>
      </c>
      <c r="O290" s="83" t="s">
        <v>275</v>
      </c>
      <c r="P290" s="135" t="s">
        <v>665</v>
      </c>
      <c r="Q290" s="33">
        <f>IFERROR(VLOOKUP(vcost_lb[[#This Row],[setting]],$A$6:$E$141,4,FALSE)+$K$6+VLOOKUP(vcost_lb[[#This Row],[setting]],$O$6:$AA$141,3,FALSE),0)</f>
        <v>0.68324951874534912</v>
      </c>
      <c r="R290" s="33">
        <f>IFERROR(VLOOKUP(vcost_lb[[#This Row],[setting]],$A$6:$E$141,4,FALSE)+$K$6+VLOOKUP(vcost_lb[[#This Row],[setting]],$O$6:$AA$141,3,FALSE)+VLOOKUP(vcost_lb[[#This Row],[gbd_super]],$AH$6:$AK$11,3,FALSE),0)</f>
        <v>0.70395951874534912</v>
      </c>
      <c r="S290" s="33">
        <f>IFERROR(VLOOKUP(vcost_lb[[#This Row],[setting]],$A$6:$E$141,4,FALSE)+VLOOKUP(vcost_lb[[#This Row],[setting]],$O$6:$AA$141,6,FALSE),0)</f>
        <v>0.29922795624600079</v>
      </c>
      <c r="T290" s="33">
        <f>IFERROR(VLOOKUP(vcost_lb[[#This Row],[setting]],$A$6:$E$141,4,FALSE)+VLOOKUP(vcost_lb[[#This Row],[setting]],$O$6:$AA$141,6,FALSE)+VLOOKUP(vcost_lb[[#This Row],[gbd_super]],$AH$6:$AK$11,3,FALSE),0)</f>
        <v>0.3199379562460008</v>
      </c>
      <c r="U290" s="33">
        <f>IFERROR(VLOOKUP(vcost_lb[[#This Row],[setting]],$A$6:$E$141,4,FALSE)+VLOOKUP(vcost_lb[[#This Row],[setting]],$O$6:$AA$141,9,FALSE)+VLOOKUP(vcost_lb[[#This Row],[gbd_super]],$AH$6:$AK$11,3,FALSE),0)</f>
        <v>0.30461404140974158</v>
      </c>
      <c r="V290" s="33">
        <f>IFERROR(VLOOKUP(vcost_lb[[#This Row],[setting]],$A$6:$E$141,4,FALSE)+$K$8+VLOOKUP(vcost_lb[[#This Row],[setting]],$O$6:$AA$141,12,FALSE),0)</f>
        <v>0.90247172005213905</v>
      </c>
      <c r="W290" s="33">
        <f>IFERROR(VLOOKUP(vcost_lb[[#This Row],[setting]],$A$6:$E$141,4,FALSE)+$K$8+VLOOKUP(vcost_lb[[#This Row],[setting]],$O$6:$AA$141,12,FALSE)+VLOOKUP(vcost_lb[[#This Row],[gbd_super]],$AH$6:$AK$11,3,FALSE),0)</f>
        <v>0.92318172005213905</v>
      </c>
      <c r="AH290" s="83" t="s">
        <v>275</v>
      </c>
      <c r="AI290" s="135" t="s">
        <v>665</v>
      </c>
      <c r="AJ290" s="33">
        <f>IFERROR(VLOOKUP(vcost_ub[[#This Row],[setting]],$A$6:$E$141,5,FALSE)+$L$6+VLOOKUP(vcost_ub[[#This Row],[setting]],$O$6:$AA$141,4,FALSE),0)</f>
        <v>7.756706143632516</v>
      </c>
      <c r="AK290" s="33">
        <f>IFERROR(VLOOKUP(vcost_ub[[#This Row],[setting]],$A$6:$E$141,5,FALSE)+$L$6+VLOOKUP(vcost_ub[[#This Row],[setting]],$O$6:$AA$141,4,FALSE)+VLOOKUP(vcost_ub[[#This Row],[gbd_super]],$AH$6:$AK$11,4,FALSE),0)</f>
        <v>7.7795961436325163</v>
      </c>
      <c r="AL290" s="33">
        <f>IFERROR(VLOOKUP(vcost_ub[[#This Row],[setting]],$A$6:$E$141,5,FALSE)+VLOOKUP(vcost_ub[[#This Row],[setting]],$O$6:$AA$141,7,FALSE),0)</f>
        <v>7.1709118249840031</v>
      </c>
      <c r="AM290" s="33">
        <f>IFERROR(VLOOKUP(vcost_ub[[#This Row],[setting]],$A$6:$E$141,5,FALSE)+VLOOKUP(vcost_ub[[#This Row],[setting]],$O$6:$AA$141,7,FALSE)+VLOOKUP(vcost_ub[[#This Row],[gbd_super]],$AH$6:$AK$11,4,FALSE),0)</f>
        <v>7.1938018249840034</v>
      </c>
      <c r="AN290" s="33">
        <f>IFERROR(VLOOKUP(vcost_ub[[#This Row],[setting]],$A$6:$E$141,5,FALSE)+VLOOKUP(vcost_ub[[#This Row],[setting]],$O$6:$AA$141,10,FALSE)+VLOOKUP(vcost_ub[[#This Row],[gbd_super]],$AH$6:$AK$11,4,FALSE),0)</f>
        <v>7.1325061656389668</v>
      </c>
      <c r="AO290" s="33">
        <f>IFERROR(VLOOKUP(vcost_ub[[#This Row],[setting]],$A$6:$E$141,5,FALSE)+$L$8+VLOOKUP(vcost_ub[[#This Row],[setting]],$O$6:$AA$141,13,FALSE),0)</f>
        <v>8.045752304938766</v>
      </c>
      <c r="AP290" s="33">
        <f>IFERROR(VLOOKUP(vcost_ub[[#This Row],[setting]],$A$6:$E$141,5,FALSE)+$L$8+VLOOKUP(vcost_ub[[#This Row],[setting]],$O$6:$AA$141,13,FALSE)+VLOOKUP(vcost_ub[[#This Row],[gbd_super]],$AH$6:$AK$11,4,FALSE),0)</f>
        <v>8.0686423049387663</v>
      </c>
    </row>
    <row r="291" spans="1:42" x14ac:dyDescent="0.25">
      <c r="A291" s="100" t="s">
        <v>221</v>
      </c>
      <c r="B291" s="134" t="s">
        <v>666</v>
      </c>
      <c r="C291">
        <f>IFERROR(VLOOKUP(vcost[[#This Row],[setting]],$A$6:$E$141,3,FALSE)+$J$6+VLOOKUP(vcost[[#This Row],[setting]],$O$6:$AA$141,2,FALSE),0)</f>
        <v>1.7052590348850647</v>
      </c>
      <c r="D291">
        <f>IFERROR(VLOOKUP(vcost[[#This Row],[setting]],$A$6:$E$141,3,FALSE)+$J$6+VLOOKUP(vcost[[#This Row],[setting]],$O$6:$AA$141,2,FALSE)+VLOOKUP(vcost[[#This Row],[gbd_super]],$AH$6:$AK$11,2,FALSE),0)</f>
        <v>2.3352590348850648</v>
      </c>
      <c r="E291">
        <f>IFERROR(VLOOKUP(vcost[[#This Row],[setting]],$A$6:$E$141,3,FALSE)+VLOOKUP(vcost[[#This Row],[setting]],$O$6:$AA$141,5,FALSE),0)</f>
        <v>1.2710188507591487</v>
      </c>
      <c r="F291" s="33">
        <f>IFERROR(VLOOKUP(vcost[[#This Row],[setting]],$A$6:$E$141,3,FALSE)+VLOOKUP(vcost[[#This Row],[setting]],$O$6:$AA$141,5,FALSE)+VLOOKUP(vcost[[#This Row],[gbd_super]],$AH$6:$AK$11,2,FALSE),0)</f>
        <v>1.9010188507591486</v>
      </c>
      <c r="G291" s="33">
        <f>IFERROR(VLOOKUP(vcost[[#This Row],[setting]],$A$6:$E$141,3,FALSE)+VLOOKUP(vcost[[#This Row],[setting]],$O$6:$AA$141,8,FALSE)+VLOOKUP(vcost[[#This Row],[gbd_super]],$AH$6:$AK$11,2,FALSE),0)</f>
        <v>1.8942429992135907</v>
      </c>
      <c r="H291">
        <f>IFERROR(VLOOKUP(vcost[[#This Row],[setting]],$A$6:$E$141,3,FALSE)+$J$8+VLOOKUP(vcost[[#This Row],[setting]],$O$6:$AA$141,11,FALSE),0)</f>
        <v>1.950013514281639</v>
      </c>
      <c r="I291" s="33">
        <f>IFERROR(VLOOKUP(vcost[[#This Row],[setting]],$A$6:$E$141,3,FALSE)+$J$8+VLOOKUP(vcost[[#This Row],[setting]],$O$6:$AA$141,11,FALSE)+VLOOKUP(vcost[[#This Row],[gbd_super]],$AH$6:$AK$11,2,FALSE),0)</f>
        <v>2.5800135142816392</v>
      </c>
      <c r="O291" s="100" t="s">
        <v>221</v>
      </c>
      <c r="P291" s="134" t="s">
        <v>666</v>
      </c>
      <c r="Q291" s="33">
        <f>IFERROR(VLOOKUP(vcost_lb[[#This Row],[setting]],$A$6:$E$141,4,FALSE)+$K$6+VLOOKUP(vcost_lb[[#This Row],[setting]],$O$6:$AA$141,3,FALSE),0)</f>
        <v>0.74894833937093241</v>
      </c>
      <c r="R291" s="33">
        <f>IFERROR(VLOOKUP(vcost_lb[[#This Row],[setting]],$A$6:$E$141,4,FALSE)+$K$6+VLOOKUP(vcost_lb[[#This Row],[setting]],$O$6:$AA$141,3,FALSE)+VLOOKUP(vcost_lb[[#This Row],[gbd_super]],$AH$6:$AK$11,3,FALSE),0)</f>
        <v>1.3495383393709324</v>
      </c>
      <c r="S291" s="33">
        <f>IFERROR(VLOOKUP(vcost_lb[[#This Row],[setting]],$A$6:$E$141,4,FALSE)+VLOOKUP(vcost_lb[[#This Row],[setting]],$O$6:$AA$141,6,FALSE),0)</f>
        <v>0.3802860860257557</v>
      </c>
      <c r="T291" s="33">
        <f>IFERROR(VLOOKUP(vcost_lb[[#This Row],[setting]],$A$6:$E$141,4,FALSE)+VLOOKUP(vcost_lb[[#This Row],[setting]],$O$6:$AA$141,6,FALSE)+VLOOKUP(vcost_lb[[#This Row],[gbd_super]],$AH$6:$AK$11,3,FALSE),0)</f>
        <v>0.98087608602575571</v>
      </c>
      <c r="U291" s="33">
        <f>IFERROR(VLOOKUP(vcost_lb[[#This Row],[setting]],$A$6:$E$141,4,FALSE)+VLOOKUP(vcost_lb[[#This Row],[setting]],$O$6:$AA$141,9,FALSE)+VLOOKUP(vcost_lb[[#This Row],[gbd_super]],$AH$6:$AK$11,3,FALSE),0)</f>
        <v>0.97641828895630955</v>
      </c>
      <c r="V291" s="33">
        <f>IFERROR(VLOOKUP(vcost_lb[[#This Row],[setting]],$A$6:$E$141,4,FALSE)+$K$8+VLOOKUP(vcost_lb[[#This Row],[setting]],$O$6:$AA$141,12,FALSE),0)</f>
        <v>0.96158797961164888</v>
      </c>
      <c r="W291" s="33">
        <f>IFERROR(VLOOKUP(vcost_lb[[#This Row],[setting]],$A$6:$E$141,4,FALSE)+$K$8+VLOOKUP(vcost_lb[[#This Row],[setting]],$O$6:$AA$141,12,FALSE)+VLOOKUP(vcost_lb[[#This Row],[gbd_super]],$AH$6:$AK$11,3,FALSE),0)</f>
        <v>1.5621779796116488</v>
      </c>
      <c r="AH291" s="100" t="s">
        <v>221</v>
      </c>
      <c r="AI291" s="134" t="s">
        <v>666</v>
      </c>
      <c r="AJ291" s="33">
        <f>IFERROR(VLOOKUP(vcost_ub[[#This Row],[setting]],$A$6:$E$141,5,FALSE)+$L$6+VLOOKUP(vcost_ub[[#This Row],[setting]],$O$6:$AA$141,4,FALSE),0)</f>
        <v>3.7658081658335361</v>
      </c>
      <c r="AK291" s="33">
        <f>IFERROR(VLOOKUP(vcost_ub[[#This Row],[setting]],$A$6:$E$141,5,FALSE)+$L$6+VLOOKUP(vcost_ub[[#This Row],[setting]],$O$6:$AA$141,4,FALSE)+VLOOKUP(vcost_ub[[#This Row],[gbd_super]],$AH$6:$AK$11,4,FALSE),0)</f>
        <v>4.4296181658335358</v>
      </c>
      <c r="AL291" s="33">
        <f>IFERROR(VLOOKUP(vcost_ub[[#This Row],[setting]],$A$6:$E$141,5,FALSE)+VLOOKUP(vcost_ub[[#This Row],[setting]],$O$6:$AA$141,7,FALSE),0)</f>
        <v>3.2515443441030225</v>
      </c>
      <c r="AM291" s="33">
        <f>IFERROR(VLOOKUP(vcost_ub[[#This Row],[setting]],$A$6:$E$141,5,FALSE)+VLOOKUP(vcost_ub[[#This Row],[setting]],$O$6:$AA$141,7,FALSE)+VLOOKUP(vcost_ub[[#This Row],[gbd_super]],$AH$6:$AK$11,4,FALSE),0)</f>
        <v>3.9153543441030223</v>
      </c>
      <c r="AN291" s="33">
        <f>IFERROR(VLOOKUP(vcost_ub[[#This Row],[setting]],$A$6:$E$141,5,FALSE)+VLOOKUP(vcost_ub[[#This Row],[setting]],$O$6:$AA$141,10,FALSE)+VLOOKUP(vcost_ub[[#This Row],[gbd_super]],$AH$6:$AK$11,4,FALSE),0)</f>
        <v>3.8975231558252386</v>
      </c>
      <c r="AO291" s="33">
        <f>IFERROR(VLOOKUP(vcost_ub[[#This Row],[setting]],$A$6:$E$141,5,FALSE)+$L$8+VLOOKUP(vcost_ub[[#This Row],[setting]],$O$6:$AA$141,13,FALSE),0)</f>
        <v>4.0386173431768055</v>
      </c>
      <c r="AP291" s="33">
        <f>IFERROR(VLOOKUP(vcost_ub[[#This Row],[setting]],$A$6:$E$141,5,FALSE)+$L$8+VLOOKUP(vcost_ub[[#This Row],[setting]],$O$6:$AA$141,13,FALSE)+VLOOKUP(vcost_ub[[#This Row],[gbd_super]],$AH$6:$AK$11,4,FALSE),0)</f>
        <v>4.7024273431768053</v>
      </c>
    </row>
    <row r="292" spans="1:42" x14ac:dyDescent="0.25">
      <c r="A292" s="103" t="s">
        <v>182</v>
      </c>
      <c r="B292" s="135" t="s">
        <v>579</v>
      </c>
      <c r="C292">
        <f>IFERROR(VLOOKUP(vcost[[#This Row],[setting]],$A$6:$E$141,3,FALSE)+$J$6+VLOOKUP(vcost[[#This Row],[setting]],$O$6:$AA$141,2,FALSE),0)</f>
        <v>1.3480996051170335</v>
      </c>
      <c r="D292">
        <f>IFERROR(VLOOKUP(vcost[[#This Row],[setting]],$A$6:$E$141,3,FALSE)+$J$6+VLOOKUP(vcost[[#This Row],[setting]],$O$6:$AA$141,2,FALSE)+VLOOKUP(vcost[[#This Row],[gbd_super]],$AH$6:$AK$11,2,FALSE),0)</f>
        <v>1.8280996051170335</v>
      </c>
      <c r="E292">
        <f>IFERROR(VLOOKUP(vcost[[#This Row],[setting]],$A$6:$E$141,3,FALSE)+VLOOKUP(vcost[[#This Row],[setting]],$O$6:$AA$141,5,FALSE),0)</f>
        <v>0.9230218343247637</v>
      </c>
      <c r="F292" s="33">
        <f>IFERROR(VLOOKUP(vcost[[#This Row],[setting]],$A$6:$E$141,3,FALSE)+VLOOKUP(vcost[[#This Row],[setting]],$O$6:$AA$141,5,FALSE)+VLOOKUP(vcost[[#This Row],[gbd_super]],$AH$6:$AK$11,2,FALSE),0)</f>
        <v>1.4030218343247638</v>
      </c>
      <c r="G292" s="33">
        <f>IFERROR(VLOOKUP(vcost[[#This Row],[setting]],$A$6:$E$141,3,FALSE)+VLOOKUP(vcost[[#This Row],[setting]],$O$6:$AA$141,8,FALSE)+VLOOKUP(vcost[[#This Row],[gbd_super]],$AH$6:$AK$11,2,FALSE),0)</f>
        <v>1.4000602292984023</v>
      </c>
      <c r="H292">
        <f>IFERROR(VLOOKUP(vcost[[#This Row],[setting]],$A$6:$E$141,3,FALSE)+$J$8+VLOOKUP(vcost[[#This Row],[setting]],$O$6:$AA$141,11,FALSE),0)</f>
        <v>1.5895513541258988</v>
      </c>
      <c r="I292" s="33">
        <f>IFERROR(VLOOKUP(vcost[[#This Row],[setting]],$A$6:$E$141,3,FALSE)+$J$8+VLOOKUP(vcost[[#This Row],[setting]],$O$6:$AA$141,11,FALSE)+VLOOKUP(vcost[[#This Row],[gbd_super]],$AH$6:$AK$11,2,FALSE),0)</f>
        <v>2.069551354125899</v>
      </c>
      <c r="O292" s="103" t="s">
        <v>182</v>
      </c>
      <c r="P292" s="135" t="s">
        <v>579</v>
      </c>
      <c r="Q292" s="33">
        <f>IFERROR(VLOOKUP(vcost_lb[[#This Row],[setting]],$A$6:$E$141,4,FALSE)+$K$6+VLOOKUP(vcost_lb[[#This Row],[setting]],$O$6:$AA$141,3,FALSE),0)</f>
        <v>0.6265924657272125</v>
      </c>
      <c r="R292" s="33">
        <f>IFERROR(VLOOKUP(vcost_lb[[#This Row],[setting]],$A$6:$E$141,4,FALSE)+$K$6+VLOOKUP(vcost_lb[[#This Row],[setting]],$O$6:$AA$141,3,FALSE)+VLOOKUP(vcost_lb[[#This Row],[gbd_super]],$AH$6:$AK$11,3,FALSE),0)</f>
        <v>1.0822124657272125</v>
      </c>
      <c r="S292" s="33">
        <f>IFERROR(VLOOKUP(vcost_lb[[#This Row],[setting]],$A$6:$E$141,4,FALSE)+VLOOKUP(vcost_lb[[#This Row],[setting]],$O$6:$AA$141,6,FALSE),0)</f>
        <v>0.26165910152944982</v>
      </c>
      <c r="T292" s="33">
        <f>IFERROR(VLOOKUP(vcost_lb[[#This Row],[setting]],$A$6:$E$141,4,FALSE)+VLOOKUP(vcost_lb[[#This Row],[setting]],$O$6:$AA$141,6,FALSE)+VLOOKUP(vcost_lb[[#This Row],[gbd_super]],$AH$6:$AK$11,3,FALSE),0)</f>
        <v>0.71727910152944985</v>
      </c>
      <c r="U292" s="33">
        <f>IFERROR(VLOOKUP(vcost_lb[[#This Row],[setting]],$A$6:$E$141,4,FALSE)+VLOOKUP(vcost_lb[[#This Row],[setting]],$O$6:$AA$141,9,FALSE)+VLOOKUP(vcost_lb[[#This Row],[gbd_super]],$AH$6:$AK$11,3,FALSE),0)</f>
        <v>0.71533067717000143</v>
      </c>
      <c r="V292" s="33">
        <f>IFERROR(VLOOKUP(vcost_lb[[#This Row],[setting]],$A$6:$E$141,4,FALSE)+$K$8+VLOOKUP(vcost_lb[[#This Row],[setting]],$O$6:$AA$141,12,FALSE),0)</f>
        <v>0.83763401061903708</v>
      </c>
      <c r="W292" s="33">
        <f>IFERROR(VLOOKUP(vcost_lb[[#This Row],[setting]],$A$6:$E$141,4,FALSE)+$K$8+VLOOKUP(vcost_lb[[#This Row],[setting]],$O$6:$AA$141,12,FALSE)+VLOOKUP(vcost_lb[[#This Row],[gbd_super]],$AH$6:$AK$11,3,FALSE),0)</f>
        <v>1.2932540106190371</v>
      </c>
      <c r="AH292" s="103" t="s">
        <v>182</v>
      </c>
      <c r="AI292" s="135" t="s">
        <v>579</v>
      </c>
      <c r="AJ292" s="33">
        <f>IFERROR(VLOOKUP(vcost_ub[[#This Row],[setting]],$A$6:$E$141,5,FALSE)+$L$6+VLOOKUP(vcost_ub[[#This Row],[setting]],$O$6:$AA$141,4,FALSE),0)</f>
        <v>2.9855342583903552</v>
      </c>
      <c r="AK292" s="33">
        <f>IFERROR(VLOOKUP(vcost_ub[[#This Row],[setting]],$A$6:$E$141,5,FALSE)+$L$6+VLOOKUP(vcost_ub[[#This Row],[setting]],$O$6:$AA$141,4,FALSE)+VLOOKUP(vcost_ub[[#This Row],[gbd_super]],$AH$6:$AK$11,4,FALSE),0)</f>
        <v>3.4891142583903552</v>
      </c>
      <c r="AL292" s="33">
        <f>IFERROR(VLOOKUP(vcost_ub[[#This Row],[setting]],$A$6:$E$141,5,FALSE)+VLOOKUP(vcost_ub[[#This Row],[setting]],$O$6:$AA$141,7,FALSE),0)</f>
        <v>2.488636406117799</v>
      </c>
      <c r="AM292" s="33">
        <f>IFERROR(VLOOKUP(vcost_ub[[#This Row],[setting]],$A$6:$E$141,5,FALSE)+VLOOKUP(vcost_ub[[#This Row],[setting]],$O$6:$AA$141,7,FALSE)+VLOOKUP(vcost_ub[[#This Row],[gbd_super]],$AH$6:$AK$11,4,FALSE),0)</f>
        <v>2.9922164061177989</v>
      </c>
      <c r="AN292" s="33">
        <f>IFERROR(VLOOKUP(vcost_ub[[#This Row],[setting]],$A$6:$E$141,5,FALSE)+VLOOKUP(vcost_ub[[#This Row],[setting]],$O$6:$AA$141,10,FALSE)+VLOOKUP(vcost_ub[[#This Row],[gbd_super]],$AH$6:$AK$11,4,FALSE),0)</f>
        <v>2.9844227086800057</v>
      </c>
      <c r="AO292" s="33">
        <f>IFERROR(VLOOKUP(vcost_ub[[#This Row],[setting]],$A$6:$E$141,5,FALSE)+$L$8+VLOOKUP(vcost_ub[[#This Row],[setting]],$O$6:$AA$141,13,FALSE),0)</f>
        <v>3.2544014672063586</v>
      </c>
      <c r="AP292" s="33">
        <f>IFERROR(VLOOKUP(vcost_ub[[#This Row],[setting]],$A$6:$E$141,5,FALSE)+$L$8+VLOOKUP(vcost_ub[[#This Row],[setting]],$O$6:$AA$141,13,FALSE)+VLOOKUP(vcost_ub[[#This Row],[gbd_super]],$AH$6:$AK$11,4,FALSE),0)</f>
        <v>3.7579814672063585</v>
      </c>
    </row>
    <row r="293" spans="1:42" x14ac:dyDescent="0.25">
      <c r="A293" s="100" t="s">
        <v>119</v>
      </c>
      <c r="B293" s="134" t="s">
        <v>667</v>
      </c>
      <c r="C293">
        <f>IFERROR(VLOOKUP(vcost[[#This Row],[setting]],$A$6:$E$141,3,FALSE)+$J$6+VLOOKUP(vcost[[#This Row],[setting]],$O$6:$AA$141,2,FALSE),0)</f>
        <v>2.9050076754459182</v>
      </c>
      <c r="D293">
        <f>IFERROR(VLOOKUP(vcost[[#This Row],[setting]],$A$6:$E$141,3,FALSE)+$J$6+VLOOKUP(vcost[[#This Row],[setting]],$O$6:$AA$141,2,FALSE)+VLOOKUP(vcost[[#This Row],[gbd_super]],$AH$6:$AK$11,2,FALSE),0)</f>
        <v>7.7350076754459183</v>
      </c>
      <c r="E293">
        <f>IFERROR(VLOOKUP(vcost[[#This Row],[setting]],$A$6:$E$141,3,FALSE)+VLOOKUP(vcost[[#This Row],[setting]],$O$6:$AA$141,5,FALSE),0)</f>
        <v>2.4790762376889317</v>
      </c>
      <c r="F293" s="33">
        <f>IFERROR(VLOOKUP(vcost[[#This Row],[setting]],$A$6:$E$141,3,FALSE)+VLOOKUP(vcost[[#This Row],[setting]],$O$6:$AA$141,5,FALSE)+VLOOKUP(vcost[[#This Row],[gbd_super]],$AH$6:$AK$11,2,FALSE),0)</f>
        <v>7.3090762376889318</v>
      </c>
      <c r="G293" s="33">
        <f>IFERROR(VLOOKUP(vcost[[#This Row],[setting]],$A$6:$E$141,3,FALSE)+VLOOKUP(vcost[[#This Row],[setting]],$O$6:$AA$141,8,FALSE)+VLOOKUP(vcost[[#This Row],[gbd_super]],$AH$6:$AK$11,2,FALSE),0)</f>
        <v>7.3056735113802382</v>
      </c>
      <c r="H293">
        <f>IFERROR(VLOOKUP(vcost[[#This Row],[setting]],$A$6:$E$141,3,FALSE)+$J$8+VLOOKUP(vcost[[#This Row],[setting]],$O$6:$AA$141,11,FALSE),0)</f>
        <v>3.1467671416164835</v>
      </c>
      <c r="I293" s="33">
        <f>IFERROR(VLOOKUP(vcost[[#This Row],[setting]],$A$6:$E$141,3,FALSE)+$J$8+VLOOKUP(vcost[[#This Row],[setting]],$O$6:$AA$141,11,FALSE)+VLOOKUP(vcost[[#This Row],[gbd_super]],$AH$6:$AK$11,2,FALSE),0)</f>
        <v>7.9767671416164836</v>
      </c>
      <c r="O293" s="100" t="s">
        <v>119</v>
      </c>
      <c r="P293" s="134" t="s">
        <v>667</v>
      </c>
      <c r="Q293" s="33">
        <f>IFERROR(VLOOKUP(vcost_lb[[#This Row],[setting]],$A$6:$E$141,4,FALSE)+$K$6+VLOOKUP(vcost_lb[[#This Row],[setting]],$O$6:$AA$141,3,FALSE),0)</f>
        <v>1.3793362063318741</v>
      </c>
      <c r="R293" s="33">
        <f>IFERROR(VLOOKUP(vcost_lb[[#This Row],[setting]],$A$6:$E$141,4,FALSE)+$K$6+VLOOKUP(vcost_lb[[#This Row],[setting]],$O$6:$AA$141,3,FALSE)+VLOOKUP(vcost_lb[[#This Row],[gbd_super]],$AH$6:$AK$11,3,FALSE),0)</f>
        <v>5.966601206331875</v>
      </c>
      <c r="S293" s="33">
        <f>IFERROR(VLOOKUP(vcost_lb[[#This Row],[setting]],$A$6:$E$141,4,FALSE)+VLOOKUP(vcost_lb[[#This Row],[setting]],$O$6:$AA$141,6,FALSE),0)</f>
        <v>1.014055419532192</v>
      </c>
      <c r="T293" s="33">
        <f>IFERROR(VLOOKUP(vcost_lb[[#This Row],[setting]],$A$6:$E$141,4,FALSE)+VLOOKUP(vcost_lb[[#This Row],[setting]],$O$6:$AA$141,6,FALSE)+VLOOKUP(vcost_lb[[#This Row],[gbd_super]],$AH$6:$AK$11,3,FALSE),0)</f>
        <v>5.6013204195321924</v>
      </c>
      <c r="U293" s="33">
        <f>IFERROR(VLOOKUP(vcost_lb[[#This Row],[setting]],$A$6:$E$141,4,FALSE)+VLOOKUP(vcost_lb[[#This Row],[setting]],$O$6:$AA$141,9,FALSE)+VLOOKUP(vcost_lb[[#This Row],[gbd_super]],$AH$6:$AK$11,3,FALSE),0)</f>
        <v>5.599081783802788</v>
      </c>
      <c r="V293" s="33">
        <f>IFERROR(VLOOKUP(vcost_lb[[#This Row],[setting]],$A$6:$E$141,4,FALSE)+$K$8+VLOOKUP(vcost_lb[[#This Row],[setting]],$O$6:$AA$141,12,FALSE),0)</f>
        <v>1.5905266466245216</v>
      </c>
      <c r="W293" s="33">
        <f>IFERROR(VLOOKUP(vcost_lb[[#This Row],[setting]],$A$6:$E$141,4,FALSE)+$K$8+VLOOKUP(vcost_lb[[#This Row],[setting]],$O$6:$AA$141,12,FALSE)+VLOOKUP(vcost_lb[[#This Row],[gbd_super]],$AH$6:$AK$11,3,FALSE),0)</f>
        <v>6.177791646624522</v>
      </c>
      <c r="AH293" s="100" t="s">
        <v>119</v>
      </c>
      <c r="AI293" s="134" t="s">
        <v>667</v>
      </c>
      <c r="AJ293" s="33">
        <f>IFERROR(VLOOKUP(vcost_ub[[#This Row],[setting]],$A$6:$E$141,5,FALSE)+$L$6+VLOOKUP(vcost_ub[[#This Row],[setting]],$O$6:$AA$141,4,FALSE),0)</f>
        <v>5.6671375270902633</v>
      </c>
      <c r="AK293" s="33">
        <f>IFERROR(VLOOKUP(vcost_ub[[#This Row],[setting]],$A$6:$E$141,5,FALSE)+$L$6+VLOOKUP(vcost_ub[[#This Row],[setting]],$O$6:$AA$141,4,FALSE)+VLOOKUP(vcost_ub[[#This Row],[gbd_super]],$AH$6:$AK$11,4,FALSE),0)</f>
        <v>10.737272527090264</v>
      </c>
      <c r="AL293" s="33">
        <f>IFERROR(VLOOKUP(vcost_ub[[#This Row],[setting]],$A$6:$E$141,5,FALSE)+VLOOKUP(vcost_ub[[#This Row],[setting]],$O$6:$AA$141,7,FALSE),0)</f>
        <v>5.1686216781287682</v>
      </c>
      <c r="AM293" s="33">
        <f>IFERROR(VLOOKUP(vcost_ub[[#This Row],[setting]],$A$6:$E$141,5,FALSE)+VLOOKUP(vcost_ub[[#This Row],[setting]],$O$6:$AA$141,7,FALSE)+VLOOKUP(vcost_ub[[#This Row],[gbd_super]],$AH$6:$AK$11,4,FALSE),0)</f>
        <v>10.23875667812877</v>
      </c>
      <c r="AN293" s="33">
        <f>IFERROR(VLOOKUP(vcost_ub[[#This Row],[setting]],$A$6:$E$141,5,FALSE)+VLOOKUP(vcost_ub[[#This Row],[setting]],$O$6:$AA$141,10,FALSE)+VLOOKUP(vcost_ub[[#This Row],[gbd_super]],$AH$6:$AK$11,4,FALSE),0)</f>
        <v>10.229802135211152</v>
      </c>
      <c r="AO293" s="33">
        <f>IFERROR(VLOOKUP(vcost_ub[[#This Row],[setting]],$A$6:$E$141,5,FALSE)+$L$8+VLOOKUP(vcost_ub[[#This Row],[setting]],$O$6:$AA$141,13,FALSE),0)</f>
        <v>5.9363720112282961</v>
      </c>
      <c r="AP293" s="33">
        <f>IFERROR(VLOOKUP(vcost_ub[[#This Row],[setting]],$A$6:$E$141,5,FALSE)+$L$8+VLOOKUP(vcost_ub[[#This Row],[setting]],$O$6:$AA$141,13,FALSE)+VLOOKUP(vcost_ub[[#This Row],[gbd_super]],$AH$6:$AK$11,4,FALSE),0)</f>
        <v>11.006507011228297</v>
      </c>
    </row>
    <row r="294" spans="1:42" x14ac:dyDescent="0.25">
      <c r="A294" s="107" t="s">
        <v>120</v>
      </c>
      <c r="B294" s="135" t="s">
        <v>667</v>
      </c>
      <c r="C294">
        <f>IFERROR(VLOOKUP(vcost[[#This Row],[setting]],$A$6:$E$141,3,FALSE)+$J$6+VLOOKUP(vcost[[#This Row],[setting]],$O$6:$AA$141,2,FALSE),0)</f>
        <v>3.1631184546252995</v>
      </c>
      <c r="D294">
        <f>IFERROR(VLOOKUP(vcost[[#This Row],[setting]],$A$6:$E$141,3,FALSE)+$J$6+VLOOKUP(vcost[[#This Row],[setting]],$O$6:$AA$141,2,FALSE)+VLOOKUP(vcost[[#This Row],[gbd_super]],$AH$6:$AK$11,2,FALSE),0)</f>
        <v>7.9931184546253</v>
      </c>
      <c r="E294">
        <f>IFERROR(VLOOKUP(vcost[[#This Row],[setting]],$A$6:$E$141,3,FALSE)+VLOOKUP(vcost[[#This Row],[setting]],$O$6:$AA$141,5,FALSE),0)</f>
        <v>2.7368627760693824</v>
      </c>
      <c r="F294" s="33">
        <f>IFERROR(VLOOKUP(vcost[[#This Row],[setting]],$A$6:$E$141,3,FALSE)+VLOOKUP(vcost[[#This Row],[setting]],$O$6:$AA$141,5,FALSE)+VLOOKUP(vcost[[#This Row],[gbd_super]],$AH$6:$AK$11,2,FALSE),0)</f>
        <v>7.5668627760693825</v>
      </c>
      <c r="G294" s="33">
        <f>IFERROR(VLOOKUP(vcost[[#This Row],[setting]],$A$6:$E$141,3,FALSE)+VLOOKUP(vcost[[#This Row],[setting]],$O$6:$AA$141,8,FALSE)+VLOOKUP(vcost[[#This Row],[gbd_super]],$AH$6:$AK$11,2,FALSE),0)</f>
        <v>7.5636208492286556</v>
      </c>
      <c r="H294">
        <f>IFERROR(VLOOKUP(vcost[[#This Row],[setting]],$A$6:$E$141,3,FALSE)+$J$8+VLOOKUP(vcost[[#This Row],[setting]],$O$6:$AA$141,11,FALSE),0)</f>
        <v>3.4049947982931541</v>
      </c>
      <c r="I294" s="33">
        <f>IFERROR(VLOOKUP(vcost[[#This Row],[setting]],$A$6:$E$141,3,FALSE)+$J$8+VLOOKUP(vcost[[#This Row],[setting]],$O$6:$AA$141,11,FALSE)+VLOOKUP(vcost[[#This Row],[gbd_super]],$AH$6:$AK$11,2,FALSE),0)</f>
        <v>8.2349947982931546</v>
      </c>
      <c r="O294" s="107" t="s">
        <v>120</v>
      </c>
      <c r="P294" s="135" t="s">
        <v>667</v>
      </c>
      <c r="Q294" s="33">
        <f>IFERROR(VLOOKUP(vcost_lb[[#This Row],[setting]],$A$6:$E$141,4,FALSE)+$K$6+VLOOKUP(vcost_lb[[#This Row],[setting]],$O$6:$AA$141,3,FALSE),0)</f>
        <v>1.4723566768889571</v>
      </c>
      <c r="R294" s="33">
        <f>IFERROR(VLOOKUP(vcost_lb[[#This Row],[setting]],$A$6:$E$141,4,FALSE)+$K$6+VLOOKUP(vcost_lb[[#This Row],[setting]],$O$6:$AA$141,3,FALSE)+VLOOKUP(vcost_lb[[#This Row],[gbd_super]],$AH$6:$AK$11,3,FALSE),0)</f>
        <v>6.0596216768889573</v>
      </c>
      <c r="S294" s="33">
        <f>IFERROR(VLOOKUP(vcost_lb[[#This Row],[setting]],$A$6:$E$141,4,FALSE)+VLOOKUP(vcost_lb[[#This Row],[setting]],$O$6:$AA$141,6,FALSE),0)</f>
        <v>1.1069439316245939</v>
      </c>
      <c r="T294" s="33">
        <f>IFERROR(VLOOKUP(vcost_lb[[#This Row],[setting]],$A$6:$E$141,4,FALSE)+VLOOKUP(vcost_lb[[#This Row],[setting]],$O$6:$AA$141,6,FALSE)+VLOOKUP(vcost_lb[[#This Row],[gbd_super]],$AH$6:$AK$11,3,FALSE),0)</f>
        <v>5.6942089316245941</v>
      </c>
      <c r="U294" s="33">
        <f>IFERROR(VLOOKUP(vcost_lb[[#This Row],[setting]],$A$6:$E$141,4,FALSE)+VLOOKUP(vcost_lb[[#This Row],[setting]],$O$6:$AA$141,9,FALSE)+VLOOKUP(vcost_lb[[#This Row],[gbd_super]],$AH$6:$AK$11,3,FALSE),0)</f>
        <v>5.6920760850188534</v>
      </c>
      <c r="V294" s="33">
        <f>IFERROR(VLOOKUP(vcost_lb[[#This Row],[setting]],$A$6:$E$141,4,FALSE)+$K$8+VLOOKUP(vcost_lb[[#This Row],[setting]],$O$6:$AA$141,12,FALSE),0)</f>
        <v>1.6836036708093249</v>
      </c>
      <c r="W294" s="33">
        <f>IFERROR(VLOOKUP(vcost_lb[[#This Row],[setting]],$A$6:$E$141,4,FALSE)+$K$8+VLOOKUP(vcost_lb[[#This Row],[setting]],$O$6:$AA$141,12,FALSE)+VLOOKUP(vcost_lb[[#This Row],[gbd_super]],$AH$6:$AK$11,3,FALSE),0)</f>
        <v>6.2708686708093255</v>
      </c>
      <c r="AH294" s="107" t="s">
        <v>120</v>
      </c>
      <c r="AI294" s="135" t="s">
        <v>667</v>
      </c>
      <c r="AJ294" s="33">
        <f>IFERROR(VLOOKUP(vcost_ub[[#This Row],[setting]],$A$6:$E$141,5,FALSE)+$L$6+VLOOKUP(vcost_ub[[#This Row],[setting]],$O$6:$AA$141,4,FALSE),0)</f>
        <v>6.2659061248811003</v>
      </c>
      <c r="AK294" s="33">
        <f>IFERROR(VLOOKUP(vcost_ub[[#This Row],[setting]],$A$6:$E$141,5,FALSE)+$L$6+VLOOKUP(vcost_ub[[#This Row],[setting]],$O$6:$AA$141,4,FALSE)+VLOOKUP(vcost_ub[[#This Row],[gbd_super]],$AH$6:$AK$11,4,FALSE),0)</f>
        <v>11.336041124881101</v>
      </c>
      <c r="AL294" s="33">
        <f>IFERROR(VLOOKUP(vcost_ub[[#This Row],[setting]],$A$6:$E$141,5,FALSE)+VLOOKUP(vcost_ub[[#This Row],[setting]],$O$6:$AA$141,7,FALSE),0)</f>
        <v>5.7667757264983752</v>
      </c>
      <c r="AM294" s="33">
        <f>IFERROR(VLOOKUP(vcost_ub[[#This Row],[setting]],$A$6:$E$141,5,FALSE)+VLOOKUP(vcost_ub[[#This Row],[setting]],$O$6:$AA$141,7,FALSE)+VLOOKUP(vcost_ub[[#This Row],[gbd_super]],$AH$6:$AK$11,4,FALSE),0)</f>
        <v>10.836910726498376</v>
      </c>
      <c r="AN294" s="33">
        <f>IFERROR(VLOOKUP(vcost_ub[[#This Row],[setting]],$A$6:$E$141,5,FALSE)+VLOOKUP(vcost_ub[[#This Row],[setting]],$O$6:$AA$141,10,FALSE)+VLOOKUP(vcost_ub[[#This Row],[gbd_super]],$AH$6:$AK$11,4,FALSE),0)</f>
        <v>10.828379340075411</v>
      </c>
      <c r="AO294" s="33">
        <f>IFERROR(VLOOKUP(vcost_ub[[#This Row],[setting]],$A$6:$E$141,5,FALSE)+$L$8+VLOOKUP(vcost_ub[[#This Row],[setting]],$O$6:$AA$141,13,FALSE),0)</f>
        <v>6.5352801079675098</v>
      </c>
      <c r="AP294" s="33">
        <f>IFERROR(VLOOKUP(vcost_ub[[#This Row],[setting]],$A$6:$E$141,5,FALSE)+$L$8+VLOOKUP(vcost_ub[[#This Row],[setting]],$O$6:$AA$141,13,FALSE)+VLOOKUP(vcost_ub[[#This Row],[gbd_super]],$AH$6:$AK$11,4,FALSE),0)</f>
        <v>11.605415107967509</v>
      </c>
    </row>
  </sheetData>
  <mergeCells count="5">
    <mergeCell ref="A1:H2"/>
    <mergeCell ref="A4:E4"/>
    <mergeCell ref="I4:L4"/>
    <mergeCell ref="O4:AA4"/>
    <mergeCell ref="AH4:AK4"/>
  </mergeCell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F198"/>
  <sheetViews>
    <sheetView topLeftCell="L127" workbookViewId="0">
      <selection activeCell="N198" sqref="N198"/>
    </sheetView>
  </sheetViews>
  <sheetFormatPr defaultRowHeight="15" x14ac:dyDescent="0.25"/>
  <cols>
    <col min="1" max="1" width="33.85546875" customWidth="1"/>
    <col min="2" max="2" width="11.28515625" customWidth="1"/>
    <col min="3" max="3" width="16.7109375" customWidth="1"/>
    <col min="4" max="4" width="18" customWidth="1"/>
    <col min="7" max="7" width="42.140625" customWidth="1"/>
    <col min="8" max="8" width="12.85546875" customWidth="1"/>
    <col min="13" max="13" width="39.140625" customWidth="1"/>
    <col min="14" max="14" width="17.7109375" customWidth="1"/>
    <col min="15" max="15" width="9.140625" customWidth="1"/>
    <col min="16" max="16" width="13.140625" style="33" bestFit="1" customWidth="1"/>
    <col min="20" max="20" width="13.5703125" customWidth="1"/>
    <col min="21" max="22" width="13.5703125" style="33" customWidth="1"/>
    <col min="28" max="28" width="20.28515625" customWidth="1"/>
  </cols>
  <sheetData>
    <row r="2" spans="1:32" x14ac:dyDescent="0.25">
      <c r="A2" s="172" t="s">
        <v>732</v>
      </c>
      <c r="B2" s="172"/>
      <c r="C2" s="172"/>
      <c r="D2" s="172"/>
      <c r="G2" s="172" t="s">
        <v>733</v>
      </c>
      <c r="H2" s="172"/>
      <c r="I2" s="172"/>
      <c r="J2" s="172"/>
      <c r="K2" s="172"/>
      <c r="M2" s="172" t="s">
        <v>734</v>
      </c>
      <c r="N2" s="172"/>
      <c r="O2" s="172"/>
      <c r="P2" s="172"/>
      <c r="Q2" s="172"/>
      <c r="R2" s="172"/>
      <c r="U2" s="124"/>
      <c r="V2" s="124"/>
      <c r="W2" s="172" t="s">
        <v>735</v>
      </c>
      <c r="X2" s="172"/>
      <c r="Y2" s="172"/>
      <c r="Z2" s="172"/>
      <c r="AA2" s="172"/>
      <c r="AC2" s="148"/>
      <c r="AD2" s="172" t="s">
        <v>736</v>
      </c>
      <c r="AE2" s="172"/>
      <c r="AF2" s="172"/>
    </row>
    <row r="3" spans="1:32" x14ac:dyDescent="0.25">
      <c r="A3" s="136" t="s">
        <v>668</v>
      </c>
      <c r="B3" t="s">
        <v>692</v>
      </c>
      <c r="C3" t="s">
        <v>708</v>
      </c>
      <c r="D3" t="s">
        <v>686</v>
      </c>
      <c r="E3" t="s">
        <v>688</v>
      </c>
      <c r="G3" t="s">
        <v>668</v>
      </c>
      <c r="H3" t="s">
        <v>693</v>
      </c>
      <c r="I3" t="s">
        <v>694</v>
      </c>
      <c r="J3" t="s">
        <v>695</v>
      </c>
      <c r="K3" t="s">
        <v>696</v>
      </c>
      <c r="M3" s="164" t="s">
        <v>668</v>
      </c>
      <c r="N3" s="159" t="s">
        <v>708</v>
      </c>
      <c r="O3" s="159" t="s">
        <v>688</v>
      </c>
      <c r="P3" s="159" t="s">
        <v>686</v>
      </c>
      <c r="Q3" s="33" t="s">
        <v>693</v>
      </c>
      <c r="R3" s="33" t="s">
        <v>694</v>
      </c>
      <c r="S3" s="33" t="s">
        <v>695</v>
      </c>
      <c r="T3" s="33" t="s">
        <v>696</v>
      </c>
      <c r="W3" t="s">
        <v>668</v>
      </c>
      <c r="X3" t="s">
        <v>693</v>
      </c>
      <c r="Y3" t="s">
        <v>694</v>
      </c>
      <c r="Z3" t="s">
        <v>695</v>
      </c>
      <c r="AA3" t="s">
        <v>696</v>
      </c>
    </row>
    <row r="4" spans="1:32" x14ac:dyDescent="0.25">
      <c r="A4" s="137" t="s">
        <v>191</v>
      </c>
      <c r="B4">
        <v>2.3021927248391871</v>
      </c>
      <c r="C4" t="str">
        <f>IFERROR(VLOOKUP($A4,lmic_raw[],4,FALSE),0)</f>
        <v>EMRO</v>
      </c>
      <c r="D4" s="33">
        <f>IFERROR(VLOOKUP($A4,lmic_raw[],10,FALSE),0)</f>
        <v>0.56299999999999994</v>
      </c>
      <c r="E4" s="33">
        <f>IFERROR(VLOOKUP($A4,lmic_raw[],11,FALSE),0)</f>
        <v>0.37</v>
      </c>
      <c r="G4" s="81" t="s">
        <v>663</v>
      </c>
      <c r="H4">
        <v>44.537400000000005</v>
      </c>
      <c r="I4">
        <v>92.27940000000001</v>
      </c>
      <c r="J4">
        <v>92.27940000000001</v>
      </c>
      <c r="K4">
        <v>92.27940000000001</v>
      </c>
      <c r="M4" s="165" t="s">
        <v>191</v>
      </c>
      <c r="N4" s="160" t="str">
        <f>IFERROR(VLOOKUP(tordrup[[#This Row],[setting]],lmic_raw[],4,FALSE),0)</f>
        <v>EMRO</v>
      </c>
      <c r="O4" s="167">
        <f>IFERROR(VLOOKUP(tordrup[[#This Row],[setting]],lmic_raw[],11,FALSE),0)</f>
        <v>0.37</v>
      </c>
      <c r="P4" s="168">
        <f>IFERROR(VLOOKUP(tordrup[[#This Row],[setting]],lmic_raw[],9,FALSE),0)</f>
        <v>1249899.967992</v>
      </c>
      <c r="Q4" s="126">
        <v>23.688833769387955</v>
      </c>
      <c r="R4" s="126">
        <v>52.908833769387954</v>
      </c>
      <c r="S4" s="126">
        <v>53.707858226005648</v>
      </c>
      <c r="T4" s="126">
        <v>53.574687483236033</v>
      </c>
      <c r="U4" s="126"/>
      <c r="V4" s="126"/>
      <c r="W4" t="s">
        <v>705</v>
      </c>
      <c r="X4" s="126">
        <v>82.4</v>
      </c>
      <c r="Y4" s="140">
        <v>408.79</v>
      </c>
      <c r="Z4" s="140">
        <v>2415.5</v>
      </c>
      <c r="AA4" s="140">
        <v>5434.91</v>
      </c>
      <c r="AD4" s="33" t="s">
        <v>207</v>
      </c>
      <c r="AE4" s="33">
        <v>0.72</v>
      </c>
    </row>
    <row r="5" spans="1:32" x14ac:dyDescent="0.25">
      <c r="A5" s="138" t="s">
        <v>332</v>
      </c>
      <c r="B5">
        <v>8.2248487535413606</v>
      </c>
      <c r="C5" s="33" t="str">
        <f>IFERROR(VLOOKUP($A5,lmic_raw[],4,FALSE),0)</f>
        <v>EURO</v>
      </c>
      <c r="D5" s="33">
        <f>IFERROR(VLOOKUP($A5,lmic_raw[],10,FALSE),0)</f>
        <v>0.98599999999999999</v>
      </c>
      <c r="E5" s="33">
        <f>IFERROR(VLOOKUP($A5,lmic_raw[],11,FALSE),0)</f>
        <v>0.99</v>
      </c>
      <c r="G5" s="83" t="s">
        <v>665</v>
      </c>
      <c r="H5">
        <v>86.883899999999997</v>
      </c>
      <c r="I5">
        <v>134.6259</v>
      </c>
      <c r="J5">
        <v>134.6259</v>
      </c>
      <c r="K5">
        <v>134.6259</v>
      </c>
      <c r="M5" s="166" t="s">
        <v>332</v>
      </c>
      <c r="N5" s="161" t="str">
        <f>IFERROR(VLOOKUP(tordrup[[#This Row],[setting]],lmic_raw[],4,FALSE),0)</f>
        <v>EURO</v>
      </c>
      <c r="O5" s="167">
        <f>IFERROR(VLOOKUP(tordrup[[#This Row],[setting]],lmic_raw[],11,FALSE),0)</f>
        <v>0.99</v>
      </c>
      <c r="P5" s="168">
        <f>IFERROR(VLOOKUP(tordrup[[#This Row],[setting]],lmic_raw[],9,FALSE),0)</f>
        <v>33977.487922</v>
      </c>
      <c r="Q5" s="126">
        <v>29.611489798090126</v>
      </c>
      <c r="R5" s="126">
        <v>58.831489798090125</v>
      </c>
      <c r="S5" s="126">
        <v>89.915107875139313</v>
      </c>
      <c r="T5" s="126">
        <v>84.734504862297783</v>
      </c>
      <c r="U5" s="126"/>
      <c r="V5" s="126"/>
      <c r="AD5" s="33" t="s">
        <v>218</v>
      </c>
      <c r="AE5" s="33">
        <v>0.01</v>
      </c>
    </row>
    <row r="6" spans="1:32" x14ac:dyDescent="0.25">
      <c r="A6" s="137" t="s">
        <v>157</v>
      </c>
      <c r="B6">
        <v>6.6700031828800679</v>
      </c>
      <c r="C6" s="33" t="str">
        <f>IFERROR(VLOOKUP($A6,lmic_raw[],4,FALSE),0)</f>
        <v>AFRO</v>
      </c>
      <c r="D6" s="33">
        <f>IFERROR(VLOOKUP($A6,lmic_raw[],10,FALSE),0)</f>
        <v>0.96799999999999997</v>
      </c>
      <c r="E6" s="33">
        <f>IFERROR(VLOOKUP($A6,lmic_raw[],11,FALSE),0)</f>
        <v>0.99</v>
      </c>
      <c r="G6" s="81" t="s">
        <v>579</v>
      </c>
      <c r="H6">
        <v>46.335900000000002</v>
      </c>
      <c r="I6">
        <v>94.077900000000014</v>
      </c>
      <c r="J6">
        <v>94.077900000000014</v>
      </c>
      <c r="K6">
        <v>94.077900000000014</v>
      </c>
      <c r="M6" s="165" t="s">
        <v>157</v>
      </c>
      <c r="N6" s="160" t="str">
        <f>IFERROR(VLOOKUP(tordrup[[#This Row],[setting]],lmic_raw[],4,FALSE),0)</f>
        <v>AFRO</v>
      </c>
      <c r="O6" s="167">
        <f>IFERROR(VLOOKUP(tordrup[[#This Row],[setting]],lmic_raw[],11,FALSE),0)</f>
        <v>0.99</v>
      </c>
      <c r="P6" s="168">
        <f>IFERROR(VLOOKUP(tordrup[[#This Row],[setting]],lmic_raw[],9,FALSE),0)</f>
        <v>1062979.9032600001</v>
      </c>
      <c r="Q6" s="126">
        <v>28.056644227428833</v>
      </c>
      <c r="R6" s="126">
        <v>57.276644227428832</v>
      </c>
      <c r="S6" s="126">
        <v>80.111509825865937</v>
      </c>
      <c r="T6" s="126">
        <v>76.305698892793075</v>
      </c>
      <c r="U6" s="126"/>
      <c r="V6" s="126"/>
      <c r="AD6" s="33" t="s">
        <v>755</v>
      </c>
      <c r="AE6" s="33">
        <v>0.83</v>
      </c>
    </row>
    <row r="7" spans="1:32" x14ac:dyDescent="0.25">
      <c r="A7" s="138" t="s">
        <v>333</v>
      </c>
      <c r="B7">
        <v>57.790002212179182</v>
      </c>
      <c r="C7" s="33">
        <f>IFERROR(VLOOKUP($A7,lmic_raw[],4,FALSE),0)</f>
        <v>0</v>
      </c>
      <c r="D7" s="33">
        <f>IFERROR(VLOOKUP($A7,lmic_raw[],10,FALSE),0)</f>
        <v>0</v>
      </c>
      <c r="E7" s="33">
        <f>IFERROR(VLOOKUP($A7,lmic_raw[],11,FALSE),0)</f>
        <v>0</v>
      </c>
      <c r="G7" s="83" t="s">
        <v>589</v>
      </c>
      <c r="H7">
        <v>45.899900000000002</v>
      </c>
      <c r="I7">
        <v>93.641900000000007</v>
      </c>
      <c r="J7">
        <v>93.641900000000007</v>
      </c>
      <c r="K7">
        <v>93.641900000000007</v>
      </c>
      <c r="M7" s="166" t="s">
        <v>333</v>
      </c>
      <c r="N7" s="161">
        <f>IFERROR(VLOOKUP(tordrup[[#This Row],[setting]],lmic_raw[],4,FALSE),0)</f>
        <v>0</v>
      </c>
      <c r="O7" s="167">
        <f>IFERROR(VLOOKUP(tordrup[[#This Row],[setting]],lmic_raw[],11,FALSE),0)</f>
        <v>0</v>
      </c>
      <c r="P7" s="168">
        <f>IFERROR(VLOOKUP(tordrup[[#This Row],[setting]],lmic_raw[],9,FALSE),0)</f>
        <v>0</v>
      </c>
      <c r="Q7" s="126">
        <v>79.176643256727957</v>
      </c>
      <c r="R7" s="126">
        <v>108.39664325672796</v>
      </c>
      <c r="S7" s="126">
        <v>590.02038484270031</v>
      </c>
      <c r="T7" s="126">
        <v>509.74976124503831</v>
      </c>
      <c r="U7" s="126"/>
      <c r="V7" s="126"/>
      <c r="AD7" s="33" t="s">
        <v>165</v>
      </c>
      <c r="AE7" s="33">
        <v>0.1</v>
      </c>
    </row>
    <row r="8" spans="1:32" x14ac:dyDescent="0.25">
      <c r="A8" s="137" t="s">
        <v>122</v>
      </c>
      <c r="B8">
        <v>7.9281224995983655</v>
      </c>
      <c r="C8" s="33" t="str">
        <f>IFERROR(VLOOKUP($A8,lmic_raw[],4,FALSE),0)</f>
        <v>AFRO</v>
      </c>
      <c r="D8" s="33">
        <f>IFERROR(VLOOKUP($A8,lmic_raw[],10,FALSE),0)</f>
        <v>0.45600000000000002</v>
      </c>
      <c r="E8" s="33">
        <f>IFERROR(VLOOKUP($A8,lmic_raw[],11,FALSE),0)</f>
        <v>0</v>
      </c>
      <c r="G8" s="81" t="s">
        <v>666</v>
      </c>
      <c r="H8">
        <v>73.084500000000006</v>
      </c>
      <c r="I8">
        <v>120.8265</v>
      </c>
      <c r="J8">
        <v>120.8265</v>
      </c>
      <c r="K8">
        <v>120.8265</v>
      </c>
      <c r="M8" s="165" t="s">
        <v>122</v>
      </c>
      <c r="N8" s="160" t="str">
        <f>IFERROR(VLOOKUP(tordrup[[#This Row],[setting]],lmic_raw[],4,FALSE),0)</f>
        <v>AFRO</v>
      </c>
      <c r="O8" s="167">
        <f>IFERROR(VLOOKUP(tordrup[[#This Row],[setting]],lmic_raw[],11,FALSE),0)</f>
        <v>0</v>
      </c>
      <c r="P8" s="168">
        <f>IFERROR(VLOOKUP(tordrup[[#This Row],[setting]],lmic_raw[],9,FALSE),0)</f>
        <v>1302386.710977</v>
      </c>
      <c r="Q8" s="126">
        <v>29.314763544147134</v>
      </c>
      <c r="R8" s="126">
        <v>58.534763544147133</v>
      </c>
      <c r="S8" s="126">
        <v>83.664866062084087</v>
      </c>
      <c r="T8" s="126">
        <v>79.476515642427927</v>
      </c>
      <c r="U8" s="126"/>
      <c r="V8" s="126"/>
      <c r="AD8" s="33" t="s">
        <v>166</v>
      </c>
      <c r="AE8" s="33">
        <v>7.0000000000000007E-2</v>
      </c>
    </row>
    <row r="9" spans="1:32" x14ac:dyDescent="0.25">
      <c r="A9" s="138" t="s">
        <v>225</v>
      </c>
      <c r="B9">
        <v>20.972208622932406</v>
      </c>
      <c r="C9" s="33">
        <f>IFERROR(VLOOKUP($A9,lmic_raw[],4,FALSE),0)</f>
        <v>0</v>
      </c>
      <c r="D9" s="33">
        <f>IFERROR(VLOOKUP($A9,lmic_raw[],10,FALSE),0)</f>
        <v>0</v>
      </c>
      <c r="E9" s="33">
        <f>IFERROR(VLOOKUP($A9,lmic_raw[],11,FALSE),0)</f>
        <v>0</v>
      </c>
      <c r="G9" s="83" t="s">
        <v>667</v>
      </c>
      <c r="H9">
        <v>29.920500000000001</v>
      </c>
      <c r="I9">
        <v>77.662500000000009</v>
      </c>
      <c r="J9">
        <v>77.662500000000009</v>
      </c>
      <c r="K9">
        <v>77.662500000000009</v>
      </c>
      <c r="M9" s="166" t="s">
        <v>225</v>
      </c>
      <c r="N9" s="161">
        <f>IFERROR(VLOOKUP(tordrup[[#This Row],[setting]],lmic_raw[],4,FALSE),0)</f>
        <v>0</v>
      </c>
      <c r="O9" s="167">
        <f>IFERROR(VLOOKUP(tordrup[[#This Row],[setting]],lmic_raw[],11,FALSE),0)</f>
        <v>0</v>
      </c>
      <c r="P9" s="168">
        <f>IFERROR(VLOOKUP(tordrup[[#This Row],[setting]],lmic_raw[],9,FALSE),0)</f>
        <v>0</v>
      </c>
      <c r="Q9" s="126">
        <v>42.358849667481174</v>
      </c>
      <c r="R9" s="126">
        <v>71.578849667481165</v>
      </c>
      <c r="S9" s="126">
        <v>196.22666489984175</v>
      </c>
      <c r="T9" s="126">
        <v>175.45202902778166</v>
      </c>
      <c r="U9" s="126"/>
      <c r="V9" s="126"/>
      <c r="AD9" s="33" t="s">
        <v>756</v>
      </c>
      <c r="AE9" s="33">
        <v>0.16</v>
      </c>
    </row>
    <row r="10" spans="1:32" x14ac:dyDescent="0.25">
      <c r="A10" s="137" t="s">
        <v>262</v>
      </c>
      <c r="B10">
        <v>16.070290907794135</v>
      </c>
      <c r="C10" s="33" t="str">
        <f>IFERROR(VLOOKUP($A10,lmic_raw[],4,FALSE),0)</f>
        <v>AMRO</v>
      </c>
      <c r="D10" s="33">
        <f>IFERROR(VLOOKUP($A10,lmic_raw[],10,FALSE),0)</f>
        <v>0.99299999999999999</v>
      </c>
      <c r="E10" s="33">
        <f>IFERROR(VLOOKUP($A10,lmic_raw[],11,FALSE),0)</f>
        <v>0.82</v>
      </c>
      <c r="M10" s="165" t="s">
        <v>262</v>
      </c>
      <c r="N10" s="160" t="str">
        <f>IFERROR(VLOOKUP(tordrup[[#This Row],[setting]],lmic_raw[],4,FALSE),0)</f>
        <v>AMRO</v>
      </c>
      <c r="O10" s="167">
        <f>IFERROR(VLOOKUP(tordrup[[#This Row],[setting]],lmic_raw[],11,FALSE),0)</f>
        <v>0.82</v>
      </c>
      <c r="P10" s="168">
        <f>IFERROR(VLOOKUP(tordrup[[#This Row],[setting]],lmic_raw[],9,FALSE),0)</f>
        <v>766286.91059999994</v>
      </c>
      <c r="Q10" s="126">
        <v>37.456931952342906</v>
      </c>
      <c r="R10" s="126">
        <v>66.676931952342898</v>
      </c>
      <c r="S10" s="126">
        <v>152.87757038980493</v>
      </c>
      <c r="T10" s="126">
        <v>138.51079731689458</v>
      </c>
      <c r="U10" s="126"/>
      <c r="V10" s="126"/>
      <c r="AD10" s="33" t="s">
        <v>185</v>
      </c>
      <c r="AE10" s="33">
        <v>0.12</v>
      </c>
    </row>
    <row r="11" spans="1:32" x14ac:dyDescent="0.25">
      <c r="A11" s="138" t="s">
        <v>165</v>
      </c>
      <c r="B11">
        <v>6.7886936844572663</v>
      </c>
      <c r="C11" s="33" t="str">
        <f>IFERROR(VLOOKUP($A11,lmic_raw[],4,FALSE),0)</f>
        <v>EURO</v>
      </c>
      <c r="D11" s="33">
        <f>IFERROR(VLOOKUP($A11,lmic_raw[],10,FALSE),0)</f>
        <v>0.99299999999999999</v>
      </c>
      <c r="E11" s="33">
        <f>IFERROR(VLOOKUP($A11,lmic_raw[],11,FALSE),0)</f>
        <v>0.96</v>
      </c>
      <c r="M11" s="166" t="s">
        <v>165</v>
      </c>
      <c r="N11" s="161" t="str">
        <f>IFERROR(VLOOKUP(tordrup[[#This Row],[setting]],lmic_raw[],4,FALSE),0)</f>
        <v>EURO</v>
      </c>
      <c r="O11" s="167">
        <f>IFERROR(VLOOKUP(tordrup[[#This Row],[setting]],lmic_raw[],11,FALSE),0)</f>
        <v>0.96</v>
      </c>
      <c r="P11" s="168">
        <f>IFERROR(VLOOKUP(tordrup[[#This Row],[setting]],lmic_raw[],9,FALSE),0)</f>
        <v>41890.301663999999</v>
      </c>
      <c r="Q11" s="126">
        <v>28.175334729006032</v>
      </c>
      <c r="R11" s="126">
        <v>57.395334729006031</v>
      </c>
      <c r="S11" s="126">
        <v>77.950630554151459</v>
      </c>
      <c r="T11" s="126">
        <v>74.52474791662722</v>
      </c>
      <c r="U11" s="126"/>
      <c r="V11" s="126"/>
      <c r="AD11" s="33" t="s">
        <v>186</v>
      </c>
      <c r="AE11" s="33">
        <v>0.13</v>
      </c>
    </row>
    <row r="12" spans="1:32" x14ac:dyDescent="0.25">
      <c r="A12" s="137" t="s">
        <v>277</v>
      </c>
      <c r="B12">
        <v>80.721007116893801</v>
      </c>
      <c r="C12" s="33">
        <f>IFERROR(VLOOKUP($A12,lmic_raw[],4,FALSE),0)</f>
        <v>0</v>
      </c>
      <c r="D12" s="33">
        <f>IFERROR(VLOOKUP($A12,lmic_raw[],10,FALSE),0)</f>
        <v>0</v>
      </c>
      <c r="E12" s="33">
        <f>IFERROR(VLOOKUP($A12,lmic_raw[],11,FALSE),0)</f>
        <v>0</v>
      </c>
      <c r="M12" s="165" t="s">
        <v>277</v>
      </c>
      <c r="N12" s="160">
        <f>IFERROR(VLOOKUP(tordrup[[#This Row],[setting]],lmic_raw[],4,FALSE),0)</f>
        <v>0</v>
      </c>
      <c r="O12" s="167">
        <f>IFERROR(VLOOKUP(tordrup[[#This Row],[setting]],lmic_raw[],11,FALSE),0)</f>
        <v>0</v>
      </c>
      <c r="P12" s="168">
        <f>IFERROR(VLOOKUP(tordrup[[#This Row],[setting]],lmic_raw[],9,FALSE),0)</f>
        <v>0</v>
      </c>
      <c r="Q12" s="126">
        <v>102.10764816144257</v>
      </c>
      <c r="R12" s="126">
        <v>131.32764816144257</v>
      </c>
      <c r="S12" s="126">
        <v>803.14271114173891</v>
      </c>
      <c r="T12" s="126">
        <v>691.1735339783562</v>
      </c>
      <c r="U12" s="126"/>
      <c r="V12" s="126"/>
      <c r="AD12" s="33" t="s">
        <v>208</v>
      </c>
      <c r="AE12" s="33">
        <v>0.13</v>
      </c>
    </row>
    <row r="13" spans="1:32" x14ac:dyDescent="0.25">
      <c r="A13" s="138" t="s">
        <v>349</v>
      </c>
      <c r="B13">
        <v>63.724527291039074</v>
      </c>
      <c r="C13" s="33">
        <f>IFERROR(VLOOKUP($A13,lmic_raw[],4,FALSE),0)</f>
        <v>0</v>
      </c>
      <c r="D13" s="33">
        <f>IFERROR(VLOOKUP($A13,lmic_raw[],10,FALSE),0)</f>
        <v>0</v>
      </c>
      <c r="E13" s="33">
        <f>IFERROR(VLOOKUP($A13,lmic_raw[],11,FALSE),0)</f>
        <v>0</v>
      </c>
      <c r="M13" s="166" t="s">
        <v>349</v>
      </c>
      <c r="N13" s="161">
        <f>IFERROR(VLOOKUP(tordrup[[#This Row],[setting]],lmic_raw[],4,FALSE),0)</f>
        <v>0</v>
      </c>
      <c r="O13" s="167">
        <f>IFERROR(VLOOKUP(tordrup[[#This Row],[setting]],lmic_raw[],11,FALSE),0)</f>
        <v>0</v>
      </c>
      <c r="P13" s="168">
        <f>IFERROR(VLOOKUP(tordrup[[#This Row],[setting]],lmic_raw[],9,FALSE),0)</f>
        <v>0</v>
      </c>
      <c r="Q13" s="126">
        <v>85.111168335587848</v>
      </c>
      <c r="R13" s="126">
        <v>114.33116833558785</v>
      </c>
      <c r="S13" s="126">
        <v>635.57712268207308</v>
      </c>
      <c r="T13" s="126">
        <v>548.70279695765885</v>
      </c>
      <c r="U13" s="126"/>
      <c r="V13" s="126"/>
      <c r="AD13" s="33" t="s">
        <v>187</v>
      </c>
      <c r="AE13" s="33">
        <v>0.03</v>
      </c>
    </row>
    <row r="14" spans="1:32" x14ac:dyDescent="0.25">
      <c r="A14" s="137" t="s">
        <v>166</v>
      </c>
      <c r="C14" s="33" t="str">
        <f>IFERROR(VLOOKUP($A14,lmic_raw[],4,FALSE),0)</f>
        <v>EURO</v>
      </c>
      <c r="D14" s="33">
        <f>IFERROR(VLOOKUP($A14,lmic_raw[],10,FALSE),0)</f>
        <v>0.95700000000000007</v>
      </c>
      <c r="E14" s="33">
        <f>IFERROR(VLOOKUP($A14,lmic_raw[],11,FALSE),0)</f>
        <v>0.98</v>
      </c>
      <c r="M14" s="165" t="s">
        <v>166</v>
      </c>
      <c r="N14" s="160" t="str">
        <f>IFERROR(VLOOKUP(tordrup[[#This Row],[setting]],lmic_raw[],4,FALSE),0)</f>
        <v>EURO</v>
      </c>
      <c r="O14" s="167">
        <f>IFERROR(VLOOKUP(tordrup[[#This Row],[setting]],lmic_raw[],11,FALSE),0)</f>
        <v>0.98</v>
      </c>
      <c r="P14" s="168">
        <f>IFERROR(VLOOKUP(tordrup[[#This Row],[setting]],lmic_raw[],9,FALSE),0)</f>
        <v>171655.23139599999</v>
      </c>
      <c r="Q14" s="126"/>
      <c r="R14" s="126"/>
      <c r="S14" s="126"/>
      <c r="T14" s="126"/>
      <c r="U14" s="126"/>
      <c r="V14" s="126"/>
      <c r="AD14" s="33" t="s">
        <v>188</v>
      </c>
      <c r="AE14" s="33">
        <v>0.03</v>
      </c>
    </row>
    <row r="15" spans="1:32" x14ac:dyDescent="0.25">
      <c r="A15" s="138" t="s">
        <v>227</v>
      </c>
      <c r="B15">
        <v>44.461058885059856</v>
      </c>
      <c r="C15" s="33">
        <f>IFERROR(VLOOKUP($A15,lmic_raw[],4,FALSE),0)</f>
        <v>0</v>
      </c>
      <c r="D15" s="33">
        <f>IFERROR(VLOOKUP($A15,lmic_raw[],10,FALSE),0)</f>
        <v>0</v>
      </c>
      <c r="E15" s="33">
        <f>IFERROR(VLOOKUP($A15,lmic_raw[],11,FALSE),0)</f>
        <v>0</v>
      </c>
      <c r="M15" s="166" t="s">
        <v>227</v>
      </c>
      <c r="N15" s="161">
        <f>IFERROR(VLOOKUP(tordrup[[#This Row],[setting]],lmic_raw[],4,FALSE),0)</f>
        <v>0</v>
      </c>
      <c r="O15" s="167">
        <f>IFERROR(VLOOKUP(tordrup[[#This Row],[setting]],lmic_raw[],11,FALSE),0)</f>
        <v>0</v>
      </c>
      <c r="P15" s="168">
        <f>IFERROR(VLOOKUP(tordrup[[#This Row],[setting]],lmic_raw[],9,FALSE),0)</f>
        <v>0</v>
      </c>
      <c r="Q15" s="126">
        <v>65.847699929608623</v>
      </c>
      <c r="R15" s="126">
        <v>95.067699929608622</v>
      </c>
      <c r="S15" s="126">
        <v>418.58643555563043</v>
      </c>
      <c r="T15" s="126">
        <v>364.66664628462689</v>
      </c>
      <c r="U15" s="126"/>
      <c r="V15" s="126"/>
      <c r="AD15" s="33" t="s">
        <v>189</v>
      </c>
      <c r="AE15" s="33">
        <v>0.1</v>
      </c>
    </row>
    <row r="16" spans="1:32" x14ac:dyDescent="0.25">
      <c r="A16" s="137" t="s">
        <v>167</v>
      </c>
      <c r="C16" s="33">
        <f>IFERROR(VLOOKUP($A16,lmic_raw[],4,FALSE),0)</f>
        <v>0</v>
      </c>
      <c r="D16" s="33">
        <f>IFERROR(VLOOKUP($A16,lmic_raw[],10,FALSE),0)</f>
        <v>0</v>
      </c>
      <c r="E16" s="33">
        <f>IFERROR(VLOOKUP($A16,lmic_raw[],11,FALSE),0)</f>
        <v>0</v>
      </c>
      <c r="M16" s="165" t="s">
        <v>167</v>
      </c>
      <c r="N16" s="160">
        <f>IFERROR(VLOOKUP(tordrup[[#This Row],[setting]],lmic_raw[],4,FALSE),0)</f>
        <v>0</v>
      </c>
      <c r="O16" s="167">
        <f>IFERROR(VLOOKUP(tordrup[[#This Row],[setting]],lmic_raw[],11,FALSE),0)</f>
        <v>0</v>
      </c>
      <c r="P16" s="168">
        <f>IFERROR(VLOOKUP(tordrup[[#This Row],[setting]],lmic_raw[],9,FALSE),0)</f>
        <v>0</v>
      </c>
      <c r="Q16" s="126"/>
      <c r="R16" s="126"/>
      <c r="S16" s="126"/>
      <c r="T16" s="126"/>
      <c r="U16" s="126"/>
      <c r="V16" s="126"/>
      <c r="AD16" s="33" t="s">
        <v>202</v>
      </c>
      <c r="AE16" s="33">
        <v>0.19</v>
      </c>
    </row>
    <row r="17" spans="1:31" x14ac:dyDescent="0.25">
      <c r="A17" s="138" t="s">
        <v>192</v>
      </c>
      <c r="C17" s="33" t="str">
        <f>IFERROR(VLOOKUP($A17,lmic_raw[],4,FALSE),0)</f>
        <v>SEARO</v>
      </c>
      <c r="D17" s="33">
        <f>IFERROR(VLOOKUP($A17,lmic_raw[],10,FALSE),0)</f>
        <v>0.53400000000000003</v>
      </c>
      <c r="E17" s="33">
        <f>IFERROR(VLOOKUP($A17,lmic_raw[],11,FALSE),0)</f>
        <v>0</v>
      </c>
      <c r="M17" s="166" t="s">
        <v>192</v>
      </c>
      <c r="N17" s="161" t="str">
        <f>IFERROR(VLOOKUP(tordrup[[#This Row],[setting]],lmic_raw[],4,FALSE),0)</f>
        <v>SEARO</v>
      </c>
      <c r="O17" s="167">
        <f>IFERROR(VLOOKUP(tordrup[[#This Row],[setting]],lmic_raw[],11,FALSE),0)</f>
        <v>0</v>
      </c>
      <c r="P17" s="168">
        <f>IFERROR(VLOOKUP(tordrup[[#This Row],[setting]],lmic_raw[],9,FALSE),0)</f>
        <v>2993690.7824530001</v>
      </c>
      <c r="Q17" s="126"/>
      <c r="R17" s="126"/>
      <c r="S17" s="126"/>
      <c r="T17" s="126"/>
      <c r="U17" s="126"/>
      <c r="V17" s="126"/>
      <c r="AD17" s="33" t="s">
        <v>757</v>
      </c>
      <c r="AE17" s="33">
        <v>0.27</v>
      </c>
    </row>
    <row r="18" spans="1:31" x14ac:dyDescent="0.25">
      <c r="A18" s="137" t="s">
        <v>228</v>
      </c>
      <c r="B18">
        <v>23.619006808103919</v>
      </c>
      <c r="C18" s="33">
        <f>IFERROR(VLOOKUP($A18,lmic_raw[],4,FALSE),0)</f>
        <v>0</v>
      </c>
      <c r="D18" s="33">
        <f>IFERROR(VLOOKUP($A18,lmic_raw[],10,FALSE),0)</f>
        <v>0</v>
      </c>
      <c r="E18" s="33">
        <f>IFERROR(VLOOKUP($A18,lmic_raw[],11,FALSE),0)</f>
        <v>0</v>
      </c>
      <c r="M18" s="165" t="s">
        <v>228</v>
      </c>
      <c r="N18" s="160">
        <f>IFERROR(VLOOKUP(tordrup[[#This Row],[setting]],lmic_raw[],4,FALSE),0)</f>
        <v>0</v>
      </c>
      <c r="O18" s="167">
        <f>IFERROR(VLOOKUP(tordrup[[#This Row],[setting]],lmic_raw[],11,FALSE),0)</f>
        <v>0</v>
      </c>
      <c r="P18" s="168">
        <f>IFERROR(VLOOKUP(tordrup[[#This Row],[setting]],lmic_raw[],9,FALSE),0)</f>
        <v>0</v>
      </c>
      <c r="Q18" s="126">
        <v>45.005647852652686</v>
      </c>
      <c r="R18" s="126">
        <v>74.225647852652685</v>
      </c>
      <c r="S18" s="126">
        <v>222.63269030973356</v>
      </c>
      <c r="T18" s="126">
        <v>197.89818323355342</v>
      </c>
      <c r="U18" s="126"/>
      <c r="V18" s="126"/>
      <c r="AD18" s="33" t="s">
        <v>758</v>
      </c>
      <c r="AE18" s="33">
        <v>0.64</v>
      </c>
    </row>
    <row r="19" spans="1:31" x14ac:dyDescent="0.25">
      <c r="A19" s="138" t="s">
        <v>307</v>
      </c>
      <c r="B19">
        <v>10.100158678461087</v>
      </c>
      <c r="C19" s="33" t="str">
        <f>IFERROR(VLOOKUP($A19,lmic_raw[],4,FALSE),0)</f>
        <v>EURO</v>
      </c>
      <c r="D19" s="33">
        <f>IFERROR(VLOOKUP($A19,lmic_raw[],10,FALSE),0)</f>
        <v>0.99900000000000011</v>
      </c>
      <c r="E19" s="33">
        <f>IFERROR(VLOOKUP($A19,lmic_raw[],11,FALSE),0)</f>
        <v>0.98</v>
      </c>
      <c r="M19" s="166" t="s">
        <v>307</v>
      </c>
      <c r="N19" s="161" t="str">
        <f>IFERROR(VLOOKUP(tordrup[[#This Row],[setting]],lmic_raw[],4,FALSE),0)</f>
        <v>EURO</v>
      </c>
      <c r="O19" s="167">
        <f>IFERROR(VLOOKUP(tordrup[[#This Row],[setting]],lmic_raw[],11,FALSE),0)</f>
        <v>0.98</v>
      </c>
      <c r="P19" s="168">
        <f>IFERROR(VLOOKUP(tordrup[[#This Row],[setting]],lmic_raw[],9,FALSE),0)</f>
        <v>111916.52256</v>
      </c>
      <c r="Q19" s="126">
        <v>31.486799723009852</v>
      </c>
      <c r="R19" s="126">
        <v>60.706799723009851</v>
      </c>
      <c r="S19" s="126">
        <v>108.3584249152201</v>
      </c>
      <c r="T19" s="126">
        <v>100.41648738318506</v>
      </c>
      <c r="U19" s="126"/>
      <c r="V19" s="126"/>
      <c r="AD19" s="33" t="s">
        <v>192</v>
      </c>
      <c r="AE19" s="33">
        <v>0.01</v>
      </c>
    </row>
    <row r="20" spans="1:31" x14ac:dyDescent="0.25">
      <c r="A20" s="137" t="s">
        <v>350</v>
      </c>
      <c r="C20" s="33">
        <f>IFERROR(VLOOKUP($A20,lmic_raw[],4,FALSE),0)</f>
        <v>0</v>
      </c>
      <c r="D20" s="33">
        <f>IFERROR(VLOOKUP($A20,lmic_raw[],10,FALSE),0)</f>
        <v>0</v>
      </c>
      <c r="E20" s="33">
        <f>IFERROR(VLOOKUP($A20,lmic_raw[],11,FALSE),0)</f>
        <v>0</v>
      </c>
      <c r="M20" s="165" t="s">
        <v>350</v>
      </c>
      <c r="N20" s="160">
        <f>IFERROR(VLOOKUP(tordrup[[#This Row],[setting]],lmic_raw[],4,FALSE),0)</f>
        <v>0</v>
      </c>
      <c r="O20" s="167">
        <f>IFERROR(VLOOKUP(tordrup[[#This Row],[setting]],lmic_raw[],11,FALSE),0)</f>
        <v>0</v>
      </c>
      <c r="P20" s="168">
        <f>IFERROR(VLOOKUP(tordrup[[#This Row],[setting]],lmic_raw[],9,FALSE),0)</f>
        <v>0</v>
      </c>
      <c r="Q20" s="126"/>
      <c r="R20" s="126"/>
      <c r="S20" s="126"/>
      <c r="T20" s="126"/>
      <c r="U20" s="126"/>
      <c r="V20" s="126"/>
      <c r="AD20" s="33" t="s">
        <v>194</v>
      </c>
      <c r="AE20" s="33">
        <v>0.02</v>
      </c>
    </row>
    <row r="21" spans="1:31" x14ac:dyDescent="0.25">
      <c r="A21" s="138" t="s">
        <v>253</v>
      </c>
      <c r="B21">
        <v>8.9369917630045457</v>
      </c>
      <c r="C21" s="33" t="str">
        <f>IFERROR(VLOOKUP($A21,lmic_raw[],4,FALSE),0)</f>
        <v>AMRO</v>
      </c>
      <c r="D21" s="33">
        <f>IFERROR(VLOOKUP($A21,lmic_raw[],10,FALSE),0)</f>
        <v>0.96400000000000008</v>
      </c>
      <c r="E21" s="33">
        <f>IFERROR(VLOOKUP($A21,lmic_raw[],11,FALSE),0)</f>
        <v>0.7</v>
      </c>
      <c r="M21" s="166" t="s">
        <v>253</v>
      </c>
      <c r="N21" s="161" t="str">
        <f>IFERROR(VLOOKUP(tordrup[[#This Row],[setting]],lmic_raw[],4,FALSE),0)</f>
        <v>AMRO</v>
      </c>
      <c r="O21" s="167">
        <f>IFERROR(VLOOKUP(tordrup[[#This Row],[setting]],lmic_raw[],11,FALSE),0)</f>
        <v>0.7</v>
      </c>
      <c r="P21" s="168">
        <f>IFERROR(VLOOKUP(tordrup[[#This Row],[setting]],lmic_raw[],9,FALSE),0)</f>
        <v>8153.6516880000008</v>
      </c>
      <c r="Q21" s="126">
        <v>30.323632807553313</v>
      </c>
      <c r="R21" s="126">
        <v>59.543632807553308</v>
      </c>
      <c r="S21" s="126">
        <v>92.060794762651909</v>
      </c>
      <c r="T21" s="126">
        <v>86.641267770135471</v>
      </c>
      <c r="U21" s="126"/>
      <c r="V21" s="126"/>
      <c r="AD21" s="33" t="s">
        <v>198</v>
      </c>
      <c r="AE21" s="33">
        <v>0.03</v>
      </c>
    </row>
    <row r="22" spans="1:31" x14ac:dyDescent="0.25">
      <c r="A22" s="137" t="s">
        <v>138</v>
      </c>
      <c r="B22">
        <v>3.1805024365104511</v>
      </c>
      <c r="C22" s="33" t="str">
        <f>IFERROR(VLOOKUP($A22,lmic_raw[],4,FALSE),0)</f>
        <v>AFRO</v>
      </c>
      <c r="D22" s="33">
        <f>IFERROR(VLOOKUP($A22,lmic_raw[],10,FALSE),0)</f>
        <v>0.83900000000000008</v>
      </c>
      <c r="E22" s="33">
        <f>IFERROR(VLOOKUP($A22,lmic_raw[],11,FALSE),0)</f>
        <v>0</v>
      </c>
      <c r="M22" s="165" t="s">
        <v>138</v>
      </c>
      <c r="N22" s="160" t="str">
        <f>IFERROR(VLOOKUP(tordrup[[#This Row],[setting]],lmic_raw[],4,FALSE),0)</f>
        <v>AFRO</v>
      </c>
      <c r="O22" s="167">
        <f>IFERROR(VLOOKUP(tordrup[[#This Row],[setting]],lmic_raw[],11,FALSE),0)</f>
        <v>0</v>
      </c>
      <c r="P22" s="168">
        <f>IFERROR(VLOOKUP(tordrup[[#This Row],[setting]],lmic_raw[],9,FALSE),0)</f>
        <v>429573.69755100005</v>
      </c>
      <c r="Q22" s="126">
        <v>24.567143481059219</v>
      </c>
      <c r="R22" s="126">
        <v>53.787143481059218</v>
      </c>
      <c r="S22" s="126">
        <v>57.124245623403709</v>
      </c>
      <c r="T22" s="126">
        <v>56.568061933012956</v>
      </c>
      <c r="U22" s="126"/>
      <c r="V22" s="126"/>
      <c r="AD22" s="33" t="s">
        <v>212</v>
      </c>
      <c r="AE22" s="33">
        <v>0.06</v>
      </c>
    </row>
    <row r="23" spans="1:31" x14ac:dyDescent="0.25">
      <c r="A23" s="138" t="s">
        <v>193</v>
      </c>
      <c r="B23">
        <v>5.2457171639536941</v>
      </c>
      <c r="C23" s="33" t="str">
        <f>IFERROR(VLOOKUP($A23,lmic_raw[],4,FALSE),0)</f>
        <v>SEARO</v>
      </c>
      <c r="D23" s="33">
        <f>IFERROR(VLOOKUP($A23,lmic_raw[],10,FALSE),0)</f>
        <v>0.73799999999999999</v>
      </c>
      <c r="E23" s="33">
        <f>IFERROR(VLOOKUP($A23,lmic_raw[],11,FALSE),0)</f>
        <v>0.86</v>
      </c>
      <c r="M23" s="166" t="s">
        <v>193</v>
      </c>
      <c r="N23" s="161" t="str">
        <f>IFERROR(VLOOKUP(tordrup[[#This Row],[setting]],lmic_raw[],4,FALSE),0)</f>
        <v>SEARO</v>
      </c>
      <c r="O23" s="167">
        <f>IFERROR(VLOOKUP(tordrup[[#This Row],[setting]],lmic_raw[],11,FALSE),0)</f>
        <v>0.86</v>
      </c>
      <c r="P23" s="168">
        <f>IFERROR(VLOOKUP(tordrup[[#This Row],[setting]],lmic_raw[],9,FALSE),0)</f>
        <v>13348.040248000001</v>
      </c>
      <c r="Q23" s="126">
        <v>26.63235820850246</v>
      </c>
      <c r="R23" s="126">
        <v>55.852358208502459</v>
      </c>
      <c r="S23" s="126">
        <v>69.968456942081758</v>
      </c>
      <c r="T23" s="126">
        <v>67.615773819818543</v>
      </c>
      <c r="U23" s="126"/>
      <c r="V23" s="126"/>
      <c r="AD23" s="33" t="s">
        <v>213</v>
      </c>
      <c r="AE23" s="33">
        <v>0.02</v>
      </c>
    </row>
    <row r="24" spans="1:31" x14ac:dyDescent="0.25">
      <c r="A24" s="81" t="s">
        <v>263</v>
      </c>
      <c r="B24">
        <v>5.0320742611147375</v>
      </c>
      <c r="C24" s="33" t="str">
        <f>IFERROR(VLOOKUP($A24,lmic_raw[],4,FALSE),0)</f>
        <v>AMRO</v>
      </c>
      <c r="D24" s="33">
        <f>IFERROR(VLOOKUP($A24,lmic_raw[],10,FALSE),0)</f>
        <v>0.877</v>
      </c>
      <c r="E24" s="33">
        <f>IFERROR(VLOOKUP($A24,lmic_raw[],11,FALSE),0)</f>
        <v>0</v>
      </c>
      <c r="M24" s="82" t="s">
        <v>263</v>
      </c>
      <c r="N24" s="160" t="str">
        <f>IFERROR(VLOOKUP(tordrup[[#This Row],[setting]],lmic_raw[],4,FALSE),0)</f>
        <v>AMRO</v>
      </c>
      <c r="O24" s="167">
        <f>IFERROR(VLOOKUP(tordrup[[#This Row],[setting]],lmic_raw[],11,FALSE),0)</f>
        <v>0</v>
      </c>
      <c r="P24" s="168">
        <f>IFERROR(VLOOKUP(tordrup[[#This Row],[setting]],lmic_raw[],9,FALSE),0)</f>
        <v>251929.69796400002</v>
      </c>
      <c r="Q24" s="126">
        <v>26.418715305663504</v>
      </c>
      <c r="R24" s="126">
        <v>55.638715305663503</v>
      </c>
      <c r="S24" s="126">
        <v>68.03926152944598</v>
      </c>
      <c r="T24" s="126">
        <v>65.972503825482235</v>
      </c>
      <c r="U24" s="126"/>
      <c r="V24" s="126"/>
      <c r="AD24" s="33" t="s">
        <v>759</v>
      </c>
      <c r="AE24" s="33">
        <v>0.02</v>
      </c>
    </row>
    <row r="25" spans="1:31" x14ac:dyDescent="0.25">
      <c r="A25" s="138" t="s">
        <v>334</v>
      </c>
      <c r="B25">
        <v>9.020075114108586</v>
      </c>
      <c r="C25" s="33" t="str">
        <f>IFERROR(VLOOKUP($A25,lmic_raw[],4,FALSE),0)</f>
        <v>EURO</v>
      </c>
      <c r="D25" s="33">
        <f>IFERROR(VLOOKUP($A25,lmic_raw[],10,FALSE),0)</f>
        <v>0.997</v>
      </c>
      <c r="E25" s="33">
        <f>IFERROR(VLOOKUP($A25,lmic_raw[],11,FALSE),0)</f>
        <v>0</v>
      </c>
      <c r="M25" s="166" t="s">
        <v>334</v>
      </c>
      <c r="N25" s="161" t="str">
        <f>IFERROR(VLOOKUP(tordrup[[#This Row],[setting]],lmic_raw[],4,FALSE),0)</f>
        <v>EURO</v>
      </c>
      <c r="O25" s="167">
        <f>IFERROR(VLOOKUP(tordrup[[#This Row],[setting]],lmic_raw[],11,FALSE),0)</f>
        <v>0</v>
      </c>
      <c r="P25" s="168">
        <f>IFERROR(VLOOKUP(tordrup[[#This Row],[setting]],lmic_raw[],9,FALSE),0)</f>
        <v>27048.377612000004</v>
      </c>
      <c r="Q25" s="126">
        <v>30.406716158657353</v>
      </c>
      <c r="R25" s="126">
        <v>59.626716158657352</v>
      </c>
      <c r="S25" s="126">
        <v>94.235442132549309</v>
      </c>
      <c r="T25" s="126">
        <v>88.467321136900665</v>
      </c>
      <c r="U25" s="126"/>
      <c r="V25" s="126"/>
      <c r="AD25" s="33" t="s">
        <v>215</v>
      </c>
      <c r="AE25" s="33">
        <v>0.09</v>
      </c>
    </row>
    <row r="26" spans="1:31" x14ac:dyDescent="0.25">
      <c r="A26" s="137" t="s">
        <v>132</v>
      </c>
      <c r="B26">
        <v>14.016945230508615</v>
      </c>
      <c r="C26" s="33" t="str">
        <f>IFERROR(VLOOKUP($A26,lmic_raw[],4,FALSE),0)</f>
        <v>AFRO</v>
      </c>
      <c r="D26" s="33">
        <f>IFERROR(VLOOKUP($A26,lmic_raw[],10,FALSE),0)</f>
        <v>0.997</v>
      </c>
      <c r="E26" s="33">
        <f>IFERROR(VLOOKUP($A26,lmic_raw[],11,FALSE),0)</f>
        <v>0</v>
      </c>
      <c r="M26" s="165" t="s">
        <v>132</v>
      </c>
      <c r="N26" s="160" t="str">
        <f>IFERROR(VLOOKUP(tordrup[[#This Row],[setting]],lmic_raw[],4,FALSE),0)</f>
        <v>AFRO</v>
      </c>
      <c r="O26" s="167">
        <f>IFERROR(VLOOKUP(tordrup[[#This Row],[setting]],lmic_raw[],11,FALSE),0)</f>
        <v>0</v>
      </c>
      <c r="P26" s="168">
        <f>IFERROR(VLOOKUP(tordrup[[#This Row],[setting]],lmic_raw[],9,FALSE),0)</f>
        <v>57852.893438999999</v>
      </c>
      <c r="Q26" s="126">
        <v>35.403586275057378</v>
      </c>
      <c r="R26" s="126">
        <v>64.623586275057377</v>
      </c>
      <c r="S26" s="126">
        <v>135.71326219472004</v>
      </c>
      <c r="T26" s="126">
        <v>123.86498287477627</v>
      </c>
      <c r="U26" s="126"/>
      <c r="V26" s="126"/>
      <c r="AD26" s="33" t="s">
        <v>216</v>
      </c>
      <c r="AE26" s="33">
        <v>0.01</v>
      </c>
    </row>
    <row r="27" spans="1:31" x14ac:dyDescent="0.25">
      <c r="A27" s="138" t="s">
        <v>264</v>
      </c>
      <c r="B27">
        <v>4.8540385087489408</v>
      </c>
      <c r="C27" s="33" t="str">
        <f>IFERROR(VLOOKUP($A27,lmic_raw[],4,FALSE),0)</f>
        <v>AMRO</v>
      </c>
      <c r="D27" s="33">
        <f>IFERROR(VLOOKUP($A27,lmic_raw[],10,FALSE),0)</f>
        <v>0.99099999999999999</v>
      </c>
      <c r="E27" s="33">
        <f>IFERROR(VLOOKUP($A27,lmic_raw[],11,FALSE),0)</f>
        <v>0.78</v>
      </c>
      <c r="M27" s="166" t="s">
        <v>264</v>
      </c>
      <c r="N27" s="161" t="str">
        <f>IFERROR(VLOOKUP(tordrup[[#This Row],[setting]],lmic_raw[],4,FALSE),0)</f>
        <v>AMRO</v>
      </c>
      <c r="O27" s="167">
        <f>IFERROR(VLOOKUP(tordrup[[#This Row],[setting]],lmic_raw[],11,FALSE),0)</f>
        <v>0.78</v>
      </c>
      <c r="P27" s="168">
        <f>IFERROR(VLOOKUP(tordrup[[#This Row],[setting]],lmic_raw[],9,FALSE),0)</f>
        <v>2970099.8808869999</v>
      </c>
      <c r="Q27" s="126">
        <v>26.24067955329771</v>
      </c>
      <c r="R27" s="126">
        <v>55.460679553297709</v>
      </c>
      <c r="S27" s="126">
        <v>70.320967731766032</v>
      </c>
      <c r="T27" s="126">
        <v>67.84425303535464</v>
      </c>
      <c r="U27" s="126"/>
      <c r="V27" s="126"/>
      <c r="AD27" s="33" t="s">
        <v>217</v>
      </c>
      <c r="AE27" s="33">
        <v>0.03</v>
      </c>
    </row>
    <row r="28" spans="1:31" x14ac:dyDescent="0.25">
      <c r="A28" s="137" t="s">
        <v>754</v>
      </c>
      <c r="B28">
        <v>31.701829965511095</v>
      </c>
      <c r="C28" s="33">
        <f>IFERROR(VLOOKUP($A28,lmic_raw[],4,FALSE),0)</f>
        <v>0</v>
      </c>
      <c r="D28" s="33">
        <f>IFERROR(VLOOKUP($A28,lmic_raw[],10,FALSE),0)</f>
        <v>0</v>
      </c>
      <c r="E28" s="33">
        <f>IFERROR(VLOOKUP($A28,lmic_raw[],11,FALSE),0)</f>
        <v>0</v>
      </c>
      <c r="M28" s="165" t="s">
        <v>754</v>
      </c>
      <c r="N28" s="160">
        <f>IFERROR(VLOOKUP(tordrup[[#This Row],[setting]],lmic_raw[],4,FALSE),0)</f>
        <v>0</v>
      </c>
      <c r="O28" s="167">
        <f>IFERROR(VLOOKUP(tordrup[[#This Row],[setting]],lmic_raw[],11,FALSE),0)</f>
        <v>0</v>
      </c>
      <c r="P28" s="168">
        <f>IFERROR(VLOOKUP(tordrup[[#This Row],[setting]],lmic_raw[],9,FALSE),0)</f>
        <v>0</v>
      </c>
      <c r="Q28" s="126">
        <v>53.088471010059862</v>
      </c>
      <c r="R28" s="126">
        <v>82.308471010059861</v>
      </c>
      <c r="S28" s="126">
        <v>353.93761839455607</v>
      </c>
      <c r="T28" s="126">
        <v>308.66609383047336</v>
      </c>
      <c r="U28" s="126"/>
      <c r="V28" s="126"/>
      <c r="AD28" s="33" t="s">
        <v>219</v>
      </c>
      <c r="AE28" s="33">
        <v>0.05</v>
      </c>
    </row>
    <row r="29" spans="1:31" x14ac:dyDescent="0.25">
      <c r="A29" s="138" t="s">
        <v>308</v>
      </c>
      <c r="B29">
        <v>11.666873299280098</v>
      </c>
      <c r="C29" s="33" t="str">
        <f>IFERROR(VLOOKUP($A29,lmic_raw[],4,FALSE),0)</f>
        <v>EURO</v>
      </c>
      <c r="D29" s="33">
        <f>IFERROR(VLOOKUP($A29,lmic_raw[],10,FALSE),0)</f>
        <v>0.997</v>
      </c>
      <c r="E29" s="33">
        <f>IFERROR(VLOOKUP($A29,lmic_raw[],11,FALSE),0)</f>
        <v>0.96</v>
      </c>
      <c r="M29" s="166" t="s">
        <v>308</v>
      </c>
      <c r="N29" s="161" t="str">
        <f>IFERROR(VLOOKUP(tordrup[[#This Row],[setting]],lmic_raw[],4,FALSE),0)</f>
        <v>EURO</v>
      </c>
      <c r="O29" s="167">
        <f>IFERROR(VLOOKUP(tordrup[[#This Row],[setting]],lmic_raw[],11,FALSE),0)</f>
        <v>0.96</v>
      </c>
      <c r="P29" s="168">
        <f>IFERROR(VLOOKUP(tordrup[[#This Row],[setting]],lmic_raw[],9,FALSE),0)</f>
        <v>62693.047851999996</v>
      </c>
      <c r="Q29" s="126">
        <v>33.053514343828866</v>
      </c>
      <c r="R29" s="126">
        <v>62.273514343828865</v>
      </c>
      <c r="S29" s="126">
        <v>118.94158217885251</v>
      </c>
      <c r="T29" s="126">
        <v>109.49690420634857</v>
      </c>
      <c r="U29" s="126"/>
      <c r="V29" s="126"/>
      <c r="AD29" s="33" t="s">
        <v>760</v>
      </c>
      <c r="AE29" s="33">
        <v>0.17</v>
      </c>
    </row>
    <row r="30" spans="1:31" x14ac:dyDescent="0.25">
      <c r="A30" s="137" t="s">
        <v>139</v>
      </c>
      <c r="C30" s="33" t="str">
        <f>IFERROR(VLOOKUP($A30,lmic_raw[],4,FALSE),0)</f>
        <v>AFRO</v>
      </c>
      <c r="D30" s="33">
        <f>IFERROR(VLOOKUP($A30,lmic_raw[],10,FALSE),0)</f>
        <v>0.82200000000000006</v>
      </c>
      <c r="E30" s="33">
        <f>IFERROR(VLOOKUP($A30,lmic_raw[],11,FALSE),0)</f>
        <v>0</v>
      </c>
      <c r="M30" s="165" t="s">
        <v>139</v>
      </c>
      <c r="N30" s="160" t="str">
        <f>IFERROR(VLOOKUP(tordrup[[#This Row],[setting]],lmic_raw[],4,FALSE),0)</f>
        <v>AFRO</v>
      </c>
      <c r="O30" s="167">
        <f>IFERROR(VLOOKUP(tordrup[[#This Row],[setting]],lmic_raw[],11,FALSE),0)</f>
        <v>0</v>
      </c>
      <c r="P30" s="168">
        <f>IFERROR(VLOOKUP(tordrup[[#This Row],[setting]],lmic_raw[],9,FALSE),0)</f>
        <v>776032.97400400008</v>
      </c>
      <c r="Q30" s="126"/>
      <c r="R30" s="126"/>
      <c r="S30" s="126"/>
      <c r="T30" s="126"/>
      <c r="U30" s="126"/>
      <c r="V30" s="126"/>
      <c r="AD30" s="33" t="s">
        <v>277</v>
      </c>
      <c r="AE30" s="33">
        <v>0.62</v>
      </c>
    </row>
    <row r="31" spans="1:31" x14ac:dyDescent="0.25">
      <c r="A31" s="138" t="s">
        <v>101</v>
      </c>
      <c r="B31">
        <v>2.2072403235774289</v>
      </c>
      <c r="C31" s="33" t="str">
        <f>IFERROR(VLOOKUP($A31,lmic_raw[],4,FALSE),0)</f>
        <v>AFRO</v>
      </c>
      <c r="D31" s="33">
        <f>IFERROR(VLOOKUP($A31,lmic_raw[],10,FALSE),0)</f>
        <v>0.83900000000000008</v>
      </c>
      <c r="E31" s="33">
        <f>IFERROR(VLOOKUP($A31,lmic_raw[],11,FALSE),0)</f>
        <v>0</v>
      </c>
      <c r="M31" s="166" t="s">
        <v>101</v>
      </c>
      <c r="N31" s="161" t="str">
        <f>IFERROR(VLOOKUP(tordrup[[#This Row],[setting]],lmic_raw[],4,FALSE),0)</f>
        <v>AFRO</v>
      </c>
      <c r="O31" s="167">
        <f>IFERROR(VLOOKUP(tordrup[[#This Row],[setting]],lmic_raw[],11,FALSE),0)</f>
        <v>0</v>
      </c>
      <c r="P31" s="168">
        <f>IFERROR(VLOOKUP(tordrup[[#This Row],[setting]],lmic_raw[],9,FALSE),0)</f>
        <v>452655.86128899996</v>
      </c>
      <c r="Q31" s="126">
        <v>23.593881368126198</v>
      </c>
      <c r="R31" s="126">
        <v>52.813881368126196</v>
      </c>
      <c r="S31" s="126">
        <v>53.432733643349707</v>
      </c>
      <c r="T31" s="126">
        <v>53.329591597479123</v>
      </c>
      <c r="U31" s="126"/>
      <c r="V31" s="126"/>
      <c r="AD31" s="33" t="s">
        <v>278</v>
      </c>
      <c r="AE31" s="33">
        <v>0.71</v>
      </c>
    </row>
    <row r="32" spans="1:31" x14ac:dyDescent="0.25">
      <c r="A32" s="100" t="s">
        <v>141</v>
      </c>
      <c r="B32">
        <v>3.6077882421883638</v>
      </c>
      <c r="C32" s="33" t="str">
        <f>IFERROR(VLOOKUP($A32,lmic_raw[],4,FALSE),0)</f>
        <v>AFRO</v>
      </c>
      <c r="D32" s="33">
        <f>IFERROR(VLOOKUP($A32,lmic_raw[],10,FALSE),0)</f>
        <v>0.69799999999999995</v>
      </c>
      <c r="E32" s="33">
        <f>IFERROR(VLOOKUP($A32,lmic_raw[],11,FALSE),0)</f>
        <v>0.09</v>
      </c>
      <c r="M32" s="109" t="s">
        <v>141</v>
      </c>
      <c r="N32" s="162" t="str">
        <f>IFERROR(VLOOKUP(tordrup[[#This Row],[setting]],lmic_raw[],4,FALSE),0)</f>
        <v>AFRO</v>
      </c>
      <c r="O32" s="167">
        <f>IFERROR(VLOOKUP(tordrup[[#This Row],[setting]],lmic_raw[],11,FALSE),0)</f>
        <v>0.09</v>
      </c>
      <c r="P32" s="168">
        <f>IFERROR(VLOOKUP(tordrup[[#This Row],[setting]],lmic_raw[],9,FALSE),0)</f>
        <v>923095.70583000011</v>
      </c>
      <c r="Q32" s="126">
        <v>24.99442928673713</v>
      </c>
      <c r="R32" s="126">
        <v>54.214429286737129</v>
      </c>
      <c r="S32" s="126">
        <v>59.118246049900634</v>
      </c>
      <c r="T32" s="126">
        <v>58.300943256040057</v>
      </c>
      <c r="U32" s="126"/>
      <c r="V32" s="126"/>
      <c r="AD32" s="33" t="s">
        <v>253</v>
      </c>
      <c r="AE32" s="33">
        <v>0.08</v>
      </c>
    </row>
    <row r="33" spans="1:31" x14ac:dyDescent="0.25">
      <c r="A33" s="138" t="s">
        <v>140</v>
      </c>
      <c r="B33">
        <v>6.0884197251517982</v>
      </c>
      <c r="C33" s="33" t="str">
        <f>IFERROR(VLOOKUP($A33,lmic_raw[],4,FALSE),0)</f>
        <v>AFRO</v>
      </c>
      <c r="D33" s="33">
        <f>IFERROR(VLOOKUP($A33,lmic_raw[],10,FALSE),0)</f>
        <v>0.75599999999999989</v>
      </c>
      <c r="E33" s="33">
        <f>IFERROR(VLOOKUP($A33,lmic_raw[],11,FALSE),0)</f>
        <v>0.96</v>
      </c>
      <c r="M33" s="166" t="s">
        <v>140</v>
      </c>
      <c r="N33" s="161" t="str">
        <f>IFERROR(VLOOKUP(tordrup[[#This Row],[setting]],lmic_raw[],4,FALSE),0)</f>
        <v>AFRO</v>
      </c>
      <c r="O33" s="167">
        <f>IFERROR(VLOOKUP(tordrup[[#This Row],[setting]],lmic_raw[],11,FALSE),0)</f>
        <v>0.96</v>
      </c>
      <c r="P33" s="168">
        <f>IFERROR(VLOOKUP(tordrup[[#This Row],[setting]],lmic_raw[],9,FALSE),0)</f>
        <v>10827.689904000001</v>
      </c>
      <c r="Q33" s="126">
        <v>27.475060769700566</v>
      </c>
      <c r="R33" s="126">
        <v>56.695060769700561</v>
      </c>
      <c r="S33" s="126">
        <v>72.048864053726874</v>
      </c>
      <c r="T33" s="126">
        <v>69.489896839722491</v>
      </c>
      <c r="U33" s="126"/>
      <c r="V33" s="126"/>
      <c r="AD33" s="33" t="s">
        <v>232</v>
      </c>
      <c r="AE33" s="33">
        <v>0.52</v>
      </c>
    </row>
    <row r="34" spans="1:31" x14ac:dyDescent="0.25">
      <c r="A34" s="137" t="s">
        <v>212</v>
      </c>
      <c r="B34">
        <v>3.1923714866681712</v>
      </c>
      <c r="C34" s="33" t="str">
        <f>IFERROR(VLOOKUP($A34,lmic_raw[],4,FALSE),0)</f>
        <v>WPRO</v>
      </c>
      <c r="D34" s="33">
        <f>IFERROR(VLOOKUP($A34,lmic_raw[],10,FALSE),0)</f>
        <v>0.83200000000000007</v>
      </c>
      <c r="E34" s="33">
        <f>IFERROR(VLOOKUP($A34,lmic_raw[],11,FALSE),0)</f>
        <v>0.88</v>
      </c>
      <c r="M34" s="165" t="s">
        <v>212</v>
      </c>
      <c r="N34" s="160" t="str">
        <f>IFERROR(VLOOKUP(tordrup[[#This Row],[setting]],lmic_raw[],4,FALSE),0)</f>
        <v>WPRO</v>
      </c>
      <c r="O34" s="167">
        <f>IFERROR(VLOOKUP(tordrup[[#This Row],[setting]],lmic_raw[],11,FALSE),0)</f>
        <v>0.88</v>
      </c>
      <c r="P34" s="168">
        <f>IFERROR(VLOOKUP(tordrup[[#This Row],[setting]],lmic_raw[],9,FALSE),0)</f>
        <v>374656.66695000004</v>
      </c>
      <c r="Q34" s="126">
        <v>24.579012531216939</v>
      </c>
      <c r="R34" s="126">
        <v>53.799012531216938</v>
      </c>
      <c r="S34" s="126">
        <v>57.731466229472659</v>
      </c>
      <c r="T34" s="126">
        <v>57.076057279763376</v>
      </c>
      <c r="U34" s="126"/>
      <c r="V34" s="126"/>
      <c r="AD34" s="33" t="s">
        <v>235</v>
      </c>
      <c r="AE34" s="33">
        <v>0.09</v>
      </c>
    </row>
    <row r="35" spans="1:31" x14ac:dyDescent="0.25">
      <c r="A35" s="138" t="s">
        <v>123</v>
      </c>
      <c r="B35">
        <v>3.7858239945541601</v>
      </c>
      <c r="C35" s="33" t="str">
        <f>IFERROR(VLOOKUP($A35,lmic_raw[],4,FALSE),0)</f>
        <v>AFRO</v>
      </c>
      <c r="D35" s="33">
        <f>IFERROR(VLOOKUP($A35,lmic_raw[],10,FALSE),0)</f>
        <v>0.67</v>
      </c>
      <c r="E35" s="33">
        <f>IFERROR(VLOOKUP($A35,lmic_raw[],11,FALSE),0)</f>
        <v>0</v>
      </c>
      <c r="M35" s="166" t="s">
        <v>123</v>
      </c>
      <c r="N35" s="161" t="str">
        <f>IFERROR(VLOOKUP(tordrup[[#This Row],[setting]],lmic_raw[],4,FALSE),0)</f>
        <v>AFRO</v>
      </c>
      <c r="O35" s="167">
        <f>IFERROR(VLOOKUP(tordrup[[#This Row],[setting]],lmic_raw[],11,FALSE),0)</f>
        <v>0</v>
      </c>
      <c r="P35" s="168">
        <f>IFERROR(VLOOKUP(tordrup[[#This Row],[setting]],lmic_raw[],9,FALSE),0)</f>
        <v>921432.26468300004</v>
      </c>
      <c r="Q35" s="126">
        <v>25.172465039102928</v>
      </c>
      <c r="R35" s="126">
        <v>54.39246503910293</v>
      </c>
      <c r="S35" s="126">
        <v>60.016970527843185</v>
      </c>
      <c r="T35" s="126">
        <v>59.079552946386471</v>
      </c>
      <c r="U35" s="126"/>
      <c r="V35" s="126"/>
      <c r="AD35" s="33" t="s">
        <v>238</v>
      </c>
      <c r="AE35" s="33">
        <v>0.03</v>
      </c>
    </row>
    <row r="36" spans="1:31" x14ac:dyDescent="0.25">
      <c r="A36" s="137" t="s">
        <v>360</v>
      </c>
      <c r="B36">
        <v>65.955908720690388</v>
      </c>
      <c r="C36" s="33">
        <f>IFERROR(VLOOKUP($A36,lmic_raw[],4,FALSE),0)</f>
        <v>0</v>
      </c>
      <c r="D36" s="33">
        <f>IFERROR(VLOOKUP($A36,lmic_raw[],10,FALSE),0)</f>
        <v>0</v>
      </c>
      <c r="E36" s="33">
        <f>IFERROR(VLOOKUP($A36,lmic_raw[],11,FALSE),0)</f>
        <v>0</v>
      </c>
      <c r="M36" s="165" t="s">
        <v>360</v>
      </c>
      <c r="N36" s="160">
        <f>IFERROR(VLOOKUP(tordrup[[#This Row],[setting]],lmic_raw[],4,FALSE),0)</f>
        <v>0</v>
      </c>
      <c r="O36" s="167">
        <f>IFERROR(VLOOKUP(tordrup[[#This Row],[setting]],lmic_raw[],11,FALSE),0)</f>
        <v>0</v>
      </c>
      <c r="P36" s="168">
        <f>IFERROR(VLOOKUP(tordrup[[#This Row],[setting]],lmic_raw[],9,FALSE),0)</f>
        <v>0</v>
      </c>
      <c r="Q36" s="126">
        <v>87.342549765239156</v>
      </c>
      <c r="R36" s="126">
        <v>116.56254976523915</v>
      </c>
      <c r="S36" s="126">
        <v>650.42839038242141</v>
      </c>
      <c r="T36" s="126">
        <v>561.45075027955772</v>
      </c>
      <c r="U36" s="126"/>
      <c r="V36" s="126"/>
      <c r="AD36" s="33" t="s">
        <v>239</v>
      </c>
      <c r="AE36" s="33">
        <v>0.01</v>
      </c>
    </row>
    <row r="37" spans="1:31" x14ac:dyDescent="0.25">
      <c r="A37" s="138" t="s">
        <v>601</v>
      </c>
      <c r="B37">
        <v>2.7650856809902589</v>
      </c>
      <c r="C37" s="33" t="str">
        <f>IFERROR(VLOOKUP($A37,lmic_raw[],4,FALSE),0)</f>
        <v>AFRO</v>
      </c>
      <c r="D37" s="33">
        <f>IFERROR(VLOOKUP($A37,lmic_raw[],10,FALSE),0)</f>
        <v>0.52500000000000002</v>
      </c>
      <c r="E37" s="33">
        <f>IFERROR(VLOOKUP($A37,lmic_raw[],11,FALSE),0)</f>
        <v>0</v>
      </c>
      <c r="M37" s="166" t="s">
        <v>601</v>
      </c>
      <c r="N37" s="161" t="str">
        <f>IFERROR(VLOOKUP(tordrup[[#This Row],[setting]],lmic_raw[],4,FALSE),0)</f>
        <v>AFRO</v>
      </c>
      <c r="O37" s="167">
        <f>IFERROR(VLOOKUP(tordrup[[#This Row],[setting]],lmic_raw[],11,FALSE),0)</f>
        <v>0</v>
      </c>
      <c r="P37" s="168">
        <f>IFERROR(VLOOKUP(tordrup[[#This Row],[setting]],lmic_raw[],9,FALSE),0)</f>
        <v>168026.78838999997</v>
      </c>
      <c r="Q37" s="126">
        <v>24.151726725539028</v>
      </c>
      <c r="R37" s="126">
        <v>53.371726725539027</v>
      </c>
      <c r="S37" s="126">
        <v>55.142114247064512</v>
      </c>
      <c r="T37" s="126">
        <v>54.847049660143597</v>
      </c>
      <c r="U37" s="126"/>
      <c r="V37" s="126"/>
      <c r="AD37" s="33" t="s">
        <v>332</v>
      </c>
      <c r="AE37" s="33">
        <v>0.04</v>
      </c>
    </row>
    <row r="38" spans="1:31" x14ac:dyDescent="0.25">
      <c r="A38" s="137" t="s">
        <v>125</v>
      </c>
      <c r="B38">
        <v>3.26358578761449</v>
      </c>
      <c r="C38" s="33" t="str">
        <f>IFERROR(VLOOKUP($A38,lmic_raw[],4,FALSE),0)</f>
        <v>AFRO</v>
      </c>
      <c r="D38" s="33">
        <f>IFERROR(VLOOKUP($A38,lmic_raw[],10,FALSE),0)</f>
        <v>0.217</v>
      </c>
      <c r="E38" s="33">
        <f>IFERROR(VLOOKUP($A38,lmic_raw[],11,FALSE),0)</f>
        <v>0</v>
      </c>
      <c r="M38" s="165" t="s">
        <v>125</v>
      </c>
      <c r="N38" s="160" t="str">
        <f>IFERROR(VLOOKUP(tordrup[[#This Row],[setting]],lmic_raw[],4,FALSE),0)</f>
        <v>AFRO</v>
      </c>
      <c r="O38" s="167">
        <f>IFERROR(VLOOKUP(tordrup[[#This Row],[setting]],lmic_raw[],11,FALSE),0)</f>
        <v>0</v>
      </c>
      <c r="P38" s="168">
        <f>IFERROR(VLOOKUP(tordrup[[#This Row],[setting]],lmic_raw[],9,FALSE),0)</f>
        <v>676674.04390599998</v>
      </c>
      <c r="Q38" s="126">
        <v>24.650226832163256</v>
      </c>
      <c r="R38" s="126">
        <v>53.870226832163254</v>
      </c>
      <c r="S38" s="126">
        <v>57.332666144173274</v>
      </c>
      <c r="T38" s="126">
        <v>56.755592925504942</v>
      </c>
      <c r="U38" s="126"/>
      <c r="V38" s="126"/>
      <c r="AD38" s="33" t="s">
        <v>308</v>
      </c>
      <c r="AE38" s="33">
        <v>0.13</v>
      </c>
    </row>
    <row r="39" spans="1:31" x14ac:dyDescent="0.25">
      <c r="A39" s="138" t="s">
        <v>265</v>
      </c>
      <c r="B39">
        <v>21.102768174667329</v>
      </c>
      <c r="C39" s="33">
        <f>IFERROR(VLOOKUP($A39,lmic_raw[],4,FALSE),0)</f>
        <v>0</v>
      </c>
      <c r="D39" s="33">
        <f>IFERROR(VLOOKUP($A39,lmic_raw[],10,FALSE),0)</f>
        <v>0</v>
      </c>
      <c r="E39" s="33">
        <f>IFERROR(VLOOKUP($A39,lmic_raw[],11,FALSE),0)</f>
        <v>0</v>
      </c>
      <c r="M39" s="166" t="s">
        <v>265</v>
      </c>
      <c r="N39" s="161">
        <f>IFERROR(VLOOKUP(tordrup[[#This Row],[setting]],lmic_raw[],4,FALSE),0)</f>
        <v>0</v>
      </c>
      <c r="O39" s="167">
        <f>IFERROR(VLOOKUP(tordrup[[#This Row],[setting]],lmic_raw[],11,FALSE),0)</f>
        <v>0</v>
      </c>
      <c r="P39" s="168">
        <f>IFERROR(VLOOKUP(tordrup[[#This Row],[setting]],lmic_raw[],9,FALSE),0)</f>
        <v>0</v>
      </c>
      <c r="Q39" s="126">
        <v>42.4894092192161</v>
      </c>
      <c r="R39" s="126">
        <v>71.709409219216099</v>
      </c>
      <c r="S39" s="126">
        <v>194.79050983075766</v>
      </c>
      <c r="T39" s="126">
        <v>174.27699306216738</v>
      </c>
      <c r="U39" s="126"/>
      <c r="V39" s="126"/>
      <c r="AD39" s="33" t="s">
        <v>335</v>
      </c>
      <c r="AE39" s="33">
        <v>0.38</v>
      </c>
    </row>
    <row r="40" spans="1:31" x14ac:dyDescent="0.25">
      <c r="A40" s="137" t="s">
        <v>202</v>
      </c>
      <c r="B40">
        <v>8.046813001175563</v>
      </c>
      <c r="C40" s="33" t="str">
        <f>IFERROR(VLOOKUP($A40,lmic_raw[],4,FALSE),0)</f>
        <v>WPRO</v>
      </c>
      <c r="D40" s="33">
        <f>IFERROR(VLOOKUP($A40,lmic_raw[],10,FALSE),0)</f>
        <v>0.99900000000000011</v>
      </c>
      <c r="E40" s="33">
        <f>IFERROR(VLOOKUP($A40,lmic_raw[],11,FALSE),0)</f>
        <v>0.96</v>
      </c>
      <c r="M40" s="165" t="s">
        <v>202</v>
      </c>
      <c r="N40" s="160" t="str">
        <f>IFERROR(VLOOKUP(tordrup[[#This Row],[setting]],lmic_raw[],4,FALSE),0)</f>
        <v>WPRO</v>
      </c>
      <c r="O40" s="167">
        <f>IFERROR(VLOOKUP(tordrup[[#This Row],[setting]],lmic_raw[],11,FALSE),0)</f>
        <v>0.96</v>
      </c>
      <c r="P40" s="168">
        <f>IFERROR(VLOOKUP(tordrup[[#This Row],[setting]],lmic_raw[],9,FALSE),0)</f>
        <v>17105039.445560001</v>
      </c>
      <c r="Q40" s="126">
        <v>29.433454045724332</v>
      </c>
      <c r="R40" s="126">
        <v>58.653454045724331</v>
      </c>
      <c r="S40" s="126">
        <v>87.034489401860725</v>
      </c>
      <c r="T40" s="126">
        <v>82.304316842504662</v>
      </c>
      <c r="U40" s="126"/>
      <c r="V40" s="126"/>
      <c r="AD40" s="33" t="s">
        <v>643</v>
      </c>
      <c r="AE40" s="33">
        <v>0.21</v>
      </c>
    </row>
    <row r="41" spans="1:31" x14ac:dyDescent="0.25">
      <c r="A41" s="138" t="s">
        <v>266</v>
      </c>
      <c r="B41">
        <v>18.978208196435485</v>
      </c>
      <c r="C41" s="33" t="str">
        <f>IFERROR(VLOOKUP($A41,lmic_raw[],4,FALSE),0)</f>
        <v>AMRO</v>
      </c>
      <c r="D41" s="33">
        <f>IFERROR(VLOOKUP($A41,lmic_raw[],10,FALSE),0)</f>
        <v>0.99199999999999999</v>
      </c>
      <c r="E41" s="33">
        <f>IFERROR(VLOOKUP($A41,lmic_raw[],11,FALSE),0)</f>
        <v>0.77</v>
      </c>
      <c r="M41" s="166" t="s">
        <v>266</v>
      </c>
      <c r="N41" s="161" t="str">
        <f>IFERROR(VLOOKUP(tordrup[[#This Row],[setting]],lmic_raw[],4,FALSE),0)</f>
        <v>AMRO</v>
      </c>
      <c r="O41" s="167">
        <f>IFERROR(VLOOKUP(tordrup[[#This Row],[setting]],lmic_raw[],11,FALSE),0)</f>
        <v>0.77</v>
      </c>
      <c r="P41" s="168">
        <f>IFERROR(VLOOKUP(tordrup[[#This Row],[setting]],lmic_raw[],9,FALSE),0)</f>
        <v>756551.48884699994</v>
      </c>
      <c r="Q41" s="126">
        <v>40.364849240984256</v>
      </c>
      <c r="R41" s="126">
        <v>69.584849240984255</v>
      </c>
      <c r="S41" s="126">
        <v>109.88074928844924</v>
      </c>
      <c r="T41" s="126">
        <v>103.16476594720507</v>
      </c>
      <c r="U41" s="126"/>
      <c r="V41" s="126"/>
      <c r="AD41" s="33" t="s">
        <v>310</v>
      </c>
      <c r="AE41" s="33">
        <v>0.04</v>
      </c>
    </row>
    <row r="42" spans="1:31" x14ac:dyDescent="0.25">
      <c r="A42" s="100" t="s">
        <v>606</v>
      </c>
      <c r="B42">
        <v>3.2161095869836105</v>
      </c>
      <c r="C42" s="33" t="str">
        <f>IFERROR(VLOOKUP($A42,lmic_raw[],4,FALSE),0)</f>
        <v>AFRO</v>
      </c>
      <c r="D42" s="33">
        <f>IFERROR(VLOOKUP($A42,lmic_raw[],10,FALSE),0)</f>
        <v>0.7609999999999999</v>
      </c>
      <c r="E42" s="33">
        <f>IFERROR(VLOOKUP($A42,lmic_raw[],11,FALSE),0)</f>
        <v>0</v>
      </c>
      <c r="M42" s="109" t="s">
        <v>606</v>
      </c>
      <c r="N42" s="162" t="str">
        <f>IFERROR(VLOOKUP(tordrup[[#This Row],[setting]],lmic_raw[],4,FALSE),0)</f>
        <v>AFRO</v>
      </c>
      <c r="O42" s="167">
        <f>IFERROR(VLOOKUP(tordrup[[#This Row],[setting]],lmic_raw[],11,FALSE),0)</f>
        <v>0</v>
      </c>
      <c r="P42" s="168">
        <f>IFERROR(VLOOKUP(tordrup[[#This Row],[setting]],lmic_raw[],9,FALSE),0)</f>
        <v>27301.688625999999</v>
      </c>
      <c r="Q42" s="126">
        <v>24.602750631532377</v>
      </c>
      <c r="R42" s="126">
        <v>53.822750631532372</v>
      </c>
      <c r="S42" s="126">
        <v>56.924845580754024</v>
      </c>
      <c r="T42" s="126">
        <v>56.407829755883739</v>
      </c>
      <c r="U42" s="126"/>
      <c r="V42" s="126"/>
      <c r="AD42" s="33" t="s">
        <v>311</v>
      </c>
      <c r="AE42" s="33">
        <v>0.56000000000000005</v>
      </c>
    </row>
    <row r="43" spans="1:31" x14ac:dyDescent="0.25">
      <c r="A43" s="138" t="s">
        <v>607</v>
      </c>
      <c r="B43">
        <v>5.9815982737323203</v>
      </c>
      <c r="C43" s="33" t="str">
        <f>IFERROR(VLOOKUP($A43,lmic_raw[],4,FALSE),0)</f>
        <v>AFRO</v>
      </c>
      <c r="D43" s="33">
        <f>IFERROR(VLOOKUP($A43,lmic_raw[],10,FALSE),0)</f>
        <v>0.91500000000000004</v>
      </c>
      <c r="E43" s="33">
        <f>IFERROR(VLOOKUP($A43,lmic_raw[],11,FALSE),0)</f>
        <v>0</v>
      </c>
      <c r="M43" s="166" t="s">
        <v>607</v>
      </c>
      <c r="N43" s="161" t="str">
        <f>IFERROR(VLOOKUP(tordrup[[#This Row],[setting]],lmic_raw[],4,FALSE),0)</f>
        <v>AFRO</v>
      </c>
      <c r="O43" s="167">
        <f>IFERROR(VLOOKUP(tordrup[[#This Row],[setting]],lmic_raw[],11,FALSE),0)</f>
        <v>0</v>
      </c>
      <c r="P43" s="168">
        <f>IFERROR(VLOOKUP(tordrup[[#This Row],[setting]],lmic_raw[],9,FALSE),0)</f>
        <v>177825.65719999999</v>
      </c>
      <c r="Q43" s="126">
        <v>27.368239318281088</v>
      </c>
      <c r="R43" s="126">
        <v>56.588239318281083</v>
      </c>
      <c r="S43" s="126">
        <v>71.871540444370538</v>
      </c>
      <c r="T43" s="126">
        <v>69.324323590022303</v>
      </c>
      <c r="U43" s="126"/>
      <c r="V43" s="126"/>
      <c r="AD43" s="33" t="s">
        <v>313</v>
      </c>
      <c r="AE43" s="33">
        <v>0.1</v>
      </c>
    </row>
    <row r="44" spans="1:31" x14ac:dyDescent="0.25">
      <c r="A44" s="137" t="s">
        <v>296</v>
      </c>
      <c r="B44">
        <v>15.927862305901501</v>
      </c>
      <c r="C44" s="33">
        <f>IFERROR(VLOOKUP($A44,lmic_raw[],4,FALSE),0)</f>
        <v>0</v>
      </c>
      <c r="D44" s="33">
        <f>IFERROR(VLOOKUP($A44,lmic_raw[],10,FALSE),0)</f>
        <v>0</v>
      </c>
      <c r="E44" s="33">
        <f>IFERROR(VLOOKUP($A44,lmic_raw[],11,FALSE),0)</f>
        <v>0</v>
      </c>
      <c r="M44" s="165" t="s">
        <v>296</v>
      </c>
      <c r="N44" s="160">
        <f>IFERROR(VLOOKUP(tordrup[[#This Row],[setting]],lmic_raw[],4,FALSE),0)</f>
        <v>0</v>
      </c>
      <c r="O44" s="167">
        <f>IFERROR(VLOOKUP(tordrup[[#This Row],[setting]],lmic_raw[],11,FALSE),0)</f>
        <v>0</v>
      </c>
      <c r="P44" s="168">
        <f>IFERROR(VLOOKUP(tordrup[[#This Row],[setting]],lmic_raw[],9,FALSE),0)</f>
        <v>0</v>
      </c>
      <c r="Q44" s="126">
        <v>37.314503350450266</v>
      </c>
      <c r="R44" s="126">
        <v>66.534503350450265</v>
      </c>
      <c r="S44" s="126">
        <v>136.77031980176656</v>
      </c>
      <c r="T44" s="126">
        <v>125.06435039321384</v>
      </c>
      <c r="U44" s="126"/>
      <c r="V44" s="126"/>
      <c r="AD44" s="33" t="s">
        <v>315</v>
      </c>
      <c r="AE44" s="33">
        <v>7.0000000000000007E-2</v>
      </c>
    </row>
    <row r="45" spans="1:31" x14ac:dyDescent="0.25">
      <c r="A45" s="138" t="s">
        <v>254</v>
      </c>
      <c r="B45">
        <v>13.921992829246857</v>
      </c>
      <c r="C45" s="33" t="str">
        <f>IFERROR(VLOOKUP($A45,lmic_raw[],4,FALSE),0)</f>
        <v>AMRO</v>
      </c>
      <c r="D45" s="33">
        <f>IFERROR(VLOOKUP($A45,lmic_raw[],10,FALSE),0)</f>
        <v>0.97799999999999998</v>
      </c>
      <c r="E45" s="33">
        <f>IFERROR(VLOOKUP($A45,lmic_raw[],11,FALSE),0)</f>
        <v>0.87</v>
      </c>
      <c r="M45" s="166" t="s">
        <v>254</v>
      </c>
      <c r="N45" s="161" t="str">
        <f>IFERROR(VLOOKUP(tordrup[[#This Row],[setting]],lmic_raw[],4,FALSE),0)</f>
        <v>AMRO</v>
      </c>
      <c r="O45" s="167">
        <f>IFERROR(VLOOKUP(tordrup[[#This Row],[setting]],lmic_raw[],11,FALSE),0)</f>
        <v>0.87</v>
      </c>
      <c r="P45" s="168">
        <f>IFERROR(VLOOKUP(tordrup[[#This Row],[setting]],lmic_raw[],9,FALSE),0)</f>
        <v>71226.133270999999</v>
      </c>
      <c r="Q45" s="126">
        <v>35.308633873795628</v>
      </c>
      <c r="R45" s="126">
        <v>64.528633873795627</v>
      </c>
      <c r="S45" s="126">
        <v>129.64129351503374</v>
      </c>
      <c r="T45" s="126">
        <v>118.78918357482739</v>
      </c>
      <c r="U45" s="126"/>
      <c r="V45" s="126"/>
      <c r="AD45" s="33" t="s">
        <v>346</v>
      </c>
      <c r="AE45" s="33">
        <v>0.05</v>
      </c>
    </row>
    <row r="46" spans="1:31" x14ac:dyDescent="0.25">
      <c r="A46" s="137" t="s">
        <v>335</v>
      </c>
      <c r="B46">
        <v>22.111637438073508</v>
      </c>
      <c r="C46" s="33">
        <f>IFERROR(VLOOKUP($A46,lmic_raw[],4,FALSE),0)</f>
        <v>0</v>
      </c>
      <c r="D46" s="33">
        <f>IFERROR(VLOOKUP($A46,lmic_raw[],10,FALSE),0)</f>
        <v>0</v>
      </c>
      <c r="E46" s="33">
        <f>IFERROR(VLOOKUP($A46,lmic_raw[],11,FALSE),0)</f>
        <v>0</v>
      </c>
      <c r="M46" s="165" t="s">
        <v>335</v>
      </c>
      <c r="N46" s="160">
        <f>IFERROR(VLOOKUP(tordrup[[#This Row],[setting]],lmic_raw[],4,FALSE),0)</f>
        <v>0</v>
      </c>
      <c r="O46" s="167">
        <f>IFERROR(VLOOKUP(tordrup[[#This Row],[setting]],lmic_raw[],11,FALSE),0)</f>
        <v>0</v>
      </c>
      <c r="P46" s="168">
        <f>IFERROR(VLOOKUP(tordrup[[#This Row],[setting]],lmic_raw[],9,FALSE),0)</f>
        <v>0</v>
      </c>
      <c r="Q46" s="126">
        <v>43.498278482622275</v>
      </c>
      <c r="R46" s="126">
        <v>72.718278482622281</v>
      </c>
      <c r="S46" s="126">
        <v>202.62242126783062</v>
      </c>
      <c r="T46" s="126">
        <v>180.97173080362924</v>
      </c>
      <c r="U46" s="126"/>
      <c r="V46" s="126"/>
      <c r="AD46" s="33" t="s">
        <v>307</v>
      </c>
      <c r="AE46" s="33">
        <v>0.05</v>
      </c>
    </row>
    <row r="47" spans="1:31" x14ac:dyDescent="0.25">
      <c r="A47" s="138" t="s">
        <v>232</v>
      </c>
      <c r="B47">
        <v>12.200980556377488</v>
      </c>
      <c r="C47" s="33" t="str">
        <f>IFERROR(VLOOKUP($A47,lmic_raw[],4,FALSE),0)</f>
        <v>AMRO</v>
      </c>
      <c r="D47" s="33">
        <f>IFERROR(VLOOKUP($A47,lmic_raw[],10,FALSE),0)</f>
        <v>0.99900000000000011</v>
      </c>
      <c r="E47" s="33">
        <f>IFERROR(VLOOKUP($A47,lmic_raw[],11,FALSE),0)</f>
        <v>0.99</v>
      </c>
      <c r="M47" s="166" t="s">
        <v>232</v>
      </c>
      <c r="N47" s="161" t="str">
        <f>IFERROR(VLOOKUP(tordrup[[#This Row],[setting]],lmic_raw[],4,FALSE),0)</f>
        <v>AMRO</v>
      </c>
      <c r="O47" s="167">
        <f>IFERROR(VLOOKUP(tordrup[[#This Row],[setting]],lmic_raw[],11,FALSE),0)</f>
        <v>0.99</v>
      </c>
      <c r="P47" s="168">
        <f>IFERROR(VLOOKUP(tordrup[[#This Row],[setting]],lmic_raw[],9,FALSE),0)</f>
        <v>115794.20602800002</v>
      </c>
      <c r="Q47" s="126">
        <v>33.587621600926255</v>
      </c>
      <c r="R47" s="126">
        <v>62.807621600926254</v>
      </c>
      <c r="S47" s="139">
        <v>99.930924541232741</v>
      </c>
      <c r="T47" s="126">
        <v>93.743707384514991</v>
      </c>
      <c r="U47" s="126"/>
      <c r="V47" s="126"/>
      <c r="AD47" s="33" t="s">
        <v>320</v>
      </c>
      <c r="AE47" s="33">
        <v>0.05</v>
      </c>
    </row>
    <row r="48" spans="1:31" x14ac:dyDescent="0.25">
      <c r="A48" s="137" t="s">
        <v>168</v>
      </c>
      <c r="B48">
        <v>40.520534232696889</v>
      </c>
      <c r="C48" s="33">
        <f>IFERROR(VLOOKUP($A48,lmic_raw[],4,FALSE),0)</f>
        <v>0</v>
      </c>
      <c r="D48" s="33">
        <f>IFERROR(VLOOKUP($A48,lmic_raw[],10,FALSE),0)</f>
        <v>0</v>
      </c>
      <c r="E48" s="33">
        <f>IFERROR(VLOOKUP($A48,lmic_raw[],11,FALSE),0)</f>
        <v>0</v>
      </c>
      <c r="M48" s="165" t="s">
        <v>168</v>
      </c>
      <c r="N48" s="160">
        <f>IFERROR(VLOOKUP(tordrup[[#This Row],[setting]],lmic_raw[],4,FALSE),0)</f>
        <v>0</v>
      </c>
      <c r="O48" s="167">
        <f>IFERROR(VLOOKUP(tordrup[[#This Row],[setting]],lmic_raw[],11,FALSE),0)</f>
        <v>0</v>
      </c>
      <c r="P48" s="168">
        <f>IFERROR(VLOOKUP(tordrup[[#This Row],[setting]],lmic_raw[],9,FALSE),0)</f>
        <v>0</v>
      </c>
      <c r="Q48" s="126">
        <v>61.907175277245656</v>
      </c>
      <c r="R48" s="126">
        <v>91.127175277245655</v>
      </c>
      <c r="S48" s="126">
        <v>384.9096674001226</v>
      </c>
      <c r="T48" s="126">
        <v>335.94591871297649</v>
      </c>
      <c r="U48" s="126"/>
      <c r="V48" s="126"/>
      <c r="AD48" s="33" t="s">
        <v>761</v>
      </c>
      <c r="AE48" s="33">
        <v>0.28000000000000003</v>
      </c>
    </row>
    <row r="49" spans="1:31" x14ac:dyDescent="0.25">
      <c r="A49" s="138" t="s">
        <v>643</v>
      </c>
      <c r="C49" s="33">
        <f>IFERROR(VLOOKUP($A49,lmic_raw[],4,FALSE),0)</f>
        <v>0</v>
      </c>
      <c r="D49" s="33">
        <f>IFERROR(VLOOKUP($A49,lmic_raw[],10,FALSE),0)</f>
        <v>0</v>
      </c>
      <c r="E49" s="33">
        <f>IFERROR(VLOOKUP($A49,lmic_raw[],11,FALSE),0)</f>
        <v>0</v>
      </c>
      <c r="M49" s="166" t="s">
        <v>643</v>
      </c>
      <c r="N49" s="161">
        <f>IFERROR(VLOOKUP(tordrup[[#This Row],[setting]],lmic_raw[],4,FALSE),0)</f>
        <v>0</v>
      </c>
      <c r="O49" s="167">
        <f>IFERROR(VLOOKUP(tordrup[[#This Row],[setting]],lmic_raw[],11,FALSE),0)</f>
        <v>0</v>
      </c>
      <c r="P49" s="168">
        <f>IFERROR(VLOOKUP(tordrup[[#This Row],[setting]],lmic_raw[],9,FALSE),0)</f>
        <v>0</v>
      </c>
      <c r="Q49" s="126"/>
      <c r="R49" s="126"/>
      <c r="S49" s="126"/>
      <c r="T49" s="126"/>
      <c r="U49" s="126"/>
      <c r="V49" s="126"/>
      <c r="AD49" s="33" t="s">
        <v>350</v>
      </c>
      <c r="AE49" s="33">
        <v>0.46</v>
      </c>
    </row>
    <row r="50" spans="1:31" x14ac:dyDescent="0.25">
      <c r="A50" s="137" t="s">
        <v>610</v>
      </c>
      <c r="C50" s="33" t="str">
        <f>IFERROR(VLOOKUP($A50,lmic_raw[],4,FALSE),0)</f>
        <v>SEARO</v>
      </c>
      <c r="D50" s="33">
        <f>IFERROR(VLOOKUP($A50,lmic_raw[],10,FALSE),0)</f>
        <v>0.92200000000000004</v>
      </c>
      <c r="E50" s="33">
        <f>IFERROR(VLOOKUP($A50,lmic_raw[],11,FALSE),0)</f>
        <v>0.98</v>
      </c>
      <c r="M50" s="165" t="s">
        <v>610</v>
      </c>
      <c r="N50" s="160" t="str">
        <f>IFERROR(VLOOKUP(tordrup[[#This Row],[setting]],lmic_raw[],4,FALSE),0)</f>
        <v>SEARO</v>
      </c>
      <c r="O50" s="167">
        <f>IFERROR(VLOOKUP(tordrup[[#This Row],[setting]],lmic_raw[],11,FALSE),0)</f>
        <v>0.98</v>
      </c>
      <c r="P50" s="168">
        <f>IFERROR(VLOOKUP(tordrup[[#This Row],[setting]],lmic_raw[],9,FALSE),0)</f>
        <v>357760.57636200002</v>
      </c>
      <c r="Q50" s="126"/>
      <c r="R50" s="126"/>
      <c r="S50" s="126"/>
      <c r="T50" s="126"/>
      <c r="U50" s="126"/>
      <c r="V50" s="126"/>
      <c r="AD50" s="33" t="s">
        <v>319</v>
      </c>
      <c r="AE50" s="33">
        <v>0.55000000000000004</v>
      </c>
    </row>
    <row r="51" spans="1:31" x14ac:dyDescent="0.25">
      <c r="A51" s="138" t="s">
        <v>611</v>
      </c>
      <c r="C51" s="33" t="str">
        <f>IFERROR(VLOOKUP($A51,lmic_raw[],4,FALSE),0)</f>
        <v>AFRO</v>
      </c>
      <c r="D51" s="33">
        <f>IFERROR(VLOOKUP($A51,lmic_raw[],10,FALSE),0)</f>
        <v>0.81499999999999995</v>
      </c>
      <c r="E51" s="33">
        <f>IFERROR(VLOOKUP($A51,lmic_raw[],11,FALSE),0)</f>
        <v>0</v>
      </c>
      <c r="M51" s="166" t="s">
        <v>611</v>
      </c>
      <c r="N51" s="161" t="str">
        <f>IFERROR(VLOOKUP(tordrup[[#This Row],[setting]],lmic_raw[],4,FALSE),0)</f>
        <v>AFRO</v>
      </c>
      <c r="O51" s="167">
        <f>IFERROR(VLOOKUP(tordrup[[#This Row],[setting]],lmic_raw[],11,FALSE),0)</f>
        <v>0</v>
      </c>
      <c r="P51" s="168">
        <f>IFERROR(VLOOKUP(tordrup[[#This Row],[setting]],lmic_raw[],9,FALSE),0)</f>
        <v>3594691.7454240001</v>
      </c>
      <c r="Q51" s="126"/>
      <c r="R51" s="126"/>
      <c r="S51" s="126"/>
      <c r="T51" s="126"/>
      <c r="U51" s="126"/>
      <c r="V51" s="126"/>
      <c r="AD51" s="33" t="s">
        <v>322</v>
      </c>
      <c r="AE51" s="33">
        <v>0.66</v>
      </c>
    </row>
    <row r="52" spans="1:31" x14ac:dyDescent="0.25">
      <c r="A52" s="137" t="s">
        <v>319</v>
      </c>
      <c r="B52">
        <v>78.786351941185472</v>
      </c>
      <c r="C52" s="33">
        <f>IFERROR(VLOOKUP($A52,lmic_raw[],4,FALSE),0)</f>
        <v>0</v>
      </c>
      <c r="D52" s="33">
        <f>IFERROR(VLOOKUP($A52,lmic_raw[],10,FALSE),0)</f>
        <v>0</v>
      </c>
      <c r="E52" s="33">
        <f>IFERROR(VLOOKUP($A52,lmic_raw[],11,FALSE),0)</f>
        <v>0</v>
      </c>
      <c r="M52" s="165" t="s">
        <v>319</v>
      </c>
      <c r="N52" s="160">
        <f>IFERROR(VLOOKUP(tordrup[[#This Row],[setting]],lmic_raw[],4,FALSE),0)</f>
        <v>0</v>
      </c>
      <c r="O52" s="167">
        <f>IFERROR(VLOOKUP(tordrup[[#This Row],[setting]],lmic_raw[],11,FALSE),0)</f>
        <v>0</v>
      </c>
      <c r="P52" s="168">
        <f>IFERROR(VLOOKUP(tordrup[[#This Row],[setting]],lmic_raw[],9,FALSE),0)</f>
        <v>0</v>
      </c>
      <c r="Q52" s="126">
        <v>100.17299298573424</v>
      </c>
      <c r="R52" s="126">
        <v>129.39299298573422</v>
      </c>
      <c r="S52" s="126">
        <v>778.39669108690578</v>
      </c>
      <c r="T52" s="126">
        <v>670.22940807004386</v>
      </c>
      <c r="U52" s="126"/>
      <c r="V52" s="126"/>
      <c r="AD52" s="33" t="s">
        <v>351</v>
      </c>
      <c r="AE52" s="33">
        <v>0.2</v>
      </c>
    </row>
    <row r="53" spans="1:31" x14ac:dyDescent="0.25">
      <c r="A53" s="138" t="s">
        <v>103</v>
      </c>
      <c r="B53">
        <v>4.2605860008629515</v>
      </c>
      <c r="C53" s="33" t="str">
        <f>IFERROR(VLOOKUP($A53,lmic_raw[],4,FALSE),0)</f>
        <v>EMRO</v>
      </c>
      <c r="D53" s="33">
        <f>IFERROR(VLOOKUP($A53,lmic_raw[],10,FALSE),0)</f>
        <v>0.86699999999999999</v>
      </c>
      <c r="E53" s="33">
        <f>IFERROR(VLOOKUP($A53,lmic_raw[],11,FALSE),0)</f>
        <v>0.95</v>
      </c>
      <c r="M53" s="166" t="s">
        <v>103</v>
      </c>
      <c r="N53" s="161" t="str">
        <f>IFERROR(VLOOKUP(tordrup[[#This Row],[setting]],lmic_raw[],4,FALSE),0)</f>
        <v>EMRO</v>
      </c>
      <c r="O53" s="167">
        <f>IFERROR(VLOOKUP(tordrup[[#This Row],[setting]],lmic_raw[],11,FALSE),0)</f>
        <v>0.95</v>
      </c>
      <c r="P53" s="168">
        <f>IFERROR(VLOOKUP(tordrup[[#This Row],[setting]],lmic_raw[],9,FALSE),0)</f>
        <v>21121.319115000002</v>
      </c>
      <c r="Q53" s="126">
        <v>25.647227045411718</v>
      </c>
      <c r="R53" s="126">
        <v>54.867227045411717</v>
      </c>
      <c r="S53" s="126">
        <v>62.050613581866884</v>
      </c>
      <c r="T53" s="126">
        <v>60.853382492457698</v>
      </c>
      <c r="U53" s="126"/>
      <c r="V53" s="126"/>
      <c r="AD53" s="33" t="s">
        <v>762</v>
      </c>
      <c r="AE53" s="33">
        <v>0.28000000000000003</v>
      </c>
    </row>
    <row r="54" spans="1:31" x14ac:dyDescent="0.25">
      <c r="A54" s="137" t="s">
        <v>234</v>
      </c>
      <c r="C54" s="33" t="str">
        <f>IFERROR(VLOOKUP($A54,lmic_raw[],4,FALSE),0)</f>
        <v>AMRO</v>
      </c>
      <c r="D54" s="33">
        <f>IFERROR(VLOOKUP($A54,lmic_raw[],10,FALSE),0)</f>
        <v>0</v>
      </c>
      <c r="E54" s="33">
        <f>IFERROR(VLOOKUP($A54,lmic_raw[],11,FALSE),0)</f>
        <v>0.97</v>
      </c>
      <c r="M54" s="165" t="s">
        <v>234</v>
      </c>
      <c r="N54" s="160" t="str">
        <f>IFERROR(VLOOKUP(tordrup[[#This Row],[setting]],lmic_raw[],4,FALSE),0)</f>
        <v>AMRO</v>
      </c>
      <c r="O54" s="167">
        <f>IFERROR(VLOOKUP(tordrup[[#This Row],[setting]],lmic_raw[],11,FALSE),0)</f>
        <v>0.97</v>
      </c>
      <c r="P54" s="168">
        <f>IFERROR(VLOOKUP(tordrup[[#This Row],[setting]],lmic_raw[],9,FALSE),0)</f>
        <v>861.69600000000014</v>
      </c>
      <c r="Q54" s="126"/>
      <c r="R54" s="126"/>
      <c r="S54" s="126"/>
      <c r="T54" s="126"/>
      <c r="U54" s="126"/>
      <c r="V54" s="126"/>
      <c r="AD54" s="33" t="s">
        <v>337</v>
      </c>
      <c r="AE54" s="33">
        <v>0.42</v>
      </c>
    </row>
    <row r="55" spans="1:31" x14ac:dyDescent="0.25">
      <c r="A55" s="138" t="s">
        <v>614</v>
      </c>
      <c r="B55">
        <v>9.5067061705750966</v>
      </c>
      <c r="C55" s="33" t="str">
        <f>IFERROR(VLOOKUP($A55,lmic_raw[],4,FALSE),0)</f>
        <v>AMRO</v>
      </c>
      <c r="D55" s="33">
        <f>IFERROR(VLOOKUP($A55,lmic_raw[],10,FALSE),0)</f>
        <v>0.97900000000000009</v>
      </c>
      <c r="E55" s="33">
        <f>IFERROR(VLOOKUP($A55,lmic_raw[],11,FALSE),0)</f>
        <v>0.66</v>
      </c>
      <c r="M55" s="166" t="s">
        <v>614</v>
      </c>
      <c r="N55" s="161" t="str">
        <f>IFERROR(VLOOKUP(tordrup[[#This Row],[setting]],lmic_raw[],4,FALSE),0)</f>
        <v>AMRO</v>
      </c>
      <c r="O55" s="167">
        <f>IFERROR(VLOOKUP(tordrup[[#This Row],[setting]],lmic_raw[],11,FALSE),0)</f>
        <v>0.66</v>
      </c>
      <c r="P55" s="168">
        <f>IFERROR(VLOOKUP(tordrup[[#This Row],[setting]],lmic_raw[],9,FALSE),0)</f>
        <v>211396.368545</v>
      </c>
      <c r="Q55" s="126">
        <v>30.893347215123864</v>
      </c>
      <c r="R55" s="126">
        <v>60.113347215123866</v>
      </c>
      <c r="S55" s="126">
        <v>98.192346074129944</v>
      </c>
      <c r="T55" s="126">
        <v>91.845846264295602</v>
      </c>
      <c r="U55" s="126"/>
      <c r="V55" s="126"/>
      <c r="AD55" s="33" t="s">
        <v>324</v>
      </c>
      <c r="AE55" s="33">
        <v>0.54</v>
      </c>
    </row>
    <row r="56" spans="1:31" x14ac:dyDescent="0.25">
      <c r="A56" s="137" t="s">
        <v>267</v>
      </c>
      <c r="C56" s="33" t="str">
        <f>IFERROR(VLOOKUP($A56,lmic_raw[],4,FALSE),0)</f>
        <v>AMRO</v>
      </c>
      <c r="D56" s="33">
        <f>IFERROR(VLOOKUP($A56,lmic_raw[],10,FALSE),0)</f>
        <v>0.93299999999999994</v>
      </c>
      <c r="E56" s="33">
        <f>IFERROR(VLOOKUP($A56,lmic_raw[],11,FALSE),0)</f>
        <v>0.71</v>
      </c>
      <c r="M56" s="165" t="s">
        <v>267</v>
      </c>
      <c r="N56" s="160" t="str">
        <f>IFERROR(VLOOKUP(tordrup[[#This Row],[setting]],lmic_raw[],4,FALSE),0)</f>
        <v>AMRO</v>
      </c>
      <c r="O56" s="167">
        <f>IFERROR(VLOOKUP(tordrup[[#This Row],[setting]],lmic_raw[],11,FALSE),0)</f>
        <v>0.71</v>
      </c>
      <c r="P56" s="168">
        <f>IFERROR(VLOOKUP(tordrup[[#This Row],[setting]],lmic_raw[],9,FALSE),0)</f>
        <v>344971.333392</v>
      </c>
      <c r="Q56" s="126"/>
      <c r="R56" s="126"/>
      <c r="S56" s="126"/>
      <c r="T56" s="126"/>
      <c r="U56" s="126"/>
      <c r="V56" s="126"/>
      <c r="AD56" s="33" t="s">
        <v>171</v>
      </c>
      <c r="AE56" s="33">
        <v>0.14000000000000001</v>
      </c>
    </row>
    <row r="57" spans="1:31" x14ac:dyDescent="0.25">
      <c r="A57" s="138" t="s">
        <v>158</v>
      </c>
      <c r="C57" s="33" t="str">
        <f>IFERROR(VLOOKUP($A57,lmic_raw[],4,FALSE),0)</f>
        <v>EMRO</v>
      </c>
      <c r="D57" s="33">
        <f>IFERROR(VLOOKUP($A57,lmic_raw[],10,FALSE),0)</f>
        <v>0.86699999999999999</v>
      </c>
      <c r="E57" s="33">
        <f>IFERROR(VLOOKUP($A57,lmic_raw[],11,FALSE),0)</f>
        <v>0.91</v>
      </c>
      <c r="M57" s="166" t="s">
        <v>158</v>
      </c>
      <c r="N57" s="161" t="str">
        <f>IFERROR(VLOOKUP(tordrup[[#This Row],[setting]],lmic_raw[],4,FALSE),0)</f>
        <v>EMRO</v>
      </c>
      <c r="O57" s="167">
        <f>IFERROR(VLOOKUP(tordrup[[#This Row],[setting]],lmic_raw[],11,FALSE),0)</f>
        <v>0.91</v>
      </c>
      <c r="P57" s="168">
        <f>IFERROR(VLOOKUP(tordrup[[#This Row],[setting]],lmic_raw[],9,FALSE),0)</f>
        <v>2664098.760888</v>
      </c>
      <c r="Q57" s="126"/>
      <c r="R57" s="126"/>
      <c r="S57" s="126"/>
      <c r="T57" s="126"/>
      <c r="U57" s="126"/>
      <c r="V57" s="126"/>
      <c r="AD57" s="33" t="s">
        <v>339</v>
      </c>
      <c r="AE57" s="33">
        <v>0.28999999999999998</v>
      </c>
    </row>
    <row r="58" spans="1:31" x14ac:dyDescent="0.25">
      <c r="A58" s="137" t="s">
        <v>255</v>
      </c>
      <c r="C58" s="33" t="str">
        <f>IFERROR(VLOOKUP($A58,lmic_raw[],4,FALSE),0)</f>
        <v>AMRO</v>
      </c>
      <c r="D58" s="33">
        <f>IFERROR(VLOOKUP($A58,lmic_raw[],10,FALSE),0)</f>
        <v>0.97499999999999998</v>
      </c>
      <c r="E58" s="33">
        <f>IFERROR(VLOOKUP($A58,lmic_raw[],11,FALSE),0)</f>
        <v>0.76</v>
      </c>
      <c r="M58" s="165" t="s">
        <v>255</v>
      </c>
      <c r="N58" s="160" t="str">
        <f>IFERROR(VLOOKUP(tordrup[[#This Row],[setting]],lmic_raw[],4,FALSE),0)</f>
        <v>AMRO</v>
      </c>
      <c r="O58" s="167">
        <f>IFERROR(VLOOKUP(tordrup[[#This Row],[setting]],lmic_raw[],11,FALSE),0)</f>
        <v>0.76</v>
      </c>
      <c r="P58" s="168">
        <f>IFERROR(VLOOKUP(tordrup[[#This Row],[setting]],lmic_raw[],9,FALSE),0)</f>
        <v>118629.15610000001</v>
      </c>
      <c r="Q58" s="126"/>
      <c r="R58" s="126"/>
      <c r="S58" s="126"/>
      <c r="T58" s="126"/>
      <c r="U58" s="126"/>
      <c r="V58" s="126"/>
      <c r="AD58" s="33" t="s">
        <v>356</v>
      </c>
      <c r="AE58" s="33">
        <v>0.51</v>
      </c>
    </row>
    <row r="59" spans="1:31" x14ac:dyDescent="0.25">
      <c r="A59" s="138" t="s">
        <v>128</v>
      </c>
      <c r="C59" s="33" t="str">
        <f>IFERROR(VLOOKUP($A59,lmic_raw[],4,FALSE),0)</f>
        <v>AFRO</v>
      </c>
      <c r="D59" s="33">
        <f>IFERROR(VLOOKUP($A59,lmic_raw[],10,FALSE),0)</f>
        <v>0.67299999999999993</v>
      </c>
      <c r="E59" s="33">
        <f>IFERROR(VLOOKUP($A59,lmic_raw[],11,FALSE),0)</f>
        <v>0</v>
      </c>
      <c r="M59" s="166" t="s">
        <v>128</v>
      </c>
      <c r="N59" s="161" t="str">
        <f>IFERROR(VLOOKUP(tordrup[[#This Row],[setting]],lmic_raw[],4,FALSE),0)</f>
        <v>AFRO</v>
      </c>
      <c r="O59" s="167">
        <f>IFERROR(VLOOKUP(tordrup[[#This Row],[setting]],lmic_raw[],11,FALSE),0)</f>
        <v>0</v>
      </c>
      <c r="P59" s="168">
        <f>IFERROR(VLOOKUP(tordrup[[#This Row],[setting]],lmic_raw[],9,FALSE),0)</f>
        <v>45363.021827999997</v>
      </c>
      <c r="Q59" s="126"/>
      <c r="R59" s="126"/>
      <c r="S59" s="126"/>
      <c r="T59" s="126"/>
      <c r="U59" s="126"/>
      <c r="V59" s="126"/>
      <c r="AD59" s="33" t="s">
        <v>328</v>
      </c>
      <c r="AE59" s="33">
        <v>0.19</v>
      </c>
    </row>
    <row r="60" spans="1:31" x14ac:dyDescent="0.25">
      <c r="A60" s="137" t="s">
        <v>104</v>
      </c>
      <c r="B60">
        <v>2.2309784238928683</v>
      </c>
      <c r="C60" s="33" t="str">
        <f>IFERROR(VLOOKUP($A60,lmic_raw[],4,FALSE),0)</f>
        <v>AFRO</v>
      </c>
      <c r="D60" s="33">
        <f>IFERROR(VLOOKUP($A60,lmic_raw[],10,FALSE),0)</f>
        <v>0.33700000000000002</v>
      </c>
      <c r="E60" s="33">
        <f>IFERROR(VLOOKUP($A60,lmic_raw[],11,FALSE),0)</f>
        <v>0</v>
      </c>
      <c r="M60" s="165" t="s">
        <v>104</v>
      </c>
      <c r="N60" s="160" t="str">
        <f>IFERROR(VLOOKUP(tordrup[[#This Row],[setting]],lmic_raw[],4,FALSE),0)</f>
        <v>AFRO</v>
      </c>
      <c r="O60" s="167">
        <f>IFERROR(VLOOKUP(tordrup[[#This Row],[setting]],lmic_raw[],11,FALSE),0)</f>
        <v>0</v>
      </c>
      <c r="P60" s="168">
        <f>IFERROR(VLOOKUP(tordrup[[#This Row],[setting]],lmic_raw[],9,FALSE),0)</f>
        <v>107137.676412</v>
      </c>
      <c r="Q60" s="126">
        <v>23.617619468441635</v>
      </c>
      <c r="R60" s="126">
        <v>52.83761946844163</v>
      </c>
      <c r="S60" s="126">
        <v>53.479972462977429</v>
      </c>
      <c r="T60" s="126">
        <v>53.372913630554798</v>
      </c>
      <c r="U60" s="126"/>
      <c r="V60" s="126"/>
      <c r="AD60" s="33" t="s">
        <v>343</v>
      </c>
      <c r="AE60" s="33">
        <v>0.06</v>
      </c>
    </row>
    <row r="61" spans="1:31" x14ac:dyDescent="0.25">
      <c r="A61" s="138" t="s">
        <v>320</v>
      </c>
      <c r="C61" s="33">
        <f>IFERROR(VLOOKUP($A61,lmic_raw[],4,FALSE),0)</f>
        <v>0</v>
      </c>
      <c r="D61" s="33">
        <f>IFERROR(VLOOKUP($A61,lmic_raw[],10,FALSE),0)</f>
        <v>0</v>
      </c>
      <c r="E61" s="33">
        <f>IFERROR(VLOOKUP($A61,lmic_raw[],11,FALSE),0)</f>
        <v>0</v>
      </c>
      <c r="M61" s="166" t="s">
        <v>320</v>
      </c>
      <c r="N61" s="161">
        <f>IFERROR(VLOOKUP(tordrup[[#This Row],[setting]],lmic_raw[],4,FALSE),0)</f>
        <v>0</v>
      </c>
      <c r="O61" s="167">
        <f>IFERROR(VLOOKUP(tordrup[[#This Row],[setting]],lmic_raw[],11,FALSE),0)</f>
        <v>0</v>
      </c>
      <c r="P61" s="168">
        <f>IFERROR(VLOOKUP(tordrup[[#This Row],[setting]],lmic_raw[],9,FALSE),0)</f>
        <v>0</v>
      </c>
      <c r="Q61" s="126"/>
      <c r="R61" s="126"/>
      <c r="S61" s="126"/>
      <c r="T61" s="126"/>
      <c r="U61" s="126"/>
      <c r="V61" s="126"/>
      <c r="AD61" s="33" t="s">
        <v>347</v>
      </c>
      <c r="AE61" s="33">
        <v>0.15</v>
      </c>
    </row>
    <row r="62" spans="1:31" x14ac:dyDescent="0.25">
      <c r="A62" s="137" t="s">
        <v>105</v>
      </c>
      <c r="B62">
        <v>2.4564903768895445</v>
      </c>
      <c r="C62" s="33" t="str">
        <f>IFERROR(VLOOKUP($A62,lmic_raw[],4,FALSE),0)</f>
        <v>AFRO</v>
      </c>
      <c r="D62" s="33">
        <f>IFERROR(VLOOKUP($A62,lmic_raw[],10,FALSE),0)</f>
        <v>0.47499999999999998</v>
      </c>
      <c r="E62" s="33">
        <f>IFERROR(VLOOKUP($A62,lmic_raw[],11,FALSE),0)</f>
        <v>0</v>
      </c>
      <c r="M62" s="165" t="s">
        <v>105</v>
      </c>
      <c r="N62" s="160" t="str">
        <f>IFERROR(VLOOKUP(tordrup[[#This Row],[setting]],lmic_raw[],4,FALSE),0)</f>
        <v>AFRO</v>
      </c>
      <c r="O62" s="167">
        <f>IFERROR(VLOOKUP(tordrup[[#This Row],[setting]],lmic_raw[],11,FALSE),0)</f>
        <v>0</v>
      </c>
      <c r="P62" s="168">
        <f>IFERROR(VLOOKUP(tordrup[[#This Row],[setting]],lmic_raw[],9,FALSE),0)</f>
        <v>3650516.2171169999</v>
      </c>
      <c r="Q62" s="126">
        <v>23.843131421438311</v>
      </c>
      <c r="R62" s="126">
        <v>53.063131421438314</v>
      </c>
      <c r="S62" s="126">
        <v>54.379171702926286</v>
      </c>
      <c r="T62" s="126">
        <v>54.159831656011619</v>
      </c>
      <c r="U62" s="126"/>
      <c r="V62" s="126"/>
      <c r="AD62" s="33" t="s">
        <v>329</v>
      </c>
      <c r="AE62" s="33">
        <v>0.86</v>
      </c>
    </row>
    <row r="63" spans="1:31" x14ac:dyDescent="0.25">
      <c r="A63" s="138" t="s">
        <v>281</v>
      </c>
      <c r="B63">
        <v>6.2071102267289966</v>
      </c>
      <c r="C63" s="33" t="str">
        <f>IFERROR(VLOOKUP($A63,lmic_raw[],4,FALSE),0)</f>
        <v>WPRO</v>
      </c>
      <c r="D63" s="33">
        <f>IFERROR(VLOOKUP($A63,lmic_raw[],10,FALSE),0)</f>
        <v>0.98699999999999999</v>
      </c>
      <c r="E63" s="33">
        <f>IFERROR(VLOOKUP($A63,lmic_raw[],11,FALSE),0)</f>
        <v>0.99</v>
      </c>
      <c r="M63" s="166" t="s">
        <v>281</v>
      </c>
      <c r="N63" s="161" t="str">
        <f>IFERROR(VLOOKUP(tordrup[[#This Row],[setting]],lmic_raw[],4,FALSE),0)</f>
        <v>WPRO</v>
      </c>
      <c r="O63" s="167">
        <f>IFERROR(VLOOKUP(tordrup[[#This Row],[setting]],lmic_raw[],11,FALSE),0)</f>
        <v>0.99</v>
      </c>
      <c r="P63" s="168">
        <f>IFERROR(VLOOKUP(tordrup[[#This Row],[setting]],lmic_raw[],9,FALSE),0)</f>
        <v>19110.003714999999</v>
      </c>
      <c r="Q63" s="126">
        <v>27.593751271277764</v>
      </c>
      <c r="R63" s="126">
        <v>56.813751271277766</v>
      </c>
      <c r="S63" s="126">
        <v>73.569764140937096</v>
      </c>
      <c r="T63" s="126">
        <v>70.77709532932721</v>
      </c>
      <c r="U63" s="126"/>
      <c r="V63" s="126"/>
      <c r="AD63" s="33" t="s">
        <v>357</v>
      </c>
      <c r="AE63" s="33">
        <v>0.65</v>
      </c>
    </row>
    <row r="64" spans="1:31" x14ac:dyDescent="0.25">
      <c r="A64" s="137" t="s">
        <v>322</v>
      </c>
      <c r="B64">
        <v>62.537622275267097</v>
      </c>
      <c r="C64" s="33">
        <f>IFERROR(VLOOKUP($A64,lmic_raw[],4,FALSE),0)</f>
        <v>0</v>
      </c>
      <c r="D64" s="33">
        <f>IFERROR(VLOOKUP($A64,lmic_raw[],10,FALSE),0)</f>
        <v>0</v>
      </c>
      <c r="E64" s="33">
        <f>IFERROR(VLOOKUP($A64,lmic_raw[],11,FALSE),0)</f>
        <v>0</v>
      </c>
      <c r="M64" s="165" t="s">
        <v>322</v>
      </c>
      <c r="N64" s="160">
        <f>IFERROR(VLOOKUP(tordrup[[#This Row],[setting]],lmic_raw[],4,FALSE),0)</f>
        <v>0</v>
      </c>
      <c r="O64" s="167">
        <f>IFERROR(VLOOKUP(tordrup[[#This Row],[setting]],lmic_raw[],11,FALSE),0)</f>
        <v>0</v>
      </c>
      <c r="P64" s="168">
        <f>IFERROR(VLOOKUP(tordrup[[#This Row],[setting]],lmic_raw[],9,FALSE),0)</f>
        <v>0</v>
      </c>
      <c r="Q64" s="126">
        <v>83.924263319815864</v>
      </c>
      <c r="R64" s="126">
        <v>113.14426331981586</v>
      </c>
      <c r="S64" s="126">
        <v>604.23879478863921</v>
      </c>
      <c r="T64" s="126">
        <v>522.38970621050203</v>
      </c>
      <c r="U64" s="126"/>
      <c r="V64" s="126"/>
      <c r="AD64" s="33" t="s">
        <v>763</v>
      </c>
      <c r="AE64" s="33">
        <v>0.19</v>
      </c>
    </row>
    <row r="65" spans="1:31" x14ac:dyDescent="0.25">
      <c r="A65" s="138" t="s">
        <v>351</v>
      </c>
      <c r="C65" s="33">
        <f>IFERROR(VLOOKUP($A65,lmic_raw[],4,FALSE),0)</f>
        <v>0</v>
      </c>
      <c r="D65" s="33">
        <f>IFERROR(VLOOKUP($A65,lmic_raw[],10,FALSE),0)</f>
        <v>0</v>
      </c>
      <c r="E65" s="33">
        <f>IFERROR(VLOOKUP($A65,lmic_raw[],11,FALSE),0)</f>
        <v>0</v>
      </c>
      <c r="M65" s="166" t="s">
        <v>351</v>
      </c>
      <c r="N65" s="161">
        <f>IFERROR(VLOOKUP(tordrup[[#This Row],[setting]],lmic_raw[],4,FALSE),0)</f>
        <v>0</v>
      </c>
      <c r="O65" s="167">
        <f>IFERROR(VLOOKUP(tordrup[[#This Row],[setting]],lmic_raw[],11,FALSE),0)</f>
        <v>0</v>
      </c>
      <c r="P65" s="168">
        <f>IFERROR(VLOOKUP(tordrup[[#This Row],[setting]],lmic_raw[],9,FALSE),0)</f>
        <v>0</v>
      </c>
      <c r="Q65" s="126"/>
      <c r="R65" s="126"/>
      <c r="S65" s="126"/>
      <c r="T65" s="126"/>
      <c r="U65" s="126"/>
      <c r="V65" s="126"/>
      <c r="AD65" s="33" t="s">
        <v>272</v>
      </c>
      <c r="AE65" s="33">
        <v>0.13</v>
      </c>
    </row>
    <row r="66" spans="1:31" x14ac:dyDescent="0.25">
      <c r="A66" s="137" t="s">
        <v>129</v>
      </c>
      <c r="B66">
        <v>14.634135838710044</v>
      </c>
      <c r="C66" s="33" t="str">
        <f>IFERROR(VLOOKUP($A66,lmic_raw[],4,FALSE),0)</f>
        <v>AFRO</v>
      </c>
      <c r="D66" s="33">
        <f>IFERROR(VLOOKUP($A66,lmic_raw[],10,FALSE),0)</f>
        <v>0.90200000000000002</v>
      </c>
      <c r="E66" s="33">
        <f>IFERROR(VLOOKUP($A66,lmic_raw[],11,FALSE),0)</f>
        <v>0</v>
      </c>
      <c r="M66" s="165" t="s">
        <v>129</v>
      </c>
      <c r="N66" s="160" t="str">
        <f>IFERROR(VLOOKUP(tordrup[[#This Row],[setting]],lmic_raw[],4,FALSE),0)</f>
        <v>AFRO</v>
      </c>
      <c r="O66" s="167">
        <f>IFERROR(VLOOKUP(tordrup[[#This Row],[setting]],lmic_raw[],11,FALSE),0)</f>
        <v>0</v>
      </c>
      <c r="P66" s="168">
        <f>IFERROR(VLOOKUP(tordrup[[#This Row],[setting]],lmic_raw[],9,FALSE),0)</f>
        <v>69513.805687999993</v>
      </c>
      <c r="Q66" s="126">
        <v>36.020776883258812</v>
      </c>
      <c r="R66" s="126">
        <v>65.240776883258803</v>
      </c>
      <c r="S66" s="126">
        <v>139.53438420249634</v>
      </c>
      <c r="T66" s="126">
        <v>127.15211631595676</v>
      </c>
      <c r="U66" s="126"/>
      <c r="V66" s="126"/>
      <c r="AD66" s="33" t="s">
        <v>266</v>
      </c>
      <c r="AE66" s="33">
        <v>0.44</v>
      </c>
    </row>
    <row r="67" spans="1:31" x14ac:dyDescent="0.25">
      <c r="A67" s="138" t="s">
        <v>617</v>
      </c>
      <c r="B67">
        <v>3.2161095869836105</v>
      </c>
      <c r="C67" s="33" t="str">
        <f>IFERROR(VLOOKUP($A67,lmic_raw[],4,FALSE),0)</f>
        <v>AFRO</v>
      </c>
      <c r="D67" s="33">
        <f>IFERROR(VLOOKUP($A67,lmic_raw[],10,FALSE),0)</f>
        <v>0.83700000000000008</v>
      </c>
      <c r="E67" s="33">
        <f>IFERROR(VLOOKUP($A67,lmic_raw[],11,FALSE),0)</f>
        <v>0</v>
      </c>
      <c r="M67" s="166" t="s">
        <v>617</v>
      </c>
      <c r="N67" s="161" t="str">
        <f>IFERROR(VLOOKUP(tordrup[[#This Row],[setting]],lmic_raw[],4,FALSE),0)</f>
        <v>AFRO</v>
      </c>
      <c r="O67" s="167">
        <f>IFERROR(VLOOKUP(tordrup[[#This Row],[setting]],lmic_raw[],11,FALSE),0)</f>
        <v>0</v>
      </c>
      <c r="P67" s="168">
        <f>IFERROR(VLOOKUP(tordrup[[#This Row],[setting]],lmic_raw[],9,FALSE),0)</f>
        <v>90982.61078399999</v>
      </c>
      <c r="Q67" s="126">
        <v>24.602750631532377</v>
      </c>
      <c r="R67" s="126">
        <v>53.822750631532372</v>
      </c>
      <c r="S67" s="126">
        <v>57.653367879434867</v>
      </c>
      <c r="T67" s="126">
        <v>57.014931671451109</v>
      </c>
      <c r="U67" s="126"/>
      <c r="V67" s="126"/>
      <c r="AD67" s="33" t="s">
        <v>254</v>
      </c>
      <c r="AE67" s="33">
        <v>0.14000000000000001</v>
      </c>
    </row>
    <row r="68" spans="1:31" x14ac:dyDescent="0.25">
      <c r="A68" s="137" t="s">
        <v>169</v>
      </c>
      <c r="B68">
        <v>5.957860173416881</v>
      </c>
      <c r="C68" s="33" t="str">
        <f>IFERROR(VLOOKUP($A68,lmic_raw[],4,FALSE),0)</f>
        <v>EURO</v>
      </c>
      <c r="D68" s="33">
        <f>IFERROR(VLOOKUP($A68,lmic_raw[],10,FALSE),0)</f>
        <v>0.99400000000000011</v>
      </c>
      <c r="E68" s="33">
        <f>IFERROR(VLOOKUP($A68,lmic_raw[],11,FALSE),0)</f>
        <v>0.94</v>
      </c>
      <c r="M68" s="165" t="s">
        <v>169</v>
      </c>
      <c r="N68" s="160" t="str">
        <f>IFERROR(VLOOKUP(tordrup[[#This Row],[setting]],lmic_raw[],4,FALSE),0)</f>
        <v>EURO</v>
      </c>
      <c r="O68" s="167">
        <f>IFERROR(VLOOKUP(tordrup[[#This Row],[setting]],lmic_raw[],11,FALSE),0)</f>
        <v>0.94</v>
      </c>
      <c r="P68" s="168">
        <f>IFERROR(VLOOKUP(tordrup[[#This Row],[setting]],lmic_raw[],9,FALSE),0)</f>
        <v>54339.976152000003</v>
      </c>
      <c r="Q68" s="126">
        <v>27.34450121796565</v>
      </c>
      <c r="R68" s="126">
        <v>56.564501217965649</v>
      </c>
      <c r="S68" s="126">
        <v>73.015004736565274</v>
      </c>
      <c r="T68" s="126">
        <v>70.273254150132004</v>
      </c>
      <c r="U68" s="126"/>
      <c r="V68" s="126"/>
      <c r="AD68" s="33" t="s">
        <v>255</v>
      </c>
      <c r="AE68" s="33">
        <v>0.05</v>
      </c>
    </row>
    <row r="69" spans="1:31" x14ac:dyDescent="0.25">
      <c r="A69" s="138" t="s">
        <v>352</v>
      </c>
      <c r="B69">
        <v>56.864216299877036</v>
      </c>
      <c r="C69" s="33">
        <f>IFERROR(VLOOKUP($A69,lmic_raw[],4,FALSE),0)</f>
        <v>0</v>
      </c>
      <c r="D69" s="33">
        <f>IFERROR(VLOOKUP($A69,lmic_raw[],10,FALSE),0)</f>
        <v>0</v>
      </c>
      <c r="E69" s="33">
        <f>IFERROR(VLOOKUP($A69,lmic_raw[],11,FALSE),0)</f>
        <v>0</v>
      </c>
      <c r="M69" s="166" t="s">
        <v>352</v>
      </c>
      <c r="N69" s="161">
        <f>IFERROR(VLOOKUP(tordrup[[#This Row],[setting]],lmic_raw[],4,FALSE),0)</f>
        <v>0</v>
      </c>
      <c r="O69" s="167">
        <f>IFERROR(VLOOKUP(tordrup[[#This Row],[setting]],lmic_raw[],11,FALSE),0)</f>
        <v>0</v>
      </c>
      <c r="P69" s="168">
        <f>IFERROR(VLOOKUP(tordrup[[#This Row],[setting]],lmic_raw[],9,FALSE),0)</f>
        <v>0</v>
      </c>
      <c r="Q69" s="126">
        <v>78.25085734442581</v>
      </c>
      <c r="R69" s="126">
        <v>107.47085734442581</v>
      </c>
      <c r="S69" s="126">
        <v>559.1233482341305</v>
      </c>
      <c r="T69" s="126">
        <v>483.84793308584648</v>
      </c>
      <c r="U69" s="126"/>
      <c r="V69" s="126"/>
      <c r="AD69" s="33" t="s">
        <v>256</v>
      </c>
      <c r="AE69" s="33">
        <v>0.09</v>
      </c>
    </row>
    <row r="70" spans="1:31" x14ac:dyDescent="0.25">
      <c r="A70" s="137" t="s">
        <v>143</v>
      </c>
      <c r="B70">
        <v>3.3466691387185286</v>
      </c>
      <c r="C70" s="33" t="str">
        <f>IFERROR(VLOOKUP($A70,lmic_raw[],4,FALSE),0)</f>
        <v>AFRO</v>
      </c>
      <c r="D70" s="33">
        <f>IFERROR(VLOOKUP($A70,lmic_raw[],10,FALSE),0)</f>
        <v>0.77900000000000003</v>
      </c>
      <c r="E70" s="33">
        <f>IFERROR(VLOOKUP($A70,lmic_raw[],11,FALSE),0)</f>
        <v>0</v>
      </c>
      <c r="M70" s="165" t="s">
        <v>143</v>
      </c>
      <c r="N70" s="160" t="str">
        <f>IFERROR(VLOOKUP(tordrup[[#This Row],[setting]],lmic_raw[],4,FALSE),0)</f>
        <v>AFRO</v>
      </c>
      <c r="O70" s="167">
        <f>IFERROR(VLOOKUP(tordrup[[#This Row],[setting]],lmic_raw[],11,FALSE),0)</f>
        <v>0</v>
      </c>
      <c r="P70" s="168">
        <f>IFERROR(VLOOKUP(tordrup[[#This Row],[setting]],lmic_raw[],9,FALSE),0)</f>
        <v>899577.7324920001</v>
      </c>
      <c r="Q70" s="126">
        <v>24.733310183267296</v>
      </c>
      <c r="R70" s="126">
        <v>53.953310183267291</v>
      </c>
      <c r="S70" s="126">
        <v>57.870096735314817</v>
      </c>
      <c r="T70" s="126">
        <v>57.217298976640237</v>
      </c>
      <c r="U70" s="126"/>
      <c r="V70" s="126"/>
      <c r="AD70" s="33" t="s">
        <v>258</v>
      </c>
      <c r="AE70" s="33">
        <v>0.09</v>
      </c>
    </row>
    <row r="71" spans="1:31" x14ac:dyDescent="0.25">
      <c r="A71" s="138" t="s">
        <v>337</v>
      </c>
      <c r="B71">
        <v>38.823260060142964</v>
      </c>
      <c r="C71" s="33">
        <f>IFERROR(VLOOKUP($A71,lmic_raw[],4,FALSE),0)</f>
        <v>0</v>
      </c>
      <c r="D71" s="33">
        <f>IFERROR(VLOOKUP($A71,lmic_raw[],10,FALSE),0)</f>
        <v>0</v>
      </c>
      <c r="E71" s="33">
        <f>IFERROR(VLOOKUP($A71,lmic_raw[],11,FALSE),0)</f>
        <v>0</v>
      </c>
      <c r="M71" s="166" t="s">
        <v>337</v>
      </c>
      <c r="N71" s="161">
        <f>IFERROR(VLOOKUP(tordrup[[#This Row],[setting]],lmic_raw[],4,FALSE),0)</f>
        <v>0</v>
      </c>
      <c r="O71" s="167">
        <f>IFERROR(VLOOKUP(tordrup[[#This Row],[setting]],lmic_raw[],11,FALSE),0)</f>
        <v>0</v>
      </c>
      <c r="P71" s="168">
        <f>IFERROR(VLOOKUP(tordrup[[#This Row],[setting]],lmic_raw[],9,FALSE),0)</f>
        <v>0</v>
      </c>
      <c r="Q71" s="126">
        <v>60.209901104691738</v>
      </c>
      <c r="R71" s="126">
        <v>89.429901104691737</v>
      </c>
      <c r="S71" s="126">
        <v>361.35672426714353</v>
      </c>
      <c r="T71" s="126">
        <v>316.03558707340159</v>
      </c>
      <c r="U71" s="126"/>
      <c r="V71" s="126"/>
      <c r="AD71" s="33" t="s">
        <v>259</v>
      </c>
      <c r="AE71" s="33">
        <v>0.06</v>
      </c>
    </row>
    <row r="72" spans="1:31" x14ac:dyDescent="0.25">
      <c r="A72" s="137" t="s">
        <v>236</v>
      </c>
      <c r="B72">
        <v>13.340409371518588</v>
      </c>
      <c r="C72" s="33" t="str">
        <f>IFERROR(VLOOKUP($A72,lmic_raw[],4,FALSE),0)</f>
        <v>AMRO</v>
      </c>
      <c r="D72" s="33">
        <f>IFERROR(VLOOKUP($A72,lmic_raw[],10,FALSE),0)</f>
        <v>0</v>
      </c>
      <c r="E72" s="33">
        <f>IFERROR(VLOOKUP($A72,lmic_raw[],11,FALSE),0)</f>
        <v>0.96</v>
      </c>
      <c r="M72" s="165" t="s">
        <v>236</v>
      </c>
      <c r="N72" s="160" t="str">
        <f>IFERROR(VLOOKUP(tordrup[[#This Row],[setting]],lmic_raw[],4,FALSE),0)</f>
        <v>AMRO</v>
      </c>
      <c r="O72" s="167">
        <f>IFERROR(VLOOKUP(tordrup[[#This Row],[setting]],lmic_raw[],11,FALSE),0)</f>
        <v>0.96</v>
      </c>
      <c r="P72" s="168">
        <f>IFERROR(VLOOKUP(tordrup[[#This Row],[setting]],lmic_raw[],9,FALSE),0)</f>
        <v>1858.7851919999998</v>
      </c>
      <c r="Q72" s="126">
        <v>34.727050416067357</v>
      </c>
      <c r="R72" s="126">
        <v>63.947050416067356</v>
      </c>
      <c r="S72" s="126">
        <v>123.6232103230635</v>
      </c>
      <c r="T72" s="126">
        <v>113.67718367189748</v>
      </c>
      <c r="U72" s="126"/>
      <c r="V72" s="126"/>
      <c r="AD72" s="33" t="s">
        <v>764</v>
      </c>
      <c r="AE72" s="33">
        <v>0.08</v>
      </c>
    </row>
    <row r="73" spans="1:31" x14ac:dyDescent="0.25">
      <c r="A73" s="138" t="s">
        <v>256</v>
      </c>
      <c r="B73">
        <v>5.5661815182121277</v>
      </c>
      <c r="C73" s="33" t="str">
        <f>IFERROR(VLOOKUP($A73,lmic_raw[],4,FALSE),0)</f>
        <v>AMRO</v>
      </c>
      <c r="D73" s="33">
        <f>IFERROR(VLOOKUP($A73,lmic_raw[],10,FALSE),0)</f>
        <v>0.65</v>
      </c>
      <c r="E73" s="33">
        <f>IFERROR(VLOOKUP($A73,lmic_raw[],11,FALSE),0)</f>
        <v>0.48</v>
      </c>
      <c r="M73" s="166" t="s">
        <v>256</v>
      </c>
      <c r="N73" s="161" t="str">
        <f>IFERROR(VLOOKUP(tordrup[[#This Row],[setting]],lmic_raw[],4,FALSE),0)</f>
        <v>AMRO</v>
      </c>
      <c r="O73" s="167">
        <f>IFERROR(VLOOKUP(tordrup[[#This Row],[setting]],lmic_raw[],11,FALSE),0)</f>
        <v>0.48</v>
      </c>
      <c r="P73" s="168">
        <f>IFERROR(VLOOKUP(tordrup[[#This Row],[setting]],lmic_raw[],9,FALSE),0)</f>
        <v>435352.50871199998</v>
      </c>
      <c r="Q73" s="126">
        <v>26.952822562760897</v>
      </c>
      <c r="R73" s="126">
        <v>56.172822562760899</v>
      </c>
      <c r="S73" s="126">
        <v>70.672766378440841</v>
      </c>
      <c r="T73" s="126">
        <v>68.256109075827524</v>
      </c>
      <c r="U73" s="126"/>
      <c r="V73" s="126"/>
      <c r="AD73" s="33" t="s">
        <v>262</v>
      </c>
      <c r="AE73" s="33">
        <v>0.21</v>
      </c>
    </row>
    <row r="74" spans="1:31" x14ac:dyDescent="0.25">
      <c r="A74" s="137" t="s">
        <v>144</v>
      </c>
      <c r="B74">
        <v>2.5989189787821818</v>
      </c>
      <c r="C74" s="33" t="str">
        <f>IFERROR(VLOOKUP($A74,lmic_raw[],4,FALSE),0)</f>
        <v>AFRO</v>
      </c>
      <c r="D74" s="33">
        <f>IFERROR(VLOOKUP($A74,lmic_raw[],10,FALSE),0)</f>
        <v>0.52600000000000002</v>
      </c>
      <c r="E74" s="33">
        <f>IFERROR(VLOOKUP($A74,lmic_raw[],11,FALSE),0)</f>
        <v>0</v>
      </c>
      <c r="M74" s="165" t="s">
        <v>144</v>
      </c>
      <c r="N74" s="160" t="str">
        <f>IFERROR(VLOOKUP(tordrup[[#This Row],[setting]],lmic_raw[],4,FALSE),0)</f>
        <v>AFRO</v>
      </c>
      <c r="O74" s="167">
        <f>IFERROR(VLOOKUP(tordrup[[#This Row],[setting]],lmic_raw[],11,FALSE),0)</f>
        <v>0</v>
      </c>
      <c r="P74" s="168">
        <f>IFERROR(VLOOKUP(tordrup[[#This Row],[setting]],lmic_raw[],9,FALSE),0)</f>
        <v>466891.21126799996</v>
      </c>
      <c r="Q74" s="126">
        <v>23.985560023330951</v>
      </c>
      <c r="R74" s="126">
        <v>53.205560023330946</v>
      </c>
      <c r="S74" s="126">
        <v>54.834943228982723</v>
      </c>
      <c r="T74" s="126">
        <v>54.563379361374089</v>
      </c>
      <c r="U74" s="126"/>
      <c r="V74" s="126"/>
      <c r="AD74" s="33" t="s">
        <v>265</v>
      </c>
      <c r="AE74" s="33">
        <v>0.89</v>
      </c>
    </row>
    <row r="75" spans="1:31" x14ac:dyDescent="0.25">
      <c r="A75" s="138" t="s">
        <v>145</v>
      </c>
      <c r="C75" s="33" t="str">
        <f>IFERROR(VLOOKUP($A75,lmic_raw[],4,FALSE),0)</f>
        <v>AFRO</v>
      </c>
      <c r="D75" s="33">
        <f>IFERROR(VLOOKUP($A75,lmic_raw[],10,FALSE),0)</f>
        <v>0.44</v>
      </c>
      <c r="E75" s="33">
        <f>IFERROR(VLOOKUP($A75,lmic_raw[],11,FALSE),0)</f>
        <v>0</v>
      </c>
      <c r="M75" s="166" t="s">
        <v>145</v>
      </c>
      <c r="N75" s="161" t="str">
        <f>IFERROR(VLOOKUP(tordrup[[#This Row],[setting]],lmic_raw[],4,FALSE),0)</f>
        <v>AFRO</v>
      </c>
      <c r="O75" s="167">
        <f>IFERROR(VLOOKUP(tordrup[[#This Row],[setting]],lmic_raw[],11,FALSE),0)</f>
        <v>0</v>
      </c>
      <c r="P75" s="168">
        <f>IFERROR(VLOOKUP(tordrup[[#This Row],[setting]],lmic_raw[],9,FALSE),0)</f>
        <v>67979.331713000007</v>
      </c>
      <c r="Q75" s="126"/>
      <c r="R75" s="126"/>
      <c r="S75" s="126"/>
      <c r="T75" s="126"/>
      <c r="U75" s="126"/>
      <c r="V75" s="126"/>
      <c r="AD75" s="33" t="s">
        <v>264</v>
      </c>
      <c r="AE75" s="33">
        <v>0.28000000000000003</v>
      </c>
    </row>
    <row r="76" spans="1:31" x14ac:dyDescent="0.25">
      <c r="A76" s="137" t="s">
        <v>270</v>
      </c>
      <c r="B76">
        <v>7.405884292658695</v>
      </c>
      <c r="C76" s="33" t="str">
        <f>IFERROR(VLOOKUP($A76,lmic_raw[],4,FALSE),0)</f>
        <v>AMRO</v>
      </c>
      <c r="D76" s="33">
        <f>IFERROR(VLOOKUP($A76,lmic_raw[],10,FALSE),0)</f>
        <v>0.92700000000000005</v>
      </c>
      <c r="E76" s="33">
        <f>IFERROR(VLOOKUP($A76,lmic_raw[],11,FALSE),0)</f>
        <v>0</v>
      </c>
      <c r="M76" s="165" t="s">
        <v>270</v>
      </c>
      <c r="N76" s="160" t="str">
        <f>IFERROR(VLOOKUP(tordrup[[#This Row],[setting]],lmic_raw[],4,FALSE),0)</f>
        <v>AMRO</v>
      </c>
      <c r="O76" s="167">
        <f>IFERROR(VLOOKUP(tordrup[[#This Row],[setting]],lmic_raw[],11,FALSE),0)</f>
        <v>0</v>
      </c>
      <c r="P76" s="168">
        <f>IFERROR(VLOOKUP(tordrup[[#This Row],[setting]],lmic_raw[],9,FALSE),0)</f>
        <v>15707.945925</v>
      </c>
      <c r="Q76" s="126">
        <v>28.792525337207461</v>
      </c>
      <c r="R76" s="126">
        <v>58.012525337207464</v>
      </c>
      <c r="S76" s="126">
        <v>76.029743476626095</v>
      </c>
      <c r="T76" s="126">
        <v>73.026873786722987</v>
      </c>
      <c r="U76" s="126"/>
      <c r="V76" s="126"/>
      <c r="AD76" s="33" t="s">
        <v>157</v>
      </c>
      <c r="AE76" s="33">
        <v>0.06</v>
      </c>
    </row>
    <row r="77" spans="1:31" x14ac:dyDescent="0.25">
      <c r="A77" s="138" t="s">
        <v>238</v>
      </c>
      <c r="B77">
        <v>3.299192938087649</v>
      </c>
      <c r="C77" s="33" t="str">
        <f>IFERROR(VLOOKUP($A77,lmic_raw[],4,FALSE),0)</f>
        <v>AMRO</v>
      </c>
      <c r="D77" s="33">
        <f>IFERROR(VLOOKUP($A77,lmic_raw[],10,FALSE),0)</f>
        <v>0.39399999999999996</v>
      </c>
      <c r="E77" s="33">
        <f>IFERROR(VLOOKUP($A77,lmic_raw[],11,FALSE),0)</f>
        <v>0</v>
      </c>
      <c r="M77" s="166" t="s">
        <v>238</v>
      </c>
      <c r="N77" s="161" t="str">
        <f>IFERROR(VLOOKUP(tordrup[[#This Row],[setting]],lmic_raw[],4,FALSE),0)</f>
        <v>AMRO</v>
      </c>
      <c r="O77" s="167">
        <f>IFERROR(VLOOKUP(tordrup[[#This Row],[setting]],lmic_raw[],11,FALSE),0)</f>
        <v>0</v>
      </c>
      <c r="P77" s="168">
        <f>IFERROR(VLOOKUP(tordrup[[#This Row],[setting]],lmic_raw[],9,FALSE),0)</f>
        <v>276317.11710700003</v>
      </c>
      <c r="Q77" s="126">
        <v>24.685833982636417</v>
      </c>
      <c r="R77" s="126">
        <v>53.905833982636416</v>
      </c>
      <c r="S77" s="126">
        <v>57.109765382211293</v>
      </c>
      <c r="T77" s="126">
        <v>56.575776815615484</v>
      </c>
      <c r="U77" s="126"/>
      <c r="V77" s="126"/>
      <c r="AD77" s="33" t="s">
        <v>167</v>
      </c>
      <c r="AE77" s="33">
        <v>0.03</v>
      </c>
    </row>
    <row r="78" spans="1:31" x14ac:dyDescent="0.25">
      <c r="A78" s="137" t="s">
        <v>257</v>
      </c>
      <c r="B78">
        <v>5.3762767156886113</v>
      </c>
      <c r="C78" s="33" t="str">
        <f>IFERROR(VLOOKUP($A78,lmic_raw[],4,FALSE),0)</f>
        <v>AMRO</v>
      </c>
      <c r="D78" s="33">
        <f>IFERROR(VLOOKUP($A78,lmic_raw[],10,FALSE),0)</f>
        <v>0.82700000000000007</v>
      </c>
      <c r="E78" s="33">
        <f>IFERROR(VLOOKUP($A78,lmic_raw[],11,FALSE),0)</f>
        <v>0.75</v>
      </c>
      <c r="M78" s="165" t="s">
        <v>257</v>
      </c>
      <c r="N78" s="160" t="str">
        <f>IFERROR(VLOOKUP(tordrup[[#This Row],[setting]],lmic_raw[],4,FALSE),0)</f>
        <v>AMRO</v>
      </c>
      <c r="O78" s="167">
        <f>IFERROR(VLOOKUP(tordrup[[#This Row],[setting]],lmic_raw[],11,FALSE),0)</f>
        <v>0.75</v>
      </c>
      <c r="P78" s="168">
        <f>IFERROR(VLOOKUP(tordrup[[#This Row],[setting]],lmic_raw[],9,FALSE),0)</f>
        <v>212504.29145999998</v>
      </c>
      <c r="Q78" s="126">
        <v>26.762917760237379</v>
      </c>
      <c r="R78" s="126">
        <v>55.982917760237378</v>
      </c>
      <c r="S78" s="126">
        <v>68.610637604038615</v>
      </c>
      <c r="T78" s="126">
        <v>66.506017630071739</v>
      </c>
      <c r="U78" s="126"/>
      <c r="V78" s="126"/>
      <c r="AD78" s="33" t="s">
        <v>158</v>
      </c>
      <c r="AE78" s="33">
        <v>0.03</v>
      </c>
    </row>
    <row r="79" spans="1:31" x14ac:dyDescent="0.25">
      <c r="A79" s="138" t="s">
        <v>310</v>
      </c>
      <c r="B79">
        <v>20.497446616623616</v>
      </c>
      <c r="C79" s="33">
        <f>IFERROR(VLOOKUP($A79,lmic_raw[],4,FALSE),0)</f>
        <v>0</v>
      </c>
      <c r="D79" s="33">
        <f>IFERROR(VLOOKUP($A79,lmic_raw[],10,FALSE),0)</f>
        <v>0</v>
      </c>
      <c r="E79" s="33">
        <f>IFERROR(VLOOKUP($A79,lmic_raw[],11,FALSE),0)</f>
        <v>0</v>
      </c>
      <c r="M79" s="166" t="s">
        <v>310</v>
      </c>
      <c r="N79" s="161">
        <f>IFERROR(VLOOKUP(tordrup[[#This Row],[setting]],lmic_raw[],4,FALSE),0)</f>
        <v>0</v>
      </c>
      <c r="O79" s="167">
        <f>IFERROR(VLOOKUP(tordrup[[#This Row],[setting]],lmic_raw[],11,FALSE),0)</f>
        <v>0</v>
      </c>
      <c r="P79" s="168">
        <f>IFERROR(VLOOKUP(tordrup[[#This Row],[setting]],lmic_raw[],9,FALSE),0)</f>
        <v>0</v>
      </c>
      <c r="Q79" s="126">
        <v>41.884087661172387</v>
      </c>
      <c r="R79" s="126">
        <v>71.104087661172386</v>
      </c>
      <c r="S79" s="126">
        <v>194.81187412104151</v>
      </c>
      <c r="T79" s="126">
        <v>174.19390971106336</v>
      </c>
      <c r="U79" s="126"/>
      <c r="V79" s="126"/>
      <c r="AD79" s="33" t="s">
        <v>646</v>
      </c>
      <c r="AE79" s="33">
        <v>0.24</v>
      </c>
    </row>
    <row r="80" spans="1:31" x14ac:dyDescent="0.25">
      <c r="A80" s="137" t="s">
        <v>323</v>
      </c>
      <c r="B80">
        <v>55.356846929846618</v>
      </c>
      <c r="C80" s="33">
        <f>IFERROR(VLOOKUP($A80,lmic_raw[],4,FALSE),0)</f>
        <v>0</v>
      </c>
      <c r="D80" s="33">
        <f>IFERROR(VLOOKUP($A80,lmic_raw[],10,FALSE),0)</f>
        <v>0</v>
      </c>
      <c r="E80" s="33">
        <f>IFERROR(VLOOKUP($A80,lmic_raw[],11,FALSE),0)</f>
        <v>0</v>
      </c>
      <c r="M80" s="165" t="s">
        <v>323</v>
      </c>
      <c r="N80" s="160">
        <f>IFERROR(VLOOKUP(tordrup[[#This Row],[setting]],lmic_raw[],4,FALSE),0)</f>
        <v>0</v>
      </c>
      <c r="O80" s="167">
        <f>IFERROR(VLOOKUP(tordrup[[#This Row],[setting]],lmic_raw[],11,FALSE),0)</f>
        <v>0</v>
      </c>
      <c r="P80" s="168">
        <f>IFERROR(VLOOKUP(tordrup[[#This Row],[setting]],lmic_raw[],9,FALSE),0)</f>
        <v>0</v>
      </c>
      <c r="Q80" s="126">
        <v>76.743487974395393</v>
      </c>
      <c r="R80" s="126">
        <v>105.96348797439539</v>
      </c>
      <c r="S80" s="126">
        <v>536.52800006787618</v>
      </c>
      <c r="T80" s="126">
        <v>464.767248052296</v>
      </c>
      <c r="U80" s="126"/>
      <c r="V80" s="126"/>
      <c r="AD80" s="33" t="s">
        <v>170</v>
      </c>
      <c r="AE80" s="33">
        <v>0.01</v>
      </c>
    </row>
    <row r="81" spans="1:31" x14ac:dyDescent="0.25">
      <c r="A81" s="138" t="s">
        <v>194</v>
      </c>
      <c r="B81">
        <v>3.8570382955004794</v>
      </c>
      <c r="C81" s="33" t="str">
        <f>IFERROR(VLOOKUP($A81,lmic_raw[],4,FALSE),0)</f>
        <v>SEARO</v>
      </c>
      <c r="D81" s="33">
        <f>IFERROR(VLOOKUP($A81,lmic_raw[],10,FALSE),0)</f>
        <v>0.78900000000000003</v>
      </c>
      <c r="E81" s="33">
        <f>IFERROR(VLOOKUP($A81,lmic_raw[],11,FALSE),0)</f>
        <v>0.56000000000000005</v>
      </c>
      <c r="M81" s="166" t="s">
        <v>194</v>
      </c>
      <c r="N81" s="161" t="str">
        <f>IFERROR(VLOOKUP(tordrup[[#This Row],[setting]],lmic_raw[],4,FALSE),0)</f>
        <v>SEARO</v>
      </c>
      <c r="O81" s="167">
        <f>IFERROR(VLOOKUP(tordrup[[#This Row],[setting]],lmic_raw[],11,FALSE),0)</f>
        <v>0.56000000000000005</v>
      </c>
      <c r="P81" s="168">
        <f>IFERROR(VLOOKUP(tordrup[[#This Row],[setting]],lmic_raw[],9,FALSE),0)</f>
        <v>24622847.963119999</v>
      </c>
      <c r="Q81" s="126">
        <v>25.243679340049248</v>
      </c>
      <c r="R81" s="126">
        <v>54.463679340049246</v>
      </c>
      <c r="S81" s="126">
        <v>61.474727268214323</v>
      </c>
      <c r="T81" s="126">
        <v>60.306219280186809</v>
      </c>
      <c r="U81" s="126"/>
      <c r="V81" s="126"/>
      <c r="AD81" s="33" t="s">
        <v>172</v>
      </c>
      <c r="AE81" s="33">
        <v>0.01</v>
      </c>
    </row>
    <row r="82" spans="1:31" x14ac:dyDescent="0.25">
      <c r="A82" s="137" t="s">
        <v>213</v>
      </c>
      <c r="B82">
        <v>4.7946932579603416</v>
      </c>
      <c r="C82" s="33" t="str">
        <f>IFERROR(VLOOKUP($A82,lmic_raw[],4,FALSE),0)</f>
        <v>SEARO</v>
      </c>
      <c r="D82" s="33">
        <f>IFERROR(VLOOKUP($A82,lmic_raw[],10,FALSE),0)</f>
        <v>0.79</v>
      </c>
      <c r="E82" s="33">
        <f>IFERROR(VLOOKUP($A82,lmic_raw[],11,FALSE),0)</f>
        <v>0.84</v>
      </c>
      <c r="M82" s="165" t="s">
        <v>213</v>
      </c>
      <c r="N82" s="160" t="str">
        <f>IFERROR(VLOOKUP(tordrup[[#This Row],[setting]],lmic_raw[],4,FALSE),0)</f>
        <v>SEARO</v>
      </c>
      <c r="O82" s="167">
        <f>IFERROR(VLOOKUP(tordrup[[#This Row],[setting]],lmic_raw[],11,FALSE),0)</f>
        <v>0.84</v>
      </c>
      <c r="P82" s="168">
        <f>IFERROR(VLOOKUP(tordrup[[#This Row],[setting]],lmic_raw[],9,FALSE),0)</f>
        <v>4926738.4472349994</v>
      </c>
      <c r="Q82" s="126">
        <v>26.181334302509111</v>
      </c>
      <c r="R82" s="126">
        <v>55.401334302509113</v>
      </c>
      <c r="S82" s="126">
        <v>66.470173098595424</v>
      </c>
      <c r="T82" s="126">
        <v>64.625366632581034</v>
      </c>
      <c r="U82" s="126"/>
      <c r="V82" s="126"/>
      <c r="AD82" s="33" t="s">
        <v>173</v>
      </c>
      <c r="AE82" s="33">
        <v>0.08</v>
      </c>
    </row>
    <row r="83" spans="1:31" x14ac:dyDescent="0.25">
      <c r="A83" s="138" t="s">
        <v>195</v>
      </c>
      <c r="B83">
        <v>10.515575433981278</v>
      </c>
      <c r="C83" s="33" t="str">
        <f>IFERROR(VLOOKUP($A83,lmic_raw[],4,FALSE),0)</f>
        <v>EMRO</v>
      </c>
      <c r="D83" s="33">
        <f>IFERROR(VLOOKUP($A83,lmic_raw[],10,FALSE),0)</f>
        <v>0.95299999999999996</v>
      </c>
      <c r="E83" s="33">
        <f>IFERROR(VLOOKUP($A83,lmic_raw[],11,FALSE),0)</f>
        <v>0.95</v>
      </c>
      <c r="M83" s="166" t="s">
        <v>195</v>
      </c>
      <c r="N83" s="161" t="str">
        <f>IFERROR(VLOOKUP(tordrup[[#This Row],[setting]],lmic_raw[],4,FALSE),0)</f>
        <v>EMRO</v>
      </c>
      <c r="O83" s="167">
        <f>IFERROR(VLOOKUP(tordrup[[#This Row],[setting]],lmic_raw[],11,FALSE),0)</f>
        <v>0.95</v>
      </c>
      <c r="P83" s="168">
        <f>IFERROR(VLOOKUP(tordrup[[#This Row],[setting]],lmic_raw[],9,FALSE),0)</f>
        <v>1583406.6146210001</v>
      </c>
      <c r="Q83" s="126">
        <v>31.902216478530043</v>
      </c>
      <c r="R83" s="126">
        <v>61.122216478530042</v>
      </c>
      <c r="S83" s="126">
        <v>112.65146035726733</v>
      </c>
      <c r="T83" s="126">
        <v>104.06325304414446</v>
      </c>
      <c r="U83" s="126"/>
      <c r="V83" s="126"/>
      <c r="AD83" s="33" t="s">
        <v>174</v>
      </c>
      <c r="AE83" s="33">
        <v>0.04</v>
      </c>
    </row>
    <row r="84" spans="1:31" x14ac:dyDescent="0.25">
      <c r="A84" s="137" t="s">
        <v>170</v>
      </c>
      <c r="B84">
        <v>4.4148836529133089</v>
      </c>
      <c r="C84" s="33" t="str">
        <f>IFERROR(VLOOKUP($A84,lmic_raw[],4,FALSE),0)</f>
        <v>EMRO</v>
      </c>
      <c r="D84" s="33">
        <f>IFERROR(VLOOKUP($A84,lmic_raw[],10,FALSE),0)</f>
        <v>0.86599999999999999</v>
      </c>
      <c r="E84" s="33">
        <f>IFERROR(VLOOKUP($A84,lmic_raw[],11,FALSE),0)</f>
        <v>0.41</v>
      </c>
      <c r="M84" s="165" t="s">
        <v>170</v>
      </c>
      <c r="N84" s="160" t="str">
        <f>IFERROR(VLOOKUP(tordrup[[#This Row],[setting]],lmic_raw[],4,FALSE),0)</f>
        <v>EMRO</v>
      </c>
      <c r="O84" s="167">
        <f>IFERROR(VLOOKUP(tordrup[[#This Row],[setting]],lmic_raw[],11,FALSE),0)</f>
        <v>0.41</v>
      </c>
      <c r="P84" s="168">
        <f>IFERROR(VLOOKUP(tordrup[[#This Row],[setting]],lmic_raw[],9,FALSE),0)</f>
        <v>1145133.4633589999</v>
      </c>
      <c r="Q84" s="126">
        <v>25.801524697462078</v>
      </c>
      <c r="R84" s="126">
        <v>55.021524697462077</v>
      </c>
      <c r="S84" s="126">
        <v>64.210305948565576</v>
      </c>
      <c r="T84" s="126">
        <v>62.678842406714992</v>
      </c>
      <c r="U84" s="126"/>
      <c r="V84" s="126"/>
      <c r="AD84" s="33" t="s">
        <v>159</v>
      </c>
      <c r="AE84" s="33">
        <v>0.16</v>
      </c>
    </row>
    <row r="85" spans="1:31" x14ac:dyDescent="0.25">
      <c r="A85" s="138" t="s">
        <v>324</v>
      </c>
      <c r="B85">
        <v>64.650313203341227</v>
      </c>
      <c r="C85" s="33">
        <f>IFERROR(VLOOKUP($A85,lmic_raw[],4,FALSE),0)</f>
        <v>0</v>
      </c>
      <c r="D85" s="33">
        <f>IFERROR(VLOOKUP($A85,lmic_raw[],10,FALSE),0)</f>
        <v>0</v>
      </c>
      <c r="E85" s="33">
        <f>IFERROR(VLOOKUP($A85,lmic_raw[],11,FALSE),0)</f>
        <v>0</v>
      </c>
      <c r="M85" s="166" t="s">
        <v>324</v>
      </c>
      <c r="N85" s="161">
        <f>IFERROR(VLOOKUP(tordrup[[#This Row],[setting]],lmic_raw[],4,FALSE),0)</f>
        <v>0</v>
      </c>
      <c r="O85" s="167">
        <f>IFERROR(VLOOKUP(tordrup[[#This Row],[setting]],lmic_raw[],11,FALSE),0)</f>
        <v>0</v>
      </c>
      <c r="P85" s="168">
        <f>IFERROR(VLOOKUP(tordrup[[#This Row],[setting]],lmic_raw[],9,FALSE),0)</f>
        <v>0</v>
      </c>
      <c r="Q85" s="126">
        <v>86.036954247889994</v>
      </c>
      <c r="R85" s="126">
        <v>115.25695424788999</v>
      </c>
      <c r="S85" s="126">
        <v>646.92939439592567</v>
      </c>
      <c r="T85" s="126">
        <v>558.31732103791978</v>
      </c>
      <c r="U85" s="126"/>
      <c r="V85" s="126"/>
      <c r="AD85" s="33" t="s">
        <v>160</v>
      </c>
      <c r="AE85" s="33">
        <v>0.39</v>
      </c>
    </row>
    <row r="86" spans="1:31" x14ac:dyDescent="0.25">
      <c r="A86" s="137" t="s">
        <v>171</v>
      </c>
      <c r="B86">
        <v>43.53527297275771</v>
      </c>
      <c r="C86" s="33">
        <f>IFERROR(VLOOKUP($A86,lmic_raw[],4,FALSE),0)</f>
        <v>0</v>
      </c>
      <c r="D86" s="33">
        <f>IFERROR(VLOOKUP($A86,lmic_raw[],10,FALSE),0)</f>
        <v>0</v>
      </c>
      <c r="E86" s="33">
        <f>IFERROR(VLOOKUP($A86,lmic_raw[],11,FALSE),0)</f>
        <v>0</v>
      </c>
      <c r="M86" s="165" t="s">
        <v>171</v>
      </c>
      <c r="N86" s="160">
        <f>IFERROR(VLOOKUP(tordrup[[#This Row],[setting]],lmic_raw[],4,FALSE),0)</f>
        <v>0</v>
      </c>
      <c r="O86" s="167">
        <f>IFERROR(VLOOKUP(tordrup[[#This Row],[setting]],lmic_raw[],11,FALSE),0)</f>
        <v>0</v>
      </c>
      <c r="P86" s="168">
        <f>IFERROR(VLOOKUP(tordrup[[#This Row],[setting]],lmic_raw[],9,FALSE),0)</f>
        <v>0</v>
      </c>
      <c r="Q86" s="126">
        <v>64.921914017306477</v>
      </c>
      <c r="R86" s="126">
        <v>94.141914017306476</v>
      </c>
      <c r="S86" s="126">
        <v>398.84440704729201</v>
      </c>
      <c r="T86" s="126">
        <v>348.06065820896112</v>
      </c>
      <c r="U86" s="126"/>
      <c r="V86" s="126"/>
      <c r="AD86" s="33" t="s">
        <v>175</v>
      </c>
      <c r="AE86" s="33">
        <v>0.06</v>
      </c>
    </row>
    <row r="87" spans="1:31" x14ac:dyDescent="0.25">
      <c r="A87" s="138" t="s">
        <v>339</v>
      </c>
      <c r="B87">
        <v>48.876345543731617</v>
      </c>
      <c r="C87" s="33">
        <f>IFERROR(VLOOKUP($A87,lmic_raw[],4,FALSE),0)</f>
        <v>0</v>
      </c>
      <c r="D87" s="33">
        <f>IFERROR(VLOOKUP($A87,lmic_raw[],10,FALSE),0)</f>
        <v>0</v>
      </c>
      <c r="E87" s="33">
        <f>IFERROR(VLOOKUP($A87,lmic_raw[],11,FALSE),0)</f>
        <v>0</v>
      </c>
      <c r="M87" s="166" t="s">
        <v>339</v>
      </c>
      <c r="N87" s="161">
        <f>IFERROR(VLOOKUP(tordrup[[#This Row],[setting]],lmic_raw[],4,FALSE),0)</f>
        <v>0</v>
      </c>
      <c r="O87" s="167">
        <f>IFERROR(VLOOKUP(tordrup[[#This Row],[setting]],lmic_raw[],11,FALSE),0)</f>
        <v>0</v>
      </c>
      <c r="P87" s="168">
        <f>IFERROR(VLOOKUP(tordrup[[#This Row],[setting]],lmic_raw[],9,FALSE),0)</f>
        <v>0</v>
      </c>
      <c r="Q87" s="126">
        <v>70.262986588280384</v>
      </c>
      <c r="R87" s="126">
        <v>99.482986588280383</v>
      </c>
      <c r="S87" s="126">
        <v>464.74683328602481</v>
      </c>
      <c r="T87" s="126">
        <v>403.86952550306745</v>
      </c>
      <c r="U87" s="126"/>
      <c r="V87" s="126"/>
      <c r="AD87" s="33" t="s">
        <v>176</v>
      </c>
      <c r="AE87" s="33">
        <v>0.18</v>
      </c>
    </row>
    <row r="88" spans="1:31" x14ac:dyDescent="0.25">
      <c r="A88" s="137" t="s">
        <v>239</v>
      </c>
      <c r="B88">
        <v>9.4592299699442179</v>
      </c>
      <c r="C88" s="33" t="str">
        <f>IFERROR(VLOOKUP($A88,lmic_raw[],4,FALSE),0)</f>
        <v>AMRO</v>
      </c>
      <c r="D88" s="33">
        <f>IFERROR(VLOOKUP($A88,lmic_raw[],10,FALSE),0)</f>
        <v>0.98599999999999999</v>
      </c>
      <c r="E88" s="33">
        <f>IFERROR(VLOOKUP($A88,lmic_raw[],11,FALSE),0)</f>
        <v>0</v>
      </c>
      <c r="M88" s="165" t="s">
        <v>239</v>
      </c>
      <c r="N88" s="160" t="str">
        <f>IFERROR(VLOOKUP(tordrup[[#This Row],[setting]],lmic_raw[],4,FALSE),0)</f>
        <v>AMRO</v>
      </c>
      <c r="O88" s="167">
        <f>IFERROR(VLOOKUP(tordrup[[#This Row],[setting]],lmic_raw[],11,FALSE),0)</f>
        <v>0</v>
      </c>
      <c r="P88" s="168">
        <f>IFERROR(VLOOKUP(tordrup[[#This Row],[setting]],lmic_raw[],9,FALSE),0)</f>
        <v>47847.587433000001</v>
      </c>
      <c r="Q88" s="126">
        <v>30.845871014492985</v>
      </c>
      <c r="R88" s="126">
        <v>60.065871014492984</v>
      </c>
      <c r="S88" s="126">
        <v>94.940938473924177</v>
      </c>
      <c r="T88" s="126">
        <v>89.128427230685645</v>
      </c>
      <c r="U88" s="126"/>
      <c r="V88" s="126"/>
      <c r="AD88" s="33" t="s">
        <v>177</v>
      </c>
      <c r="AE88" s="33">
        <v>0.06</v>
      </c>
    </row>
    <row r="89" spans="1:31" x14ac:dyDescent="0.25">
      <c r="A89" s="138" t="s">
        <v>207</v>
      </c>
      <c r="B89">
        <v>61.813610215646186</v>
      </c>
      <c r="C89" s="33">
        <f>IFERROR(VLOOKUP($A89,lmic_raw[],4,FALSE),0)</f>
        <v>0</v>
      </c>
      <c r="D89" s="33">
        <f>IFERROR(VLOOKUP($A89,lmic_raw[],10,FALSE),0)</f>
        <v>0</v>
      </c>
      <c r="E89" s="33">
        <f>IFERROR(VLOOKUP($A89,lmic_raw[],11,FALSE),0)</f>
        <v>0</v>
      </c>
      <c r="M89" s="166" t="s">
        <v>207</v>
      </c>
      <c r="N89" s="161">
        <f>IFERROR(VLOOKUP(tordrup[[#This Row],[setting]],lmic_raw[],4,FALSE),0)</f>
        <v>0</v>
      </c>
      <c r="O89" s="167">
        <f>IFERROR(VLOOKUP(tordrup[[#This Row],[setting]],lmic_raw[],11,FALSE),0)</f>
        <v>0</v>
      </c>
      <c r="P89" s="168">
        <f>IFERROR(VLOOKUP(tordrup[[#This Row],[setting]],lmic_raw[],9,FALSE),0)</f>
        <v>0</v>
      </c>
      <c r="Q89" s="126">
        <v>83.20025126019496</v>
      </c>
      <c r="R89" s="126">
        <v>112.42025126019496</v>
      </c>
      <c r="S89" s="126">
        <v>584.95704804541697</v>
      </c>
      <c r="T89" s="126">
        <v>506.20091524788012</v>
      </c>
      <c r="U89" s="126"/>
      <c r="V89" s="126"/>
      <c r="AD89" s="33" t="s">
        <v>765</v>
      </c>
      <c r="AE89" s="33">
        <v>0.05</v>
      </c>
    </row>
    <row r="90" spans="1:31" x14ac:dyDescent="0.25">
      <c r="A90" s="137" t="s">
        <v>172</v>
      </c>
      <c r="C90" s="33" t="str">
        <f>IFERROR(VLOOKUP($A90,lmic_raw[],4,FALSE),0)</f>
        <v>EMRO</v>
      </c>
      <c r="D90" s="33">
        <f>IFERROR(VLOOKUP($A90,lmic_raw[],10,FALSE),0)</f>
        <v>0.98099999999999998</v>
      </c>
      <c r="E90" s="33">
        <f>IFERROR(VLOOKUP($A90,lmic_raw[],11,FALSE),0)</f>
        <v>0</v>
      </c>
      <c r="M90" s="165" t="s">
        <v>172</v>
      </c>
      <c r="N90" s="160" t="str">
        <f>IFERROR(VLOOKUP(tordrup[[#This Row],[setting]],lmic_raw[],4,FALSE),0)</f>
        <v>EMRO</v>
      </c>
      <c r="O90" s="167">
        <f>IFERROR(VLOOKUP(tordrup[[#This Row],[setting]],lmic_raw[],11,FALSE),0)</f>
        <v>0</v>
      </c>
      <c r="P90" s="168">
        <f>IFERROR(VLOOKUP(tordrup[[#This Row],[setting]],lmic_raw[],9,FALSE),0)</f>
        <v>222732.31715300001</v>
      </c>
      <c r="Q90" s="126"/>
      <c r="R90" s="126"/>
      <c r="S90" s="126"/>
      <c r="T90" s="126"/>
      <c r="U90" s="126"/>
      <c r="V90" s="126"/>
      <c r="AD90" s="33" t="s">
        <v>162</v>
      </c>
      <c r="AE90" s="33">
        <v>0.12</v>
      </c>
    </row>
    <row r="91" spans="1:31" x14ac:dyDescent="0.25">
      <c r="A91" s="138" t="s">
        <v>185</v>
      </c>
      <c r="B91">
        <v>11.239587493602185</v>
      </c>
      <c r="C91" s="33" t="str">
        <f>IFERROR(VLOOKUP($A91,lmic_raw[],4,FALSE),0)</f>
        <v>EURO</v>
      </c>
      <c r="D91" s="33">
        <f>IFERROR(VLOOKUP($A91,lmic_raw[],10,FALSE),0)</f>
        <v>0.99299999999999999</v>
      </c>
      <c r="E91" s="33">
        <f>IFERROR(VLOOKUP($A91,lmic_raw[],11,FALSE),0)</f>
        <v>0.93</v>
      </c>
      <c r="M91" s="166" t="s">
        <v>185</v>
      </c>
      <c r="N91" s="161" t="str">
        <f>IFERROR(VLOOKUP(tordrup[[#This Row],[setting]],lmic_raw[],4,FALSE),0)</f>
        <v>EURO</v>
      </c>
      <c r="O91" s="167">
        <f>IFERROR(VLOOKUP(tordrup[[#This Row],[setting]],lmic_raw[],11,FALSE),0)</f>
        <v>0.93</v>
      </c>
      <c r="P91" s="168">
        <f>IFERROR(VLOOKUP(tordrup[[#This Row],[setting]],lmic_raw[],9,FALSE),0)</f>
        <v>396573.87635599996</v>
      </c>
      <c r="Q91" s="126">
        <v>32.626228538150954</v>
      </c>
      <c r="R91" s="126">
        <v>61.846228538150953</v>
      </c>
      <c r="S91" s="126">
        <v>113.89248824175851</v>
      </c>
      <c r="T91" s="126">
        <v>105.21811162449059</v>
      </c>
      <c r="U91" s="126"/>
      <c r="V91" s="126"/>
      <c r="AD91" s="33" t="s">
        <v>180</v>
      </c>
      <c r="AE91" s="33">
        <v>0.05</v>
      </c>
    </row>
    <row r="92" spans="1:31" x14ac:dyDescent="0.25">
      <c r="A92" s="137" t="s">
        <v>106</v>
      </c>
      <c r="B92">
        <v>3.1448952860372916</v>
      </c>
      <c r="C92" s="33" t="str">
        <f>IFERROR(VLOOKUP($A92,lmic_raw[],4,FALSE),0)</f>
        <v>AFRO</v>
      </c>
      <c r="D92" s="33">
        <f>IFERROR(VLOOKUP($A92,lmic_raw[],10,FALSE),0)</f>
        <v>0.61199999999999999</v>
      </c>
      <c r="E92" s="33">
        <f>IFERROR(VLOOKUP($A92,lmic_raw[],11,FALSE),0)</f>
        <v>0</v>
      </c>
      <c r="M92" s="165" t="s">
        <v>106</v>
      </c>
      <c r="N92" s="160" t="str">
        <f>IFERROR(VLOOKUP(tordrup[[#This Row],[setting]],lmic_raw[],4,FALSE),0)</f>
        <v>AFRO</v>
      </c>
      <c r="O92" s="167">
        <f>IFERROR(VLOOKUP(tordrup[[#This Row],[setting]],lmic_raw[],11,FALSE),0)</f>
        <v>0</v>
      </c>
      <c r="P92" s="168">
        <f>IFERROR(VLOOKUP(tordrup[[#This Row],[setting]],lmic_raw[],9,FALSE),0)</f>
        <v>1519650.5161349999</v>
      </c>
      <c r="Q92" s="126">
        <v>24.531536330586061</v>
      </c>
      <c r="R92" s="126">
        <v>53.751536330586063</v>
      </c>
      <c r="S92" s="126">
        <v>57.135639911555117</v>
      </c>
      <c r="T92" s="126">
        <v>56.571622648060284</v>
      </c>
      <c r="U92" s="126"/>
      <c r="V92" s="126"/>
      <c r="AD92" s="33" t="s">
        <v>181</v>
      </c>
      <c r="AE92" s="33">
        <v>0.03</v>
      </c>
    </row>
    <row r="93" spans="1:31" x14ac:dyDescent="0.25">
      <c r="A93" s="138" t="s">
        <v>288</v>
      </c>
      <c r="B93">
        <v>6.0528125746786392</v>
      </c>
      <c r="C93" s="33" t="str">
        <f>IFERROR(VLOOKUP($A93,lmic_raw[],4,FALSE),0)</f>
        <v>WPRO</v>
      </c>
      <c r="D93" s="33">
        <f>IFERROR(VLOOKUP($A93,lmic_raw[],10,FALSE),0)</f>
        <v>0.86099999999999999</v>
      </c>
      <c r="E93" s="33">
        <f>IFERROR(VLOOKUP($A93,lmic_raw[],11,FALSE),0)</f>
        <v>0.99</v>
      </c>
      <c r="M93" s="166" t="s">
        <v>288</v>
      </c>
      <c r="N93" s="161" t="str">
        <f>IFERROR(VLOOKUP(tordrup[[#This Row],[setting]],lmic_raw[],4,FALSE),0)</f>
        <v>WPRO</v>
      </c>
      <c r="O93" s="167">
        <f>IFERROR(VLOOKUP(tordrup[[#This Row],[setting]],lmic_raw[],11,FALSE),0)</f>
        <v>0.99</v>
      </c>
      <c r="P93" s="168">
        <f>IFERROR(VLOOKUP(tordrup[[#This Row],[setting]],lmic_raw[],9,FALSE),0)</f>
        <v>3301.6093840000003</v>
      </c>
      <c r="Q93" s="126">
        <v>27.439453619227407</v>
      </c>
      <c r="R93" s="126">
        <v>56.659453619227406</v>
      </c>
      <c r="S93" s="126">
        <v>69.075666989218078</v>
      </c>
      <c r="T93" s="126">
        <v>67.00629809421963</v>
      </c>
      <c r="U93" s="126"/>
      <c r="V93" s="126"/>
      <c r="AD93" s="33" t="s">
        <v>182</v>
      </c>
      <c r="AE93" s="33">
        <v>0.01</v>
      </c>
    </row>
    <row r="94" spans="1:31" x14ac:dyDescent="0.25">
      <c r="A94" s="137" t="s">
        <v>173</v>
      </c>
      <c r="C94" s="33">
        <f>IFERROR(VLOOKUP($A94,lmic_raw[],4,FALSE),0)</f>
        <v>0</v>
      </c>
      <c r="D94" s="33">
        <f>IFERROR(VLOOKUP($A94,lmic_raw[],10,FALSE),0)</f>
        <v>0</v>
      </c>
      <c r="E94" s="33">
        <f>IFERROR(VLOOKUP($A94,lmic_raw[],11,FALSE),0)</f>
        <v>0</v>
      </c>
      <c r="M94" s="165" t="s">
        <v>173</v>
      </c>
      <c r="N94" s="160">
        <f>IFERROR(VLOOKUP(tordrup[[#This Row],[setting]],lmic_raw[],4,FALSE),0)</f>
        <v>0</v>
      </c>
      <c r="O94" s="167">
        <f>IFERROR(VLOOKUP(tordrup[[#This Row],[setting]],lmic_raw[],11,FALSE),0)</f>
        <v>0</v>
      </c>
      <c r="P94" s="168">
        <f>IFERROR(VLOOKUP(tordrup[[#This Row],[setting]],lmic_raw[],9,FALSE),0)</f>
        <v>0</v>
      </c>
      <c r="Q94" s="126"/>
      <c r="R94" s="126"/>
      <c r="S94" s="126"/>
      <c r="T94" s="126"/>
      <c r="U94" s="126"/>
      <c r="V94" s="126"/>
      <c r="AD94" s="33" t="s">
        <v>360</v>
      </c>
      <c r="AE94" s="33">
        <v>0.57999999999999996</v>
      </c>
    </row>
    <row r="95" spans="1:31" x14ac:dyDescent="0.25">
      <c r="A95" s="138" t="s">
        <v>186</v>
      </c>
      <c r="B95">
        <v>3.2873238879299294</v>
      </c>
      <c r="C95" s="33" t="str">
        <f>IFERROR(VLOOKUP($A95,lmic_raw[],4,FALSE),0)</f>
        <v>EURO</v>
      </c>
      <c r="D95" s="33">
        <f>IFERROR(VLOOKUP($A95,lmic_raw[],10,FALSE),0)</f>
        <v>0.996</v>
      </c>
      <c r="E95" s="33">
        <f>IFERROR(VLOOKUP($A95,lmic_raw[],11,FALSE),0)</f>
        <v>0.96</v>
      </c>
      <c r="M95" s="166" t="s">
        <v>186</v>
      </c>
      <c r="N95" s="161" t="str">
        <f>IFERROR(VLOOKUP(tordrup[[#This Row],[setting]],lmic_raw[],4,FALSE),0)</f>
        <v>EURO</v>
      </c>
      <c r="O95" s="167">
        <f>IFERROR(VLOOKUP(tordrup[[#This Row],[setting]],lmic_raw[],11,FALSE),0)</f>
        <v>0.96</v>
      </c>
      <c r="P95" s="168">
        <f>IFERROR(VLOOKUP(tordrup[[#This Row],[setting]],lmic_raw[],9,FALSE),0)</f>
        <v>159190.09501200001</v>
      </c>
      <c r="Q95" s="126">
        <v>24.673964932478697</v>
      </c>
      <c r="R95" s="126">
        <v>53.893964932478696</v>
      </c>
      <c r="S95" s="126">
        <v>58.210263712835072</v>
      </c>
      <c r="T95" s="126">
        <v>57.490880582775674</v>
      </c>
      <c r="U95" s="126"/>
      <c r="V95" s="126"/>
      <c r="AD95" s="33" t="s">
        <v>625</v>
      </c>
      <c r="AE95" s="33">
        <v>0.35</v>
      </c>
    </row>
    <row r="96" spans="1:31" x14ac:dyDescent="0.25">
      <c r="A96" s="137" t="s">
        <v>628</v>
      </c>
      <c r="C96" s="33" t="str">
        <f>IFERROR(VLOOKUP($A96,lmic_raw[],4,FALSE),0)</f>
        <v>WPRO</v>
      </c>
      <c r="D96" s="33">
        <f>IFERROR(VLOOKUP($A96,lmic_raw[],10,FALSE),0)</f>
        <v>0.64500000000000002</v>
      </c>
      <c r="E96" s="33">
        <f>IFERROR(VLOOKUP($A96,lmic_raw[],11,FALSE),0)</f>
        <v>0.55000000000000004</v>
      </c>
      <c r="M96" s="165" t="s">
        <v>628</v>
      </c>
      <c r="N96" s="160" t="str">
        <f>IFERROR(VLOOKUP(tordrup[[#This Row],[setting]],lmic_raw[],4,FALSE),0)</f>
        <v>WPRO</v>
      </c>
      <c r="O96" s="167">
        <f>IFERROR(VLOOKUP(tordrup[[#This Row],[setting]],lmic_raw[],11,FALSE),0)</f>
        <v>0.55000000000000004</v>
      </c>
      <c r="P96" s="168">
        <f>IFERROR(VLOOKUP(tordrup[[#This Row],[setting]],lmic_raw[],9,FALSE),0)</f>
        <v>170833.79756800001</v>
      </c>
      <c r="Q96" s="126"/>
      <c r="R96" s="126"/>
      <c r="S96" s="126"/>
      <c r="T96" s="126"/>
      <c r="U96" s="126"/>
      <c r="V96" s="126"/>
      <c r="AD96" s="33" t="s">
        <v>281</v>
      </c>
      <c r="AE96" s="33">
        <v>0.02</v>
      </c>
    </row>
    <row r="97" spans="1:31" x14ac:dyDescent="0.25">
      <c r="A97" s="138" t="s">
        <v>326</v>
      </c>
      <c r="C97" s="33">
        <f>IFERROR(VLOOKUP($A97,lmic_raw[],4,FALSE),0)</f>
        <v>0</v>
      </c>
      <c r="D97" s="33">
        <f>IFERROR(VLOOKUP($A97,lmic_raw[],10,FALSE),0)</f>
        <v>0</v>
      </c>
      <c r="E97" s="33">
        <f>IFERROR(VLOOKUP($A97,lmic_raw[],11,FALSE),0)</f>
        <v>0</v>
      </c>
      <c r="M97" s="166" t="s">
        <v>326</v>
      </c>
      <c r="N97" s="161">
        <f>IFERROR(VLOOKUP(tordrup[[#This Row],[setting]],lmic_raw[],4,FALSE),0)</f>
        <v>0</v>
      </c>
      <c r="O97" s="167">
        <f>IFERROR(VLOOKUP(tordrup[[#This Row],[setting]],lmic_raw[],11,FALSE),0)</f>
        <v>0</v>
      </c>
      <c r="P97" s="168">
        <f>IFERROR(VLOOKUP(tordrup[[#This Row],[setting]],lmic_raw[],9,FALSE),0)</f>
        <v>0</v>
      </c>
      <c r="Q97" s="126"/>
      <c r="R97" s="126"/>
      <c r="S97" s="126"/>
      <c r="T97" s="126"/>
      <c r="U97" s="126"/>
      <c r="V97" s="126"/>
      <c r="AD97" s="33" t="s">
        <v>288</v>
      </c>
      <c r="AE97" s="33">
        <v>0.01</v>
      </c>
    </row>
    <row r="98" spans="1:31" x14ac:dyDescent="0.25">
      <c r="A98" s="137" t="s">
        <v>174</v>
      </c>
      <c r="B98">
        <v>13.7083499264079</v>
      </c>
      <c r="C98" s="33" t="str">
        <f>IFERROR(VLOOKUP($A98,lmic_raw[],4,FALSE),0)</f>
        <v>EMRO</v>
      </c>
      <c r="D98" s="33">
        <f>IFERROR(VLOOKUP($A98,lmic_raw[],10,FALSE),0)</f>
        <v>0.99900000000000011</v>
      </c>
      <c r="E98" s="33">
        <f>IFERROR(VLOOKUP($A98,lmic_raw[],11,FALSE),0)</f>
        <v>0.8</v>
      </c>
      <c r="M98" s="165" t="s">
        <v>174</v>
      </c>
      <c r="N98" s="160" t="str">
        <f>IFERROR(VLOOKUP(tordrup[[#This Row],[setting]],lmic_raw[],4,FALSE),0)</f>
        <v>EMRO</v>
      </c>
      <c r="O98" s="167">
        <f>IFERROR(VLOOKUP(tordrup[[#This Row],[setting]],lmic_raw[],11,FALSE),0)</f>
        <v>0.8</v>
      </c>
      <c r="P98" s="168">
        <f>IFERROR(VLOOKUP(tordrup[[#This Row],[setting]],lmic_raw[],9,FALSE),0)</f>
        <v>120441.09571200001</v>
      </c>
      <c r="Q98" s="126">
        <v>35.094990970956665</v>
      </c>
      <c r="R98" s="126">
        <v>64.314990970956671</v>
      </c>
      <c r="S98" s="126">
        <v>132.21640263725263</v>
      </c>
      <c r="T98" s="126">
        <v>120.89950069286996</v>
      </c>
      <c r="U98" s="126"/>
      <c r="V98" s="126"/>
      <c r="AD98" s="33" t="s">
        <v>283</v>
      </c>
      <c r="AE98" s="33">
        <v>0.8</v>
      </c>
    </row>
    <row r="99" spans="1:31" x14ac:dyDescent="0.25">
      <c r="A99" s="138" t="s">
        <v>134</v>
      </c>
      <c r="B99">
        <v>3.6433953926615228</v>
      </c>
      <c r="C99" s="33" t="str">
        <f>IFERROR(VLOOKUP($A99,lmic_raw[],4,FALSE),0)</f>
        <v>AFRO</v>
      </c>
      <c r="D99" s="33">
        <f>IFERROR(VLOOKUP($A99,lmic_raw[],10,FALSE),0)</f>
        <v>0.89400000000000002</v>
      </c>
      <c r="E99" s="33">
        <f>IFERROR(VLOOKUP($A99,lmic_raw[],11,FALSE),0)</f>
        <v>0</v>
      </c>
      <c r="M99" s="166" t="s">
        <v>134</v>
      </c>
      <c r="N99" s="161" t="str">
        <f>IFERROR(VLOOKUP(tordrup[[#This Row],[setting]],lmic_raw[],4,FALSE),0)</f>
        <v>AFRO</v>
      </c>
      <c r="O99" s="167">
        <f>IFERROR(VLOOKUP(tordrup[[#This Row],[setting]],lmic_raw[],11,FALSE),0)</f>
        <v>0</v>
      </c>
      <c r="P99" s="168">
        <f>IFERROR(VLOOKUP(tordrup[[#This Row],[setting]],lmic_raw[],9,FALSE),0)</f>
        <v>57454.468077999991</v>
      </c>
      <c r="Q99" s="126">
        <v>25.030036437210292</v>
      </c>
      <c r="R99" s="126">
        <v>54.250036437210291</v>
      </c>
      <c r="S99" s="126">
        <v>59.067683896228743</v>
      </c>
      <c r="T99" s="126">
        <v>58.264742653059002</v>
      </c>
      <c r="U99" s="126"/>
      <c r="V99" s="126"/>
      <c r="AD99" s="33" t="s">
        <v>122</v>
      </c>
      <c r="AE99" s="33">
        <v>0.01</v>
      </c>
    </row>
    <row r="100" spans="1:31" x14ac:dyDescent="0.25">
      <c r="A100" s="137" t="s">
        <v>146</v>
      </c>
      <c r="B100">
        <v>2.4564903768895445</v>
      </c>
      <c r="C100" s="33" t="str">
        <f>IFERROR(VLOOKUP($A100,lmic_raw[],4,FALSE),0)</f>
        <v>AFRO</v>
      </c>
      <c r="D100" s="33">
        <f>IFERROR(VLOOKUP($A100,lmic_raw[],10,FALSE),0)</f>
        <v>0.79799999999999993</v>
      </c>
      <c r="E100" s="33">
        <f>IFERROR(VLOOKUP($A100,lmic_raw[],11,FALSE),0)</f>
        <v>0</v>
      </c>
      <c r="M100" s="165" t="s">
        <v>146</v>
      </c>
      <c r="N100" s="160" t="str">
        <f>IFERROR(VLOOKUP(tordrup[[#This Row],[setting]],lmic_raw[],4,FALSE),0)</f>
        <v>AFRO</v>
      </c>
      <c r="O100" s="167">
        <f>IFERROR(VLOOKUP(tordrup[[#This Row],[setting]],lmic_raw[],11,FALSE),0)</f>
        <v>0</v>
      </c>
      <c r="P100" s="168">
        <f>IFERROR(VLOOKUP(tordrup[[#This Row],[setting]],lmic_raw[],9,FALSE),0)</f>
        <v>164024.50165399996</v>
      </c>
      <c r="Q100" s="126">
        <v>23.843131421438311</v>
      </c>
      <c r="R100" s="126">
        <v>53.063131421438314</v>
      </c>
      <c r="S100" s="126">
        <v>54.073662351866574</v>
      </c>
      <c r="T100" s="126">
        <v>53.90524053012853</v>
      </c>
      <c r="U100" s="126"/>
      <c r="V100" s="126"/>
      <c r="AD100" s="33" t="s">
        <v>124</v>
      </c>
      <c r="AE100" s="33">
        <v>0.01</v>
      </c>
    </row>
    <row r="101" spans="1:31" x14ac:dyDescent="0.25">
      <c r="A101" s="138" t="s">
        <v>159</v>
      </c>
      <c r="B101">
        <v>12.972468816629274</v>
      </c>
      <c r="C101" s="33" t="str">
        <f>IFERROR(VLOOKUP($A101,lmic_raw[],4,FALSE),0)</f>
        <v>EMRO</v>
      </c>
      <c r="D101" s="33">
        <f>IFERROR(VLOOKUP($A101,lmic_raw[],10,FALSE),0)</f>
        <v>0.99900000000000011</v>
      </c>
      <c r="E101" s="33">
        <f>IFERROR(VLOOKUP($A101,lmic_raw[],11,FALSE),0)</f>
        <v>0</v>
      </c>
      <c r="M101" s="166" t="s">
        <v>159</v>
      </c>
      <c r="N101" s="161" t="str">
        <f>IFERROR(VLOOKUP(tordrup[[#This Row],[setting]],lmic_raw[],4,FALSE),0)</f>
        <v>EMRO</v>
      </c>
      <c r="O101" s="167">
        <f>IFERROR(VLOOKUP(tordrup[[#This Row],[setting]],lmic_raw[],11,FALSE),0)</f>
        <v>0</v>
      </c>
      <c r="P101" s="168">
        <f>IFERROR(VLOOKUP(tordrup[[#This Row],[setting]],lmic_raw[],9,FALSE),0)</f>
        <v>128805.494265</v>
      </c>
      <c r="Q101" s="126">
        <v>34.359109861178041</v>
      </c>
      <c r="R101" s="126">
        <v>63.57910986117804</v>
      </c>
      <c r="S101" s="126">
        <v>133.02373542898073</v>
      </c>
      <c r="T101" s="126">
        <v>121.44963116768029</v>
      </c>
      <c r="U101" s="126"/>
      <c r="V101" s="126"/>
      <c r="AD101" s="33" t="s">
        <v>129</v>
      </c>
      <c r="AE101" s="33">
        <v>0.02</v>
      </c>
    </row>
    <row r="102" spans="1:31" x14ac:dyDescent="0.25">
      <c r="A102" s="137" t="s">
        <v>327</v>
      </c>
      <c r="C102" s="33">
        <f>IFERROR(VLOOKUP($A102,lmic_raw[],4,FALSE),0)</f>
        <v>0</v>
      </c>
      <c r="D102" s="33">
        <f>IFERROR(VLOOKUP($A102,lmic_raw[],10,FALSE),0)</f>
        <v>0</v>
      </c>
      <c r="E102" s="33">
        <f>IFERROR(VLOOKUP($A102,lmic_raw[],11,FALSE),0)</f>
        <v>0</v>
      </c>
      <c r="M102" s="165" t="s">
        <v>327</v>
      </c>
      <c r="N102" s="160">
        <f>IFERROR(VLOOKUP(tordrup[[#This Row],[setting]],lmic_raw[],4,FALSE),0)</f>
        <v>0</v>
      </c>
      <c r="O102" s="167">
        <f>IFERROR(VLOOKUP(tordrup[[#This Row],[setting]],lmic_raw[],11,FALSE),0)</f>
        <v>0</v>
      </c>
      <c r="P102" s="168">
        <f>IFERROR(VLOOKUP(tordrup[[#This Row],[setting]],lmic_raw[],9,FALSE),0)</f>
        <v>0</v>
      </c>
      <c r="Q102" s="126"/>
      <c r="R102" s="126"/>
      <c r="S102" s="126"/>
      <c r="T102" s="126"/>
      <c r="U102" s="126"/>
      <c r="V102" s="126"/>
      <c r="AD102" s="33" t="s">
        <v>101</v>
      </c>
      <c r="AE102" s="33">
        <v>0.03</v>
      </c>
    </row>
    <row r="103" spans="1:31" x14ac:dyDescent="0.25">
      <c r="A103" s="138" t="s">
        <v>354</v>
      </c>
      <c r="B103">
        <v>131.59175609288081</v>
      </c>
      <c r="C103" s="33">
        <f>IFERROR(VLOOKUP($A103,lmic_raw[],4,FALSE),0)</f>
        <v>0</v>
      </c>
      <c r="D103" s="33">
        <f>IFERROR(VLOOKUP($A103,lmic_raw[],10,FALSE),0)</f>
        <v>0</v>
      </c>
      <c r="E103" s="33">
        <f>IFERROR(VLOOKUP($A103,lmic_raw[],11,FALSE),0)</f>
        <v>0</v>
      </c>
      <c r="M103" s="166" t="s">
        <v>354</v>
      </c>
      <c r="N103" s="161">
        <f>IFERROR(VLOOKUP(tordrup[[#This Row],[setting]],lmic_raw[],4,FALSE),0)</f>
        <v>0</v>
      </c>
      <c r="O103" s="167">
        <f>IFERROR(VLOOKUP(tordrup[[#This Row],[setting]],lmic_raw[],11,FALSE),0)</f>
        <v>0</v>
      </c>
      <c r="P103" s="168">
        <f>IFERROR(VLOOKUP(tordrup[[#This Row],[setting]],lmic_raw[],9,FALSE),0)</f>
        <v>0</v>
      </c>
      <c r="Q103" s="126">
        <v>152.97839713742957</v>
      </c>
      <c r="R103" s="126">
        <v>182.19839713742957</v>
      </c>
      <c r="S103" s="126">
        <v>1600.733149119379</v>
      </c>
      <c r="T103" s="126">
        <v>1364.3106904557208</v>
      </c>
      <c r="U103" s="126"/>
      <c r="V103" s="126"/>
      <c r="AD103" s="33" t="s">
        <v>105</v>
      </c>
      <c r="AE103" s="33">
        <v>0.1</v>
      </c>
    </row>
    <row r="104" spans="1:31" x14ac:dyDescent="0.25">
      <c r="A104" s="137" t="s">
        <v>107</v>
      </c>
      <c r="B104">
        <v>2.4446213267318244</v>
      </c>
      <c r="C104" s="33" t="str">
        <f>IFERROR(VLOOKUP($A104,lmic_raw[],4,FALSE),0)</f>
        <v>AFRO</v>
      </c>
      <c r="D104" s="33">
        <f>IFERROR(VLOOKUP($A104,lmic_raw[],10,FALSE),0)</f>
        <v>0.38700000000000001</v>
      </c>
      <c r="E104" s="33">
        <f>IFERROR(VLOOKUP($A104,lmic_raw[],11,FALSE),0)</f>
        <v>0</v>
      </c>
      <c r="M104" s="165" t="s">
        <v>107</v>
      </c>
      <c r="N104" s="160" t="str">
        <f>IFERROR(VLOOKUP(tordrup[[#This Row],[setting]],lmic_raw[],4,FALSE),0)</f>
        <v>AFRO</v>
      </c>
      <c r="O104" s="167">
        <f>IFERROR(VLOOKUP(tordrup[[#This Row],[setting]],lmic_raw[],11,FALSE),0)</f>
        <v>0</v>
      </c>
      <c r="P104" s="168">
        <f>IFERROR(VLOOKUP(tordrup[[#This Row],[setting]],lmic_raw[],9,FALSE),0)</f>
        <v>885024.74569600006</v>
      </c>
      <c r="Q104" s="126">
        <v>23.831262371280591</v>
      </c>
      <c r="R104" s="126">
        <v>53.051262371280586</v>
      </c>
      <c r="S104" s="126">
        <v>54.335968360352183</v>
      </c>
      <c r="T104" s="126">
        <v>54.121850695506915</v>
      </c>
      <c r="U104" s="126"/>
      <c r="V104" s="126"/>
      <c r="AD104" s="33" t="s">
        <v>106</v>
      </c>
      <c r="AE104" s="33">
        <v>0.01</v>
      </c>
    </row>
    <row r="105" spans="1:31" x14ac:dyDescent="0.25">
      <c r="A105" s="138" t="s">
        <v>108</v>
      </c>
      <c r="B105">
        <v>2.7888237813056982</v>
      </c>
      <c r="C105" s="33" t="str">
        <f>IFERROR(VLOOKUP($A105,lmic_raw[],4,FALSE),0)</f>
        <v>AFRO</v>
      </c>
      <c r="D105" s="33">
        <f>IFERROR(VLOOKUP($A105,lmic_raw[],10,FALSE),0)</f>
        <v>0.91400000000000003</v>
      </c>
      <c r="E105" s="33">
        <f>IFERROR(VLOOKUP($A105,lmic_raw[],11,FALSE),0)</f>
        <v>0</v>
      </c>
      <c r="M105" s="166" t="s">
        <v>108</v>
      </c>
      <c r="N105" s="161" t="str">
        <f>IFERROR(VLOOKUP(tordrup[[#This Row],[setting]],lmic_raw[],4,FALSE),0)</f>
        <v>AFRO</v>
      </c>
      <c r="O105" s="167">
        <f>IFERROR(VLOOKUP(tordrup[[#This Row],[setting]],lmic_raw[],11,FALSE),0)</f>
        <v>0</v>
      </c>
      <c r="P105" s="168">
        <f>IFERROR(VLOOKUP(tordrup[[#This Row],[setting]],lmic_raw[],9,FALSE),0)</f>
        <v>638127.7969950001</v>
      </c>
      <c r="Q105" s="126">
        <v>24.175464825854466</v>
      </c>
      <c r="R105" s="126">
        <v>53.395464825854461</v>
      </c>
      <c r="S105" s="126">
        <v>55.291189517045467</v>
      </c>
      <c r="T105" s="126">
        <v>54.975235401846973</v>
      </c>
      <c r="U105" s="126"/>
      <c r="V105" s="126"/>
      <c r="AD105" s="33" t="s">
        <v>107</v>
      </c>
      <c r="AE105" s="33">
        <v>0.01</v>
      </c>
    </row>
    <row r="106" spans="1:31" x14ac:dyDescent="0.25">
      <c r="A106" s="137" t="s">
        <v>215</v>
      </c>
      <c r="B106">
        <v>12.272194857323807</v>
      </c>
      <c r="C106" s="33" t="str">
        <f>IFERROR(VLOOKUP($A106,lmic_raw[],4,FALSE),0)</f>
        <v>WPRO</v>
      </c>
      <c r="D106" s="33">
        <f>IFERROR(VLOOKUP($A106,lmic_raw[],10,FALSE),0)</f>
        <v>0.9890000000000001</v>
      </c>
      <c r="E106" s="33">
        <f>IFERROR(VLOOKUP($A106,lmic_raw[],11,FALSE),0)</f>
        <v>0.99</v>
      </c>
      <c r="M106" s="165" t="s">
        <v>215</v>
      </c>
      <c r="N106" s="160" t="str">
        <f>IFERROR(VLOOKUP(tordrup[[#This Row],[setting]],lmic_raw[],4,FALSE),0)</f>
        <v>WPRO</v>
      </c>
      <c r="O106" s="167">
        <f>IFERROR(VLOOKUP(tordrup[[#This Row],[setting]],lmic_raw[],11,FALSE),0)</f>
        <v>0.99</v>
      </c>
      <c r="P106" s="168">
        <f>IFERROR(VLOOKUP(tordrup[[#This Row],[setting]],lmic_raw[],9,FALSE),0)</f>
        <v>537906.64760399994</v>
      </c>
      <c r="Q106" s="126">
        <v>33.658835901872578</v>
      </c>
      <c r="R106" s="126">
        <v>62.878835901872577</v>
      </c>
      <c r="S106" s="126">
        <v>125.132241360116</v>
      </c>
      <c r="T106" s="126">
        <v>114.7566737837421</v>
      </c>
      <c r="U106" s="126"/>
      <c r="V106" s="126"/>
      <c r="AD106" s="33" t="s">
        <v>108</v>
      </c>
      <c r="AE106" s="33">
        <v>0.01</v>
      </c>
    </row>
    <row r="107" spans="1:31" x14ac:dyDescent="0.25">
      <c r="A107" s="138" t="s">
        <v>196</v>
      </c>
      <c r="C107" s="33" t="str">
        <f>IFERROR(VLOOKUP($A107,lmic_raw[],4,FALSE),0)</f>
        <v>SEARO</v>
      </c>
      <c r="D107" s="33">
        <f>IFERROR(VLOOKUP($A107,lmic_raw[],10,FALSE),0)</f>
        <v>0.94499999999999995</v>
      </c>
      <c r="E107" s="33">
        <f>IFERROR(VLOOKUP($A107,lmic_raw[],11,FALSE),0)</f>
        <v>0.99</v>
      </c>
      <c r="M107" s="166" t="s">
        <v>196</v>
      </c>
      <c r="N107" s="161" t="str">
        <f>IFERROR(VLOOKUP(tordrup[[#This Row],[setting]],lmic_raw[],4,FALSE),0)</f>
        <v>SEARO</v>
      </c>
      <c r="O107" s="167">
        <f>IFERROR(VLOOKUP(tordrup[[#This Row],[setting]],lmic_raw[],11,FALSE),0)</f>
        <v>0.99</v>
      </c>
      <c r="P107" s="168">
        <f>IFERROR(VLOOKUP(tordrup[[#This Row],[setting]],lmic_raw[],9,FALSE),0)</f>
        <v>7646.3117569999995</v>
      </c>
      <c r="Q107" s="126"/>
      <c r="R107" s="126"/>
      <c r="S107" s="126"/>
      <c r="T107" s="126"/>
      <c r="U107" s="126"/>
      <c r="V107" s="126"/>
      <c r="AD107" s="33" t="s">
        <v>111</v>
      </c>
      <c r="AE107" s="33">
        <v>0.01</v>
      </c>
    </row>
    <row r="108" spans="1:31" x14ac:dyDescent="0.25">
      <c r="A108" s="137" t="s">
        <v>147</v>
      </c>
      <c r="B108">
        <v>2.9075142828828962</v>
      </c>
      <c r="C108" s="33" t="str">
        <f>IFERROR(VLOOKUP($A108,lmic_raw[],4,FALSE),0)</f>
        <v>AFRO</v>
      </c>
      <c r="D108" s="33">
        <f>IFERROR(VLOOKUP($A108,lmic_raw[],10,FALSE),0)</f>
        <v>0.66799999999999993</v>
      </c>
      <c r="E108" s="33">
        <f>IFERROR(VLOOKUP($A108,lmic_raw[],11,FALSE),0)</f>
        <v>0</v>
      </c>
      <c r="M108" s="165" t="s">
        <v>147</v>
      </c>
      <c r="N108" s="160" t="str">
        <f>IFERROR(VLOOKUP(tordrup[[#This Row],[setting]],lmic_raw[],4,FALSE),0)</f>
        <v>AFRO</v>
      </c>
      <c r="O108" s="167">
        <f>IFERROR(VLOOKUP(tordrup[[#This Row],[setting]],lmic_raw[],11,FALSE),0)</f>
        <v>0</v>
      </c>
      <c r="P108" s="168">
        <f>IFERROR(VLOOKUP(tordrup[[#This Row],[setting]],lmic_raw[],9,FALSE),0)</f>
        <v>821469.46512399998</v>
      </c>
      <c r="Q108" s="126">
        <v>24.294155327431664</v>
      </c>
      <c r="R108" s="126">
        <v>53.514155327431666</v>
      </c>
      <c r="S108" s="126">
        <v>55.981730855221599</v>
      </c>
      <c r="T108" s="126">
        <v>55.570468267256615</v>
      </c>
      <c r="U108" s="126"/>
      <c r="V108" s="126"/>
      <c r="AD108" s="33" t="s">
        <v>113</v>
      </c>
      <c r="AE108" s="33">
        <v>0.01</v>
      </c>
    </row>
    <row r="109" spans="1:31" x14ac:dyDescent="0.25">
      <c r="A109" s="138" t="s">
        <v>340</v>
      </c>
      <c r="B109">
        <v>31.013425056363346</v>
      </c>
      <c r="C109" s="33">
        <f>IFERROR(VLOOKUP($A109,lmic_raw[],4,FALSE),0)</f>
        <v>0</v>
      </c>
      <c r="D109" s="33">
        <f>IFERROR(VLOOKUP($A109,lmic_raw[],10,FALSE),0)</f>
        <v>0</v>
      </c>
      <c r="E109" s="33">
        <f>IFERROR(VLOOKUP($A109,lmic_raw[],11,FALSE),0)</f>
        <v>0</v>
      </c>
      <c r="M109" s="166" t="s">
        <v>340</v>
      </c>
      <c r="N109" s="161">
        <f>IFERROR(VLOOKUP(tordrup[[#This Row],[setting]],lmic_raw[],4,FALSE),0)</f>
        <v>0</v>
      </c>
      <c r="O109" s="167">
        <f>IFERROR(VLOOKUP(tordrup[[#This Row],[setting]],lmic_raw[],11,FALSE),0)</f>
        <v>0</v>
      </c>
      <c r="P109" s="168">
        <f>IFERROR(VLOOKUP(tordrup[[#This Row],[setting]],lmic_raw[],9,FALSE),0)</f>
        <v>0</v>
      </c>
      <c r="Q109" s="126">
        <v>52.400066100912113</v>
      </c>
      <c r="R109" s="126">
        <v>81.620066100912112</v>
      </c>
      <c r="S109" s="126">
        <v>295.5314468544359</v>
      </c>
      <c r="T109" s="126">
        <v>259.87955006218192</v>
      </c>
      <c r="U109" s="126"/>
      <c r="V109" s="126"/>
      <c r="AD109" s="33" t="s">
        <v>649</v>
      </c>
      <c r="AE109" s="33">
        <v>0.05</v>
      </c>
    </row>
    <row r="110" spans="1:31" x14ac:dyDescent="0.25">
      <c r="A110" s="137" t="s">
        <v>682</v>
      </c>
      <c r="B110">
        <v>6.3376697784639138</v>
      </c>
      <c r="C110" s="33" t="str">
        <f>IFERROR(VLOOKUP($A110,lmic_raw[],4,FALSE),0)</f>
        <v>WPRO</v>
      </c>
      <c r="D110" s="33">
        <f>IFERROR(VLOOKUP($A110,lmic_raw[],10,FALSE),0)</f>
        <v>0.85099999999999998</v>
      </c>
      <c r="E110" s="33">
        <f>IFERROR(VLOOKUP($A110,lmic_raw[],11,FALSE),0)</f>
        <v>0.98</v>
      </c>
      <c r="M110" s="165" t="s">
        <v>682</v>
      </c>
      <c r="N110" s="160" t="str">
        <f>IFERROR(VLOOKUP(tordrup[[#This Row],[setting]],lmic_raw[],4,FALSE),0)</f>
        <v>WPRO</v>
      </c>
      <c r="O110" s="167">
        <f>IFERROR(VLOOKUP(tordrup[[#This Row],[setting]],lmic_raw[],11,FALSE),0)</f>
        <v>0.98</v>
      </c>
      <c r="P110" s="168">
        <f>IFERROR(VLOOKUP(tordrup[[#This Row],[setting]],lmic_raw[],9,FALSE),0)</f>
        <v>1706.70273</v>
      </c>
      <c r="Q110" s="126">
        <v>27.724310823012679</v>
      </c>
      <c r="R110" s="126">
        <v>56.944310823012678</v>
      </c>
      <c r="S110" s="126">
        <v>70.418056562056179</v>
      </c>
      <c r="T110" s="126">
        <v>68.172432272215602</v>
      </c>
      <c r="U110" s="126"/>
      <c r="V110" s="126"/>
      <c r="AD110" s="33" t="s">
        <v>609</v>
      </c>
      <c r="AE110" s="33">
        <v>0.01</v>
      </c>
    </row>
    <row r="111" spans="1:31" x14ac:dyDescent="0.25">
      <c r="A111" s="138" t="s">
        <v>148</v>
      </c>
      <c r="B111">
        <v>3.4890977406111654</v>
      </c>
      <c r="C111" s="33" t="str">
        <f>IFERROR(VLOOKUP($A111,lmic_raw[],4,FALSE),0)</f>
        <v>AFRO</v>
      </c>
      <c r="D111" s="33">
        <f>IFERROR(VLOOKUP($A111,lmic_raw[],10,FALSE),0)</f>
        <v>0.69299999999999995</v>
      </c>
      <c r="E111" s="33">
        <f>IFERROR(VLOOKUP($A111,lmic_raw[],11,FALSE),0)</f>
        <v>0</v>
      </c>
      <c r="M111" s="166" t="s">
        <v>148</v>
      </c>
      <c r="N111" s="161" t="str">
        <f>IFERROR(VLOOKUP(tordrup[[#This Row],[setting]],lmic_raw[],4,FALSE),0)</f>
        <v>AFRO</v>
      </c>
      <c r="O111" s="167">
        <f>IFERROR(VLOOKUP(tordrup[[#This Row],[setting]],lmic_raw[],11,FALSE),0)</f>
        <v>0</v>
      </c>
      <c r="P111" s="168">
        <f>IFERROR(VLOOKUP(tordrup[[#This Row],[setting]],lmic_raw[],9,FALSE),0)</f>
        <v>153294.442656</v>
      </c>
      <c r="Q111" s="126">
        <v>24.875738785159932</v>
      </c>
      <c r="R111" s="126">
        <v>54.095738785159931</v>
      </c>
      <c r="S111" s="126">
        <v>58.921219817282491</v>
      </c>
      <c r="T111" s="126">
        <v>58.116972978595399</v>
      </c>
      <c r="U111" s="126"/>
      <c r="V111" s="126"/>
      <c r="AD111" s="33" t="s">
        <v>117</v>
      </c>
      <c r="AE111" s="33">
        <v>0.06</v>
      </c>
    </row>
    <row r="112" spans="1:31" x14ac:dyDescent="0.25">
      <c r="A112" s="137" t="s">
        <v>109</v>
      </c>
      <c r="C112" s="33" t="str">
        <f>IFERROR(VLOOKUP($A112,lmic_raw[],4,FALSE),0)</f>
        <v>AFRO</v>
      </c>
      <c r="D112" s="33">
        <f>IFERROR(VLOOKUP($A112,lmic_raw[],10,FALSE),0)</f>
        <v>0.9840000000000001</v>
      </c>
      <c r="E112" s="33">
        <f>IFERROR(VLOOKUP($A112,lmic_raw[],11,FALSE),0)</f>
        <v>0</v>
      </c>
      <c r="M112" s="165" t="s">
        <v>109</v>
      </c>
      <c r="N112" s="160" t="str">
        <f>IFERROR(VLOOKUP(tordrup[[#This Row],[setting]],lmic_raw[],4,FALSE),0)</f>
        <v>AFRO</v>
      </c>
      <c r="O112" s="167">
        <f>IFERROR(VLOOKUP(tordrup[[#This Row],[setting]],lmic_raw[],11,FALSE),0)</f>
        <v>0</v>
      </c>
      <c r="P112" s="168">
        <f>IFERROR(VLOOKUP(tordrup[[#This Row],[setting]],lmic_raw[],9,FALSE),0)</f>
        <v>13006.49948</v>
      </c>
      <c r="Q112" s="126"/>
      <c r="R112" s="126"/>
      <c r="S112" s="126"/>
      <c r="T112" s="126"/>
      <c r="U112" s="126"/>
      <c r="V112" s="126"/>
      <c r="AD112" s="33" t="s">
        <v>119</v>
      </c>
      <c r="AE112" s="33">
        <v>0.01</v>
      </c>
    </row>
    <row r="113" spans="1:31" x14ac:dyDescent="0.25">
      <c r="A113" s="138" t="s">
        <v>258</v>
      </c>
      <c r="B113">
        <v>16.651874365522406</v>
      </c>
      <c r="C113" s="33" t="str">
        <f>IFERROR(VLOOKUP($A113,lmic_raw[],4,FALSE),0)</f>
        <v>AMRO</v>
      </c>
      <c r="D113" s="33">
        <f>IFERROR(VLOOKUP($A113,lmic_raw[],10,FALSE),0)</f>
        <v>0.96900000000000008</v>
      </c>
      <c r="E113" s="33">
        <f>IFERROR(VLOOKUP($A113,lmic_raw[],11,FALSE),0)</f>
        <v>0</v>
      </c>
      <c r="M113" s="166" t="s">
        <v>258</v>
      </c>
      <c r="N113" s="161" t="str">
        <f>IFERROR(VLOOKUP(tordrup[[#This Row],[setting]],lmic_raw[],4,FALSE),0)</f>
        <v>AMRO</v>
      </c>
      <c r="O113" s="167">
        <f>IFERROR(VLOOKUP(tordrup[[#This Row],[setting]],lmic_raw[],11,FALSE),0)</f>
        <v>0</v>
      </c>
      <c r="P113" s="168">
        <f>IFERROR(VLOOKUP(tordrup[[#This Row],[setting]],lmic_raw[],9,FALSE),0)</f>
        <v>2262679.5823439998</v>
      </c>
      <c r="Q113" s="126">
        <v>38.03851541007117</v>
      </c>
      <c r="R113" s="126">
        <v>67.258515410071169</v>
      </c>
      <c r="S113" s="126">
        <v>156.70225311262854</v>
      </c>
      <c r="T113" s="126">
        <v>141.79496349553565</v>
      </c>
      <c r="U113" s="126"/>
      <c r="V113" s="126"/>
      <c r="AD113" s="33" t="s">
        <v>120</v>
      </c>
      <c r="AE113" s="33">
        <v>0.01</v>
      </c>
    </row>
    <row r="114" spans="1:31" x14ac:dyDescent="0.25">
      <c r="A114" s="137" t="s">
        <v>472</v>
      </c>
      <c r="B114">
        <v>7.6432652958130909</v>
      </c>
      <c r="C114" s="33" t="str">
        <f>IFERROR(VLOOKUP($A114,lmic_raw[],4,FALSE),0)</f>
        <v>WPRO</v>
      </c>
      <c r="D114" s="33">
        <f>IFERROR(VLOOKUP($A114,lmic_raw[],10,FALSE),0)</f>
        <v>0.87</v>
      </c>
      <c r="E114" s="33">
        <f>IFERROR(VLOOKUP($A114,lmic_raw[],11,FALSE),0)</f>
        <v>0.7</v>
      </c>
      <c r="M114" s="165" t="s">
        <v>472</v>
      </c>
      <c r="N114" s="160" t="str">
        <f>IFERROR(VLOOKUP(tordrup[[#This Row],[setting]],lmic_raw[],4,FALSE),0)</f>
        <v>WPRO</v>
      </c>
      <c r="O114" s="167">
        <f>IFERROR(VLOOKUP(tordrup[[#This Row],[setting]],lmic_raw[],11,FALSE),0)</f>
        <v>0.7</v>
      </c>
      <c r="P114" s="168">
        <f>IFERROR(VLOOKUP(tordrup[[#This Row],[setting]],lmic_raw[],9,FALSE),0)</f>
        <v>2601.3780270000002</v>
      </c>
      <c r="Q114" s="126">
        <v>29.029906340361858</v>
      </c>
      <c r="R114" s="126">
        <v>58.249906340361861</v>
      </c>
      <c r="S114" s="126">
        <v>78.272519194428824</v>
      </c>
      <c r="T114" s="126">
        <v>74.935417052084333</v>
      </c>
      <c r="U114" s="126"/>
      <c r="V114" s="126"/>
      <c r="AD114" s="33" t="s">
        <v>139</v>
      </c>
      <c r="AE114" s="33">
        <v>0.01</v>
      </c>
    </row>
    <row r="115" spans="1:31" x14ac:dyDescent="0.25">
      <c r="A115" s="138" t="s">
        <v>355</v>
      </c>
      <c r="B115">
        <v>184.95500560198897</v>
      </c>
      <c r="C115" s="33">
        <f>IFERROR(VLOOKUP($A115,lmic_raw[],4,FALSE),0)</f>
        <v>0</v>
      </c>
      <c r="D115" s="33">
        <f>IFERROR(VLOOKUP($A115,lmic_raw[],10,FALSE),0)</f>
        <v>0</v>
      </c>
      <c r="E115" s="33">
        <f>IFERROR(VLOOKUP($A115,lmic_raw[],11,FALSE),0)</f>
        <v>0</v>
      </c>
      <c r="M115" s="166" t="s">
        <v>355</v>
      </c>
      <c r="N115" s="161">
        <f>IFERROR(VLOOKUP(tordrup[[#This Row],[setting]],lmic_raw[],4,FALSE),0)</f>
        <v>0</v>
      </c>
      <c r="O115" s="167">
        <f>IFERROR(VLOOKUP(tordrup[[#This Row],[setting]],lmic_raw[],11,FALSE),0)</f>
        <v>0</v>
      </c>
      <c r="P115" s="168">
        <f>IFERROR(VLOOKUP(tordrup[[#This Row],[setting]],lmic_raw[],9,FALSE),0)</f>
        <v>0</v>
      </c>
      <c r="Q115" s="126">
        <v>206.34164664653773</v>
      </c>
      <c r="R115" s="126">
        <v>235.56164664653772</v>
      </c>
      <c r="S115" s="126">
        <v>2543.0894423467153</v>
      </c>
      <c r="T115" s="126">
        <v>2158.5014763966856</v>
      </c>
      <c r="U115" s="126"/>
      <c r="V115" s="126"/>
      <c r="AD115" s="33" t="s">
        <v>123</v>
      </c>
      <c r="AE115" s="33">
        <v>0.01</v>
      </c>
    </row>
    <row r="116" spans="1:31" x14ac:dyDescent="0.25">
      <c r="A116" s="137" t="s">
        <v>208</v>
      </c>
      <c r="B116">
        <v>4.5454432046482269</v>
      </c>
      <c r="C116" s="33" t="str">
        <f>IFERROR(VLOOKUP($A116,lmic_raw[],4,FALSE),0)</f>
        <v>WPRO</v>
      </c>
      <c r="D116" s="33">
        <f>IFERROR(VLOOKUP($A116,lmic_raw[],10,FALSE),0)</f>
        <v>0.9840000000000001</v>
      </c>
      <c r="E116" s="33">
        <f>IFERROR(VLOOKUP($A116,lmic_raw[],11,FALSE),0)</f>
        <v>0.98</v>
      </c>
      <c r="M116" s="165" t="s">
        <v>208</v>
      </c>
      <c r="N116" s="160" t="str">
        <f>IFERROR(VLOOKUP(tordrup[[#This Row],[setting]],lmic_raw[],4,FALSE),0)</f>
        <v>WPRO</v>
      </c>
      <c r="O116" s="167">
        <f>IFERROR(VLOOKUP(tordrup[[#This Row],[setting]],lmic_raw[],11,FALSE),0)</f>
        <v>0.98</v>
      </c>
      <c r="P116" s="168">
        <f>IFERROR(VLOOKUP(tordrup[[#This Row],[setting]],lmic_raw[],9,FALSE),0)</f>
        <v>78826.282206000003</v>
      </c>
      <c r="Q116" s="126">
        <v>25.932084249196993</v>
      </c>
      <c r="R116" s="126">
        <v>55.152084249196989</v>
      </c>
      <c r="S116" s="126">
        <v>65.139889956918196</v>
      </c>
      <c r="T116" s="126">
        <v>63.47525567229799</v>
      </c>
      <c r="U116" s="126"/>
      <c r="V116" s="126"/>
      <c r="AD116" s="33" t="s">
        <v>125</v>
      </c>
      <c r="AE116" s="33">
        <v>0.01</v>
      </c>
    </row>
    <row r="117" spans="1:31" x14ac:dyDescent="0.25">
      <c r="A117" s="138" t="s">
        <v>341</v>
      </c>
      <c r="C117" s="33" t="str">
        <f>IFERROR(VLOOKUP($A117,lmic_raw[],4,FALSE),0)</f>
        <v>EURO</v>
      </c>
      <c r="D117" s="33">
        <f>IFERROR(VLOOKUP($A117,lmic_raw[],10,FALSE),0)</f>
        <v>0.98599999999999999</v>
      </c>
      <c r="E117" s="33">
        <f>IFERROR(VLOOKUP($A117,lmic_raw[],11,FALSE),0)</f>
        <v>0</v>
      </c>
      <c r="M117" s="166" t="s">
        <v>341</v>
      </c>
      <c r="N117" s="161" t="str">
        <f>IFERROR(VLOOKUP(tordrup[[#This Row],[setting]],lmic_raw[],4,FALSE),0)</f>
        <v>EURO</v>
      </c>
      <c r="O117" s="167">
        <f>IFERROR(VLOOKUP(tordrup[[#This Row],[setting]],lmic_raw[],11,FALSE),0)</f>
        <v>0</v>
      </c>
      <c r="P117" s="168">
        <f>IFERROR(VLOOKUP(tordrup[[#This Row],[setting]],lmic_raw[],9,FALSE),0)</f>
        <v>7423.4461480000009</v>
      </c>
      <c r="Q117" s="126"/>
      <c r="R117" s="126"/>
      <c r="S117" s="126"/>
      <c r="T117" s="126"/>
      <c r="U117" s="126"/>
      <c r="V117" s="126"/>
      <c r="AD117" s="33" t="s">
        <v>766</v>
      </c>
      <c r="AE117" s="33">
        <v>0.04</v>
      </c>
    </row>
    <row r="118" spans="1:31" x14ac:dyDescent="0.25">
      <c r="A118" s="137" t="s">
        <v>160</v>
      </c>
      <c r="B118">
        <v>7.0498127879271015</v>
      </c>
      <c r="C118" s="33" t="str">
        <f>IFERROR(VLOOKUP($A118,lmic_raw[],4,FALSE),0)</f>
        <v>EMRO</v>
      </c>
      <c r="D118" s="33">
        <f>IFERROR(VLOOKUP($A118,lmic_raw[],10,FALSE),0)</f>
        <v>0.86099999999999999</v>
      </c>
      <c r="E118" s="33">
        <f>IFERROR(VLOOKUP($A118,lmic_raw[],11,FALSE),0)</f>
        <v>0.41</v>
      </c>
      <c r="M118" s="165" t="s">
        <v>160</v>
      </c>
      <c r="N118" s="160" t="str">
        <f>IFERROR(VLOOKUP(tordrup[[#This Row],[setting]],lmic_raw[],4,FALSE),0)</f>
        <v>EMRO</v>
      </c>
      <c r="O118" s="167">
        <f>IFERROR(VLOOKUP(tordrup[[#This Row],[setting]],lmic_raw[],11,FALSE),0)</f>
        <v>0.41</v>
      </c>
      <c r="P118" s="168">
        <f>IFERROR(VLOOKUP(tordrup[[#This Row],[setting]],lmic_raw[],9,FALSE),0)</f>
        <v>694896.55759800004</v>
      </c>
      <c r="Q118" s="126">
        <v>28.43645383247587</v>
      </c>
      <c r="R118" s="126">
        <v>57.656453832475869</v>
      </c>
      <c r="S118" s="126">
        <v>77.961075318290256</v>
      </c>
      <c r="T118" s="126">
        <v>74.576971737321188</v>
      </c>
      <c r="U118" s="126"/>
      <c r="V118" s="126"/>
      <c r="AD118" s="33" t="s">
        <v>143</v>
      </c>
      <c r="AE118" s="33">
        <v>0.01</v>
      </c>
    </row>
    <row r="119" spans="1:31" x14ac:dyDescent="0.25">
      <c r="A119" s="138" t="s">
        <v>111</v>
      </c>
      <c r="B119">
        <v>2.7176094803593798</v>
      </c>
      <c r="C119" s="33" t="str">
        <f>IFERROR(VLOOKUP($A119,lmic_raw[],4,FALSE),0)</f>
        <v>AFRO</v>
      </c>
      <c r="D119" s="33">
        <f>IFERROR(VLOOKUP($A119,lmic_raw[],10,FALSE),0)</f>
        <v>0.54799999999999993</v>
      </c>
      <c r="E119" s="33">
        <f>IFERROR(VLOOKUP($A119,lmic_raw[],11,FALSE),0)</f>
        <v>0</v>
      </c>
      <c r="M119" s="166" t="s">
        <v>111</v>
      </c>
      <c r="N119" s="161" t="str">
        <f>IFERROR(VLOOKUP(tordrup[[#This Row],[setting]],lmic_raw[],4,FALSE),0)</f>
        <v>AFRO</v>
      </c>
      <c r="O119" s="167">
        <f>IFERROR(VLOOKUP(tordrup[[#This Row],[setting]],lmic_raw[],11,FALSE),0)</f>
        <v>0</v>
      </c>
      <c r="P119" s="168">
        <f>IFERROR(VLOOKUP(tordrup[[#This Row],[setting]],lmic_raw[],9,FALSE),0)</f>
        <v>1144921.2852720001</v>
      </c>
      <c r="Q119" s="126">
        <v>24.104250524908146</v>
      </c>
      <c r="R119" s="126">
        <v>53.324250524908145</v>
      </c>
      <c r="S119" s="126">
        <v>55.110305192641817</v>
      </c>
      <c r="T119" s="126">
        <v>54.812629414686207</v>
      </c>
      <c r="U119" s="126"/>
      <c r="V119" s="126"/>
      <c r="AD119" s="33" t="s">
        <v>147</v>
      </c>
      <c r="AE119" s="33">
        <v>0.13</v>
      </c>
    </row>
    <row r="120" spans="1:31" x14ac:dyDescent="0.25">
      <c r="A120" s="137" t="s">
        <v>216</v>
      </c>
      <c r="B120">
        <v>3.0736809850909732</v>
      </c>
      <c r="C120" s="33" t="str">
        <f>IFERROR(VLOOKUP($A120,lmic_raw[],4,FALSE),0)</f>
        <v>SEARO</v>
      </c>
      <c r="D120" s="33">
        <f>IFERROR(VLOOKUP($A120,lmic_raw[],10,FALSE),0)</f>
        <v>0.371</v>
      </c>
      <c r="E120" s="33">
        <f>IFERROR(VLOOKUP($A120,lmic_raw[],11,FALSE),0)</f>
        <v>0.17</v>
      </c>
      <c r="M120" s="165" t="s">
        <v>216</v>
      </c>
      <c r="N120" s="160" t="str">
        <f>IFERROR(VLOOKUP(tordrup[[#This Row],[setting]],lmic_raw[],4,FALSE),0)</f>
        <v>SEARO</v>
      </c>
      <c r="O120" s="167">
        <f>IFERROR(VLOOKUP(tordrup[[#This Row],[setting]],lmic_raw[],11,FALSE),0)</f>
        <v>0.17</v>
      </c>
      <c r="P120" s="168">
        <f>IFERROR(VLOOKUP(tordrup[[#This Row],[setting]],lmic_raw[],9,FALSE),0)</f>
        <v>956549.92397800006</v>
      </c>
      <c r="Q120" s="126">
        <v>24.460322029639741</v>
      </c>
      <c r="R120" s="126">
        <v>53.68032202963974</v>
      </c>
      <c r="S120" s="126">
        <v>56.469074054697586</v>
      </c>
      <c r="T120" s="126">
        <v>56.004282050521269</v>
      </c>
      <c r="U120" s="126"/>
      <c r="V120" s="126"/>
      <c r="AD120" s="33" t="s">
        <v>148</v>
      </c>
      <c r="AE120" s="33">
        <v>0.01</v>
      </c>
    </row>
    <row r="121" spans="1:31" x14ac:dyDescent="0.25">
      <c r="A121" s="138" t="s">
        <v>135</v>
      </c>
      <c r="B121">
        <v>9.1268965655280638</v>
      </c>
      <c r="C121" s="33" t="str">
        <f>IFERROR(VLOOKUP($A121,lmic_raw[],4,FALSE),0)</f>
        <v>AFRO</v>
      </c>
      <c r="D121" s="33">
        <f>IFERROR(VLOOKUP($A121,lmic_raw[],10,FALSE),0)</f>
        <v>0.87400000000000011</v>
      </c>
      <c r="E121" s="33">
        <f>IFERROR(VLOOKUP($A121,lmic_raw[],11,FALSE),0)</f>
        <v>0.81</v>
      </c>
      <c r="M121" s="166" t="s">
        <v>135</v>
      </c>
      <c r="N121" s="161" t="str">
        <f>IFERROR(VLOOKUP(tordrup[[#This Row],[setting]],lmic_raw[],4,FALSE),0)</f>
        <v>AFRO</v>
      </c>
      <c r="O121" s="167">
        <f>IFERROR(VLOOKUP(tordrup[[#This Row],[setting]],lmic_raw[],11,FALSE),0)</f>
        <v>0.81</v>
      </c>
      <c r="P121" s="168">
        <f>IFERROR(VLOOKUP(tordrup[[#This Row],[setting]],lmic_raw[],9,FALSE),0)</f>
        <v>71929.599539999996</v>
      </c>
      <c r="Q121" s="126">
        <v>30.513537610076831</v>
      </c>
      <c r="R121" s="126">
        <v>59.73353761007683</v>
      </c>
      <c r="S121" s="126">
        <v>91.906022348595229</v>
      </c>
      <c r="T121" s="126">
        <v>86.543941558842164</v>
      </c>
      <c r="U121" s="126"/>
      <c r="V121" s="126"/>
      <c r="AD121" s="33" t="s">
        <v>150</v>
      </c>
      <c r="AE121" s="33">
        <v>0.01</v>
      </c>
    </row>
    <row r="122" spans="1:31" x14ac:dyDescent="0.25">
      <c r="A122" s="137" t="s">
        <v>291</v>
      </c>
      <c r="B122">
        <v>6.0765506749940794</v>
      </c>
      <c r="C122" s="33" t="str">
        <f>IFERROR(VLOOKUP($A122,lmic_raw[],4,FALSE),0)</f>
        <v>WPRO</v>
      </c>
      <c r="D122" s="33">
        <f>IFERROR(VLOOKUP($A122,lmic_raw[],10,FALSE),0)</f>
        <v>0.98699999999999999</v>
      </c>
      <c r="E122" s="33">
        <f>IFERROR(VLOOKUP($A122,lmic_raw[],11,FALSE),0)</f>
        <v>0.99</v>
      </c>
      <c r="M122" s="165" t="s">
        <v>291</v>
      </c>
      <c r="N122" s="160" t="str">
        <f>IFERROR(VLOOKUP(tordrup[[#This Row],[setting]],lmic_raw[],4,FALSE),0)</f>
        <v>WPRO</v>
      </c>
      <c r="O122" s="167">
        <f>IFERROR(VLOOKUP(tordrup[[#This Row],[setting]],lmic_raw[],11,FALSE),0)</f>
        <v>0.99</v>
      </c>
      <c r="P122" s="168">
        <f>IFERROR(VLOOKUP(tordrup[[#This Row],[setting]],lmic_raw[],9,FALSE),0)</f>
        <v>231.31835999999996</v>
      </c>
      <c r="Q122" s="126">
        <v>27.463191719542849</v>
      </c>
      <c r="R122" s="126">
        <v>56.683191719542847</v>
      </c>
      <c r="S122" s="126">
        <v>69.075904370221224</v>
      </c>
      <c r="T122" s="126">
        <v>67.01045226177483</v>
      </c>
      <c r="U122" s="126"/>
      <c r="V122" s="126"/>
      <c r="AD122" s="33" t="s">
        <v>152</v>
      </c>
      <c r="AE122" s="33">
        <v>0.04</v>
      </c>
    </row>
    <row r="123" spans="1:31" x14ac:dyDescent="0.25">
      <c r="A123" s="138" t="s">
        <v>197</v>
      </c>
      <c r="B123">
        <v>2.7057404302016597</v>
      </c>
      <c r="C123" s="33" t="str">
        <f>IFERROR(VLOOKUP($A123,lmic_raw[],4,FALSE),0)</f>
        <v>SEARO</v>
      </c>
      <c r="D123" s="33">
        <f>IFERROR(VLOOKUP($A123,lmic_raw[],10,FALSE),0)</f>
        <v>0.57399999999999995</v>
      </c>
      <c r="E123" s="33">
        <f>IFERROR(VLOOKUP($A123,lmic_raw[],11,FALSE),0)</f>
        <v>0</v>
      </c>
      <c r="M123" s="166" t="s">
        <v>197</v>
      </c>
      <c r="N123" s="161" t="str">
        <f>IFERROR(VLOOKUP(tordrup[[#This Row],[setting]],lmic_raw[],4,FALSE),0)</f>
        <v>SEARO</v>
      </c>
      <c r="O123" s="167">
        <f>IFERROR(VLOOKUP(tordrup[[#This Row],[setting]],lmic_raw[],11,FALSE),0)</f>
        <v>0</v>
      </c>
      <c r="P123" s="168">
        <f>IFERROR(VLOOKUP(tordrup[[#This Row],[setting]],lmic_raw[],9,FALSE),0)</f>
        <v>572717.8655849999</v>
      </c>
      <c r="Q123" s="126">
        <v>24.092381474750429</v>
      </c>
      <c r="R123" s="126">
        <v>53.312381474750424</v>
      </c>
      <c r="S123" s="126">
        <v>55.403945493543802</v>
      </c>
      <c r="T123" s="126">
        <v>55.055351490411581</v>
      </c>
      <c r="U123" s="126"/>
      <c r="V123" s="126"/>
      <c r="AD123" s="33" t="s">
        <v>767</v>
      </c>
      <c r="AE123" s="33">
        <v>0.01</v>
      </c>
    </row>
    <row r="124" spans="1:31" x14ac:dyDescent="0.25">
      <c r="A124" s="137" t="s">
        <v>356</v>
      </c>
      <c r="B124">
        <v>66.062730172109866</v>
      </c>
      <c r="C124" s="33">
        <f>IFERROR(VLOOKUP($A124,lmic_raw[],4,FALSE),0)</f>
        <v>0</v>
      </c>
      <c r="D124" s="33">
        <f>IFERROR(VLOOKUP($A124,lmic_raw[],10,FALSE),0)</f>
        <v>0</v>
      </c>
      <c r="E124" s="33">
        <f>IFERROR(VLOOKUP($A124,lmic_raw[],11,FALSE),0)</f>
        <v>0</v>
      </c>
      <c r="M124" s="165" t="s">
        <v>356</v>
      </c>
      <c r="N124" s="160">
        <f>IFERROR(VLOOKUP(tordrup[[#This Row],[setting]],lmic_raw[],4,FALSE),0)</f>
        <v>0</v>
      </c>
      <c r="O124" s="167">
        <f>IFERROR(VLOOKUP(tordrup[[#This Row],[setting]],lmic_raw[],11,FALSE),0)</f>
        <v>0</v>
      </c>
      <c r="P124" s="168">
        <f>IFERROR(VLOOKUP(tordrup[[#This Row],[setting]],lmic_raw[],9,FALSE),0)</f>
        <v>0</v>
      </c>
      <c r="Q124" s="126">
        <v>87.449371216658633</v>
      </c>
      <c r="R124" s="126">
        <v>116.66937121665863</v>
      </c>
      <c r="S124" s="126">
        <v>663.5467767597429</v>
      </c>
      <c r="T124" s="126">
        <v>572.40054250256219</v>
      </c>
      <c r="U124" s="126"/>
      <c r="V124" s="126"/>
      <c r="AD124" s="33" t="s">
        <v>677</v>
      </c>
      <c r="AE124" s="33">
        <v>0.02</v>
      </c>
    </row>
    <row r="125" spans="1:31" x14ac:dyDescent="0.25">
      <c r="A125" s="138" t="s">
        <v>278</v>
      </c>
      <c r="B125">
        <v>47.891214380640875</v>
      </c>
      <c r="C125" s="33">
        <f>IFERROR(VLOOKUP($A125,lmic_raw[],4,FALSE),0)</f>
        <v>0</v>
      </c>
      <c r="D125" s="33">
        <f>IFERROR(VLOOKUP($A125,lmic_raw[],10,FALSE),0)</f>
        <v>0</v>
      </c>
      <c r="E125" s="33">
        <f>IFERROR(VLOOKUP($A125,lmic_raw[],11,FALSE),0)</f>
        <v>0</v>
      </c>
      <c r="M125" s="166" t="s">
        <v>278</v>
      </c>
      <c r="N125" s="161">
        <f>IFERROR(VLOOKUP(tordrup[[#This Row],[setting]],lmic_raw[],4,FALSE),0)</f>
        <v>0</v>
      </c>
      <c r="O125" s="167">
        <f>IFERROR(VLOOKUP(tordrup[[#This Row],[setting]],lmic_raw[],11,FALSE),0)</f>
        <v>0</v>
      </c>
      <c r="P125" s="168">
        <f>IFERROR(VLOOKUP(tordrup[[#This Row],[setting]],lmic_raw[],9,FALSE),0)</f>
        <v>0</v>
      </c>
      <c r="Q125" s="126">
        <v>69.277855425189642</v>
      </c>
      <c r="R125" s="126">
        <v>98.497855425189641</v>
      </c>
      <c r="S125" s="126">
        <v>446.25366623528163</v>
      </c>
      <c r="T125" s="126">
        <v>388.2943644335997</v>
      </c>
      <c r="U125" s="126"/>
      <c r="V125" s="126"/>
      <c r="AD125" s="33" t="s">
        <v>679</v>
      </c>
      <c r="AE125" s="33">
        <v>0.23</v>
      </c>
    </row>
    <row r="126" spans="1:31" x14ac:dyDescent="0.25">
      <c r="A126" s="137" t="s">
        <v>259</v>
      </c>
      <c r="C126" s="33" t="str">
        <f>IFERROR(VLOOKUP($A126,lmic_raw[],4,FALSE),0)</f>
        <v>AMRO</v>
      </c>
      <c r="D126" s="33">
        <f>IFERROR(VLOOKUP($A126,lmic_raw[],10,FALSE),0)</f>
        <v>0.71</v>
      </c>
      <c r="E126" s="33">
        <f>IFERROR(VLOOKUP($A126,lmic_raw[],11,FALSE),0)</f>
        <v>0</v>
      </c>
      <c r="M126" s="165" t="s">
        <v>259</v>
      </c>
      <c r="N126" s="160" t="str">
        <f>IFERROR(VLOOKUP(tordrup[[#This Row],[setting]],lmic_raw[],4,FALSE),0)</f>
        <v>AMRO</v>
      </c>
      <c r="O126" s="167">
        <f>IFERROR(VLOOKUP(tordrup[[#This Row],[setting]],lmic_raw[],11,FALSE),0)</f>
        <v>0</v>
      </c>
      <c r="P126" s="168">
        <f>IFERROR(VLOOKUP(tordrup[[#This Row],[setting]],lmic_raw[],9,FALSE),0)</f>
        <v>136585.01110100001</v>
      </c>
      <c r="Q126" s="126"/>
      <c r="R126" s="126"/>
      <c r="S126" s="126"/>
      <c r="T126" s="126"/>
      <c r="U126" s="126"/>
      <c r="V126" s="126"/>
      <c r="AD126" s="33" t="s">
        <v>673</v>
      </c>
      <c r="AE126" s="33">
        <v>0.06</v>
      </c>
    </row>
    <row r="127" spans="1:31" x14ac:dyDescent="0.25">
      <c r="A127" s="138" t="s">
        <v>633</v>
      </c>
      <c r="B127">
        <v>2.4564903768895445</v>
      </c>
      <c r="C127" s="33" t="str">
        <f>IFERROR(VLOOKUP($A127,lmic_raw[],4,FALSE),0)</f>
        <v>AFRO</v>
      </c>
      <c r="D127" s="33">
        <f>IFERROR(VLOOKUP($A127,lmic_raw[],10,FALSE),0)</f>
        <v>0.58799999999999997</v>
      </c>
      <c r="E127" s="33">
        <f>IFERROR(VLOOKUP($A127,lmic_raw[],11,FALSE),0)</f>
        <v>0</v>
      </c>
      <c r="M127" s="166" t="s">
        <v>633</v>
      </c>
      <c r="N127" s="161" t="str">
        <f>IFERROR(VLOOKUP(tordrup[[#This Row],[setting]],lmic_raw[],4,FALSE),0)</f>
        <v>AFRO</v>
      </c>
      <c r="O127" s="167">
        <f>IFERROR(VLOOKUP(tordrup[[#This Row],[setting]],lmic_raw[],11,FALSE),0)</f>
        <v>0</v>
      </c>
      <c r="P127" s="168">
        <f>IFERROR(VLOOKUP(tordrup[[#This Row],[setting]],lmic_raw[],9,FALSE),0)</f>
        <v>1078656.9002870002</v>
      </c>
      <c r="Q127" s="126">
        <v>23.843131421438311</v>
      </c>
      <c r="R127" s="126">
        <v>53.063131421438314</v>
      </c>
      <c r="S127" s="126">
        <v>54.151998082907525</v>
      </c>
      <c r="T127" s="126">
        <v>53.97052030599599</v>
      </c>
      <c r="U127" s="126"/>
      <c r="V127" s="126"/>
      <c r="AD127" s="33" t="s">
        <v>675</v>
      </c>
      <c r="AE127" s="33">
        <v>0.16</v>
      </c>
    </row>
    <row r="128" spans="1:31" x14ac:dyDescent="0.25">
      <c r="A128" s="137" t="s">
        <v>150</v>
      </c>
      <c r="B128">
        <v>3.9875978472353966</v>
      </c>
      <c r="C128" s="33" t="str">
        <f>IFERROR(VLOOKUP($A128,lmic_raw[],4,FALSE),0)</f>
        <v>AFRO</v>
      </c>
      <c r="D128" s="33">
        <f>IFERROR(VLOOKUP($A128,lmic_raw[],10,FALSE),0)</f>
        <v>0.39399999999999996</v>
      </c>
      <c r="E128" s="33">
        <f>IFERROR(VLOOKUP($A128,lmic_raw[],11,FALSE),0)</f>
        <v>0</v>
      </c>
      <c r="M128" s="165" t="s">
        <v>150</v>
      </c>
      <c r="N128" s="160" t="str">
        <f>IFERROR(VLOOKUP(tordrup[[#This Row],[setting]],lmic_raw[],4,FALSE),0)</f>
        <v>AFRO</v>
      </c>
      <c r="O128" s="167">
        <f>IFERROR(VLOOKUP(tordrup[[#This Row],[setting]],lmic_raw[],11,FALSE),0)</f>
        <v>0</v>
      </c>
      <c r="P128" s="168">
        <f>IFERROR(VLOOKUP(tordrup[[#This Row],[setting]],lmic_raw[],9,FALSE),0)</f>
        <v>7656311.3470940003</v>
      </c>
      <c r="Q128" s="126">
        <v>25.374238891784163</v>
      </c>
      <c r="R128" s="126">
        <v>54.594238891784158</v>
      </c>
      <c r="S128" s="126">
        <v>60.978600971621631</v>
      </c>
      <c r="T128" s="126">
        <v>59.914540624982052</v>
      </c>
      <c r="U128" s="126"/>
      <c r="V128" s="126"/>
      <c r="AD128" s="33" t="s">
        <v>680</v>
      </c>
      <c r="AE128" s="33">
        <v>0.02</v>
      </c>
    </row>
    <row r="129" spans="1:31" x14ac:dyDescent="0.25">
      <c r="A129" s="138" t="s">
        <v>298</v>
      </c>
      <c r="B129">
        <v>43.131725267395247</v>
      </c>
      <c r="C129" s="33">
        <f>IFERROR(VLOOKUP($A129,lmic_raw[],4,FALSE),0)</f>
        <v>0</v>
      </c>
      <c r="D129" s="33">
        <f>IFERROR(VLOOKUP($A129,lmic_raw[],10,FALSE),0)</f>
        <v>0</v>
      </c>
      <c r="E129" s="33">
        <f>IFERROR(VLOOKUP($A129,lmic_raw[],11,FALSE),0)</f>
        <v>0</v>
      </c>
      <c r="M129" s="166" t="s">
        <v>298</v>
      </c>
      <c r="N129" s="161">
        <f>IFERROR(VLOOKUP(tordrup[[#This Row],[setting]],lmic_raw[],4,FALSE),0)</f>
        <v>0</v>
      </c>
      <c r="O129" s="167">
        <f>IFERROR(VLOOKUP(tordrup[[#This Row],[setting]],lmic_raw[],11,FALSE),0)</f>
        <v>0</v>
      </c>
      <c r="P129" s="168">
        <f>IFERROR(VLOOKUP(tordrup[[#This Row],[setting]],lmic_raw[],9,FALSE),0)</f>
        <v>0</v>
      </c>
      <c r="Q129" s="126">
        <v>64.518366311944021</v>
      </c>
      <c r="R129" s="126">
        <v>93.73836631194402</v>
      </c>
      <c r="S129" s="126">
        <v>375.73916448626204</v>
      </c>
      <c r="T129" s="126">
        <v>328.73903145720902</v>
      </c>
      <c r="U129" s="126"/>
      <c r="V129" s="126"/>
      <c r="AD129" s="33" t="s">
        <v>681</v>
      </c>
      <c r="AE129" s="33">
        <v>0.19</v>
      </c>
    </row>
    <row r="130" spans="1:31" x14ac:dyDescent="0.25">
      <c r="A130" s="137" t="s">
        <v>328</v>
      </c>
      <c r="B130">
        <v>114.64275246765693</v>
      </c>
      <c r="C130" s="33">
        <f>IFERROR(VLOOKUP($A130,lmic_raw[],4,FALSE),0)</f>
        <v>0</v>
      </c>
      <c r="D130" s="33">
        <f>IFERROR(VLOOKUP($A130,lmic_raw[],10,FALSE),0)</f>
        <v>0</v>
      </c>
      <c r="E130" s="33">
        <f>IFERROR(VLOOKUP($A130,lmic_raw[],11,FALSE),0)</f>
        <v>0</v>
      </c>
      <c r="M130" s="165" t="s">
        <v>328</v>
      </c>
      <c r="N130" s="160">
        <f>IFERROR(VLOOKUP(tordrup[[#This Row],[setting]],lmic_raw[],4,FALSE),0)</f>
        <v>0</v>
      </c>
      <c r="O130" s="167">
        <f>IFERROR(VLOOKUP(tordrup[[#This Row],[setting]],lmic_raw[],11,FALSE),0)</f>
        <v>0</v>
      </c>
      <c r="P130" s="168">
        <f>IFERROR(VLOOKUP(tordrup[[#This Row],[setting]],lmic_raw[],9,FALSE),0)</f>
        <v>0</v>
      </c>
      <c r="Q130" s="126">
        <v>136.0293935122057</v>
      </c>
      <c r="R130" s="126">
        <v>165.2493935122057</v>
      </c>
      <c r="S130" s="126">
        <v>1241.4099994065764</v>
      </c>
      <c r="T130" s="126">
        <v>1062.0498984241813</v>
      </c>
      <c r="U130" s="126"/>
      <c r="V130" s="126"/>
      <c r="AD130" s="33" t="s">
        <v>768</v>
      </c>
      <c r="AE130" s="33">
        <v>0.1</v>
      </c>
    </row>
    <row r="131" spans="1:31" x14ac:dyDescent="0.25">
      <c r="A131" s="138" t="s">
        <v>175</v>
      </c>
      <c r="C131" s="33">
        <f>IFERROR(VLOOKUP($A131,lmic_raw[],4,FALSE),0)</f>
        <v>0</v>
      </c>
      <c r="D131" s="33">
        <f>IFERROR(VLOOKUP($A131,lmic_raw[],10,FALSE),0)</f>
        <v>0</v>
      </c>
      <c r="E131" s="33">
        <f>IFERROR(VLOOKUP($A131,lmic_raw[],11,FALSE),0)</f>
        <v>0</v>
      </c>
      <c r="M131" s="166" t="s">
        <v>175</v>
      </c>
      <c r="N131" s="161">
        <f>IFERROR(VLOOKUP(tordrup[[#This Row],[setting]],lmic_raw[],4,FALSE),0)</f>
        <v>0</v>
      </c>
      <c r="O131" s="167">
        <f>IFERROR(VLOOKUP(tordrup[[#This Row],[setting]],lmic_raw[],11,FALSE),0)</f>
        <v>0</v>
      </c>
      <c r="P131" s="168">
        <f>IFERROR(VLOOKUP(tordrup[[#This Row],[setting]],lmic_raw[],9,FALSE),0)</f>
        <v>0</v>
      </c>
      <c r="Q131" s="126"/>
      <c r="R131" s="126"/>
      <c r="S131" s="126"/>
      <c r="T131" s="126"/>
      <c r="U131" s="126"/>
      <c r="V131" s="126"/>
    </row>
    <row r="132" spans="1:31" x14ac:dyDescent="0.25">
      <c r="A132" s="137" t="s">
        <v>198</v>
      </c>
      <c r="B132">
        <v>3.0855500352486933</v>
      </c>
      <c r="C132" s="33" t="str">
        <f>IFERROR(VLOOKUP($A132,lmic_raw[],4,FALSE),0)</f>
        <v>EMRO</v>
      </c>
      <c r="D132" s="33">
        <f>IFERROR(VLOOKUP($A132,lmic_raw[],10,FALSE),0)</f>
        <v>0.66200000000000003</v>
      </c>
      <c r="E132" s="33">
        <f>IFERROR(VLOOKUP($A132,lmic_raw[],11,FALSE),0)</f>
        <v>0</v>
      </c>
      <c r="M132" s="165" t="s">
        <v>198</v>
      </c>
      <c r="N132" s="160" t="str">
        <f>IFERROR(VLOOKUP(tordrup[[#This Row],[setting]],lmic_raw[],4,FALSE),0)</f>
        <v>EMRO</v>
      </c>
      <c r="O132" s="167">
        <f>IFERROR(VLOOKUP(tordrup[[#This Row],[setting]],lmic_raw[],11,FALSE),0)</f>
        <v>0</v>
      </c>
      <c r="P132" s="168">
        <f>IFERROR(VLOOKUP(tordrup[[#This Row],[setting]],lmic_raw[],9,FALSE),0)</f>
        <v>6176875.9714740003</v>
      </c>
      <c r="Q132" s="126">
        <v>24.472191079797462</v>
      </c>
      <c r="R132" s="126">
        <v>53.69219107979746</v>
      </c>
      <c r="S132" s="126">
        <v>57.640311924261368</v>
      </c>
      <c r="T132" s="126">
        <v>56.982291783517383</v>
      </c>
      <c r="U132" s="126"/>
      <c r="V132" s="126"/>
    </row>
    <row r="133" spans="1:31" x14ac:dyDescent="0.25">
      <c r="A133" s="138" t="s">
        <v>293</v>
      </c>
      <c r="B133">
        <v>21.173982475613645</v>
      </c>
      <c r="C133" s="33">
        <f>IFERROR(VLOOKUP($A133,lmic_raw[],4,FALSE),0)</f>
        <v>0</v>
      </c>
      <c r="D133" s="33">
        <f>IFERROR(VLOOKUP($A133,lmic_raw[],10,FALSE),0)</f>
        <v>0</v>
      </c>
      <c r="E133" s="33">
        <f>IFERROR(VLOOKUP($A133,lmic_raw[],11,FALSE),0)</f>
        <v>0</v>
      </c>
      <c r="M133" s="166" t="s">
        <v>293</v>
      </c>
      <c r="N133" s="161">
        <f>IFERROR(VLOOKUP(tordrup[[#This Row],[setting]],lmic_raw[],4,FALSE),0)</f>
        <v>0</v>
      </c>
      <c r="O133" s="167">
        <f>IFERROR(VLOOKUP(tordrup[[#This Row],[setting]],lmic_raw[],11,FALSE),0)</f>
        <v>0</v>
      </c>
      <c r="P133" s="168">
        <f>IFERROR(VLOOKUP(tordrup[[#This Row],[setting]],lmic_raw[],9,FALSE),0)</f>
        <v>0</v>
      </c>
      <c r="Q133" s="126">
        <v>42.560623520162409</v>
      </c>
      <c r="R133" s="126">
        <v>71.780623520162408</v>
      </c>
      <c r="S133" s="126">
        <v>191.97896922939697</v>
      </c>
      <c r="T133" s="126">
        <v>171.94591161119124</v>
      </c>
      <c r="U133" s="126"/>
      <c r="V133" s="126"/>
    </row>
    <row r="134" spans="1:31" x14ac:dyDescent="0.25">
      <c r="A134" s="137" t="s">
        <v>260</v>
      </c>
      <c r="C134" s="33">
        <f>IFERROR(VLOOKUP($A134,lmic_raw[],4,FALSE),0)</f>
        <v>0</v>
      </c>
      <c r="D134" s="33">
        <f>IFERROR(VLOOKUP($A134,lmic_raw[],10,FALSE),0)</f>
        <v>0</v>
      </c>
      <c r="E134" s="33">
        <f>IFERROR(VLOOKUP($A134,lmic_raw[],11,FALSE),0)</f>
        <v>0</v>
      </c>
      <c r="M134" s="165" t="s">
        <v>260</v>
      </c>
      <c r="N134" s="160">
        <f>IFERROR(VLOOKUP(tordrup[[#This Row],[setting]],lmic_raw[],4,FALSE),0)</f>
        <v>0</v>
      </c>
      <c r="O134" s="167">
        <f>IFERROR(VLOOKUP(tordrup[[#This Row],[setting]],lmic_raw[],11,FALSE),0)</f>
        <v>0</v>
      </c>
      <c r="P134" s="168">
        <f>IFERROR(VLOOKUP(tordrup[[#This Row],[setting]],lmic_raw[],9,FALSE),0)</f>
        <v>0</v>
      </c>
      <c r="Q134" s="126"/>
      <c r="R134" s="126"/>
      <c r="S134" s="126"/>
      <c r="T134" s="126"/>
      <c r="U134" s="126"/>
      <c r="V134" s="126"/>
    </row>
    <row r="135" spans="1:31" x14ac:dyDescent="0.25">
      <c r="A135" s="138" t="s">
        <v>283</v>
      </c>
      <c r="B135">
        <v>5.0914195119033367</v>
      </c>
      <c r="C135" s="33" t="str">
        <f>IFERROR(VLOOKUP($A135,lmic_raw[],4,FALSE),0)</f>
        <v>WPRO</v>
      </c>
      <c r="D135" s="33">
        <f>IFERROR(VLOOKUP($A135,lmic_raw[],10,FALSE),0)</f>
        <v>0.54700000000000004</v>
      </c>
      <c r="E135" s="33">
        <f>IFERROR(VLOOKUP($A135,lmic_raw[],11,FALSE),0)</f>
        <v>0.25</v>
      </c>
      <c r="M135" s="166" t="s">
        <v>283</v>
      </c>
      <c r="N135" s="161" t="str">
        <f>IFERROR(VLOOKUP(tordrup[[#This Row],[setting]],lmic_raw[],4,FALSE),0)</f>
        <v>WPRO</v>
      </c>
      <c r="O135" s="167">
        <f>IFERROR(VLOOKUP(tordrup[[#This Row],[setting]],lmic_raw[],11,FALSE),0)</f>
        <v>0.25</v>
      </c>
      <c r="P135" s="168">
        <f>IFERROR(VLOOKUP(tordrup[[#This Row],[setting]],lmic_raw[],9,FALSE),0)</f>
        <v>238964.94425100001</v>
      </c>
      <c r="Q135" s="126">
        <v>26.478060556452103</v>
      </c>
      <c r="R135" s="126">
        <v>55.698060556452106</v>
      </c>
      <c r="S135" s="126">
        <v>65.482193363466834</v>
      </c>
      <c r="T135" s="126">
        <v>63.851504562297706</v>
      </c>
      <c r="U135" s="126"/>
      <c r="V135" s="126"/>
    </row>
    <row r="136" spans="1:31" x14ac:dyDescent="0.25">
      <c r="A136" s="137" t="s">
        <v>271</v>
      </c>
      <c r="B136">
        <v>6.5394436311451507</v>
      </c>
      <c r="C136" s="33" t="str">
        <f>IFERROR(VLOOKUP($A136,lmic_raw[],4,FALSE),0)</f>
        <v>AMRO</v>
      </c>
      <c r="D136" s="33">
        <f>IFERROR(VLOOKUP($A136,lmic_raw[],10,FALSE),0)</f>
        <v>0.93200000000000005</v>
      </c>
      <c r="E136" s="33">
        <f>IFERROR(VLOOKUP($A136,lmic_raw[],11,FALSE),0)</f>
        <v>0</v>
      </c>
      <c r="M136" s="165" t="s">
        <v>271</v>
      </c>
      <c r="N136" s="160" t="str">
        <f>IFERROR(VLOOKUP(tordrup[[#This Row],[setting]],lmic_raw[],4,FALSE),0)</f>
        <v>AMRO</v>
      </c>
      <c r="O136" s="167">
        <f>IFERROR(VLOOKUP(tordrup[[#This Row],[setting]],lmic_raw[],11,FALSE),0)</f>
        <v>0</v>
      </c>
      <c r="P136" s="168">
        <f>IFERROR(VLOOKUP(tordrup[[#This Row],[setting]],lmic_raw[],9,FALSE),0)</f>
        <v>145936.74152400001</v>
      </c>
      <c r="Q136" s="126">
        <v>27.926084675693918</v>
      </c>
      <c r="R136" s="126">
        <v>57.146084675693913</v>
      </c>
      <c r="S136" s="126">
        <v>76.957191055950318</v>
      </c>
      <c r="T136" s="126">
        <v>73.655339992574255</v>
      </c>
      <c r="U136" s="126"/>
      <c r="V136" s="126"/>
    </row>
    <row r="137" spans="1:31" x14ac:dyDescent="0.25">
      <c r="A137" s="138" t="s">
        <v>272</v>
      </c>
      <c r="B137">
        <v>10.040813427672488</v>
      </c>
      <c r="C137" s="33" t="str">
        <f>IFERROR(VLOOKUP($A137,lmic_raw[],4,FALSE),0)</f>
        <v>AMRO</v>
      </c>
      <c r="D137" s="33">
        <f>IFERROR(VLOOKUP($A137,lmic_raw[],10,FALSE),0)</f>
        <v>0.91</v>
      </c>
      <c r="E137" s="33">
        <f>IFERROR(VLOOKUP($A137,lmic_raw[],11,FALSE),0)</f>
        <v>0.82</v>
      </c>
      <c r="M137" s="166" t="s">
        <v>272</v>
      </c>
      <c r="N137" s="161" t="str">
        <f>IFERROR(VLOOKUP(tordrup[[#This Row],[setting]],lmic_raw[],4,FALSE),0)</f>
        <v>AMRO</v>
      </c>
      <c r="O137" s="167">
        <f>IFERROR(VLOOKUP(tordrup[[#This Row],[setting]],lmic_raw[],11,FALSE),0)</f>
        <v>0.82</v>
      </c>
      <c r="P137" s="168">
        <f>IFERROR(VLOOKUP(tordrup[[#This Row],[setting]],lmic_raw[],9,FALSE),0)</f>
        <v>588374.3412759999</v>
      </c>
      <c r="Q137" s="126">
        <v>31.427454472221257</v>
      </c>
      <c r="R137" s="126">
        <v>60.647454472221256</v>
      </c>
      <c r="S137" s="126">
        <v>101.67187681836708</v>
      </c>
      <c r="T137" s="126">
        <v>94.834473094009439</v>
      </c>
      <c r="U137" s="126"/>
      <c r="V137" s="126"/>
    </row>
    <row r="138" spans="1:31" x14ac:dyDescent="0.25">
      <c r="A138" s="137" t="s">
        <v>654</v>
      </c>
      <c r="B138">
        <v>4.6760027563831441</v>
      </c>
      <c r="C138" s="33" t="str">
        <f>IFERROR(VLOOKUP($A138,lmic_raw[],4,FALSE),0)</f>
        <v>WPRO</v>
      </c>
      <c r="D138" s="33">
        <f>IFERROR(VLOOKUP($A138,lmic_raw[],10,FALSE),0)</f>
        <v>0.77700000000000002</v>
      </c>
      <c r="E138" s="33">
        <f>IFERROR(VLOOKUP($A138,lmic_raw[],11,FALSE),0)</f>
        <v>0.5</v>
      </c>
      <c r="M138" s="165" t="s">
        <v>654</v>
      </c>
      <c r="N138" s="160" t="str">
        <f>IFERROR(VLOOKUP(tordrup[[#This Row],[setting]],lmic_raw[],4,FALSE),0)</f>
        <v>WPRO</v>
      </c>
      <c r="O138" s="167">
        <f>IFERROR(VLOOKUP(tordrup[[#This Row],[setting]],lmic_raw[],11,FALSE),0)</f>
        <v>0.5</v>
      </c>
      <c r="P138" s="168">
        <f>IFERROR(VLOOKUP(tordrup[[#This Row],[setting]],lmic_raw[],9,FALSE),0)</f>
        <v>2224607.6142720003</v>
      </c>
      <c r="Q138" s="126">
        <v>26.062643800931912</v>
      </c>
      <c r="R138" s="126">
        <v>55.282643800931908</v>
      </c>
      <c r="S138" s="126">
        <v>65.591626005921</v>
      </c>
      <c r="T138" s="126">
        <v>63.87346230508949</v>
      </c>
      <c r="U138" s="126"/>
      <c r="V138" s="126"/>
    </row>
    <row r="139" spans="1:31" x14ac:dyDescent="0.25">
      <c r="A139" s="138" t="s">
        <v>311</v>
      </c>
      <c r="B139">
        <v>20.070160810945705</v>
      </c>
      <c r="C139" s="33">
        <f>IFERROR(VLOOKUP($A139,lmic_raw[],4,FALSE),0)</f>
        <v>0</v>
      </c>
      <c r="D139" s="33">
        <f>IFERROR(VLOOKUP($A139,lmic_raw[],10,FALSE),0)</f>
        <v>0</v>
      </c>
      <c r="E139" s="33">
        <f>IFERROR(VLOOKUP($A139,lmic_raw[],11,FALSE),0)</f>
        <v>0</v>
      </c>
      <c r="M139" s="166" t="s">
        <v>311</v>
      </c>
      <c r="N139" s="161">
        <f>IFERROR(VLOOKUP(tordrup[[#This Row],[setting]],lmic_raw[],4,FALSE),0)</f>
        <v>0</v>
      </c>
      <c r="O139" s="167">
        <f>IFERROR(VLOOKUP(tordrup[[#This Row],[setting]],lmic_raw[],11,FALSE),0)</f>
        <v>0</v>
      </c>
      <c r="P139" s="168">
        <f>IFERROR(VLOOKUP(tordrup[[#This Row],[setting]],lmic_raw[],9,FALSE),0)</f>
        <v>0</v>
      </c>
      <c r="Q139" s="126">
        <v>41.456801855494476</v>
      </c>
      <c r="R139" s="126">
        <v>70.676801855494475</v>
      </c>
      <c r="S139" s="126">
        <v>190.40513317848334</v>
      </c>
      <c r="T139" s="126">
        <v>170.45041129131855</v>
      </c>
      <c r="U139" s="126"/>
      <c r="V139" s="126"/>
    </row>
    <row r="140" spans="1:31" x14ac:dyDescent="0.25">
      <c r="A140" s="137" t="s">
        <v>343</v>
      </c>
      <c r="B140">
        <v>33.043032633333432</v>
      </c>
      <c r="C140" s="33">
        <f>IFERROR(VLOOKUP($A140,lmic_raw[],4,FALSE),0)</f>
        <v>0</v>
      </c>
      <c r="D140" s="33">
        <f>IFERROR(VLOOKUP($A140,lmic_raw[],10,FALSE),0)</f>
        <v>0</v>
      </c>
      <c r="E140" s="33">
        <f>IFERROR(VLOOKUP($A140,lmic_raw[],11,FALSE),0)</f>
        <v>0</v>
      </c>
      <c r="M140" s="165" t="s">
        <v>343</v>
      </c>
      <c r="N140" s="160">
        <f>IFERROR(VLOOKUP(tordrup[[#This Row],[setting]],lmic_raw[],4,FALSE),0)</f>
        <v>0</v>
      </c>
      <c r="O140" s="167">
        <f>IFERROR(VLOOKUP(tordrup[[#This Row],[setting]],lmic_raw[],11,FALSE),0)</f>
        <v>0</v>
      </c>
      <c r="P140" s="168">
        <f>IFERROR(VLOOKUP(tordrup[[#This Row],[setting]],lmic_raw[],9,FALSE),0)</f>
        <v>0</v>
      </c>
      <c r="Q140" s="126">
        <v>54.429673677882199</v>
      </c>
      <c r="R140" s="126">
        <v>83.649673677882191</v>
      </c>
      <c r="S140" s="126">
        <v>307.03967788736105</v>
      </c>
      <c r="T140" s="126">
        <v>269.80801051911453</v>
      </c>
      <c r="U140" s="126"/>
      <c r="V140" s="126"/>
    </row>
    <row r="141" spans="1:31" x14ac:dyDescent="0.25">
      <c r="A141" s="138" t="s">
        <v>176</v>
      </c>
      <c r="B141">
        <v>58.015514165175851</v>
      </c>
      <c r="C141" s="33">
        <f>IFERROR(VLOOKUP($A141,lmic_raw[],4,FALSE),0)</f>
        <v>0</v>
      </c>
      <c r="D141" s="33">
        <f>IFERROR(VLOOKUP($A141,lmic_raw[],10,FALSE),0)</f>
        <v>0</v>
      </c>
      <c r="E141" s="33">
        <f>IFERROR(VLOOKUP($A141,lmic_raw[],11,FALSE),0)</f>
        <v>0</v>
      </c>
      <c r="M141" s="166" t="s">
        <v>176</v>
      </c>
      <c r="N141" s="161">
        <f>IFERROR(VLOOKUP(tordrup[[#This Row],[setting]],lmic_raw[],4,FALSE),0)</f>
        <v>0</v>
      </c>
      <c r="O141" s="167">
        <f>IFERROR(VLOOKUP(tordrup[[#This Row],[setting]],lmic_raw[],11,FALSE),0)</f>
        <v>0</v>
      </c>
      <c r="P141" s="168">
        <f>IFERROR(VLOOKUP(tordrup[[#This Row],[setting]],lmic_raw[],9,FALSE),0)</f>
        <v>0</v>
      </c>
      <c r="Q141" s="126">
        <v>79.402155209724626</v>
      </c>
      <c r="R141" s="126">
        <v>108.62215520972462</v>
      </c>
      <c r="S141" s="126">
        <v>703.26868954158044</v>
      </c>
      <c r="T141" s="126">
        <v>604.16093381960457</v>
      </c>
      <c r="U141" s="126"/>
      <c r="V141" s="126"/>
    </row>
    <row r="142" spans="1:31" x14ac:dyDescent="0.25">
      <c r="A142" s="137" t="s">
        <v>209</v>
      </c>
      <c r="B142">
        <v>31.784913316615135</v>
      </c>
      <c r="C142" s="33">
        <f>IFERROR(VLOOKUP($A142,lmic_raw[],4,FALSE),0)</f>
        <v>0</v>
      </c>
      <c r="D142" s="33">
        <f>IFERROR(VLOOKUP($A142,lmic_raw[],10,FALSE),0)</f>
        <v>0</v>
      </c>
      <c r="E142" s="33">
        <f>IFERROR(VLOOKUP($A142,lmic_raw[],11,FALSE),0)</f>
        <v>0</v>
      </c>
      <c r="M142" s="165" t="s">
        <v>209</v>
      </c>
      <c r="N142" s="160">
        <f>IFERROR(VLOOKUP(tordrup[[#This Row],[setting]],lmic_raw[],4,FALSE),0)</f>
        <v>0</v>
      </c>
      <c r="O142" s="167">
        <f>IFERROR(VLOOKUP(tordrup[[#This Row],[setting]],lmic_raw[],11,FALSE),0)</f>
        <v>0</v>
      </c>
      <c r="P142" s="168">
        <f>IFERROR(VLOOKUP(tordrup[[#This Row],[setting]],lmic_raw[],9,FALSE),0)</f>
        <v>0</v>
      </c>
      <c r="Q142" s="126">
        <v>53.171554361163899</v>
      </c>
      <c r="R142" s="126">
        <v>82.391554361163898</v>
      </c>
      <c r="S142" s="126">
        <v>305.56221852372801</v>
      </c>
      <c r="T142" s="126">
        <v>268.36710782996732</v>
      </c>
      <c r="U142" s="126"/>
      <c r="V142" s="126"/>
    </row>
    <row r="143" spans="1:31" x14ac:dyDescent="0.25">
      <c r="A143" s="138" t="s">
        <v>639</v>
      </c>
      <c r="C143" s="33" t="str">
        <f>IFERROR(VLOOKUP($A143,lmic_raw[],4,FALSE),0)</f>
        <v>EURO</v>
      </c>
      <c r="D143" s="33">
        <f>IFERROR(VLOOKUP($A143,lmic_raw[],10,FALSE),0)</f>
        <v>0.99400000000000011</v>
      </c>
      <c r="E143" s="33">
        <f>IFERROR(VLOOKUP($A143,lmic_raw[],11,FALSE),0)</f>
        <v>0.93</v>
      </c>
      <c r="M143" s="166" t="s">
        <v>639</v>
      </c>
      <c r="N143" s="161" t="str">
        <f>IFERROR(VLOOKUP(tordrup[[#This Row],[setting]],lmic_raw[],4,FALSE),0)</f>
        <v>EURO</v>
      </c>
      <c r="O143" s="167">
        <f>IFERROR(VLOOKUP(tordrup[[#This Row],[setting]],lmic_raw[],11,FALSE),0)</f>
        <v>0.93</v>
      </c>
      <c r="P143" s="168">
        <f>IFERROR(VLOOKUP(tordrup[[#This Row],[setting]],lmic_raw[],9,FALSE),0)</f>
        <v>41039.068699999996</v>
      </c>
      <c r="Q143" s="126"/>
      <c r="R143" s="126"/>
      <c r="S143" s="126"/>
      <c r="T143" s="126"/>
      <c r="U143" s="126"/>
      <c r="V143" s="126"/>
    </row>
    <row r="144" spans="1:31" x14ac:dyDescent="0.25">
      <c r="A144" s="137" t="s">
        <v>313</v>
      </c>
      <c r="B144">
        <v>13.470968923253505</v>
      </c>
      <c r="C144" s="33" t="str">
        <f>IFERROR(VLOOKUP($A144,lmic_raw[],4,FALSE),0)</f>
        <v>EURO</v>
      </c>
      <c r="D144" s="33">
        <f>IFERROR(VLOOKUP($A144,lmic_raw[],10,FALSE),0)</f>
        <v>0.94900000000000007</v>
      </c>
      <c r="E144" s="33">
        <f>IFERROR(VLOOKUP($A144,lmic_raw[],11,FALSE),0)</f>
        <v>0.99</v>
      </c>
      <c r="M144" s="165" t="s">
        <v>313</v>
      </c>
      <c r="N144" s="160" t="str">
        <f>IFERROR(VLOOKUP(tordrup[[#This Row],[setting]],lmic_raw[],4,FALSE),0)</f>
        <v>EURO</v>
      </c>
      <c r="O144" s="167">
        <f>IFERROR(VLOOKUP(tordrup[[#This Row],[setting]],lmic_raw[],11,FALSE),0)</f>
        <v>0.99</v>
      </c>
      <c r="P144" s="168">
        <f>IFERROR(VLOOKUP(tordrup[[#This Row],[setting]],lmic_raw[],9,FALSE),0)</f>
        <v>189462.83547200004</v>
      </c>
      <c r="Q144" s="126">
        <v>34.857609967802276</v>
      </c>
      <c r="R144" s="126">
        <v>64.077609967802275</v>
      </c>
      <c r="S144" s="126">
        <v>132.64487534794631</v>
      </c>
      <c r="T144" s="126">
        <v>121.21699778458897</v>
      </c>
      <c r="U144" s="126"/>
      <c r="V144" s="126"/>
    </row>
    <row r="145" spans="1:22" x14ac:dyDescent="0.25">
      <c r="A145" s="138" t="s">
        <v>641</v>
      </c>
      <c r="B145">
        <v>17.767565080348064</v>
      </c>
      <c r="C145" s="33" t="str">
        <f>IFERROR(VLOOKUP($A145,lmic_raw[],4,FALSE),0)</f>
        <v>EURO</v>
      </c>
      <c r="D145" s="33">
        <f>IFERROR(VLOOKUP($A145,lmic_raw[],10,FALSE),0)</f>
        <v>0.98699999999999999</v>
      </c>
      <c r="E145" s="33">
        <f>IFERROR(VLOOKUP($A145,lmic_raw[],11,FALSE),0)</f>
        <v>0</v>
      </c>
      <c r="M145" s="166" t="s">
        <v>641</v>
      </c>
      <c r="N145" s="161" t="str">
        <f>IFERROR(VLOOKUP(tordrup[[#This Row],[setting]],lmic_raw[],4,FALSE),0)</f>
        <v>EURO</v>
      </c>
      <c r="O145" s="167">
        <f>IFERROR(VLOOKUP(tordrup[[#This Row],[setting]],lmic_raw[],11,FALSE),0)</f>
        <v>0</v>
      </c>
      <c r="P145" s="168">
        <f>IFERROR(VLOOKUP(tordrup[[#This Row],[setting]],lmic_raw[],9,FALSE),0)</f>
        <v>1862788.7602000001</v>
      </c>
      <c r="Q145" s="126">
        <v>39.154206124896831</v>
      </c>
      <c r="R145" s="126">
        <v>68.37420612489683</v>
      </c>
      <c r="S145" s="126">
        <v>174.05694087224327</v>
      </c>
      <c r="T145" s="126">
        <v>156.44315174768556</v>
      </c>
      <c r="U145" s="126"/>
      <c r="V145" s="126"/>
    </row>
    <row r="146" spans="1:22" x14ac:dyDescent="0.25">
      <c r="A146" s="137" t="s">
        <v>113</v>
      </c>
      <c r="B146">
        <v>2.8837761825674564</v>
      </c>
      <c r="C146" s="33" t="str">
        <f>IFERROR(VLOOKUP($A146,lmic_raw[],4,FALSE),0)</f>
        <v>AFRO</v>
      </c>
      <c r="D146" s="33">
        <f>IFERROR(VLOOKUP($A146,lmic_raw[],10,FALSE),0)</f>
        <v>0.90700000000000003</v>
      </c>
      <c r="E146" s="33">
        <f>IFERROR(VLOOKUP($A146,lmic_raw[],11,FALSE),0)</f>
        <v>0</v>
      </c>
      <c r="M146" s="165" t="s">
        <v>113</v>
      </c>
      <c r="N146" s="160" t="str">
        <f>IFERROR(VLOOKUP(tordrup[[#This Row],[setting]],lmic_raw[],4,FALSE),0)</f>
        <v>AFRO</v>
      </c>
      <c r="O146" s="167">
        <f>IFERROR(VLOOKUP(tordrup[[#This Row],[setting]],lmic_raw[],11,FALSE),0)</f>
        <v>0</v>
      </c>
      <c r="P146" s="168">
        <f>IFERROR(VLOOKUP(tordrup[[#This Row],[setting]],lmic_raw[],9,FALSE),0)</f>
        <v>405248.948172</v>
      </c>
      <c r="Q146" s="126">
        <v>24.270417227116223</v>
      </c>
      <c r="R146" s="126">
        <v>53.490417227116225</v>
      </c>
      <c r="S146" s="126">
        <v>55.871823450761127</v>
      </c>
      <c r="T146" s="126">
        <v>55.474922413486965</v>
      </c>
      <c r="U146" s="126"/>
      <c r="V146" s="126"/>
    </row>
    <row r="147" spans="1:22" x14ac:dyDescent="0.25">
      <c r="A147" s="138" t="s">
        <v>244</v>
      </c>
      <c r="B147">
        <v>19.571660704321474</v>
      </c>
      <c r="C147" s="33">
        <f>IFERROR(VLOOKUP($A147,lmic_raw[],4,FALSE),0)</f>
        <v>0</v>
      </c>
      <c r="D147" s="33">
        <f>IFERROR(VLOOKUP($A147,lmic_raw[],10,FALSE),0)</f>
        <v>0</v>
      </c>
      <c r="E147" s="33">
        <f>IFERROR(VLOOKUP($A147,lmic_raw[],11,FALSE),0)</f>
        <v>0</v>
      </c>
      <c r="M147" s="166" t="s">
        <v>244</v>
      </c>
      <c r="N147" s="161">
        <f>IFERROR(VLOOKUP(tordrup[[#This Row],[setting]],lmic_raw[],4,FALSE),0)</f>
        <v>0</v>
      </c>
      <c r="O147" s="167">
        <f>IFERROR(VLOOKUP(tordrup[[#This Row],[setting]],lmic_raw[],11,FALSE),0)</f>
        <v>0</v>
      </c>
      <c r="P147" s="168">
        <f>IFERROR(VLOOKUP(tordrup[[#This Row],[setting]],lmic_raw[],9,FALSE),0)</f>
        <v>0</v>
      </c>
      <c r="Q147" s="126">
        <v>40.958301748870241</v>
      </c>
      <c r="R147" s="126">
        <v>70.17830174887024</v>
      </c>
      <c r="S147" s="126">
        <v>181.24270121872996</v>
      </c>
      <c r="T147" s="126">
        <v>162.73196797375334</v>
      </c>
      <c r="U147" s="126"/>
      <c r="V147" s="126"/>
    </row>
    <row r="148" spans="1:22" x14ac:dyDescent="0.25">
      <c r="A148" s="137" t="s">
        <v>245</v>
      </c>
      <c r="B148">
        <v>14.135635732085813</v>
      </c>
      <c r="C148" s="33" t="str">
        <f>IFERROR(VLOOKUP($A148,lmic_raw[],4,FALSE),0)</f>
        <v>AMRO</v>
      </c>
      <c r="D148" s="33">
        <f>IFERROR(VLOOKUP($A148,lmic_raw[],10,FALSE),0)</f>
        <v>0.99990000000000001</v>
      </c>
      <c r="E148" s="33">
        <f>IFERROR(VLOOKUP($A148,lmic_raw[],11,FALSE),0)</f>
        <v>0.85</v>
      </c>
      <c r="M148" s="165" t="s">
        <v>245</v>
      </c>
      <c r="N148" s="160" t="str">
        <f>IFERROR(VLOOKUP(tordrup[[#This Row],[setting]],lmic_raw[],4,FALSE),0)</f>
        <v>AMRO</v>
      </c>
      <c r="O148" s="167">
        <f>IFERROR(VLOOKUP(tordrup[[#This Row],[setting]],lmic_raw[],11,FALSE),0)</f>
        <v>0.85</v>
      </c>
      <c r="P148" s="168">
        <f>IFERROR(VLOOKUP(tordrup[[#This Row],[setting]],lmic_raw[],9,FALSE),0)</f>
        <v>2212.9162699999997</v>
      </c>
      <c r="Q148" s="126">
        <v>35.522276776634584</v>
      </c>
      <c r="R148" s="126">
        <v>64.742276776634583</v>
      </c>
      <c r="S148" s="126">
        <v>129.90977142960134</v>
      </c>
      <c r="T148" s="126">
        <v>119.04852232077357</v>
      </c>
      <c r="U148" s="126"/>
      <c r="V148" s="126"/>
    </row>
    <row r="149" spans="1:22" x14ac:dyDescent="0.25">
      <c r="A149" s="138" t="s">
        <v>247</v>
      </c>
      <c r="B149">
        <v>12.818171164578915</v>
      </c>
      <c r="C149" s="33" t="str">
        <f>IFERROR(VLOOKUP($A149,lmic_raw[],4,FALSE),0)</f>
        <v>AMRO</v>
      </c>
      <c r="D149" s="33">
        <f>IFERROR(VLOOKUP($A149,lmic_raw[],10,FALSE),0)</f>
        <v>0</v>
      </c>
      <c r="E149" s="33">
        <f>IFERROR(VLOOKUP($A149,lmic_raw[],11,FALSE),0)</f>
        <v>0.99</v>
      </c>
      <c r="M149" s="166" t="s">
        <v>247</v>
      </c>
      <c r="N149" s="161" t="str">
        <f>IFERROR(VLOOKUP(tordrup[[#This Row],[setting]],lmic_raw[],4,FALSE),0)</f>
        <v>AMRO</v>
      </c>
      <c r="O149" s="167">
        <f>IFERROR(VLOOKUP(tordrup[[#This Row],[setting]],lmic_raw[],11,FALSE),0)</f>
        <v>0.99</v>
      </c>
      <c r="P149" s="168">
        <f>IFERROR(VLOOKUP(tordrup[[#This Row],[setting]],lmic_raw[],9,FALSE),0)</f>
        <v>1585.4612480000001</v>
      </c>
      <c r="Q149" s="126">
        <v>34.204812209127681</v>
      </c>
      <c r="R149" s="126">
        <v>63.42481220912768</v>
      </c>
      <c r="S149" s="126">
        <v>120.33572081037828</v>
      </c>
      <c r="T149" s="126">
        <v>110.85056937683652</v>
      </c>
      <c r="U149" s="126"/>
      <c r="V149" s="126"/>
    </row>
    <row r="150" spans="1:22" x14ac:dyDescent="0.25">
      <c r="A150" s="137" t="s">
        <v>299</v>
      </c>
      <c r="B150">
        <v>7.0735508882425417</v>
      </c>
      <c r="C150" s="33" t="str">
        <f>IFERROR(VLOOKUP($A150,lmic_raw[],4,FALSE),0)</f>
        <v>WPRO</v>
      </c>
      <c r="D150" s="33">
        <f>IFERROR(VLOOKUP($A150,lmic_raw[],10,FALSE),0)</f>
        <v>0.81900000000000006</v>
      </c>
      <c r="E150" s="33">
        <f>IFERROR(VLOOKUP($A150,lmic_raw[],11,FALSE),0)</f>
        <v>0.65</v>
      </c>
      <c r="M150" s="165" t="s">
        <v>299</v>
      </c>
      <c r="N150" s="160" t="str">
        <f>IFERROR(VLOOKUP(tordrup[[#This Row],[setting]],lmic_raw[],4,FALSE),0)</f>
        <v>WPRO</v>
      </c>
      <c r="O150" s="167">
        <f>IFERROR(VLOOKUP(tordrup[[#This Row],[setting]],lmic_raw[],11,FALSE),0)</f>
        <v>0.65</v>
      </c>
      <c r="P150" s="168">
        <f>IFERROR(VLOOKUP(tordrup[[#This Row],[setting]],lmic_raw[],9,FALSE),0)</f>
        <v>4836.0709409999999</v>
      </c>
      <c r="Q150" s="126">
        <v>28.460191932791311</v>
      </c>
      <c r="R150" s="126">
        <v>57.68019193279131</v>
      </c>
      <c r="S150" s="126">
        <v>77.115286804051152</v>
      </c>
      <c r="T150" s="126">
        <v>73.876104325507839</v>
      </c>
      <c r="U150" s="126"/>
      <c r="V150" s="126"/>
    </row>
    <row r="151" spans="1:22" x14ac:dyDescent="0.25">
      <c r="A151" s="138" t="s">
        <v>344</v>
      </c>
      <c r="B151">
        <v>71.249505091033413</v>
      </c>
      <c r="C151" s="33">
        <f>IFERROR(VLOOKUP($A151,lmic_raw[],4,FALSE),0)</f>
        <v>0</v>
      </c>
      <c r="D151" s="33">
        <f>IFERROR(VLOOKUP($A151,lmic_raw[],10,FALSE),0)</f>
        <v>0</v>
      </c>
      <c r="E151" s="33">
        <f>IFERROR(VLOOKUP($A151,lmic_raw[],11,FALSE),0)</f>
        <v>0</v>
      </c>
      <c r="M151" s="166" t="s">
        <v>344</v>
      </c>
      <c r="N151" s="161">
        <f>IFERROR(VLOOKUP(tordrup[[#This Row],[setting]],lmic_raw[],4,FALSE),0)</f>
        <v>0</v>
      </c>
      <c r="O151" s="167">
        <f>IFERROR(VLOOKUP(tordrup[[#This Row],[setting]],lmic_raw[],11,FALSE),0)</f>
        <v>0</v>
      </c>
      <c r="P151" s="168">
        <f>IFERROR(VLOOKUP(tordrup[[#This Row],[setting]],lmic_raw[],9,FALSE),0)</f>
        <v>0</v>
      </c>
      <c r="Q151" s="126">
        <v>92.63614613558218</v>
      </c>
      <c r="R151" s="126">
        <v>121.85614613558218</v>
      </c>
      <c r="S151" s="126">
        <v>746.6541033451</v>
      </c>
      <c r="T151" s="126">
        <v>642.52111047684707</v>
      </c>
      <c r="U151" s="126"/>
      <c r="V151" s="126"/>
    </row>
    <row r="152" spans="1:22" x14ac:dyDescent="0.25">
      <c r="A152" s="103" t="s">
        <v>684</v>
      </c>
      <c r="B152">
        <v>3.417883439664847</v>
      </c>
      <c r="C152" s="33" t="str">
        <f>IFERROR(VLOOKUP($A152,lmic_raw[],4,FALSE),0)</f>
        <v>AFRO</v>
      </c>
      <c r="D152" s="33">
        <f>IFERROR(VLOOKUP($A152,lmic_raw[],10,FALSE),0)</f>
        <v>0.91</v>
      </c>
      <c r="E152" s="33">
        <f>IFERROR(VLOOKUP($A152,lmic_raw[],11,FALSE),0)</f>
        <v>0.95</v>
      </c>
      <c r="M152" s="110" t="s">
        <v>684</v>
      </c>
      <c r="N152" s="163" t="str">
        <f>IFERROR(VLOOKUP(tordrup[[#This Row],[setting]],lmic_raw[],4,FALSE),0)</f>
        <v>AFRO</v>
      </c>
      <c r="O152" s="167">
        <f>IFERROR(VLOOKUP(tordrup[[#This Row],[setting]],lmic_raw[],11,FALSE),0)</f>
        <v>0.95</v>
      </c>
      <c r="P152" s="168">
        <f>IFERROR(VLOOKUP(tordrup[[#This Row],[setting]],lmic_raw[],9,FALSE),0)</f>
        <v>6827.7740000000003</v>
      </c>
      <c r="Q152" s="126">
        <v>24.804524484213616</v>
      </c>
      <c r="R152" s="126">
        <v>54.024524484213615</v>
      </c>
      <c r="S152" s="126">
        <v>58.301655399049508</v>
      </c>
      <c r="T152" s="126">
        <v>57.588800246576866</v>
      </c>
      <c r="U152" s="126"/>
      <c r="V152" s="126"/>
    </row>
    <row r="153" spans="1:22" x14ac:dyDescent="0.25">
      <c r="A153" s="138" t="s">
        <v>177</v>
      </c>
      <c r="B153">
        <v>16.592529114733807</v>
      </c>
      <c r="C153" s="33">
        <f>IFERROR(VLOOKUP($A153,lmic_raw[],4,FALSE),0)</f>
        <v>0</v>
      </c>
      <c r="D153" s="33">
        <f>IFERROR(VLOOKUP($A153,lmic_raw[],10,FALSE),0)</f>
        <v>0</v>
      </c>
      <c r="E153" s="33">
        <f>IFERROR(VLOOKUP($A153,lmic_raw[],11,FALSE),0)</f>
        <v>0</v>
      </c>
      <c r="M153" s="166" t="s">
        <v>177</v>
      </c>
      <c r="N153" s="161">
        <f>IFERROR(VLOOKUP(tordrup[[#This Row],[setting]],lmic_raw[],4,FALSE),0)</f>
        <v>0</v>
      </c>
      <c r="O153" s="167">
        <f>IFERROR(VLOOKUP(tordrup[[#This Row],[setting]],lmic_raw[],11,FALSE),0)</f>
        <v>0</v>
      </c>
      <c r="P153" s="168">
        <f>IFERROR(VLOOKUP(tordrup[[#This Row],[setting]],lmic_raw[],9,FALSE),0)</f>
        <v>0</v>
      </c>
      <c r="Q153" s="126">
        <v>37.979170159282575</v>
      </c>
      <c r="R153" s="126">
        <v>67.199170159282573</v>
      </c>
      <c r="S153" s="126">
        <v>169.77197638430326</v>
      </c>
      <c r="T153" s="126">
        <v>152.67650868013314</v>
      </c>
      <c r="U153" s="126"/>
      <c r="V153" s="126"/>
    </row>
    <row r="154" spans="1:22" x14ac:dyDescent="0.25">
      <c r="A154" s="137" t="s">
        <v>152</v>
      </c>
      <c r="B154">
        <v>3.6077882421883638</v>
      </c>
      <c r="C154" s="33" t="str">
        <f>IFERROR(VLOOKUP($A154,lmic_raw[],4,FALSE),0)</f>
        <v>AFRO</v>
      </c>
      <c r="D154" s="33">
        <f>IFERROR(VLOOKUP($A154,lmic_raw[],10,FALSE),0)</f>
        <v>0.81700000000000006</v>
      </c>
      <c r="E154" s="33">
        <f>IFERROR(VLOOKUP($A154,lmic_raw[],11,FALSE),0)</f>
        <v>0.81</v>
      </c>
      <c r="M154" s="165" t="s">
        <v>152</v>
      </c>
      <c r="N154" s="160" t="str">
        <f>IFERROR(VLOOKUP(tordrup[[#This Row],[setting]],lmic_raw[],4,FALSE),0)</f>
        <v>AFRO</v>
      </c>
      <c r="O154" s="167">
        <f>IFERROR(VLOOKUP(tordrup[[#This Row],[setting]],lmic_raw[],11,FALSE),0)</f>
        <v>0.81</v>
      </c>
      <c r="P154" s="168">
        <f>IFERROR(VLOOKUP(tordrup[[#This Row],[setting]],lmic_raw[],9,FALSE),0)</f>
        <v>566086.72679400002</v>
      </c>
      <c r="Q154" s="126">
        <v>24.99442928673713</v>
      </c>
      <c r="R154" s="126">
        <v>54.214429286737129</v>
      </c>
      <c r="S154" s="126">
        <v>58.985075307131027</v>
      </c>
      <c r="T154" s="126">
        <v>58.189967637065365</v>
      </c>
      <c r="U154" s="126"/>
      <c r="V154" s="126"/>
    </row>
    <row r="155" spans="1:22" x14ac:dyDescent="0.25">
      <c r="A155" s="138" t="s">
        <v>345</v>
      </c>
      <c r="B155">
        <v>9.9814681768838884</v>
      </c>
      <c r="C155" s="33" t="str">
        <f>IFERROR(VLOOKUP($A155,lmic_raw[],4,FALSE),0)</f>
        <v>EURO</v>
      </c>
      <c r="D155" s="33">
        <f>IFERROR(VLOOKUP($A155,lmic_raw[],10,FALSE),0)</f>
        <v>0.98199999999999998</v>
      </c>
      <c r="E155" s="33">
        <f>IFERROR(VLOOKUP($A155,lmic_raw[],11,FALSE),0)</f>
        <v>0.99</v>
      </c>
      <c r="M155" s="166" t="s">
        <v>345</v>
      </c>
      <c r="N155" s="161" t="str">
        <f>IFERROR(VLOOKUP(tordrup[[#This Row],[setting]],lmic_raw[],4,FALSE),0)</f>
        <v>EURO</v>
      </c>
      <c r="O155" s="167">
        <f>IFERROR(VLOOKUP(tordrup[[#This Row],[setting]],lmic_raw[],11,FALSE),0)</f>
        <v>0.99</v>
      </c>
      <c r="P155" s="168">
        <f>IFERROR(VLOOKUP(tordrup[[#This Row],[setting]],lmic_raw[],9,FALSE),0)</f>
        <v>83792.321855999995</v>
      </c>
      <c r="Q155" s="126">
        <v>31.368109221432654</v>
      </c>
      <c r="R155" s="126">
        <v>60.588109221432653</v>
      </c>
      <c r="S155" s="126">
        <v>103.72759630568413</v>
      </c>
      <c r="T155" s="126">
        <v>96.537681791642228</v>
      </c>
      <c r="U155" s="126"/>
      <c r="V155" s="126"/>
    </row>
    <row r="156" spans="1:22" x14ac:dyDescent="0.25">
      <c r="A156" s="137" t="s">
        <v>114</v>
      </c>
      <c r="B156">
        <v>19.927732209053069</v>
      </c>
      <c r="C156" s="33">
        <f>IFERROR(VLOOKUP($A156,lmic_raw[],4,FALSE),0)</f>
        <v>0</v>
      </c>
      <c r="D156" s="33">
        <f>IFERROR(VLOOKUP($A156,lmic_raw[],10,FALSE),0)</f>
        <v>0</v>
      </c>
      <c r="E156" s="33">
        <f>IFERROR(VLOOKUP($A156,lmic_raw[],11,FALSE),0)</f>
        <v>0</v>
      </c>
      <c r="M156" s="165" t="s">
        <v>114</v>
      </c>
      <c r="N156" s="160">
        <f>IFERROR(VLOOKUP(tordrup[[#This Row],[setting]],lmic_raw[],4,FALSE),0)</f>
        <v>0</v>
      </c>
      <c r="O156" s="167">
        <f>IFERROR(VLOOKUP(tordrup[[#This Row],[setting]],lmic_raw[],11,FALSE),0)</f>
        <v>0</v>
      </c>
      <c r="P156" s="168">
        <f>IFERROR(VLOOKUP(tordrup[[#This Row],[setting]],lmic_raw[],9,FALSE),0)</f>
        <v>0</v>
      </c>
      <c r="Q156" s="126">
        <v>41.314373253601836</v>
      </c>
      <c r="R156" s="126">
        <v>70.534373253601842</v>
      </c>
      <c r="S156" s="126">
        <v>195.37802781356478</v>
      </c>
      <c r="T156" s="126">
        <v>174.57075205357094</v>
      </c>
      <c r="U156" s="126"/>
      <c r="V156" s="126"/>
    </row>
    <row r="157" spans="1:22" x14ac:dyDescent="0.25">
      <c r="A157" s="138" t="s">
        <v>153</v>
      </c>
      <c r="B157">
        <v>2.6463951794130609</v>
      </c>
      <c r="C157" s="33" t="str">
        <f>IFERROR(VLOOKUP($A157,lmic_raw[],4,FALSE),0)</f>
        <v>AFRO</v>
      </c>
      <c r="D157" s="33">
        <f>IFERROR(VLOOKUP($A157,lmic_raw[],10,FALSE),0)</f>
        <v>0.83400000000000007</v>
      </c>
      <c r="E157" s="33">
        <f>IFERROR(VLOOKUP($A157,lmic_raw[],11,FALSE),0)</f>
        <v>0</v>
      </c>
      <c r="M157" s="166" t="s">
        <v>153</v>
      </c>
      <c r="N157" s="161" t="str">
        <f>IFERROR(VLOOKUP(tordrup[[#This Row],[setting]],lmic_raw[],4,FALSE),0)</f>
        <v>AFRO</v>
      </c>
      <c r="O157" s="167">
        <f>IFERROR(VLOOKUP(tordrup[[#This Row],[setting]],lmic_raw[],11,FALSE),0)</f>
        <v>0</v>
      </c>
      <c r="P157" s="168">
        <f>IFERROR(VLOOKUP(tordrup[[#This Row],[setting]],lmic_raw[],9,FALSE),0)</f>
        <v>263500.40607500001</v>
      </c>
      <c r="Q157" s="126">
        <v>24.03303622396183</v>
      </c>
      <c r="R157" s="126">
        <v>53.253036223961828</v>
      </c>
      <c r="S157" s="126">
        <v>55.039090891695501</v>
      </c>
      <c r="T157" s="126">
        <v>54.74141511373989</v>
      </c>
      <c r="U157" s="126"/>
      <c r="V157" s="126"/>
    </row>
    <row r="158" spans="1:22" x14ac:dyDescent="0.25">
      <c r="A158" s="137" t="s">
        <v>218</v>
      </c>
      <c r="B158">
        <v>51.997905735211923</v>
      </c>
      <c r="C158" s="33">
        <f>IFERROR(VLOOKUP($A158,lmic_raw[],4,FALSE),0)</f>
        <v>0</v>
      </c>
      <c r="D158" s="33">
        <f>IFERROR(VLOOKUP($A158,lmic_raw[],10,FALSE),0)</f>
        <v>0</v>
      </c>
      <c r="E158" s="33">
        <f>IFERROR(VLOOKUP($A158,lmic_raw[],11,FALSE),0)</f>
        <v>0</v>
      </c>
      <c r="M158" s="165" t="s">
        <v>218</v>
      </c>
      <c r="N158" s="160">
        <f>IFERROR(VLOOKUP(tordrup[[#This Row],[setting]],lmic_raw[],4,FALSE),0)</f>
        <v>0</v>
      </c>
      <c r="O158" s="167">
        <f>IFERROR(VLOOKUP(tordrup[[#This Row],[setting]],lmic_raw[],11,FALSE),0)</f>
        <v>0</v>
      </c>
      <c r="P158" s="168">
        <f>IFERROR(VLOOKUP(tordrup[[#This Row],[setting]],lmic_raw[],9,FALSE),0)</f>
        <v>0</v>
      </c>
      <c r="Q158" s="126">
        <v>73.384546779760697</v>
      </c>
      <c r="R158" s="126">
        <v>102.6045467797607</v>
      </c>
      <c r="S158" s="126">
        <v>581.97221931175375</v>
      </c>
      <c r="T158" s="126">
        <v>502.07760722308825</v>
      </c>
      <c r="U158" s="126"/>
      <c r="V158" s="126"/>
    </row>
    <row r="159" spans="1:22" x14ac:dyDescent="0.25">
      <c r="A159" s="138" t="s">
        <v>315</v>
      </c>
      <c r="B159">
        <v>25.019554726714855</v>
      </c>
      <c r="C159" s="33">
        <f>IFERROR(VLOOKUP($A159,lmic_raw[],4,FALSE),0)</f>
        <v>0</v>
      </c>
      <c r="D159" s="33">
        <f>IFERROR(VLOOKUP($A159,lmic_raw[],10,FALSE),0)</f>
        <v>0</v>
      </c>
      <c r="E159" s="33">
        <f>IFERROR(VLOOKUP($A159,lmic_raw[],11,FALSE),0)</f>
        <v>0</v>
      </c>
      <c r="M159" s="166" t="s">
        <v>315</v>
      </c>
      <c r="N159" s="161">
        <f>IFERROR(VLOOKUP(tordrup[[#This Row],[setting]],lmic_raw[],4,FALSE),0)</f>
        <v>0</v>
      </c>
      <c r="O159" s="167">
        <f>IFERROR(VLOOKUP(tordrup[[#This Row],[setting]],lmic_raw[],11,FALSE),0)</f>
        <v>0</v>
      </c>
      <c r="P159" s="168">
        <f>IFERROR(VLOOKUP(tordrup[[#This Row],[setting]],lmic_raw[],9,FALSE),0)</f>
        <v>0</v>
      </c>
      <c r="Q159" s="126">
        <v>46.406195771263626</v>
      </c>
      <c r="R159" s="126">
        <v>75.626195771263625</v>
      </c>
      <c r="S159" s="126">
        <v>236.03427222381814</v>
      </c>
      <c r="T159" s="126">
        <v>209.29959281505904</v>
      </c>
      <c r="U159" s="126"/>
      <c r="V159" s="126"/>
    </row>
    <row r="160" spans="1:22" x14ac:dyDescent="0.25">
      <c r="A160" s="137" t="s">
        <v>346</v>
      </c>
      <c r="B160">
        <v>34.716568705571916</v>
      </c>
      <c r="C160" s="33">
        <f>IFERROR(VLOOKUP($A160,lmic_raw[],4,FALSE),0)</f>
        <v>0</v>
      </c>
      <c r="D160" s="33">
        <f>IFERROR(VLOOKUP($A160,lmic_raw[],10,FALSE),0)</f>
        <v>0</v>
      </c>
      <c r="E160" s="33">
        <f>IFERROR(VLOOKUP($A160,lmic_raw[],11,FALSE),0)</f>
        <v>0</v>
      </c>
      <c r="M160" s="165" t="s">
        <v>346</v>
      </c>
      <c r="N160" s="160">
        <f>IFERROR(VLOOKUP(tordrup[[#This Row],[setting]],lmic_raw[],4,FALSE),0)</f>
        <v>0</v>
      </c>
      <c r="O160" s="167">
        <f>IFERROR(VLOOKUP(tordrup[[#This Row],[setting]],lmic_raw[],11,FALSE),0)</f>
        <v>0</v>
      </c>
      <c r="P160" s="168">
        <f>IFERROR(VLOOKUP(tordrup[[#This Row],[setting]],lmic_raw[],9,FALSE),0)</f>
        <v>0</v>
      </c>
      <c r="Q160" s="126">
        <v>56.103209750120683</v>
      </c>
      <c r="R160" s="126">
        <v>85.323209750120682</v>
      </c>
      <c r="S160" s="126">
        <v>324.29419086364459</v>
      </c>
      <c r="T160" s="126">
        <v>284.46569401139061</v>
      </c>
      <c r="U160" s="126"/>
      <c r="V160" s="126"/>
    </row>
    <row r="161" spans="1:22" x14ac:dyDescent="0.25">
      <c r="A161" s="138" t="s">
        <v>284</v>
      </c>
      <c r="B161">
        <v>5.8154315715242433</v>
      </c>
      <c r="C161" s="33" t="str">
        <f>IFERROR(VLOOKUP($A161,lmic_raw[],4,FALSE),0)</f>
        <v>WPRO</v>
      </c>
      <c r="D161" s="33">
        <f>IFERROR(VLOOKUP($A161,lmic_raw[],10,FALSE),0)</f>
        <v>0.84499999999999997</v>
      </c>
      <c r="E161" s="33">
        <f>IFERROR(VLOOKUP($A161,lmic_raw[],11,FALSE),0)</f>
        <v>0.66</v>
      </c>
      <c r="M161" s="166" t="s">
        <v>284</v>
      </c>
      <c r="N161" s="161" t="str">
        <f>IFERROR(VLOOKUP(tordrup[[#This Row],[setting]],lmic_raw[],4,FALSE),0)</f>
        <v>WPRO</v>
      </c>
      <c r="O161" s="167">
        <f>IFERROR(VLOOKUP(tordrup[[#This Row],[setting]],lmic_raw[],11,FALSE),0)</f>
        <v>0.66</v>
      </c>
      <c r="P161" s="168">
        <f>IFERROR(VLOOKUP(tordrup[[#This Row],[setting]],lmic_raw[],9,FALSE),0)</f>
        <v>21909.84491</v>
      </c>
      <c r="Q161" s="126">
        <v>27.202072616073011</v>
      </c>
      <c r="R161" s="126">
        <v>56.422072616073009</v>
      </c>
      <c r="S161" s="126">
        <v>68.947956009521008</v>
      </c>
      <c r="T161" s="126">
        <v>66.86030877727967</v>
      </c>
      <c r="U161" s="126"/>
      <c r="V161" s="126"/>
    </row>
    <row r="162" spans="1:22" x14ac:dyDescent="0.25">
      <c r="A162" s="137" t="s">
        <v>115</v>
      </c>
      <c r="C162" s="33" t="str">
        <f>IFERROR(VLOOKUP($A162,lmic_raw[],4,FALSE),0)</f>
        <v>EMRO</v>
      </c>
      <c r="D162" s="33">
        <f>IFERROR(VLOOKUP($A162,lmic_raw[],10,FALSE),0)</f>
        <v>0.20699999999999999</v>
      </c>
      <c r="E162" s="33">
        <f>IFERROR(VLOOKUP($A162,lmic_raw[],11,FALSE),0)</f>
        <v>0</v>
      </c>
      <c r="M162" s="165" t="s">
        <v>115</v>
      </c>
      <c r="N162" s="160" t="str">
        <f>IFERROR(VLOOKUP(tordrup[[#This Row],[setting]],lmic_raw[],4,FALSE),0)</f>
        <v>EMRO</v>
      </c>
      <c r="O162" s="167">
        <f>IFERROR(VLOOKUP(tordrup[[#This Row],[setting]],lmic_raw[],11,FALSE),0)</f>
        <v>0</v>
      </c>
      <c r="P162" s="168">
        <f>IFERROR(VLOOKUP(tordrup[[#This Row],[setting]],lmic_raw[],9,FALSE),0)</f>
        <v>646563.58840800007</v>
      </c>
      <c r="Q162" s="126"/>
      <c r="R162" s="126"/>
      <c r="S162" s="126"/>
      <c r="T162" s="126"/>
      <c r="U162" s="126"/>
      <c r="V162" s="126"/>
    </row>
    <row r="163" spans="1:22" x14ac:dyDescent="0.25">
      <c r="A163" s="138" t="s">
        <v>136</v>
      </c>
      <c r="B163">
        <v>12.450230609689605</v>
      </c>
      <c r="C163" s="33" t="str">
        <f>IFERROR(VLOOKUP($A163,lmic_raw[],4,FALSE),0)</f>
        <v>AFRO</v>
      </c>
      <c r="D163" s="33">
        <f>IFERROR(VLOOKUP($A163,lmic_raw[],10,FALSE),0)</f>
        <v>0.95900000000000007</v>
      </c>
      <c r="E163" s="33">
        <f>IFERROR(VLOOKUP($A163,lmic_raw[],11,FALSE),0)</f>
        <v>0</v>
      </c>
      <c r="M163" s="166" t="s">
        <v>136</v>
      </c>
      <c r="N163" s="161" t="str">
        <f>IFERROR(VLOOKUP(tordrup[[#This Row],[setting]],lmic_raw[],4,FALSE),0)</f>
        <v>AFRO</v>
      </c>
      <c r="O163" s="167">
        <f>IFERROR(VLOOKUP(tordrup[[#This Row],[setting]],lmic_raw[],11,FALSE),0)</f>
        <v>0</v>
      </c>
      <c r="P163" s="168">
        <f>IFERROR(VLOOKUP(tordrup[[#This Row],[setting]],lmic_raw[],9,FALSE),0)</f>
        <v>1209989.4710210001</v>
      </c>
      <c r="Q163" s="126">
        <v>33.836871654238372</v>
      </c>
      <c r="R163" s="126">
        <v>63.056871654238371</v>
      </c>
      <c r="S163" s="126">
        <v>117.76654621323826</v>
      </c>
      <c r="T163" s="126">
        <v>108.64826712007161</v>
      </c>
      <c r="U163" s="126"/>
      <c r="V163" s="126"/>
    </row>
    <row r="164" spans="1:22" x14ac:dyDescent="0.25">
      <c r="A164" s="137" t="s">
        <v>116</v>
      </c>
      <c r="C164" s="33" t="str">
        <f>IFERROR(VLOOKUP($A164,lmic_raw[],4,FALSE),0)</f>
        <v>AFRO</v>
      </c>
      <c r="D164" s="33">
        <f>IFERROR(VLOOKUP($A164,lmic_raw[],10,FALSE),0)</f>
        <v>0.115</v>
      </c>
      <c r="E164" s="33">
        <f>IFERROR(VLOOKUP($A164,lmic_raw[],11,FALSE),0)</f>
        <v>0</v>
      </c>
      <c r="M164" s="165" t="s">
        <v>116</v>
      </c>
      <c r="N164" s="160" t="str">
        <f>IFERROR(VLOOKUP(tordrup[[#This Row],[setting]],lmic_raw[],4,FALSE),0)</f>
        <v>AFRO</v>
      </c>
      <c r="O164" s="167">
        <f>IFERROR(VLOOKUP(tordrup[[#This Row],[setting]],lmic_raw[],11,FALSE),0)</f>
        <v>0</v>
      </c>
      <c r="P164" s="168">
        <f>IFERROR(VLOOKUP(tordrup[[#This Row],[setting]],lmic_raw[],9,FALSE),0)</f>
        <v>389286.85377400002</v>
      </c>
      <c r="Q164" s="126"/>
      <c r="R164" s="126"/>
      <c r="S164" s="126"/>
      <c r="T164" s="126"/>
      <c r="U164" s="126"/>
      <c r="V164" s="126"/>
    </row>
    <row r="165" spans="1:22" x14ac:dyDescent="0.25">
      <c r="A165" s="138" t="s">
        <v>347</v>
      </c>
      <c r="B165">
        <v>44.461058885059856</v>
      </c>
      <c r="C165" s="33">
        <f>IFERROR(VLOOKUP($A165,lmic_raw[],4,FALSE),0)</f>
        <v>0</v>
      </c>
      <c r="D165" s="33">
        <f>IFERROR(VLOOKUP($A165,lmic_raw[],10,FALSE),0)</f>
        <v>0</v>
      </c>
      <c r="E165" s="33">
        <f>IFERROR(VLOOKUP($A165,lmic_raw[],11,FALSE),0)</f>
        <v>0</v>
      </c>
      <c r="M165" s="166" t="s">
        <v>347</v>
      </c>
      <c r="N165" s="161">
        <f>IFERROR(VLOOKUP(tordrup[[#This Row],[setting]],lmic_raw[],4,FALSE),0)</f>
        <v>0</v>
      </c>
      <c r="O165" s="167">
        <f>IFERROR(VLOOKUP(tordrup[[#This Row],[setting]],lmic_raw[],11,FALSE),0)</f>
        <v>0</v>
      </c>
      <c r="P165" s="168">
        <f>IFERROR(VLOOKUP(tordrup[[#This Row],[setting]],lmic_raw[],9,FALSE),0)</f>
        <v>0</v>
      </c>
      <c r="Q165" s="126">
        <v>65.847699929608623</v>
      </c>
      <c r="R165" s="126">
        <v>95.067699929608622</v>
      </c>
      <c r="S165" s="126">
        <v>424.14827245953785</v>
      </c>
      <c r="T165" s="126">
        <v>369.30151037121635</v>
      </c>
      <c r="U165" s="126"/>
      <c r="V165" s="126"/>
    </row>
    <row r="166" spans="1:22" x14ac:dyDescent="0.25">
      <c r="A166" s="137" t="s">
        <v>199</v>
      </c>
      <c r="B166">
        <v>4.782824207802622</v>
      </c>
      <c r="C166" s="33" t="str">
        <f>IFERROR(VLOOKUP($A166,lmic_raw[],4,FALSE),0)</f>
        <v>SEARO</v>
      </c>
      <c r="D166" s="33">
        <f>IFERROR(VLOOKUP($A166,lmic_raw[],10,FALSE),0)</f>
        <v>0.995</v>
      </c>
      <c r="E166" s="33">
        <f>IFERROR(VLOOKUP($A166,lmic_raw[],11,FALSE),0)</f>
        <v>0</v>
      </c>
      <c r="M166" s="165" t="s">
        <v>199</v>
      </c>
      <c r="N166" s="160" t="str">
        <f>IFERROR(VLOOKUP(tordrup[[#This Row],[setting]],lmic_raw[],4,FALSE),0)</f>
        <v>SEARO</v>
      </c>
      <c r="O166" s="167">
        <f>IFERROR(VLOOKUP(tordrup[[#This Row],[setting]],lmic_raw[],11,FALSE),0)</f>
        <v>0</v>
      </c>
      <c r="P166" s="168">
        <f>IFERROR(VLOOKUP(tordrup[[#This Row],[setting]],lmic_raw[],9,FALSE),0)</f>
        <v>341648.866148</v>
      </c>
      <c r="Q166" s="126">
        <v>26.16946525235139</v>
      </c>
      <c r="R166" s="126">
        <v>55.389465252351386</v>
      </c>
      <c r="S166" s="126">
        <v>67.171159200910353</v>
      </c>
      <c r="T166" s="126">
        <v>65.207543542817191</v>
      </c>
      <c r="U166" s="126"/>
      <c r="V166" s="126"/>
    </row>
    <row r="167" spans="1:22" x14ac:dyDescent="0.25">
      <c r="A167" s="100" t="s">
        <v>647</v>
      </c>
      <c r="B167">
        <v>4.0232049977085564</v>
      </c>
      <c r="C167" s="33" t="str">
        <f>IFERROR(VLOOKUP($A167,lmic_raw[],4,FALSE),0)</f>
        <v>EMRO</v>
      </c>
      <c r="D167" s="33">
        <f>IFERROR(VLOOKUP($A167,lmic_raw[],10,FALSE),0)</f>
        <v>0.27699999999999997</v>
      </c>
      <c r="E167" s="33">
        <f>IFERROR(VLOOKUP($A167,lmic_raw[],11,FALSE),0)</f>
        <v>0</v>
      </c>
      <c r="M167" s="109" t="s">
        <v>647</v>
      </c>
      <c r="N167" s="162" t="str">
        <f>IFERROR(VLOOKUP(tordrup[[#This Row],[setting]],lmic_raw[],4,FALSE),0)</f>
        <v>EMRO</v>
      </c>
      <c r="O167" s="167">
        <f>IFERROR(VLOOKUP(tordrup[[#This Row],[setting]],lmic_raw[],11,FALSE),0)</f>
        <v>0</v>
      </c>
      <c r="P167" s="168">
        <f>IFERROR(VLOOKUP(tordrup[[#This Row],[setting]],lmic_raw[],9,FALSE),0)</f>
        <v>1385479.1625569998</v>
      </c>
      <c r="Q167" s="126">
        <v>25.409846042257325</v>
      </c>
      <c r="R167" s="126">
        <v>54.629846042257327</v>
      </c>
      <c r="S167" s="126">
        <v>61.30405032694631</v>
      </c>
      <c r="T167" s="126">
        <v>60.191682946164818</v>
      </c>
      <c r="U167" s="126"/>
      <c r="V167" s="126"/>
    </row>
    <row r="168" spans="1:22" x14ac:dyDescent="0.25">
      <c r="A168" s="137" t="s">
        <v>273</v>
      </c>
      <c r="B168">
        <v>9.9102538759375705</v>
      </c>
      <c r="C168" s="33" t="str">
        <f>IFERROR(VLOOKUP($A168,lmic_raw[],4,FALSE),0)</f>
        <v>AMRO</v>
      </c>
      <c r="D168" s="33">
        <f>IFERROR(VLOOKUP($A168,lmic_raw[],10,FALSE),0)</f>
        <v>0.92900000000000005</v>
      </c>
      <c r="E168" s="33">
        <f>IFERROR(VLOOKUP($A168,lmic_raw[],11,FALSE),0)</f>
        <v>0.79</v>
      </c>
      <c r="M168" s="165" t="s">
        <v>273</v>
      </c>
      <c r="N168" s="160" t="str">
        <f>IFERROR(VLOOKUP(tordrup[[#This Row],[setting]],lmic_raw[],4,FALSE),0)</f>
        <v>AMRO</v>
      </c>
      <c r="O168" s="167">
        <f>IFERROR(VLOOKUP(tordrup[[#This Row],[setting]],lmic_raw[],11,FALSE),0)</f>
        <v>0.79</v>
      </c>
      <c r="P168" s="168">
        <f>IFERROR(VLOOKUP(tordrup[[#This Row],[setting]],lmic_raw[],9,FALSE),0)</f>
        <v>10851.721758000002</v>
      </c>
      <c r="Q168" s="126">
        <v>31.296894920486338</v>
      </c>
      <c r="R168" s="126">
        <v>60.516894920486337</v>
      </c>
      <c r="S168" s="126">
        <v>98.329552293953185</v>
      </c>
      <c r="T168" s="126">
        <v>92.027442731708703</v>
      </c>
      <c r="U168" s="126"/>
      <c r="V168" s="126"/>
    </row>
    <row r="169" spans="1:22" x14ac:dyDescent="0.25">
      <c r="A169" s="138" t="s">
        <v>133</v>
      </c>
      <c r="B169">
        <v>6.6462650825646286</v>
      </c>
      <c r="C169" s="33" t="str">
        <f>IFERROR(VLOOKUP($A169,lmic_raw[],4,FALSE),0)</f>
        <v>AFRO</v>
      </c>
      <c r="D169" s="33">
        <f>IFERROR(VLOOKUP($A169,lmic_raw[],10,FALSE),0)</f>
        <v>0.877</v>
      </c>
      <c r="E169" s="33">
        <f>IFERROR(VLOOKUP($A169,lmic_raw[],11,FALSE),0)</f>
        <v>0</v>
      </c>
      <c r="M169" s="166" t="s">
        <v>133</v>
      </c>
      <c r="N169" s="161" t="str">
        <f>IFERROR(VLOOKUP(tordrup[[#This Row],[setting]],lmic_raw[],4,FALSE),0)</f>
        <v>AFRO</v>
      </c>
      <c r="O169" s="167">
        <f>IFERROR(VLOOKUP(tordrup[[#This Row],[setting]],lmic_raw[],11,FALSE),0)</f>
        <v>0</v>
      </c>
      <c r="P169" s="168">
        <f>IFERROR(VLOOKUP(tordrup[[#This Row],[setting]],lmic_raw[],9,FALSE),0)</f>
        <v>30670.076829000001</v>
      </c>
      <c r="Q169" s="126">
        <v>28.032906127113396</v>
      </c>
      <c r="R169" s="126">
        <v>57.252906127113391</v>
      </c>
      <c r="S169" s="126">
        <v>76.593998121124088</v>
      </c>
      <c r="T169" s="126">
        <v>73.370482788788976</v>
      </c>
      <c r="U169" s="126"/>
      <c r="V169" s="126"/>
    </row>
    <row r="170" spans="1:22" x14ac:dyDescent="0.25">
      <c r="A170" s="137" t="s">
        <v>329</v>
      </c>
      <c r="B170">
        <v>69.575969018794922</v>
      </c>
      <c r="C170" s="33">
        <f>IFERROR(VLOOKUP($A170,lmic_raw[],4,FALSE),0)</f>
        <v>0</v>
      </c>
      <c r="D170" s="33">
        <f>IFERROR(VLOOKUP($A170,lmic_raw[],10,FALSE),0)</f>
        <v>0</v>
      </c>
      <c r="E170" s="33">
        <f>IFERROR(VLOOKUP($A170,lmic_raw[],11,FALSE),0)</f>
        <v>0</v>
      </c>
      <c r="M170" s="165" t="s">
        <v>329</v>
      </c>
      <c r="N170" s="160">
        <f>IFERROR(VLOOKUP(tordrup[[#This Row],[setting]],lmic_raw[],4,FALSE),0)</f>
        <v>0</v>
      </c>
      <c r="O170" s="167">
        <f>IFERROR(VLOOKUP(tordrup[[#This Row],[setting]],lmic_raw[],11,FALSE),0)</f>
        <v>0</v>
      </c>
      <c r="P170" s="168">
        <f>IFERROR(VLOOKUP(tordrup[[#This Row],[setting]],lmic_raw[],9,FALSE),0)</f>
        <v>0</v>
      </c>
      <c r="Q170" s="126">
        <v>90.962610063343689</v>
      </c>
      <c r="R170" s="126">
        <v>120.18261006334369</v>
      </c>
      <c r="S170" s="126">
        <v>685.25740592724082</v>
      </c>
      <c r="T170" s="126">
        <v>591.078273283258</v>
      </c>
      <c r="U170" s="126"/>
      <c r="V170" s="126"/>
    </row>
    <row r="171" spans="1:22" x14ac:dyDescent="0.25">
      <c r="A171" s="138" t="s">
        <v>357</v>
      </c>
      <c r="B171">
        <v>96.649272428553743</v>
      </c>
      <c r="C171" s="33">
        <f>IFERROR(VLOOKUP($A171,lmic_raw[],4,FALSE),0)</f>
        <v>0</v>
      </c>
      <c r="D171" s="33">
        <f>IFERROR(VLOOKUP($A171,lmic_raw[],10,FALSE),0)</f>
        <v>0</v>
      </c>
      <c r="E171" s="33">
        <f>IFERROR(VLOOKUP($A171,lmic_raw[],11,FALSE),0)</f>
        <v>0</v>
      </c>
      <c r="M171" s="166" t="s">
        <v>357</v>
      </c>
      <c r="N171" s="161">
        <f>IFERROR(VLOOKUP(tordrup[[#This Row],[setting]],lmic_raw[],4,FALSE),0)</f>
        <v>0</v>
      </c>
      <c r="O171" s="167">
        <f>IFERROR(VLOOKUP(tordrup[[#This Row],[setting]],lmic_raw[],11,FALSE),0)</f>
        <v>0</v>
      </c>
      <c r="P171" s="168">
        <f>IFERROR(VLOOKUP(tordrup[[#This Row],[setting]],lmic_raw[],9,FALSE),0)</f>
        <v>0</v>
      </c>
      <c r="Q171" s="126">
        <v>118.03591347310251</v>
      </c>
      <c r="R171" s="126">
        <v>147.25591347310251</v>
      </c>
      <c r="S171" s="126">
        <v>1000.6610345794263</v>
      </c>
      <c r="T171" s="126">
        <v>858.42684772837242</v>
      </c>
      <c r="U171" s="126"/>
      <c r="V171" s="126"/>
    </row>
    <row r="172" spans="1:22" x14ac:dyDescent="0.25">
      <c r="A172" s="100" t="s">
        <v>648</v>
      </c>
      <c r="B172">
        <v>7.4770985936050138</v>
      </c>
      <c r="C172" s="33" t="str">
        <f>IFERROR(VLOOKUP($A172,lmic_raw[],4,FALSE),0)</f>
        <v>EMRO</v>
      </c>
      <c r="D172" s="33">
        <f>IFERROR(VLOOKUP($A172,lmic_raw[],10,FALSE),0)</f>
        <v>0.78200000000000003</v>
      </c>
      <c r="E172" s="33">
        <f>IFERROR(VLOOKUP($A172,lmic_raw[],11,FALSE),0)</f>
        <v>0</v>
      </c>
      <c r="M172" s="109" t="s">
        <v>648</v>
      </c>
      <c r="N172" s="162" t="str">
        <f>IFERROR(VLOOKUP(tordrup[[#This Row],[setting]],lmic_raw[],4,FALSE),0)</f>
        <v>EMRO</v>
      </c>
      <c r="O172" s="167">
        <f>IFERROR(VLOOKUP(tordrup[[#This Row],[setting]],lmic_raw[],11,FALSE),0)</f>
        <v>0</v>
      </c>
      <c r="P172" s="168">
        <f>IFERROR(VLOOKUP(tordrup[[#This Row],[setting]],lmic_raw[],9,FALSE),0)</f>
        <v>409751.44852800004</v>
      </c>
      <c r="Q172" s="126">
        <v>28.863739638153781</v>
      </c>
      <c r="R172" s="126">
        <v>58.08373963815378</v>
      </c>
      <c r="S172" s="126">
        <v>81.545291084918475</v>
      </c>
      <c r="T172" s="126">
        <v>77.635032510457691</v>
      </c>
      <c r="U172" s="126"/>
      <c r="V172" s="126"/>
    </row>
    <row r="173" spans="1:22" x14ac:dyDescent="0.25">
      <c r="A173" s="138" t="s">
        <v>187</v>
      </c>
      <c r="B173">
        <v>3.2398476872990498</v>
      </c>
      <c r="C173" s="33" t="str">
        <f>IFERROR(VLOOKUP($A173,lmic_raw[],4,FALSE),0)</f>
        <v>EURO</v>
      </c>
      <c r="D173" s="33">
        <f>IFERROR(VLOOKUP($A173,lmic_raw[],10,FALSE),0)</f>
        <v>0.88200000000000001</v>
      </c>
      <c r="E173" s="33">
        <f>IFERROR(VLOOKUP($A173,lmic_raw[],11,FALSE),0)</f>
        <v>0.99</v>
      </c>
      <c r="M173" s="166" t="s">
        <v>187</v>
      </c>
      <c r="N173" s="161" t="str">
        <f>IFERROR(VLOOKUP(tordrup[[#This Row],[setting]],lmic_raw[],4,FALSE),0)</f>
        <v>EURO</v>
      </c>
      <c r="O173" s="167">
        <f>IFERROR(VLOOKUP(tordrup[[#This Row],[setting]],lmic_raw[],11,FALSE),0)</f>
        <v>0.99</v>
      </c>
      <c r="P173" s="168">
        <f>IFERROR(VLOOKUP(tordrup[[#This Row],[setting]],lmic_raw[],9,FALSE),0)</f>
        <v>290927.76987599995</v>
      </c>
      <c r="Q173" s="126">
        <v>24.626488731847818</v>
      </c>
      <c r="R173" s="126">
        <v>53.846488731847813</v>
      </c>
      <c r="S173" s="126">
        <v>57.739774564583058</v>
      </c>
      <c r="T173" s="126">
        <v>57.090893592460517</v>
      </c>
      <c r="U173" s="126"/>
      <c r="V173" s="126"/>
    </row>
    <row r="174" spans="1:22" x14ac:dyDescent="0.25">
      <c r="A174" s="137" t="s">
        <v>219</v>
      </c>
      <c r="B174">
        <v>7.5008366939204532</v>
      </c>
      <c r="C174" s="33" t="str">
        <f>IFERROR(VLOOKUP($A174,lmic_raw[],4,FALSE),0)</f>
        <v>SEARO</v>
      </c>
      <c r="D174" s="33">
        <f>IFERROR(VLOOKUP($A174,lmic_raw[],10,FALSE),0)</f>
        <v>0.98599999999999999</v>
      </c>
      <c r="E174" s="33">
        <f>IFERROR(VLOOKUP($A174,lmic_raw[],11,FALSE),0)</f>
        <v>0.99</v>
      </c>
      <c r="M174" s="165" t="s">
        <v>219</v>
      </c>
      <c r="N174" s="160" t="str">
        <f>IFERROR(VLOOKUP(tordrup[[#This Row],[setting]],lmic_raw[],4,FALSE),0)</f>
        <v>SEARO</v>
      </c>
      <c r="O174" s="167">
        <f>IFERROR(VLOOKUP(tordrup[[#This Row],[setting]],lmic_raw[],11,FALSE),0)</f>
        <v>0.99</v>
      </c>
      <c r="P174" s="168">
        <f>IFERROR(VLOOKUP(tordrup[[#This Row],[setting]],lmic_raw[],9,FALSE),0)</f>
        <v>728422.82842200005</v>
      </c>
      <c r="Q174" s="126">
        <v>28.887477738469222</v>
      </c>
      <c r="R174" s="126">
        <v>58.107477738469221</v>
      </c>
      <c r="S174" s="126">
        <v>85.885327965590292</v>
      </c>
      <c r="T174" s="126">
        <v>81.255686261070124</v>
      </c>
      <c r="U174" s="126"/>
      <c r="V174" s="126"/>
    </row>
    <row r="175" spans="1:22" x14ac:dyDescent="0.25">
      <c r="A175" s="138" t="s">
        <v>342</v>
      </c>
      <c r="B175">
        <v>8.9132536626891081</v>
      </c>
      <c r="C175" s="33" t="str">
        <f>IFERROR(VLOOKUP($A175,lmic_raw[],4,FALSE),0)</f>
        <v>EURO</v>
      </c>
      <c r="D175" s="33">
        <f>IFERROR(VLOOKUP($A175,lmic_raw[],10,FALSE),0)</f>
        <v>0.99099999999999999</v>
      </c>
      <c r="E175" s="33">
        <f>IFERROR(VLOOKUP($A175,lmic_raw[],11,FALSE),0)</f>
        <v>0.98</v>
      </c>
      <c r="M175" s="166" t="s">
        <v>342</v>
      </c>
      <c r="N175" s="161" t="str">
        <f>IFERROR(VLOOKUP(tordrup[[#This Row],[setting]],lmic_raw[],4,FALSE),0)</f>
        <v>EURO</v>
      </c>
      <c r="O175" s="167">
        <f>IFERROR(VLOOKUP(tordrup[[#This Row],[setting]],lmic_raw[],11,FALSE),0)</f>
        <v>0.98</v>
      </c>
      <c r="P175" s="168">
        <f>IFERROR(VLOOKUP(tordrup[[#This Row],[setting]],lmic_raw[],9,FALSE),0)</f>
        <v>22680.523787999999</v>
      </c>
      <c r="Q175" s="126">
        <v>30.299894707237875</v>
      </c>
      <c r="R175" s="126">
        <v>59.519894707237874</v>
      </c>
      <c r="S175" s="126">
        <v>97.097544887581861</v>
      </c>
      <c r="T175" s="126">
        <v>90.834603190857877</v>
      </c>
      <c r="U175" s="126"/>
      <c r="V175" s="126"/>
    </row>
    <row r="176" spans="1:22" x14ac:dyDescent="0.25">
      <c r="A176" s="137" t="s">
        <v>220</v>
      </c>
      <c r="C176" s="33" t="str">
        <f>IFERROR(VLOOKUP($A176,lmic_raw[],4,FALSE),0)</f>
        <v>SEARO</v>
      </c>
      <c r="D176" s="33">
        <f>IFERROR(VLOOKUP($A176,lmic_raw[],10,FALSE),0)</f>
        <v>0.48499999999999999</v>
      </c>
      <c r="E176" s="33">
        <f>IFERROR(VLOOKUP($A176,lmic_raw[],11,FALSE),0)</f>
        <v>0.7</v>
      </c>
      <c r="M176" s="165" t="s">
        <v>220</v>
      </c>
      <c r="N176" s="160" t="str">
        <f>IFERROR(VLOOKUP(tordrup[[#This Row],[setting]],lmic_raw[],4,FALSE),0)</f>
        <v>SEARO</v>
      </c>
      <c r="O176" s="167">
        <f>IFERROR(VLOOKUP(tordrup[[#This Row],[setting]],lmic_raw[],11,FALSE),0)</f>
        <v>0.7</v>
      </c>
      <c r="P176" s="168">
        <f>IFERROR(VLOOKUP(tordrup[[#This Row],[setting]],lmic_raw[],9,FALSE),0)</f>
        <v>38458.681919999995</v>
      </c>
      <c r="Q176" s="126"/>
      <c r="R176" s="126"/>
      <c r="S176" s="126"/>
      <c r="T176" s="126"/>
      <c r="U176" s="126"/>
      <c r="V176" s="126"/>
    </row>
    <row r="177" spans="1:22" x14ac:dyDescent="0.25">
      <c r="A177" s="138" t="s">
        <v>154</v>
      </c>
      <c r="B177">
        <v>2.69387138004394</v>
      </c>
      <c r="C177" s="33" t="str">
        <f>IFERROR(VLOOKUP($A177,lmic_raw[],4,FALSE),0)</f>
        <v>AFRO</v>
      </c>
      <c r="D177" s="33">
        <f>IFERROR(VLOOKUP($A177,lmic_raw[],10,FALSE),0)</f>
        <v>0.8</v>
      </c>
      <c r="E177" s="33">
        <f>IFERROR(VLOOKUP($A177,lmic_raw[],11,FALSE),0)</f>
        <v>0</v>
      </c>
      <c r="M177" s="166" t="s">
        <v>154</v>
      </c>
      <c r="N177" s="161" t="str">
        <f>IFERROR(VLOOKUP(tordrup[[#This Row],[setting]],lmic_raw[],4,FALSE),0)</f>
        <v>AFRO</v>
      </c>
      <c r="O177" s="167">
        <f>IFERROR(VLOOKUP(tordrup[[#This Row],[setting]],lmic_raw[],11,FALSE),0)</f>
        <v>0</v>
      </c>
      <c r="P177" s="168">
        <f>IFERROR(VLOOKUP(tordrup[[#This Row],[setting]],lmic_raw[],9,FALSE),0)</f>
        <v>269255.70772599999</v>
      </c>
      <c r="Q177" s="126">
        <v>24.080512424592708</v>
      </c>
      <c r="R177" s="126">
        <v>53.300512424592711</v>
      </c>
      <c r="S177" s="126">
        <v>55.09440066543047</v>
      </c>
      <c r="T177" s="126">
        <v>54.795419291957515</v>
      </c>
      <c r="U177" s="126"/>
      <c r="V177" s="126"/>
    </row>
    <row r="178" spans="1:22" x14ac:dyDescent="0.25">
      <c r="A178" s="137" t="s">
        <v>301</v>
      </c>
      <c r="B178">
        <v>7.9993368005446834</v>
      </c>
      <c r="C178" s="33" t="str">
        <f>IFERROR(VLOOKUP($A178,lmic_raw[],4,FALSE),0)</f>
        <v>WPRO</v>
      </c>
      <c r="D178" s="33">
        <f>IFERROR(VLOOKUP($A178,lmic_raw[],10,FALSE),0)</f>
        <v>0.98</v>
      </c>
      <c r="E178" s="33">
        <f>IFERROR(VLOOKUP($A178,lmic_raw[],11,FALSE),0)</f>
        <v>0.99</v>
      </c>
      <c r="M178" s="165" t="s">
        <v>301</v>
      </c>
      <c r="N178" s="160" t="str">
        <f>IFERROR(VLOOKUP(tordrup[[#This Row],[setting]],lmic_raw[],4,FALSE),0)</f>
        <v>WPRO</v>
      </c>
      <c r="O178" s="167">
        <f>IFERROR(VLOOKUP(tordrup[[#This Row],[setting]],lmic_raw[],11,FALSE),0)</f>
        <v>0.99</v>
      </c>
      <c r="P178" s="168">
        <f>IFERROR(VLOOKUP(tordrup[[#This Row],[setting]],lmic_raw[],9,FALSE),0)</f>
        <v>2555.3696380000001</v>
      </c>
      <c r="Q178" s="126">
        <v>29.38597784509345</v>
      </c>
      <c r="R178" s="126">
        <v>58.605977845093449</v>
      </c>
      <c r="S178" s="126">
        <v>82.145865022899102</v>
      </c>
      <c r="T178" s="126">
        <v>78.222550493264819</v>
      </c>
      <c r="U178" s="126"/>
      <c r="V178" s="126"/>
    </row>
    <row r="179" spans="1:22" x14ac:dyDescent="0.25">
      <c r="A179" s="138" t="s">
        <v>249</v>
      </c>
      <c r="B179">
        <v>22.242196989808424</v>
      </c>
      <c r="C179" s="33">
        <f>IFERROR(VLOOKUP($A179,lmic_raw[],4,FALSE),0)</f>
        <v>0</v>
      </c>
      <c r="D179" s="33">
        <f>IFERROR(VLOOKUP($A179,lmic_raw[],10,FALSE),0)</f>
        <v>0</v>
      </c>
      <c r="E179" s="33">
        <f>IFERROR(VLOOKUP($A179,lmic_raw[],11,FALSE),0)</f>
        <v>0</v>
      </c>
      <c r="M179" s="166" t="s">
        <v>249</v>
      </c>
      <c r="N179" s="161">
        <f>IFERROR(VLOOKUP(tordrup[[#This Row],[setting]],lmic_raw[],4,FALSE),0)</f>
        <v>0</v>
      </c>
      <c r="O179" s="167">
        <f>IFERROR(VLOOKUP(tordrup[[#This Row],[setting]],lmic_raw[],11,FALSE),0)</f>
        <v>0</v>
      </c>
      <c r="P179" s="168">
        <f>IFERROR(VLOOKUP(tordrup[[#This Row],[setting]],lmic_raw[],9,FALSE),0)</f>
        <v>0</v>
      </c>
      <c r="Q179" s="126">
        <v>43.628838034357187</v>
      </c>
      <c r="R179" s="126">
        <v>72.848838034357186</v>
      </c>
      <c r="S179" s="126">
        <v>219.9476737830542</v>
      </c>
      <c r="T179" s="126">
        <v>195.43120115827136</v>
      </c>
      <c r="U179" s="126"/>
      <c r="V179" s="126"/>
    </row>
    <row r="180" spans="1:22" x14ac:dyDescent="0.25">
      <c r="A180" s="137" t="s">
        <v>162</v>
      </c>
      <c r="B180">
        <v>8.2960630544876786</v>
      </c>
      <c r="C180" s="33" t="str">
        <f>IFERROR(VLOOKUP($A180,lmic_raw[],4,FALSE),0)</f>
        <v>EMRO</v>
      </c>
      <c r="D180" s="33">
        <f>IFERROR(VLOOKUP($A180,lmic_raw[],10,FALSE),0)</f>
        <v>0.997</v>
      </c>
      <c r="E180" s="33">
        <f>IFERROR(VLOOKUP($A180,lmic_raw[],11,FALSE),0)</f>
        <v>0.74</v>
      </c>
      <c r="M180" s="165" t="s">
        <v>162</v>
      </c>
      <c r="N180" s="160" t="str">
        <f>IFERROR(VLOOKUP(tordrup[[#This Row],[setting]],lmic_raw[],4,FALSE),0)</f>
        <v>EMRO</v>
      </c>
      <c r="O180" s="167">
        <f>IFERROR(VLOOKUP(tordrup[[#This Row],[setting]],lmic_raw[],11,FALSE),0)</f>
        <v>0.74</v>
      </c>
      <c r="P180" s="168">
        <f>IFERROR(VLOOKUP(tordrup[[#This Row],[setting]],lmic_raw[],9,FALSE),0)</f>
        <v>207160.28779399997</v>
      </c>
      <c r="Q180" s="126">
        <v>29.682704099036446</v>
      </c>
      <c r="R180" s="126">
        <v>58.902704099036441</v>
      </c>
      <c r="S180" s="126">
        <v>91.302362457573608</v>
      </c>
      <c r="T180" s="126">
        <v>85.902419397817411</v>
      </c>
      <c r="U180" s="126"/>
      <c r="V180" s="126"/>
    </row>
    <row r="181" spans="1:22" x14ac:dyDescent="0.25">
      <c r="A181" s="138" t="s">
        <v>180</v>
      </c>
      <c r="B181">
        <v>17.280934023881553</v>
      </c>
      <c r="C181" s="33" t="str">
        <f>IFERROR(VLOOKUP($A181,lmic_raw[],4,FALSE),0)</f>
        <v>EURO</v>
      </c>
      <c r="D181" s="33">
        <f>IFERROR(VLOOKUP($A181,lmic_raw[],10,FALSE),0)</f>
        <v>0.97199999999999998</v>
      </c>
      <c r="E181" s="33">
        <f>IFERROR(VLOOKUP($A181,lmic_raw[],11,FALSE),0)</f>
        <v>0.99</v>
      </c>
      <c r="M181" s="166" t="s">
        <v>180</v>
      </c>
      <c r="N181" s="161" t="str">
        <f>IFERROR(VLOOKUP(tordrup[[#This Row],[setting]],lmic_raw[],4,FALSE),0)</f>
        <v>EURO</v>
      </c>
      <c r="O181" s="167">
        <f>IFERROR(VLOOKUP(tordrup[[#This Row],[setting]],lmic_raw[],11,FALSE),0)</f>
        <v>0.99</v>
      </c>
      <c r="P181" s="168">
        <f>IFERROR(VLOOKUP(tordrup[[#This Row],[setting]],lmic_raw[],9,FALSE),0)</f>
        <v>1349807.6116529999</v>
      </c>
      <c r="Q181" s="126">
        <v>38.667575068430324</v>
      </c>
      <c r="R181" s="126">
        <v>67.887575068430323</v>
      </c>
      <c r="S181" s="126">
        <v>161.13059572647379</v>
      </c>
      <c r="T181" s="126">
        <v>145.59009228346653</v>
      </c>
      <c r="U181" s="126"/>
      <c r="V181" s="126"/>
    </row>
    <row r="182" spans="1:22" x14ac:dyDescent="0.25">
      <c r="A182" s="137" t="s">
        <v>188</v>
      </c>
      <c r="B182">
        <v>7.9993368005446834</v>
      </c>
      <c r="C182" s="33" t="str">
        <f>IFERROR(VLOOKUP($A182,lmic_raw[],4,FALSE),0)</f>
        <v>EURO</v>
      </c>
      <c r="D182" s="33">
        <f>IFERROR(VLOOKUP($A182,lmic_raw[],10,FALSE),0)</f>
        <v>0.99990000000000001</v>
      </c>
      <c r="E182" s="33">
        <f>IFERROR(VLOOKUP($A182,lmic_raw[],11,FALSE),0)</f>
        <v>0.99</v>
      </c>
      <c r="M182" s="165" t="s">
        <v>188</v>
      </c>
      <c r="N182" s="160" t="str">
        <f>IFERROR(VLOOKUP(tordrup[[#This Row],[setting]],lmic_raw[],4,FALSE),0)</f>
        <v>EURO</v>
      </c>
      <c r="O182" s="167">
        <f>IFERROR(VLOOKUP(tordrup[[#This Row],[setting]],lmic_raw[],11,FALSE),0)</f>
        <v>0.99</v>
      </c>
      <c r="P182" s="168">
        <f>IFERROR(VLOOKUP(tordrup[[#This Row],[setting]],lmic_raw[],9,FALSE),0)</f>
        <v>142515.18249600002</v>
      </c>
      <c r="Q182" s="126">
        <v>29.38597784509345</v>
      </c>
      <c r="R182" s="126">
        <v>58.605977845093449</v>
      </c>
      <c r="S182" s="126">
        <v>87.872206961992589</v>
      </c>
      <c r="T182" s="126">
        <v>82.994502109176068</v>
      </c>
      <c r="U182" s="126"/>
      <c r="V182" s="126"/>
    </row>
    <row r="183" spans="1:22" x14ac:dyDescent="0.25">
      <c r="A183" s="138" t="s">
        <v>302</v>
      </c>
      <c r="B183">
        <v>7.2634556907660572</v>
      </c>
      <c r="C183" s="33" t="str">
        <f>IFERROR(VLOOKUP($A183,lmic_raw[],4,FALSE),0)</f>
        <v>WPRO</v>
      </c>
      <c r="D183" s="33">
        <f>IFERROR(VLOOKUP($A183,lmic_raw[],10,FALSE),0)</f>
        <v>0.93</v>
      </c>
      <c r="E183" s="33">
        <f>IFERROR(VLOOKUP($A183,lmic_raw[],11,FALSE),0)</f>
        <v>0.98</v>
      </c>
      <c r="M183" s="166" t="s">
        <v>302</v>
      </c>
      <c r="N183" s="161" t="str">
        <f>IFERROR(VLOOKUP(tordrup[[#This Row],[setting]],lmic_raw[],4,FALSE),0)</f>
        <v>WPRO</v>
      </c>
      <c r="O183" s="167">
        <f>IFERROR(VLOOKUP(tordrup[[#This Row],[setting]],lmic_raw[],11,FALSE),0)</f>
        <v>0.98</v>
      </c>
      <c r="P183" s="168">
        <f>IFERROR(VLOOKUP(tordrup[[#This Row],[setting]],lmic_raw[],9,FALSE),0)</f>
        <v>267.71534999999994</v>
      </c>
      <c r="Q183" s="126">
        <v>28.650096735314825</v>
      </c>
      <c r="R183" s="126">
        <v>57.870096735314824</v>
      </c>
      <c r="S183" s="126">
        <v>74.727946055327394</v>
      </c>
      <c r="T183" s="126">
        <v>71.918304501991955</v>
      </c>
      <c r="U183" s="126"/>
      <c r="V183" s="126"/>
    </row>
    <row r="184" spans="1:22" x14ac:dyDescent="0.25">
      <c r="A184" s="137" t="s">
        <v>117</v>
      </c>
      <c r="B184">
        <v>2.8244309317788576</v>
      </c>
      <c r="C184" s="33" t="str">
        <f>IFERROR(VLOOKUP($A184,lmic_raw[],4,FALSE),0)</f>
        <v>AFRO</v>
      </c>
      <c r="D184" s="33">
        <f>IFERROR(VLOOKUP($A184,lmic_raw[],10,FALSE),0)</f>
        <v>0.7340000000000001</v>
      </c>
      <c r="E184" s="33">
        <f>IFERROR(VLOOKUP($A184,lmic_raw[],11,FALSE),0)</f>
        <v>0</v>
      </c>
      <c r="M184" s="165" t="s">
        <v>117</v>
      </c>
      <c r="N184" s="160" t="str">
        <f>IFERROR(VLOOKUP(tordrup[[#This Row],[setting]],lmic_raw[],4,FALSE),0)</f>
        <v>AFRO</v>
      </c>
      <c r="O184" s="167">
        <f>IFERROR(VLOOKUP(tordrup[[#This Row],[setting]],lmic_raw[],11,FALSE),0)</f>
        <v>0</v>
      </c>
      <c r="P184" s="168">
        <f>IFERROR(VLOOKUP(tordrup[[#This Row],[setting]],lmic_raw[],9,FALSE),0)</f>
        <v>1701590.115519</v>
      </c>
      <c r="Q184" s="126">
        <v>24.211071976327624</v>
      </c>
      <c r="R184" s="126">
        <v>53.431071976327623</v>
      </c>
      <c r="S184" s="126">
        <v>55.74197604203566</v>
      </c>
      <c r="T184" s="126">
        <v>55.356825364417659</v>
      </c>
      <c r="U184" s="126"/>
      <c r="V184" s="126"/>
    </row>
    <row r="185" spans="1:22" x14ac:dyDescent="0.25">
      <c r="A185" s="138" t="s">
        <v>316</v>
      </c>
      <c r="B185">
        <v>6.3139316781484744</v>
      </c>
      <c r="C185" s="33" t="str">
        <f>IFERROR(VLOOKUP($A185,lmic_raw[],4,FALSE),0)</f>
        <v>EURO</v>
      </c>
      <c r="D185" s="33">
        <f>IFERROR(VLOOKUP($A185,lmic_raw[],10,FALSE),0)</f>
        <v>0.9890000000000001</v>
      </c>
      <c r="E185" s="33">
        <f>IFERROR(VLOOKUP($A185,lmic_raw[],11,FALSE),0)</f>
        <v>0.6</v>
      </c>
      <c r="M185" s="166" t="s">
        <v>316</v>
      </c>
      <c r="N185" s="161" t="str">
        <f>IFERROR(VLOOKUP(tordrup[[#This Row],[setting]],lmic_raw[],4,FALSE),0)</f>
        <v>EURO</v>
      </c>
      <c r="O185" s="167">
        <f>IFERROR(VLOOKUP(tordrup[[#This Row],[setting]],lmic_raw[],11,FALSE),0)</f>
        <v>0.6</v>
      </c>
      <c r="P185" s="168">
        <f>IFERROR(VLOOKUP(tordrup[[#This Row],[setting]],lmic_raw[],9,FALSE),0)</f>
        <v>422602.93465799995</v>
      </c>
      <c r="Q185" s="126">
        <v>27.700572722697242</v>
      </c>
      <c r="R185" s="126">
        <v>56.920572722697244</v>
      </c>
      <c r="S185" s="126">
        <v>76.645509798808604</v>
      </c>
      <c r="T185" s="126">
        <v>73.358020286123377</v>
      </c>
      <c r="U185" s="126"/>
      <c r="V185" s="126"/>
    </row>
    <row r="186" spans="1:22" x14ac:dyDescent="0.25">
      <c r="A186" s="137" t="s">
        <v>181</v>
      </c>
      <c r="B186">
        <v>36.627485780964804</v>
      </c>
      <c r="C186" s="33">
        <f>IFERROR(VLOOKUP($A186,lmic_raw[],4,FALSE),0)</f>
        <v>0</v>
      </c>
      <c r="D186" s="33">
        <f>IFERROR(VLOOKUP($A186,lmic_raw[],10,FALSE),0)</f>
        <v>0</v>
      </c>
      <c r="E186" s="33">
        <f>IFERROR(VLOOKUP($A186,lmic_raw[],11,FALSE),0)</f>
        <v>0</v>
      </c>
      <c r="M186" s="165" t="s">
        <v>181</v>
      </c>
      <c r="N186" s="160">
        <f>IFERROR(VLOOKUP(tordrup[[#This Row],[setting]],lmic_raw[],4,FALSE),0)</f>
        <v>0</v>
      </c>
      <c r="O186" s="167">
        <f>IFERROR(VLOOKUP(tordrup[[#This Row],[setting]],lmic_raw[],11,FALSE),0)</f>
        <v>0</v>
      </c>
      <c r="P186" s="168">
        <f>IFERROR(VLOOKUP(tordrup[[#This Row],[setting]],lmic_raw[],9,FALSE),0)</f>
        <v>0</v>
      </c>
      <c r="Q186" s="126">
        <v>58.014126825513571</v>
      </c>
      <c r="R186" s="126">
        <v>87.23412682551357</v>
      </c>
      <c r="S186" s="126">
        <v>384.58089471075385</v>
      </c>
      <c r="T186" s="126">
        <v>335.0231000632138</v>
      </c>
      <c r="U186" s="126"/>
      <c r="V186" s="126"/>
    </row>
    <row r="187" spans="1:22" x14ac:dyDescent="0.25">
      <c r="A187" s="138" t="s">
        <v>330</v>
      </c>
      <c r="B187">
        <v>54.692180121014317</v>
      </c>
      <c r="C187" s="33">
        <f>IFERROR(VLOOKUP($A187,lmic_raw[],4,FALSE),0)</f>
        <v>0</v>
      </c>
      <c r="D187" s="33">
        <f>IFERROR(VLOOKUP($A187,lmic_raw[],10,FALSE),0)</f>
        <v>0</v>
      </c>
      <c r="E187" s="33">
        <f>IFERROR(VLOOKUP($A187,lmic_raw[],11,FALSE),0)</f>
        <v>0</v>
      </c>
      <c r="M187" s="166" t="s">
        <v>330</v>
      </c>
      <c r="N187" s="161">
        <f>IFERROR(VLOOKUP(tordrup[[#This Row],[setting]],lmic_raw[],4,FALSE),0)</f>
        <v>0</v>
      </c>
      <c r="O187" s="167">
        <f>IFERROR(VLOOKUP(tordrup[[#This Row],[setting]],lmic_raw[],11,FALSE),0)</f>
        <v>0</v>
      </c>
      <c r="P187" s="168">
        <f>IFERROR(VLOOKUP(tordrup[[#This Row],[setting]],lmic_raw[],9,FALSE),0)</f>
        <v>0</v>
      </c>
      <c r="Q187" s="126">
        <v>76.078821165563085</v>
      </c>
      <c r="R187" s="126">
        <v>105.29882116556308</v>
      </c>
      <c r="S187" s="126">
        <v>530.13699131995031</v>
      </c>
      <c r="T187" s="126">
        <v>459.33062962755258</v>
      </c>
      <c r="U187" s="126"/>
      <c r="V187" s="126"/>
    </row>
    <row r="188" spans="1:22" x14ac:dyDescent="0.25">
      <c r="A188" s="81" t="s">
        <v>652</v>
      </c>
      <c r="B188">
        <v>2.8481690320942974</v>
      </c>
      <c r="C188" s="33" t="str">
        <f>IFERROR(VLOOKUP($A188,lmic_raw[],4,FALSE),0)</f>
        <v>AFRO</v>
      </c>
      <c r="D188" s="33">
        <f>IFERROR(VLOOKUP($A188,lmic_raw[],10,FALSE),0)</f>
        <v>0.626</v>
      </c>
      <c r="E188" s="33">
        <f>IFERROR(VLOOKUP($A188,lmic_raw[],11,FALSE),0)</f>
        <v>0</v>
      </c>
      <c r="M188" s="82" t="s">
        <v>652</v>
      </c>
      <c r="N188" s="160" t="str">
        <f>IFERROR(VLOOKUP(tordrup[[#This Row],[setting]],lmic_raw[],4,FALSE),0)</f>
        <v>AFRO</v>
      </c>
      <c r="O188" s="167">
        <f>IFERROR(VLOOKUP(tordrup[[#This Row],[setting]],lmic_raw[],11,FALSE),0)</f>
        <v>0</v>
      </c>
      <c r="P188" s="168">
        <f>IFERROR(VLOOKUP(tordrup[[#This Row],[setting]],lmic_raw[],9,FALSE),0)</f>
        <v>2140459.5163610005</v>
      </c>
      <c r="Q188" s="126">
        <v>24.234810076643065</v>
      </c>
      <c r="R188" s="126">
        <v>53.454810076643064</v>
      </c>
      <c r="S188" s="126">
        <v>55.906718458224816</v>
      </c>
      <c r="T188" s="126">
        <v>55.49806706129452</v>
      </c>
      <c r="U188" s="126"/>
      <c r="V188" s="126"/>
    </row>
    <row r="189" spans="1:22" x14ac:dyDescent="0.25">
      <c r="A189" s="138" t="s">
        <v>363</v>
      </c>
      <c r="B189">
        <v>64.757134654760691</v>
      </c>
      <c r="C189" s="33">
        <f>IFERROR(VLOOKUP($A189,lmic_raw[],4,FALSE),0)</f>
        <v>0</v>
      </c>
      <c r="D189" s="33">
        <f>IFERROR(VLOOKUP($A189,lmic_raw[],10,FALSE),0)</f>
        <v>0</v>
      </c>
      <c r="E189" s="33">
        <f>IFERROR(VLOOKUP($A189,lmic_raw[],11,FALSE),0)</f>
        <v>0</v>
      </c>
      <c r="M189" s="166" t="s">
        <v>363</v>
      </c>
      <c r="N189" s="161">
        <f>IFERROR(VLOOKUP(tordrup[[#This Row],[setting]],lmic_raw[],4,FALSE),0)</f>
        <v>0</v>
      </c>
      <c r="O189" s="167">
        <f>IFERROR(VLOOKUP(tordrup[[#This Row],[setting]],lmic_raw[],11,FALSE),0)</f>
        <v>0</v>
      </c>
      <c r="P189" s="168">
        <f>IFERROR(VLOOKUP(tordrup[[#This Row],[setting]],lmic_raw[],9,FALSE),0)</f>
        <v>0</v>
      </c>
      <c r="Q189" s="126">
        <v>86.143775699309458</v>
      </c>
      <c r="R189" s="126">
        <v>115.36377569930946</v>
      </c>
      <c r="S189" s="126">
        <v>672.78517064050561</v>
      </c>
      <c r="T189" s="126">
        <v>579.88160481697298</v>
      </c>
      <c r="U189" s="126"/>
      <c r="V189" s="126"/>
    </row>
    <row r="190" spans="1:22" x14ac:dyDescent="0.25">
      <c r="A190" s="137" t="s">
        <v>274</v>
      </c>
      <c r="B190">
        <v>17.565791227666828</v>
      </c>
      <c r="C190" s="33">
        <f>IFERROR(VLOOKUP($A190,lmic_raw[],4,FALSE),0)</f>
        <v>0</v>
      </c>
      <c r="D190" s="33">
        <f>IFERROR(VLOOKUP($A190,lmic_raw[],10,FALSE),0)</f>
        <v>0</v>
      </c>
      <c r="E190" s="33">
        <f>IFERROR(VLOOKUP($A190,lmic_raw[],11,FALSE),0)</f>
        <v>0</v>
      </c>
      <c r="M190" s="165" t="s">
        <v>274</v>
      </c>
      <c r="N190" s="160">
        <f>IFERROR(VLOOKUP(tordrup[[#This Row],[setting]],lmic_raw[],4,FALSE),0)</f>
        <v>0</v>
      </c>
      <c r="O190" s="167">
        <f>IFERROR(VLOOKUP(tordrup[[#This Row],[setting]],lmic_raw[],11,FALSE),0)</f>
        <v>0</v>
      </c>
      <c r="P190" s="168">
        <f>IFERROR(VLOOKUP(tordrup[[#This Row],[setting]],lmic_raw[],9,FALSE),0)</f>
        <v>0</v>
      </c>
      <c r="Q190" s="126">
        <v>38.952432272215596</v>
      </c>
      <c r="R190" s="126">
        <v>68.172432272215588</v>
      </c>
      <c r="S190" s="126">
        <v>158.8068730865954</v>
      </c>
      <c r="T190" s="126">
        <v>143.70113295086543</v>
      </c>
      <c r="U190" s="126"/>
      <c r="V190" s="126"/>
    </row>
    <row r="191" spans="1:22" x14ac:dyDescent="0.25">
      <c r="A191" s="138" t="s">
        <v>189</v>
      </c>
      <c r="B191">
        <v>3.8451692453427588</v>
      </c>
      <c r="C191" s="33" t="str">
        <f>IFERROR(VLOOKUP($A191,lmic_raw[],4,FALSE),0)</f>
        <v>EURO</v>
      </c>
      <c r="D191" s="33">
        <f>IFERROR(VLOOKUP($A191,lmic_raw[],10,FALSE),0)</f>
        <v>0.996</v>
      </c>
      <c r="E191" s="33">
        <f>IFERROR(VLOOKUP($A191,lmic_raw[],11,FALSE),0)</f>
        <v>0.99</v>
      </c>
      <c r="M191" s="166" t="s">
        <v>189</v>
      </c>
      <c r="N191" s="161" t="str">
        <f>IFERROR(VLOOKUP(tordrup[[#This Row],[setting]],lmic_raw[],4,FALSE),0)</f>
        <v>EURO</v>
      </c>
      <c r="O191" s="167">
        <f>IFERROR(VLOOKUP(tordrup[[#This Row],[setting]],lmic_raw[],11,FALSE),0)</f>
        <v>0.99</v>
      </c>
      <c r="P191" s="168">
        <f>IFERROR(VLOOKUP(tordrup[[#This Row],[setting]],lmic_raw[],9,FALSE),0)</f>
        <v>719694.00301500002</v>
      </c>
      <c r="Q191" s="126">
        <v>25.231810289891527</v>
      </c>
      <c r="R191" s="126">
        <v>54.451810289891526</v>
      </c>
      <c r="S191" s="126">
        <v>61.157348866996898</v>
      </c>
      <c r="T191" s="126">
        <v>60.039759104146</v>
      </c>
      <c r="U191" s="126"/>
      <c r="V191" s="126"/>
    </row>
    <row r="192" spans="1:22" x14ac:dyDescent="0.25">
      <c r="A192" s="137" t="s">
        <v>285</v>
      </c>
      <c r="B192">
        <v>10.290063480984603</v>
      </c>
      <c r="C192" s="33" t="str">
        <f>IFERROR(VLOOKUP($A192,lmic_raw[],4,FALSE),0)</f>
        <v>WPRO</v>
      </c>
      <c r="D192" s="33">
        <f>IFERROR(VLOOKUP($A192,lmic_raw[],10,FALSE),0)</f>
        <v>0.88500000000000001</v>
      </c>
      <c r="E192" s="33">
        <f>IFERROR(VLOOKUP($A192,lmic_raw[],11,FALSE),0)</f>
        <v>0.82</v>
      </c>
      <c r="M192" s="165" t="s">
        <v>285</v>
      </c>
      <c r="N192" s="160" t="str">
        <f>IFERROR(VLOOKUP(tordrup[[#This Row],[setting]],lmic_raw[],4,FALSE),0)</f>
        <v>WPRO</v>
      </c>
      <c r="O192" s="167">
        <f>IFERROR(VLOOKUP(tordrup[[#This Row],[setting]],lmic_raw[],11,FALSE),0)</f>
        <v>0.82</v>
      </c>
      <c r="P192" s="168">
        <f>IFERROR(VLOOKUP(tordrup[[#This Row],[setting]],lmic_raw[],9,FALSE),0)</f>
        <v>8935.5839539999997</v>
      </c>
      <c r="Q192" s="126">
        <v>31.676704525533371</v>
      </c>
      <c r="R192" s="126">
        <v>60.896704525533366</v>
      </c>
      <c r="S192" s="126">
        <v>92.795014205408449</v>
      </c>
      <c r="T192" s="126">
        <v>87.478629258762595</v>
      </c>
      <c r="U192" s="126"/>
      <c r="V192" s="126"/>
    </row>
    <row r="193" spans="1:22" x14ac:dyDescent="0.25">
      <c r="A193" s="83" t="s">
        <v>275</v>
      </c>
      <c r="B193">
        <v>18.135505635237379</v>
      </c>
      <c r="C193" s="33" t="str">
        <f>IFERROR(VLOOKUP($A193,lmic_raw[],4,FALSE),0)</f>
        <v>AMRO</v>
      </c>
      <c r="D193" s="33">
        <f>IFERROR(VLOOKUP($A193,lmic_raw[],10,FALSE),0)</f>
        <v>0.9890000000000001</v>
      </c>
      <c r="E193" s="33">
        <f>IFERROR(VLOOKUP($A193,lmic_raw[],11,FALSE),0)</f>
        <v>0.52</v>
      </c>
      <c r="M193" s="84" t="s">
        <v>275</v>
      </c>
      <c r="N193" s="161" t="str">
        <f>IFERROR(VLOOKUP(tordrup[[#This Row],[setting]],lmic_raw[],4,FALSE),0)</f>
        <v>AMRO</v>
      </c>
      <c r="O193" s="167">
        <f>IFERROR(VLOOKUP(tordrup[[#This Row],[setting]],lmic_raw[],11,FALSE),0)</f>
        <v>0.52</v>
      </c>
      <c r="P193" s="168">
        <f>IFERROR(VLOOKUP(tordrup[[#This Row],[setting]],lmic_raw[],9,FALSE),0)</f>
        <v>514111.88104100002</v>
      </c>
      <c r="Q193" s="126">
        <v>39.522146679786147</v>
      </c>
      <c r="R193" s="126">
        <v>68.742146679786146</v>
      </c>
      <c r="S193" s="126">
        <v>157.90387575059609</v>
      </c>
      <c r="T193" s="126">
        <v>143.04358757212776</v>
      </c>
      <c r="U193" s="126"/>
      <c r="V193" s="126"/>
    </row>
    <row r="194" spans="1:22" x14ac:dyDescent="0.25">
      <c r="A194" s="100" t="s">
        <v>221</v>
      </c>
      <c r="B194">
        <v>3.6315263425038031</v>
      </c>
      <c r="C194" s="33" t="str">
        <f>IFERROR(VLOOKUP($A194,lmic_raw[],4,FALSE),0)</f>
        <v>WPRO</v>
      </c>
      <c r="D194" s="33">
        <f>IFERROR(VLOOKUP($A194,lmic_raw[],10,FALSE),0)</f>
        <v>0.93599999999999994</v>
      </c>
      <c r="E194" s="33">
        <f>IFERROR(VLOOKUP($A194,lmic_raw[],11,FALSE),0)</f>
        <v>0.79</v>
      </c>
      <c r="M194" s="109" t="s">
        <v>221</v>
      </c>
      <c r="N194" s="162" t="str">
        <f>IFERROR(VLOOKUP(tordrup[[#This Row],[setting]],lmic_raw[],4,FALSE),0)</f>
        <v>WPRO</v>
      </c>
      <c r="O194" s="167">
        <f>IFERROR(VLOOKUP(tordrup[[#This Row],[setting]],lmic_raw[],11,FALSE),0)</f>
        <v>0.79</v>
      </c>
      <c r="P194" s="168">
        <f>IFERROR(VLOOKUP(tordrup[[#This Row],[setting]],lmic_raw[],9,FALSE),0)</f>
        <v>1634550.4200599999</v>
      </c>
      <c r="Q194" s="126">
        <v>25.018167387052571</v>
      </c>
      <c r="R194" s="126">
        <v>54.23816738705257</v>
      </c>
      <c r="S194" s="126">
        <v>60.230850811685286</v>
      </c>
      <c r="T194" s="126">
        <v>59.232070240913174</v>
      </c>
      <c r="U194" s="126"/>
      <c r="V194" s="126"/>
    </row>
    <row r="195" spans="1:22" x14ac:dyDescent="0.25">
      <c r="A195" s="138" t="s">
        <v>182</v>
      </c>
      <c r="B195">
        <v>4.3911455525978695</v>
      </c>
      <c r="C195" s="33" t="str">
        <f>IFERROR(VLOOKUP($A195,lmic_raw[],4,FALSE),0)</f>
        <v>EMRO</v>
      </c>
      <c r="D195" s="33">
        <f>IFERROR(VLOOKUP($A195,lmic_raw[],10,FALSE),0)</f>
        <v>0.29799999999999999</v>
      </c>
      <c r="E195" s="33">
        <f>IFERROR(VLOOKUP($A195,lmic_raw[],11,FALSE),0)</f>
        <v>0</v>
      </c>
      <c r="M195" s="166" t="s">
        <v>182</v>
      </c>
      <c r="N195" s="161" t="str">
        <f>IFERROR(VLOOKUP(tordrup[[#This Row],[setting]],lmic_raw[],4,FALSE),0)</f>
        <v>EMRO</v>
      </c>
      <c r="O195" s="167">
        <f>IFERROR(VLOOKUP(tordrup[[#This Row],[setting]],lmic_raw[],11,FALSE),0)</f>
        <v>0</v>
      </c>
      <c r="P195" s="168">
        <f>IFERROR(VLOOKUP(tordrup[[#This Row],[setting]],lmic_raw[],9,FALSE),0)</f>
        <v>895475.13885400002</v>
      </c>
      <c r="Q195" s="126">
        <v>25.777786597146637</v>
      </c>
      <c r="R195" s="126">
        <v>54.997786597146636</v>
      </c>
      <c r="S195" s="126">
        <v>62.760857543304837</v>
      </c>
      <c r="T195" s="126">
        <v>61.46701238561181</v>
      </c>
      <c r="U195" s="126"/>
      <c r="V195" s="126"/>
    </row>
    <row r="196" spans="1:22" x14ac:dyDescent="0.25">
      <c r="A196" s="137" t="s">
        <v>119</v>
      </c>
      <c r="B196">
        <v>3.26358578761449</v>
      </c>
      <c r="C196" s="33" t="str">
        <f>IFERROR(VLOOKUP($A196,lmic_raw[],4,FALSE),0)</f>
        <v>AFRO</v>
      </c>
      <c r="D196" s="33">
        <f>IFERROR(VLOOKUP($A196,lmic_raw[],10,FALSE),0)</f>
        <v>0.83799999999999997</v>
      </c>
      <c r="E196" s="33">
        <f>IFERROR(VLOOKUP($A196,lmic_raw[],11,FALSE),0)</f>
        <v>0.94</v>
      </c>
      <c r="M196" s="165" t="s">
        <v>119</v>
      </c>
      <c r="N196" s="160" t="str">
        <f>IFERROR(VLOOKUP(tordrup[[#This Row],[setting]],lmic_raw[],4,FALSE),0)</f>
        <v>AFRO</v>
      </c>
      <c r="O196" s="167">
        <f>IFERROR(VLOOKUP(tordrup[[#This Row],[setting]],lmic_raw[],11,FALSE),0)</f>
        <v>0.94</v>
      </c>
      <c r="P196" s="168">
        <f>IFERROR(VLOOKUP(tordrup[[#This Row],[setting]],lmic_raw[],9,FALSE),0)</f>
        <v>648051.89662200003</v>
      </c>
      <c r="Q196" s="126">
        <v>24.650226832163256</v>
      </c>
      <c r="R196" s="126">
        <v>53.870226832163254</v>
      </c>
      <c r="S196" s="126">
        <v>57.450169740734694</v>
      </c>
      <c r="T196" s="126">
        <v>56.853512589306121</v>
      </c>
      <c r="U196" s="126"/>
      <c r="V196" s="126"/>
    </row>
    <row r="197" spans="1:22" x14ac:dyDescent="0.25">
      <c r="A197" s="138" t="s">
        <v>120</v>
      </c>
      <c r="C197" s="33" t="str">
        <f>IFERROR(VLOOKUP($A197,lmic_raw[],4,FALSE),0)</f>
        <v>AFRO</v>
      </c>
      <c r="D197" s="33">
        <f>IFERROR(VLOOKUP($A197,lmic_raw[],10,FALSE),0)</f>
        <v>0.85499999999999998</v>
      </c>
      <c r="E197" s="33">
        <f>IFERROR(VLOOKUP($A197,lmic_raw[],11,FALSE),0)</f>
        <v>0</v>
      </c>
      <c r="M197" s="138" t="s">
        <v>120</v>
      </c>
      <c r="N197" s="160" t="str">
        <f>IFERROR(VLOOKUP(tordrup[[#This Row],[setting]],lmic_raw[],4,FALSE),0)</f>
        <v>AFRO</v>
      </c>
      <c r="O197" s="167">
        <f>IFERROR(VLOOKUP(tordrup[[#This Row],[setting]],lmic_raw[],11,FALSE),0)</f>
        <v>0</v>
      </c>
      <c r="P197" s="168">
        <f>IFERROR(VLOOKUP(tordrup[[#This Row],[setting]],lmic_raw[],9,FALSE),0)</f>
        <v>451739.61468499998</v>
      </c>
      <c r="Q197" s="126"/>
      <c r="R197" s="126"/>
      <c r="S197" s="126"/>
      <c r="T197" s="126"/>
      <c r="U197" s="126"/>
      <c r="V197" s="126"/>
    </row>
    <row r="198" spans="1:22" x14ac:dyDescent="0.25">
      <c r="A198" s="138"/>
      <c r="N198" s="161"/>
      <c r="O198" s="161"/>
      <c r="P198" s="161"/>
      <c r="Q198" s="126"/>
      <c r="R198" s="126"/>
      <c r="S198" s="126"/>
      <c r="T198" s="126"/>
    </row>
  </sheetData>
  <mergeCells count="5">
    <mergeCell ref="AD2:AF2"/>
    <mergeCell ref="A2:D2"/>
    <mergeCell ref="G2:K2"/>
    <mergeCell ref="M2:R2"/>
    <mergeCell ref="W2:AA2"/>
  </mergeCell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37"/>
  <sheetViews>
    <sheetView workbookViewId="0"/>
  </sheetViews>
  <sheetFormatPr defaultRowHeight="15" x14ac:dyDescent="0.25"/>
  <cols>
    <col min="1" max="1" width="50.42578125" customWidth="1"/>
    <col min="4" max="4" width="19.85546875" customWidth="1"/>
    <col min="5" max="5" width="15" customWidth="1"/>
    <col min="6" max="6" width="43.28515625" customWidth="1"/>
    <col min="7" max="7" width="10.28515625" customWidth="1"/>
    <col min="8" max="8" width="9.140625" customWidth="1"/>
    <col min="9" max="9" width="13.140625" customWidth="1"/>
    <col min="10" max="10" width="13.7109375" customWidth="1"/>
    <col min="11" max="12" width="14.28515625" customWidth="1"/>
    <col min="13" max="13" width="13.85546875" customWidth="1"/>
    <col min="14" max="14" width="13.28515625" customWidth="1"/>
    <col min="15" max="16" width="13.85546875" customWidth="1"/>
    <col min="17" max="17" width="14.42578125" customWidth="1"/>
    <col min="18" max="18" width="14.5703125" customWidth="1"/>
    <col min="19" max="19" width="13.28515625" customWidth="1"/>
    <col min="20" max="20" width="13.7109375" customWidth="1"/>
    <col min="21" max="21" width="13.85546875" customWidth="1"/>
    <col min="22" max="22" width="16" customWidth="1"/>
    <col min="23" max="23" width="11.7109375" customWidth="1"/>
    <col min="24" max="24" width="10.7109375" customWidth="1"/>
    <col min="25" max="25" width="10.140625" customWidth="1"/>
    <col min="26" max="26" width="10.7109375" customWidth="1"/>
    <col min="27" max="27" width="11.7109375" customWidth="1"/>
    <col min="28" max="28" width="12.5703125" customWidth="1"/>
    <col min="29" max="29" width="11.7109375" customWidth="1"/>
    <col min="30" max="30" width="12.5703125" customWidth="1"/>
    <col min="31" max="31" width="11.140625" customWidth="1"/>
    <col min="32" max="32" width="14" customWidth="1"/>
    <col min="33" max="33" width="10.85546875" customWidth="1"/>
    <col min="34" max="35" width="10" bestFit="1" customWidth="1"/>
    <col min="36" max="36" width="12.85546875" customWidth="1"/>
  </cols>
  <sheetData>
    <row r="1" spans="1:36" x14ac:dyDescent="0.25">
      <c r="A1" s="80" t="s">
        <v>668</v>
      </c>
      <c r="B1" s="80" t="s">
        <v>571</v>
      </c>
      <c r="C1" s="80" t="s">
        <v>669</v>
      </c>
      <c r="D1" s="80" t="s">
        <v>670</v>
      </c>
      <c r="E1" s="80" t="s">
        <v>575</v>
      </c>
      <c r="F1" s="80" t="s">
        <v>671</v>
      </c>
      <c r="G1" s="80" t="s">
        <v>672</v>
      </c>
      <c r="H1" s="80" t="s">
        <v>688</v>
      </c>
      <c r="I1" s="108" t="s">
        <v>807</v>
      </c>
      <c r="J1" s="108" t="s">
        <v>823</v>
      </c>
      <c r="K1" s="108" t="s">
        <v>827</v>
      </c>
      <c r="L1" s="108" t="s">
        <v>824</v>
      </c>
      <c r="M1" s="108" t="s">
        <v>825</v>
      </c>
      <c r="N1" s="108" t="s">
        <v>828</v>
      </c>
      <c r="O1" s="108" t="s">
        <v>826</v>
      </c>
      <c r="P1" s="108" t="s">
        <v>808</v>
      </c>
      <c r="Q1" s="108" t="s">
        <v>809</v>
      </c>
      <c r="R1" s="108" t="s">
        <v>810</v>
      </c>
      <c r="S1" s="108" t="s">
        <v>811</v>
      </c>
      <c r="T1" s="108" t="s">
        <v>812</v>
      </c>
      <c r="U1" s="108" t="s">
        <v>813</v>
      </c>
      <c r="V1" s="108" t="s">
        <v>814</v>
      </c>
      <c r="W1" s="108" t="s">
        <v>815</v>
      </c>
      <c r="X1" s="108" t="s">
        <v>816</v>
      </c>
      <c r="Y1" s="108" t="s">
        <v>817</v>
      </c>
      <c r="Z1" s="108" t="s">
        <v>818</v>
      </c>
      <c r="AA1" s="108" t="s">
        <v>819</v>
      </c>
      <c r="AB1" s="108" t="s">
        <v>820</v>
      </c>
      <c r="AC1" s="108" t="s">
        <v>821</v>
      </c>
      <c r="AD1" s="108" t="s">
        <v>822</v>
      </c>
      <c r="AE1" s="108" t="s">
        <v>837</v>
      </c>
      <c r="AF1" s="108" t="s">
        <v>833</v>
      </c>
      <c r="AG1" s="108" t="s">
        <v>834</v>
      </c>
      <c r="AH1" s="108" t="s">
        <v>835</v>
      </c>
      <c r="AI1" s="108" t="s">
        <v>836</v>
      </c>
      <c r="AJ1" s="85" t="s">
        <v>725</v>
      </c>
    </row>
    <row r="2" spans="1:36" x14ac:dyDescent="0.25">
      <c r="A2" s="109" t="s">
        <v>191</v>
      </c>
      <c r="D2" s="82" t="s">
        <v>673</v>
      </c>
      <c r="F2" s="82" t="s">
        <v>579</v>
      </c>
      <c r="I2" s="126">
        <f>IF(VLOOKUP($A2,portnoy[],3,FALSE)=0, VLOOKUP($D2,Table15[],9,FALSE),VLOOKUP($A2,portnoy[],3,FALSE))</f>
        <v>0.77249999999999996</v>
      </c>
      <c r="J2" s="126">
        <f>sens_costs_regions!J$2</f>
        <v>0.36202199312714778</v>
      </c>
      <c r="K2" s="126">
        <f>sens_costs_regions!K$2</f>
        <v>0.41792411616161618</v>
      </c>
      <c r="L2" s="126">
        <f>sens_costs_regions!L$2</f>
        <v>0.48333918128654974</v>
      </c>
      <c r="M2" s="126">
        <f>sens_costs_regions!M$2</f>
        <v>0.5718158075601375</v>
      </c>
      <c r="N2" s="126">
        <f>sens_costs_regions!N$2</f>
        <v>0.65679722222222237</v>
      </c>
      <c r="O2" s="126">
        <f>sens_costs_regions!O$2</f>
        <v>0.7491286549707602</v>
      </c>
      <c r="P2" s="126">
        <f>IF(VLOOKUP($A2,Table26[],6,FALSE)=0,VLOOKUP($D2,Table15[],16,FALSE),(VLOOKUP($A2,Table26[],6,FALSE)))</f>
        <v>2.8396495950464709E-3</v>
      </c>
      <c r="Q2" s="126">
        <f>IF(VLOOKUP($A2,Table26[],5,FALSE)=0,VLOOKUP($D2,Table15[],17,FALSE),(VLOOKUP($A2,Table26[],5,FALSE)))</f>
        <v>4.3162673844706354E-3</v>
      </c>
      <c r="R2" s="126">
        <f>IF(VLOOKUP($A2,Table26[],16,FALSE)=0,VLOOKUP($D2,Table15[],18,FALSE),(VLOOKUP($A2,Table26[],16,FALSE)))</f>
        <v>6.815159028111531E-2</v>
      </c>
      <c r="S2" s="126">
        <f>IF(VLOOKUP($A2,Table26[],9,FALSE)=0,VLOOKUP($D2,Table15[],19,FALSE),(VLOOKUP($A2,Table26[],9,FALSE)))</f>
        <v>1.4477489953135432E-3</v>
      </c>
      <c r="T2" s="126">
        <f>IF(VLOOKUP($A2,Table26[],8,FALSE)=0,VLOOKUP($D2,Table15[],20,FALSE),(VLOOKUP($A2,Table26[],8,FALSE)))</f>
        <v>2.2005784728765855E-3</v>
      </c>
      <c r="U2" s="126">
        <f>IF(VLOOKUP($A2,Table26[],10,FALSE)=0,VLOOKUP($D2,Table15[],21,FALSE),(VLOOKUP($A2,Table26[],10,FALSE)))</f>
        <v>5.7909959812541727E-3</v>
      </c>
      <c r="V2" s="126">
        <f>VLOOKUP($F2,vaccine_costs!$AH$6:$AK$11,2,FALSE)</f>
        <v>0.48</v>
      </c>
      <c r="W2" s="126">
        <f>IF(VLOOKUP($A2,tordrup[],5,FALSE)=0,VLOOKUP($D2,Table15[],23,FALSE),VLOOKUP($A2,tordrup[],5,FALSE))</f>
        <v>23.688833769387955</v>
      </c>
      <c r="X2" s="126">
        <f>IF(VLOOKUP($A2,tordrup[],6,FALSE)=0,VLOOKUP($D2,Table15[],24,FALSE),VLOOKUP($A2,tordrup[],6,FALSE))</f>
        <v>52.908833769387954</v>
      </c>
      <c r="Y2" s="126">
        <f>IF(VLOOKUP($A2,tordrup[],7,FALSE)=0,VLOOKUP($D2,Table15[],25,FALSE),VLOOKUP($A2,tordrup[],7,FALSE))</f>
        <v>53.707858226005648</v>
      </c>
      <c r="Z2" s="126">
        <f>IF(VLOOKUP($A2,tordrup[],8,FALSE)=0,VLOOKUP($D2,Table15[],26,FALSE),VLOOKUP($A2,tordrup[],8,FALSE))</f>
        <v>53.574687483236033</v>
      </c>
      <c r="AA2" s="126">
        <v>82.4</v>
      </c>
      <c r="AB2" s="126">
        <v>408.79</v>
      </c>
      <c r="AC2" s="126">
        <v>2415.5</v>
      </c>
      <c r="AD2" s="126">
        <v>5434.91</v>
      </c>
      <c r="AF2" s="126">
        <v>0</v>
      </c>
      <c r="AG2" s="126">
        <v>253.55171593599351</v>
      </c>
      <c r="AH2" s="126">
        <v>507.10343187198703</v>
      </c>
      <c r="AI2" s="126">
        <v>1521.310295615961</v>
      </c>
      <c r="AJ2" t="str">
        <f>IF(VLOOKUP($A2,lmic_raw[],11,FALSE)=0, "Yes", "No")</f>
        <v>No</v>
      </c>
    </row>
    <row r="3" spans="1:36" x14ac:dyDescent="0.25">
      <c r="A3" s="110" t="s">
        <v>332</v>
      </c>
      <c r="D3" s="84" t="s">
        <v>675</v>
      </c>
      <c r="F3" s="84" t="s">
        <v>663</v>
      </c>
      <c r="I3" s="126">
        <f>IF(VLOOKUP($A3,portnoy[],3,FALSE)=0, VLOOKUP($D3,Table15[],9,FALSE),VLOOKUP($A3,portnoy[],3,FALSE))</f>
        <v>6.6641000000000004</v>
      </c>
      <c r="J3" s="126">
        <f>sens_costs_regions!J$2</f>
        <v>0.36202199312714778</v>
      </c>
      <c r="K3" s="126">
        <f>sens_costs_regions!K$2</f>
        <v>0.41792411616161618</v>
      </c>
      <c r="L3" s="126">
        <f>sens_costs_regions!L$2</f>
        <v>0.48333918128654974</v>
      </c>
      <c r="M3" s="126">
        <f>sens_costs_regions!M$2</f>
        <v>0.5718158075601375</v>
      </c>
      <c r="N3" s="126">
        <f>sens_costs_regions!N$2</f>
        <v>0.65679722222222237</v>
      </c>
      <c r="O3" s="126">
        <f>sens_costs_regions!O$2</f>
        <v>0.7491286549707602</v>
      </c>
      <c r="P3" s="126">
        <f>IF(VLOOKUP($A3,Table26[],6,FALSE)=0,VLOOKUP($D3,Table15[],16,FALSE),(VLOOKUP($A3,Table26[],6,FALSE)))</f>
        <v>9.6034099212982515E-3</v>
      </c>
      <c r="Q3" s="126">
        <f>IF(VLOOKUP($A3,Table26[],5,FALSE)=0,VLOOKUP($D3,Table15[],17,FALSE),(VLOOKUP($A3,Table26[],5,FALSE)))</f>
        <v>1.459718308037334E-2</v>
      </c>
      <c r="R3" s="126">
        <f>IF(VLOOKUP($A3,Table26[],16,FALSE)=0,VLOOKUP($D3,Table15[],18,FALSE),(VLOOKUP($A3,Table26[],16,FALSE)))</f>
        <v>0.23048183811115802</v>
      </c>
      <c r="S3" s="126">
        <f>IF(VLOOKUP($A3,Table26[],9,FALSE)=0,VLOOKUP($D3,Table15[],19,FALSE),(VLOOKUP($A3,Table26[],9,FALSE)))</f>
        <v>5.3697672170693054E-3</v>
      </c>
      <c r="T3" s="126">
        <f>IF(VLOOKUP($A3,Table26[],8,FALSE)=0,VLOOKUP($D3,Table15[],20,FALSE),(VLOOKUP($A3,Table26[],8,FALSE)))</f>
        <v>8.1620461699453434E-3</v>
      </c>
      <c r="U3" s="126">
        <f>IF(VLOOKUP($A3,Table26[],10,FALSE)=0,VLOOKUP($D3,Table15[],21,FALSE),(VLOOKUP($A3,Table26[],10,FALSE)))</f>
        <v>2.1479068868277221E-2</v>
      </c>
      <c r="V3" s="126">
        <f>VLOOKUP($F3,vaccine_costs!$AH$6:$AK$11,2,FALSE)</f>
        <v>4.07</v>
      </c>
      <c r="W3" s="126">
        <f>IF(VLOOKUP($A3,tordrup[],5,FALSE)=0,VLOOKUP($D3,Table15[],23,FALSE),VLOOKUP($A3,tordrup[],5,FALSE))</f>
        <v>29.611489798090126</v>
      </c>
      <c r="X3" s="126">
        <f>IF(VLOOKUP($A3,tordrup[],6,FALSE)=0,VLOOKUP($D3,Table15[],24,FALSE),VLOOKUP($A3,tordrup[],6,FALSE))</f>
        <v>58.831489798090125</v>
      </c>
      <c r="Y3" s="126">
        <f>IF(VLOOKUP($A3,tordrup[],7,FALSE)=0,VLOOKUP($D3,Table15[],25,FALSE),VLOOKUP($A3,tordrup[],7,FALSE))</f>
        <v>89.915107875139313</v>
      </c>
      <c r="Z3" s="126">
        <f>IF(VLOOKUP($A3,tordrup[],8,FALSE)=0,VLOOKUP($D3,Table15[],26,FALSE),VLOOKUP($A3,tordrup[],8,FALSE))</f>
        <v>84.734504862297783</v>
      </c>
      <c r="AA3" s="126">
        <v>82.4</v>
      </c>
      <c r="AB3" s="126">
        <v>408.79</v>
      </c>
      <c r="AC3" s="126">
        <v>2415.5</v>
      </c>
      <c r="AD3" s="126">
        <v>5434.91</v>
      </c>
      <c r="AF3" s="126">
        <v>3113.608358439124</v>
      </c>
      <c r="AG3" s="126">
        <v>2676.6224282007001</v>
      </c>
      <c r="AH3" s="126">
        <v>5353.2448564014003</v>
      </c>
      <c r="AI3" s="126">
        <v>16059.7345692042</v>
      </c>
      <c r="AJ3" s="33" t="str">
        <f>IF(VLOOKUP($A3,lmic_raw[],11,FALSE)=0, "Yes", "No")</f>
        <v>No</v>
      </c>
    </row>
    <row r="4" spans="1:36" x14ac:dyDescent="0.25">
      <c r="A4" s="109" t="s">
        <v>157</v>
      </c>
      <c r="D4" s="82" t="s">
        <v>677</v>
      </c>
      <c r="F4" s="82" t="s">
        <v>579</v>
      </c>
      <c r="I4" s="126">
        <f>IF(VLOOKUP($A4,portnoy[],3,FALSE)=0, VLOOKUP($D4,Table15[],9,FALSE),VLOOKUP($A4,portnoy[],3,FALSE))</f>
        <v>2.9045999999999998</v>
      </c>
      <c r="J4" s="126">
        <f>sens_costs_regions!J$2</f>
        <v>0.36202199312714778</v>
      </c>
      <c r="K4" s="126">
        <f>sens_costs_regions!K$2</f>
        <v>0.41792411616161618</v>
      </c>
      <c r="L4" s="126">
        <f>sens_costs_regions!L$2</f>
        <v>0.48333918128654974</v>
      </c>
      <c r="M4" s="126">
        <f>sens_costs_regions!M$2</f>
        <v>0.5718158075601375</v>
      </c>
      <c r="N4" s="126">
        <f>sens_costs_regions!N$2</f>
        <v>0.65679722222222237</v>
      </c>
      <c r="O4" s="126">
        <f>sens_costs_regions!O$2</f>
        <v>0.7491286549707602</v>
      </c>
      <c r="P4" s="126">
        <f>IF(VLOOKUP($A4,Table26[],6,FALSE)=0,VLOOKUP($D4,Table15[],16,FALSE),(VLOOKUP($A4,Table26[],6,FALSE)))</f>
        <v>7.5526333977395717E-3</v>
      </c>
      <c r="Q4" s="126">
        <f>IF(VLOOKUP($A4,Table26[],5,FALSE)=0,VLOOKUP($D4,Table15[],17,FALSE),(VLOOKUP($A4,Table26[],5,FALSE)))</f>
        <v>1.1480002764564148E-2</v>
      </c>
      <c r="R4" s="126">
        <f>IF(VLOOKUP($A4,Table26[],16,FALSE)=0,VLOOKUP($D4,Table15[],18,FALSE),(VLOOKUP($A4,Table26[],16,FALSE)))</f>
        <v>0.18126320154574974</v>
      </c>
      <c r="S4" s="126">
        <f>IF(VLOOKUP($A4,Table26[],9,FALSE)=0,VLOOKUP($D4,Table15[],19,FALSE),(VLOOKUP($A4,Table26[],9,FALSE)))</f>
        <v>3.9862293931252702E-3</v>
      </c>
      <c r="T4" s="126">
        <f>IF(VLOOKUP($A4,Table26[],8,FALSE)=0,VLOOKUP($D4,Table15[],20,FALSE),(VLOOKUP($A4,Table26[],8,FALSE)))</f>
        <v>6.0590686775504107E-3</v>
      </c>
      <c r="U4" s="126">
        <f>IF(VLOOKUP($A4,Table26[],10,FALSE)=0,VLOOKUP($D4,Table15[],21,FALSE),(VLOOKUP($A4,Table26[],10,FALSE)))</f>
        <v>1.5944917572501081E-2</v>
      </c>
      <c r="V4" s="126">
        <f>VLOOKUP($F4,vaccine_costs!$AH$6:$AK$11,2,FALSE)</f>
        <v>0.48</v>
      </c>
      <c r="W4" s="126">
        <f>IF(VLOOKUP($A4,tordrup[],5,FALSE)=0,VLOOKUP($D4,Table15[],23,FALSE),VLOOKUP($A4,tordrup[],5,FALSE))</f>
        <v>28.056644227428833</v>
      </c>
      <c r="X4" s="126">
        <f>IF(VLOOKUP($A4,tordrup[],6,FALSE)=0,VLOOKUP($D4,Table15[],24,FALSE),VLOOKUP($A4,tordrup[],6,FALSE))</f>
        <v>57.276644227428832</v>
      </c>
      <c r="Y4" s="126">
        <f>IF(VLOOKUP($A4,tordrup[],7,FALSE)=0,VLOOKUP($D4,Table15[],25,FALSE),VLOOKUP($A4,tordrup[],7,FALSE))</f>
        <v>80.111509825865937</v>
      </c>
      <c r="Z4" s="126">
        <f>IF(VLOOKUP($A4,tordrup[],8,FALSE)=0,VLOOKUP($D4,Table15[],26,FALSE),VLOOKUP($A4,tordrup[],8,FALSE))</f>
        <v>76.305698892793075</v>
      </c>
      <c r="AA4" s="126">
        <v>82.4</v>
      </c>
      <c r="AB4" s="126">
        <v>408.79</v>
      </c>
      <c r="AC4" s="126">
        <v>2415.5</v>
      </c>
      <c r="AD4" s="126">
        <v>5434.91</v>
      </c>
      <c r="AF4" s="126">
        <v>5078.5108628709886</v>
      </c>
      <c r="AG4" s="126">
        <v>1986.9820359578271</v>
      </c>
      <c r="AH4" s="126">
        <v>3973.9640719156541</v>
      </c>
      <c r="AI4" s="126">
        <v>11921.892215746962</v>
      </c>
      <c r="AJ4" s="33" t="str">
        <f>IF(VLOOKUP($A4,lmic_raw[],11,FALSE)=0, "Yes", "No")</f>
        <v>No</v>
      </c>
    </row>
    <row r="5" spans="1:36" x14ac:dyDescent="0.25">
      <c r="A5" s="110" t="s">
        <v>122</v>
      </c>
      <c r="D5" s="84" t="s">
        <v>677</v>
      </c>
      <c r="F5" s="84" t="s">
        <v>667</v>
      </c>
      <c r="I5" s="126">
        <f>IF(VLOOKUP($A5,portnoy[],3,FALSE)=0, VLOOKUP($D5,Table15[],9,FALSE),VLOOKUP($A5,portnoy[],3,FALSE))</f>
        <v>1.0815000000000001</v>
      </c>
      <c r="J5" s="126">
        <f>sens_costs_regions!J$2</f>
        <v>0.36202199312714778</v>
      </c>
      <c r="K5" s="126">
        <f>sens_costs_regions!K$2</f>
        <v>0.41792411616161618</v>
      </c>
      <c r="L5" s="126">
        <f>sens_costs_regions!L$2</f>
        <v>0.48333918128654974</v>
      </c>
      <c r="M5" s="126">
        <f>sens_costs_regions!M$2</f>
        <v>0.5718158075601375</v>
      </c>
      <c r="N5" s="126">
        <f>sens_costs_regions!N$2</f>
        <v>0.65679722222222237</v>
      </c>
      <c r="O5" s="126">
        <f>sens_costs_regions!O$2</f>
        <v>0.7491286549707602</v>
      </c>
      <c r="P5" s="126">
        <f>IF(VLOOKUP($A5,Table26[],6,FALSE)=0,VLOOKUP($D5,Table15[],16,FALSE),(VLOOKUP($A5,Table26[],6,FALSE)))</f>
        <v>9.712835222579163E-3</v>
      </c>
      <c r="Q5" s="126">
        <f>IF(VLOOKUP($A5,Table26[],5,FALSE)=0,VLOOKUP($D5,Table15[],17,FALSE),(VLOOKUP($A5,Table26[],5,FALSE)))</f>
        <v>1.4763509538320325E-2</v>
      </c>
      <c r="R5" s="126">
        <f>IF(VLOOKUP($A5,Table26[],16,FALSE)=0,VLOOKUP($D5,Table15[],18,FALSE),(VLOOKUP($A5,Table26[],16,FALSE)))</f>
        <v>0.23310804534189991</v>
      </c>
      <c r="S5" s="126">
        <f>IF(VLOOKUP($A5,Table26[],9,FALSE)=0,VLOOKUP($D5,Table15[],19,FALSE),(VLOOKUP($A5,Table26[],9,FALSE)))</f>
        <v>5.1680122503826769E-3</v>
      </c>
      <c r="T5" s="126">
        <f>IF(VLOOKUP($A5,Table26[],8,FALSE)=0,VLOOKUP($D5,Table15[],20,FALSE),(VLOOKUP($A5,Table26[],8,FALSE)))</f>
        <v>7.8553786205816691E-3</v>
      </c>
      <c r="U5" s="126">
        <f>IF(VLOOKUP($A5,Table26[],10,FALSE)=0,VLOOKUP($D5,Table15[],21,FALSE),(VLOOKUP($A5,Table26[],10,FALSE)))</f>
        <v>2.0672049001530707E-2</v>
      </c>
      <c r="V5" s="126">
        <f>VLOOKUP($F5,vaccine_costs!$AH$6:$AK$11,2,FALSE)</f>
        <v>4.83</v>
      </c>
      <c r="W5" s="126">
        <f>IF(VLOOKUP($A5,tordrup[],5,FALSE)=0,VLOOKUP($D5,Table15[],23,FALSE),VLOOKUP($A5,tordrup[],5,FALSE))</f>
        <v>29.314763544147134</v>
      </c>
      <c r="X5" s="126">
        <f>IF(VLOOKUP($A5,tordrup[],6,FALSE)=0,VLOOKUP($D5,Table15[],24,FALSE),VLOOKUP($A5,tordrup[],6,FALSE))</f>
        <v>58.534763544147133</v>
      </c>
      <c r="Y5" s="126">
        <f>IF(VLOOKUP($A5,tordrup[],7,FALSE)=0,VLOOKUP($D5,Table15[],25,FALSE),VLOOKUP($A5,tordrup[],7,FALSE))</f>
        <v>83.664866062084087</v>
      </c>
      <c r="Z5" s="126">
        <f>IF(VLOOKUP($A5,tordrup[],8,FALSE)=0,VLOOKUP($D5,Table15[],26,FALSE),VLOOKUP($A5,tordrup[],8,FALSE))</f>
        <v>79.476515642427927</v>
      </c>
      <c r="AA5" s="126">
        <v>82.4</v>
      </c>
      <c r="AB5" s="126">
        <v>408.79</v>
      </c>
      <c r="AC5" s="126">
        <v>2415.5</v>
      </c>
      <c r="AD5" s="126">
        <v>5434.91</v>
      </c>
      <c r="AF5" s="126">
        <v>0</v>
      </c>
      <c r="AG5" s="126">
        <v>1395.3633076033229</v>
      </c>
      <c r="AH5" s="126">
        <v>2790.7266152066459</v>
      </c>
      <c r="AI5" s="126">
        <v>8372.1798456199376</v>
      </c>
      <c r="AJ5" s="33" t="str">
        <f>IF(VLOOKUP($A5,lmic_raw[],11,FALSE)=0, "Yes", "No")</f>
        <v>Yes</v>
      </c>
    </row>
    <row r="6" spans="1:36" x14ac:dyDescent="0.25">
      <c r="A6" s="109" t="s">
        <v>262</v>
      </c>
      <c r="D6" s="82" t="s">
        <v>679</v>
      </c>
      <c r="F6" s="82" t="s">
        <v>665</v>
      </c>
      <c r="I6" s="126">
        <f>IF(VLOOKUP($A6,portnoy[],3,FALSE)=0, VLOOKUP($D6,Table15[],9,FALSE),VLOOKUP($A6,portnoy[],3,FALSE))</f>
        <v>3.2754000000000003</v>
      </c>
      <c r="J6" s="126">
        <f>sens_costs_regions!J$2</f>
        <v>0.36202199312714778</v>
      </c>
      <c r="K6" s="126">
        <f>sens_costs_regions!K$2</f>
        <v>0.41792411616161618</v>
      </c>
      <c r="L6" s="126">
        <f>sens_costs_regions!L$2</f>
        <v>0.48333918128654974</v>
      </c>
      <c r="M6" s="126">
        <f>sens_costs_regions!M$2</f>
        <v>0.5718158075601375</v>
      </c>
      <c r="N6" s="126">
        <f>sens_costs_regions!N$2</f>
        <v>0.65679722222222237</v>
      </c>
      <c r="O6" s="126">
        <f>sens_costs_regions!O$2</f>
        <v>0.7491286549707602</v>
      </c>
      <c r="P6" s="126">
        <f>IF(VLOOKUP($A6,Table26[],6,FALSE)=0,VLOOKUP($D6,Table15[],16,FALSE),(VLOOKUP($A6,Table26[],6,FALSE)))</f>
        <v>1.9141804814300487E-2</v>
      </c>
      <c r="Q6" s="126">
        <f>IF(VLOOKUP($A6,Table26[],5,FALSE)=0,VLOOKUP($D6,Table15[],17,FALSE),(VLOOKUP($A6,Table26[],5,FALSE)))</f>
        <v>2.9095543317736734E-2</v>
      </c>
      <c r="R6" s="126">
        <f>IF(VLOOKUP($A6,Table26[],16,FALSE)=0,VLOOKUP($D6,Table15[],18,FALSE),(VLOOKUP($A6,Table26[],16,FALSE)))</f>
        <v>0.45940331554321168</v>
      </c>
      <c r="S6" s="126">
        <f>IF(VLOOKUP($A6,Table26[],9,FALSE)=0,VLOOKUP($D6,Table15[],19,FALSE),(VLOOKUP($A6,Table26[],9,FALSE)))</f>
        <v>9.9428752709702466E-3</v>
      </c>
      <c r="T6" s="126">
        <f>IF(VLOOKUP($A6,Table26[],8,FALSE)=0,VLOOKUP($D6,Table15[],20,FALSE),(VLOOKUP($A6,Table26[],8,FALSE)))</f>
        <v>1.5113170411874773E-2</v>
      </c>
      <c r="U6" s="126">
        <f>IF(VLOOKUP($A6,Table26[],10,FALSE)=0,VLOOKUP($D6,Table15[],21,FALSE),(VLOOKUP($A6,Table26[],10,FALSE)))</f>
        <v>3.9771501083880986E-2</v>
      </c>
      <c r="V6" s="126">
        <f>VLOOKUP($F6,vaccine_costs!$AH$6:$AK$11,2,FALSE)</f>
        <v>0.02</v>
      </c>
      <c r="W6" s="126">
        <f>IF(VLOOKUP($A6,tordrup[],5,FALSE)=0,VLOOKUP($D6,Table15[],23,FALSE),VLOOKUP($A6,tordrup[],5,FALSE))</f>
        <v>37.456931952342906</v>
      </c>
      <c r="X6" s="126">
        <f>IF(VLOOKUP($A6,tordrup[],6,FALSE)=0,VLOOKUP($D6,Table15[],24,FALSE),VLOOKUP($A6,tordrup[],6,FALSE))</f>
        <v>66.676931952342898</v>
      </c>
      <c r="Y6" s="126">
        <f>IF(VLOOKUP($A6,tordrup[],7,FALSE)=0,VLOOKUP($D6,Table15[],25,FALSE),VLOOKUP($A6,tordrup[],7,FALSE))</f>
        <v>152.87757038980493</v>
      </c>
      <c r="Z6" s="126">
        <f>IF(VLOOKUP($A6,tordrup[],8,FALSE)=0,VLOOKUP($D6,Table15[],26,FALSE),VLOOKUP($A6,tordrup[],8,FALSE))</f>
        <v>138.51079731689458</v>
      </c>
      <c r="AA6" s="126">
        <v>82.4</v>
      </c>
      <c r="AB6" s="126">
        <v>408.79</v>
      </c>
      <c r="AC6" s="126">
        <v>2415.5</v>
      </c>
      <c r="AD6" s="126">
        <v>5434.91</v>
      </c>
      <c r="AF6" s="126">
        <v>6941.6782671149249</v>
      </c>
      <c r="AG6" s="126">
        <v>4956.1409042990153</v>
      </c>
      <c r="AH6" s="126">
        <v>9912.2818085980307</v>
      </c>
      <c r="AI6" s="126">
        <v>29736.84542579409</v>
      </c>
      <c r="AJ6" s="33" t="str">
        <f>IF(VLOOKUP($A6,lmic_raw[],11,FALSE)=0, "Yes", "No")</f>
        <v>No</v>
      </c>
    </row>
    <row r="7" spans="1:36" x14ac:dyDescent="0.25">
      <c r="A7" s="110" t="s">
        <v>165</v>
      </c>
      <c r="D7" s="84" t="s">
        <v>675</v>
      </c>
      <c r="F7" s="84" t="s">
        <v>663</v>
      </c>
      <c r="I7" s="126">
        <f>IF(VLOOKUP($A7,portnoy[],3,FALSE)=0, VLOOKUP($D7,Table15[],9,FALSE),VLOOKUP($A7,portnoy[],3,FALSE))</f>
        <v>5.0058000000000007</v>
      </c>
      <c r="J7" s="126">
        <f>sens_costs_regions!J$2</f>
        <v>0.36202199312714778</v>
      </c>
      <c r="K7" s="126">
        <f>sens_costs_regions!K$2</f>
        <v>0.41792411616161618</v>
      </c>
      <c r="L7" s="126">
        <f>sens_costs_regions!L$2</f>
        <v>0.48333918128654974</v>
      </c>
      <c r="M7" s="126">
        <f>sens_costs_regions!M$2</f>
        <v>0.5718158075601375</v>
      </c>
      <c r="N7" s="126">
        <f>sens_costs_regions!N$2</f>
        <v>0.65679722222222237</v>
      </c>
      <c r="O7" s="126">
        <f>sens_costs_regions!O$2</f>
        <v>0.7491286549707602</v>
      </c>
      <c r="P7" s="126">
        <f>IF(VLOOKUP($A7,Table26[],6,FALSE)=0,VLOOKUP($D7,Table15[],16,FALSE),(VLOOKUP($A7,Table26[],6,FALSE)))</f>
        <v>8.5942876591385865E-3</v>
      </c>
      <c r="Q7" s="126">
        <f>IF(VLOOKUP($A7,Table26[],5,FALSE)=0,VLOOKUP($D7,Table15[],17,FALSE),(VLOOKUP($A7,Table26[],5,FALSE)))</f>
        <v>1.3063317241890651E-2</v>
      </c>
      <c r="R7" s="126">
        <f>IF(VLOOKUP($A7,Table26[],16,FALSE)=0,VLOOKUP($D7,Table15[],18,FALSE),(VLOOKUP($A7,Table26[],16,FALSE)))</f>
        <v>0.2062629038193261</v>
      </c>
      <c r="S7" s="126">
        <f>IF(VLOOKUP($A7,Table26[],9,FALSE)=0,VLOOKUP($D7,Table15[],19,FALSE),(VLOOKUP($A7,Table26[],9,FALSE)))</f>
        <v>4.6370011892536431E-3</v>
      </c>
      <c r="T7" s="126">
        <f>IF(VLOOKUP($A7,Table26[],8,FALSE)=0,VLOOKUP($D7,Table15[],20,FALSE),(VLOOKUP($A7,Table26[],8,FALSE)))</f>
        <v>7.0482418076655362E-3</v>
      </c>
      <c r="U7" s="126">
        <f>IF(VLOOKUP($A7,Table26[],10,FALSE)=0,VLOOKUP($D7,Table15[],21,FALSE),(VLOOKUP($A7,Table26[],10,FALSE)))</f>
        <v>1.8548004757014572E-2</v>
      </c>
      <c r="V7" s="126">
        <f>VLOOKUP($F7,vaccine_costs!$AH$6:$AK$11,2,FALSE)</f>
        <v>4.07</v>
      </c>
      <c r="W7" s="126">
        <f>IF(VLOOKUP($A7,tordrup[],5,FALSE)=0,VLOOKUP($D7,Table15[],23,FALSE),VLOOKUP($A7,tordrup[],5,FALSE))</f>
        <v>28.175334729006032</v>
      </c>
      <c r="X7" s="126">
        <f>IF(VLOOKUP($A7,tordrup[],6,FALSE)=0,VLOOKUP($D7,Table15[],24,FALSE),VLOOKUP($A7,tordrup[],6,FALSE))</f>
        <v>57.395334729006031</v>
      </c>
      <c r="Y7" s="126">
        <f>IF(VLOOKUP($A7,tordrup[],7,FALSE)=0,VLOOKUP($D7,Table15[],25,FALSE),VLOOKUP($A7,tordrup[],7,FALSE))</f>
        <v>77.950630554151459</v>
      </c>
      <c r="Z7" s="126">
        <f>IF(VLOOKUP($A7,tordrup[],8,FALSE)=0,VLOOKUP($D7,Table15[],26,FALSE),VLOOKUP($A7,tordrup[],8,FALSE))</f>
        <v>74.52474791662722</v>
      </c>
      <c r="AA7" s="126">
        <v>82.4</v>
      </c>
      <c r="AB7" s="126">
        <v>408.79</v>
      </c>
      <c r="AC7" s="126">
        <v>2415.5</v>
      </c>
      <c r="AD7" s="126">
        <v>5434.91</v>
      </c>
      <c r="AF7" s="126">
        <v>1335.9775616489146</v>
      </c>
      <c r="AG7" s="126">
        <v>2311.3667466433544</v>
      </c>
      <c r="AH7" s="126">
        <v>4622.7334932867088</v>
      </c>
      <c r="AI7" s="126">
        <v>13868.200479860127</v>
      </c>
      <c r="AJ7" s="33" t="str">
        <f>IF(VLOOKUP($A7,lmic_raw[],11,FALSE)=0, "Yes", "No")</f>
        <v>No</v>
      </c>
    </row>
    <row r="8" spans="1:36" x14ac:dyDescent="0.25">
      <c r="A8" s="109" t="s">
        <v>166</v>
      </c>
      <c r="D8" s="82" t="s">
        <v>675</v>
      </c>
      <c r="F8" s="82" t="s">
        <v>663</v>
      </c>
      <c r="I8" s="126">
        <f>IF(VLOOKUP($A8,portnoy[],3,FALSE)=0, VLOOKUP($D8,Table15[],9,FALSE),VLOOKUP($A8,portnoy[],3,FALSE))</f>
        <v>4.3980999999999995</v>
      </c>
      <c r="J8" s="126">
        <f>sens_costs_regions!J$2</f>
        <v>0.36202199312714778</v>
      </c>
      <c r="K8" s="126">
        <f>sens_costs_regions!K$2</f>
        <v>0.41792411616161618</v>
      </c>
      <c r="L8" s="126">
        <f>sens_costs_regions!L$2</f>
        <v>0.48333918128654974</v>
      </c>
      <c r="M8" s="126">
        <f>sens_costs_regions!M$2</f>
        <v>0.5718158075601375</v>
      </c>
      <c r="N8" s="126">
        <f>sens_costs_regions!N$2</f>
        <v>0.65679722222222237</v>
      </c>
      <c r="O8" s="126">
        <f>sens_costs_regions!O$2</f>
        <v>0.7491286549707602</v>
      </c>
      <c r="P8" s="126">
        <f>IF(VLOOKUP($A8,Table26[],6,FALSE)=0,VLOOKUP($D8,Table15[],16,FALSE),(VLOOKUP($A8,Table26[],6,FALSE)))</f>
        <v>8.7822979062356209E-3</v>
      </c>
      <c r="Q8" s="126">
        <f>IF(VLOOKUP($A8,Table26[],5,FALSE)=0,VLOOKUP($D8,Table15[],17,FALSE),(VLOOKUP($A8,Table26[],5,FALSE)))</f>
        <v>1.3349092817478142E-2</v>
      </c>
      <c r="R8" s="126">
        <f>IF(VLOOKUP($A8,Table26[],16,FALSE)=0,VLOOKUP($D8,Table15[],18,FALSE),(VLOOKUP($A8,Table26[],16,FALSE)))</f>
        <v>0.21077514974965489</v>
      </c>
      <c r="S8" s="126">
        <f>IF(VLOOKUP($A8,Table26[],9,FALSE)=0,VLOOKUP($D8,Table15[],19,FALSE),(VLOOKUP($A8,Table26[],9,FALSE)))</f>
        <v>4.8083820413355348E-3</v>
      </c>
      <c r="T8" s="126">
        <f>IF(VLOOKUP($A8,Table26[],8,FALSE)=0,VLOOKUP($D8,Table15[],20,FALSE),(VLOOKUP($A8,Table26[],8,FALSE)))</f>
        <v>7.3087407028300123E-3</v>
      </c>
      <c r="U8" s="126">
        <f>IF(VLOOKUP($A8,Table26[],10,FALSE)=0,VLOOKUP($D8,Table15[],21,FALSE),(VLOOKUP($A8,Table26[],10,FALSE)))</f>
        <v>1.9233528165342139E-2</v>
      </c>
      <c r="V8" s="126">
        <f>VLOOKUP($F8,vaccine_costs!$AH$6:$AK$11,2,FALSE)</f>
        <v>4.07</v>
      </c>
      <c r="W8" s="126">
        <f>IF(VLOOKUP($A8,tordrup[],5,FALSE)=0,VLOOKUP($D8,Table15[],23,FALSE),VLOOKUP($A8,tordrup[],5,FALSE))</f>
        <v>31.715964524496332</v>
      </c>
      <c r="X8" s="126">
        <f>IF(VLOOKUP($A8,tordrup[],6,FALSE)=0,VLOOKUP($D8,Table15[],24,FALSE),VLOOKUP($A8,tordrup[],6,FALSE))</f>
        <v>60.935964524496327</v>
      </c>
      <c r="Y8" s="126">
        <f>IF(VLOOKUP($A8,tordrup[],7,FALSE)=0,VLOOKUP($D8,Table15[],25,FALSE),VLOOKUP($A8,tordrup[],7,FALSE))</f>
        <v>108.65876594883072</v>
      </c>
      <c r="Z8" s="126">
        <f>IF(VLOOKUP($A8,tordrup[],8,FALSE)=0,VLOOKUP($D8,Table15[],26,FALSE),VLOOKUP($A8,tordrup[],8,FALSE))</f>
        <v>100.70496571144166</v>
      </c>
      <c r="AA8" s="126">
        <v>82.4</v>
      </c>
      <c r="AB8" s="126">
        <v>408.79</v>
      </c>
      <c r="AC8" s="126">
        <v>2415.5</v>
      </c>
      <c r="AD8" s="126">
        <v>5434.91</v>
      </c>
      <c r="AF8" s="126">
        <v>1675.6766249547813</v>
      </c>
      <c r="AG8" s="126">
        <v>2396.7935098349435</v>
      </c>
      <c r="AH8" s="126">
        <v>4793.587019669887</v>
      </c>
      <c r="AI8" s="126">
        <v>14380.761059009661</v>
      </c>
      <c r="AJ8" s="33" t="str">
        <f>IF(VLOOKUP($A8,lmic_raw[],11,FALSE)=0, "Yes", "No")</f>
        <v>No</v>
      </c>
    </row>
    <row r="9" spans="1:36" x14ac:dyDescent="0.25">
      <c r="A9" s="110" t="s">
        <v>192</v>
      </c>
      <c r="D9" s="84" t="s">
        <v>680</v>
      </c>
      <c r="F9" s="84" t="s">
        <v>589</v>
      </c>
      <c r="I9" s="126">
        <f>IF(VLOOKUP($A9,portnoy[],3,FALSE)=0, VLOOKUP($D9,Table15[],9,FALSE),VLOOKUP($A9,portnoy[],3,FALSE))</f>
        <v>2.1114999999999999</v>
      </c>
      <c r="J9" s="126">
        <f>sens_costs_regions!J$2</f>
        <v>0.36202199312714778</v>
      </c>
      <c r="K9" s="126">
        <f>sens_costs_regions!K$2</f>
        <v>0.41792411616161618</v>
      </c>
      <c r="L9" s="126">
        <f>sens_costs_regions!L$2</f>
        <v>0.48333918128654974</v>
      </c>
      <c r="M9" s="126">
        <f>sens_costs_regions!M$2</f>
        <v>0.5718158075601375</v>
      </c>
      <c r="N9" s="126">
        <f>sens_costs_regions!N$2</f>
        <v>0.65679722222222237</v>
      </c>
      <c r="O9" s="126">
        <f>sens_costs_regions!O$2</f>
        <v>0.7491286549707602</v>
      </c>
      <c r="P9" s="126">
        <f>IF(VLOOKUP($A9,Table26[],6,FALSE)=0,VLOOKUP($D9,Table15[],16,FALSE),(VLOOKUP($A9,Table26[],6,FALSE)))</f>
        <v>6.7679892459575524E-3</v>
      </c>
      <c r="Q9" s="126">
        <f>IF(VLOOKUP($A9,Table26[],5,FALSE)=0,VLOOKUP($D9,Table15[],17,FALSE),(VLOOKUP($A9,Table26[],5,FALSE)))</f>
        <v>1.0287343653855478E-2</v>
      </c>
      <c r="R9" s="126">
        <f>IF(VLOOKUP($A9,Table26[],16,FALSE)=0,VLOOKUP($D9,Table15[],18,FALSE),(VLOOKUP($A9,Table26[],16,FALSE)))</f>
        <v>0.16243174190298124</v>
      </c>
      <c r="S9" s="126">
        <f>IF(VLOOKUP($A9,Table26[],9,FALSE)=0,VLOOKUP($D9,Table15[],19,FALSE),(VLOOKUP($A9,Table26[],9,FALSE)))</f>
        <v>3.4365552297786384E-3</v>
      </c>
      <c r="T9" s="126">
        <f>IF(VLOOKUP($A9,Table26[],8,FALSE)=0,VLOOKUP($D9,Table15[],20,FALSE),(VLOOKUP($A9,Table26[],8,FALSE)))</f>
        <v>5.2235639492635303E-3</v>
      </c>
      <c r="U9" s="126">
        <f>IF(VLOOKUP($A9,Table26[],10,FALSE)=0,VLOOKUP($D9,Table15[],21,FALSE),(VLOOKUP($A9,Table26[],10,FALSE)))</f>
        <v>1.3746220919114554E-2</v>
      </c>
      <c r="V9" s="126">
        <f>VLOOKUP($F9,vaccine_costs!$AH$6:$AK$11,2,FALSE)</f>
        <v>2.4500000000000002</v>
      </c>
      <c r="W9" s="126">
        <f>IF(VLOOKUP($A9,tordrup[],5,FALSE)=0,VLOOKUP($D9,Table15[],23,FALSE),VLOOKUP($A9,tordrup[],5,FALSE))</f>
        <v>25.453070081405755</v>
      </c>
      <c r="X9" s="126">
        <f>IF(VLOOKUP($A9,tordrup[],6,FALSE)=0,VLOOKUP($D9,Table15[],24,FALSE),VLOOKUP($A9,tordrup[],6,FALSE))</f>
        <v>54.673070081405761</v>
      </c>
      <c r="Y9" s="126">
        <f>IF(VLOOKUP($A9,tordrup[],7,FALSE)=0,VLOOKUP($D9,Table15[],25,FALSE),VLOOKUP($A9,tordrup[],7,FALSE))</f>
        <v>62.681774864609807</v>
      </c>
      <c r="Z9" s="126">
        <f>IF(VLOOKUP($A9,tordrup[],8,FALSE)=0,VLOOKUP($D9,Table15[],26,FALSE),VLOOKUP($A9,tordrup[],8,FALSE))</f>
        <v>61.346990734075796</v>
      </c>
      <c r="AA9" s="126">
        <v>82.4</v>
      </c>
      <c r="AB9" s="126">
        <v>408.79</v>
      </c>
      <c r="AC9" s="126">
        <v>2415.5</v>
      </c>
      <c r="AD9" s="126">
        <v>5434.91</v>
      </c>
      <c r="AF9" s="126">
        <v>147.85341269981555</v>
      </c>
      <c r="AG9" s="126">
        <v>927.86991204023241</v>
      </c>
      <c r="AH9" s="126">
        <v>1855.7398240804648</v>
      </c>
      <c r="AI9" s="126">
        <v>5567.2194722413942</v>
      </c>
      <c r="AJ9" s="33" t="str">
        <f>IF(VLOOKUP($A9,lmic_raw[],11,FALSE)=0, "Yes", "No")</f>
        <v>Yes</v>
      </c>
    </row>
    <row r="10" spans="1:36" x14ac:dyDescent="0.25">
      <c r="A10" s="109" t="s">
        <v>307</v>
      </c>
      <c r="D10" s="82" t="s">
        <v>675</v>
      </c>
      <c r="F10" s="82" t="s">
        <v>663</v>
      </c>
      <c r="I10" s="126">
        <f>IF(VLOOKUP($A10,portnoy[],3,FALSE)=0, VLOOKUP($D10,Table15[],9,FALSE),VLOOKUP($A10,portnoy[],3,FALSE))</f>
        <v>5.0573000000000006</v>
      </c>
      <c r="J10" s="126">
        <f>sens_costs_regions!J$2</f>
        <v>0.36202199312714778</v>
      </c>
      <c r="K10" s="126">
        <f>sens_costs_regions!K$2</f>
        <v>0.41792411616161618</v>
      </c>
      <c r="L10" s="126">
        <f>sens_costs_regions!L$2</f>
        <v>0.48333918128654974</v>
      </c>
      <c r="M10" s="126">
        <f>sens_costs_regions!M$2</f>
        <v>0.5718158075601375</v>
      </c>
      <c r="N10" s="126">
        <f>sens_costs_regions!N$2</f>
        <v>0.65679722222222237</v>
      </c>
      <c r="O10" s="126">
        <f>sens_costs_regions!O$2</f>
        <v>0.7491286549707602</v>
      </c>
      <c r="P10" s="126">
        <f>IF(VLOOKUP($A10,Table26[],6,FALSE)=0,VLOOKUP($D10,Table15[],16,FALSE),(VLOOKUP($A10,Table26[],6,FALSE)))</f>
        <v>1.2135347156077215E-2</v>
      </c>
      <c r="Q10" s="126">
        <f>IF(VLOOKUP($A10,Table26[],5,FALSE)=0,VLOOKUP($D10,Table15[],17,FALSE),(VLOOKUP($A10,Table26[],5,FALSE)))</f>
        <v>1.8445727677237365E-2</v>
      </c>
      <c r="R10" s="126">
        <f>IF(VLOOKUP($A10,Table26[],16,FALSE)=0,VLOOKUP($D10,Table15[],18,FALSE),(VLOOKUP($A10,Table26[],16,FALSE)))</f>
        <v>0.29124833174585318</v>
      </c>
      <c r="S10" s="126">
        <f>IF(VLOOKUP($A10,Table26[],9,FALSE)=0,VLOOKUP($D10,Table15[],19,FALSE),(VLOOKUP($A10,Table26[],9,FALSE)))</f>
        <v>6.6838610190382512E-3</v>
      </c>
      <c r="T10" s="126">
        <f>IF(VLOOKUP($A10,Table26[],8,FALSE)=0,VLOOKUP($D10,Table15[],20,FALSE),(VLOOKUP($A10,Table26[],8,FALSE)))</f>
        <v>1.015946874893814E-2</v>
      </c>
      <c r="U10" s="126">
        <f>IF(VLOOKUP($A10,Table26[],10,FALSE)=0,VLOOKUP($D10,Table15[],21,FALSE),(VLOOKUP($A10,Table26[],10,FALSE)))</f>
        <v>2.6735444076153005E-2</v>
      </c>
      <c r="V10" s="126">
        <f>VLOOKUP($F10,vaccine_costs!$AH$6:$AK$11,2,FALSE)</f>
        <v>4.07</v>
      </c>
      <c r="W10" s="126">
        <f>IF(VLOOKUP($A10,tordrup[],5,FALSE)=0,VLOOKUP($D10,Table15[],23,FALSE),VLOOKUP($A10,tordrup[],5,FALSE))</f>
        <v>31.486799723009852</v>
      </c>
      <c r="X10" s="126">
        <f>IF(VLOOKUP($A10,tordrup[],6,FALSE)=0,VLOOKUP($D10,Table15[],24,FALSE),VLOOKUP($A10,tordrup[],6,FALSE))</f>
        <v>60.706799723009851</v>
      </c>
      <c r="Y10" s="126">
        <f>IF(VLOOKUP($A10,tordrup[],7,FALSE)=0,VLOOKUP($D10,Table15[],25,FALSE),VLOOKUP($A10,tordrup[],7,FALSE))</f>
        <v>108.3584249152201</v>
      </c>
      <c r="Z10" s="126">
        <f>IF(VLOOKUP($A10,tordrup[],8,FALSE)=0,VLOOKUP($D10,Table15[],26,FALSE),VLOOKUP($A10,tordrup[],8,FALSE))</f>
        <v>100.41648738318506</v>
      </c>
      <c r="AA10" s="126">
        <v>82.4</v>
      </c>
      <c r="AB10" s="126">
        <v>408.79</v>
      </c>
      <c r="AC10" s="126">
        <v>2415.5</v>
      </c>
      <c r="AD10" s="126">
        <v>5434.91</v>
      </c>
      <c r="AF10" s="126">
        <v>4577.4419764162149</v>
      </c>
      <c r="AG10" s="126">
        <v>3331.6476464129123</v>
      </c>
      <c r="AH10" s="126">
        <v>6663.2952928258246</v>
      </c>
      <c r="AI10" s="126">
        <v>19989.885878477475</v>
      </c>
      <c r="AJ10" s="33" t="str">
        <f>IF(VLOOKUP($A10,lmic_raw[],11,FALSE)=0, "Yes", "No")</f>
        <v>No</v>
      </c>
    </row>
    <row r="11" spans="1:36" x14ac:dyDescent="0.25">
      <c r="A11" s="110" t="s">
        <v>253</v>
      </c>
      <c r="D11" s="84" t="s">
        <v>679</v>
      </c>
      <c r="F11" s="84" t="s">
        <v>665</v>
      </c>
      <c r="I11" s="126">
        <f>IF(VLOOKUP($A11,portnoy[],3,FALSE)=0, VLOOKUP($D11,Table15[],9,FALSE),VLOOKUP($A11,portnoy[],3,FALSE))</f>
        <v>9.5583999999999989</v>
      </c>
      <c r="J11" s="126">
        <f>sens_costs_regions!J$2</f>
        <v>0.36202199312714778</v>
      </c>
      <c r="K11" s="126">
        <f>sens_costs_regions!K$2</f>
        <v>0.41792411616161618</v>
      </c>
      <c r="L11" s="126">
        <f>sens_costs_regions!L$2</f>
        <v>0.48333918128654974</v>
      </c>
      <c r="M11" s="126">
        <f>sens_costs_regions!M$2</f>
        <v>0.5718158075601375</v>
      </c>
      <c r="N11" s="126">
        <f>sens_costs_regions!N$2</f>
        <v>0.65679722222222237</v>
      </c>
      <c r="O11" s="126">
        <f>sens_costs_regions!O$2</f>
        <v>0.7491286549707602</v>
      </c>
      <c r="P11" s="126">
        <f>IF(VLOOKUP($A11,Table26[],6,FALSE)=0,VLOOKUP($D11,Table15[],16,FALSE),(VLOOKUP($A11,Table26[],6,FALSE)))</f>
        <v>8.7761405743999026E-3</v>
      </c>
      <c r="Q11" s="126">
        <f>IF(VLOOKUP($A11,Table26[],5,FALSE)=0,VLOOKUP($D11,Table15[],17,FALSE),(VLOOKUP($A11,Table26[],5,FALSE)))</f>
        <v>1.3339733673087852E-2</v>
      </c>
      <c r="R11" s="126">
        <f>IF(VLOOKUP($A11,Table26[],16,FALSE)=0,VLOOKUP($D11,Table15[],18,FALSE),(VLOOKUP($A11,Table26[],16,FALSE)))</f>
        <v>0.21062737378559768</v>
      </c>
      <c r="S11" s="126">
        <f>IF(VLOOKUP($A11,Table26[],9,FALSE)=0,VLOOKUP($D11,Table15[],19,FALSE),(VLOOKUP($A11,Table26[],9,FALSE)))</f>
        <v>4.8300253271864445E-3</v>
      </c>
      <c r="T11" s="126">
        <f>IF(VLOOKUP($A11,Table26[],8,FALSE)=0,VLOOKUP($D11,Table15[],20,FALSE),(VLOOKUP($A11,Table26[],8,FALSE)))</f>
        <v>7.3416384973233944E-3</v>
      </c>
      <c r="U11" s="126">
        <f>IF(VLOOKUP($A11,Table26[],10,FALSE)=0,VLOOKUP($D11,Table15[],21,FALSE),(VLOOKUP($A11,Table26[],10,FALSE)))</f>
        <v>1.9320101308745778E-2</v>
      </c>
      <c r="V11" s="126">
        <f>VLOOKUP($F11,vaccine_costs!$AH$6:$AK$11,2,FALSE)</f>
        <v>0.02</v>
      </c>
      <c r="W11" s="126">
        <f>IF(VLOOKUP($A11,tordrup[],5,FALSE)=0,VLOOKUP($D11,Table15[],23,FALSE),VLOOKUP($A11,tordrup[],5,FALSE))</f>
        <v>30.323632807553313</v>
      </c>
      <c r="X11" s="126">
        <f>IF(VLOOKUP($A11,tordrup[],6,FALSE)=0,VLOOKUP($D11,Table15[],24,FALSE),VLOOKUP($A11,tordrup[],6,FALSE))</f>
        <v>59.543632807553308</v>
      </c>
      <c r="Y11" s="126">
        <f>IF(VLOOKUP($A11,tordrup[],7,FALSE)=0,VLOOKUP($D11,Table15[],25,FALSE),VLOOKUP($A11,tordrup[],7,FALSE))</f>
        <v>92.060794762651909</v>
      </c>
      <c r="Z11" s="126">
        <f>IF(VLOOKUP($A11,tordrup[],8,FALSE)=0,VLOOKUP($D11,Table15[],26,FALSE),VLOOKUP($A11,tordrup[],8,FALSE))</f>
        <v>86.641267770135471</v>
      </c>
      <c r="AA11" s="126">
        <v>82.4</v>
      </c>
      <c r="AB11" s="126">
        <v>408.79</v>
      </c>
      <c r="AC11" s="126">
        <v>2415.5</v>
      </c>
      <c r="AD11" s="126">
        <v>5434.91</v>
      </c>
      <c r="AF11" s="126">
        <v>3960.7429253157097</v>
      </c>
      <c r="AG11" s="126">
        <v>2407.5818553975505</v>
      </c>
      <c r="AH11" s="126">
        <v>4815.163710795101</v>
      </c>
      <c r="AI11" s="126">
        <v>14445.491132385303</v>
      </c>
      <c r="AJ11" s="33" t="str">
        <f>IF(VLOOKUP($A11,lmic_raw[],11,FALSE)=0, "Yes", "No")</f>
        <v>No</v>
      </c>
    </row>
    <row r="12" spans="1:36" x14ac:dyDescent="0.25">
      <c r="A12" s="109" t="s">
        <v>138</v>
      </c>
      <c r="D12" s="82" t="s">
        <v>677</v>
      </c>
      <c r="F12" s="82" t="s">
        <v>667</v>
      </c>
      <c r="I12" s="126">
        <f>IF(VLOOKUP($A12,portnoy[],3,FALSE)=0, VLOOKUP($D12,Table15[],9,FALSE),VLOOKUP($A12,portnoy[],3,FALSE))</f>
        <v>1.5141</v>
      </c>
      <c r="J12" s="126">
        <f>sens_costs_regions!J$2</f>
        <v>0.36202199312714778</v>
      </c>
      <c r="K12" s="126">
        <f>sens_costs_regions!K$2</f>
        <v>0.41792411616161618</v>
      </c>
      <c r="L12" s="126">
        <f>sens_costs_regions!L$2</f>
        <v>0.48333918128654974</v>
      </c>
      <c r="M12" s="126">
        <f>sens_costs_regions!M$2</f>
        <v>0.5718158075601375</v>
      </c>
      <c r="N12" s="126">
        <f>sens_costs_regions!N$2</f>
        <v>0.65679722222222237</v>
      </c>
      <c r="O12" s="126">
        <f>sens_costs_regions!O$2</f>
        <v>0.7491286549707602</v>
      </c>
      <c r="P12" s="126">
        <f>IF(VLOOKUP($A12,Table26[],6,FALSE)=0,VLOOKUP($D12,Table15[],16,FALSE),(VLOOKUP($A12,Table26[],6,FALSE)))</f>
        <v>6.2442525196840099E-3</v>
      </c>
      <c r="Q12" s="126">
        <f>IF(VLOOKUP($A12,Table26[],5,FALSE)=0,VLOOKUP($D12,Table15[],17,FALSE),(VLOOKUP($A12,Table26[],5,FALSE)))</f>
        <v>9.4912638299196952E-3</v>
      </c>
      <c r="R12" s="126">
        <f>IF(VLOOKUP($A12,Table26[],16,FALSE)=0,VLOOKUP($D12,Table15[],18,FALSE),(VLOOKUP($A12,Table26[],16,FALSE)))</f>
        <v>0.14986206047241624</v>
      </c>
      <c r="S12" s="126">
        <f>IF(VLOOKUP($A12,Table26[],9,FALSE)=0,VLOOKUP($D12,Table15[],19,FALSE),(VLOOKUP($A12,Table26[],9,FALSE)))</f>
        <v>3.481405004535009E-3</v>
      </c>
      <c r="T12" s="126">
        <f>IF(VLOOKUP($A12,Table26[],8,FALSE)=0,VLOOKUP($D12,Table15[],20,FALSE),(VLOOKUP($A12,Table26[],8,FALSE)))</f>
        <v>5.2917356068932133E-3</v>
      </c>
      <c r="U12" s="126">
        <f>IF(VLOOKUP($A12,Table26[],10,FALSE)=0,VLOOKUP($D12,Table15[],21,FALSE),(VLOOKUP($A12,Table26[],10,FALSE)))</f>
        <v>1.3925620018140036E-2</v>
      </c>
      <c r="V12" s="126">
        <f>VLOOKUP($F12,vaccine_costs!$AH$6:$AK$11,2,FALSE)</f>
        <v>4.83</v>
      </c>
      <c r="W12" s="126">
        <f>IF(VLOOKUP($A12,tordrup[],5,FALSE)=0,VLOOKUP($D12,Table15[],23,FALSE),VLOOKUP($A12,tordrup[],5,FALSE))</f>
        <v>24.567143481059219</v>
      </c>
      <c r="X12" s="126">
        <f>IF(VLOOKUP($A12,tordrup[],6,FALSE)=0,VLOOKUP($D12,Table15[],24,FALSE),VLOOKUP($A12,tordrup[],6,FALSE))</f>
        <v>53.787143481059218</v>
      </c>
      <c r="Y12" s="126">
        <f>IF(VLOOKUP($A12,tordrup[],7,FALSE)=0,VLOOKUP($D12,Table15[],25,FALSE),VLOOKUP($A12,tordrup[],7,FALSE))</f>
        <v>57.124245623403709</v>
      </c>
      <c r="Z12" s="126">
        <f>IF(VLOOKUP($A12,tordrup[],8,FALSE)=0,VLOOKUP($D12,Table15[],26,FALSE),VLOOKUP($A12,tordrup[],8,FALSE))</f>
        <v>56.568061933012956</v>
      </c>
      <c r="AA12" s="126">
        <v>82.4</v>
      </c>
      <c r="AB12" s="126">
        <v>408.79</v>
      </c>
      <c r="AC12" s="126">
        <v>2415.5</v>
      </c>
      <c r="AD12" s="126">
        <v>5434.91</v>
      </c>
      <c r="AF12" s="126">
        <v>194.01355829578853</v>
      </c>
      <c r="AG12" s="126">
        <v>609.71633592937462</v>
      </c>
      <c r="AH12" s="126">
        <v>1219.4326718587492</v>
      </c>
      <c r="AI12" s="126">
        <v>3658.298015576248</v>
      </c>
      <c r="AJ12" s="33" t="str">
        <f>IF(VLOOKUP($A12,lmic_raw[],11,FALSE)=0, "Yes", "No")</f>
        <v>Yes</v>
      </c>
    </row>
    <row r="13" spans="1:36" x14ac:dyDescent="0.25">
      <c r="A13" s="110" t="s">
        <v>193</v>
      </c>
      <c r="D13" s="84" t="s">
        <v>680</v>
      </c>
      <c r="F13" s="84" t="s">
        <v>589</v>
      </c>
      <c r="I13" s="126">
        <f>IF(VLOOKUP($A13,portnoy[],3,FALSE)=0, VLOOKUP($D13,Table15[],9,FALSE),VLOOKUP($A13,portnoy[],3,FALSE))</f>
        <v>7.5499000000000001</v>
      </c>
      <c r="J13" s="126">
        <f>sens_costs_regions!J$2</f>
        <v>0.36202199312714778</v>
      </c>
      <c r="K13" s="126">
        <f>sens_costs_regions!K$2</f>
        <v>0.41792411616161618</v>
      </c>
      <c r="L13" s="126">
        <f>sens_costs_regions!L$2</f>
        <v>0.48333918128654974</v>
      </c>
      <c r="M13" s="126">
        <f>sens_costs_regions!M$2</f>
        <v>0.5718158075601375</v>
      </c>
      <c r="N13" s="126">
        <f>sens_costs_regions!N$2</f>
        <v>0.65679722222222237</v>
      </c>
      <c r="O13" s="126">
        <f>sens_costs_regions!O$2</f>
        <v>0.7491286549707602</v>
      </c>
      <c r="P13" s="126">
        <f>IF(VLOOKUP($A13,Table26[],6,FALSE)=0,VLOOKUP($D13,Table15[],16,FALSE),(VLOOKUP($A13,Table26[],6,FALSE)))</f>
        <v>1.1175876948936136E-2</v>
      </c>
      <c r="Q13" s="126">
        <f>IF(VLOOKUP($A13,Table26[],5,FALSE)=0,VLOOKUP($D13,Table15[],17,FALSE),(VLOOKUP($A13,Table26[],5,FALSE)))</f>
        <v>1.6987332962382924E-2</v>
      </c>
      <c r="R13" s="126">
        <f>IF(VLOOKUP($A13,Table26[],16,FALSE)=0,VLOOKUP($D13,Table15[],18,FALSE),(VLOOKUP($A13,Table26[],16,FALSE)))</f>
        <v>0.26822104677446729</v>
      </c>
      <c r="S13" s="126">
        <f>IF(VLOOKUP($A13,Table26[],9,FALSE)=0,VLOOKUP($D13,Table15[],19,FALSE),(VLOOKUP($A13,Table26[],9,FALSE)))</f>
        <v>6.1410661361126617E-3</v>
      </c>
      <c r="T13" s="126">
        <f>IF(VLOOKUP($A13,Table26[],8,FALSE)=0,VLOOKUP($D13,Table15[],20,FALSE),(VLOOKUP($A13,Table26[],8,FALSE)))</f>
        <v>9.3344205268912454E-3</v>
      </c>
      <c r="U13" s="126">
        <f>IF(VLOOKUP($A13,Table26[],10,FALSE)=0,VLOOKUP($D13,Table15[],21,FALSE),(VLOOKUP($A13,Table26[],10,FALSE)))</f>
        <v>2.4564264544450647E-2</v>
      </c>
      <c r="V13" s="126">
        <f>VLOOKUP($F13,vaccine_costs!$AH$6:$AK$11,2,FALSE)</f>
        <v>2.4500000000000002</v>
      </c>
      <c r="W13" s="126">
        <f>IF(VLOOKUP($A13,tordrup[],5,FALSE)=0,VLOOKUP($D13,Table15[],23,FALSE),VLOOKUP($A13,tordrup[],5,FALSE))</f>
        <v>26.63235820850246</v>
      </c>
      <c r="X13" s="126">
        <f>IF(VLOOKUP($A13,tordrup[],6,FALSE)=0,VLOOKUP($D13,Table15[],24,FALSE),VLOOKUP($A13,tordrup[],6,FALSE))</f>
        <v>55.852358208502459</v>
      </c>
      <c r="Y13" s="126">
        <f>IF(VLOOKUP($A13,tordrup[],7,FALSE)=0,VLOOKUP($D13,Table15[],25,FALSE),VLOOKUP($A13,tordrup[],7,FALSE))</f>
        <v>69.968456942081758</v>
      </c>
      <c r="Z13" s="126">
        <f>IF(VLOOKUP($A13,tordrup[],8,FALSE)=0,VLOOKUP($D13,Table15[],26,FALSE),VLOOKUP($A13,tordrup[],8,FALSE))</f>
        <v>67.615773819818543</v>
      </c>
      <c r="AA13" s="126">
        <v>82.4</v>
      </c>
      <c r="AB13" s="126">
        <v>408.79</v>
      </c>
      <c r="AC13" s="126">
        <v>2415.5</v>
      </c>
      <c r="AD13" s="126">
        <v>5434.91</v>
      </c>
      <c r="AF13" s="126">
        <v>0</v>
      </c>
      <c r="AG13" s="126">
        <v>1658.0878567504187</v>
      </c>
      <c r="AH13" s="126">
        <v>3316.1757135008374</v>
      </c>
      <c r="AI13" s="126">
        <v>9948.5271405025123</v>
      </c>
      <c r="AJ13" s="33" t="str">
        <f>IF(VLOOKUP($A13,lmic_raw[],11,FALSE)=0, "Yes", "No")</f>
        <v>No</v>
      </c>
    </row>
    <row r="14" spans="1:36" x14ac:dyDescent="0.25">
      <c r="A14" s="82" t="s">
        <v>263</v>
      </c>
      <c r="D14" s="82" t="s">
        <v>679</v>
      </c>
      <c r="F14" s="82" t="s">
        <v>665</v>
      </c>
      <c r="I14" s="126">
        <f>IF(VLOOKUP($A14,portnoy[],3,FALSE)=0, VLOOKUP($D14,Table15[],9,FALSE),VLOOKUP($A14,portnoy[],3,FALSE))</f>
        <v>2.7192000000000003</v>
      </c>
      <c r="J14" s="126">
        <f>sens_costs_regions!J$2</f>
        <v>0.36202199312714778</v>
      </c>
      <c r="K14" s="126">
        <f>sens_costs_regions!K$2</f>
        <v>0.41792411616161618</v>
      </c>
      <c r="L14" s="126">
        <f>sens_costs_regions!L$2</f>
        <v>0.48333918128654974</v>
      </c>
      <c r="M14" s="126">
        <f>sens_costs_regions!M$2</f>
        <v>0.5718158075601375</v>
      </c>
      <c r="N14" s="126">
        <f>sens_costs_regions!N$2</f>
        <v>0.65679722222222237</v>
      </c>
      <c r="O14" s="126">
        <f>sens_costs_regions!O$2</f>
        <v>0.7491286549707602</v>
      </c>
      <c r="P14" s="126">
        <f>IF(VLOOKUP($A14,Table26[],6,FALSE)=0,VLOOKUP($D14,Table15[],16,FALSE),(VLOOKUP($A14,Table26[],6,FALSE)))</f>
        <v>1.2756832809314394E-2</v>
      </c>
      <c r="Q14" s="126">
        <f>IF(VLOOKUP($A14,Table26[],5,FALSE)=0,VLOOKUP($D14,Table15[],17,FALSE),(VLOOKUP($A14,Table26[],5,FALSE)))</f>
        <v>1.9390385870157876E-2</v>
      </c>
      <c r="R14" s="126">
        <f>IF(VLOOKUP($A14,Table26[],16,FALSE)=0,VLOOKUP($D14,Table15[],18,FALSE),(VLOOKUP($A14,Table26[],16,FALSE)))</f>
        <v>0.30616398742354545</v>
      </c>
      <c r="S14" s="126">
        <f>IF(VLOOKUP($A14,Table26[],9,FALSE)=0,VLOOKUP($D14,Table15[],19,FALSE),(VLOOKUP($A14,Table26[],9,FALSE)))</f>
        <v>6.5779051115983332E-3</v>
      </c>
      <c r="T14" s="126">
        <f>IF(VLOOKUP($A14,Table26[],8,FALSE)=0,VLOOKUP($D14,Table15[],20,FALSE),(VLOOKUP($A14,Table26[],8,FALSE)))</f>
        <v>9.9984157696294644E-3</v>
      </c>
      <c r="U14" s="126">
        <f>IF(VLOOKUP($A14,Table26[],10,FALSE)=0,VLOOKUP($D14,Table15[],21,FALSE),(VLOOKUP($A14,Table26[],10,FALSE)))</f>
        <v>2.6311620446393333E-2</v>
      </c>
      <c r="V14" s="126">
        <f>VLOOKUP($F14,vaccine_costs!$AH$6:$AK$11,2,FALSE)</f>
        <v>0.02</v>
      </c>
      <c r="W14" s="126">
        <f>IF(VLOOKUP($A14,tordrup[],5,FALSE)=0,VLOOKUP($D14,Table15[],23,FALSE),VLOOKUP($A14,tordrup[],5,FALSE))</f>
        <v>26.418715305663504</v>
      </c>
      <c r="X14" s="126">
        <f>IF(VLOOKUP($A14,tordrup[],6,FALSE)=0,VLOOKUP($D14,Table15[],24,FALSE),VLOOKUP($A14,tordrup[],6,FALSE))</f>
        <v>55.638715305663503</v>
      </c>
      <c r="Y14" s="126">
        <f>IF(VLOOKUP($A14,tordrup[],7,FALSE)=0,VLOOKUP($D14,Table15[],25,FALSE),VLOOKUP($A14,tordrup[],7,FALSE))</f>
        <v>68.03926152944598</v>
      </c>
      <c r="Z14" s="126">
        <f>IF(VLOOKUP($A14,tordrup[],8,FALSE)=0,VLOOKUP($D14,Table15[],26,FALSE),VLOOKUP($A14,tordrup[],8,FALSE))</f>
        <v>65.972503825482235</v>
      </c>
      <c r="AA14" s="126">
        <v>82.4</v>
      </c>
      <c r="AB14" s="126">
        <v>408.79</v>
      </c>
      <c r="AC14" s="126">
        <v>2415.5</v>
      </c>
      <c r="AD14" s="126">
        <v>5434.91</v>
      </c>
      <c r="AF14" s="126">
        <v>2467.3464313902941</v>
      </c>
      <c r="AG14" s="126">
        <v>1776.0343801315501</v>
      </c>
      <c r="AH14" s="126">
        <v>3552.0687602631001</v>
      </c>
      <c r="AI14" s="126">
        <v>10656.2062807893</v>
      </c>
      <c r="AJ14" s="33" t="str">
        <f>IF(VLOOKUP($A14,lmic_raw[],11,FALSE)=0, "Yes", "No")</f>
        <v>Yes</v>
      </c>
    </row>
    <row r="15" spans="1:36" x14ac:dyDescent="0.25">
      <c r="A15" s="110" t="s">
        <v>334</v>
      </c>
      <c r="D15" s="84" t="s">
        <v>675</v>
      </c>
      <c r="F15" s="84" t="s">
        <v>663</v>
      </c>
      <c r="I15" s="126">
        <f>IF(VLOOKUP($A15,portnoy[],3,FALSE)=0, VLOOKUP($D15,Table15[],9,FALSE),VLOOKUP($A15,portnoy[],3,FALSE))</f>
        <v>3.0179</v>
      </c>
      <c r="J15" s="126">
        <f>sens_costs_regions!J$2</f>
        <v>0.36202199312714778</v>
      </c>
      <c r="K15" s="126">
        <f>sens_costs_regions!K$2</f>
        <v>0.41792411616161618</v>
      </c>
      <c r="L15" s="126">
        <f>sens_costs_regions!L$2</f>
        <v>0.48333918128654974</v>
      </c>
      <c r="M15" s="126">
        <f>sens_costs_regions!M$2</f>
        <v>0.5718158075601375</v>
      </c>
      <c r="N15" s="126">
        <f>sens_costs_regions!N$2</f>
        <v>0.65679722222222237</v>
      </c>
      <c r="O15" s="126">
        <f>sens_costs_regions!O$2</f>
        <v>0.7491286549707602</v>
      </c>
      <c r="P15" s="126">
        <f>IF(VLOOKUP($A15,Table26[],6,FALSE)=0,VLOOKUP($D15,Table15[],16,FALSE),(VLOOKUP($A15,Table26[],6,FALSE)))</f>
        <v>1.101474819366814E-2</v>
      </c>
      <c r="Q15" s="126">
        <f>IF(VLOOKUP($A15,Table26[],5,FALSE)=0,VLOOKUP($D15,Table15[],17,FALSE),(VLOOKUP($A15,Table26[],5,FALSE)))</f>
        <v>1.6742417254375572E-2</v>
      </c>
      <c r="R15" s="126">
        <f>IF(VLOOKUP($A15,Table26[],16,FALSE)=0,VLOOKUP($D15,Table15[],18,FALSE),(VLOOKUP($A15,Table26[],16,FALSE)))</f>
        <v>0.26435395664803535</v>
      </c>
      <c r="S15" s="126">
        <f>IF(VLOOKUP($A15,Table26[],9,FALSE)=0,VLOOKUP($D15,Table15[],19,FALSE),(VLOOKUP($A15,Table26[],9,FALSE)))</f>
        <v>6.1273641238868788E-3</v>
      </c>
      <c r="T15" s="126">
        <f>IF(VLOOKUP($A15,Table26[],8,FALSE)=0,VLOOKUP($D15,Table15[],20,FALSE),(VLOOKUP($A15,Table26[],8,FALSE)))</f>
        <v>9.3135934683080557E-3</v>
      </c>
      <c r="U15" s="126">
        <f>IF(VLOOKUP($A15,Table26[],10,FALSE)=0,VLOOKUP($D15,Table15[],21,FALSE),(VLOOKUP($A15,Table26[],10,FALSE)))</f>
        <v>2.4509456495547515E-2</v>
      </c>
      <c r="V15" s="126">
        <f>VLOOKUP($F15,vaccine_costs!$AH$6:$AK$11,2,FALSE)</f>
        <v>4.07</v>
      </c>
      <c r="W15" s="126">
        <f>IF(VLOOKUP($A15,tordrup[],5,FALSE)=0,VLOOKUP($D15,Table15[],23,FALSE),VLOOKUP($A15,tordrup[],5,FALSE))</f>
        <v>30.406716158657353</v>
      </c>
      <c r="X15" s="126">
        <f>IF(VLOOKUP($A15,tordrup[],6,FALSE)=0,VLOOKUP($D15,Table15[],24,FALSE),VLOOKUP($A15,tordrup[],6,FALSE))</f>
        <v>59.626716158657352</v>
      </c>
      <c r="Y15" s="126">
        <f>IF(VLOOKUP($A15,tordrup[],7,FALSE)=0,VLOOKUP($D15,Table15[],25,FALSE),VLOOKUP($A15,tordrup[],7,FALSE))</f>
        <v>94.235442132549309</v>
      </c>
      <c r="Z15" s="126">
        <f>IF(VLOOKUP($A15,tordrup[],8,FALSE)=0,VLOOKUP($D15,Table15[],26,FALSE),VLOOKUP($A15,tordrup[],8,FALSE))</f>
        <v>88.467321136900665</v>
      </c>
      <c r="AA15" s="126">
        <v>82.4</v>
      </c>
      <c r="AB15" s="126">
        <v>408.79</v>
      </c>
      <c r="AC15" s="126">
        <v>2415.5</v>
      </c>
      <c r="AD15" s="126">
        <v>5434.91</v>
      </c>
      <c r="AF15" s="126">
        <v>0</v>
      </c>
      <c r="AG15" s="126">
        <v>3054.2553479066905</v>
      </c>
      <c r="AH15" s="126">
        <v>6108.5106958133811</v>
      </c>
      <c r="AI15" s="126">
        <v>18325.532087440144</v>
      </c>
      <c r="AJ15" s="33" t="str">
        <f>IF(VLOOKUP($A15,lmic_raw[],11,FALSE)=0, "Yes", "No")</f>
        <v>Yes</v>
      </c>
    </row>
    <row r="16" spans="1:36" x14ac:dyDescent="0.25">
      <c r="A16" s="109" t="s">
        <v>132</v>
      </c>
      <c r="D16" s="82" t="s">
        <v>677</v>
      </c>
      <c r="F16" s="82" t="s">
        <v>667</v>
      </c>
      <c r="I16" s="126">
        <f>IF(VLOOKUP($A16,portnoy[],3,FALSE)=0, VLOOKUP($D16,Table15[],9,FALSE),VLOOKUP($A16,portnoy[],3,FALSE))</f>
        <v>7.0246000000000004</v>
      </c>
      <c r="J16" s="126">
        <f>sens_costs_regions!J$2</f>
        <v>0.36202199312714778</v>
      </c>
      <c r="K16" s="126">
        <f>sens_costs_regions!K$2</f>
        <v>0.41792411616161618</v>
      </c>
      <c r="L16" s="126">
        <f>sens_costs_regions!L$2</f>
        <v>0.48333918128654974</v>
      </c>
      <c r="M16" s="126">
        <f>sens_costs_regions!M$2</f>
        <v>0.5718158075601375</v>
      </c>
      <c r="N16" s="126">
        <f>sens_costs_regions!N$2</f>
        <v>0.65679722222222237</v>
      </c>
      <c r="O16" s="126">
        <f>sens_costs_regions!O$2</f>
        <v>0.7491286549707602</v>
      </c>
      <c r="P16" s="126">
        <f>IF(VLOOKUP($A16,Table26[],6,FALSE)=0,VLOOKUP($D16,Table15[],16,FALSE),(VLOOKUP($A16,Table26[],6,FALSE)))</f>
        <v>1.3787559789584574E-2</v>
      </c>
      <c r="Q16" s="126">
        <f>IF(VLOOKUP($A16,Table26[],5,FALSE)=0,VLOOKUP($D16,Table15[],17,FALSE),(VLOOKUP($A16,Table26[],5,FALSE)))</f>
        <v>2.095709088016855E-2</v>
      </c>
      <c r="R16" s="126">
        <f>IF(VLOOKUP($A16,Table26[],16,FALSE)=0,VLOOKUP($D16,Table15[],18,FALSE),(VLOOKUP($A16,Table26[],16,FALSE)))</f>
        <v>0.33090143495002977</v>
      </c>
      <c r="S16" s="126">
        <f>IF(VLOOKUP($A16,Table26[],9,FALSE)=0,VLOOKUP($D16,Table15[],19,FALSE),(VLOOKUP($A16,Table26[],9,FALSE)))</f>
        <v>7.9858971725389749E-3</v>
      </c>
      <c r="T16" s="126">
        <f>IF(VLOOKUP($A16,Table26[],8,FALSE)=0,VLOOKUP($D16,Table15[],20,FALSE),(VLOOKUP($A16,Table26[],8,FALSE)))</f>
        <v>1.213856370225924E-2</v>
      </c>
      <c r="U16" s="126">
        <f>IF(VLOOKUP($A16,Table26[],10,FALSE)=0,VLOOKUP($D16,Table15[],21,FALSE),(VLOOKUP($A16,Table26[],10,FALSE)))</f>
        <v>3.19435886901559E-2</v>
      </c>
      <c r="V16" s="126">
        <f>VLOOKUP($F16,vaccine_costs!$AH$6:$AK$11,2,FALSE)</f>
        <v>4.83</v>
      </c>
      <c r="W16" s="126">
        <f>IF(VLOOKUP($A16,tordrup[],5,FALSE)=0,VLOOKUP($D16,Table15[],23,FALSE),VLOOKUP($A16,tordrup[],5,FALSE))</f>
        <v>35.403586275057378</v>
      </c>
      <c r="X16" s="126">
        <f>IF(VLOOKUP($A16,tordrup[],6,FALSE)=0,VLOOKUP($D16,Table15[],24,FALSE),VLOOKUP($A16,tordrup[],6,FALSE))</f>
        <v>64.623586275057377</v>
      </c>
      <c r="Y16" s="126">
        <f>IF(VLOOKUP($A16,tordrup[],7,FALSE)=0,VLOOKUP($D16,Table15[],25,FALSE),VLOOKUP($A16,tordrup[],7,FALSE))</f>
        <v>135.71326219472004</v>
      </c>
      <c r="Z16" s="126">
        <f>IF(VLOOKUP($A16,tordrup[],8,FALSE)=0,VLOOKUP($D16,Table15[],26,FALSE),VLOOKUP($A16,tordrup[],8,FALSE))</f>
        <v>123.86498287477627</v>
      </c>
      <c r="AA16" s="126">
        <v>82.4</v>
      </c>
      <c r="AB16" s="126">
        <v>408.79</v>
      </c>
      <c r="AC16" s="126">
        <v>2415.5</v>
      </c>
      <c r="AD16" s="126">
        <v>5434.91</v>
      </c>
      <c r="AF16" s="126">
        <v>2795.3072142869737</v>
      </c>
      <c r="AG16" s="126">
        <v>3980.6625906194267</v>
      </c>
      <c r="AH16" s="126">
        <v>7961.3251812388535</v>
      </c>
      <c r="AI16" s="126">
        <v>23883.975543716559</v>
      </c>
      <c r="AJ16" s="33" t="str">
        <f>IF(VLOOKUP($A16,lmic_raw[],11,FALSE)=0, "Yes", "No")</f>
        <v>Yes</v>
      </c>
    </row>
    <row r="17" spans="1:36" x14ac:dyDescent="0.25">
      <c r="A17" s="110" t="s">
        <v>264</v>
      </c>
      <c r="D17" s="84" t="s">
        <v>679</v>
      </c>
      <c r="F17" s="84" t="s">
        <v>665</v>
      </c>
      <c r="I17" s="126">
        <f>IF(VLOOKUP($A17,portnoy[],3,FALSE)=0, VLOOKUP($D17,Table15[],9,FALSE),VLOOKUP($A17,portnoy[],3,FALSE))</f>
        <v>1.9776</v>
      </c>
      <c r="J17" s="126">
        <f>sens_costs_regions!J$2</f>
        <v>0.36202199312714778</v>
      </c>
      <c r="K17" s="126">
        <f>sens_costs_regions!K$2</f>
        <v>0.41792411616161618</v>
      </c>
      <c r="L17" s="126">
        <f>sens_costs_regions!L$2</f>
        <v>0.48333918128654974</v>
      </c>
      <c r="M17" s="126">
        <f>sens_costs_regions!M$2</f>
        <v>0.5718158075601375</v>
      </c>
      <c r="N17" s="126">
        <f>sens_costs_regions!N$2</f>
        <v>0.65679722222222237</v>
      </c>
      <c r="O17" s="126">
        <f>sens_costs_regions!O$2</f>
        <v>0.7491286549707602</v>
      </c>
      <c r="P17" s="126">
        <f>IF(VLOOKUP($A17,Table26[],6,FALSE)=0,VLOOKUP($D17,Table15[],16,FALSE),(VLOOKUP($A17,Table26[],6,FALSE)))</f>
        <v>1.539015240651867E-2</v>
      </c>
      <c r="Q17" s="126">
        <f>IF(VLOOKUP($A17,Table26[],5,FALSE)=0,VLOOKUP($D17,Table15[],17,FALSE),(VLOOKUP($A17,Table26[],5,FALSE)))</f>
        <v>2.3393031657908375E-2</v>
      </c>
      <c r="R17" s="126">
        <f>IF(VLOOKUP($A17,Table26[],16,FALSE)=0,VLOOKUP($D17,Table15[],18,FALSE),(VLOOKUP($A17,Table26[],16,FALSE)))</f>
        <v>0.36936365775644808</v>
      </c>
      <c r="S17" s="126">
        <f>IF(VLOOKUP($A17,Table26[],9,FALSE)=0,VLOOKUP($D17,Table15[],19,FALSE),(VLOOKUP($A17,Table26[],9,FALSE)))</f>
        <v>8.7440911740282734E-3</v>
      </c>
      <c r="T17" s="126">
        <f>IF(VLOOKUP($A17,Table26[],8,FALSE)=0,VLOOKUP($D17,Table15[],20,FALSE),(VLOOKUP($A17,Table26[],8,FALSE)))</f>
        <v>1.3291018584522975E-2</v>
      </c>
      <c r="U17" s="126">
        <f>IF(VLOOKUP($A17,Table26[],10,FALSE)=0,VLOOKUP($D17,Table15[],21,FALSE),(VLOOKUP($A17,Table26[],10,FALSE)))</f>
        <v>3.4976364696113094E-2</v>
      </c>
      <c r="V17" s="126">
        <f>VLOOKUP($F17,vaccine_costs!$AH$6:$AK$11,2,FALSE)</f>
        <v>0.02</v>
      </c>
      <c r="W17" s="126">
        <f>IF(VLOOKUP($A17,tordrup[],5,FALSE)=0,VLOOKUP($D17,Table15[],23,FALSE),VLOOKUP($A17,tordrup[],5,FALSE))</f>
        <v>26.24067955329771</v>
      </c>
      <c r="X17" s="126">
        <f>IF(VLOOKUP($A17,tordrup[],6,FALSE)=0,VLOOKUP($D17,Table15[],24,FALSE),VLOOKUP($A17,tordrup[],6,FALSE))</f>
        <v>55.460679553297709</v>
      </c>
      <c r="Y17" s="126">
        <f>IF(VLOOKUP($A17,tordrup[],7,FALSE)=0,VLOOKUP($D17,Table15[],25,FALSE),VLOOKUP($A17,tordrup[],7,FALSE))</f>
        <v>70.320967731766032</v>
      </c>
      <c r="Z17" s="126">
        <f>IF(VLOOKUP($A17,tordrup[],8,FALSE)=0,VLOOKUP($D17,Table15[],26,FALSE),VLOOKUP($A17,tordrup[],8,FALSE))</f>
        <v>67.84425303535464</v>
      </c>
      <c r="AA17" s="126">
        <v>82.4</v>
      </c>
      <c r="AB17" s="126">
        <v>408.79</v>
      </c>
      <c r="AC17" s="126">
        <v>2415.5</v>
      </c>
      <c r="AD17" s="126">
        <v>5434.91</v>
      </c>
      <c r="AF17" s="126">
        <v>8145.9723111015892</v>
      </c>
      <c r="AG17" s="126">
        <v>4358.5931390540927</v>
      </c>
      <c r="AH17" s="126">
        <v>8717.1862781081854</v>
      </c>
      <c r="AI17" s="126">
        <v>26151.558834324554</v>
      </c>
      <c r="AJ17" s="33" t="str">
        <f>IF(VLOOKUP($A17,lmic_raw[],11,FALSE)=0, "Yes", "No")</f>
        <v>No</v>
      </c>
    </row>
    <row r="18" spans="1:36" x14ac:dyDescent="0.25">
      <c r="A18" s="109" t="s">
        <v>308</v>
      </c>
      <c r="D18" s="82" t="s">
        <v>675</v>
      </c>
      <c r="F18" s="82" t="s">
        <v>663</v>
      </c>
      <c r="I18" s="126">
        <f>IF(VLOOKUP($A18,portnoy[],3,FALSE)=0, VLOOKUP($D18,Table15[],9,FALSE),VLOOKUP($A18,portnoy[],3,FALSE))</f>
        <v>5.1190999999999995</v>
      </c>
      <c r="J18" s="126">
        <f>sens_costs_regions!J$2</f>
        <v>0.36202199312714778</v>
      </c>
      <c r="K18" s="126">
        <f>sens_costs_regions!K$2</f>
        <v>0.41792411616161618</v>
      </c>
      <c r="L18" s="126">
        <f>sens_costs_regions!L$2</f>
        <v>0.48333918128654974</v>
      </c>
      <c r="M18" s="126">
        <f>sens_costs_regions!M$2</f>
        <v>0.5718158075601375</v>
      </c>
      <c r="N18" s="126">
        <f>sens_costs_regions!N$2</f>
        <v>0.65679722222222237</v>
      </c>
      <c r="O18" s="126">
        <f>sens_costs_regions!O$2</f>
        <v>0.7491286549707602</v>
      </c>
      <c r="P18" s="126">
        <f>IF(VLOOKUP($A18,Table26[],6,FALSE)=0,VLOOKUP($D18,Table15[],16,FALSE),(VLOOKUP($A18,Table26[],6,FALSE)))</f>
        <v>1.8411692882933497E-2</v>
      </c>
      <c r="Q18" s="126">
        <f>IF(VLOOKUP($A18,Table26[],5,FALSE)=0,VLOOKUP($D18,Table15[],17,FALSE),(VLOOKUP($A18,Table26[],5,FALSE)))</f>
        <v>2.7985773182058912E-2</v>
      </c>
      <c r="R18" s="126">
        <f>IF(VLOOKUP($A18,Table26[],16,FALSE)=0,VLOOKUP($D18,Table15[],18,FALSE),(VLOOKUP($A18,Table26[],16,FALSE)))</f>
        <v>0.44188062919040394</v>
      </c>
      <c r="S18" s="126">
        <f>IF(VLOOKUP($A18,Table26[],9,FALSE)=0,VLOOKUP($D18,Table15[],19,FALSE),(VLOOKUP($A18,Table26[],9,FALSE)))</f>
        <v>9.8584823064936742E-3</v>
      </c>
      <c r="T18" s="126">
        <f>IF(VLOOKUP($A18,Table26[],8,FALSE)=0,VLOOKUP($D18,Table15[],20,FALSE),(VLOOKUP($A18,Table26[],8,FALSE)))</f>
        <v>1.4984893105870383E-2</v>
      </c>
      <c r="U18" s="126">
        <f>IF(VLOOKUP($A18,Table26[],10,FALSE)=0,VLOOKUP($D18,Table15[],21,FALSE),(VLOOKUP($A18,Table26[],10,FALSE)))</f>
        <v>3.9433929225974697E-2</v>
      </c>
      <c r="V18" s="126">
        <f>VLOOKUP($F18,vaccine_costs!$AH$6:$AK$11,2,FALSE)</f>
        <v>4.07</v>
      </c>
      <c r="W18" s="126">
        <f>IF(VLOOKUP($A18,tordrup[],5,FALSE)=0,VLOOKUP($D18,Table15[],23,FALSE),VLOOKUP($A18,tordrup[],5,FALSE))</f>
        <v>33.053514343828866</v>
      </c>
      <c r="X18" s="126">
        <f>IF(VLOOKUP($A18,tordrup[],6,FALSE)=0,VLOOKUP($D18,Table15[],24,FALSE),VLOOKUP($A18,tordrup[],6,FALSE))</f>
        <v>62.273514343828865</v>
      </c>
      <c r="Y18" s="126">
        <f>IF(VLOOKUP($A18,tordrup[],7,FALSE)=0,VLOOKUP($D18,Table15[],25,FALSE),VLOOKUP($A18,tordrup[],7,FALSE))</f>
        <v>118.94158217885251</v>
      </c>
      <c r="Z18" s="126">
        <f>IF(VLOOKUP($A18,tordrup[],8,FALSE)=0,VLOOKUP($D18,Table15[],26,FALSE),VLOOKUP($A18,tordrup[],8,FALSE))</f>
        <v>109.49690420634857</v>
      </c>
      <c r="AA18" s="126">
        <v>82.4</v>
      </c>
      <c r="AB18" s="126">
        <v>408.79</v>
      </c>
      <c r="AC18" s="126">
        <v>2415.5</v>
      </c>
      <c r="AD18" s="126">
        <v>5434.91</v>
      </c>
      <c r="AF18" s="126">
        <v>5782.0990155458439</v>
      </c>
      <c r="AG18" s="126">
        <v>4914.0742573906928</v>
      </c>
      <c r="AH18" s="126">
        <v>9828.1485147813855</v>
      </c>
      <c r="AI18" s="126">
        <v>29484.445544344155</v>
      </c>
      <c r="AJ18" s="33" t="str">
        <f>IF(VLOOKUP($A18,lmic_raw[],11,FALSE)=0, "Yes", "No")</f>
        <v>No</v>
      </c>
    </row>
    <row r="19" spans="1:36" x14ac:dyDescent="0.25">
      <c r="A19" s="110" t="s">
        <v>139</v>
      </c>
      <c r="D19" s="84" t="s">
        <v>677</v>
      </c>
      <c r="F19" s="84" t="s">
        <v>667</v>
      </c>
      <c r="I19" s="126">
        <f>IF(VLOOKUP($A19,portnoy[],3,FALSE)=0, VLOOKUP($D19,Table15[],9,FALSE),VLOOKUP($A19,portnoy[],3,FALSE))</f>
        <v>2.0497000000000001</v>
      </c>
      <c r="J19" s="126">
        <f>sens_costs_regions!J$2</f>
        <v>0.36202199312714778</v>
      </c>
      <c r="K19" s="126">
        <f>sens_costs_regions!K$2</f>
        <v>0.41792411616161618</v>
      </c>
      <c r="L19" s="126">
        <f>sens_costs_regions!L$2</f>
        <v>0.48333918128654974</v>
      </c>
      <c r="M19" s="126">
        <f>sens_costs_regions!M$2</f>
        <v>0.5718158075601375</v>
      </c>
      <c r="N19" s="126">
        <f>sens_costs_regions!N$2</f>
        <v>0.65679722222222237</v>
      </c>
      <c r="O19" s="126">
        <f>sens_costs_regions!O$2</f>
        <v>0.7491286549707602</v>
      </c>
      <c r="P19" s="126">
        <f>IF(VLOOKUP($A19,Table26[],6,FALSE)=0,VLOOKUP($D19,Table15[],16,FALSE),(VLOOKUP($A19,Table26[],6,FALSE)))</f>
        <v>3.9605464326761758E-3</v>
      </c>
      <c r="Q19" s="126">
        <f>IF(VLOOKUP($A19,Table26[],5,FALSE)=0,VLOOKUP($D19,Table15[],17,FALSE),(VLOOKUP($A19,Table26[],5,FALSE)))</f>
        <v>6.0200305776677869E-3</v>
      </c>
      <c r="R19" s="126">
        <f>IF(VLOOKUP($A19,Table26[],16,FALSE)=0,VLOOKUP($D19,Table15[],18,FALSE),(VLOOKUP($A19,Table26[],16,FALSE)))</f>
        <v>9.5053114384228213E-2</v>
      </c>
      <c r="S19" s="126">
        <f>IF(VLOOKUP($A19,Table26[],9,FALSE)=0,VLOOKUP($D19,Table15[],19,FALSE),(VLOOKUP($A19,Table26[],9,FALSE)))</f>
        <v>2.2465384535290287E-3</v>
      </c>
      <c r="T19" s="126">
        <f>IF(VLOOKUP($A19,Table26[],8,FALSE)=0,VLOOKUP($D19,Table15[],20,FALSE),(VLOOKUP($A19,Table26[],8,FALSE)))</f>
        <v>3.4147384493641232E-3</v>
      </c>
      <c r="U19" s="126">
        <f>IF(VLOOKUP($A19,Table26[],10,FALSE)=0,VLOOKUP($D19,Table15[],21,FALSE),(VLOOKUP($A19,Table26[],10,FALSE)))</f>
        <v>8.986153814116115E-3</v>
      </c>
      <c r="V19" s="126">
        <f>VLOOKUP($F19,vaccine_costs!$AH$6:$AK$11,2,FALSE)</f>
        <v>4.83</v>
      </c>
      <c r="W19" s="126">
        <f>IF(VLOOKUP($A19,tordrup[],5,FALSE)=0,VLOOKUP($D19,Table15[],23,FALSE),VLOOKUP($A19,tordrup[],5,FALSE))</f>
        <v>26.044512197590766</v>
      </c>
      <c r="X19" s="126">
        <f>IF(VLOOKUP($A19,tordrup[],6,FALSE)=0,VLOOKUP($D19,Table15[],24,FALSE),VLOOKUP($A19,tordrup[],6,FALSE))</f>
        <v>55.264512197590776</v>
      </c>
      <c r="Y19" s="126">
        <f>IF(VLOOKUP($A19,tordrup[],7,FALSE)=0,VLOOKUP($D19,Table15[],25,FALSE),VLOOKUP($A19,tordrup[],7,FALSE))</f>
        <v>66.30770473986702</v>
      </c>
      <c r="Z19" s="126">
        <f>IF(VLOOKUP($A19,tordrup[],8,FALSE)=0,VLOOKUP($D19,Table15[],26,FALSE),VLOOKUP($A19,tordrup[],8,FALSE))</f>
        <v>64.467172649487651</v>
      </c>
      <c r="AA19" s="126">
        <v>82.4</v>
      </c>
      <c r="AB19" s="126">
        <v>408.79</v>
      </c>
      <c r="AC19" s="126">
        <v>2415.5</v>
      </c>
      <c r="AD19" s="126">
        <v>5434.91</v>
      </c>
      <c r="AF19" s="126">
        <v>166.11085009234634</v>
      </c>
      <c r="AG19" s="126">
        <v>393.44781564508389</v>
      </c>
      <c r="AH19" s="126">
        <v>786.89563129016778</v>
      </c>
      <c r="AI19" s="126">
        <v>2360.6868938705034</v>
      </c>
      <c r="AJ19" s="33" t="str">
        <f>IF(VLOOKUP($A19,lmic_raw[],11,FALSE)=0, "Yes", "No")</f>
        <v>Yes</v>
      </c>
    </row>
    <row r="20" spans="1:36" x14ac:dyDescent="0.25">
      <c r="A20" s="109" t="s">
        <v>101</v>
      </c>
      <c r="D20" s="82" t="s">
        <v>677</v>
      </c>
      <c r="F20" s="82" t="s">
        <v>667</v>
      </c>
      <c r="I20" s="126">
        <f>IF(VLOOKUP($A20,portnoy[],3,FALSE)=0, VLOOKUP($D20,Table15[],9,FALSE),VLOOKUP($A20,portnoy[],3,FALSE))</f>
        <v>1.8231000000000002</v>
      </c>
      <c r="J20" s="126">
        <f>sens_costs_regions!J$2</f>
        <v>0.36202199312714778</v>
      </c>
      <c r="K20" s="126">
        <f>sens_costs_regions!K$2</f>
        <v>0.41792411616161618</v>
      </c>
      <c r="L20" s="126">
        <f>sens_costs_regions!L$2</f>
        <v>0.48333918128654974</v>
      </c>
      <c r="M20" s="126">
        <f>sens_costs_regions!M$2</f>
        <v>0.5718158075601375</v>
      </c>
      <c r="N20" s="126">
        <f>sens_costs_regions!N$2</f>
        <v>0.65679722222222237</v>
      </c>
      <c r="O20" s="126">
        <f>sens_costs_regions!O$2</f>
        <v>0.7491286549707602</v>
      </c>
      <c r="P20" s="126">
        <f>IF(VLOOKUP($A20,Table26[],6,FALSE)=0,VLOOKUP($D20,Table15[],16,FALSE),(VLOOKUP($A20,Table26[],6,FALSE)))</f>
        <v>1.3197239634100714E-3</v>
      </c>
      <c r="Q20" s="126">
        <f>IF(VLOOKUP($A20,Table26[],5,FALSE)=0,VLOOKUP($D20,Table15[],17,FALSE),(VLOOKUP($A20,Table26[],5,FALSE)))</f>
        <v>2.0059804243833085E-3</v>
      </c>
      <c r="R20" s="126">
        <f>IF(VLOOKUP($A20,Table26[],16,FALSE)=0,VLOOKUP($D20,Table15[],18,FALSE),(VLOOKUP($A20,Table26[],16,FALSE)))</f>
        <v>3.1673375121841714E-2</v>
      </c>
      <c r="S20" s="126">
        <f>IF(VLOOKUP($A20,Table26[],9,FALSE)=0,VLOOKUP($D20,Table15[],19,FALSE),(VLOOKUP($A20,Table26[],9,FALSE)))</f>
        <v>7.458454076452514E-4</v>
      </c>
      <c r="T20" s="126">
        <f>IF(VLOOKUP($A20,Table26[],8,FALSE)=0,VLOOKUP($D20,Table15[],20,FALSE),(VLOOKUP($A20,Table26[],8,FALSE)))</f>
        <v>1.1336850196207822E-3</v>
      </c>
      <c r="U20" s="126">
        <f>IF(VLOOKUP($A20,Table26[],10,FALSE)=0,VLOOKUP($D20,Table15[],21,FALSE),(VLOOKUP($A20,Table26[],10,FALSE)))</f>
        <v>2.9833816305810056E-3</v>
      </c>
      <c r="V20" s="126">
        <f>VLOOKUP($F20,vaccine_costs!$AH$6:$AK$11,2,FALSE)</f>
        <v>4.83</v>
      </c>
      <c r="W20" s="126">
        <f>IF(VLOOKUP($A20,tordrup[],5,FALSE)=0,VLOOKUP($D20,Table15[],23,FALSE),VLOOKUP($A20,tordrup[],5,FALSE))</f>
        <v>23.593881368126198</v>
      </c>
      <c r="X20" s="126">
        <f>IF(VLOOKUP($A20,tordrup[],6,FALSE)=0,VLOOKUP($D20,Table15[],24,FALSE),VLOOKUP($A20,tordrup[],6,FALSE))</f>
        <v>52.813881368126196</v>
      </c>
      <c r="Y20" s="126">
        <f>IF(VLOOKUP($A20,tordrup[],7,FALSE)=0,VLOOKUP($D20,Table15[],25,FALSE),VLOOKUP($A20,tordrup[],7,FALSE))</f>
        <v>53.432733643349707</v>
      </c>
      <c r="Z20" s="126">
        <f>IF(VLOOKUP($A20,tordrup[],8,FALSE)=0,VLOOKUP($D20,Table15[],26,FALSE),VLOOKUP($A20,tordrup[],8,FALSE))</f>
        <v>53.329591597479123</v>
      </c>
      <c r="AA20" s="126">
        <v>82.4</v>
      </c>
      <c r="AB20" s="126">
        <v>408.79</v>
      </c>
      <c r="AC20" s="126">
        <v>2415.5</v>
      </c>
      <c r="AD20" s="126">
        <v>5434.91</v>
      </c>
      <c r="AF20" s="126">
        <v>113.65890958429512</v>
      </c>
      <c r="AG20" s="126">
        <v>130.62373625787106</v>
      </c>
      <c r="AH20" s="126">
        <v>261.24747251574212</v>
      </c>
      <c r="AI20" s="126">
        <v>783.7424175472263</v>
      </c>
      <c r="AJ20" s="33" t="str">
        <f>IF(VLOOKUP($A20,lmic_raw[],11,FALSE)=0, "Yes", "No")</f>
        <v>Yes</v>
      </c>
    </row>
    <row r="21" spans="1:36" x14ac:dyDescent="0.25">
      <c r="A21" s="110" t="s">
        <v>140</v>
      </c>
      <c r="D21" s="84" t="s">
        <v>677</v>
      </c>
      <c r="F21" s="84" t="s">
        <v>667</v>
      </c>
      <c r="I21" s="126">
        <f>IF(VLOOKUP($A21,portnoy[],3,FALSE)=0, VLOOKUP($D21,Table15[],9,FALSE),VLOOKUP($A21,portnoy[],3,FALSE))</f>
        <v>8.6005000000000003</v>
      </c>
      <c r="J21" s="126">
        <f>sens_costs_regions!J$2</f>
        <v>0.36202199312714778</v>
      </c>
      <c r="K21" s="126">
        <f>sens_costs_regions!K$2</f>
        <v>0.41792411616161618</v>
      </c>
      <c r="L21" s="126">
        <f>sens_costs_regions!L$2</f>
        <v>0.48333918128654974</v>
      </c>
      <c r="M21" s="126">
        <f>sens_costs_regions!M$2</f>
        <v>0.5718158075601375</v>
      </c>
      <c r="N21" s="126">
        <f>sens_costs_regions!N$2</f>
        <v>0.65679722222222237</v>
      </c>
      <c r="O21" s="126">
        <f>sens_costs_regions!O$2</f>
        <v>0.7491286549707602</v>
      </c>
      <c r="P21" s="126">
        <f>IF(VLOOKUP($A21,Table26[],6,FALSE)=0,VLOOKUP($D21,Table15[],16,FALSE),(VLOOKUP($A21,Table26[],6,FALSE)))</f>
        <v>1.2619062495488031E-2</v>
      </c>
      <c r="Q21" s="126">
        <f>IF(VLOOKUP($A21,Table26[],5,FALSE)=0,VLOOKUP($D21,Table15[],17,FALSE),(VLOOKUP($A21,Table26[],5,FALSE)))</f>
        <v>1.9180974993141805E-2</v>
      </c>
      <c r="R21" s="126">
        <f>IF(VLOOKUP($A21,Table26[],16,FALSE)=0,VLOOKUP($D21,Table15[],18,FALSE),(VLOOKUP($A21,Table26[],16,FALSE)))</f>
        <v>0.30285749989171273</v>
      </c>
      <c r="S21" s="126">
        <f>IF(VLOOKUP($A21,Table26[],9,FALSE)=0,VLOOKUP($D21,Table15[],19,FALSE),(VLOOKUP($A21,Table26[],9,FALSE)))</f>
        <v>6.673669987120638E-3</v>
      </c>
      <c r="T21" s="126">
        <f>IF(VLOOKUP($A21,Table26[],8,FALSE)=0,VLOOKUP($D21,Table15[],20,FALSE),(VLOOKUP($A21,Table26[],8,FALSE)))</f>
        <v>1.0143978380423368E-2</v>
      </c>
      <c r="U21" s="126">
        <f>IF(VLOOKUP($A21,Table26[],10,FALSE)=0,VLOOKUP($D21,Table15[],21,FALSE),(VLOOKUP($A21,Table26[],10,FALSE)))</f>
        <v>2.6694679948482552E-2</v>
      </c>
      <c r="V21" s="126">
        <f>VLOOKUP($F21,vaccine_costs!$AH$6:$AK$11,2,FALSE)</f>
        <v>4.83</v>
      </c>
      <c r="W21" s="126">
        <f>IF(VLOOKUP($A21,tordrup[],5,FALSE)=0,VLOOKUP($D21,Table15[],23,FALSE),VLOOKUP($A21,tordrup[],5,FALSE))</f>
        <v>27.475060769700566</v>
      </c>
      <c r="X21" s="126">
        <f>IF(VLOOKUP($A21,tordrup[],6,FALSE)=0,VLOOKUP($D21,Table15[],24,FALSE),VLOOKUP($A21,tordrup[],6,FALSE))</f>
        <v>56.695060769700561</v>
      </c>
      <c r="Y21" s="126">
        <f>IF(VLOOKUP($A21,tordrup[],7,FALSE)=0,VLOOKUP($D21,Table15[],25,FALSE),VLOOKUP($A21,tordrup[],7,FALSE))</f>
        <v>72.048864053726874</v>
      </c>
      <c r="Z21" s="126">
        <f>IF(VLOOKUP($A21,tordrup[],8,FALSE)=0,VLOOKUP($D21,Table15[],26,FALSE),VLOOKUP($A21,tordrup[],8,FALSE))</f>
        <v>69.489896839722491</v>
      </c>
      <c r="AA21" s="126">
        <v>82.4</v>
      </c>
      <c r="AB21" s="126">
        <v>408.79</v>
      </c>
      <c r="AC21" s="126">
        <v>2415.5</v>
      </c>
      <c r="AD21" s="126">
        <v>5434.91</v>
      </c>
      <c r="AF21" s="126">
        <v>2643.697206002731</v>
      </c>
      <c r="AG21" s="126">
        <v>1801.8908965225721</v>
      </c>
      <c r="AH21" s="126">
        <v>3603.7817930451442</v>
      </c>
      <c r="AI21" s="126">
        <v>10811.345379135433</v>
      </c>
      <c r="AJ21" s="33" t="str">
        <f>IF(VLOOKUP($A21,lmic_raw[],11,FALSE)=0, "Yes", "No")</f>
        <v>No</v>
      </c>
    </row>
    <row r="22" spans="1:36" x14ac:dyDescent="0.25">
      <c r="A22" s="109" t="s">
        <v>212</v>
      </c>
      <c r="D22" s="82" t="s">
        <v>681</v>
      </c>
      <c r="F22" s="82" t="s">
        <v>666</v>
      </c>
      <c r="I22" s="126">
        <f>IF(VLOOKUP($A22,portnoy[],3,FALSE)=0, VLOOKUP($D22,Table15[],9,FALSE),VLOOKUP($A22,portnoy[],3,FALSE))</f>
        <v>2.6574</v>
      </c>
      <c r="J22" s="126">
        <f>sens_costs_regions!J$2</f>
        <v>0.36202199312714778</v>
      </c>
      <c r="K22" s="126">
        <f>sens_costs_regions!K$2</f>
        <v>0.41792411616161618</v>
      </c>
      <c r="L22" s="126">
        <f>sens_costs_regions!L$2</f>
        <v>0.48333918128654974</v>
      </c>
      <c r="M22" s="126">
        <f>sens_costs_regions!M$2</f>
        <v>0.5718158075601375</v>
      </c>
      <c r="N22" s="126">
        <f>sens_costs_regions!N$2</f>
        <v>0.65679722222222237</v>
      </c>
      <c r="O22" s="126">
        <f>sens_costs_regions!O$2</f>
        <v>0.7491286549707602</v>
      </c>
      <c r="P22" s="126">
        <f>IF(VLOOKUP($A22,Table26[],6,FALSE)=0,VLOOKUP($D22,Table15[],16,FALSE),(VLOOKUP($A22,Table26[],6,FALSE)))</f>
        <v>5.5754695714411657E-3</v>
      </c>
      <c r="Q22" s="126">
        <f>IF(VLOOKUP($A22,Table26[],5,FALSE)=0,VLOOKUP($D22,Table15[],17,FALSE),(VLOOKUP($A22,Table26[],5,FALSE)))</f>
        <v>8.4747137485905715E-3</v>
      </c>
      <c r="R22" s="126">
        <f>IF(VLOOKUP($A22,Table26[],16,FALSE)=0,VLOOKUP($D22,Table15[],18,FALSE),(VLOOKUP($A22,Table26[],16,FALSE)))</f>
        <v>0.13381126971458798</v>
      </c>
      <c r="S22" s="126">
        <f>IF(VLOOKUP($A22,Table26[],9,FALSE)=0,VLOOKUP($D22,Table15[],19,FALSE),(VLOOKUP($A22,Table26[],9,FALSE)))</f>
        <v>3.0428173866025822E-3</v>
      </c>
      <c r="T22" s="126">
        <f>IF(VLOOKUP($A22,Table26[],8,FALSE)=0,VLOOKUP($D22,Table15[],20,FALSE),(VLOOKUP($A22,Table26[],8,FALSE)))</f>
        <v>4.625082427635924E-3</v>
      </c>
      <c r="U22" s="126">
        <f>IF(VLOOKUP($A22,Table26[],10,FALSE)=0,VLOOKUP($D22,Table15[],21,FALSE),(VLOOKUP($A22,Table26[],10,FALSE)))</f>
        <v>1.2171269546410329E-2</v>
      </c>
      <c r="V22" s="126">
        <f>VLOOKUP($F22,vaccine_costs!$AH$6:$AK$11,2,FALSE)</f>
        <v>0.63</v>
      </c>
      <c r="W22" s="126">
        <f>IF(VLOOKUP($A22,tordrup[],5,FALSE)=0,VLOOKUP($D22,Table15[],23,FALSE),VLOOKUP($A22,tordrup[],5,FALSE))</f>
        <v>24.579012531216939</v>
      </c>
      <c r="X22" s="126">
        <f>IF(VLOOKUP($A22,tordrup[],6,FALSE)=0,VLOOKUP($D22,Table15[],24,FALSE),VLOOKUP($A22,tordrup[],6,FALSE))</f>
        <v>53.799012531216938</v>
      </c>
      <c r="Y22" s="126">
        <f>IF(VLOOKUP($A22,tordrup[],7,FALSE)=0,VLOOKUP($D22,Table15[],25,FALSE),VLOOKUP($A22,tordrup[],7,FALSE))</f>
        <v>57.731466229472659</v>
      </c>
      <c r="Z22" s="126">
        <f>IF(VLOOKUP($A22,tordrup[],8,FALSE)=0,VLOOKUP($D22,Table15[],26,FALSE),VLOOKUP($A22,tordrup[],8,FALSE))</f>
        <v>57.076057279763376</v>
      </c>
      <c r="AA22" s="126">
        <v>82.4</v>
      </c>
      <c r="AB22" s="126">
        <v>408.79</v>
      </c>
      <c r="AC22" s="126">
        <v>2415.5</v>
      </c>
      <c r="AD22" s="126">
        <v>5434.91</v>
      </c>
      <c r="AF22" s="126">
        <v>249.77996992221915</v>
      </c>
      <c r="AG22" s="126">
        <v>821.56069438269731</v>
      </c>
      <c r="AH22" s="126">
        <v>1643.1213887653946</v>
      </c>
      <c r="AI22" s="126">
        <v>4929.3641662961836</v>
      </c>
      <c r="AJ22" s="33" t="str">
        <f>IF(VLOOKUP($A22,lmic_raw[],11,FALSE)=0, "Yes", "No")</f>
        <v>No</v>
      </c>
    </row>
    <row r="23" spans="1:36" x14ac:dyDescent="0.25">
      <c r="A23" s="110" t="s">
        <v>123</v>
      </c>
      <c r="D23" s="84" t="s">
        <v>677</v>
      </c>
      <c r="F23" s="84" t="s">
        <v>667</v>
      </c>
      <c r="I23" s="126">
        <f>IF(VLOOKUP($A23,portnoy[],3,FALSE)=0, VLOOKUP($D23,Table15[],9,FALSE),VLOOKUP($A23,portnoy[],3,FALSE))</f>
        <v>1.5965</v>
      </c>
      <c r="J23" s="126">
        <f>sens_costs_regions!J$2</f>
        <v>0.36202199312714778</v>
      </c>
      <c r="K23" s="126">
        <f>sens_costs_regions!K$2</f>
        <v>0.41792411616161618</v>
      </c>
      <c r="L23" s="126">
        <f>sens_costs_regions!L$2</f>
        <v>0.48333918128654974</v>
      </c>
      <c r="M23" s="126">
        <f>sens_costs_regions!M$2</f>
        <v>0.5718158075601375</v>
      </c>
      <c r="N23" s="126">
        <f>sens_costs_regions!N$2</f>
        <v>0.65679722222222237</v>
      </c>
      <c r="O23" s="126">
        <f>sens_costs_regions!O$2</f>
        <v>0.7491286549707602</v>
      </c>
      <c r="P23" s="126">
        <f>IF(VLOOKUP($A23,Table26[],6,FALSE)=0,VLOOKUP($D23,Table15[],16,FALSE),(VLOOKUP($A23,Table26[],6,FALSE)))</f>
        <v>5.8673657130167301E-3</v>
      </c>
      <c r="Q23" s="126">
        <f>IF(VLOOKUP($A23,Table26[],5,FALSE)=0,VLOOKUP($D23,Table15[],17,FALSE),(VLOOKUP($A23,Table26[],5,FALSE)))</f>
        <v>8.9183958837854294E-3</v>
      </c>
      <c r="R23" s="126">
        <f>IF(VLOOKUP($A23,Table26[],16,FALSE)=0,VLOOKUP($D23,Table15[],18,FALSE),(VLOOKUP($A23,Table26[],16,FALSE)))</f>
        <v>0.14081677711240154</v>
      </c>
      <c r="S23" s="126">
        <f>IF(VLOOKUP($A23,Table26[],9,FALSE)=0,VLOOKUP($D23,Table15[],19,FALSE),(VLOOKUP($A23,Table26[],9,FALSE)))</f>
        <v>2.7915744553942148E-3</v>
      </c>
      <c r="T23" s="126">
        <f>IF(VLOOKUP($A23,Table26[],8,FALSE)=0,VLOOKUP($D23,Table15[],20,FALSE),(VLOOKUP($A23,Table26[],8,FALSE)))</f>
        <v>4.2431931721992056E-3</v>
      </c>
      <c r="U23" s="126">
        <f>IF(VLOOKUP($A23,Table26[],10,FALSE)=0,VLOOKUP($D23,Table15[],21,FALSE),(VLOOKUP($A23,Table26[],10,FALSE)))</f>
        <v>1.1166297821576859E-2</v>
      </c>
      <c r="V23" s="126">
        <f>VLOOKUP($F23,vaccine_costs!$AH$6:$AK$11,2,FALSE)</f>
        <v>4.83</v>
      </c>
      <c r="W23" s="126">
        <f>IF(VLOOKUP($A23,tordrup[],5,FALSE)=0,VLOOKUP($D23,Table15[],23,FALSE),VLOOKUP($A23,tordrup[],5,FALSE))</f>
        <v>25.172465039102928</v>
      </c>
      <c r="X23" s="126">
        <f>IF(VLOOKUP($A23,tordrup[],6,FALSE)=0,VLOOKUP($D23,Table15[],24,FALSE),VLOOKUP($A23,tordrup[],6,FALSE))</f>
        <v>54.39246503910293</v>
      </c>
      <c r="Y23" s="126">
        <f>IF(VLOOKUP($A23,tordrup[],7,FALSE)=0,VLOOKUP($D23,Table15[],25,FALSE),VLOOKUP($A23,tordrup[],7,FALSE))</f>
        <v>60.016970527843185</v>
      </c>
      <c r="Z23" s="126">
        <f>IF(VLOOKUP($A23,tordrup[],8,FALSE)=0,VLOOKUP($D23,Table15[],26,FALSE),VLOOKUP($A23,tordrup[],8,FALSE))</f>
        <v>59.079552946386471</v>
      </c>
      <c r="AA23" s="126">
        <v>82.4</v>
      </c>
      <c r="AB23" s="126">
        <v>408.79</v>
      </c>
      <c r="AC23" s="126">
        <v>2415.5</v>
      </c>
      <c r="AD23" s="126">
        <v>5434.91</v>
      </c>
      <c r="AF23" s="126">
        <v>123.22946294782788</v>
      </c>
      <c r="AG23" s="126">
        <v>753.72510295643792</v>
      </c>
      <c r="AH23" s="126">
        <v>1507.4502059128758</v>
      </c>
      <c r="AI23" s="126">
        <v>4522.350617738628</v>
      </c>
      <c r="AJ23" s="33" t="str">
        <f>IF(VLOOKUP($A23,lmic_raw[],11,FALSE)=0, "Yes", "No")</f>
        <v>Yes</v>
      </c>
    </row>
    <row r="24" spans="1:36" x14ac:dyDescent="0.25">
      <c r="A24" s="109" t="s">
        <v>601</v>
      </c>
      <c r="D24" s="82" t="s">
        <v>677</v>
      </c>
      <c r="F24" s="82" t="s">
        <v>667</v>
      </c>
      <c r="I24" s="126">
        <f>IF(VLOOKUP($A24,portnoy[],3,FALSE)=0, VLOOKUP($D24,Table15[],9,FALSE),VLOOKUP($A24,portnoy[],3,FALSE))</f>
        <v>0.7107</v>
      </c>
      <c r="J24" s="126">
        <f>sens_costs_regions!J$2</f>
        <v>0.36202199312714778</v>
      </c>
      <c r="K24" s="126">
        <f>sens_costs_regions!K$2</f>
        <v>0.41792411616161618</v>
      </c>
      <c r="L24" s="126">
        <f>sens_costs_regions!L$2</f>
        <v>0.48333918128654974</v>
      </c>
      <c r="M24" s="126">
        <f>sens_costs_regions!M$2</f>
        <v>0.5718158075601375</v>
      </c>
      <c r="N24" s="126">
        <f>sens_costs_regions!N$2</f>
        <v>0.65679722222222237</v>
      </c>
      <c r="O24" s="126">
        <f>sens_costs_regions!O$2</f>
        <v>0.7491286549707602</v>
      </c>
      <c r="P24" s="126">
        <f>IF(VLOOKUP($A24,Table26[],6,FALSE)=0,VLOOKUP($D24,Table15[],16,FALSE),(VLOOKUP($A24,Table26[],6,FALSE)))</f>
        <v>2.4415633837272131E-3</v>
      </c>
      <c r="Q24" s="126">
        <f>IF(VLOOKUP($A24,Table26[],5,FALSE)=0,VLOOKUP($D24,Table15[],17,FALSE),(VLOOKUP($A24,Table26[],5,FALSE)))</f>
        <v>3.7111763432653637E-3</v>
      </c>
      <c r="R24" s="126">
        <f>IF(VLOOKUP($A24,Table26[],16,FALSE)=0,VLOOKUP($D24,Table15[],18,FALSE),(VLOOKUP($A24,Table26[],16,FALSE)))</f>
        <v>5.8597521209453121E-2</v>
      </c>
      <c r="S24" s="126">
        <f>IF(VLOOKUP($A24,Table26[],9,FALSE)=0,VLOOKUP($D24,Table15[],19,FALSE),(VLOOKUP($A24,Table26[],9,FALSE)))</f>
        <v>1.3358468598413892E-3</v>
      </c>
      <c r="T24" s="126">
        <f>IF(VLOOKUP($A24,Table26[],8,FALSE)=0,VLOOKUP($D24,Table15[],20,FALSE),(VLOOKUP($A24,Table26[],8,FALSE)))</f>
        <v>2.0304872269589114E-3</v>
      </c>
      <c r="U24" s="126">
        <f>IF(VLOOKUP($A24,Table26[],10,FALSE)=0,VLOOKUP($D24,Table15[],21,FALSE),(VLOOKUP($A24,Table26[],10,FALSE)))</f>
        <v>5.3433874393655567E-3</v>
      </c>
      <c r="V24" s="126">
        <f>VLOOKUP($F24,vaccine_costs!$AH$6:$AK$11,2,FALSE)</f>
        <v>4.83</v>
      </c>
      <c r="W24" s="126">
        <f>IF(VLOOKUP($A24,tordrup[],5,FALSE)=0,VLOOKUP($D24,Table15[],23,FALSE),VLOOKUP($A24,tordrup[],5,FALSE))</f>
        <v>24.151726725539028</v>
      </c>
      <c r="X24" s="126">
        <f>IF(VLOOKUP($A24,tordrup[],6,FALSE)=0,VLOOKUP($D24,Table15[],24,FALSE),VLOOKUP($A24,tordrup[],6,FALSE))</f>
        <v>53.371726725539027</v>
      </c>
      <c r="Y24" s="126">
        <f>IF(VLOOKUP($A24,tordrup[],7,FALSE)=0,VLOOKUP($D24,Table15[],25,FALSE),VLOOKUP($A24,tordrup[],7,FALSE))</f>
        <v>55.142114247064512</v>
      </c>
      <c r="Z24" s="126">
        <f>IF(VLOOKUP($A24,tordrup[],8,FALSE)=0,VLOOKUP($D24,Table15[],26,FALSE),VLOOKUP($A24,tordrup[],8,FALSE))</f>
        <v>54.847049660143597</v>
      </c>
      <c r="AA24" s="126">
        <v>82.4</v>
      </c>
      <c r="AB24" s="126">
        <v>408.79</v>
      </c>
      <c r="AC24" s="126">
        <v>2415.5</v>
      </c>
      <c r="AD24" s="126">
        <v>5434.91</v>
      </c>
      <c r="AF24" s="126">
        <v>0</v>
      </c>
      <c r="AG24" s="126">
        <v>233.9537203181676</v>
      </c>
      <c r="AH24" s="126">
        <v>467.9074406363352</v>
      </c>
      <c r="AI24" s="126">
        <v>1403.7223219090056</v>
      </c>
      <c r="AJ24" s="33" t="str">
        <f>IF(VLOOKUP($A24,lmic_raw[],11,FALSE)=0, "Yes", "No")</f>
        <v>Yes</v>
      </c>
    </row>
    <row r="25" spans="1:36" x14ac:dyDescent="0.25">
      <c r="A25" s="110" t="s">
        <v>125</v>
      </c>
      <c r="D25" s="84" t="s">
        <v>677</v>
      </c>
      <c r="F25" s="84" t="s">
        <v>667</v>
      </c>
      <c r="I25" s="126">
        <f>IF(VLOOKUP($A25,portnoy[],3,FALSE)=0, VLOOKUP($D25,Table15[],9,FALSE),VLOOKUP($A25,portnoy[],3,FALSE))</f>
        <v>0.52529999999999999</v>
      </c>
      <c r="J25" s="126">
        <f>sens_costs_regions!J$2</f>
        <v>0.36202199312714778</v>
      </c>
      <c r="K25" s="126">
        <f>sens_costs_regions!K$2</f>
        <v>0.41792411616161618</v>
      </c>
      <c r="L25" s="126">
        <f>sens_costs_regions!L$2</f>
        <v>0.48333918128654974</v>
      </c>
      <c r="M25" s="126">
        <f>sens_costs_regions!M$2</f>
        <v>0.5718158075601375</v>
      </c>
      <c r="N25" s="126">
        <f>sens_costs_regions!N$2</f>
        <v>0.65679722222222237</v>
      </c>
      <c r="O25" s="126">
        <f>sens_costs_regions!O$2</f>
        <v>0.7491286549707602</v>
      </c>
      <c r="P25" s="126">
        <f>IF(VLOOKUP($A25,Table26[],6,FALSE)=0,VLOOKUP($D25,Table15[],16,FALSE),(VLOOKUP($A25,Table26[],6,FALSE)))</f>
        <v>3.6237521675481429E-3</v>
      </c>
      <c r="Q25" s="126">
        <f>IF(VLOOKUP($A25,Table26[],5,FALSE)=0,VLOOKUP($D25,Table15[],17,FALSE),(VLOOKUP($A25,Table26[],5,FALSE)))</f>
        <v>5.5081032946731768E-3</v>
      </c>
      <c r="R25" s="126">
        <f>IF(VLOOKUP($A25,Table26[],16,FALSE)=0,VLOOKUP($D25,Table15[],18,FALSE),(VLOOKUP($A25,Table26[],16,FALSE)))</f>
        <v>8.6970052021155431E-2</v>
      </c>
      <c r="S25" s="126">
        <f>IF(VLOOKUP($A25,Table26[],9,FALSE)=0,VLOOKUP($D25,Table15[],19,FALSE),(VLOOKUP($A25,Table26[],9,FALSE)))</f>
        <v>2.0256937866609359E-3</v>
      </c>
      <c r="T25" s="126">
        <f>IF(VLOOKUP($A25,Table26[],8,FALSE)=0,VLOOKUP($D25,Table15[],20,FALSE),(VLOOKUP($A25,Table26[],8,FALSE)))</f>
        <v>3.079054555724622E-3</v>
      </c>
      <c r="U25" s="126">
        <f>IF(VLOOKUP($A25,Table26[],10,FALSE)=0,VLOOKUP($D25,Table15[],21,FALSE),(VLOOKUP($A25,Table26[],10,FALSE)))</f>
        <v>8.1027751466437436E-3</v>
      </c>
      <c r="V25" s="126">
        <f>VLOOKUP($F25,vaccine_costs!$AH$6:$AK$11,2,FALSE)</f>
        <v>4.83</v>
      </c>
      <c r="W25" s="126">
        <f>IF(VLOOKUP($A25,tordrup[],5,FALSE)=0,VLOOKUP($D25,Table15[],23,FALSE),VLOOKUP($A25,tordrup[],5,FALSE))</f>
        <v>24.650226832163256</v>
      </c>
      <c r="X25" s="126">
        <f>IF(VLOOKUP($A25,tordrup[],6,FALSE)=0,VLOOKUP($D25,Table15[],24,FALSE),VLOOKUP($A25,tordrup[],6,FALSE))</f>
        <v>53.870226832163254</v>
      </c>
      <c r="Y25" s="126">
        <f>IF(VLOOKUP($A25,tordrup[],7,FALSE)=0,VLOOKUP($D25,Table15[],25,FALSE),VLOOKUP($A25,tordrup[],7,FALSE))</f>
        <v>57.332666144173274</v>
      </c>
      <c r="Z25" s="126">
        <f>IF(VLOOKUP($A25,tordrup[],8,FALSE)=0,VLOOKUP($D25,Table15[],26,FALSE),VLOOKUP($A25,tordrup[],8,FALSE))</f>
        <v>56.755592925504942</v>
      </c>
      <c r="AA25" s="126">
        <v>82.4</v>
      </c>
      <c r="AB25" s="126">
        <v>408.79</v>
      </c>
      <c r="AC25" s="126">
        <v>2415.5</v>
      </c>
      <c r="AD25" s="126">
        <v>5434.91</v>
      </c>
      <c r="AF25" s="126">
        <v>140.04729133054894</v>
      </c>
      <c r="AG25" s="126">
        <v>354.77015506926659</v>
      </c>
      <c r="AH25" s="126">
        <v>709.54031013853319</v>
      </c>
      <c r="AI25" s="126">
        <v>2128.6209304155996</v>
      </c>
      <c r="AJ25" s="33" t="str">
        <f>IF(VLOOKUP($A25,lmic_raw[],11,FALSE)=0, "Yes", "No")</f>
        <v>Yes</v>
      </c>
    </row>
    <row r="26" spans="1:36" x14ac:dyDescent="0.25">
      <c r="A26" s="109" t="s">
        <v>202</v>
      </c>
      <c r="D26" s="82" t="s">
        <v>681</v>
      </c>
      <c r="F26" s="82" t="s">
        <v>666</v>
      </c>
      <c r="I26" s="126">
        <f>IF(VLOOKUP($A26,portnoy[],3,FALSE)=0, VLOOKUP($D26,Table15[],9,FALSE),VLOOKUP($A26,portnoy[],3,FALSE))</f>
        <v>2.2042000000000002</v>
      </c>
      <c r="J26" s="126">
        <f>sens_costs_regions!J$2</f>
        <v>0.36202199312714778</v>
      </c>
      <c r="K26" s="126">
        <f>sens_costs_regions!K$2</f>
        <v>0.41792411616161618</v>
      </c>
      <c r="L26" s="126">
        <f>sens_costs_regions!L$2</f>
        <v>0.48333918128654974</v>
      </c>
      <c r="M26" s="126">
        <f>sens_costs_regions!M$2</f>
        <v>0.5718158075601375</v>
      </c>
      <c r="N26" s="126">
        <f>sens_costs_regions!N$2</f>
        <v>0.65679722222222237</v>
      </c>
      <c r="O26" s="126">
        <f>sens_costs_regions!O$2</f>
        <v>0.7491286549707602</v>
      </c>
      <c r="P26" s="126">
        <f>IF(VLOOKUP($A26,Table26[],6,FALSE)=0,VLOOKUP($D26,Table15[],16,FALSE),(VLOOKUP($A26,Table26[],6,FALSE)))</f>
        <v>1.9108182200201808E-2</v>
      </c>
      <c r="Q26" s="126">
        <f>IF(VLOOKUP($A26,Table26[],5,FALSE)=0,VLOOKUP($D26,Table15[],17,FALSE),(VLOOKUP($A26,Table26[],5,FALSE)))</f>
        <v>2.9044436944306747E-2</v>
      </c>
      <c r="R26" s="126">
        <f>IF(VLOOKUP($A26,Table26[],16,FALSE)=0,VLOOKUP($D26,Table15[],18,FALSE),(VLOOKUP($A26,Table26[],16,FALSE)))</f>
        <v>0.45859637280484339</v>
      </c>
      <c r="S26" s="126">
        <f>IF(VLOOKUP($A26,Table26[],9,FALSE)=0,VLOOKUP($D26,Table15[],19,FALSE),(VLOOKUP($A26,Table26[],9,FALSE)))</f>
        <v>1.0293351094884832E-2</v>
      </c>
      <c r="T26" s="126">
        <f>IF(VLOOKUP($A26,Table26[],8,FALSE)=0,VLOOKUP($D26,Table15[],20,FALSE),(VLOOKUP($A26,Table26[],8,FALSE)))</f>
        <v>1.5645893664224943E-2</v>
      </c>
      <c r="U26" s="126">
        <f>IF(VLOOKUP($A26,Table26[],10,FALSE)=0,VLOOKUP($D26,Table15[],21,FALSE),(VLOOKUP($A26,Table26[],10,FALSE)))</f>
        <v>4.1173404379539327E-2</v>
      </c>
      <c r="V26" s="126">
        <f>VLOOKUP($F26,vaccine_costs!$AH$6:$AK$11,2,FALSE)</f>
        <v>0.63</v>
      </c>
      <c r="W26" s="126">
        <f>IF(VLOOKUP($A26,tordrup[],5,FALSE)=0,VLOOKUP($D26,Table15[],23,FALSE),VLOOKUP($A26,tordrup[],5,FALSE))</f>
        <v>29.433454045724332</v>
      </c>
      <c r="X26" s="126">
        <f>IF(VLOOKUP($A26,tordrup[],6,FALSE)=0,VLOOKUP($D26,Table15[],24,FALSE),VLOOKUP($A26,tordrup[],6,FALSE))</f>
        <v>58.653454045724331</v>
      </c>
      <c r="Y26" s="126">
        <f>IF(VLOOKUP($A26,tordrup[],7,FALSE)=0,VLOOKUP($D26,Table15[],25,FALSE),VLOOKUP($A26,tordrup[],7,FALSE))</f>
        <v>87.034489401860725</v>
      </c>
      <c r="Z26" s="126">
        <f>IF(VLOOKUP($A26,tordrup[],8,FALSE)=0,VLOOKUP($D26,Table15[],26,FALSE),VLOOKUP($A26,tordrup[],8,FALSE))</f>
        <v>82.304316842504662</v>
      </c>
      <c r="AA26" s="126">
        <v>82.4</v>
      </c>
      <c r="AB26" s="126">
        <v>408.79</v>
      </c>
      <c r="AC26" s="126">
        <v>2415.5</v>
      </c>
      <c r="AD26" s="126">
        <v>5434.91</v>
      </c>
      <c r="AF26" s="126">
        <v>5159.5884823359311</v>
      </c>
      <c r="AG26" s="126">
        <v>5130.8396226810546</v>
      </c>
      <c r="AH26" s="126">
        <v>10261.679245362109</v>
      </c>
      <c r="AI26" s="126">
        <v>30785.037736086328</v>
      </c>
      <c r="AJ26" s="33" t="str">
        <f>IF(VLOOKUP($A26,lmic_raw[],11,FALSE)=0, "Yes", "No")</f>
        <v>No</v>
      </c>
    </row>
    <row r="27" spans="1:36" x14ac:dyDescent="0.25">
      <c r="A27" s="110" t="s">
        <v>266</v>
      </c>
      <c r="D27" s="84" t="s">
        <v>679</v>
      </c>
      <c r="F27" s="84" t="s">
        <v>665</v>
      </c>
      <c r="I27" s="126">
        <f>IF(VLOOKUP($A27,portnoy[],3,FALSE)=0, VLOOKUP($D27,Table15[],9,FALSE),VLOOKUP($A27,portnoy[],3,FALSE))</f>
        <v>3.1106000000000003</v>
      </c>
      <c r="J27" s="126">
        <f>sens_costs_regions!J$2</f>
        <v>0.36202199312714778</v>
      </c>
      <c r="K27" s="126">
        <f>sens_costs_regions!K$2</f>
        <v>0.41792411616161618</v>
      </c>
      <c r="L27" s="126">
        <f>sens_costs_regions!L$2</f>
        <v>0.48333918128654974</v>
      </c>
      <c r="M27" s="126">
        <f>sens_costs_regions!M$2</f>
        <v>0.5718158075601375</v>
      </c>
      <c r="N27" s="126">
        <f>sens_costs_regions!N$2</f>
        <v>0.65679722222222237</v>
      </c>
      <c r="O27" s="126">
        <f>sens_costs_regions!O$2</f>
        <v>0.7491286549707602</v>
      </c>
      <c r="P27" s="126">
        <f>IF(VLOOKUP($A27,Table26[],6,FALSE)=0,VLOOKUP($D27,Table15[],16,FALSE),(VLOOKUP($A27,Table26[],6,FALSE)))</f>
        <v>1.2454183200523248E-2</v>
      </c>
      <c r="Q27" s="126">
        <f>IF(VLOOKUP($A27,Table26[],5,FALSE)=0,VLOOKUP($D27,Table15[],17,FALSE),(VLOOKUP($A27,Table26[],5,FALSE)))</f>
        <v>1.8930358464795335E-2</v>
      </c>
      <c r="R27" s="126">
        <f>IF(VLOOKUP($A27,Table26[],16,FALSE)=0,VLOOKUP($D27,Table15[],18,FALSE),(VLOOKUP($A27,Table26[],16,FALSE)))</f>
        <v>0.29890039681255792</v>
      </c>
      <c r="S27" s="126">
        <f>IF(VLOOKUP($A27,Table26[],9,FALSE)=0,VLOOKUP($D27,Table15[],19,FALSE),(VLOOKUP($A27,Table26[],9,FALSE)))</f>
        <v>6.4485177988549292E-3</v>
      </c>
      <c r="T27" s="126">
        <f>IF(VLOOKUP($A27,Table26[],8,FALSE)=0,VLOOKUP($D27,Table15[],20,FALSE),(VLOOKUP($A27,Table26[],8,FALSE)))</f>
        <v>9.8017470542594923E-3</v>
      </c>
      <c r="U27" s="126">
        <f>IF(VLOOKUP($A27,Table26[],10,FALSE)=0,VLOOKUP($D27,Table15[],21,FALSE),(VLOOKUP($A27,Table26[],10,FALSE)))</f>
        <v>2.5794071195419717E-2</v>
      </c>
      <c r="V27" s="126">
        <f>VLOOKUP($F27,vaccine_costs!$AH$6:$AK$11,2,FALSE)</f>
        <v>0.02</v>
      </c>
      <c r="W27" s="126">
        <f>IF(VLOOKUP($A27,tordrup[],5,FALSE)=0,VLOOKUP($D27,Table15[],23,FALSE),VLOOKUP($A27,tordrup[],5,FALSE))</f>
        <v>40.364849240984256</v>
      </c>
      <c r="X27" s="126">
        <f>IF(VLOOKUP($A27,tordrup[],6,FALSE)=0,VLOOKUP($D27,Table15[],24,FALSE),VLOOKUP($A27,tordrup[],6,FALSE))</f>
        <v>69.584849240984255</v>
      </c>
      <c r="Y27" s="126">
        <f>IF(VLOOKUP($A27,tordrup[],7,FALSE)=0,VLOOKUP($D27,Table15[],25,FALSE),VLOOKUP($A27,tordrup[],7,FALSE))</f>
        <v>109.88074928844924</v>
      </c>
      <c r="Z27" s="126">
        <f>IF(VLOOKUP($A27,tordrup[],8,FALSE)=0,VLOOKUP($D27,Table15[],26,FALSE),VLOOKUP($A27,tordrup[],8,FALSE))</f>
        <v>103.16476594720507</v>
      </c>
      <c r="AA27" s="126">
        <v>82.4</v>
      </c>
      <c r="AB27" s="126">
        <v>408.79</v>
      </c>
      <c r="AC27" s="126">
        <v>2415.5</v>
      </c>
      <c r="AD27" s="126">
        <v>5434.91</v>
      </c>
      <c r="AF27" s="126">
        <v>8721.7137334522304</v>
      </c>
      <c r="AG27" s="126">
        <v>3214.3381028138419</v>
      </c>
      <c r="AH27" s="126">
        <v>6428.6762056276839</v>
      </c>
      <c r="AI27" s="126">
        <v>19286.02861688305</v>
      </c>
      <c r="AJ27" s="33" t="str">
        <f>IF(VLOOKUP($A27,lmic_raw[],11,FALSE)=0, "Yes", "No")</f>
        <v>No</v>
      </c>
    </row>
    <row r="28" spans="1:36" x14ac:dyDescent="0.25">
      <c r="A28" s="109" t="s">
        <v>606</v>
      </c>
      <c r="D28" s="82" t="s">
        <v>677</v>
      </c>
      <c r="F28" s="82" t="s">
        <v>667</v>
      </c>
      <c r="I28" s="126">
        <f>IF(VLOOKUP($A28,portnoy[],3,FALSE)=0, VLOOKUP($D28,Table15[],9,FALSE),VLOOKUP($A28,portnoy[],3,FALSE))</f>
        <v>4.8925000000000001</v>
      </c>
      <c r="J28" s="126">
        <f>sens_costs_regions!J$2</f>
        <v>0.36202199312714778</v>
      </c>
      <c r="K28" s="126">
        <f>sens_costs_regions!K$2</f>
        <v>0.41792411616161618</v>
      </c>
      <c r="L28" s="126">
        <f>sens_costs_regions!L$2</f>
        <v>0.48333918128654974</v>
      </c>
      <c r="M28" s="126">
        <f>sens_costs_regions!M$2</f>
        <v>0.5718158075601375</v>
      </c>
      <c r="N28" s="126">
        <f>sens_costs_regions!N$2</f>
        <v>0.65679722222222237</v>
      </c>
      <c r="O28" s="126">
        <f>sens_costs_regions!O$2</f>
        <v>0.7491286549707602</v>
      </c>
      <c r="P28" s="126">
        <f>IF(VLOOKUP($A28,Table26[],6,FALSE)=0,VLOOKUP($D28,Table15[],16,FALSE),(VLOOKUP($A28,Table26[],6,FALSE)))</f>
        <v>4.7275379251661802E-3</v>
      </c>
      <c r="Q28" s="126">
        <f>IF(VLOOKUP($A28,Table26[],5,FALSE)=0,VLOOKUP($D28,Table15[],17,FALSE),(VLOOKUP($A28,Table26[],5,FALSE)))</f>
        <v>7.1858576462525935E-3</v>
      </c>
      <c r="R28" s="126">
        <f>IF(VLOOKUP($A28,Table26[],16,FALSE)=0,VLOOKUP($D28,Table15[],18,FALSE),(VLOOKUP($A28,Table26[],16,FALSE)))</f>
        <v>0.11346091020398832</v>
      </c>
      <c r="S28" s="126">
        <f>IF(VLOOKUP($A28,Table26[],9,FALSE)=0,VLOOKUP($D28,Table15[],19,FALSE),(VLOOKUP($A28,Table26[],9,FALSE)))</f>
        <v>2.5373114940132409E-3</v>
      </c>
      <c r="T28" s="126">
        <f>IF(VLOOKUP($A28,Table26[],8,FALSE)=0,VLOOKUP($D28,Table15[],20,FALSE),(VLOOKUP($A28,Table26[],8,FALSE)))</f>
        <v>3.8567134709001256E-3</v>
      </c>
      <c r="U28" s="126">
        <f>IF(VLOOKUP($A28,Table26[],10,FALSE)=0,VLOOKUP($D28,Table15[],21,FALSE),(VLOOKUP($A28,Table26[],10,FALSE)))</f>
        <v>1.0149245976052964E-2</v>
      </c>
      <c r="V28" s="126">
        <f>VLOOKUP($F28,vaccine_costs!$AH$6:$AK$11,2,FALSE)</f>
        <v>4.83</v>
      </c>
      <c r="W28" s="126">
        <f>IF(VLOOKUP($A28,tordrup[],5,FALSE)=0,VLOOKUP($D28,Table15[],23,FALSE),VLOOKUP($A28,tordrup[],5,FALSE))</f>
        <v>24.602750631532377</v>
      </c>
      <c r="X28" s="126">
        <f>IF(VLOOKUP($A28,tordrup[],6,FALSE)=0,VLOOKUP($D28,Table15[],24,FALSE),VLOOKUP($A28,tordrup[],6,FALSE))</f>
        <v>53.822750631532372</v>
      </c>
      <c r="Y28" s="126">
        <f>IF(VLOOKUP($A28,tordrup[],7,FALSE)=0,VLOOKUP($D28,Table15[],25,FALSE),VLOOKUP($A28,tordrup[],7,FALSE))</f>
        <v>56.924845580754024</v>
      </c>
      <c r="Z28" s="126">
        <f>IF(VLOOKUP($A28,tordrup[],8,FALSE)=0,VLOOKUP($D28,Table15[],26,FALSE),VLOOKUP($A28,tordrup[],8,FALSE))</f>
        <v>56.407829755883739</v>
      </c>
      <c r="AA28" s="126">
        <v>82.4</v>
      </c>
      <c r="AB28" s="126">
        <v>408.79</v>
      </c>
      <c r="AC28" s="126">
        <v>2415.5</v>
      </c>
      <c r="AD28" s="126">
        <v>5434.91</v>
      </c>
      <c r="AF28" s="126">
        <v>237.08753987247206</v>
      </c>
      <c r="AG28" s="126">
        <v>685.07410338357511</v>
      </c>
      <c r="AH28" s="126">
        <v>1370.1482067671502</v>
      </c>
      <c r="AI28" s="126">
        <v>4110.4446203014504</v>
      </c>
      <c r="AJ28" s="33" t="str">
        <f>IF(VLOOKUP($A28,lmic_raw[],11,FALSE)=0, "Yes", "No")</f>
        <v>Yes</v>
      </c>
    </row>
    <row r="29" spans="1:36" x14ac:dyDescent="0.25">
      <c r="A29" s="84" t="s">
        <v>611</v>
      </c>
      <c r="D29" s="84" t="s">
        <v>677</v>
      </c>
      <c r="F29" s="84" t="s">
        <v>667</v>
      </c>
      <c r="I29" s="126">
        <f>IF(VLOOKUP($A29,portnoy[],3,FALSE)=0, VLOOKUP($D29,Table15[],9,FALSE),VLOOKUP($A29,portnoy[],3,FALSE))</f>
        <v>1.0403</v>
      </c>
      <c r="J29" s="126">
        <f>sens_costs_regions!J$2</f>
        <v>0.36202199312714778</v>
      </c>
      <c r="K29" s="126">
        <f>sens_costs_regions!K$2</f>
        <v>0.41792411616161618</v>
      </c>
      <c r="L29" s="126">
        <f>sens_costs_regions!L$2</f>
        <v>0.48333918128654974</v>
      </c>
      <c r="M29" s="126">
        <f>sens_costs_regions!M$2</f>
        <v>0.5718158075601375</v>
      </c>
      <c r="N29" s="126">
        <f>sens_costs_regions!N$2</f>
        <v>0.65679722222222237</v>
      </c>
      <c r="O29" s="126">
        <f>sens_costs_regions!O$2</f>
        <v>0.7491286549707602</v>
      </c>
      <c r="P29" s="126">
        <f>IF(VLOOKUP($A29,Table26[],6,FALSE)=0,VLOOKUP($D29,Table15[],16,FALSE),(VLOOKUP($A29,Table26[],6,FALSE)))</f>
        <v>2.9068605324074075E-3</v>
      </c>
      <c r="Q29" s="126">
        <f>IF(VLOOKUP($A29,Table26[],5,FALSE)=0,VLOOKUP($D29,Table15[],17,FALSE),(VLOOKUP($A29,Table26[],5,FALSE)))</f>
        <v>4.4184280092592594E-3</v>
      </c>
      <c r="R29" s="126">
        <f>IF(VLOOKUP($A29,Table26[],16,FALSE)=0,VLOOKUP($D29,Table15[],18,FALSE),(VLOOKUP($A29,Table26[],16,FALSE)))</f>
        <v>6.9764652777777783E-2</v>
      </c>
      <c r="S29" s="126">
        <f>IF(VLOOKUP($A29,Table26[],9,FALSE)=0,VLOOKUP($D29,Table15[],19,FALSE),(VLOOKUP($A29,Table26[],9,FALSE)))</f>
        <v>1.657862654320988E-3</v>
      </c>
      <c r="T29" s="126">
        <f>IF(VLOOKUP($A29,Table26[],8,FALSE)=0,VLOOKUP($D29,Table15[],20,FALSE),(VLOOKUP($A29,Table26[],8,FALSE)))</f>
        <v>2.5199512345679014E-3</v>
      </c>
      <c r="U29" s="126">
        <f>IF(VLOOKUP($A29,Table26[],10,FALSE)=0,VLOOKUP($D29,Table15[],21,FALSE),(VLOOKUP($A29,Table26[],10,FALSE)))</f>
        <v>6.6314506172839519E-3</v>
      </c>
      <c r="V29" s="126">
        <f>VLOOKUP($F29,vaccine_costs!$AH$6:$AK$11,2,FALSE)</f>
        <v>4.83</v>
      </c>
      <c r="W29" s="126">
        <f>IF(VLOOKUP($A29,tordrup[],5,FALSE)=0,VLOOKUP($D29,Table15[],23,FALSE),VLOOKUP($A29,tordrup[],5,FALSE))</f>
        <v>26.044512197590766</v>
      </c>
      <c r="X29" s="126">
        <f>IF(VLOOKUP($A29,tordrup[],6,FALSE)=0,VLOOKUP($D29,Table15[],24,FALSE),VLOOKUP($A29,tordrup[],6,FALSE))</f>
        <v>55.264512197590776</v>
      </c>
      <c r="Y29" s="126">
        <f>IF(VLOOKUP($A29,tordrup[],7,FALSE)=0,VLOOKUP($D29,Table15[],25,FALSE),VLOOKUP($A29,tordrup[],7,FALSE))</f>
        <v>66.30770473986702</v>
      </c>
      <c r="Z29" s="126">
        <f>IF(VLOOKUP($A29,tordrup[],8,FALSE)=0,VLOOKUP($D29,Table15[],26,FALSE),VLOOKUP($A29,tordrup[],8,FALSE))</f>
        <v>64.467172649487651</v>
      </c>
      <c r="AA29" s="126">
        <v>82.4</v>
      </c>
      <c r="AB29" s="126">
        <v>408.79</v>
      </c>
      <c r="AC29" s="126">
        <v>2415.5</v>
      </c>
      <c r="AD29" s="126">
        <v>5434.91</v>
      </c>
      <c r="AF29" s="126">
        <v>60.658947650877487</v>
      </c>
      <c r="AG29" s="126">
        <v>290.35000000000002</v>
      </c>
      <c r="AH29" s="126">
        <v>580.70000000000005</v>
      </c>
      <c r="AI29" s="126">
        <v>1742.1000000000001</v>
      </c>
      <c r="AJ29" s="33" t="str">
        <f>IF(VLOOKUP($A29,lmic_raw[],11,FALSE)=0, "Yes", "No")</f>
        <v>Yes</v>
      </c>
    </row>
    <row r="30" spans="1:36" x14ac:dyDescent="0.25">
      <c r="A30" s="109" t="s">
        <v>607</v>
      </c>
      <c r="D30" s="82" t="s">
        <v>677</v>
      </c>
      <c r="F30" s="82" t="s">
        <v>667</v>
      </c>
      <c r="I30" s="126">
        <f>IF(VLOOKUP($A30,portnoy[],3,FALSE)=0, VLOOKUP($D30,Table15[],9,FALSE),VLOOKUP($A30,portnoy[],3,FALSE))</f>
        <v>2.1732999999999998</v>
      </c>
      <c r="J30" s="126">
        <f>sens_costs_regions!J$2</f>
        <v>0.36202199312714778</v>
      </c>
      <c r="K30" s="126">
        <f>sens_costs_regions!K$2</f>
        <v>0.41792411616161618</v>
      </c>
      <c r="L30" s="126">
        <f>sens_costs_regions!L$2</f>
        <v>0.48333918128654974</v>
      </c>
      <c r="M30" s="126">
        <f>sens_costs_regions!M$2</f>
        <v>0.5718158075601375</v>
      </c>
      <c r="N30" s="126">
        <f>sens_costs_regions!N$2</f>
        <v>0.65679722222222237</v>
      </c>
      <c r="O30" s="126">
        <f>sens_costs_regions!O$2</f>
        <v>0.7491286549707602</v>
      </c>
      <c r="P30" s="126">
        <f>IF(VLOOKUP($A30,Table26[],6,FALSE)=0,VLOOKUP($D30,Table15[],16,FALSE),(VLOOKUP($A30,Table26[],6,FALSE)))</f>
        <v>7.7186454939937943E-3</v>
      </c>
      <c r="Q30" s="126">
        <f>IF(VLOOKUP($A30,Table26[],5,FALSE)=0,VLOOKUP($D30,Table15[],17,FALSE),(VLOOKUP($A30,Table26[],5,FALSE)))</f>
        <v>1.1732341150870566E-2</v>
      </c>
      <c r="R30" s="126">
        <f>IF(VLOOKUP($A30,Table26[],16,FALSE)=0,VLOOKUP($D30,Table15[],18,FALSE),(VLOOKUP($A30,Table26[],16,FALSE)))</f>
        <v>0.18524749185585107</v>
      </c>
      <c r="S30" s="126">
        <f>IF(VLOOKUP($A30,Table26[],9,FALSE)=0,VLOOKUP($D30,Table15[],19,FALSE),(VLOOKUP($A30,Table26[],9,FALSE)))</f>
        <v>4.2221650565436126E-3</v>
      </c>
      <c r="T30" s="126">
        <f>IF(VLOOKUP($A30,Table26[],8,FALSE)=0,VLOOKUP($D30,Table15[],20,FALSE),(VLOOKUP($A30,Table26[],8,FALSE)))</f>
        <v>6.4176908859462914E-3</v>
      </c>
      <c r="U30" s="126">
        <f>IF(VLOOKUP($A30,Table26[],10,FALSE)=0,VLOOKUP($D30,Table15[],21,FALSE),(VLOOKUP($A30,Table26[],10,FALSE)))</f>
        <v>1.688866022617445E-2</v>
      </c>
      <c r="V30" s="126">
        <f>VLOOKUP($F30,vaccine_costs!$AH$6:$AK$11,2,FALSE)</f>
        <v>4.83</v>
      </c>
      <c r="W30" s="126">
        <f>IF(VLOOKUP($A30,tordrup[],5,FALSE)=0,VLOOKUP($D30,Table15[],23,FALSE),VLOOKUP($A30,tordrup[],5,FALSE))</f>
        <v>27.368239318281088</v>
      </c>
      <c r="X30" s="126">
        <f>IF(VLOOKUP($A30,tordrup[],6,FALSE)=0,VLOOKUP($D30,Table15[],24,FALSE),VLOOKUP($A30,tordrup[],6,FALSE))</f>
        <v>56.588239318281083</v>
      </c>
      <c r="Y30" s="126">
        <f>IF(VLOOKUP($A30,tordrup[],7,FALSE)=0,VLOOKUP($D30,Table15[],25,FALSE),VLOOKUP($A30,tordrup[],7,FALSE))</f>
        <v>71.871540444370538</v>
      </c>
      <c r="Z30" s="126">
        <f>IF(VLOOKUP($A30,tordrup[],8,FALSE)=0,VLOOKUP($D30,Table15[],26,FALSE),VLOOKUP($A30,tordrup[],8,FALSE))</f>
        <v>69.324323590022303</v>
      </c>
      <c r="AA30" s="126">
        <v>82.4</v>
      </c>
      <c r="AB30" s="126">
        <v>408.79</v>
      </c>
      <c r="AC30" s="126">
        <v>2415.5</v>
      </c>
      <c r="AD30" s="126">
        <v>5434.91</v>
      </c>
      <c r="AF30" s="126">
        <v>1557.5850890077306</v>
      </c>
      <c r="AG30" s="126">
        <v>1139.9845652667757</v>
      </c>
      <c r="AH30" s="126">
        <v>2279.9691305335514</v>
      </c>
      <c r="AI30" s="126">
        <v>6839.9073916006546</v>
      </c>
      <c r="AJ30" s="33" t="str">
        <f>IF(VLOOKUP($A30,lmic_raw[],11,FALSE)=0, "Yes", "No")</f>
        <v>Yes</v>
      </c>
    </row>
    <row r="31" spans="1:36" x14ac:dyDescent="0.25">
      <c r="A31" s="110" t="s">
        <v>254</v>
      </c>
      <c r="D31" s="84" t="s">
        <v>679</v>
      </c>
      <c r="F31" s="84" t="s">
        <v>665</v>
      </c>
      <c r="I31" s="126">
        <f>IF(VLOOKUP($A31,portnoy[],3,FALSE)=0, VLOOKUP($D31,Table15[],9,FALSE),VLOOKUP($A31,portnoy[],3,FALSE))</f>
        <v>6.4169000000000009</v>
      </c>
      <c r="J31" s="126">
        <f>sens_costs_regions!J$2</f>
        <v>0.36202199312714778</v>
      </c>
      <c r="K31" s="126">
        <f>sens_costs_regions!K$2</f>
        <v>0.41792411616161618</v>
      </c>
      <c r="L31" s="126">
        <f>sens_costs_regions!L$2</f>
        <v>0.48333918128654974</v>
      </c>
      <c r="M31" s="126">
        <f>sens_costs_regions!M$2</f>
        <v>0.5718158075601375</v>
      </c>
      <c r="N31" s="126">
        <f>sens_costs_regions!N$2</f>
        <v>0.65679722222222237</v>
      </c>
      <c r="O31" s="126">
        <f>sens_costs_regions!O$2</f>
        <v>0.7491286549707602</v>
      </c>
      <c r="P31" s="126">
        <f>IF(VLOOKUP($A31,Table26[],6,FALSE)=0,VLOOKUP($D31,Table15[],16,FALSE),(VLOOKUP($A31,Table26[],6,FALSE)))</f>
        <v>2.2951395321849897E-2</v>
      </c>
      <c r="Q31" s="126">
        <f>IF(VLOOKUP($A31,Table26[],5,FALSE)=0,VLOOKUP($D31,Table15[],17,FALSE),(VLOOKUP($A31,Table26[],5,FALSE)))</f>
        <v>3.4886120889211836E-2</v>
      </c>
      <c r="R31" s="126">
        <f>IF(VLOOKUP($A31,Table26[],16,FALSE)=0,VLOOKUP($D31,Table15[],18,FALSE),(VLOOKUP($A31,Table26[],16,FALSE)))</f>
        <v>0.55083348772439744</v>
      </c>
      <c r="S31" s="126">
        <f>IF(VLOOKUP($A31,Table26[],9,FALSE)=0,VLOOKUP($D31,Table15[],19,FALSE),(VLOOKUP($A31,Table26[],9,FALSE)))</f>
        <v>1.2281600968201313E-2</v>
      </c>
      <c r="T31" s="126">
        <f>IF(VLOOKUP($A31,Table26[],8,FALSE)=0,VLOOKUP($D31,Table15[],20,FALSE),(VLOOKUP($A31,Table26[],8,FALSE)))</f>
        <v>1.8668033471665995E-2</v>
      </c>
      <c r="U31" s="126">
        <f>IF(VLOOKUP($A31,Table26[],10,FALSE)=0,VLOOKUP($D31,Table15[],21,FALSE),(VLOOKUP($A31,Table26[],10,FALSE)))</f>
        <v>4.9126403872805251E-2</v>
      </c>
      <c r="V31" s="126">
        <f>VLOOKUP($F31,vaccine_costs!$AH$6:$AK$11,2,FALSE)</f>
        <v>0.02</v>
      </c>
      <c r="W31" s="126">
        <f>IF(VLOOKUP($A31,tordrup[],5,FALSE)=0,VLOOKUP($D31,Table15[],23,FALSE),VLOOKUP($A31,tordrup[],5,FALSE))</f>
        <v>35.308633873795628</v>
      </c>
      <c r="X31" s="126">
        <f>IF(VLOOKUP($A31,tordrup[],6,FALSE)=0,VLOOKUP($D31,Table15[],24,FALSE),VLOOKUP($A31,tordrup[],6,FALSE))</f>
        <v>64.528633873795627</v>
      </c>
      <c r="Y31" s="126">
        <f>IF(VLOOKUP($A31,tordrup[],7,FALSE)=0,VLOOKUP($D31,Table15[],25,FALSE),VLOOKUP($A31,tordrup[],7,FALSE))</f>
        <v>129.64129351503374</v>
      </c>
      <c r="Z31" s="126">
        <f>IF(VLOOKUP($A31,tordrup[],8,FALSE)=0,VLOOKUP($D31,Table15[],26,FALSE),VLOOKUP($A31,tordrup[],8,FALSE))</f>
        <v>118.78918357482739</v>
      </c>
      <c r="AA31" s="126">
        <v>82.4</v>
      </c>
      <c r="AB31" s="126">
        <v>408.79</v>
      </c>
      <c r="AC31" s="126">
        <v>2415.5</v>
      </c>
      <c r="AD31" s="126">
        <v>5434.91</v>
      </c>
      <c r="AF31" s="126">
        <v>17696.94443658178</v>
      </c>
      <c r="AG31" s="126">
        <v>6121.9057133803472</v>
      </c>
      <c r="AH31" s="126">
        <v>12243.811426760694</v>
      </c>
      <c r="AI31" s="126">
        <v>36731.434280282083</v>
      </c>
      <c r="AJ31" s="33" t="str">
        <f>IF(VLOOKUP($A31,lmic_raw[],11,FALSE)=0, "Yes", "No")</f>
        <v>No</v>
      </c>
    </row>
    <row r="32" spans="1:36" x14ac:dyDescent="0.25">
      <c r="A32" s="109" t="s">
        <v>141</v>
      </c>
      <c r="D32" s="82" t="s">
        <v>677</v>
      </c>
      <c r="F32" s="82" t="s">
        <v>667</v>
      </c>
      <c r="I32" s="126">
        <f>IF(VLOOKUP($A32,portnoy[],3,FALSE)=0, VLOOKUP($D32,Table15[],9,FALSE),VLOOKUP($A32,portnoy[],3,FALSE))</f>
        <v>1.8437000000000001</v>
      </c>
      <c r="J32" s="126">
        <f>sens_costs_regions!J$2</f>
        <v>0.36202199312714778</v>
      </c>
      <c r="K32" s="126">
        <f>sens_costs_regions!K$2</f>
        <v>0.41792411616161618</v>
      </c>
      <c r="L32" s="126">
        <f>sens_costs_regions!L$2</f>
        <v>0.48333918128654974</v>
      </c>
      <c r="M32" s="126">
        <f>sens_costs_regions!M$2</f>
        <v>0.5718158075601375</v>
      </c>
      <c r="N32" s="126">
        <f>sens_costs_regions!N$2</f>
        <v>0.65679722222222237</v>
      </c>
      <c r="O32" s="126">
        <f>sens_costs_regions!O$2</f>
        <v>0.7491286549707602</v>
      </c>
      <c r="P32" s="126">
        <f>IF(VLOOKUP($A32,Table26[],6,FALSE)=0,VLOOKUP($D32,Table15[],16,FALSE),(VLOOKUP($A32,Table26[],6,FALSE)))</f>
        <v>7.813802404683292E-3</v>
      </c>
      <c r="Q32" s="126">
        <f>IF(VLOOKUP($A32,Table26[],5,FALSE)=0,VLOOKUP($D32,Table15[],17,FALSE),(VLOOKUP($A32,Table26[],5,FALSE)))</f>
        <v>1.1876979655118603E-2</v>
      </c>
      <c r="R32" s="126">
        <f>IF(VLOOKUP($A32,Table26[],16,FALSE)=0,VLOOKUP($D32,Table15[],18,FALSE),(VLOOKUP($A32,Table26[],16,FALSE)))</f>
        <v>0.18753125771239901</v>
      </c>
      <c r="S32" s="126">
        <f>IF(VLOOKUP($A32,Table26[],9,FALSE)=0,VLOOKUP($D32,Table15[],19,FALSE),(VLOOKUP($A32,Table26[],9,FALSE)))</f>
        <v>4.2154319982674734E-3</v>
      </c>
      <c r="T32" s="126">
        <f>IF(VLOOKUP($A32,Table26[],8,FALSE)=0,VLOOKUP($D32,Table15[],20,FALSE),(VLOOKUP($A32,Table26[],8,FALSE)))</f>
        <v>6.4074566373665586E-3</v>
      </c>
      <c r="U32" s="126">
        <f>IF(VLOOKUP($A32,Table26[],10,FALSE)=0,VLOOKUP($D32,Table15[],21,FALSE),(VLOOKUP($A32,Table26[],10,FALSE)))</f>
        <v>1.6861727993069894E-2</v>
      </c>
      <c r="V32" s="126">
        <f>VLOOKUP($F32,vaccine_costs!$AH$6:$AK$11,2,FALSE)</f>
        <v>4.83</v>
      </c>
      <c r="W32" s="126">
        <f>IF(VLOOKUP($A32,tordrup[],5,FALSE)=0,VLOOKUP($D32,Table15[],23,FALSE),VLOOKUP($A32,tordrup[],5,FALSE))</f>
        <v>24.99442928673713</v>
      </c>
      <c r="X32" s="126">
        <f>IF(VLOOKUP($A32,tordrup[],6,FALSE)=0,VLOOKUP($D32,Table15[],24,FALSE),VLOOKUP($A32,tordrup[],6,FALSE))</f>
        <v>54.214429286737129</v>
      </c>
      <c r="Y32" s="126">
        <f>IF(VLOOKUP($A32,tordrup[],7,FALSE)=0,VLOOKUP($D32,Table15[],25,FALSE),VLOOKUP($A32,tordrup[],7,FALSE))</f>
        <v>59.118246049900634</v>
      </c>
      <c r="Z32" s="126">
        <f>IF(VLOOKUP($A32,tordrup[],8,FALSE)=0,VLOOKUP($D32,Table15[],26,FALSE),VLOOKUP($A32,tordrup[],8,FALSE))</f>
        <v>58.300943256040057</v>
      </c>
      <c r="AA32" s="126">
        <v>82.4</v>
      </c>
      <c r="AB32" s="126">
        <v>408.79</v>
      </c>
      <c r="AC32" s="126">
        <v>2415.5</v>
      </c>
      <c r="AD32" s="126">
        <v>5434.91</v>
      </c>
      <c r="AF32" s="126">
        <v>231.1065494660287</v>
      </c>
      <c r="AG32" s="126">
        <v>1138.1666395322177</v>
      </c>
      <c r="AH32" s="126">
        <v>2276.3332790644354</v>
      </c>
      <c r="AI32" s="126">
        <v>6828.9998371933061</v>
      </c>
      <c r="AJ32" s="33" t="str">
        <f>IF(VLOOKUP($A32,lmic_raw[],11,FALSE)=0, "Yes", "No")</f>
        <v>No</v>
      </c>
    </row>
    <row r="33" spans="1:36" x14ac:dyDescent="0.25">
      <c r="A33" s="110" t="s">
        <v>232</v>
      </c>
      <c r="D33" s="84" t="s">
        <v>679</v>
      </c>
      <c r="F33" s="84" t="s">
        <v>665</v>
      </c>
      <c r="I33" s="126">
        <f>IF(VLOOKUP($A33,portnoy[],3,FALSE)=0, VLOOKUP($D33,Table15[],9,FALSE),VLOOKUP($A33,portnoy[],3,FALSE))</f>
        <v>5.5620000000000003</v>
      </c>
      <c r="J33" s="126">
        <f>sens_costs_regions!J$2</f>
        <v>0.36202199312714778</v>
      </c>
      <c r="K33" s="126">
        <f>sens_costs_regions!K$2</f>
        <v>0.41792411616161618</v>
      </c>
      <c r="L33" s="126">
        <f>sens_costs_regions!L$2</f>
        <v>0.48333918128654974</v>
      </c>
      <c r="M33" s="126">
        <f>sens_costs_regions!M$2</f>
        <v>0.5718158075601375</v>
      </c>
      <c r="N33" s="126">
        <f>sens_costs_regions!N$2</f>
        <v>0.65679722222222237</v>
      </c>
      <c r="O33" s="126">
        <f>sens_costs_regions!O$2</f>
        <v>0.7491286549707602</v>
      </c>
      <c r="P33" s="126">
        <f>IF(VLOOKUP($A33,Table26[],6,FALSE)=0,VLOOKUP($D33,Table15[],16,FALSE),(VLOOKUP($A33,Table26[],6,FALSE)))</f>
        <v>1.6768721873883501E-2</v>
      </c>
      <c r="Q33" s="126">
        <f>IF(VLOOKUP($A33,Table26[],5,FALSE)=0,VLOOKUP($D33,Table15[],17,FALSE),(VLOOKUP($A33,Table26[],5,FALSE)))</f>
        <v>2.5488457248302916E-2</v>
      </c>
      <c r="R33" s="126">
        <f>IF(VLOOKUP($A33,Table26[],16,FALSE)=0,VLOOKUP($D33,Table15[],18,FALSE),(VLOOKUP($A33,Table26[],16,FALSE)))</f>
        <v>0.40244932497320396</v>
      </c>
      <c r="S33" s="126">
        <f>IF(VLOOKUP($A33,Table26[],9,FALSE)=0,VLOOKUP($D33,Table15[],19,FALSE),(VLOOKUP($A33,Table26[],9,FALSE)))</f>
        <v>8.8490467273341488E-3</v>
      </c>
      <c r="T33" s="126">
        <f>IF(VLOOKUP($A33,Table26[],8,FALSE)=0,VLOOKUP($D33,Table15[],20,FALSE),(VLOOKUP($A33,Table26[],8,FALSE)))</f>
        <v>1.3450551025547906E-2</v>
      </c>
      <c r="U33" s="126">
        <f>IF(VLOOKUP($A33,Table26[],10,FALSE)=0,VLOOKUP($D33,Table15[],21,FALSE),(VLOOKUP($A33,Table26[],10,FALSE)))</f>
        <v>3.5396186909336595E-2</v>
      </c>
      <c r="V33" s="126">
        <f>VLOOKUP($F33,vaccine_costs!$AH$6:$AK$11,2,FALSE)</f>
        <v>0.02</v>
      </c>
      <c r="W33" s="126">
        <f>IF(VLOOKUP($A33,tordrup[],5,FALSE)=0,VLOOKUP($D33,Table15[],23,FALSE),VLOOKUP($A33,tordrup[],5,FALSE))</f>
        <v>33.587621600926255</v>
      </c>
      <c r="X33" s="126">
        <f>IF(VLOOKUP($A33,tordrup[],6,FALSE)=0,VLOOKUP($D33,Table15[],24,FALSE),VLOOKUP($A33,tordrup[],6,FALSE))</f>
        <v>62.807621600926254</v>
      </c>
      <c r="Y33" s="126">
        <f>IF(VLOOKUP($A33,tordrup[],7,FALSE)=0,VLOOKUP($D33,Table15[],25,FALSE),VLOOKUP($A33,tordrup[],7,FALSE))</f>
        <v>99.930924541232741</v>
      </c>
      <c r="Z33" s="126">
        <f>IF(VLOOKUP($A33,tordrup[],8,FALSE)=0,VLOOKUP($D33,Table15[],26,FALSE),VLOOKUP($A33,tordrup[],8,FALSE))</f>
        <v>93.743707384514991</v>
      </c>
      <c r="AA33" s="126">
        <v>82.4</v>
      </c>
      <c r="AB33" s="126">
        <v>408.79</v>
      </c>
      <c r="AC33" s="126">
        <v>2415.5</v>
      </c>
      <c r="AD33" s="126">
        <v>5434.91</v>
      </c>
      <c r="AF33" s="126">
        <v>0</v>
      </c>
      <c r="AG33" s="126">
        <v>4410.9094456250223</v>
      </c>
      <c r="AH33" s="126">
        <v>8821.8188912500445</v>
      </c>
      <c r="AI33" s="126">
        <v>26465.456673750134</v>
      </c>
      <c r="AJ33" s="33" t="str">
        <f>IF(VLOOKUP($A33,lmic_raw[],11,FALSE)=0, "Yes", "No")</f>
        <v>No</v>
      </c>
    </row>
    <row r="34" spans="1:36" x14ac:dyDescent="0.25">
      <c r="A34" s="109" t="s">
        <v>103</v>
      </c>
      <c r="D34" s="82" t="s">
        <v>673</v>
      </c>
      <c r="F34" s="82" t="s">
        <v>667</v>
      </c>
      <c r="I34" s="126">
        <f>IF(VLOOKUP($A34,portnoy[],3,FALSE)=0, VLOOKUP($D34,Table15[],9,FALSE),VLOOKUP($A34,portnoy[],3,FALSE))</f>
        <v>4.1406000000000001</v>
      </c>
      <c r="J34" s="126">
        <f>sens_costs_regions!J$2</f>
        <v>0.36202199312714778</v>
      </c>
      <c r="K34" s="126">
        <f>sens_costs_regions!K$2</f>
        <v>0.41792411616161618</v>
      </c>
      <c r="L34" s="126">
        <f>sens_costs_regions!L$2</f>
        <v>0.48333918128654974</v>
      </c>
      <c r="M34" s="126">
        <f>sens_costs_regions!M$2</f>
        <v>0.5718158075601375</v>
      </c>
      <c r="N34" s="126">
        <f>sens_costs_regions!N$2</f>
        <v>0.65679722222222237</v>
      </c>
      <c r="O34" s="126">
        <f>sens_costs_regions!O$2</f>
        <v>0.7491286549707602</v>
      </c>
      <c r="P34" s="126">
        <f>IF(VLOOKUP($A34,Table26[],6,FALSE)=0,VLOOKUP($D34,Table15[],16,FALSE),(VLOOKUP($A34,Table26[],6,FALSE)))</f>
        <v>1.1624294898129849E-2</v>
      </c>
      <c r="Q34" s="126">
        <f>IF(VLOOKUP($A34,Table26[],5,FALSE)=0,VLOOKUP($D34,Table15[],17,FALSE),(VLOOKUP($A34,Table26[],5,FALSE)))</f>
        <v>1.7668928245157367E-2</v>
      </c>
      <c r="R34" s="126">
        <f>IF(VLOOKUP($A34,Table26[],16,FALSE)=0,VLOOKUP($D34,Table15[],18,FALSE),(VLOOKUP($A34,Table26[],16,FALSE)))</f>
        <v>0.27898307755511637</v>
      </c>
      <c r="S34" s="126">
        <f>IF(VLOOKUP($A34,Table26[],9,FALSE)=0,VLOOKUP($D34,Table15[],19,FALSE),(VLOOKUP($A34,Table26[],9,FALSE)))</f>
        <v>6.3239349438662757E-3</v>
      </c>
      <c r="T34" s="126">
        <f>IF(VLOOKUP($A34,Table26[],8,FALSE)=0,VLOOKUP($D34,Table15[],20,FALSE),(VLOOKUP($A34,Table26[],8,FALSE)))</f>
        <v>9.6123811146767383E-3</v>
      </c>
      <c r="U34" s="126">
        <f>IF(VLOOKUP($A34,Table26[],10,FALSE)=0,VLOOKUP($D34,Table15[],21,FALSE),(VLOOKUP($A34,Table26[],10,FALSE)))</f>
        <v>2.5295739775465103E-2</v>
      </c>
      <c r="V34" s="126">
        <f>VLOOKUP($F34,vaccine_costs!$AH$6:$AK$11,2,FALSE)</f>
        <v>4.83</v>
      </c>
      <c r="W34" s="126">
        <f>IF(VLOOKUP($A34,tordrup[],5,FALSE)=0,VLOOKUP($D34,Table15[],23,FALSE),VLOOKUP($A34,tordrup[],5,FALSE))</f>
        <v>25.647227045411718</v>
      </c>
      <c r="X34" s="126">
        <f>IF(VLOOKUP($A34,tordrup[],6,FALSE)=0,VLOOKUP($D34,Table15[],24,FALSE),VLOOKUP($A34,tordrup[],6,FALSE))</f>
        <v>54.867227045411717</v>
      </c>
      <c r="Y34" s="126">
        <f>IF(VLOOKUP($A34,tordrup[],7,FALSE)=0,VLOOKUP($D34,Table15[],25,FALSE),VLOOKUP($A34,tordrup[],7,FALSE))</f>
        <v>62.050613581866884</v>
      </c>
      <c r="Z34" s="126">
        <f>IF(VLOOKUP($A34,tordrup[],8,FALSE)=0,VLOOKUP($D34,Table15[],26,FALSE),VLOOKUP($A34,tordrup[],8,FALSE))</f>
        <v>60.853382492457698</v>
      </c>
      <c r="AA34" s="126">
        <v>82.4</v>
      </c>
      <c r="AB34" s="126">
        <v>408.79</v>
      </c>
      <c r="AC34" s="126">
        <v>2415.5</v>
      </c>
      <c r="AD34" s="126">
        <v>5434.91</v>
      </c>
      <c r="AF34" s="126">
        <v>0</v>
      </c>
      <c r="AG34" s="126">
        <v>1707.4624348438942</v>
      </c>
      <c r="AH34" s="126">
        <v>3414.9248696877885</v>
      </c>
      <c r="AI34" s="126">
        <v>10244.774609063366</v>
      </c>
      <c r="AJ34" s="33" t="str">
        <f>IF(VLOOKUP($A34,lmic_raw[],11,FALSE)=0, "Yes", "No")</f>
        <v>No</v>
      </c>
    </row>
    <row r="35" spans="1:36" x14ac:dyDescent="0.25">
      <c r="A35" s="110" t="s">
        <v>234</v>
      </c>
      <c r="D35" s="84" t="s">
        <v>679</v>
      </c>
      <c r="F35" s="84" t="s">
        <v>665</v>
      </c>
      <c r="I35" s="126">
        <f>IF(VLOOKUP($A35,portnoy[],3,FALSE)=0, VLOOKUP($D35,Table15[],9,FALSE),VLOOKUP($A35,portnoy[],3,FALSE))</f>
        <v>14.9556</v>
      </c>
      <c r="J35" s="126">
        <f>sens_costs_regions!J$2</f>
        <v>0.36202199312714778</v>
      </c>
      <c r="K35" s="126">
        <f>sens_costs_regions!K$2</f>
        <v>0.41792411616161618</v>
      </c>
      <c r="L35" s="126">
        <f>sens_costs_regions!L$2</f>
        <v>0.48333918128654974</v>
      </c>
      <c r="M35" s="126">
        <f>sens_costs_regions!M$2</f>
        <v>0.5718158075601375</v>
      </c>
      <c r="N35" s="126">
        <f>sens_costs_regions!N$2</f>
        <v>0.65679722222222237</v>
      </c>
      <c r="O35" s="126">
        <f>sens_costs_regions!O$2</f>
        <v>0.7491286549707602</v>
      </c>
      <c r="P35" s="126">
        <f>IF(VLOOKUP($A35,Table26[],6,FALSE)=0,VLOOKUP($D35,Table15[],16,FALSE),(VLOOKUP($A35,Table26[],6,FALSE)))</f>
        <v>1.4231216051747245E-2</v>
      </c>
      <c r="Q35" s="126">
        <f>IF(VLOOKUP($A35,Table26[],5,FALSE)=0,VLOOKUP($D35,Table15[],17,FALSE),(VLOOKUP($A35,Table26[],5,FALSE)))</f>
        <v>2.1631448398655811E-2</v>
      </c>
      <c r="R35" s="126">
        <f>IF(VLOOKUP($A35,Table26[],16,FALSE)=0,VLOOKUP($D35,Table15[],18,FALSE),(VLOOKUP($A35,Table26[],16,FALSE)))</f>
        <v>0.34154918524193384</v>
      </c>
      <c r="S35" s="126">
        <f>IF(VLOOKUP($A35,Table26[],9,FALSE)=0,VLOOKUP($D35,Table15[],19,FALSE),(VLOOKUP($A35,Table26[],9,FALSE)))</f>
        <v>8.1356011307804916E-3</v>
      </c>
      <c r="T35" s="126">
        <f>IF(VLOOKUP($A35,Table26[],8,FALSE)=0,VLOOKUP($D35,Table15[],20,FALSE),(VLOOKUP($A35,Table26[],8,FALSE)))</f>
        <v>1.2366113718786344E-2</v>
      </c>
      <c r="U35" s="126">
        <f>IF(VLOOKUP($A35,Table26[],10,FALSE)=0,VLOOKUP($D35,Table15[],21,FALSE),(VLOOKUP($A35,Table26[],10,FALSE)))</f>
        <v>3.2542404523121966E-2</v>
      </c>
      <c r="V35" s="126">
        <f>VLOOKUP($F35,vaccine_costs!$AH$6:$AK$11,2,FALSE)</f>
        <v>0.02</v>
      </c>
      <c r="W35" s="126">
        <f>IF(VLOOKUP($A35,tordrup[],5,FALSE)=0,VLOOKUP($D35,Table15[],23,FALSE),VLOOKUP($A35,tordrup[],5,FALSE))</f>
        <v>31.070711034976032</v>
      </c>
      <c r="X35" s="126">
        <f>IF(VLOOKUP($A35,tordrup[],6,FALSE)=0,VLOOKUP($D35,Table15[],24,FALSE),VLOOKUP($A35,tordrup[],6,FALSE))</f>
        <v>60.29071103497602</v>
      </c>
      <c r="Y35" s="126">
        <f>IF(VLOOKUP($A35,tordrup[],7,FALSE)=0,VLOOKUP($D35,Table15[],25,FALSE),VLOOKUP($A35,tordrup[],7,FALSE))</f>
        <v>95.940855633802272</v>
      </c>
      <c r="Z35" s="126">
        <f>IF(VLOOKUP($A35,tordrup[],8,FALSE)=0,VLOOKUP($D35,Table15[],26,FALSE),VLOOKUP($A35,tordrup[],8,FALSE))</f>
        <v>89.999164867331245</v>
      </c>
      <c r="AA35" s="126">
        <v>82.4</v>
      </c>
      <c r="AB35" s="126">
        <v>408.79</v>
      </c>
      <c r="AC35" s="126">
        <v>2415.5</v>
      </c>
      <c r="AD35" s="126">
        <v>5434.91</v>
      </c>
      <c r="AF35" s="126">
        <v>8352.2093526975095</v>
      </c>
      <c r="AG35" s="126">
        <v>4055.284255958275</v>
      </c>
      <c r="AH35" s="126">
        <v>8110.5685119165501</v>
      </c>
      <c r="AI35" s="126">
        <v>24331.70553574965</v>
      </c>
      <c r="AJ35" s="33" t="str">
        <f>IF(VLOOKUP($A35,lmic_raw[],11,FALSE)=0, "Yes", "No")</f>
        <v>No</v>
      </c>
    </row>
    <row r="36" spans="1:36" x14ac:dyDescent="0.25">
      <c r="A36" s="109" t="s">
        <v>614</v>
      </c>
      <c r="D36" s="82" t="s">
        <v>679</v>
      </c>
      <c r="F36" s="82" t="s">
        <v>665</v>
      </c>
      <c r="I36" s="126">
        <f>IF(VLOOKUP($A36,portnoy[],3,FALSE)=0, VLOOKUP($D36,Table15[],9,FALSE),VLOOKUP($A36,portnoy[],3,FALSE))</f>
        <v>4.7071000000000005</v>
      </c>
      <c r="J36" s="126">
        <f>sens_costs_regions!J$2</f>
        <v>0.36202199312714778</v>
      </c>
      <c r="K36" s="126">
        <f>sens_costs_regions!K$2</f>
        <v>0.41792411616161618</v>
      </c>
      <c r="L36" s="126">
        <f>sens_costs_regions!L$2</f>
        <v>0.48333918128654974</v>
      </c>
      <c r="M36" s="126">
        <f>sens_costs_regions!M$2</f>
        <v>0.5718158075601375</v>
      </c>
      <c r="N36" s="126">
        <f>sens_costs_regions!N$2</f>
        <v>0.65679722222222237</v>
      </c>
      <c r="O36" s="126">
        <f>sens_costs_regions!O$2</f>
        <v>0.7491286549707602</v>
      </c>
      <c r="P36" s="126">
        <f>IF(VLOOKUP($A36,Table26[],6,FALSE)=0,VLOOKUP($D36,Table15[],16,FALSE),(VLOOKUP($A36,Table26[],6,FALSE)))</f>
        <v>1.5737566942759997E-2</v>
      </c>
      <c r="Q36" s="126">
        <f>IF(VLOOKUP($A36,Table26[],5,FALSE)=0,VLOOKUP($D36,Table15[],17,FALSE),(VLOOKUP($A36,Table26[],5,FALSE)))</f>
        <v>2.3921101752995191E-2</v>
      </c>
      <c r="R36" s="126">
        <f>IF(VLOOKUP($A36,Table26[],16,FALSE)=0,VLOOKUP($D36,Table15[],18,FALSE),(VLOOKUP($A36,Table26[],16,FALSE)))</f>
        <v>0.37770160662623992</v>
      </c>
      <c r="S36" s="126">
        <f>IF(VLOOKUP($A36,Table26[],9,FALSE)=0,VLOOKUP($D36,Table15[],19,FALSE),(VLOOKUP($A36,Table26[],9,FALSE)))</f>
        <v>8.3076784468821049E-3</v>
      </c>
      <c r="T36" s="126">
        <f>IF(VLOOKUP($A36,Table26[],8,FALSE)=0,VLOOKUP($D36,Table15[],20,FALSE),(VLOOKUP($A36,Table26[],8,FALSE)))</f>
        <v>1.2627671239260799E-2</v>
      </c>
      <c r="U36" s="126">
        <f>IF(VLOOKUP($A36,Table26[],10,FALSE)=0,VLOOKUP($D36,Table15[],21,FALSE),(VLOOKUP($A36,Table26[],10,FALSE)))</f>
        <v>3.3230713787528419E-2</v>
      </c>
      <c r="V36" s="126">
        <f>VLOOKUP($F36,vaccine_costs!$AH$6:$AK$11,2,FALSE)</f>
        <v>0.02</v>
      </c>
      <c r="W36" s="126">
        <f>IF(VLOOKUP($A36,tordrup[],5,FALSE)=0,VLOOKUP($D36,Table15[],23,FALSE),VLOOKUP($A36,tordrup[],5,FALSE))</f>
        <v>30.893347215123864</v>
      </c>
      <c r="X36" s="126">
        <f>IF(VLOOKUP($A36,tordrup[],6,FALSE)=0,VLOOKUP($D36,Table15[],24,FALSE),VLOOKUP($A36,tordrup[],6,FALSE))</f>
        <v>60.113347215123866</v>
      </c>
      <c r="Y36" s="126">
        <f>IF(VLOOKUP($A36,tordrup[],7,FALSE)=0,VLOOKUP($D36,Table15[],25,FALSE),VLOOKUP($A36,tordrup[],7,FALSE))</f>
        <v>98.192346074129944</v>
      </c>
      <c r="Z36" s="126">
        <f>IF(VLOOKUP($A36,tordrup[],8,FALSE)=0,VLOOKUP($D36,Table15[],26,FALSE),VLOOKUP($A36,tordrup[],8,FALSE))</f>
        <v>91.845846264295602</v>
      </c>
      <c r="AA36" s="126">
        <v>82.4</v>
      </c>
      <c r="AB36" s="126">
        <v>408.79</v>
      </c>
      <c r="AC36" s="126">
        <v>2415.5</v>
      </c>
      <c r="AD36" s="126">
        <v>5434.91</v>
      </c>
      <c r="AF36" s="126">
        <v>8352.2093526975095</v>
      </c>
      <c r="AG36" s="126">
        <v>4141.0581796766182</v>
      </c>
      <c r="AH36" s="126">
        <v>8282.1163593532365</v>
      </c>
      <c r="AI36" s="126">
        <v>24846.349078059709</v>
      </c>
      <c r="AJ36" s="33" t="str">
        <f>IF(VLOOKUP($A36,lmic_raw[],11,FALSE)=0, "Yes", "No")</f>
        <v>No</v>
      </c>
    </row>
    <row r="37" spans="1:36" x14ac:dyDescent="0.25">
      <c r="A37" s="110" t="s">
        <v>267</v>
      </c>
      <c r="D37" s="84" t="s">
        <v>679</v>
      </c>
      <c r="F37" s="84" t="s">
        <v>665</v>
      </c>
      <c r="I37" s="126">
        <f>IF(VLOOKUP($A37,portnoy[],3,FALSE)=0, VLOOKUP($D37,Table15[],9,FALSE),VLOOKUP($A37,portnoy[],3,FALSE))</f>
        <v>3.1208999999999998</v>
      </c>
      <c r="J37" s="126">
        <f>sens_costs_regions!J$2</f>
        <v>0.36202199312714778</v>
      </c>
      <c r="K37" s="126">
        <f>sens_costs_regions!K$2</f>
        <v>0.41792411616161618</v>
      </c>
      <c r="L37" s="126">
        <f>sens_costs_regions!L$2</f>
        <v>0.48333918128654974</v>
      </c>
      <c r="M37" s="126">
        <f>sens_costs_regions!M$2</f>
        <v>0.5718158075601375</v>
      </c>
      <c r="N37" s="126">
        <f>sens_costs_regions!N$2</f>
        <v>0.65679722222222237</v>
      </c>
      <c r="O37" s="126">
        <f>sens_costs_regions!O$2</f>
        <v>0.7491286549707602</v>
      </c>
      <c r="P37" s="126">
        <f>IF(VLOOKUP($A37,Table26[],6,FALSE)=0,VLOOKUP($D37,Table15[],16,FALSE),(VLOOKUP($A37,Table26[],6,FALSE)))</f>
        <v>1.1566952509549394E-2</v>
      </c>
      <c r="Q37" s="126">
        <f>IF(VLOOKUP($A37,Table26[],5,FALSE)=0,VLOOKUP($D37,Table15[],17,FALSE),(VLOOKUP($A37,Table26[],5,FALSE)))</f>
        <v>1.7581767814515079E-2</v>
      </c>
      <c r="R37" s="126">
        <f>IF(VLOOKUP($A37,Table26[],16,FALSE)=0,VLOOKUP($D37,Table15[],18,FALSE),(VLOOKUP($A37,Table26[],16,FALSE)))</f>
        <v>0.27760686022918546</v>
      </c>
      <c r="S37" s="126">
        <f>IF(VLOOKUP($A37,Table26[],9,FALSE)=0,VLOOKUP($D37,Table15[],19,FALSE),(VLOOKUP($A37,Table26[],9,FALSE)))</f>
        <v>6.2029097008242697E-3</v>
      </c>
      <c r="T37" s="126">
        <f>IF(VLOOKUP($A37,Table26[],8,FALSE)=0,VLOOKUP($D37,Table15[],20,FALSE),(VLOOKUP($A37,Table26[],8,FALSE)))</f>
        <v>9.4284227452528895E-3</v>
      </c>
      <c r="U37" s="126">
        <f>IF(VLOOKUP($A37,Table26[],10,FALSE)=0,VLOOKUP($D37,Table15[],21,FALSE),(VLOOKUP($A37,Table26[],10,FALSE)))</f>
        <v>2.4811638803297079E-2</v>
      </c>
      <c r="V37" s="126">
        <f>VLOOKUP($F37,vaccine_costs!$AH$6:$AK$11,2,FALSE)</f>
        <v>0.02</v>
      </c>
      <c r="W37" s="126">
        <f>IF(VLOOKUP($A37,tordrup[],5,FALSE)=0,VLOOKUP($D37,Table15[],23,FALSE),VLOOKUP($A37,tordrup[],5,FALSE))</f>
        <v>31.070711034976032</v>
      </c>
      <c r="X37" s="126">
        <f>IF(VLOOKUP($A37,tordrup[],6,FALSE)=0,VLOOKUP($D37,Table15[],24,FALSE),VLOOKUP($A37,tordrup[],6,FALSE))</f>
        <v>60.29071103497602</v>
      </c>
      <c r="Y37" s="126">
        <f>IF(VLOOKUP($A37,tordrup[],7,FALSE)=0,VLOOKUP($D37,Table15[],25,FALSE),VLOOKUP($A37,tordrup[],7,FALSE))</f>
        <v>95.940855633802272</v>
      </c>
      <c r="Z37" s="126">
        <f>IF(VLOOKUP($A37,tordrup[],8,FALSE)=0,VLOOKUP($D37,Table15[],26,FALSE),VLOOKUP($A37,tordrup[],8,FALSE))</f>
        <v>89.999164867331245</v>
      </c>
      <c r="AA37" s="126">
        <v>82.4</v>
      </c>
      <c r="AB37" s="126">
        <v>408.79</v>
      </c>
      <c r="AC37" s="126">
        <v>2415.5</v>
      </c>
      <c r="AD37" s="126">
        <v>5434.91</v>
      </c>
      <c r="AF37" s="126">
        <v>5747.7273724220386</v>
      </c>
      <c r="AG37" s="126">
        <v>3091.9119124108665</v>
      </c>
      <c r="AH37" s="126">
        <v>6183.8238248217331</v>
      </c>
      <c r="AI37" s="126">
        <v>18551.471474465201</v>
      </c>
      <c r="AJ37" s="33" t="str">
        <f>IF(VLOOKUP($A37,lmic_raw[],11,FALSE)=0, "Yes", "No")</f>
        <v>No</v>
      </c>
    </row>
    <row r="38" spans="1:36" x14ac:dyDescent="0.25">
      <c r="A38" s="109" t="s">
        <v>158</v>
      </c>
      <c r="D38" s="82" t="s">
        <v>673</v>
      </c>
      <c r="F38" s="82" t="s">
        <v>579</v>
      </c>
      <c r="I38" s="126">
        <f>IF(VLOOKUP($A38,portnoy[],3,FALSE)=0, VLOOKUP($D38,Table15[],9,FALSE),VLOOKUP($A38,portnoy[],3,FALSE))</f>
        <v>2.3174999999999999</v>
      </c>
      <c r="J38" s="126">
        <f>sens_costs_regions!J$2</f>
        <v>0.36202199312714778</v>
      </c>
      <c r="K38" s="126">
        <f>sens_costs_regions!K$2</f>
        <v>0.41792411616161618</v>
      </c>
      <c r="L38" s="126">
        <f>sens_costs_regions!L$2</f>
        <v>0.48333918128654974</v>
      </c>
      <c r="M38" s="126">
        <f>sens_costs_regions!M$2</f>
        <v>0.5718158075601375</v>
      </c>
      <c r="N38" s="126">
        <f>sens_costs_regions!N$2</f>
        <v>0.65679722222222237</v>
      </c>
      <c r="O38" s="126">
        <f>sens_costs_regions!O$2</f>
        <v>0.7491286549707602</v>
      </c>
      <c r="P38" s="126">
        <f>IF(VLOOKUP($A38,Table26[],6,FALSE)=0,VLOOKUP($D38,Table15[],16,FALSE),(VLOOKUP($A38,Table26[],6,FALSE)))</f>
        <v>1.0182989474303523E-2</v>
      </c>
      <c r="Q38" s="126">
        <f>IF(VLOOKUP($A38,Table26[],5,FALSE)=0,VLOOKUP($D38,Table15[],17,FALSE),(VLOOKUP($A38,Table26[],5,FALSE)))</f>
        <v>1.5478144000941352E-2</v>
      </c>
      <c r="R38" s="126">
        <f>IF(VLOOKUP($A38,Table26[],16,FALSE)=0,VLOOKUP($D38,Table15[],18,FALSE),(VLOOKUP($A38,Table26[],16,FALSE)))</f>
        <v>0.24439174738328454</v>
      </c>
      <c r="S38" s="126">
        <f>IF(VLOOKUP($A38,Table26[],9,FALSE)=0,VLOOKUP($D38,Table15[],19,FALSE),(VLOOKUP($A38,Table26[],9,FALSE)))</f>
        <v>5.5911219048473283E-3</v>
      </c>
      <c r="T38" s="126">
        <f>IF(VLOOKUP($A38,Table26[],8,FALSE)=0,VLOOKUP($D38,Table15[],20,FALSE),(VLOOKUP($A38,Table26[],8,FALSE)))</f>
        <v>8.4985052953679384E-3</v>
      </c>
      <c r="U38" s="126">
        <f>IF(VLOOKUP($A38,Table26[],10,FALSE)=0,VLOOKUP($D38,Table15[],21,FALSE),(VLOOKUP($A38,Table26[],10,FALSE)))</f>
        <v>2.2364487619389313E-2</v>
      </c>
      <c r="V38" s="126">
        <f>VLOOKUP($F38,vaccine_costs!$AH$6:$AK$11,2,FALSE)</f>
        <v>0.48</v>
      </c>
      <c r="W38" s="126">
        <f>IF(VLOOKUP($A38,tordrup[],5,FALSE)=0,VLOOKUP($D38,Table15[],23,FALSE),VLOOKUP($A38,tordrup[],5,FALSE))</f>
        <v>27.946124842166366</v>
      </c>
      <c r="X38" s="126">
        <f>IF(VLOOKUP($A38,tordrup[],6,FALSE)=0,VLOOKUP($D38,Table15[],24,FALSE),VLOOKUP($A38,tordrup[],6,FALSE))</f>
        <v>57.166124842166361</v>
      </c>
      <c r="Y38" s="126">
        <f>IF(VLOOKUP($A38,tordrup[],7,FALSE)=0,VLOOKUP($D38,Table15[],25,FALSE),VLOOKUP($A38,tordrup[],7,FALSE))</f>
        <v>81.511557031470105</v>
      </c>
      <c r="Z38" s="126">
        <f>IF(VLOOKUP($A38,tordrup[],8,FALSE)=0,VLOOKUP($D38,Table15[],26,FALSE),VLOOKUP($A38,tordrup[],8,FALSE))</f>
        <v>77.453984999919484</v>
      </c>
      <c r="AA38" s="126">
        <v>82.4</v>
      </c>
      <c r="AB38" s="126">
        <v>408.79</v>
      </c>
      <c r="AC38" s="126">
        <v>2415.5</v>
      </c>
      <c r="AD38" s="126">
        <v>5434.91</v>
      </c>
      <c r="AF38" s="126">
        <v>1245.7465477794647</v>
      </c>
      <c r="AG38" s="126">
        <v>1509.6029143087785</v>
      </c>
      <c r="AH38" s="126">
        <v>3019.205828617557</v>
      </c>
      <c r="AI38" s="126">
        <v>9057.617485852672</v>
      </c>
      <c r="AJ38" s="33" t="str">
        <f>IF(VLOOKUP($A38,lmic_raw[],11,FALSE)=0, "Yes", "No")</f>
        <v>No</v>
      </c>
    </row>
    <row r="39" spans="1:36" x14ac:dyDescent="0.25">
      <c r="A39" s="110" t="s">
        <v>255</v>
      </c>
      <c r="D39" s="84" t="s">
        <v>679</v>
      </c>
      <c r="F39" s="84" t="s">
        <v>665</v>
      </c>
      <c r="I39" s="126">
        <f>IF(VLOOKUP($A39,portnoy[],3,FALSE)=0, VLOOKUP($D39,Table15[],9,FALSE),VLOOKUP($A39,portnoy[],3,FALSE))</f>
        <v>2.9457999999999998</v>
      </c>
      <c r="J39" s="126">
        <f>sens_costs_regions!J$2</f>
        <v>0.36202199312714778</v>
      </c>
      <c r="K39" s="126">
        <f>sens_costs_regions!K$2</f>
        <v>0.41792411616161618</v>
      </c>
      <c r="L39" s="126">
        <f>sens_costs_regions!L$2</f>
        <v>0.48333918128654974</v>
      </c>
      <c r="M39" s="126">
        <f>sens_costs_regions!M$2</f>
        <v>0.5718158075601375</v>
      </c>
      <c r="N39" s="126">
        <f>sens_costs_regions!N$2</f>
        <v>0.65679722222222237</v>
      </c>
      <c r="O39" s="126">
        <f>sens_costs_regions!O$2</f>
        <v>0.7491286549707602</v>
      </c>
      <c r="P39" s="126">
        <f>IF(VLOOKUP($A39,Table26[],6,FALSE)=0,VLOOKUP($D39,Table15[],16,FALSE),(VLOOKUP($A39,Table26[],6,FALSE)))</f>
        <v>1.490909600536686E-2</v>
      </c>
      <c r="Q39" s="126">
        <f>IF(VLOOKUP($A39,Table26[],5,FALSE)=0,VLOOKUP($D39,Table15[],17,FALSE),(VLOOKUP($A39,Table26[],5,FALSE)))</f>
        <v>2.2661825928157627E-2</v>
      </c>
      <c r="R39" s="126">
        <f>IF(VLOOKUP($A39,Table26[],16,FALSE)=0,VLOOKUP($D39,Table15[],18,FALSE),(VLOOKUP($A39,Table26[],16,FALSE)))</f>
        <v>0.35781830412880467</v>
      </c>
      <c r="S39" s="126">
        <f>IF(VLOOKUP($A39,Table26[],9,FALSE)=0,VLOOKUP($D39,Table15[],19,FALSE),(VLOOKUP($A39,Table26[],9,FALSE)))</f>
        <v>7.7541667242720293E-3</v>
      </c>
      <c r="T39" s="126">
        <f>IF(VLOOKUP($A39,Table26[],8,FALSE)=0,VLOOKUP($D39,Table15[],20,FALSE),(VLOOKUP($A39,Table26[],8,FALSE)))</f>
        <v>1.1786333420893483E-2</v>
      </c>
      <c r="U39" s="126">
        <f>IF(VLOOKUP($A39,Table26[],10,FALSE)=0,VLOOKUP($D39,Table15[],21,FALSE),(VLOOKUP($A39,Table26[],10,FALSE)))</f>
        <v>3.1016666897088117E-2</v>
      </c>
      <c r="V39" s="126">
        <f>VLOOKUP($F39,vaccine_costs!$AH$6:$AK$11,2,FALSE)</f>
        <v>0.02</v>
      </c>
      <c r="W39" s="126">
        <f>IF(VLOOKUP($A39,tordrup[],5,FALSE)=0,VLOOKUP($D39,Table15[],23,FALSE),VLOOKUP($A39,tordrup[],5,FALSE))</f>
        <v>31.070711034976032</v>
      </c>
      <c r="X39" s="126">
        <f>IF(VLOOKUP($A39,tordrup[],6,FALSE)=0,VLOOKUP($D39,Table15[],24,FALSE),VLOOKUP($A39,tordrup[],6,FALSE))</f>
        <v>60.29071103497602</v>
      </c>
      <c r="Y39" s="126">
        <f>IF(VLOOKUP($A39,tordrup[],7,FALSE)=0,VLOOKUP($D39,Table15[],25,FALSE),VLOOKUP($A39,tordrup[],7,FALSE))</f>
        <v>95.940855633802272</v>
      </c>
      <c r="Z39" s="126">
        <f>IF(VLOOKUP($A39,tordrup[],8,FALSE)=0,VLOOKUP($D39,Table15[],26,FALSE),VLOOKUP($A39,tordrup[],8,FALSE))</f>
        <v>89.999164867331245</v>
      </c>
      <c r="AA39" s="126">
        <v>82.4</v>
      </c>
      <c r="AB39" s="126">
        <v>408.79</v>
      </c>
      <c r="AC39" s="126">
        <v>2415.5</v>
      </c>
      <c r="AD39" s="126">
        <v>5434.91</v>
      </c>
      <c r="AF39" s="126">
        <v>3359.2360805361373</v>
      </c>
      <c r="AG39" s="126">
        <v>2093.6250155534481</v>
      </c>
      <c r="AH39" s="126">
        <v>4187.2500311068961</v>
      </c>
      <c r="AI39" s="126">
        <v>12561.750093320688</v>
      </c>
      <c r="AJ39" s="33" t="str">
        <f>IF(VLOOKUP($A39,lmic_raw[],11,FALSE)=0, "Yes", "No")</f>
        <v>No</v>
      </c>
    </row>
    <row r="40" spans="1:36" x14ac:dyDescent="0.25">
      <c r="A40" s="109" t="s">
        <v>128</v>
      </c>
      <c r="D40" s="82" t="s">
        <v>677</v>
      </c>
      <c r="F40" s="82" t="s">
        <v>667</v>
      </c>
      <c r="I40" s="126">
        <f>IF(VLOOKUP($A40,portnoy[],3,FALSE)=0, VLOOKUP($D40,Table15[],9,FALSE),VLOOKUP($A40,portnoy[],3,FALSE))</f>
        <v>1.4419999999999999</v>
      </c>
      <c r="J40" s="126">
        <f>sens_costs_regions!J$2</f>
        <v>0.36202199312714778</v>
      </c>
      <c r="K40" s="126">
        <f>sens_costs_regions!K$2</f>
        <v>0.41792411616161618</v>
      </c>
      <c r="L40" s="126">
        <f>sens_costs_regions!L$2</f>
        <v>0.48333918128654974</v>
      </c>
      <c r="M40" s="126">
        <f>sens_costs_regions!M$2</f>
        <v>0.5718158075601375</v>
      </c>
      <c r="N40" s="126">
        <f>sens_costs_regions!N$2</f>
        <v>0.65679722222222237</v>
      </c>
      <c r="O40" s="126">
        <f>sens_costs_regions!O$2</f>
        <v>0.7491286549707602</v>
      </c>
      <c r="P40" s="126">
        <f>IF(VLOOKUP($A40,Table26[],6,FALSE)=0,VLOOKUP($D40,Table15[],16,FALSE),(VLOOKUP($A40,Table26[],6,FALSE)))</f>
        <v>1.5199325810339968E-2</v>
      </c>
      <c r="Q40" s="126">
        <f>IF(VLOOKUP($A40,Table26[],5,FALSE)=0,VLOOKUP($D40,Table15[],17,FALSE),(VLOOKUP($A40,Table26[],5,FALSE)))</f>
        <v>2.3102975231716751E-2</v>
      </c>
      <c r="R40" s="126">
        <f>IF(VLOOKUP($A40,Table26[],16,FALSE)=0,VLOOKUP($D40,Table15[],18,FALSE),(VLOOKUP($A40,Table26[],16,FALSE)))</f>
        <v>0.36478381944815924</v>
      </c>
      <c r="S40" s="126">
        <f>IF(VLOOKUP($A40,Table26[],9,FALSE)=0,VLOOKUP($D40,Table15[],19,FALSE),(VLOOKUP($A40,Table26[],9,FALSE)))</f>
        <v>8.1570224186279707E-3</v>
      </c>
      <c r="T40" s="126">
        <f>IF(VLOOKUP($A40,Table26[],8,FALSE)=0,VLOOKUP($D40,Table15[],20,FALSE),(VLOOKUP($A40,Table26[],8,FALSE)))</f>
        <v>1.2398674076314514E-2</v>
      </c>
      <c r="U40" s="126">
        <f>IF(VLOOKUP($A40,Table26[],10,FALSE)=0,VLOOKUP($D40,Table15[],21,FALSE),(VLOOKUP($A40,Table26[],10,FALSE)))</f>
        <v>3.2628089674511883E-2</v>
      </c>
      <c r="V40" s="126">
        <f>VLOOKUP($F40,vaccine_costs!$AH$6:$AK$11,2,FALSE)</f>
        <v>4.83</v>
      </c>
      <c r="W40" s="126">
        <f>IF(VLOOKUP($A40,tordrup[],5,FALSE)=0,VLOOKUP($D40,Table15[],23,FALSE),VLOOKUP($A40,tordrup[],5,FALSE))</f>
        <v>26.044512197590766</v>
      </c>
      <c r="X40" s="126">
        <f>IF(VLOOKUP($A40,tordrup[],6,FALSE)=0,VLOOKUP($D40,Table15[],24,FALSE),VLOOKUP($A40,tordrup[],6,FALSE))</f>
        <v>55.264512197590776</v>
      </c>
      <c r="Y40" s="126">
        <f>IF(VLOOKUP($A40,tordrup[],7,FALSE)=0,VLOOKUP($D40,Table15[],25,FALSE),VLOOKUP($A40,tordrup[],7,FALSE))</f>
        <v>66.30770473986702</v>
      </c>
      <c r="Z40" s="126">
        <f>IF(VLOOKUP($A40,tordrup[],8,FALSE)=0,VLOOKUP($D40,Table15[],26,FALSE),VLOOKUP($A40,tordrup[],8,FALSE))</f>
        <v>64.467172649487651</v>
      </c>
      <c r="AA40" s="126">
        <v>82.4</v>
      </c>
      <c r="AB40" s="126">
        <v>408.79</v>
      </c>
      <c r="AC40" s="126">
        <v>2415.5</v>
      </c>
      <c r="AD40" s="126">
        <v>5434.91</v>
      </c>
      <c r="AF40" s="126">
        <v>0</v>
      </c>
      <c r="AG40" s="126">
        <v>4065.9619440545575</v>
      </c>
      <c r="AH40" s="126">
        <v>8131.9238881091151</v>
      </c>
      <c r="AI40" s="126">
        <v>24395.771664327345</v>
      </c>
      <c r="AJ40" s="33" t="str">
        <f>IF(VLOOKUP($A40,lmic_raw[],11,FALSE)=0, "Yes", "No")</f>
        <v>Yes</v>
      </c>
    </row>
    <row r="41" spans="1:36" x14ac:dyDescent="0.25">
      <c r="A41" s="110" t="s">
        <v>104</v>
      </c>
      <c r="D41" s="84" t="s">
        <v>677</v>
      </c>
      <c r="F41" s="84" t="s">
        <v>667</v>
      </c>
      <c r="I41" s="126">
        <f>IF(VLOOKUP($A41,portnoy[],3,FALSE)=0, VLOOKUP($D41,Table15[],9,FALSE),VLOOKUP($A41,portnoy[],3,FALSE))</f>
        <v>3.5844</v>
      </c>
      <c r="J41" s="126">
        <f>sens_costs_regions!J$2</f>
        <v>0.36202199312714778</v>
      </c>
      <c r="K41" s="126">
        <f>sens_costs_regions!K$2</f>
        <v>0.41792411616161618</v>
      </c>
      <c r="L41" s="126">
        <f>sens_costs_regions!L$2</f>
        <v>0.48333918128654974</v>
      </c>
      <c r="M41" s="126">
        <f>sens_costs_regions!M$2</f>
        <v>0.5718158075601375</v>
      </c>
      <c r="N41" s="126">
        <f>sens_costs_regions!N$2</f>
        <v>0.65679722222222237</v>
      </c>
      <c r="O41" s="126">
        <f>sens_costs_regions!O$2</f>
        <v>0.7491286549707602</v>
      </c>
      <c r="P41" s="126">
        <f>IF(VLOOKUP($A41,Table26[],6,FALSE)=0,VLOOKUP($D41,Table15[],16,FALSE),(VLOOKUP($A41,Table26[],6,FALSE)))</f>
        <v>3.2019699539167067E-3</v>
      </c>
      <c r="Q41" s="126">
        <f>IF(VLOOKUP($A41,Table26[],5,FALSE)=0,VLOOKUP($D41,Table15[],17,FALSE),(VLOOKUP($A41,Table26[],5,FALSE)))</f>
        <v>4.866994329953394E-3</v>
      </c>
      <c r="R41" s="126">
        <f>IF(VLOOKUP($A41,Table26[],16,FALSE)=0,VLOOKUP($D41,Table15[],18,FALSE),(VLOOKUP($A41,Table26[],16,FALSE)))</f>
        <v>7.6847278894000962E-2</v>
      </c>
      <c r="S41" s="126">
        <f>IF(VLOOKUP($A41,Table26[],9,FALSE)=0,VLOOKUP($D41,Table15[],19,FALSE),(VLOOKUP($A41,Table26[],9,FALSE)))</f>
        <v>1.8343197056602386E-3</v>
      </c>
      <c r="T41" s="126">
        <f>IF(VLOOKUP($A41,Table26[],8,FALSE)=0,VLOOKUP($D41,Table15[],20,FALSE),(VLOOKUP($A41,Table26[],8,FALSE)))</f>
        <v>2.7881659526035624E-3</v>
      </c>
      <c r="U41" s="126">
        <f>IF(VLOOKUP($A41,Table26[],10,FALSE)=0,VLOOKUP($D41,Table15[],21,FALSE),(VLOOKUP($A41,Table26[],10,FALSE)))</f>
        <v>7.3372788226409545E-3</v>
      </c>
      <c r="V41" s="126">
        <f>VLOOKUP($F41,vaccine_costs!$AH$6:$AK$11,2,FALSE)</f>
        <v>4.83</v>
      </c>
      <c r="W41" s="126">
        <f>IF(VLOOKUP($A41,tordrup[],5,FALSE)=0,VLOOKUP($D41,Table15[],23,FALSE),VLOOKUP($A41,tordrup[],5,FALSE))</f>
        <v>23.617619468441635</v>
      </c>
      <c r="X41" s="126">
        <f>IF(VLOOKUP($A41,tordrup[],6,FALSE)=0,VLOOKUP($D41,Table15[],24,FALSE),VLOOKUP($A41,tordrup[],6,FALSE))</f>
        <v>52.83761946844163</v>
      </c>
      <c r="Y41" s="126">
        <f>IF(VLOOKUP($A41,tordrup[],7,FALSE)=0,VLOOKUP($D41,Table15[],25,FALSE),VLOOKUP($A41,tordrup[],7,FALSE))</f>
        <v>53.479972462977429</v>
      </c>
      <c r="Z41" s="126">
        <f>IF(VLOOKUP($A41,tordrup[],8,FALSE)=0,VLOOKUP($D41,Table15[],26,FALSE),VLOOKUP($A41,tordrup[],8,FALSE))</f>
        <v>53.372913630554798</v>
      </c>
      <c r="AA41" s="126">
        <v>82.4</v>
      </c>
      <c r="AB41" s="126">
        <v>408.79</v>
      </c>
      <c r="AC41" s="126">
        <v>2415.5</v>
      </c>
      <c r="AD41" s="126">
        <v>5434.91</v>
      </c>
      <c r="AF41" s="126">
        <v>141.61823973590711</v>
      </c>
      <c r="AG41" s="126">
        <v>321.2538295318472</v>
      </c>
      <c r="AH41" s="126">
        <v>642.5076590636944</v>
      </c>
      <c r="AI41" s="126">
        <v>1927.5229771910831</v>
      </c>
      <c r="AJ41" s="33" t="str">
        <f>IF(VLOOKUP($A41,lmic_raw[],11,FALSE)=0, "Yes", "No")</f>
        <v>Yes</v>
      </c>
    </row>
    <row r="42" spans="1:36" x14ac:dyDescent="0.25">
      <c r="A42" s="109" t="s">
        <v>133</v>
      </c>
      <c r="D42" s="82" t="s">
        <v>677</v>
      </c>
      <c r="F42" s="82" t="s">
        <v>667</v>
      </c>
      <c r="I42" s="126">
        <f>IF(VLOOKUP($A42,portnoy[],3,FALSE)=0, VLOOKUP($D42,Table15[],9,FALSE),VLOOKUP($A42,portnoy[],3,FALSE))</f>
        <v>5.8503999999999996</v>
      </c>
      <c r="J42" s="126">
        <f>sens_costs_regions!J$2</f>
        <v>0.36202199312714778</v>
      </c>
      <c r="K42" s="126">
        <f>sens_costs_regions!K$2</f>
        <v>0.41792411616161618</v>
      </c>
      <c r="L42" s="126">
        <f>sens_costs_regions!L$2</f>
        <v>0.48333918128654974</v>
      </c>
      <c r="M42" s="126">
        <f>sens_costs_regions!M$2</f>
        <v>0.5718158075601375</v>
      </c>
      <c r="N42" s="126">
        <f>sens_costs_regions!N$2</f>
        <v>0.65679722222222237</v>
      </c>
      <c r="O42" s="126">
        <f>sens_costs_regions!O$2</f>
        <v>0.7491286549707602</v>
      </c>
      <c r="P42" s="126">
        <f>IF(VLOOKUP($A42,Table26[],6,FALSE)=0,VLOOKUP($D42,Table15[],16,FALSE),(VLOOKUP($A42,Table26[],6,FALSE)))</f>
        <v>1.2820669251203311E-2</v>
      </c>
      <c r="Q42" s="126">
        <f>IF(VLOOKUP($A42,Table26[],5,FALSE)=0,VLOOKUP($D42,Table15[],17,FALSE),(VLOOKUP($A42,Table26[],5,FALSE)))</f>
        <v>1.9487417261829031E-2</v>
      </c>
      <c r="R42" s="126">
        <f>IF(VLOOKUP($A42,Table26[],16,FALSE)=0,VLOOKUP($D42,Table15[],18,FALSE),(VLOOKUP($A42,Table26[],16,FALSE)))</f>
        <v>0.3076960620288795</v>
      </c>
      <c r="S42" s="126">
        <f>IF(VLOOKUP($A42,Table26[],9,FALSE)=0,VLOOKUP($D42,Table15[],19,FALSE),(VLOOKUP($A42,Table26[],9,FALSE)))</f>
        <v>7.212370012693101E-3</v>
      </c>
      <c r="T42" s="126">
        <f>IF(VLOOKUP($A42,Table26[],8,FALSE)=0,VLOOKUP($D42,Table15[],20,FALSE),(VLOOKUP($A42,Table26[],8,FALSE)))</f>
        <v>1.0962802419293512E-2</v>
      </c>
      <c r="U42" s="126">
        <f>IF(VLOOKUP($A42,Table26[],10,FALSE)=0,VLOOKUP($D42,Table15[],21,FALSE),(VLOOKUP($A42,Table26[],10,FALSE)))</f>
        <v>2.8849480050772404E-2</v>
      </c>
      <c r="V42" s="126">
        <f>VLOOKUP($F42,vaccine_costs!$AH$6:$AK$11,2,FALSE)</f>
        <v>4.83</v>
      </c>
      <c r="W42" s="126">
        <f>IF(VLOOKUP($A42,tordrup[],5,FALSE)=0,VLOOKUP($D42,Table15[],23,FALSE),VLOOKUP($A42,tordrup[],5,FALSE))</f>
        <v>28.032906127113396</v>
      </c>
      <c r="X42" s="126">
        <f>IF(VLOOKUP($A42,tordrup[],6,FALSE)=0,VLOOKUP($D42,Table15[],24,FALSE),VLOOKUP($A42,tordrup[],6,FALSE))</f>
        <v>57.252906127113391</v>
      </c>
      <c r="Y42" s="126">
        <f>IF(VLOOKUP($A42,tordrup[],7,FALSE)=0,VLOOKUP($D42,Table15[],25,FALSE),VLOOKUP($A42,tordrup[],7,FALSE))</f>
        <v>76.593998121124088</v>
      </c>
      <c r="Z42" s="126">
        <f>IF(VLOOKUP($A42,tordrup[],8,FALSE)=0,VLOOKUP($D42,Table15[],26,FALSE),VLOOKUP($A42,tordrup[],8,FALSE))</f>
        <v>73.370482788788976</v>
      </c>
      <c r="AA42" s="126">
        <v>82.4</v>
      </c>
      <c r="AB42" s="126">
        <v>408.79</v>
      </c>
      <c r="AC42" s="126">
        <v>2415.5</v>
      </c>
      <c r="AD42" s="126">
        <v>5434.91</v>
      </c>
      <c r="AF42" s="126">
        <v>1758.0001983946765</v>
      </c>
      <c r="AG42" s="126">
        <v>1947.3399034271374</v>
      </c>
      <c r="AH42" s="126">
        <v>3894.6798068542748</v>
      </c>
      <c r="AI42" s="126">
        <v>11684.039420562825</v>
      </c>
      <c r="AJ42" s="33" t="str">
        <f>IF(VLOOKUP($A42,lmic_raw[],11,FALSE)=0, "Yes", "No")</f>
        <v>Yes</v>
      </c>
    </row>
    <row r="43" spans="1:36" x14ac:dyDescent="0.25">
      <c r="A43" s="110" t="s">
        <v>105</v>
      </c>
      <c r="D43" s="84" t="s">
        <v>677</v>
      </c>
      <c r="F43" s="84" t="s">
        <v>667</v>
      </c>
      <c r="I43" s="126">
        <f>IF(VLOOKUP($A43,portnoy[],3,FALSE)=0, VLOOKUP($D43,Table15[],9,FALSE),VLOOKUP($A43,portnoy[],3,FALSE))</f>
        <v>0.8034</v>
      </c>
      <c r="J43" s="126">
        <f>sens_costs_regions!J$2</f>
        <v>0.36202199312714778</v>
      </c>
      <c r="K43" s="126">
        <f>sens_costs_regions!K$2</f>
        <v>0.41792411616161618</v>
      </c>
      <c r="L43" s="126">
        <f>sens_costs_regions!L$2</f>
        <v>0.48333918128654974</v>
      </c>
      <c r="M43" s="126">
        <f>sens_costs_regions!M$2</f>
        <v>0.5718158075601375</v>
      </c>
      <c r="N43" s="126">
        <f>sens_costs_regions!N$2</f>
        <v>0.65679722222222237</v>
      </c>
      <c r="O43" s="126">
        <f>sens_costs_regions!O$2</f>
        <v>0.7491286549707602</v>
      </c>
      <c r="P43" s="126">
        <f>IF(VLOOKUP($A43,Table26[],6,FALSE)=0,VLOOKUP($D43,Table15[],16,FALSE),(VLOOKUP($A43,Table26[],6,FALSE)))</f>
        <v>4.3159686228601748E-3</v>
      </c>
      <c r="Q43" s="126">
        <f>IF(VLOOKUP($A43,Table26[],5,FALSE)=0,VLOOKUP($D43,Table15[],17,FALSE),(VLOOKUP($A43,Table26[],5,FALSE)))</f>
        <v>6.5602723067474649E-3</v>
      </c>
      <c r="R43" s="126">
        <f>IF(VLOOKUP($A43,Table26[],16,FALSE)=0,VLOOKUP($D43,Table15[],18,FALSE),(VLOOKUP($A43,Table26[],16,FALSE)))</f>
        <v>0.10358324694864419</v>
      </c>
      <c r="S43" s="126">
        <f>IF(VLOOKUP($A43,Table26[],9,FALSE)=0,VLOOKUP($D43,Table15[],19,FALSE),(VLOOKUP($A43,Table26[],9,FALSE)))</f>
        <v>2.4431444370672075E-3</v>
      </c>
      <c r="T43" s="126">
        <f>IF(VLOOKUP($A43,Table26[],8,FALSE)=0,VLOOKUP($D43,Table15[],20,FALSE),(VLOOKUP($A43,Table26[],8,FALSE)))</f>
        <v>3.7135795443421554E-3</v>
      </c>
      <c r="U43" s="126">
        <f>IF(VLOOKUP($A43,Table26[],10,FALSE)=0,VLOOKUP($D43,Table15[],21,FALSE),(VLOOKUP($A43,Table26[],10,FALSE)))</f>
        <v>9.7725777482688299E-3</v>
      </c>
      <c r="V43" s="126">
        <f>VLOOKUP($F43,vaccine_costs!$AH$6:$AK$11,2,FALSE)</f>
        <v>4.83</v>
      </c>
      <c r="W43" s="126">
        <f>IF(VLOOKUP($A43,tordrup[],5,FALSE)=0,VLOOKUP($D43,Table15[],23,FALSE),VLOOKUP($A43,tordrup[],5,FALSE))</f>
        <v>23.843131421438311</v>
      </c>
      <c r="X43" s="126">
        <f>IF(VLOOKUP($A43,tordrup[],6,FALSE)=0,VLOOKUP($D43,Table15[],24,FALSE),VLOOKUP($A43,tordrup[],6,FALSE))</f>
        <v>53.063131421438314</v>
      </c>
      <c r="Y43" s="126">
        <f>IF(VLOOKUP($A43,tordrup[],7,FALSE)=0,VLOOKUP($D43,Table15[],25,FALSE),VLOOKUP($A43,tordrup[],7,FALSE))</f>
        <v>54.379171702926286</v>
      </c>
      <c r="Z43" s="126">
        <f>IF(VLOOKUP($A43,tordrup[],8,FALSE)=0,VLOOKUP($D43,Table15[],26,FALSE),VLOOKUP($A43,tordrup[],8,FALSE))</f>
        <v>54.159831656011619</v>
      </c>
      <c r="AA43" s="126">
        <v>82.4</v>
      </c>
      <c r="AB43" s="126">
        <v>408.79</v>
      </c>
      <c r="AC43" s="126">
        <v>2415.5</v>
      </c>
      <c r="AD43" s="126">
        <v>5434.91</v>
      </c>
      <c r="AF43" s="126">
        <v>198.04937409934342</v>
      </c>
      <c r="AG43" s="126">
        <v>427.88043114041903</v>
      </c>
      <c r="AH43" s="126">
        <v>855.76086228083807</v>
      </c>
      <c r="AI43" s="126">
        <v>2567.2825868425143</v>
      </c>
      <c r="AJ43" s="33" t="str">
        <f>IF(VLOOKUP($A43,lmic_raw[],11,FALSE)=0, "Yes", "No")</f>
        <v>Yes</v>
      </c>
    </row>
    <row r="44" spans="1:36" x14ac:dyDescent="0.25">
      <c r="A44" s="109" t="s">
        <v>281</v>
      </c>
      <c r="D44" s="82" t="s">
        <v>681</v>
      </c>
      <c r="F44" s="82" t="s">
        <v>666</v>
      </c>
      <c r="I44" s="126">
        <f>IF(VLOOKUP($A44,portnoy[],3,FALSE)=0, VLOOKUP($D44,Table15[],9,FALSE),VLOOKUP($A44,portnoy[],3,FALSE))</f>
        <v>9.2494000000000014</v>
      </c>
      <c r="J44" s="126">
        <f>sens_costs_regions!J$2</f>
        <v>0.36202199312714778</v>
      </c>
      <c r="K44" s="126">
        <f>sens_costs_regions!K$2</f>
        <v>0.41792411616161618</v>
      </c>
      <c r="L44" s="126">
        <f>sens_costs_regions!L$2</f>
        <v>0.48333918128654974</v>
      </c>
      <c r="M44" s="126">
        <f>sens_costs_regions!M$2</f>
        <v>0.5718158075601375</v>
      </c>
      <c r="N44" s="126">
        <f>sens_costs_regions!N$2</f>
        <v>0.65679722222222237</v>
      </c>
      <c r="O44" s="126">
        <f>sens_costs_regions!O$2</f>
        <v>0.7491286549707602</v>
      </c>
      <c r="P44" s="126">
        <f>IF(VLOOKUP($A44,Table26[],6,FALSE)=0,VLOOKUP($D44,Table15[],16,FALSE),(VLOOKUP($A44,Table26[],6,FALSE)))</f>
        <v>1.0967610330755087E-2</v>
      </c>
      <c r="Q44" s="126">
        <f>IF(VLOOKUP($A44,Table26[],5,FALSE)=0,VLOOKUP($D44,Table15[],17,FALSE),(VLOOKUP($A44,Table26[],5,FALSE)))</f>
        <v>1.6670767702747731E-2</v>
      </c>
      <c r="R44" s="126">
        <f>IF(VLOOKUP($A44,Table26[],16,FALSE)=0,VLOOKUP($D44,Table15[],18,FALSE),(VLOOKUP($A44,Table26[],16,FALSE)))</f>
        <v>0.26322264793812206</v>
      </c>
      <c r="S44" s="126">
        <f>IF(VLOOKUP($A44,Table26[],9,FALSE)=0,VLOOKUP($D44,Table15[],19,FALSE),(VLOOKUP($A44,Table26[],9,FALSE)))</f>
        <v>6.1949501052602982E-3</v>
      </c>
      <c r="T44" s="126">
        <f>IF(VLOOKUP($A44,Table26[],8,FALSE)=0,VLOOKUP($D44,Table15[],20,FALSE),(VLOOKUP($A44,Table26[],8,FALSE)))</f>
        <v>9.4163241599956524E-3</v>
      </c>
      <c r="U44" s="126">
        <f>IF(VLOOKUP($A44,Table26[],10,FALSE)=0,VLOOKUP($D44,Table15[],21,FALSE),(VLOOKUP($A44,Table26[],10,FALSE)))</f>
        <v>2.4779800421041193E-2</v>
      </c>
      <c r="V44" s="126">
        <f>VLOOKUP($F44,vaccine_costs!$AH$6:$AK$11,2,FALSE)</f>
        <v>0.63</v>
      </c>
      <c r="W44" s="126">
        <f>IF(VLOOKUP($A44,tordrup[],5,FALSE)=0,VLOOKUP($D44,Table15[],23,FALSE),VLOOKUP($A44,tordrup[],5,FALSE))</f>
        <v>27.593751271277764</v>
      </c>
      <c r="X44" s="126">
        <f>IF(VLOOKUP($A44,tordrup[],6,FALSE)=0,VLOOKUP($D44,Table15[],24,FALSE),VLOOKUP($A44,tordrup[],6,FALSE))</f>
        <v>56.813751271277766</v>
      </c>
      <c r="Y44" s="126">
        <f>IF(VLOOKUP($A44,tordrup[],7,FALSE)=0,VLOOKUP($D44,Table15[],25,FALSE),VLOOKUP($A44,tordrup[],7,FALSE))</f>
        <v>73.569764140937096</v>
      </c>
      <c r="Z44" s="126">
        <f>IF(VLOOKUP($A44,tordrup[],8,FALSE)=0,VLOOKUP($D44,Table15[],26,FALSE),VLOOKUP($A44,tordrup[],8,FALSE))</f>
        <v>70.77709532932721</v>
      </c>
      <c r="AA44" s="126">
        <v>82.4</v>
      </c>
      <c r="AB44" s="126">
        <v>408.79</v>
      </c>
      <c r="AC44" s="126">
        <v>2415.5</v>
      </c>
      <c r="AD44" s="126">
        <v>5434.91</v>
      </c>
      <c r="AF44" s="126">
        <v>0</v>
      </c>
      <c r="AG44" s="126">
        <v>3087.944360160518</v>
      </c>
      <c r="AH44" s="126">
        <v>6175.8887203210361</v>
      </c>
      <c r="AI44" s="126">
        <v>18527.666160963108</v>
      </c>
      <c r="AJ44" s="33" t="str">
        <f>IF(VLOOKUP($A44,lmic_raw[],11,FALSE)=0, "Yes", "No")</f>
        <v>No</v>
      </c>
    </row>
    <row r="45" spans="1:36" x14ac:dyDescent="0.25">
      <c r="A45" s="110" t="s">
        <v>129</v>
      </c>
      <c r="D45" s="84" t="s">
        <v>677</v>
      </c>
      <c r="F45" s="84" t="s">
        <v>667</v>
      </c>
      <c r="I45" s="126">
        <f>IF(VLOOKUP($A45,portnoy[],3,FALSE)=0, VLOOKUP($D45,Table15[],9,FALSE),VLOOKUP($A45,portnoy[],3,FALSE))</f>
        <v>3.3784000000000001</v>
      </c>
      <c r="J45" s="126">
        <f>sens_costs_regions!J$2</f>
        <v>0.36202199312714778</v>
      </c>
      <c r="K45" s="126">
        <f>sens_costs_regions!K$2</f>
        <v>0.41792411616161618</v>
      </c>
      <c r="L45" s="126">
        <f>sens_costs_regions!L$2</f>
        <v>0.48333918128654974</v>
      </c>
      <c r="M45" s="126">
        <f>sens_costs_regions!M$2</f>
        <v>0.5718158075601375</v>
      </c>
      <c r="N45" s="126">
        <f>sens_costs_regions!N$2</f>
        <v>0.65679722222222237</v>
      </c>
      <c r="O45" s="126">
        <f>sens_costs_regions!O$2</f>
        <v>0.7491286549707602</v>
      </c>
      <c r="P45" s="126">
        <f>IF(VLOOKUP($A45,Table26[],6,FALSE)=0,VLOOKUP($D45,Table15[],16,FALSE),(VLOOKUP($A45,Table26[],6,FALSE)))</f>
        <v>1.3748040310514629E-2</v>
      </c>
      <c r="Q45" s="126">
        <f>IF(VLOOKUP($A45,Table26[],5,FALSE)=0,VLOOKUP($D45,Table15[],17,FALSE),(VLOOKUP($A45,Table26[],5,FALSE)))</f>
        <v>2.0897021271982234E-2</v>
      </c>
      <c r="R45" s="126">
        <f>IF(VLOOKUP($A45,Table26[],16,FALSE)=0,VLOOKUP($D45,Table15[],18,FALSE),(VLOOKUP($A45,Table26[],16,FALSE)))</f>
        <v>0.32995296745235109</v>
      </c>
      <c r="S45" s="126">
        <f>IF(VLOOKUP($A45,Table26[],9,FALSE)=0,VLOOKUP($D45,Table15[],19,FALSE),(VLOOKUP($A45,Table26[],9,FALSE)))</f>
        <v>7.7909856680017297E-3</v>
      </c>
      <c r="T45" s="126">
        <f>IF(VLOOKUP($A45,Table26[],8,FALSE)=0,VLOOKUP($D45,Table15[],20,FALSE),(VLOOKUP($A45,Table26[],8,FALSE)))</f>
        <v>1.1842298215362628E-2</v>
      </c>
      <c r="U45" s="126">
        <f>IF(VLOOKUP($A45,Table26[],10,FALSE)=0,VLOOKUP($D45,Table15[],21,FALSE),(VLOOKUP($A45,Table26[],10,FALSE)))</f>
        <v>3.1163942672006919E-2</v>
      </c>
      <c r="V45" s="126">
        <f>VLOOKUP($F45,vaccine_costs!$AH$6:$AK$11,2,FALSE)</f>
        <v>4.83</v>
      </c>
      <c r="W45" s="126">
        <f>IF(VLOOKUP($A45,tordrup[],5,FALSE)=0,VLOOKUP($D45,Table15[],23,FALSE),VLOOKUP($A45,tordrup[],5,FALSE))</f>
        <v>36.020776883258812</v>
      </c>
      <c r="X45" s="126">
        <f>IF(VLOOKUP($A45,tordrup[],6,FALSE)=0,VLOOKUP($D45,Table15[],24,FALSE),VLOOKUP($A45,tordrup[],6,FALSE))</f>
        <v>65.240776883258803</v>
      </c>
      <c r="Y45" s="126">
        <f>IF(VLOOKUP($A45,tordrup[],7,FALSE)=0,VLOOKUP($D45,Table15[],25,FALSE),VLOOKUP($A45,tordrup[],7,FALSE))</f>
        <v>139.53438420249634</v>
      </c>
      <c r="Z45" s="126">
        <f>IF(VLOOKUP($A45,tordrup[],8,FALSE)=0,VLOOKUP($D45,Table15[],26,FALSE),VLOOKUP($A45,tordrup[],8,FALSE))</f>
        <v>127.15211631595676</v>
      </c>
      <c r="AA45" s="126">
        <v>82.4</v>
      </c>
      <c r="AB45" s="126">
        <v>408.79</v>
      </c>
      <c r="AC45" s="126">
        <v>2415.5</v>
      </c>
      <c r="AD45" s="126">
        <v>5434.91</v>
      </c>
      <c r="AF45" s="126">
        <v>2811.1100034140618</v>
      </c>
      <c r="AG45" s="126">
        <v>3883.5067022039393</v>
      </c>
      <c r="AH45" s="126">
        <v>7767.0134044078786</v>
      </c>
      <c r="AI45" s="126">
        <v>23301.040213223634</v>
      </c>
      <c r="AJ45" s="33" t="str">
        <f>IF(VLOOKUP($A45,lmic_raw[],11,FALSE)=0, "Yes", "No")</f>
        <v>Yes</v>
      </c>
    </row>
    <row r="46" spans="1:36" x14ac:dyDescent="0.25">
      <c r="A46" s="109" t="s">
        <v>617</v>
      </c>
      <c r="D46" s="82" t="s">
        <v>677</v>
      </c>
      <c r="F46" s="82" t="s">
        <v>667</v>
      </c>
      <c r="I46" s="126">
        <f>IF(VLOOKUP($A46,portnoy[],3,FALSE)=0, VLOOKUP($D46,Table15[],9,FALSE),VLOOKUP($A46,portnoy[],3,FALSE))</f>
        <v>3.6153</v>
      </c>
      <c r="J46" s="126">
        <f>sens_costs_regions!J$2</f>
        <v>0.36202199312714778</v>
      </c>
      <c r="K46" s="126">
        <f>sens_costs_regions!K$2</f>
        <v>0.41792411616161618</v>
      </c>
      <c r="L46" s="126">
        <f>sens_costs_regions!L$2</f>
        <v>0.48333918128654974</v>
      </c>
      <c r="M46" s="126">
        <f>sens_costs_regions!M$2</f>
        <v>0.5718158075601375</v>
      </c>
      <c r="N46" s="126">
        <f>sens_costs_regions!N$2</f>
        <v>0.65679722222222237</v>
      </c>
      <c r="O46" s="126">
        <f>sens_costs_regions!O$2</f>
        <v>0.7491286549707602</v>
      </c>
      <c r="P46" s="126">
        <f>IF(VLOOKUP($A46,Table26[],6,FALSE)=0,VLOOKUP($D46,Table15[],16,FALSE),(VLOOKUP($A46,Table26[],6,FALSE)))</f>
        <v>3.8930826144864539E-3</v>
      </c>
      <c r="Q46" s="126">
        <f>IF(VLOOKUP($A46,Table26[],5,FALSE)=0,VLOOKUP($D46,Table15[],17,FALSE),(VLOOKUP($A46,Table26[],5,FALSE)))</f>
        <v>5.9174855740194094E-3</v>
      </c>
      <c r="R46" s="126">
        <f>IF(VLOOKUP($A46,Table26[],16,FALSE)=0,VLOOKUP($D46,Table15[],18,FALSE),(VLOOKUP($A46,Table26[],16,FALSE)))</f>
        <v>9.3433982747674893E-2</v>
      </c>
      <c r="S46" s="126">
        <f>IF(VLOOKUP($A46,Table26[],9,FALSE)=0,VLOOKUP($D46,Table15[],19,FALSE),(VLOOKUP($A46,Table26[],9,FALSE)))</f>
        <v>2.220605053017616E-3</v>
      </c>
      <c r="T46" s="126">
        <f>IF(VLOOKUP($A46,Table26[],8,FALSE)=0,VLOOKUP($D46,Table15[],20,FALSE),(VLOOKUP($A46,Table26[],8,FALSE)))</f>
        <v>3.3753196805867756E-3</v>
      </c>
      <c r="U46" s="126">
        <f>IF(VLOOKUP($A46,Table26[],10,FALSE)=0,VLOOKUP($D46,Table15[],21,FALSE),(VLOOKUP($A46,Table26[],10,FALSE)))</f>
        <v>8.8824202120704639E-3</v>
      </c>
      <c r="V46" s="126">
        <f>VLOOKUP($F46,vaccine_costs!$AH$6:$AK$11,2,FALSE)</f>
        <v>4.83</v>
      </c>
      <c r="W46" s="126">
        <f>IF(VLOOKUP($A46,tordrup[],5,FALSE)=0,VLOOKUP($D46,Table15[],23,FALSE),VLOOKUP($A46,tordrup[],5,FALSE))</f>
        <v>24.602750631532377</v>
      </c>
      <c r="X46" s="126">
        <f>IF(VLOOKUP($A46,tordrup[],6,FALSE)=0,VLOOKUP($D46,Table15[],24,FALSE),VLOOKUP($A46,tordrup[],6,FALSE))</f>
        <v>53.822750631532372</v>
      </c>
      <c r="Y46" s="126">
        <f>IF(VLOOKUP($A46,tordrup[],7,FALSE)=0,VLOOKUP($D46,Table15[],25,FALSE),VLOOKUP($A46,tordrup[],7,FALSE))</f>
        <v>57.653367879434867</v>
      </c>
      <c r="Z46" s="126">
        <f>IF(VLOOKUP($A46,tordrup[],8,FALSE)=0,VLOOKUP($D46,Table15[],26,FALSE),VLOOKUP($A46,tordrup[],8,FALSE))</f>
        <v>57.014931671451109</v>
      </c>
      <c r="AA46" s="126">
        <v>82.4</v>
      </c>
      <c r="AB46" s="126">
        <v>408.79</v>
      </c>
      <c r="AC46" s="126">
        <v>2415.5</v>
      </c>
      <c r="AD46" s="126">
        <v>5434.91</v>
      </c>
      <c r="AF46" s="126">
        <v>257.7157317467499</v>
      </c>
      <c r="AG46" s="126">
        <v>388.90596604200408</v>
      </c>
      <c r="AH46" s="126">
        <v>777.81193208400816</v>
      </c>
      <c r="AI46" s="126">
        <v>2333.4357962520244</v>
      </c>
      <c r="AJ46" s="33" t="str">
        <f>IF(VLOOKUP($A46,lmic_raw[],11,FALSE)=0, "Yes", "No")</f>
        <v>Yes</v>
      </c>
    </row>
    <row r="47" spans="1:36" x14ac:dyDescent="0.25">
      <c r="A47" s="110" t="s">
        <v>169</v>
      </c>
      <c r="D47" s="84" t="s">
        <v>675</v>
      </c>
      <c r="F47" s="84" t="s">
        <v>663</v>
      </c>
      <c r="I47" s="126">
        <f>IF(VLOOKUP($A47,portnoy[],3,FALSE)=0, VLOOKUP($D47,Table15[],9,FALSE),VLOOKUP($A47,portnoy[],3,FALSE))</f>
        <v>4.9131</v>
      </c>
      <c r="J47" s="126">
        <f>sens_costs_regions!J$2</f>
        <v>0.36202199312714778</v>
      </c>
      <c r="K47" s="126">
        <f>sens_costs_regions!K$2</f>
        <v>0.41792411616161618</v>
      </c>
      <c r="L47" s="126">
        <f>sens_costs_regions!L$2</f>
        <v>0.48333918128654974</v>
      </c>
      <c r="M47" s="126">
        <f>sens_costs_regions!M$2</f>
        <v>0.5718158075601375</v>
      </c>
      <c r="N47" s="126">
        <f>sens_costs_regions!N$2</f>
        <v>0.65679722222222237</v>
      </c>
      <c r="O47" s="126">
        <f>sens_costs_regions!O$2</f>
        <v>0.7491286549707602</v>
      </c>
      <c r="P47" s="126">
        <f>IF(VLOOKUP($A47,Table26[],6,FALSE)=0,VLOOKUP($D47,Table15[],16,FALSE),(VLOOKUP($A47,Table26[],6,FALSE)))</f>
        <v>9.0635514662408111E-3</v>
      </c>
      <c r="Q47" s="126">
        <f>IF(VLOOKUP($A47,Table26[],5,FALSE)=0,VLOOKUP($D47,Table15[],17,FALSE),(VLOOKUP($A47,Table26[],5,FALSE)))</f>
        <v>1.3776598228686033E-2</v>
      </c>
      <c r="R47" s="126">
        <f>IF(VLOOKUP($A47,Table26[],16,FALSE)=0,VLOOKUP($D47,Table15[],18,FALSE),(VLOOKUP($A47,Table26[],16,FALSE)))</f>
        <v>0.21752523518977948</v>
      </c>
      <c r="S47" s="126">
        <f>IF(VLOOKUP($A47,Table26[],9,FALSE)=0,VLOOKUP($D47,Table15[],19,FALSE),(VLOOKUP($A47,Table26[],9,FALSE)))</f>
        <v>4.712203664144269E-3</v>
      </c>
      <c r="T47" s="126">
        <f>IF(VLOOKUP($A47,Table26[],8,FALSE)=0,VLOOKUP($D47,Table15[],20,FALSE),(VLOOKUP($A47,Table26[],8,FALSE)))</f>
        <v>7.1625495694992887E-3</v>
      </c>
      <c r="U47" s="126">
        <f>IF(VLOOKUP($A47,Table26[],10,FALSE)=0,VLOOKUP($D47,Table15[],21,FALSE),(VLOOKUP($A47,Table26[],10,FALSE)))</f>
        <v>1.8848814656577076E-2</v>
      </c>
      <c r="V47" s="126">
        <f>VLOOKUP($F47,vaccine_costs!$AH$6:$AK$11,2,FALSE)</f>
        <v>4.07</v>
      </c>
      <c r="W47" s="126">
        <f>IF(VLOOKUP($A47,tordrup[],5,FALSE)=0,VLOOKUP($D47,Table15[],23,FALSE),VLOOKUP($A47,tordrup[],5,FALSE))</f>
        <v>27.34450121796565</v>
      </c>
      <c r="X47" s="126">
        <f>IF(VLOOKUP($A47,tordrup[],6,FALSE)=0,VLOOKUP($D47,Table15[],24,FALSE),VLOOKUP($A47,tordrup[],6,FALSE))</f>
        <v>56.564501217965649</v>
      </c>
      <c r="Y47" s="126">
        <f>IF(VLOOKUP($A47,tordrup[],7,FALSE)=0,VLOOKUP($D47,Table15[],25,FALSE),VLOOKUP($A47,tordrup[],7,FALSE))</f>
        <v>73.015004736565274</v>
      </c>
      <c r="Z47" s="126">
        <f>IF(VLOOKUP($A47,tordrup[],8,FALSE)=0,VLOOKUP($D47,Table15[],26,FALSE),VLOOKUP($A47,tordrup[],8,FALSE))</f>
        <v>70.273254150132004</v>
      </c>
      <c r="AA47" s="126">
        <v>82.4</v>
      </c>
      <c r="AB47" s="126">
        <v>408.79</v>
      </c>
      <c r="AC47" s="126">
        <v>2415.5</v>
      </c>
      <c r="AD47" s="126">
        <v>5434.91</v>
      </c>
      <c r="AF47" s="126">
        <v>1121.9428506803229</v>
      </c>
      <c r="AG47" s="126">
        <v>2348.852287973451</v>
      </c>
      <c r="AH47" s="126">
        <v>4697.704575946902</v>
      </c>
      <c r="AI47" s="126">
        <v>14093.113727840706</v>
      </c>
      <c r="AJ47" s="33" t="str">
        <f>IF(VLOOKUP($A47,lmic_raw[],11,FALSE)=0, "Yes", "No")</f>
        <v>No</v>
      </c>
    </row>
    <row r="48" spans="1:36" x14ac:dyDescent="0.25">
      <c r="A48" s="109" t="s">
        <v>143</v>
      </c>
      <c r="D48" s="82" t="s">
        <v>677</v>
      </c>
      <c r="F48" s="82" t="s">
        <v>667</v>
      </c>
      <c r="I48" s="126">
        <f>IF(VLOOKUP($A48,portnoy[],3,FALSE)=0, VLOOKUP($D48,Table15[],9,FALSE),VLOOKUP($A48,portnoy[],3,FALSE))</f>
        <v>3.1312000000000002</v>
      </c>
      <c r="J48" s="126">
        <f>sens_costs_regions!J$2</f>
        <v>0.36202199312714778</v>
      </c>
      <c r="K48" s="126">
        <f>sens_costs_regions!K$2</f>
        <v>0.41792411616161618</v>
      </c>
      <c r="L48" s="126">
        <f>sens_costs_regions!L$2</f>
        <v>0.48333918128654974</v>
      </c>
      <c r="M48" s="126">
        <f>sens_costs_regions!M$2</f>
        <v>0.5718158075601375</v>
      </c>
      <c r="N48" s="126">
        <f>sens_costs_regions!N$2</f>
        <v>0.65679722222222237</v>
      </c>
      <c r="O48" s="126">
        <f>sens_costs_regions!O$2</f>
        <v>0.7491286549707602</v>
      </c>
      <c r="P48" s="126">
        <f>IF(VLOOKUP($A48,Table26[],6,FALSE)=0,VLOOKUP($D48,Table15[],16,FALSE),(VLOOKUP($A48,Table26[],6,FALSE)))</f>
        <v>7.1844509443849923E-3</v>
      </c>
      <c r="Q48" s="126">
        <f>IF(VLOOKUP($A48,Table26[],5,FALSE)=0,VLOOKUP($D48,Table15[],17,FALSE),(VLOOKUP($A48,Table26[],5,FALSE)))</f>
        <v>1.0920365435465188E-2</v>
      </c>
      <c r="R48" s="126">
        <f>IF(VLOOKUP($A48,Table26[],16,FALSE)=0,VLOOKUP($D48,Table15[],18,FALSE),(VLOOKUP($A48,Table26[],16,FALSE)))</f>
        <v>0.17242682266523982</v>
      </c>
      <c r="S48" s="126">
        <f>IF(VLOOKUP($A48,Table26[],9,FALSE)=0,VLOOKUP($D48,Table15[],19,FALSE),(VLOOKUP($A48,Table26[],9,FALSE)))</f>
        <v>4.0779917914456508E-3</v>
      </c>
      <c r="T48" s="126">
        <f>IF(VLOOKUP($A48,Table26[],8,FALSE)=0,VLOOKUP($D48,Table15[],20,FALSE),(VLOOKUP($A48,Table26[],8,FALSE)))</f>
        <v>6.1985475229973889E-3</v>
      </c>
      <c r="U48" s="126">
        <f>IF(VLOOKUP($A48,Table26[],10,FALSE)=0,VLOOKUP($D48,Table15[],21,FALSE),(VLOOKUP($A48,Table26[],10,FALSE)))</f>
        <v>1.6311967165782603E-2</v>
      </c>
      <c r="V48" s="126">
        <f>VLOOKUP($F48,vaccine_costs!$AH$6:$AK$11,2,FALSE)</f>
        <v>4.83</v>
      </c>
      <c r="W48" s="126">
        <f>IF(VLOOKUP($A48,tordrup[],5,FALSE)=0,VLOOKUP($D48,Table15[],23,FALSE),VLOOKUP($A48,tordrup[],5,FALSE))</f>
        <v>24.733310183267296</v>
      </c>
      <c r="X48" s="126">
        <f>IF(VLOOKUP($A48,tordrup[],6,FALSE)=0,VLOOKUP($D48,Table15[],24,FALSE),VLOOKUP($A48,tordrup[],6,FALSE))</f>
        <v>53.953310183267291</v>
      </c>
      <c r="Y48" s="126">
        <f>IF(VLOOKUP($A48,tordrup[],7,FALSE)=0,VLOOKUP($D48,Table15[],25,FALSE),VLOOKUP($A48,tordrup[],7,FALSE))</f>
        <v>57.870096735314817</v>
      </c>
      <c r="Z48" s="126">
        <f>IF(VLOOKUP($A48,tordrup[],8,FALSE)=0,VLOOKUP($D48,Table15[],26,FALSE),VLOOKUP($A48,tordrup[],8,FALSE))</f>
        <v>57.217298976640237</v>
      </c>
      <c r="AA48" s="126">
        <v>82.4</v>
      </c>
      <c r="AB48" s="126">
        <v>408.79</v>
      </c>
      <c r="AC48" s="126">
        <v>2415.5</v>
      </c>
      <c r="AD48" s="126">
        <v>5434.91</v>
      </c>
      <c r="AF48" s="126">
        <v>432.34670243603051</v>
      </c>
      <c r="AG48" s="126">
        <v>1101.0577836903258</v>
      </c>
      <c r="AH48" s="126">
        <v>2202.1155673806516</v>
      </c>
      <c r="AI48" s="126">
        <v>6606.3467021419547</v>
      </c>
      <c r="AJ48" s="33" t="str">
        <f>IF(VLOOKUP($A48,lmic_raw[],11,FALSE)=0, "Yes", "No")</f>
        <v>Yes</v>
      </c>
    </row>
    <row r="49" spans="1:36" x14ac:dyDescent="0.25">
      <c r="A49" s="110" t="s">
        <v>236</v>
      </c>
      <c r="D49" s="84" t="s">
        <v>679</v>
      </c>
      <c r="F49" s="84" t="s">
        <v>665</v>
      </c>
      <c r="I49" s="126">
        <f>IF(VLOOKUP($A49,portnoy[],3,FALSE)=0, VLOOKUP($D49,Table15[],9,FALSE),VLOOKUP($A49,portnoy[],3,FALSE))</f>
        <v>16.026800000000001</v>
      </c>
      <c r="J49" s="126">
        <f>sens_costs_regions!J$2</f>
        <v>0.36202199312714778</v>
      </c>
      <c r="K49" s="126">
        <f>sens_costs_regions!K$2</f>
        <v>0.41792411616161618</v>
      </c>
      <c r="L49" s="126">
        <f>sens_costs_regions!L$2</f>
        <v>0.48333918128654974</v>
      </c>
      <c r="M49" s="126">
        <f>sens_costs_regions!M$2</f>
        <v>0.5718158075601375</v>
      </c>
      <c r="N49" s="126">
        <f>sens_costs_regions!N$2</f>
        <v>0.65679722222222237</v>
      </c>
      <c r="O49" s="126">
        <f>sens_costs_regions!O$2</f>
        <v>0.7491286549707602</v>
      </c>
      <c r="P49" s="126">
        <f>IF(VLOOKUP($A49,Table26[],6,FALSE)=0,VLOOKUP($D49,Table15[],16,FALSE),(VLOOKUP($A49,Table26[],6,FALSE)))</f>
        <v>1.9110921182543376E-2</v>
      </c>
      <c r="Q49" s="126">
        <f>IF(VLOOKUP($A49,Table26[],5,FALSE)=0,VLOOKUP($D49,Table15[],17,FALSE),(VLOOKUP($A49,Table26[],5,FALSE)))</f>
        <v>2.904860019746593E-2</v>
      </c>
      <c r="R49" s="126">
        <f>IF(VLOOKUP($A49,Table26[],16,FALSE)=0,VLOOKUP($D49,Table15[],18,FALSE),(VLOOKUP($A49,Table26[],16,FALSE)))</f>
        <v>0.45866210838104104</v>
      </c>
      <c r="S49" s="126">
        <f>IF(VLOOKUP($A49,Table26[],9,FALSE)=0,VLOOKUP($D49,Table15[],19,FALSE),(VLOOKUP($A49,Table26[],9,FALSE)))</f>
        <v>1.0842032221350984E-2</v>
      </c>
      <c r="T49" s="126">
        <f>IF(VLOOKUP($A49,Table26[],8,FALSE)=0,VLOOKUP($D49,Table15[],20,FALSE),(VLOOKUP($A49,Table26[],8,FALSE)))</f>
        <v>1.6479888976453496E-2</v>
      </c>
      <c r="U49" s="126">
        <f>IF(VLOOKUP($A49,Table26[],10,FALSE)=0,VLOOKUP($D49,Table15[],21,FALSE),(VLOOKUP($A49,Table26[],10,FALSE)))</f>
        <v>4.3368128885403937E-2</v>
      </c>
      <c r="V49" s="126">
        <f>VLOOKUP($F49,vaccine_costs!$AH$6:$AK$11,2,FALSE)</f>
        <v>0.02</v>
      </c>
      <c r="W49" s="126">
        <f>IF(VLOOKUP($A49,tordrup[],5,FALSE)=0,VLOOKUP($D49,Table15[],23,FALSE),VLOOKUP($A49,tordrup[],5,FALSE))</f>
        <v>34.727050416067357</v>
      </c>
      <c r="X49" s="126">
        <f>IF(VLOOKUP($A49,tordrup[],6,FALSE)=0,VLOOKUP($D49,Table15[],24,FALSE),VLOOKUP($A49,tordrup[],6,FALSE))</f>
        <v>63.947050416067356</v>
      </c>
      <c r="Y49" s="126">
        <f>IF(VLOOKUP($A49,tordrup[],7,FALSE)=0,VLOOKUP($D49,Table15[],25,FALSE),VLOOKUP($A49,tordrup[],7,FALSE))</f>
        <v>123.6232103230635</v>
      </c>
      <c r="Z49" s="126">
        <f>IF(VLOOKUP($A49,tordrup[],8,FALSE)=0,VLOOKUP($D49,Table15[],26,FALSE),VLOOKUP($A49,tordrup[],8,FALSE))</f>
        <v>113.67718367189748</v>
      </c>
      <c r="AA49" s="126">
        <v>82.4</v>
      </c>
      <c r="AB49" s="126">
        <v>408.79</v>
      </c>
      <c r="AC49" s="126">
        <v>2415.5</v>
      </c>
      <c r="AD49" s="126">
        <v>5434.91</v>
      </c>
      <c r="AF49" s="126">
        <v>0</v>
      </c>
      <c r="AG49" s="126">
        <v>5404.3360611041835</v>
      </c>
      <c r="AH49" s="126">
        <v>10808.672122208367</v>
      </c>
      <c r="AI49" s="126">
        <v>32426.016366625103</v>
      </c>
      <c r="AJ49" s="33" t="str">
        <f>IF(VLOOKUP($A49,lmic_raw[],11,FALSE)=0, "Yes", "No")</f>
        <v>No</v>
      </c>
    </row>
    <row r="50" spans="1:36" x14ac:dyDescent="0.25">
      <c r="A50" s="109" t="s">
        <v>256</v>
      </c>
      <c r="D50" s="82" t="s">
        <v>679</v>
      </c>
      <c r="F50" s="82" t="s">
        <v>665</v>
      </c>
      <c r="I50" s="126">
        <f>IF(VLOOKUP($A50,portnoy[],3,FALSE)=0, VLOOKUP($D50,Table15[],9,FALSE),VLOOKUP($A50,portnoy[],3,FALSE))</f>
        <v>2.8943000000000003</v>
      </c>
      <c r="J50" s="126">
        <f>sens_costs_regions!J$2</f>
        <v>0.36202199312714778</v>
      </c>
      <c r="K50" s="126">
        <f>sens_costs_regions!K$2</f>
        <v>0.41792411616161618</v>
      </c>
      <c r="L50" s="126">
        <f>sens_costs_regions!L$2</f>
        <v>0.48333918128654974</v>
      </c>
      <c r="M50" s="126">
        <f>sens_costs_regions!M$2</f>
        <v>0.5718158075601375</v>
      </c>
      <c r="N50" s="126">
        <f>sens_costs_regions!N$2</f>
        <v>0.65679722222222237</v>
      </c>
      <c r="O50" s="126">
        <f>sens_costs_regions!O$2</f>
        <v>0.7491286549707602</v>
      </c>
      <c r="P50" s="126">
        <f>IF(VLOOKUP($A50,Table26[],6,FALSE)=0,VLOOKUP($D50,Table15[],16,FALSE),(VLOOKUP($A50,Table26[],6,FALSE)))</f>
        <v>9.3175153782154938E-3</v>
      </c>
      <c r="Q50" s="126">
        <f>IF(VLOOKUP($A50,Table26[],5,FALSE)=0,VLOOKUP($D50,Table15[],17,FALSE),(VLOOKUP($A50,Table26[],5,FALSE)))</f>
        <v>1.4162623374887549E-2</v>
      </c>
      <c r="R50" s="126">
        <f>IF(VLOOKUP($A50,Table26[],16,FALSE)=0,VLOOKUP($D50,Table15[],18,FALSE),(VLOOKUP($A50,Table26[],16,FALSE)))</f>
        <v>0.22362036907717184</v>
      </c>
      <c r="S50" s="126">
        <f>IF(VLOOKUP($A50,Table26[],9,FALSE)=0,VLOOKUP($D50,Table15[],19,FALSE),(VLOOKUP($A50,Table26[],9,FALSE)))</f>
        <v>4.6342444719796498E-3</v>
      </c>
      <c r="T50" s="126">
        <f>IF(VLOOKUP($A50,Table26[],8,FALSE)=0,VLOOKUP($D50,Table15[],20,FALSE),(VLOOKUP($A50,Table26[],8,FALSE)))</f>
        <v>7.0440515974090666E-3</v>
      </c>
      <c r="U50" s="126">
        <f>IF(VLOOKUP($A50,Table26[],10,FALSE)=0,VLOOKUP($D50,Table15[],21,FALSE),(VLOOKUP($A50,Table26[],10,FALSE)))</f>
        <v>1.8536977887918599E-2</v>
      </c>
      <c r="V50" s="126">
        <f>VLOOKUP($F50,vaccine_costs!$AH$6:$AK$11,2,FALSE)</f>
        <v>0.02</v>
      </c>
      <c r="W50" s="126">
        <f>IF(VLOOKUP($A50,tordrup[],5,FALSE)=0,VLOOKUP($D50,Table15[],23,FALSE),VLOOKUP($A50,tordrup[],5,FALSE))</f>
        <v>26.952822562760897</v>
      </c>
      <c r="X50" s="126">
        <f>IF(VLOOKUP($A50,tordrup[],6,FALSE)=0,VLOOKUP($D50,Table15[],24,FALSE),VLOOKUP($A50,tordrup[],6,FALSE))</f>
        <v>56.172822562760899</v>
      </c>
      <c r="Y50" s="126">
        <f>IF(VLOOKUP($A50,tordrup[],7,FALSE)=0,VLOOKUP($D50,Table15[],25,FALSE),VLOOKUP($A50,tordrup[],7,FALSE))</f>
        <v>70.672766378440841</v>
      </c>
      <c r="Z50" s="126">
        <f>IF(VLOOKUP($A50,tordrup[],8,FALSE)=0,VLOOKUP($D50,Table15[],26,FALSE),VLOOKUP($A50,tordrup[],8,FALSE))</f>
        <v>68.256109075827524</v>
      </c>
      <c r="AA50" s="126">
        <v>82.4</v>
      </c>
      <c r="AB50" s="126">
        <v>408.79</v>
      </c>
      <c r="AC50" s="126">
        <v>2415.5</v>
      </c>
      <c r="AD50" s="126">
        <v>5434.91</v>
      </c>
      <c r="AF50" s="126">
        <v>1512.59288055099</v>
      </c>
      <c r="AG50" s="126">
        <v>2309.9926291098559</v>
      </c>
      <c r="AH50" s="126">
        <v>4619.9852582197118</v>
      </c>
      <c r="AI50" s="126">
        <v>13859.955774659134</v>
      </c>
      <c r="AJ50" s="33" t="str">
        <f>IF(VLOOKUP($A50,lmic_raw[],11,FALSE)=0, "Yes", "No")</f>
        <v>No</v>
      </c>
    </row>
    <row r="51" spans="1:36" x14ac:dyDescent="0.25">
      <c r="A51" s="110" t="s">
        <v>144</v>
      </c>
      <c r="D51" s="84" t="s">
        <v>677</v>
      </c>
      <c r="F51" s="84" t="s">
        <v>667</v>
      </c>
      <c r="I51" s="126">
        <f>IF(VLOOKUP($A51,portnoy[],3,FALSE)=0, VLOOKUP($D51,Table15[],9,FALSE),VLOOKUP($A51,portnoy[],3,FALSE))</f>
        <v>0.65920000000000001</v>
      </c>
      <c r="J51" s="126">
        <f>sens_costs_regions!J$2</f>
        <v>0.36202199312714778</v>
      </c>
      <c r="K51" s="126">
        <f>sens_costs_regions!K$2</f>
        <v>0.41792411616161618</v>
      </c>
      <c r="L51" s="126">
        <f>sens_costs_regions!L$2</f>
        <v>0.48333918128654974</v>
      </c>
      <c r="M51" s="126">
        <f>sens_costs_regions!M$2</f>
        <v>0.5718158075601375</v>
      </c>
      <c r="N51" s="126">
        <f>sens_costs_regions!N$2</f>
        <v>0.65679722222222237</v>
      </c>
      <c r="O51" s="126">
        <f>sens_costs_regions!O$2</f>
        <v>0.7491286549707602</v>
      </c>
      <c r="P51" s="126">
        <f>IF(VLOOKUP($A51,Table26[],6,FALSE)=0,VLOOKUP($D51,Table15[],16,FALSE),(VLOOKUP($A51,Table26[],6,FALSE)))</f>
        <v>5.1718118487020228E-3</v>
      </c>
      <c r="Q51" s="126">
        <f>IF(VLOOKUP($A51,Table26[],5,FALSE)=0,VLOOKUP($D51,Table15[],17,FALSE),(VLOOKUP($A51,Table26[],5,FALSE)))</f>
        <v>7.8611540100270733E-3</v>
      </c>
      <c r="R51" s="126">
        <f>IF(VLOOKUP($A51,Table26[],16,FALSE)=0,VLOOKUP($D51,Table15[],18,FALSE),(VLOOKUP($A51,Table26[],16,FALSE)))</f>
        <v>0.12412348436884854</v>
      </c>
      <c r="S51" s="126">
        <f>IF(VLOOKUP($A51,Table26[],9,FALSE)=0,VLOOKUP($D51,Table15[],19,FALSE),(VLOOKUP($A51,Table26[],9,FALSE)))</f>
        <v>2.748848504455849E-3</v>
      </c>
      <c r="T51" s="126">
        <f>IF(VLOOKUP($A51,Table26[],8,FALSE)=0,VLOOKUP($D51,Table15[],20,FALSE),(VLOOKUP($A51,Table26[],8,FALSE)))</f>
        <v>4.1782497267728903E-3</v>
      </c>
      <c r="U51" s="126">
        <f>IF(VLOOKUP($A51,Table26[],10,FALSE)=0,VLOOKUP($D51,Table15[],21,FALSE),(VLOOKUP($A51,Table26[],10,FALSE)))</f>
        <v>1.0995394017823396E-2</v>
      </c>
      <c r="V51" s="126">
        <f>VLOOKUP($F51,vaccine_costs!$AH$6:$AK$11,2,FALSE)</f>
        <v>4.83</v>
      </c>
      <c r="W51" s="126">
        <f>IF(VLOOKUP($A51,tordrup[],5,FALSE)=0,VLOOKUP($D51,Table15[],23,FALSE),VLOOKUP($A51,tordrup[],5,FALSE))</f>
        <v>23.985560023330951</v>
      </c>
      <c r="X51" s="126">
        <f>IF(VLOOKUP($A51,tordrup[],6,FALSE)=0,VLOOKUP($D51,Table15[],24,FALSE),VLOOKUP($A51,tordrup[],6,FALSE))</f>
        <v>53.205560023330946</v>
      </c>
      <c r="Y51" s="126">
        <f>IF(VLOOKUP($A51,tordrup[],7,FALSE)=0,VLOOKUP($D51,Table15[],25,FALSE),VLOOKUP($A51,tordrup[],7,FALSE))</f>
        <v>54.834943228982723</v>
      </c>
      <c r="Z51" s="126">
        <f>IF(VLOOKUP($A51,tordrup[],8,FALSE)=0,VLOOKUP($D51,Table15[],26,FALSE),VLOOKUP($A51,tordrup[],8,FALSE))</f>
        <v>54.563379361374089</v>
      </c>
      <c r="AA51" s="126">
        <v>82.4</v>
      </c>
      <c r="AB51" s="126">
        <v>408.79</v>
      </c>
      <c r="AC51" s="126">
        <v>2415.5</v>
      </c>
      <c r="AD51" s="126">
        <v>5434.91</v>
      </c>
      <c r="AF51" s="126">
        <v>133.61480702477743</v>
      </c>
      <c r="AG51" s="126">
        <v>481.41995429388925</v>
      </c>
      <c r="AH51" s="126">
        <v>962.8399085877785</v>
      </c>
      <c r="AI51" s="126">
        <v>2888.5197257633354</v>
      </c>
      <c r="AJ51" s="33" t="str">
        <f>IF(VLOOKUP($A51,lmic_raw[],11,FALSE)=0, "Yes", "No")</f>
        <v>Yes</v>
      </c>
    </row>
    <row r="52" spans="1:36" x14ac:dyDescent="0.25">
      <c r="A52" s="109" t="s">
        <v>145</v>
      </c>
      <c r="D52" s="82" t="s">
        <v>677</v>
      </c>
      <c r="F52" s="82" t="s">
        <v>667</v>
      </c>
      <c r="I52" s="126">
        <f>IF(VLOOKUP($A52,portnoy[],3,FALSE)=0, VLOOKUP($D52,Table15[],9,FALSE),VLOOKUP($A52,portnoy[],3,FALSE))</f>
        <v>3.1827000000000001</v>
      </c>
      <c r="J52" s="126">
        <f>sens_costs_regions!J$2</f>
        <v>0.36202199312714778</v>
      </c>
      <c r="K52" s="126">
        <f>sens_costs_regions!K$2</f>
        <v>0.41792411616161618</v>
      </c>
      <c r="L52" s="126">
        <f>sens_costs_regions!L$2</f>
        <v>0.48333918128654974</v>
      </c>
      <c r="M52" s="126">
        <f>sens_costs_regions!M$2</f>
        <v>0.5718158075601375</v>
      </c>
      <c r="N52" s="126">
        <f>sens_costs_regions!N$2</f>
        <v>0.65679722222222237</v>
      </c>
      <c r="O52" s="126">
        <f>sens_costs_regions!O$2</f>
        <v>0.7491286549707602</v>
      </c>
      <c r="P52" s="126">
        <f>IF(VLOOKUP($A52,Table26[],6,FALSE)=0,VLOOKUP($D52,Table15[],16,FALSE),(VLOOKUP($A52,Table26[],6,FALSE)))</f>
        <v>3.561243114361433E-3</v>
      </c>
      <c r="Q52" s="126">
        <f>IF(VLOOKUP($A52,Table26[],5,FALSE)=0,VLOOKUP($D52,Table15[],17,FALSE),(VLOOKUP($A52,Table26[],5,FALSE)))</f>
        <v>5.4130895338293777E-3</v>
      </c>
      <c r="R52" s="126">
        <f>IF(VLOOKUP($A52,Table26[],16,FALSE)=0,VLOOKUP($D52,Table15[],18,FALSE),(VLOOKUP($A52,Table26[],16,FALSE)))</f>
        <v>8.5469834744674386E-2</v>
      </c>
      <c r="S52" s="126">
        <f>IF(VLOOKUP($A52,Table26[],9,FALSE)=0,VLOOKUP($D52,Table15[],19,FALSE),(VLOOKUP($A52,Table26[],9,FALSE)))</f>
        <v>1.9907339732794047E-3</v>
      </c>
      <c r="T52" s="126">
        <f>IF(VLOOKUP($A52,Table26[],8,FALSE)=0,VLOOKUP($D52,Table15[],20,FALSE),(VLOOKUP($A52,Table26[],8,FALSE)))</f>
        <v>3.0259156393846946E-3</v>
      </c>
      <c r="U52" s="126">
        <f>IF(VLOOKUP($A52,Table26[],10,FALSE)=0,VLOOKUP($D52,Table15[],21,FALSE),(VLOOKUP($A52,Table26[],10,FALSE)))</f>
        <v>7.9629358931176189E-3</v>
      </c>
      <c r="V52" s="126">
        <f>VLOOKUP($F52,vaccine_costs!$AH$6:$AK$11,2,FALSE)</f>
        <v>4.83</v>
      </c>
      <c r="W52" s="126">
        <f>IF(VLOOKUP($A52,tordrup[],5,FALSE)=0,VLOOKUP($D52,Table15[],23,FALSE),VLOOKUP($A52,tordrup[],5,FALSE))</f>
        <v>26.044512197590766</v>
      </c>
      <c r="X52" s="126">
        <f>IF(VLOOKUP($A52,tordrup[],6,FALSE)=0,VLOOKUP($D52,Table15[],24,FALSE),VLOOKUP($A52,tordrup[],6,FALSE))</f>
        <v>55.264512197590776</v>
      </c>
      <c r="Y52" s="126">
        <f>IF(VLOOKUP($A52,tordrup[],7,FALSE)=0,VLOOKUP($D52,Table15[],25,FALSE),VLOOKUP($A52,tordrup[],7,FALSE))</f>
        <v>66.30770473986702</v>
      </c>
      <c r="Z52" s="126">
        <f>IF(VLOOKUP($A52,tordrup[],8,FALSE)=0,VLOOKUP($D52,Table15[],26,FALSE),VLOOKUP($A52,tordrup[],8,FALSE))</f>
        <v>64.467172649487651</v>
      </c>
      <c r="AA52" s="126">
        <v>82.4</v>
      </c>
      <c r="AB52" s="126">
        <v>408.79</v>
      </c>
      <c r="AC52" s="126">
        <v>2415.5</v>
      </c>
      <c r="AD52" s="126">
        <v>5434.91</v>
      </c>
      <c r="AF52" s="126">
        <v>65.432598655097792</v>
      </c>
      <c r="AG52" s="126">
        <v>348.64746342839305</v>
      </c>
      <c r="AH52" s="126">
        <v>697.29492685678611</v>
      </c>
      <c r="AI52" s="126">
        <v>2091.8847805703581</v>
      </c>
      <c r="AJ52" s="33" t="str">
        <f>IF(VLOOKUP($A52,lmic_raw[],11,FALSE)=0, "Yes", "No")</f>
        <v>Yes</v>
      </c>
    </row>
    <row r="53" spans="1:36" x14ac:dyDescent="0.25">
      <c r="A53" s="110" t="s">
        <v>270</v>
      </c>
      <c r="D53" s="84" t="s">
        <v>679</v>
      </c>
      <c r="F53" s="84" t="s">
        <v>665</v>
      </c>
      <c r="I53" s="126">
        <f>IF(VLOOKUP($A53,portnoy[],3,FALSE)=0, VLOOKUP($D53,Table15[],9,FALSE),VLOOKUP($A53,portnoy[],3,FALSE))</f>
        <v>7.6323000000000008</v>
      </c>
      <c r="J53" s="126">
        <f>sens_costs_regions!J$2</f>
        <v>0.36202199312714778</v>
      </c>
      <c r="K53" s="126">
        <f>sens_costs_regions!K$2</f>
        <v>0.41792411616161618</v>
      </c>
      <c r="L53" s="126">
        <f>sens_costs_regions!L$2</f>
        <v>0.48333918128654974</v>
      </c>
      <c r="M53" s="126">
        <f>sens_costs_regions!M$2</f>
        <v>0.5718158075601375</v>
      </c>
      <c r="N53" s="126">
        <f>sens_costs_regions!N$2</f>
        <v>0.65679722222222237</v>
      </c>
      <c r="O53" s="126">
        <f>sens_costs_regions!O$2</f>
        <v>0.7491286549707602</v>
      </c>
      <c r="P53" s="126">
        <f>IF(VLOOKUP($A53,Table26[],6,FALSE)=0,VLOOKUP($D53,Table15[],16,FALSE),(VLOOKUP($A53,Table26[],6,FALSE)))</f>
        <v>1.2330235262113244E-2</v>
      </c>
      <c r="Q53" s="126">
        <f>IF(VLOOKUP($A53,Table26[],5,FALSE)=0,VLOOKUP($D53,Table15[],17,FALSE),(VLOOKUP($A53,Table26[],5,FALSE)))</f>
        <v>1.8741957598412129E-2</v>
      </c>
      <c r="R53" s="126">
        <f>IF(VLOOKUP($A53,Table26[],16,FALSE)=0,VLOOKUP($D53,Table15[],18,FALSE),(VLOOKUP($A53,Table26[],16,FALSE)))</f>
        <v>0.29592564629071788</v>
      </c>
      <c r="S53" s="126">
        <f>IF(VLOOKUP($A53,Table26[],9,FALSE)=0,VLOOKUP($D53,Table15[],19,FALSE),(VLOOKUP($A53,Table26[],9,FALSE)))</f>
        <v>6.6299863831356673E-3</v>
      </c>
      <c r="T53" s="126">
        <f>IF(VLOOKUP($A53,Table26[],8,FALSE)=0,VLOOKUP($D53,Table15[],20,FALSE),(VLOOKUP($A53,Table26[],8,FALSE)))</f>
        <v>1.0077579302366213E-2</v>
      </c>
      <c r="U53" s="126">
        <f>IF(VLOOKUP($A53,Table26[],10,FALSE)=0,VLOOKUP($D53,Table15[],21,FALSE),(VLOOKUP($A53,Table26[],10,FALSE)))</f>
        <v>2.6519945532542669E-2</v>
      </c>
      <c r="V53" s="126">
        <f>VLOOKUP($F53,vaccine_costs!$AH$6:$AK$11,2,FALSE)</f>
        <v>0.02</v>
      </c>
      <c r="W53" s="126">
        <f>IF(VLOOKUP($A53,tordrup[],5,FALSE)=0,VLOOKUP($D53,Table15[],23,FALSE),VLOOKUP($A53,tordrup[],5,FALSE))</f>
        <v>28.792525337207461</v>
      </c>
      <c r="X53" s="126">
        <f>IF(VLOOKUP($A53,tordrup[],6,FALSE)=0,VLOOKUP($D53,Table15[],24,FALSE),VLOOKUP($A53,tordrup[],6,FALSE))</f>
        <v>58.012525337207464</v>
      </c>
      <c r="Y53" s="126">
        <f>IF(VLOOKUP($A53,tordrup[],7,FALSE)=0,VLOOKUP($D53,Table15[],25,FALSE),VLOOKUP($A53,tordrup[],7,FALSE))</f>
        <v>76.029743476626095</v>
      </c>
      <c r="Z53" s="126">
        <f>IF(VLOOKUP($A53,tordrup[],8,FALSE)=0,VLOOKUP($D53,Table15[],26,FALSE),VLOOKUP($A53,tordrup[],8,FALSE))</f>
        <v>73.026873786722987</v>
      </c>
      <c r="AA53" s="126">
        <v>82.4</v>
      </c>
      <c r="AB53" s="126">
        <v>408.79</v>
      </c>
      <c r="AC53" s="126">
        <v>2415.5</v>
      </c>
      <c r="AD53" s="126">
        <v>5434.91</v>
      </c>
      <c r="AF53" s="126">
        <v>1969.0920415047419</v>
      </c>
      <c r="AG53" s="126">
        <v>3304.7932125168559</v>
      </c>
      <c r="AH53" s="126">
        <v>6609.5864250337117</v>
      </c>
      <c r="AI53" s="126">
        <v>19828.759275101136</v>
      </c>
      <c r="AJ53" s="33" t="str">
        <f>IF(VLOOKUP($A53,lmic_raw[],11,FALSE)=0, "Yes", "No")</f>
        <v>Yes</v>
      </c>
    </row>
    <row r="54" spans="1:36" x14ac:dyDescent="0.25">
      <c r="A54" s="109" t="s">
        <v>238</v>
      </c>
      <c r="D54" s="82" t="s">
        <v>679</v>
      </c>
      <c r="F54" s="82" t="s">
        <v>665</v>
      </c>
      <c r="I54" s="126">
        <f>IF(VLOOKUP($A54,portnoy[],3,FALSE)=0, VLOOKUP($D54,Table15[],9,FALSE),VLOOKUP($A54,portnoy[],3,FALSE))</f>
        <v>1.0712000000000002</v>
      </c>
      <c r="J54" s="126">
        <f>sens_costs_regions!J$2</f>
        <v>0.36202199312714778</v>
      </c>
      <c r="K54" s="126">
        <f>sens_costs_regions!K$2</f>
        <v>0.41792411616161618</v>
      </c>
      <c r="L54" s="126">
        <f>sens_costs_regions!L$2</f>
        <v>0.48333918128654974</v>
      </c>
      <c r="M54" s="126">
        <f>sens_costs_regions!M$2</f>
        <v>0.5718158075601375</v>
      </c>
      <c r="N54" s="126">
        <f>sens_costs_regions!N$2</f>
        <v>0.65679722222222237</v>
      </c>
      <c r="O54" s="126">
        <f>sens_costs_regions!O$2</f>
        <v>0.7491286549707602</v>
      </c>
      <c r="P54" s="126">
        <f>IF(VLOOKUP($A54,Table26[],6,FALSE)=0,VLOOKUP($D54,Table15[],16,FALSE),(VLOOKUP($A54,Table26[],6,FALSE)))</f>
        <v>6.6358285888008395E-3</v>
      </c>
      <c r="Q54" s="126">
        <f>IF(VLOOKUP($A54,Table26[],5,FALSE)=0,VLOOKUP($D54,Table15[],17,FALSE),(VLOOKUP($A54,Table26[],5,FALSE)))</f>
        <v>1.0086459454977275E-2</v>
      </c>
      <c r="R54" s="126">
        <f>IF(VLOOKUP($A54,Table26[],16,FALSE)=0,VLOOKUP($D54,Table15[],18,FALSE),(VLOOKUP($A54,Table26[],16,FALSE)))</f>
        <v>0.15925988613122014</v>
      </c>
      <c r="S54" s="126">
        <f>IF(VLOOKUP($A54,Table26[],9,FALSE)=0,VLOOKUP($D54,Table15[],19,FALSE),(VLOOKUP($A54,Table26[],9,FALSE)))</f>
        <v>3.6328830411200348E-3</v>
      </c>
      <c r="T54" s="126">
        <f>IF(VLOOKUP($A54,Table26[],8,FALSE)=0,VLOOKUP($D54,Table15[],20,FALSE),(VLOOKUP($A54,Table26[],8,FALSE)))</f>
        <v>5.5219822225024522E-3</v>
      </c>
      <c r="U54" s="126">
        <f>IF(VLOOKUP($A54,Table26[],10,FALSE)=0,VLOOKUP($D54,Table15[],21,FALSE),(VLOOKUP($A54,Table26[],10,FALSE)))</f>
        <v>1.4531532164480139E-2</v>
      </c>
      <c r="V54" s="126">
        <f>VLOOKUP($F54,vaccine_costs!$AH$6:$AK$11,2,FALSE)</f>
        <v>0.02</v>
      </c>
      <c r="W54" s="126">
        <f>IF(VLOOKUP($A54,tordrup[],5,FALSE)=0,VLOOKUP($D54,Table15[],23,FALSE),VLOOKUP($A54,tordrup[],5,FALSE))</f>
        <v>24.685833982636417</v>
      </c>
      <c r="X54" s="126">
        <f>IF(VLOOKUP($A54,tordrup[],6,FALSE)=0,VLOOKUP($D54,Table15[],24,FALSE),VLOOKUP($A54,tordrup[],6,FALSE))</f>
        <v>53.905833982636416</v>
      </c>
      <c r="Y54" s="126">
        <f>IF(VLOOKUP($A54,tordrup[],7,FALSE)=0,VLOOKUP($D54,Table15[],25,FALSE),VLOOKUP($A54,tordrup[],7,FALSE))</f>
        <v>57.109765382211293</v>
      </c>
      <c r="Z54" s="126">
        <f>IF(VLOOKUP($A54,tordrup[],8,FALSE)=0,VLOOKUP($D54,Table15[],26,FALSE),VLOOKUP($A54,tordrup[],8,FALSE))</f>
        <v>56.575776815615484</v>
      </c>
      <c r="AA54" s="126">
        <v>82.4</v>
      </c>
      <c r="AB54" s="126">
        <v>408.79</v>
      </c>
      <c r="AC54" s="126">
        <v>2415.5</v>
      </c>
      <c r="AD54" s="126">
        <v>5434.91</v>
      </c>
      <c r="AF54" s="126">
        <v>165.26204919871938</v>
      </c>
      <c r="AG54" s="126">
        <v>636.24546233669798</v>
      </c>
      <c r="AH54" s="126">
        <v>1272.490924673396</v>
      </c>
      <c r="AI54" s="126">
        <v>3817.4727740201879</v>
      </c>
      <c r="AJ54" s="33" t="str">
        <f>IF(VLOOKUP($A54,lmic_raw[],11,FALSE)=0, "Yes", "No")</f>
        <v>Yes</v>
      </c>
    </row>
    <row r="55" spans="1:36" x14ac:dyDescent="0.25">
      <c r="A55" s="110" t="s">
        <v>257</v>
      </c>
      <c r="D55" s="84" t="s">
        <v>679</v>
      </c>
      <c r="F55" s="84" t="s">
        <v>665</v>
      </c>
      <c r="I55" s="126">
        <f>IF(VLOOKUP($A55,portnoy[],3,FALSE)=0, VLOOKUP($D55,Table15[],9,FALSE),VLOOKUP($A55,portnoy[],3,FALSE))</f>
        <v>3.1724000000000001</v>
      </c>
      <c r="J55" s="126">
        <f>sens_costs_regions!J$2</f>
        <v>0.36202199312714778</v>
      </c>
      <c r="K55" s="126">
        <f>sens_costs_regions!K$2</f>
        <v>0.41792411616161618</v>
      </c>
      <c r="L55" s="126">
        <f>sens_costs_regions!L$2</f>
        <v>0.48333918128654974</v>
      </c>
      <c r="M55" s="126">
        <f>sens_costs_regions!M$2</f>
        <v>0.5718158075601375</v>
      </c>
      <c r="N55" s="126">
        <f>sens_costs_regions!N$2</f>
        <v>0.65679722222222237</v>
      </c>
      <c r="O55" s="126">
        <f>sens_costs_regions!O$2</f>
        <v>0.7491286549707602</v>
      </c>
      <c r="P55" s="126">
        <f>IF(VLOOKUP($A55,Table26[],6,FALSE)=0,VLOOKUP($D55,Table15[],16,FALSE),(VLOOKUP($A55,Table26[],6,FALSE)))</f>
        <v>8.8733627836084655E-3</v>
      </c>
      <c r="Q55" s="126">
        <f>IF(VLOOKUP($A55,Table26[],5,FALSE)=0,VLOOKUP($D55,Table15[],17,FALSE),(VLOOKUP($A55,Table26[],5,FALSE)))</f>
        <v>1.3487511431084866E-2</v>
      </c>
      <c r="R55" s="126">
        <f>IF(VLOOKUP($A55,Table26[],16,FALSE)=0,VLOOKUP($D55,Table15[],18,FALSE),(VLOOKUP($A55,Table26[],16,FALSE)))</f>
        <v>0.21296070680660317</v>
      </c>
      <c r="S55" s="126">
        <f>IF(VLOOKUP($A55,Table26[],9,FALSE)=0,VLOOKUP($D55,Table15[],19,FALSE),(VLOOKUP($A55,Table26[],9,FALSE)))</f>
        <v>4.7683559086563456E-3</v>
      </c>
      <c r="T55" s="126">
        <f>IF(VLOOKUP($A55,Table26[],8,FALSE)=0,VLOOKUP($D55,Table15[],20,FALSE),(VLOOKUP($A55,Table26[],8,FALSE)))</f>
        <v>7.2479009811576454E-3</v>
      </c>
      <c r="U55" s="126">
        <f>IF(VLOOKUP($A55,Table26[],10,FALSE)=0,VLOOKUP($D55,Table15[],21,FALSE),(VLOOKUP($A55,Table26[],10,FALSE)))</f>
        <v>1.9073423634625383E-2</v>
      </c>
      <c r="V55" s="126">
        <f>VLOOKUP($F55,vaccine_costs!$AH$6:$AK$11,2,FALSE)</f>
        <v>0.02</v>
      </c>
      <c r="W55" s="126">
        <f>IF(VLOOKUP($A55,tordrup[],5,FALSE)=0,VLOOKUP($D55,Table15[],23,FALSE),VLOOKUP($A55,tordrup[],5,FALSE))</f>
        <v>26.762917760237379</v>
      </c>
      <c r="X55" s="126">
        <f>IF(VLOOKUP($A55,tordrup[],6,FALSE)=0,VLOOKUP($D55,Table15[],24,FALSE),VLOOKUP($A55,tordrup[],6,FALSE))</f>
        <v>55.982917760237378</v>
      </c>
      <c r="Y55" s="126">
        <f>IF(VLOOKUP($A55,tordrup[],7,FALSE)=0,VLOOKUP($D55,Table15[],25,FALSE),VLOOKUP($A55,tordrup[],7,FALSE))</f>
        <v>68.610637604038615</v>
      </c>
      <c r="Z55" s="126">
        <f>IF(VLOOKUP($A55,tordrup[],8,FALSE)=0,VLOOKUP($D55,Table15[],26,FALSE),VLOOKUP($A55,tordrup[],8,FALSE))</f>
        <v>66.506017630071739</v>
      </c>
      <c r="AA55" s="126">
        <v>82.4</v>
      </c>
      <c r="AB55" s="126">
        <v>408.79</v>
      </c>
      <c r="AC55" s="126">
        <v>2415.5</v>
      </c>
      <c r="AD55" s="126">
        <v>5434.91</v>
      </c>
      <c r="AF55" s="126">
        <v>2242.5868595310681</v>
      </c>
      <c r="AG55" s="126">
        <v>1287.4560953372134</v>
      </c>
      <c r="AH55" s="126">
        <v>2574.9121906744267</v>
      </c>
      <c r="AI55" s="126">
        <v>7724.7365720232801</v>
      </c>
      <c r="AJ55" s="33" t="str">
        <f>IF(VLOOKUP($A55,lmic_raw[],11,FALSE)=0, "Yes", "No")</f>
        <v>No</v>
      </c>
    </row>
    <row r="56" spans="1:36" x14ac:dyDescent="0.25">
      <c r="A56" s="109" t="s">
        <v>194</v>
      </c>
      <c r="D56" s="82" t="s">
        <v>680</v>
      </c>
      <c r="F56" s="82" t="s">
        <v>589</v>
      </c>
      <c r="I56" s="126">
        <f>IF(VLOOKUP($A56,portnoy[],3,FALSE)=0, VLOOKUP($D56,Table15[],9,FALSE),VLOOKUP($A56,portnoy[],3,FALSE))</f>
        <v>1.0815000000000001</v>
      </c>
      <c r="J56" s="126">
        <f>sens_costs_regions!J$2</f>
        <v>0.36202199312714778</v>
      </c>
      <c r="K56" s="126">
        <f>sens_costs_regions!K$2</f>
        <v>0.41792411616161618</v>
      </c>
      <c r="L56" s="126">
        <f>sens_costs_regions!L$2</f>
        <v>0.48333918128654974</v>
      </c>
      <c r="M56" s="126">
        <f>sens_costs_regions!M$2</f>
        <v>0.5718158075601375</v>
      </c>
      <c r="N56" s="126">
        <f>sens_costs_regions!N$2</f>
        <v>0.65679722222222237</v>
      </c>
      <c r="O56" s="126">
        <f>sens_costs_regions!O$2</f>
        <v>0.7491286549707602</v>
      </c>
      <c r="P56" s="126">
        <f>IF(VLOOKUP($A56,Table26[],6,FALSE)=0,VLOOKUP($D56,Table15[],16,FALSE),(VLOOKUP($A56,Table26[],6,FALSE)))</f>
        <v>7.287829334102127E-3</v>
      </c>
      <c r="Q56" s="126">
        <f>IF(VLOOKUP($A56,Table26[],5,FALSE)=0,VLOOKUP($D56,Table15[],17,FALSE),(VLOOKUP($A56,Table26[],5,FALSE)))</f>
        <v>1.1077500587835232E-2</v>
      </c>
      <c r="R56" s="126">
        <f>IF(VLOOKUP($A56,Table26[],16,FALSE)=0,VLOOKUP($D56,Table15[],18,FALSE),(VLOOKUP($A56,Table26[],16,FALSE)))</f>
        <v>0.17490790401845105</v>
      </c>
      <c r="S56" s="126">
        <f>IF(VLOOKUP($A56,Table26[],9,FALSE)=0,VLOOKUP($D56,Table15[],19,FALSE),(VLOOKUP($A56,Table26[],9,FALSE)))</f>
        <v>3.8881463853862016E-3</v>
      </c>
      <c r="T56" s="126">
        <f>IF(VLOOKUP($A56,Table26[],8,FALSE)=0,VLOOKUP($D56,Table15[],20,FALSE),(VLOOKUP($A56,Table26[],8,FALSE)))</f>
        <v>5.9099825057870262E-3</v>
      </c>
      <c r="U56" s="126">
        <f>IF(VLOOKUP($A56,Table26[],10,FALSE)=0,VLOOKUP($D56,Table15[],21,FALSE),(VLOOKUP($A56,Table26[],10,FALSE)))</f>
        <v>1.5552585541544806E-2</v>
      </c>
      <c r="V56" s="126">
        <f>VLOOKUP($F56,vaccine_costs!$AH$6:$AK$11,2,FALSE)</f>
        <v>2.4500000000000002</v>
      </c>
      <c r="W56" s="126">
        <f>IF(VLOOKUP($A56,tordrup[],5,FALSE)=0,VLOOKUP($D56,Table15[],23,FALSE),VLOOKUP($A56,tordrup[],5,FALSE))</f>
        <v>25.243679340049248</v>
      </c>
      <c r="X56" s="126">
        <f>IF(VLOOKUP($A56,tordrup[],6,FALSE)=0,VLOOKUP($D56,Table15[],24,FALSE),VLOOKUP($A56,tordrup[],6,FALSE))</f>
        <v>54.463679340049246</v>
      </c>
      <c r="Y56" s="126">
        <f>IF(VLOOKUP($A56,tordrup[],7,FALSE)=0,VLOOKUP($D56,Table15[],25,FALSE),VLOOKUP($A56,tordrup[],7,FALSE))</f>
        <v>61.474727268214323</v>
      </c>
      <c r="Z56" s="126">
        <f>IF(VLOOKUP($A56,tordrup[],8,FALSE)=0,VLOOKUP($D56,Table15[],26,FALSE),VLOOKUP($A56,tordrup[],8,FALSE))</f>
        <v>60.306219280186809</v>
      </c>
      <c r="AA56" s="126">
        <v>82.4</v>
      </c>
      <c r="AB56" s="126">
        <v>408.79</v>
      </c>
      <c r="AC56" s="126">
        <v>2415.5</v>
      </c>
      <c r="AD56" s="126">
        <v>5434.91</v>
      </c>
      <c r="AF56" s="126">
        <v>328.19395874473463</v>
      </c>
      <c r="AG56" s="126">
        <v>1049.7995240542746</v>
      </c>
      <c r="AH56" s="126">
        <v>2099.5990481085491</v>
      </c>
      <c r="AI56" s="126">
        <v>6298.7971443256474</v>
      </c>
      <c r="AJ56" s="33" t="str">
        <f>IF(VLOOKUP($A56,lmic_raw[],11,FALSE)=0, "Yes", "No")</f>
        <v>No</v>
      </c>
    </row>
    <row r="57" spans="1:36" x14ac:dyDescent="0.25">
      <c r="A57" s="110" t="s">
        <v>213</v>
      </c>
      <c r="D57" s="84" t="s">
        <v>680</v>
      </c>
      <c r="F57" s="84" t="s">
        <v>666</v>
      </c>
      <c r="I57" s="126">
        <f>IF(VLOOKUP($A57,portnoy[],3,FALSE)=0, VLOOKUP($D57,Table15[],9,FALSE),VLOOKUP($A57,portnoy[],3,FALSE))</f>
        <v>1.3390000000000002</v>
      </c>
      <c r="J57" s="126">
        <f>sens_costs_regions!J$2</f>
        <v>0.36202199312714778</v>
      </c>
      <c r="K57" s="126">
        <f>sens_costs_regions!K$2</f>
        <v>0.41792411616161618</v>
      </c>
      <c r="L57" s="126">
        <f>sens_costs_regions!L$2</f>
        <v>0.48333918128654974</v>
      </c>
      <c r="M57" s="126">
        <f>sens_costs_regions!M$2</f>
        <v>0.5718158075601375</v>
      </c>
      <c r="N57" s="126">
        <f>sens_costs_regions!N$2</f>
        <v>0.65679722222222237</v>
      </c>
      <c r="O57" s="126">
        <f>sens_costs_regions!O$2</f>
        <v>0.7491286549707602</v>
      </c>
      <c r="P57" s="126">
        <f>IF(VLOOKUP($A57,Table26[],6,FALSE)=0,VLOOKUP($D57,Table15[],16,FALSE),(VLOOKUP($A57,Table26[],6,FALSE)))</f>
        <v>1.383380363125955E-2</v>
      </c>
      <c r="Q57" s="126">
        <f>IF(VLOOKUP($A57,Table26[],5,FALSE)=0,VLOOKUP($D57,Table15[],17,FALSE),(VLOOKUP($A57,Table26[],5,FALSE)))</f>
        <v>2.1027381519514513E-2</v>
      </c>
      <c r="R57" s="126">
        <f>IF(VLOOKUP($A57,Table26[],16,FALSE)=0,VLOOKUP($D57,Table15[],18,FALSE),(VLOOKUP($A57,Table26[],16,FALSE)))</f>
        <v>0.33201128715022921</v>
      </c>
      <c r="S57" s="126">
        <f>IF(VLOOKUP($A57,Table26[],9,FALSE)=0,VLOOKUP($D57,Table15[],19,FALSE),(VLOOKUP($A57,Table26[],9,FALSE)))</f>
        <v>7.6584615978065474E-3</v>
      </c>
      <c r="T57" s="126">
        <f>IF(VLOOKUP($A57,Table26[],8,FALSE)=0,VLOOKUP($D57,Table15[],20,FALSE),(VLOOKUP($A57,Table26[],8,FALSE)))</f>
        <v>1.1640861628665952E-2</v>
      </c>
      <c r="U57" s="126">
        <f>IF(VLOOKUP($A57,Table26[],10,FALSE)=0,VLOOKUP($D57,Table15[],21,FALSE),(VLOOKUP($A57,Table26[],10,FALSE)))</f>
        <v>3.063384639122619E-2</v>
      </c>
      <c r="V57" s="126">
        <f>VLOOKUP($F57,vaccine_costs!$AH$6:$AK$11,2,FALSE)</f>
        <v>0.63</v>
      </c>
      <c r="W57" s="126">
        <f>IF(VLOOKUP($A57,tordrup[],5,FALSE)=0,VLOOKUP($D57,Table15[],23,FALSE),VLOOKUP($A57,tordrup[],5,FALSE))</f>
        <v>26.181334302509111</v>
      </c>
      <c r="X57" s="126">
        <f>IF(VLOOKUP($A57,tordrup[],6,FALSE)=0,VLOOKUP($D57,Table15[],24,FALSE),VLOOKUP($A57,tordrup[],6,FALSE))</f>
        <v>55.401334302509113</v>
      </c>
      <c r="Y57" s="126">
        <f>IF(VLOOKUP($A57,tordrup[],7,FALSE)=0,VLOOKUP($D57,Table15[],25,FALSE),VLOOKUP($A57,tordrup[],7,FALSE))</f>
        <v>66.470173098595424</v>
      </c>
      <c r="Z57" s="126">
        <f>IF(VLOOKUP($A57,tordrup[],8,FALSE)=0,VLOOKUP($D57,Table15[],26,FALSE),VLOOKUP($A57,tordrup[],8,FALSE))</f>
        <v>64.625366632581034</v>
      </c>
      <c r="AA57" s="126">
        <v>82.4</v>
      </c>
      <c r="AB57" s="126">
        <v>408.79</v>
      </c>
      <c r="AC57" s="126">
        <v>2415.5</v>
      </c>
      <c r="AD57" s="126">
        <v>5434.91</v>
      </c>
      <c r="AF57" s="126">
        <v>669.83075676443889</v>
      </c>
      <c r="AG57" s="126">
        <v>2067.7846314077683</v>
      </c>
      <c r="AH57" s="126">
        <v>4135.5692628155366</v>
      </c>
      <c r="AI57" s="126">
        <v>12406.707788446609</v>
      </c>
      <c r="AJ57" s="33" t="str">
        <f>IF(VLOOKUP($A57,lmic_raw[],11,FALSE)=0, "Yes", "No")</f>
        <v>No</v>
      </c>
    </row>
    <row r="58" spans="1:36" x14ac:dyDescent="0.25">
      <c r="A58" s="82" t="s">
        <v>195</v>
      </c>
      <c r="D58" s="82" t="s">
        <v>673</v>
      </c>
      <c r="F58" s="82" t="s">
        <v>579</v>
      </c>
      <c r="I58" s="126">
        <f>IF(VLOOKUP($A58,portnoy[],3,FALSE)=0, VLOOKUP($D58,Table15[],9,FALSE),VLOOKUP($A58,portnoy[],3,FALSE))</f>
        <v>3.2239</v>
      </c>
      <c r="J58" s="126">
        <f>sens_costs_regions!J$2</f>
        <v>0.36202199312714778</v>
      </c>
      <c r="K58" s="126">
        <f>sens_costs_regions!K$2</f>
        <v>0.41792411616161618</v>
      </c>
      <c r="L58" s="126">
        <f>sens_costs_regions!L$2</f>
        <v>0.48333918128654974</v>
      </c>
      <c r="M58" s="126">
        <f>sens_costs_regions!M$2</f>
        <v>0.5718158075601375</v>
      </c>
      <c r="N58" s="126">
        <f>sens_costs_regions!N$2</f>
        <v>0.65679722222222237</v>
      </c>
      <c r="O58" s="126">
        <f>sens_costs_regions!O$2</f>
        <v>0.7491286549707602</v>
      </c>
      <c r="P58" s="126">
        <f>IF(VLOOKUP($A58,Table26[],6,FALSE)=0,VLOOKUP($D58,Table15[],16,FALSE),(VLOOKUP($A58,Table26[],6,FALSE)))</f>
        <v>1.1094662682515881E-2</v>
      </c>
      <c r="Q58" s="126">
        <f>IF(VLOOKUP($A58,Table26[],5,FALSE)=0,VLOOKUP($D58,Table15[],17,FALSE),(VLOOKUP($A58,Table26[],5,FALSE)))</f>
        <v>1.6863887277424137E-2</v>
      </c>
      <c r="R58" s="126">
        <f>IF(VLOOKUP($A58,Table26[],16,FALSE)=0,VLOOKUP($D58,Table15[],18,FALSE),(VLOOKUP($A58,Table26[],16,FALSE)))</f>
        <v>0.26627190438038112</v>
      </c>
      <c r="S58" s="126">
        <f>IF(VLOOKUP($A58,Table26[],9,FALSE)=0,VLOOKUP($D58,Table15[],19,FALSE),(VLOOKUP($A58,Table26[],9,FALSE)))</f>
        <v>5.5671907747834089E-3</v>
      </c>
      <c r="T58" s="126">
        <f>IF(VLOOKUP($A58,Table26[],8,FALSE)=0,VLOOKUP($D58,Table15[],20,FALSE),(VLOOKUP($A58,Table26[],8,FALSE)))</f>
        <v>8.4621299776707799E-3</v>
      </c>
      <c r="U58" s="126">
        <f>IF(VLOOKUP($A58,Table26[],10,FALSE)=0,VLOOKUP($D58,Table15[],21,FALSE),(VLOOKUP($A58,Table26[],10,FALSE)))</f>
        <v>2.2268763099133636E-2</v>
      </c>
      <c r="V58" s="126">
        <f>VLOOKUP($F58,vaccine_costs!$AH$6:$AK$11,2,FALSE)</f>
        <v>0.48</v>
      </c>
      <c r="W58" s="126">
        <f>IF(VLOOKUP($A58,tordrup[],5,FALSE)=0,VLOOKUP($D58,Table15[],23,FALSE),VLOOKUP($A58,tordrup[],5,FALSE))</f>
        <v>31.902216478530043</v>
      </c>
      <c r="X58" s="126">
        <f>IF(VLOOKUP($A58,tordrup[],6,FALSE)=0,VLOOKUP($D58,Table15[],24,FALSE),VLOOKUP($A58,tordrup[],6,FALSE))</f>
        <v>61.122216478530042</v>
      </c>
      <c r="Y58" s="126">
        <f>IF(VLOOKUP($A58,tordrup[],7,FALSE)=0,VLOOKUP($D58,Table15[],25,FALSE),VLOOKUP($A58,tordrup[],7,FALSE))</f>
        <v>112.65146035726733</v>
      </c>
      <c r="Z58" s="126">
        <f>IF(VLOOKUP($A58,tordrup[],8,FALSE)=0,VLOOKUP($D58,Table15[],26,FALSE),VLOOKUP($A58,tordrup[],8,FALSE))</f>
        <v>104.06325304414446</v>
      </c>
      <c r="AA58" s="126">
        <v>82.4</v>
      </c>
      <c r="AB58" s="126">
        <v>408.79</v>
      </c>
      <c r="AC58" s="126">
        <v>2415.5</v>
      </c>
      <c r="AD58" s="126">
        <v>5434.91</v>
      </c>
      <c r="AF58" s="126">
        <v>0</v>
      </c>
      <c r="AG58" s="126">
        <v>2775.0304785074222</v>
      </c>
      <c r="AH58" s="126">
        <v>5550.0609570148445</v>
      </c>
      <c r="AI58" s="126">
        <v>16650.182871044533</v>
      </c>
      <c r="AJ58" s="33" t="str">
        <f>IF(VLOOKUP($A58,lmic_raw[],11,FALSE)=0, "Yes", "No")</f>
        <v>No</v>
      </c>
    </row>
    <row r="59" spans="1:36" x14ac:dyDescent="0.25">
      <c r="A59" s="110" t="s">
        <v>170</v>
      </c>
      <c r="D59" s="84" t="s">
        <v>673</v>
      </c>
      <c r="F59" s="84" t="s">
        <v>579</v>
      </c>
      <c r="I59" s="126">
        <f>IF(VLOOKUP($A59,portnoy[],3,FALSE)=0, VLOOKUP($D59,Table15[],9,FALSE),VLOOKUP($A59,portnoy[],3,FALSE))</f>
        <v>2.5029000000000003</v>
      </c>
      <c r="J59" s="126">
        <f>sens_costs_regions!J$2</f>
        <v>0.36202199312714778</v>
      </c>
      <c r="K59" s="126">
        <f>sens_costs_regions!K$2</f>
        <v>0.41792411616161618</v>
      </c>
      <c r="L59" s="126">
        <f>sens_costs_regions!L$2</f>
        <v>0.48333918128654974</v>
      </c>
      <c r="M59" s="126">
        <f>sens_costs_regions!M$2</f>
        <v>0.5718158075601375</v>
      </c>
      <c r="N59" s="126">
        <f>sens_costs_regions!N$2</f>
        <v>0.65679722222222237</v>
      </c>
      <c r="O59" s="126">
        <f>sens_costs_regions!O$2</f>
        <v>0.7491286549707602</v>
      </c>
      <c r="P59" s="126">
        <f>IF(VLOOKUP($A59,Table26[],6,FALSE)=0,VLOOKUP($D59,Table15[],16,FALSE),(VLOOKUP($A59,Table26[],6,FALSE)))</f>
        <v>1.069983750102753E-2</v>
      </c>
      <c r="Q59" s="126">
        <f>IF(VLOOKUP($A59,Table26[],5,FALSE)=0,VLOOKUP($D59,Table15[],17,FALSE),(VLOOKUP($A59,Table26[],5,FALSE)))</f>
        <v>1.6263753001561843E-2</v>
      </c>
      <c r="R59" s="126">
        <f>IF(VLOOKUP($A59,Table26[],16,FALSE)=0,VLOOKUP($D59,Table15[],18,FALSE),(VLOOKUP($A59,Table26[],16,FALSE)))</f>
        <v>0.25679610002466075</v>
      </c>
      <c r="S59" s="126">
        <f>IF(VLOOKUP($A59,Table26[],9,FALSE)=0,VLOOKUP($D59,Table15[],19,FALSE),(VLOOKUP($A59,Table26[],9,FALSE)))</f>
        <v>5.9734889764495418E-3</v>
      </c>
      <c r="T59" s="126">
        <f>IF(VLOOKUP($A59,Table26[],8,FALSE)=0,VLOOKUP($D59,Table15[],20,FALSE),(VLOOKUP($A59,Table26[],8,FALSE)))</f>
        <v>9.0797032442033031E-3</v>
      </c>
      <c r="U59" s="126">
        <f>IF(VLOOKUP($A59,Table26[],10,FALSE)=0,VLOOKUP($D59,Table15[],21,FALSE),(VLOOKUP($A59,Table26[],10,FALSE)))</f>
        <v>2.3893955905798167E-2</v>
      </c>
      <c r="V59" s="126">
        <f>VLOOKUP($F59,vaccine_costs!$AH$6:$AK$11,2,FALSE)</f>
        <v>0.48</v>
      </c>
      <c r="W59" s="126">
        <f>IF(VLOOKUP($A59,tordrup[],5,FALSE)=0,VLOOKUP($D59,Table15[],23,FALSE),VLOOKUP($A59,tordrup[],5,FALSE))</f>
        <v>25.801524697462078</v>
      </c>
      <c r="X59" s="126">
        <f>IF(VLOOKUP($A59,tordrup[],6,FALSE)=0,VLOOKUP($D59,Table15[],24,FALSE),VLOOKUP($A59,tordrup[],6,FALSE))</f>
        <v>55.021524697462077</v>
      </c>
      <c r="Y59" s="126">
        <f>IF(VLOOKUP($A59,tordrup[],7,FALSE)=0,VLOOKUP($D59,Table15[],25,FALSE),VLOOKUP($A59,tordrup[],7,FALSE))</f>
        <v>64.210305948565576</v>
      </c>
      <c r="Z59" s="126">
        <f>IF(VLOOKUP($A59,tordrup[],8,FALSE)=0,VLOOKUP($D59,Table15[],26,FALSE),VLOOKUP($A59,tordrup[],8,FALSE))</f>
        <v>62.678842406714992</v>
      </c>
      <c r="AA59" s="126">
        <v>82.4</v>
      </c>
      <c r="AB59" s="126">
        <v>408.79</v>
      </c>
      <c r="AC59" s="126">
        <v>2415.5</v>
      </c>
      <c r="AD59" s="126">
        <v>5434.91</v>
      </c>
      <c r="AF59" s="126">
        <v>0</v>
      </c>
      <c r="AG59" s="126">
        <v>2977.5545051840791</v>
      </c>
      <c r="AH59" s="126">
        <v>5955.1090103681581</v>
      </c>
      <c r="AI59" s="126">
        <v>17865.327031104476</v>
      </c>
      <c r="AJ59" s="33" t="str">
        <f>IF(VLOOKUP($A59,lmic_raw[],11,FALSE)=0, "Yes", "No")</f>
        <v>No</v>
      </c>
    </row>
    <row r="60" spans="1:36" x14ac:dyDescent="0.25">
      <c r="A60" s="109" t="s">
        <v>239</v>
      </c>
      <c r="D60" s="82" t="s">
        <v>679</v>
      </c>
      <c r="F60" s="82" t="s">
        <v>665</v>
      </c>
      <c r="I60" s="126">
        <f>IF(VLOOKUP($A60,portnoy[],3,FALSE)=0, VLOOKUP($D60,Table15[],9,FALSE),VLOOKUP($A60,portnoy[],3,FALSE))</f>
        <v>6.2521000000000004</v>
      </c>
      <c r="J60" s="126">
        <f>sens_costs_regions!J$2</f>
        <v>0.36202199312714778</v>
      </c>
      <c r="K60" s="126">
        <f>sens_costs_regions!K$2</f>
        <v>0.41792411616161618</v>
      </c>
      <c r="L60" s="126">
        <f>sens_costs_regions!L$2</f>
        <v>0.48333918128654974</v>
      </c>
      <c r="M60" s="126">
        <f>sens_costs_regions!M$2</f>
        <v>0.5718158075601375</v>
      </c>
      <c r="N60" s="126">
        <f>sens_costs_regions!N$2</f>
        <v>0.65679722222222237</v>
      </c>
      <c r="O60" s="126">
        <f>sens_costs_regions!O$2</f>
        <v>0.7491286549707602</v>
      </c>
      <c r="P60" s="126">
        <f>IF(VLOOKUP($A60,Table26[],6,FALSE)=0,VLOOKUP($D60,Table15[],16,FALSE),(VLOOKUP($A60,Table26[],6,FALSE)))</f>
        <v>1.0807190658018797E-2</v>
      </c>
      <c r="Q60" s="126">
        <f>IF(VLOOKUP($A60,Table26[],5,FALSE)=0,VLOOKUP($D60,Table15[],17,FALSE),(VLOOKUP($A60,Table26[],5,FALSE)))</f>
        <v>1.6426929800188568E-2</v>
      </c>
      <c r="R60" s="126">
        <f>IF(VLOOKUP($A60,Table26[],16,FALSE)=0,VLOOKUP($D60,Table15[],18,FALSE),(VLOOKUP($A60,Table26[],16,FALSE)))</f>
        <v>0.2593725757924511</v>
      </c>
      <c r="S60" s="126">
        <f>IF(VLOOKUP($A60,Table26[],9,FALSE)=0,VLOOKUP($D60,Table15[],19,FALSE),(VLOOKUP($A60,Table26[],9,FALSE)))</f>
        <v>5.5994929867420841E-3</v>
      </c>
      <c r="T60" s="126">
        <f>IF(VLOOKUP($A60,Table26[],8,FALSE)=0,VLOOKUP($D60,Table15[],20,FALSE),(VLOOKUP($A60,Table26[],8,FALSE)))</f>
        <v>8.5112293398479661E-3</v>
      </c>
      <c r="U60" s="126">
        <f>IF(VLOOKUP($A60,Table26[],10,FALSE)=0,VLOOKUP($D60,Table15[],21,FALSE),(VLOOKUP($A60,Table26[],10,FALSE)))</f>
        <v>2.2397971946968336E-2</v>
      </c>
      <c r="V60" s="126">
        <f>VLOOKUP($F60,vaccine_costs!$AH$6:$AK$11,2,FALSE)</f>
        <v>0.02</v>
      </c>
      <c r="W60" s="126">
        <f>IF(VLOOKUP($A60,tordrup[],5,FALSE)=0,VLOOKUP($D60,Table15[],23,FALSE),VLOOKUP($A60,tordrup[],5,FALSE))</f>
        <v>30.845871014492985</v>
      </c>
      <c r="X60" s="126">
        <f>IF(VLOOKUP($A60,tordrup[],6,FALSE)=0,VLOOKUP($D60,Table15[],24,FALSE),VLOOKUP($A60,tordrup[],6,FALSE))</f>
        <v>60.065871014492984</v>
      </c>
      <c r="Y60" s="126">
        <f>IF(VLOOKUP($A60,tordrup[],7,FALSE)=0,VLOOKUP($D60,Table15[],25,FALSE),VLOOKUP($A60,tordrup[],7,FALSE))</f>
        <v>94.940938473924177</v>
      </c>
      <c r="Z60" s="126">
        <f>IF(VLOOKUP($A60,tordrup[],8,FALSE)=0,VLOOKUP($D60,Table15[],26,FALSE),VLOOKUP($A60,tordrup[],8,FALSE))</f>
        <v>89.128427230685645</v>
      </c>
      <c r="AA60" s="126">
        <v>82.4</v>
      </c>
      <c r="AB60" s="126">
        <v>408.79</v>
      </c>
      <c r="AC60" s="126">
        <v>2415.5</v>
      </c>
      <c r="AD60" s="126">
        <v>5434.91</v>
      </c>
      <c r="AF60" s="126">
        <v>2977.9789149480221</v>
      </c>
      <c r="AG60" s="126">
        <v>2791.131888776054</v>
      </c>
      <c r="AH60" s="126">
        <v>5582.263777552108</v>
      </c>
      <c r="AI60" s="126">
        <v>16746.791332656325</v>
      </c>
      <c r="AJ60" s="33" t="str">
        <f>IF(VLOOKUP($A60,lmic_raw[],11,FALSE)=0, "Yes", "No")</f>
        <v>Yes</v>
      </c>
    </row>
    <row r="61" spans="1:36" x14ac:dyDescent="0.25">
      <c r="A61" s="110" t="s">
        <v>172</v>
      </c>
      <c r="D61" s="84" t="s">
        <v>673</v>
      </c>
      <c r="F61" s="84" t="s">
        <v>579</v>
      </c>
      <c r="I61" s="126">
        <f>IF(VLOOKUP($A61,portnoy[],3,FALSE)=0, VLOOKUP($D61,Table15[],9,FALSE),VLOOKUP($A61,portnoy[],3,FALSE))</f>
        <v>4.4084000000000003</v>
      </c>
      <c r="J61" s="126">
        <f>sens_costs_regions!J$2</f>
        <v>0.36202199312714778</v>
      </c>
      <c r="K61" s="126">
        <f>sens_costs_regions!K$2</f>
        <v>0.41792411616161618</v>
      </c>
      <c r="L61" s="126">
        <f>sens_costs_regions!L$2</f>
        <v>0.48333918128654974</v>
      </c>
      <c r="M61" s="126">
        <f>sens_costs_regions!M$2</f>
        <v>0.5718158075601375</v>
      </c>
      <c r="N61" s="126">
        <f>sens_costs_regions!N$2</f>
        <v>0.65679722222222237</v>
      </c>
      <c r="O61" s="126">
        <f>sens_costs_regions!O$2</f>
        <v>0.7491286549707602</v>
      </c>
      <c r="P61" s="126">
        <f>IF(VLOOKUP($A61,Table26[],6,FALSE)=0,VLOOKUP($D61,Table15[],16,FALSE),(VLOOKUP($A61,Table26[],6,FALSE)))</f>
        <v>8.2461848483513789E-3</v>
      </c>
      <c r="Q61" s="126">
        <f>IF(VLOOKUP($A61,Table26[],5,FALSE)=0,VLOOKUP($D61,Table15[],17,FALSE),(VLOOKUP($A61,Table26[],5,FALSE)))</f>
        <v>1.2534200969494095E-2</v>
      </c>
      <c r="R61" s="126">
        <f>IF(VLOOKUP($A61,Table26[],16,FALSE)=0,VLOOKUP($D61,Table15[],18,FALSE),(VLOOKUP($A61,Table26[],16,FALSE)))</f>
        <v>0.19790843636043309</v>
      </c>
      <c r="S61" s="126">
        <f>IF(VLOOKUP($A61,Table26[],9,FALSE)=0,VLOOKUP($D61,Table15[],19,FALSE),(VLOOKUP($A61,Table26[],9,FALSE)))</f>
        <v>4.4190855987659809E-3</v>
      </c>
      <c r="T61" s="126">
        <f>IF(VLOOKUP($A61,Table26[],8,FALSE)=0,VLOOKUP($D61,Table15[],20,FALSE),(VLOOKUP($A61,Table26[],8,FALSE)))</f>
        <v>6.7170101101242906E-3</v>
      </c>
      <c r="U61" s="126">
        <f>IF(VLOOKUP($A61,Table26[],10,FALSE)=0,VLOOKUP($D61,Table15[],21,FALSE),(VLOOKUP($A61,Table26[],10,FALSE)))</f>
        <v>1.7676342395063924E-2</v>
      </c>
      <c r="V61" s="126">
        <f>VLOOKUP($F61,vaccine_costs!$AH$6:$AK$11,2,FALSE)</f>
        <v>0.48</v>
      </c>
      <c r="W61" s="126">
        <f>IF(VLOOKUP($A61,tordrup[],5,FALSE)=0,VLOOKUP($D61,Table15[],23,FALSE),VLOOKUP($A61,tordrup[],5,FALSE))</f>
        <v>27.946124842166366</v>
      </c>
      <c r="X61" s="126">
        <f>IF(VLOOKUP($A61,tordrup[],6,FALSE)=0,VLOOKUP($D61,Table15[],24,FALSE),VLOOKUP($A61,tordrup[],6,FALSE))</f>
        <v>57.166124842166361</v>
      </c>
      <c r="Y61" s="126">
        <f>IF(VLOOKUP($A61,tordrup[],7,FALSE)=0,VLOOKUP($D61,Table15[],25,FALSE),VLOOKUP($A61,tordrup[],7,FALSE))</f>
        <v>81.511557031470105</v>
      </c>
      <c r="Z61" s="126">
        <f>IF(VLOOKUP($A61,tordrup[],8,FALSE)=0,VLOOKUP($D61,Table15[],26,FALSE),VLOOKUP($A61,tordrup[],8,FALSE))</f>
        <v>77.453984999919484</v>
      </c>
      <c r="AA61" s="126">
        <v>82.4</v>
      </c>
      <c r="AB61" s="126">
        <v>408.79</v>
      </c>
      <c r="AC61" s="126">
        <v>2415.5</v>
      </c>
      <c r="AD61" s="126">
        <v>5434.91</v>
      </c>
      <c r="AF61" s="126">
        <v>6103.2980442662974</v>
      </c>
      <c r="AG61" s="126">
        <v>2202.7442061541196</v>
      </c>
      <c r="AH61" s="126">
        <v>4405.4884123082393</v>
      </c>
      <c r="AI61" s="126">
        <v>13216.465236924718</v>
      </c>
      <c r="AJ61" s="33" t="str">
        <f>IF(VLOOKUP($A61,lmic_raw[],11,FALSE)=0, "Yes", "No")</f>
        <v>Yes</v>
      </c>
    </row>
    <row r="62" spans="1:36" x14ac:dyDescent="0.25">
      <c r="A62" s="109" t="s">
        <v>185</v>
      </c>
      <c r="D62" s="82" t="s">
        <v>675</v>
      </c>
      <c r="F62" s="82" t="s">
        <v>663</v>
      </c>
      <c r="I62" s="126">
        <f>IF(VLOOKUP($A62,portnoy[],3,FALSE)=0, VLOOKUP($D62,Table15[],9,FALSE),VLOOKUP($A62,portnoy[],3,FALSE))</f>
        <v>5.2015000000000002</v>
      </c>
      <c r="J62" s="126">
        <f>sens_costs_regions!J$2</f>
        <v>0.36202199312714778</v>
      </c>
      <c r="K62" s="126">
        <f>sens_costs_regions!K$2</f>
        <v>0.41792411616161618</v>
      </c>
      <c r="L62" s="126">
        <f>sens_costs_regions!L$2</f>
        <v>0.48333918128654974</v>
      </c>
      <c r="M62" s="126">
        <f>sens_costs_regions!M$2</f>
        <v>0.5718158075601375</v>
      </c>
      <c r="N62" s="126">
        <f>sens_costs_regions!N$2</f>
        <v>0.65679722222222237</v>
      </c>
      <c r="O62" s="126">
        <f>sens_costs_regions!O$2</f>
        <v>0.7491286549707602</v>
      </c>
      <c r="P62" s="126">
        <f>IF(VLOOKUP($A62,Table26[],6,FALSE)=0,VLOOKUP($D62,Table15[],16,FALSE),(VLOOKUP($A62,Table26[],6,FALSE)))</f>
        <v>1.7993261349026027E-2</v>
      </c>
      <c r="Q62" s="126">
        <f>IF(VLOOKUP($A62,Table26[],5,FALSE)=0,VLOOKUP($D62,Table15[],17,FALSE),(VLOOKUP($A62,Table26[],5,FALSE)))</f>
        <v>2.7349757250519555E-2</v>
      </c>
      <c r="R62" s="126">
        <f>IF(VLOOKUP($A62,Table26[],16,FALSE)=0,VLOOKUP($D62,Table15[],18,FALSE),(VLOOKUP($A62,Table26[],16,FALSE)))</f>
        <v>0.43183827237662459</v>
      </c>
      <c r="S62" s="126">
        <f>IF(VLOOKUP($A62,Table26[],9,FALSE)=0,VLOOKUP($D62,Table15[],19,FALSE),(VLOOKUP($A62,Table26[],9,FALSE)))</f>
        <v>9.8426755316202551E-3</v>
      </c>
      <c r="T62" s="126">
        <f>IF(VLOOKUP($A62,Table26[],8,FALSE)=0,VLOOKUP($D62,Table15[],20,FALSE),(VLOOKUP($A62,Table26[],8,FALSE)))</f>
        <v>1.4960866808062788E-2</v>
      </c>
      <c r="U62" s="126">
        <f>IF(VLOOKUP($A62,Table26[],10,FALSE)=0,VLOOKUP($D62,Table15[],21,FALSE),(VLOOKUP($A62,Table26[],10,FALSE)))</f>
        <v>3.9370702126481021E-2</v>
      </c>
      <c r="V62" s="126">
        <f>VLOOKUP($F62,vaccine_costs!$AH$6:$AK$11,2,FALSE)</f>
        <v>4.07</v>
      </c>
      <c r="W62" s="126">
        <f>IF(VLOOKUP($A62,tordrup[],5,FALSE)=0,VLOOKUP($D62,Table15[],23,FALSE),VLOOKUP($A62,tordrup[],5,FALSE))</f>
        <v>32.626228538150954</v>
      </c>
      <c r="X62" s="126">
        <f>IF(VLOOKUP($A62,tordrup[],6,FALSE)=0,VLOOKUP($D62,Table15[],24,FALSE),VLOOKUP($A62,tordrup[],6,FALSE))</f>
        <v>61.846228538150953</v>
      </c>
      <c r="Y62" s="126">
        <f>IF(VLOOKUP($A62,tordrup[],7,FALSE)=0,VLOOKUP($D62,Table15[],25,FALSE),VLOOKUP($A62,tordrup[],7,FALSE))</f>
        <v>113.89248824175851</v>
      </c>
      <c r="Z62" s="126">
        <f>IF(VLOOKUP($A62,tordrup[],8,FALSE)=0,VLOOKUP($D62,Table15[],26,FALSE),VLOOKUP($A62,tordrup[],8,FALSE))</f>
        <v>105.21811162449059</v>
      </c>
      <c r="AA62" s="126">
        <v>82.4</v>
      </c>
      <c r="AB62" s="126">
        <v>408.79</v>
      </c>
      <c r="AC62" s="126">
        <v>2415.5</v>
      </c>
      <c r="AD62" s="126">
        <v>5434.91</v>
      </c>
      <c r="AF62" s="126">
        <v>5011.2018199813074</v>
      </c>
      <c r="AG62" s="126">
        <v>4906.1951880691731</v>
      </c>
      <c r="AH62" s="126">
        <v>9812.3903761383463</v>
      </c>
      <c r="AI62" s="126">
        <v>29437.171128415037</v>
      </c>
      <c r="AJ62" s="33" t="str">
        <f>IF(VLOOKUP($A62,lmic_raw[],11,FALSE)=0, "Yes", "No")</f>
        <v>No</v>
      </c>
    </row>
    <row r="63" spans="1:36" x14ac:dyDescent="0.25">
      <c r="A63" s="110" t="s">
        <v>106</v>
      </c>
      <c r="D63" s="84" t="s">
        <v>677</v>
      </c>
      <c r="F63" s="84" t="s">
        <v>667</v>
      </c>
      <c r="I63" s="126">
        <f>IF(VLOOKUP($A63,portnoy[],3,FALSE)=0, VLOOKUP($D63,Table15[],9,FALSE),VLOOKUP($A63,portnoy[],3,FALSE))</f>
        <v>2.1732999999999998</v>
      </c>
      <c r="J63" s="126">
        <f>sens_costs_regions!J$2</f>
        <v>0.36202199312714778</v>
      </c>
      <c r="K63" s="126">
        <f>sens_costs_regions!K$2</f>
        <v>0.41792411616161618</v>
      </c>
      <c r="L63" s="126">
        <f>sens_costs_regions!L$2</f>
        <v>0.48333918128654974</v>
      </c>
      <c r="M63" s="126">
        <f>sens_costs_regions!M$2</f>
        <v>0.5718158075601375</v>
      </c>
      <c r="N63" s="126">
        <f>sens_costs_regions!N$2</f>
        <v>0.65679722222222237</v>
      </c>
      <c r="O63" s="126">
        <f>sens_costs_regions!O$2</f>
        <v>0.7491286549707602</v>
      </c>
      <c r="P63" s="126">
        <f>IF(VLOOKUP($A63,Table26[],6,FALSE)=0,VLOOKUP($D63,Table15[],16,FALSE),(VLOOKUP($A63,Table26[],6,FALSE)))</f>
        <v>6.0366583354196464E-3</v>
      </c>
      <c r="Q63" s="126">
        <f>IF(VLOOKUP($A63,Table26[],5,FALSE)=0,VLOOKUP($D63,Table15[],17,FALSE),(VLOOKUP($A63,Table26[],5,FALSE)))</f>
        <v>9.1757206698378606E-3</v>
      </c>
      <c r="R63" s="126">
        <f>IF(VLOOKUP($A63,Table26[],16,FALSE)=0,VLOOKUP($D63,Table15[],18,FALSE),(VLOOKUP($A63,Table26[],16,FALSE)))</f>
        <v>0.14487980005007151</v>
      </c>
      <c r="S63" s="126">
        <f>IF(VLOOKUP($A63,Table26[],9,FALSE)=0,VLOOKUP($D63,Table15[],19,FALSE),(VLOOKUP($A63,Table26[],9,FALSE)))</f>
        <v>3.3639757711831481E-3</v>
      </c>
      <c r="T63" s="126">
        <f>IF(VLOOKUP($A63,Table26[],8,FALSE)=0,VLOOKUP($D63,Table15[],20,FALSE),(VLOOKUP($A63,Table26[],8,FALSE)))</f>
        <v>5.1132431721983848E-3</v>
      </c>
      <c r="U63" s="126">
        <f>IF(VLOOKUP($A63,Table26[],10,FALSE)=0,VLOOKUP($D63,Table15[],21,FALSE),(VLOOKUP($A63,Table26[],10,FALSE)))</f>
        <v>1.3455903084732592E-2</v>
      </c>
      <c r="V63" s="126">
        <f>VLOOKUP($F63,vaccine_costs!$AH$6:$AK$11,2,FALSE)</f>
        <v>4.83</v>
      </c>
      <c r="W63" s="126">
        <f>IF(VLOOKUP($A63,tordrup[],5,FALSE)=0,VLOOKUP($D63,Table15[],23,FALSE),VLOOKUP($A63,tordrup[],5,FALSE))</f>
        <v>24.531536330586061</v>
      </c>
      <c r="X63" s="126">
        <f>IF(VLOOKUP($A63,tordrup[],6,FALSE)=0,VLOOKUP($D63,Table15[],24,FALSE),VLOOKUP($A63,tordrup[],6,FALSE))</f>
        <v>53.751536330586063</v>
      </c>
      <c r="Y63" s="126">
        <f>IF(VLOOKUP($A63,tordrup[],7,FALSE)=0,VLOOKUP($D63,Table15[],25,FALSE),VLOOKUP($A63,tordrup[],7,FALSE))</f>
        <v>57.135639911555117</v>
      </c>
      <c r="Z63" s="126">
        <f>IF(VLOOKUP($A63,tordrup[],8,FALSE)=0,VLOOKUP($D63,Table15[],26,FALSE),VLOOKUP($A63,tordrup[],8,FALSE))</f>
        <v>56.571622648060284</v>
      </c>
      <c r="AA63" s="126">
        <v>82.4</v>
      </c>
      <c r="AB63" s="126">
        <v>408.79</v>
      </c>
      <c r="AC63" s="126">
        <v>2415.5</v>
      </c>
      <c r="AD63" s="126">
        <v>5434.91</v>
      </c>
      <c r="AF63" s="126">
        <v>586.73946013291015</v>
      </c>
      <c r="AG63" s="126">
        <v>908.27345821944994</v>
      </c>
      <c r="AH63" s="126">
        <v>1816.5469164388999</v>
      </c>
      <c r="AI63" s="126">
        <v>5449.6407493166998</v>
      </c>
      <c r="AJ63" s="33" t="str">
        <f>IF(VLOOKUP($A63,lmic_raw[],11,FALSE)=0, "Yes", "No")</f>
        <v>Yes</v>
      </c>
    </row>
    <row r="64" spans="1:36" x14ac:dyDescent="0.25">
      <c r="A64" s="109" t="s">
        <v>288</v>
      </c>
      <c r="D64" s="82" t="s">
        <v>681</v>
      </c>
      <c r="F64" s="82" t="s">
        <v>666</v>
      </c>
      <c r="I64" s="126">
        <f>IF(VLOOKUP($A64,portnoy[],3,FALSE)=0, VLOOKUP($D64,Table15[],9,FALSE),VLOOKUP($A64,portnoy[],3,FALSE))</f>
        <v>9.4657</v>
      </c>
      <c r="J64" s="126">
        <f>sens_costs_regions!J$2</f>
        <v>0.36202199312714778</v>
      </c>
      <c r="K64" s="126">
        <f>sens_costs_regions!K$2</f>
        <v>0.41792411616161618</v>
      </c>
      <c r="L64" s="126">
        <f>sens_costs_regions!L$2</f>
        <v>0.48333918128654974</v>
      </c>
      <c r="M64" s="126">
        <f>sens_costs_regions!M$2</f>
        <v>0.5718158075601375</v>
      </c>
      <c r="N64" s="126">
        <f>sens_costs_regions!N$2</f>
        <v>0.65679722222222237</v>
      </c>
      <c r="O64" s="126">
        <f>sens_costs_regions!O$2</f>
        <v>0.7491286549707602</v>
      </c>
      <c r="P64" s="126">
        <f>IF(VLOOKUP($A64,Table26[],6,FALSE)=0,VLOOKUP($D64,Table15[],16,FALSE),(VLOOKUP($A64,Table26[],6,FALSE)))</f>
        <v>5.4217471737954565E-3</v>
      </c>
      <c r="Q64" s="126">
        <f>IF(VLOOKUP($A64,Table26[],5,FALSE)=0,VLOOKUP($D64,Table15[],17,FALSE),(VLOOKUP($A64,Table26[],5,FALSE)))</f>
        <v>8.2410557041690934E-3</v>
      </c>
      <c r="R64" s="126">
        <f>IF(VLOOKUP($A64,Table26[],16,FALSE)=0,VLOOKUP($D64,Table15[],18,FALSE),(VLOOKUP($A64,Table26[],16,FALSE)))</f>
        <v>0.13012193217109097</v>
      </c>
      <c r="S64" s="126">
        <f>IF(VLOOKUP($A64,Table26[],9,FALSE)=0,VLOOKUP($D64,Table15[],19,FALSE),(VLOOKUP($A64,Table26[],9,FALSE)))</f>
        <v>3.0649608130737852E-3</v>
      </c>
      <c r="T64" s="126">
        <f>IF(VLOOKUP($A64,Table26[],8,FALSE)=0,VLOOKUP($D64,Table15[],20,FALSE),(VLOOKUP($A64,Table26[],8,FALSE)))</f>
        <v>4.6587404358721532E-3</v>
      </c>
      <c r="U64" s="126">
        <f>IF(VLOOKUP($A64,Table26[],10,FALSE)=0,VLOOKUP($D64,Table15[],21,FALSE),(VLOOKUP($A64,Table26[],10,FALSE)))</f>
        <v>1.2259843252295141E-2</v>
      </c>
      <c r="V64" s="126">
        <f>VLOOKUP($F64,vaccine_costs!$AH$6:$AK$11,2,FALSE)</f>
        <v>0.63</v>
      </c>
      <c r="W64" s="126">
        <f>IF(VLOOKUP($A64,tordrup[],5,FALSE)=0,VLOOKUP($D64,Table15[],23,FALSE),VLOOKUP($A64,tordrup[],5,FALSE))</f>
        <v>27.439453619227407</v>
      </c>
      <c r="X64" s="126">
        <f>IF(VLOOKUP($A64,tordrup[],6,FALSE)=0,VLOOKUP($D64,Table15[],24,FALSE),VLOOKUP($A64,tordrup[],6,FALSE))</f>
        <v>56.659453619227406</v>
      </c>
      <c r="Y64" s="126">
        <f>IF(VLOOKUP($A64,tordrup[],7,FALSE)=0,VLOOKUP($D64,Table15[],25,FALSE),VLOOKUP($A64,tordrup[],7,FALSE))</f>
        <v>69.075666989218078</v>
      </c>
      <c r="Z64" s="126">
        <f>IF(VLOOKUP($A64,tordrup[],8,FALSE)=0,VLOOKUP($D64,Table15[],26,FALSE),VLOOKUP($A64,tordrup[],8,FALSE))</f>
        <v>67.00629809421963</v>
      </c>
      <c r="AA64" s="126">
        <v>82.4</v>
      </c>
      <c r="AB64" s="126">
        <v>408.79</v>
      </c>
      <c r="AC64" s="126">
        <v>2415.5</v>
      </c>
      <c r="AD64" s="126">
        <v>5434.91</v>
      </c>
      <c r="AF64" s="126">
        <v>0</v>
      </c>
      <c r="AG64" s="126">
        <v>827.53941952992216</v>
      </c>
      <c r="AH64" s="126">
        <v>1655.0788390598443</v>
      </c>
      <c r="AI64" s="126">
        <v>4965.2365171795327</v>
      </c>
      <c r="AJ64" s="33" t="str">
        <f>IF(VLOOKUP($A64,lmic_raw[],11,FALSE)=0, "Yes", "No")</f>
        <v>No</v>
      </c>
    </row>
    <row r="65" spans="1:36" x14ac:dyDescent="0.25">
      <c r="A65" s="82" t="s">
        <v>610</v>
      </c>
      <c r="D65" s="84" t="s">
        <v>680</v>
      </c>
      <c r="F65" s="84" t="s">
        <v>666</v>
      </c>
      <c r="I65" s="126">
        <f>IF(VLOOKUP($A65,portnoy[],3,FALSE)=0, VLOOKUP($D65,Table15[],9,FALSE),VLOOKUP($A65,portnoy[],3,FALSE))</f>
        <v>2.6368</v>
      </c>
      <c r="J65" s="126">
        <f>sens_costs_regions!J$2</f>
        <v>0.36202199312714778</v>
      </c>
      <c r="K65" s="126">
        <f>sens_costs_regions!K$2</f>
        <v>0.41792411616161618</v>
      </c>
      <c r="L65" s="126">
        <f>sens_costs_regions!L$2</f>
        <v>0.48333918128654974</v>
      </c>
      <c r="M65" s="126">
        <f>sens_costs_regions!M$2</f>
        <v>0.5718158075601375</v>
      </c>
      <c r="N65" s="126">
        <f>sens_costs_regions!N$2</f>
        <v>0.65679722222222237</v>
      </c>
      <c r="O65" s="126">
        <f>sens_costs_regions!O$2</f>
        <v>0.7491286549707602</v>
      </c>
      <c r="P65" s="126">
        <f>IF(VLOOKUP($A65,Table26[],6,FALSE)=0,VLOOKUP($D65,Table15[],16,FALSE),(VLOOKUP($A65,Table26[],6,FALSE)))</f>
        <v>8.4041782255663451E-3</v>
      </c>
      <c r="Q65" s="126">
        <f>IF(VLOOKUP($A65,Table26[],5,FALSE)=0,VLOOKUP($D65,Table15[],17,FALSE),(VLOOKUP($A65,Table26[],5,FALSE)))</f>
        <v>1.2774350902860842E-2</v>
      </c>
      <c r="R65" s="126">
        <f>IF(VLOOKUP($A65,Table26[],16,FALSE)=0,VLOOKUP($D65,Table15[],18,FALSE),(VLOOKUP($A65,Table26[],16,FALSE)))</f>
        <v>0.20170027741359228</v>
      </c>
      <c r="S65" s="126">
        <f>IF(VLOOKUP($A65,Table26[],9,FALSE)=0,VLOOKUP($D65,Table15[],19,FALSE),(VLOOKUP($A65,Table26[],9,FALSE)))</f>
        <v>4.5357250219155119E-3</v>
      </c>
      <c r="T65" s="126">
        <f>IF(VLOOKUP($A65,Table26[],8,FALSE)=0,VLOOKUP($D65,Table15[],20,FALSE),(VLOOKUP($A65,Table26[],8,FALSE)))</f>
        <v>6.894302033311578E-3</v>
      </c>
      <c r="U65" s="126">
        <f>IF(VLOOKUP($A65,Table26[],10,FALSE)=0,VLOOKUP($D65,Table15[],21,FALSE),(VLOOKUP($A65,Table26[],10,FALSE)))</f>
        <v>0.10885740052597229</v>
      </c>
      <c r="V65" s="126">
        <f>VLOOKUP($F65,vaccine_costs!$AH$6:$AK$11,2,FALSE)</f>
        <v>0.63</v>
      </c>
      <c r="W65" s="126">
        <f>IF(VLOOKUP($A65,tordrup[],5,FALSE)=0,VLOOKUP($D65,Table15[],23,FALSE),VLOOKUP($A65,tordrup[],5,FALSE))</f>
        <v>25.453070081405755</v>
      </c>
      <c r="X65" s="126">
        <f>IF(VLOOKUP($A65,tordrup[],6,FALSE)=0,VLOOKUP($D65,Table15[],24,FALSE),VLOOKUP($A65,tordrup[],6,FALSE))</f>
        <v>54.673070081405761</v>
      </c>
      <c r="Y65" s="126">
        <f>IF(VLOOKUP($A65,tordrup[],7,FALSE)=0,VLOOKUP($D65,Table15[],25,FALSE),VLOOKUP($A65,tordrup[],7,FALSE))</f>
        <v>62.681774864609807</v>
      </c>
      <c r="Z65" s="126">
        <f>IF(VLOOKUP($A65,tordrup[],8,FALSE)=0,VLOOKUP($D65,Table15[],26,FALSE),VLOOKUP($A65,tordrup[],8,FALSE))</f>
        <v>61.346990734075796</v>
      </c>
      <c r="AA65" s="126">
        <v>82.4</v>
      </c>
      <c r="AB65" s="126">
        <v>408.79</v>
      </c>
      <c r="AC65" s="126">
        <v>2415.5</v>
      </c>
      <c r="AD65" s="126">
        <v>5434.91</v>
      </c>
      <c r="AF65" s="126">
        <v>0</v>
      </c>
      <c r="AG65" s="126">
        <v>934.12</v>
      </c>
      <c r="AH65" s="126">
        <v>1868.24</v>
      </c>
      <c r="AI65" s="126">
        <v>5604.72</v>
      </c>
      <c r="AJ65" s="33" t="str">
        <f>IF(VLOOKUP($A65,lmic_raw[],11,FALSE)=0, "Yes", "No")</f>
        <v>No</v>
      </c>
    </row>
    <row r="66" spans="1:36" x14ac:dyDescent="0.25">
      <c r="A66" s="82" t="s">
        <v>186</v>
      </c>
      <c r="D66" s="82" t="s">
        <v>675</v>
      </c>
      <c r="F66" s="82" t="s">
        <v>663</v>
      </c>
      <c r="I66" s="126">
        <f>IF(VLOOKUP($A66,portnoy[],3,FALSE)=0, VLOOKUP($D66,Table15[],9,FALSE),VLOOKUP($A66,portnoy[],3,FALSE))</f>
        <v>3.3372000000000002</v>
      </c>
      <c r="J66" s="126">
        <f>sens_costs_regions!J$2</f>
        <v>0.36202199312714778</v>
      </c>
      <c r="K66" s="126">
        <f>sens_costs_regions!K$2</f>
        <v>0.41792411616161618</v>
      </c>
      <c r="L66" s="126">
        <f>sens_costs_regions!L$2</f>
        <v>0.48333918128654974</v>
      </c>
      <c r="M66" s="126">
        <f>sens_costs_regions!M$2</f>
        <v>0.5718158075601375</v>
      </c>
      <c r="N66" s="126">
        <f>sens_costs_regions!N$2</f>
        <v>0.65679722222222237</v>
      </c>
      <c r="O66" s="126">
        <f>sens_costs_regions!O$2</f>
        <v>0.7491286549707602</v>
      </c>
      <c r="P66" s="126">
        <f>IF(VLOOKUP($A66,Table26[],6,FALSE)=0,VLOOKUP($D66,Table15[],16,FALSE),(VLOOKUP($A66,Table26[],6,FALSE)))</f>
        <v>4.4900669087181251E-3</v>
      </c>
      <c r="Q66" s="126">
        <f>IF(VLOOKUP($A66,Table26[],5,FALSE)=0,VLOOKUP($D66,Table15[],17,FALSE),(VLOOKUP($A66,Table26[],5,FALSE)))</f>
        <v>6.8249017012515503E-3</v>
      </c>
      <c r="R66" s="126">
        <f>IF(VLOOKUP($A66,Table26[],16,FALSE)=0,VLOOKUP($D66,Table15[],18,FALSE),(VLOOKUP($A66,Table26[],16,FALSE)))</f>
        <v>0.10776160580923501</v>
      </c>
      <c r="S66" s="126">
        <f>IF(VLOOKUP($A66,Table26[],9,FALSE)=0,VLOOKUP($D66,Table15[],19,FALSE),(VLOOKUP($A66,Table26[],9,FALSE)))</f>
        <v>2.4248018363983727E-3</v>
      </c>
      <c r="T66" s="126">
        <f>IF(VLOOKUP($A66,Table26[],8,FALSE)=0,VLOOKUP($D66,Table15[],20,FALSE),(VLOOKUP($A66,Table26[],8,FALSE)))</f>
        <v>3.6856987913255262E-3</v>
      </c>
      <c r="U66" s="126">
        <f>IF(VLOOKUP($A66,Table26[],10,FALSE)=0,VLOOKUP($D66,Table15[],21,FALSE),(VLOOKUP($A66,Table26[],10,FALSE)))</f>
        <v>9.6992073455934909E-3</v>
      </c>
      <c r="V66" s="126">
        <f>VLOOKUP($F66,vaccine_costs!$AH$6:$AK$11,2,FALSE)</f>
        <v>4.07</v>
      </c>
      <c r="W66" s="126">
        <f>IF(VLOOKUP($A66,tordrup[],5,FALSE)=0,VLOOKUP($D66,Table15[],23,FALSE),VLOOKUP($A66,tordrup[],5,FALSE))</f>
        <v>24.673964932478697</v>
      </c>
      <c r="X66" s="126">
        <f>IF(VLOOKUP($A66,tordrup[],6,FALSE)=0,VLOOKUP($D66,Table15[],24,FALSE),VLOOKUP($A66,tordrup[],6,FALSE))</f>
        <v>53.893964932478696</v>
      </c>
      <c r="Y66" s="126">
        <f>IF(VLOOKUP($A66,tordrup[],7,FALSE)=0,VLOOKUP($D66,Table15[],25,FALSE),VLOOKUP($A66,tordrup[],7,FALSE))</f>
        <v>58.210263712835072</v>
      </c>
      <c r="Z66" s="126">
        <f>IF(VLOOKUP($A66,tordrup[],8,FALSE)=0,VLOOKUP($D66,Table15[],26,FALSE),VLOOKUP($A66,tordrup[],8,FALSE))</f>
        <v>57.490880582775674</v>
      </c>
      <c r="AA66" s="126">
        <v>82.4</v>
      </c>
      <c r="AB66" s="126">
        <v>408.79</v>
      </c>
      <c r="AC66" s="126">
        <v>2415.5</v>
      </c>
      <c r="AD66" s="126">
        <v>5434.91</v>
      </c>
      <c r="AF66" s="126">
        <v>878.72642611309573</v>
      </c>
      <c r="AG66" s="126">
        <v>654.69649582756063</v>
      </c>
      <c r="AH66" s="126">
        <v>1309.3929916551213</v>
      </c>
      <c r="AI66" s="126">
        <v>3928.1789749653635</v>
      </c>
      <c r="AJ66" s="33" t="str">
        <f>IF(VLOOKUP($A66,lmic_raw[],11,FALSE)=0, "Yes", "No")</f>
        <v>No</v>
      </c>
    </row>
    <row r="67" spans="1:36" x14ac:dyDescent="0.25">
      <c r="A67" s="82" t="s">
        <v>628</v>
      </c>
      <c r="D67" s="84" t="s">
        <v>681</v>
      </c>
      <c r="F67" s="84" t="s">
        <v>666</v>
      </c>
      <c r="I67" s="126">
        <f>IF(VLOOKUP($A67,portnoy[],3,FALSE)=0, VLOOKUP($D67,Table15[],9,FALSE),VLOOKUP($A67,portnoy[],3,FALSE))</f>
        <v>1.7716000000000001</v>
      </c>
      <c r="J67" s="126">
        <f>sens_costs_regions!J$2</f>
        <v>0.36202199312714778</v>
      </c>
      <c r="K67" s="126">
        <f>sens_costs_regions!K$2</f>
        <v>0.41792411616161618</v>
      </c>
      <c r="L67" s="126">
        <f>sens_costs_regions!L$2</f>
        <v>0.48333918128654974</v>
      </c>
      <c r="M67" s="126">
        <f>sens_costs_regions!M$2</f>
        <v>0.5718158075601375</v>
      </c>
      <c r="N67" s="126">
        <f>sens_costs_regions!N$2</f>
        <v>0.65679722222222237</v>
      </c>
      <c r="O67" s="126">
        <f>sens_costs_regions!O$2</f>
        <v>0.7491286549707602</v>
      </c>
      <c r="P67" s="126">
        <f>IF(VLOOKUP($A67,Table26[],6,FALSE)=0,VLOOKUP($D67,Table15[],16,FALSE),(VLOOKUP($A67,Table26[],6,FALSE)))</f>
        <v>8.7105021431821035E-3</v>
      </c>
      <c r="Q67" s="126">
        <f>IF(VLOOKUP($A67,Table26[],5,FALSE)=0,VLOOKUP($D67,Table15[],17,FALSE),(VLOOKUP($A67,Table26[],5,FALSE)))</f>
        <v>1.3239963257636796E-2</v>
      </c>
      <c r="R67" s="126">
        <f>IF(VLOOKUP($A67,Table26[],16,FALSE)=0,VLOOKUP($D67,Table15[],18,FALSE),(VLOOKUP($A67,Table26[],16,FALSE)))</f>
        <v>0.20905205143637048</v>
      </c>
      <c r="S67" s="126">
        <f>IF(VLOOKUP($A67,Table26[],9,FALSE)=0,VLOOKUP($D67,Table15[],19,FALSE),(VLOOKUP($A67,Table26[],9,FALSE)))</f>
        <v>4.6942560739097203E-3</v>
      </c>
      <c r="T67" s="126">
        <f>IF(VLOOKUP($A67,Table26[],8,FALSE)=0,VLOOKUP($D67,Table15[],20,FALSE),(VLOOKUP($A67,Table26[],8,FALSE)))</f>
        <v>7.1352692323427749E-3</v>
      </c>
      <c r="U67" s="126">
        <f>IF(VLOOKUP($A67,Table26[],10,FALSE)=0,VLOOKUP($D67,Table15[],21,FALSE),(VLOOKUP($A67,Table26[],10,FALSE)))</f>
        <v>1.8777024295638881E-2</v>
      </c>
      <c r="V67" s="126">
        <f>VLOOKUP($F67,vaccine_costs!$AH$6:$AK$11,2,FALSE)</f>
        <v>0.63</v>
      </c>
      <c r="W67" s="126">
        <f>IF(VLOOKUP($A67,tordrup[],5,FALSE)=0,VLOOKUP($D67,Table15[],23,FALSE),VLOOKUP($A67,tordrup[],5,FALSE))</f>
        <v>28.745048754105269</v>
      </c>
      <c r="X67" s="126">
        <f>IF(VLOOKUP($A67,tordrup[],6,FALSE)=0,VLOOKUP($D67,Table15[],24,FALSE),VLOOKUP($A67,tordrup[],6,FALSE))</f>
        <v>57.965048754105275</v>
      </c>
      <c r="Y67" s="126">
        <f>IF(VLOOKUP($A67,tordrup[],7,FALSE)=0,VLOOKUP($D67,Table15[],25,FALSE),VLOOKUP($A67,tordrup[],7,FALSE))</f>
        <v>83.006818950712187</v>
      </c>
      <c r="Z67" s="126">
        <f>IF(VLOOKUP($A67,tordrup[],8,FALSE)=0,VLOOKUP($D67,Table15[],26,FALSE),VLOOKUP($A67,tordrup[],8,FALSE))</f>
        <v>78.833190584611032</v>
      </c>
      <c r="AA67" s="126">
        <v>82.4</v>
      </c>
      <c r="AB67" s="126">
        <v>408.79</v>
      </c>
      <c r="AC67" s="126">
        <v>2415.5</v>
      </c>
      <c r="AD67" s="126">
        <v>5434.91</v>
      </c>
      <c r="AF67" s="126">
        <v>0</v>
      </c>
      <c r="AG67" s="126">
        <v>1267.4491399556246</v>
      </c>
      <c r="AH67" s="126">
        <v>2534.8982799112491</v>
      </c>
      <c r="AI67" s="126">
        <v>7604.6948397337474</v>
      </c>
      <c r="AJ67" s="33" t="str">
        <f>IF(VLOOKUP($A67,lmic_raw[],11,FALSE)=0, "Yes", "No")</f>
        <v>No</v>
      </c>
    </row>
    <row r="68" spans="1:36" x14ac:dyDescent="0.25">
      <c r="A68" s="109" t="s">
        <v>174</v>
      </c>
      <c r="D68" s="82" t="s">
        <v>673</v>
      </c>
      <c r="F68" s="82" t="s">
        <v>579</v>
      </c>
      <c r="I68" s="126">
        <f>IF(VLOOKUP($A68,portnoy[],3,FALSE)=0, VLOOKUP($D68,Table15[],9,FALSE),VLOOKUP($A68,portnoy[],3,FALSE))</f>
        <v>3.9037000000000002</v>
      </c>
      <c r="J68" s="126">
        <f>sens_costs_regions!J$2</f>
        <v>0.36202199312714778</v>
      </c>
      <c r="K68" s="126">
        <f>sens_costs_regions!K$2</f>
        <v>0.41792411616161618</v>
      </c>
      <c r="L68" s="126">
        <f>sens_costs_regions!L$2</f>
        <v>0.48333918128654974</v>
      </c>
      <c r="M68" s="126">
        <f>sens_costs_regions!M$2</f>
        <v>0.5718158075601375</v>
      </c>
      <c r="N68" s="126">
        <f>sens_costs_regions!N$2</f>
        <v>0.65679722222222237</v>
      </c>
      <c r="O68" s="126">
        <f>sens_costs_regions!O$2</f>
        <v>0.7491286549707602</v>
      </c>
      <c r="P68" s="126">
        <f>IF(VLOOKUP($A68,Table26[],6,FALSE)=0,VLOOKUP($D68,Table15[],16,FALSE),(VLOOKUP($A68,Table26[],6,FALSE)))</f>
        <v>1.4502963039790711E-2</v>
      </c>
      <c r="Q68" s="126">
        <f>IF(VLOOKUP($A68,Table26[],5,FALSE)=0,VLOOKUP($D68,Table15[],17,FALSE),(VLOOKUP($A68,Table26[],5,FALSE)))</f>
        <v>2.2044503820481877E-2</v>
      </c>
      <c r="R68" s="126">
        <f>IF(VLOOKUP($A68,Table26[],16,FALSE)=0,VLOOKUP($D68,Table15[],18,FALSE),(VLOOKUP($A68,Table26[],16,FALSE)))</f>
        <v>0.34807111295497706</v>
      </c>
      <c r="S68" s="126">
        <f>IF(VLOOKUP($A68,Table26[],9,FALSE)=0,VLOOKUP($D68,Table15[],19,FALSE),(VLOOKUP($A68,Table26[],9,FALSE)))</f>
        <v>7.6071011868969318E-3</v>
      </c>
      <c r="T68" s="126">
        <f>IF(VLOOKUP($A68,Table26[],8,FALSE)=0,VLOOKUP($D68,Table15[],20,FALSE),(VLOOKUP($A68,Table26[],8,FALSE)))</f>
        <v>1.1562793804083335E-2</v>
      </c>
      <c r="U68" s="126">
        <f>IF(VLOOKUP($A68,Table26[],10,FALSE)=0,VLOOKUP($D68,Table15[],21,FALSE),(VLOOKUP($A68,Table26[],10,FALSE)))</f>
        <v>3.0428404747587727E-2</v>
      </c>
      <c r="V68" s="126">
        <f>VLOOKUP($F68,vaccine_costs!$AH$6:$AK$11,2,FALSE)</f>
        <v>0.48</v>
      </c>
      <c r="W68" s="126">
        <f>IF(VLOOKUP($A68,tordrup[],5,FALSE)=0,VLOOKUP($D68,Table15[],23,FALSE),VLOOKUP($A68,tordrup[],5,FALSE))</f>
        <v>35.094990970956665</v>
      </c>
      <c r="X68" s="126">
        <f>IF(VLOOKUP($A68,tordrup[],6,FALSE)=0,VLOOKUP($D68,Table15[],24,FALSE),VLOOKUP($A68,tordrup[],6,FALSE))</f>
        <v>64.314990970956671</v>
      </c>
      <c r="Y68" s="126">
        <f>IF(VLOOKUP($A68,tordrup[],7,FALSE)=0,VLOOKUP($D68,Table15[],25,FALSE),VLOOKUP($A68,tordrup[],7,FALSE))</f>
        <v>132.21640263725263</v>
      </c>
      <c r="Z68" s="126">
        <f>IF(VLOOKUP($A68,tordrup[],8,FALSE)=0,VLOOKUP($D68,Table15[],26,FALSE),VLOOKUP($A68,tordrup[],8,FALSE))</f>
        <v>120.89950069286996</v>
      </c>
      <c r="AA68" s="126">
        <v>82.4</v>
      </c>
      <c r="AB68" s="126">
        <v>408.79</v>
      </c>
      <c r="AC68" s="126">
        <v>2415.5</v>
      </c>
      <c r="AD68" s="126">
        <v>5434.91</v>
      </c>
      <c r="AF68" s="126">
        <v>7007.4019305082584</v>
      </c>
      <c r="AG68" s="126">
        <v>3791.8473608532395</v>
      </c>
      <c r="AH68" s="126">
        <v>7583.694721706479</v>
      </c>
      <c r="AI68" s="126">
        <v>22751.084165119435</v>
      </c>
      <c r="AJ68" s="33" t="str">
        <f>IF(VLOOKUP($A68,lmic_raw[],11,FALSE)=0, "Yes", "No")</f>
        <v>No</v>
      </c>
    </row>
    <row r="69" spans="1:36" x14ac:dyDescent="0.25">
      <c r="A69" s="110" t="s">
        <v>134</v>
      </c>
      <c r="D69" s="84" t="s">
        <v>677</v>
      </c>
      <c r="F69" s="84" t="s">
        <v>667</v>
      </c>
      <c r="I69" s="126">
        <f>IF(VLOOKUP($A69,portnoy[],3,FALSE)=0, VLOOKUP($D69,Table15[],9,FALSE),VLOOKUP($A69,portnoy[],3,FALSE))</f>
        <v>4.1406000000000001</v>
      </c>
      <c r="J69" s="126">
        <f>sens_costs_regions!J$2</f>
        <v>0.36202199312714778</v>
      </c>
      <c r="K69" s="126">
        <f>sens_costs_regions!K$2</f>
        <v>0.41792411616161618</v>
      </c>
      <c r="L69" s="126">
        <f>sens_costs_regions!L$2</f>
        <v>0.48333918128654974</v>
      </c>
      <c r="M69" s="126">
        <f>sens_costs_regions!M$2</f>
        <v>0.5718158075601375</v>
      </c>
      <c r="N69" s="126">
        <f>sens_costs_regions!N$2</f>
        <v>0.65679722222222237</v>
      </c>
      <c r="O69" s="126">
        <f>sens_costs_regions!O$2</f>
        <v>0.7491286549707602</v>
      </c>
      <c r="P69" s="126">
        <f>IF(VLOOKUP($A69,Table26[],6,FALSE)=0,VLOOKUP($D69,Table15[],16,FALSE),(VLOOKUP($A69,Table26[],6,FALSE)))</f>
        <v>3.6396821809857008E-3</v>
      </c>
      <c r="Q69" s="126">
        <f>IF(VLOOKUP($A69,Table26[],5,FALSE)=0,VLOOKUP($D69,Table15[],17,FALSE),(VLOOKUP($A69,Table26[],5,FALSE)))</f>
        <v>5.5323169150982643E-3</v>
      </c>
      <c r="R69" s="126">
        <f>IF(VLOOKUP($A69,Table26[],16,FALSE)=0,VLOOKUP($D69,Table15[],18,FALSE),(VLOOKUP($A69,Table26[],16,FALSE)))</f>
        <v>8.7352372343656823E-2</v>
      </c>
      <c r="S69" s="126">
        <f>IF(VLOOKUP($A69,Table26[],9,FALSE)=0,VLOOKUP($D69,Table15[],19,FALSE),(VLOOKUP($A69,Table26[],9,FALSE)))</f>
        <v>2.070613488522108E-3</v>
      </c>
      <c r="T69" s="126">
        <f>IF(VLOOKUP($A69,Table26[],8,FALSE)=0,VLOOKUP($D69,Table15[],20,FALSE),(VLOOKUP($A69,Table26[],8,FALSE)))</f>
        <v>3.1473325025536034E-3</v>
      </c>
      <c r="U69" s="126">
        <f>IF(VLOOKUP($A69,Table26[],10,FALSE)=0,VLOOKUP($D69,Table15[],21,FALSE),(VLOOKUP($A69,Table26[],10,FALSE)))</f>
        <v>8.2824539540884319E-3</v>
      </c>
      <c r="V69" s="126">
        <f>VLOOKUP($F69,vaccine_costs!$AH$6:$AK$11,2,FALSE)</f>
        <v>4.83</v>
      </c>
      <c r="W69" s="126">
        <f>IF(VLOOKUP($A69,tordrup[],5,FALSE)=0,VLOOKUP($D69,Table15[],23,FALSE),VLOOKUP($A69,tordrup[],5,FALSE))</f>
        <v>25.030036437210292</v>
      </c>
      <c r="X69" s="126">
        <f>IF(VLOOKUP($A69,tordrup[],6,FALSE)=0,VLOOKUP($D69,Table15[],24,FALSE),VLOOKUP($A69,tordrup[],6,FALSE))</f>
        <v>54.250036437210291</v>
      </c>
      <c r="Y69" s="126">
        <f>IF(VLOOKUP($A69,tordrup[],7,FALSE)=0,VLOOKUP($D69,Table15[],25,FALSE),VLOOKUP($A69,tordrup[],7,FALSE))</f>
        <v>59.067683896228743</v>
      </c>
      <c r="Z69" s="126">
        <f>IF(VLOOKUP($A69,tordrup[],8,FALSE)=0,VLOOKUP($D69,Table15[],26,FALSE),VLOOKUP($A69,tordrup[],8,FALSE))</f>
        <v>58.264742653059002</v>
      </c>
      <c r="AA69" s="126">
        <v>82.4</v>
      </c>
      <c r="AB69" s="126">
        <v>408.79</v>
      </c>
      <c r="AC69" s="126">
        <v>2415.5</v>
      </c>
      <c r="AD69" s="126">
        <v>5434.91</v>
      </c>
      <c r="AF69" s="126">
        <v>647.78854812136308</v>
      </c>
      <c r="AG69" s="126">
        <v>559.06564190096913</v>
      </c>
      <c r="AH69" s="126">
        <v>1118.1312838019383</v>
      </c>
      <c r="AI69" s="126">
        <v>3354.3938514058145</v>
      </c>
      <c r="AJ69" s="33" t="str">
        <f>IF(VLOOKUP($A69,lmic_raw[],11,FALSE)=0, "Yes", "No")</f>
        <v>Yes</v>
      </c>
    </row>
    <row r="70" spans="1:36" x14ac:dyDescent="0.25">
      <c r="A70" s="109" t="s">
        <v>146</v>
      </c>
      <c r="D70" s="82" t="s">
        <v>677</v>
      </c>
      <c r="F70" s="82" t="s">
        <v>667</v>
      </c>
      <c r="I70" s="126">
        <f>IF(VLOOKUP($A70,portnoy[],3,FALSE)=0, VLOOKUP($D70,Table15[],9,FALSE),VLOOKUP($A70,portnoy[],3,FALSE))</f>
        <v>2.1836000000000002</v>
      </c>
      <c r="J70" s="126">
        <f>sens_costs_regions!J$2</f>
        <v>0.36202199312714778</v>
      </c>
      <c r="K70" s="126">
        <f>sens_costs_regions!K$2</f>
        <v>0.41792411616161618</v>
      </c>
      <c r="L70" s="126">
        <f>sens_costs_regions!L$2</f>
        <v>0.48333918128654974</v>
      </c>
      <c r="M70" s="126">
        <f>sens_costs_regions!M$2</f>
        <v>0.5718158075601375</v>
      </c>
      <c r="N70" s="126">
        <f>sens_costs_regions!N$2</f>
        <v>0.65679722222222237</v>
      </c>
      <c r="O70" s="126">
        <f>sens_costs_regions!O$2</f>
        <v>0.7491286549707602</v>
      </c>
      <c r="P70" s="126">
        <f>IF(VLOOKUP($A70,Table26[],6,FALSE)=0,VLOOKUP($D70,Table15[],16,FALSE),(VLOOKUP($A70,Table26[],6,FALSE)))</f>
        <v>3.1158628437681314E-3</v>
      </c>
      <c r="Q70" s="126">
        <f>IF(VLOOKUP($A70,Table26[],5,FALSE)=0,VLOOKUP($D70,Table15[],17,FALSE),(VLOOKUP($A70,Table26[],5,FALSE)))</f>
        <v>4.7361115225275589E-3</v>
      </c>
      <c r="R70" s="126">
        <f>IF(VLOOKUP($A70,Table26[],16,FALSE)=0,VLOOKUP($D70,Table15[],18,FALSE),(VLOOKUP($A70,Table26[],16,FALSE)))</f>
        <v>7.478070825043516E-2</v>
      </c>
      <c r="S70" s="126">
        <f>IF(VLOOKUP($A70,Table26[],9,FALSE)=0,VLOOKUP($D70,Table15[],19,FALSE),(VLOOKUP($A70,Table26[],9,FALSE)))</f>
        <v>1.775465994138925E-3</v>
      </c>
      <c r="T70" s="126">
        <f>IF(VLOOKUP($A70,Table26[],8,FALSE)=0,VLOOKUP($D70,Table15[],20,FALSE),(VLOOKUP($A70,Table26[],8,FALSE)))</f>
        <v>2.6987083110911656E-3</v>
      </c>
      <c r="U70" s="126">
        <f>IF(VLOOKUP($A70,Table26[],10,FALSE)=0,VLOOKUP($D70,Table15[],21,FALSE),(VLOOKUP($A70,Table26[],10,FALSE)))</f>
        <v>7.1018639765556999E-3</v>
      </c>
      <c r="V70" s="126">
        <f>VLOOKUP($F70,vaccine_costs!$AH$6:$AK$11,2,FALSE)</f>
        <v>4.83</v>
      </c>
      <c r="W70" s="126">
        <f>IF(VLOOKUP($A70,tordrup[],5,FALSE)=0,VLOOKUP($D70,Table15[],23,FALSE),VLOOKUP($A70,tordrup[],5,FALSE))</f>
        <v>23.843131421438311</v>
      </c>
      <c r="X70" s="126">
        <f>IF(VLOOKUP($A70,tordrup[],6,FALSE)=0,VLOOKUP($D70,Table15[],24,FALSE),VLOOKUP($A70,tordrup[],6,FALSE))</f>
        <v>53.063131421438314</v>
      </c>
      <c r="Y70" s="126">
        <f>IF(VLOOKUP($A70,tordrup[],7,FALSE)=0,VLOOKUP($D70,Table15[],25,FALSE),VLOOKUP($A70,tordrup[],7,FALSE))</f>
        <v>54.073662351866574</v>
      </c>
      <c r="Z70" s="126">
        <f>IF(VLOOKUP($A70,tordrup[],8,FALSE)=0,VLOOKUP($D70,Table15[],26,FALSE),VLOOKUP($A70,tordrup[],8,FALSE))</f>
        <v>53.90524053012853</v>
      </c>
      <c r="AA70" s="126">
        <v>82.4</v>
      </c>
      <c r="AB70" s="126">
        <v>408.79</v>
      </c>
      <c r="AC70" s="126">
        <v>2415.5</v>
      </c>
      <c r="AD70" s="126">
        <v>5434.91</v>
      </c>
      <c r="AF70" s="126">
        <v>0</v>
      </c>
      <c r="AG70" s="126">
        <v>310.94647681135763</v>
      </c>
      <c r="AH70" s="126">
        <v>621.89295362271525</v>
      </c>
      <c r="AI70" s="126">
        <v>1865.6788608681459</v>
      </c>
      <c r="AJ70" s="33" t="str">
        <f>IF(VLOOKUP($A70,lmic_raw[],11,FALSE)=0, "Yes", "No")</f>
        <v>Yes</v>
      </c>
    </row>
    <row r="71" spans="1:36" x14ac:dyDescent="0.25">
      <c r="A71" s="110" t="s">
        <v>159</v>
      </c>
      <c r="D71" s="84" t="s">
        <v>673</v>
      </c>
      <c r="F71" s="84" t="s">
        <v>579</v>
      </c>
      <c r="I71" s="126">
        <f>IF(VLOOKUP($A71,portnoy[],3,FALSE)=0, VLOOKUP($D71,Table15[],9,FALSE),VLOOKUP($A71,portnoy[],3,FALSE))</f>
        <v>5.7783000000000007</v>
      </c>
      <c r="J71" s="126">
        <f>sens_costs_regions!J$2</f>
        <v>0.36202199312714778</v>
      </c>
      <c r="K71" s="126">
        <f>sens_costs_regions!K$2</f>
        <v>0.41792411616161618</v>
      </c>
      <c r="L71" s="126">
        <f>sens_costs_regions!L$2</f>
        <v>0.48333918128654974</v>
      </c>
      <c r="M71" s="126">
        <f>sens_costs_regions!M$2</f>
        <v>0.5718158075601375</v>
      </c>
      <c r="N71" s="126">
        <f>sens_costs_regions!N$2</f>
        <v>0.65679722222222237</v>
      </c>
      <c r="O71" s="126">
        <f>sens_costs_regions!O$2</f>
        <v>0.7491286549707602</v>
      </c>
      <c r="P71" s="126">
        <f>IF(VLOOKUP($A71,Table26[],6,FALSE)=0,VLOOKUP($D71,Table15[],16,FALSE),(VLOOKUP($A71,Table26[],6,FALSE)))</f>
        <v>1.376626796164254E-2</v>
      </c>
      <c r="Q71" s="126">
        <f>IF(VLOOKUP($A71,Table26[],5,FALSE)=0,VLOOKUP($D71,Table15[],17,FALSE),(VLOOKUP($A71,Table26[],5,FALSE)))</f>
        <v>2.0924727301696661E-2</v>
      </c>
      <c r="R71" s="126">
        <f>IF(VLOOKUP($A71,Table26[],16,FALSE)=0,VLOOKUP($D71,Table15[],18,FALSE),(VLOOKUP($A71,Table26[],16,FALSE)))</f>
        <v>0.33039043107942095</v>
      </c>
      <c r="S71" s="126">
        <f>IF(VLOOKUP($A71,Table26[],9,FALSE)=0,VLOOKUP($D71,Table15[],19,FALSE),(VLOOKUP($A71,Table26[],9,FALSE)))</f>
        <v>7.7096713321674719E-3</v>
      </c>
      <c r="T71" s="126">
        <f>IF(VLOOKUP($A71,Table26[],8,FALSE)=0,VLOOKUP($D71,Table15[],20,FALSE),(VLOOKUP($A71,Table26[],8,FALSE)))</f>
        <v>1.1718700424894556E-2</v>
      </c>
      <c r="U71" s="126">
        <f>IF(VLOOKUP($A71,Table26[],10,FALSE)=0,VLOOKUP($D71,Table15[],21,FALSE),(VLOOKUP($A71,Table26[],10,FALSE)))</f>
        <v>3.0838685328669888E-2</v>
      </c>
      <c r="V71" s="126">
        <f>VLOOKUP($F71,vaccine_costs!$AH$6:$AK$11,2,FALSE)</f>
        <v>0.48</v>
      </c>
      <c r="W71" s="126">
        <f>IF(VLOOKUP($A71,tordrup[],5,FALSE)=0,VLOOKUP($D71,Table15[],23,FALSE),VLOOKUP($A71,tordrup[],5,FALSE))</f>
        <v>34.359109861178041</v>
      </c>
      <c r="X71" s="126">
        <f>IF(VLOOKUP($A71,tordrup[],6,FALSE)=0,VLOOKUP($D71,Table15[],24,FALSE),VLOOKUP($A71,tordrup[],6,FALSE))</f>
        <v>63.57910986117804</v>
      </c>
      <c r="Y71" s="126">
        <f>IF(VLOOKUP($A71,tordrup[],7,FALSE)=0,VLOOKUP($D71,Table15[],25,FALSE),VLOOKUP($A71,tordrup[],7,FALSE))</f>
        <v>133.02373542898073</v>
      </c>
      <c r="Z71" s="126">
        <f>IF(VLOOKUP($A71,tordrup[],8,FALSE)=0,VLOOKUP($D71,Table15[],26,FALSE),VLOOKUP($A71,tordrup[],8,FALSE))</f>
        <v>121.44963116768029</v>
      </c>
      <c r="AA71" s="126">
        <v>82.4</v>
      </c>
      <c r="AB71" s="126">
        <v>408.79</v>
      </c>
      <c r="AC71" s="126">
        <v>2415.5</v>
      </c>
      <c r="AD71" s="126">
        <v>5434.91</v>
      </c>
      <c r="AF71" s="126">
        <v>0</v>
      </c>
      <c r="AG71" s="126">
        <v>3842.974633265017</v>
      </c>
      <c r="AH71" s="126">
        <v>7685.949266530034</v>
      </c>
      <c r="AI71" s="126">
        <v>23057.847799590101</v>
      </c>
      <c r="AJ71" s="33" t="str">
        <f>IF(VLOOKUP($A71,lmic_raw[],11,FALSE)=0, "Yes", "No")</f>
        <v>Yes</v>
      </c>
    </row>
    <row r="72" spans="1:36" x14ac:dyDescent="0.25">
      <c r="A72" s="109" t="s">
        <v>107</v>
      </c>
      <c r="D72" s="82" t="s">
        <v>677</v>
      </c>
      <c r="F72" s="82" t="s">
        <v>667</v>
      </c>
      <c r="I72" s="126">
        <f>IF(VLOOKUP($A72,portnoy[],3,FALSE)=0, VLOOKUP($D72,Table15[],9,FALSE),VLOOKUP($A72,portnoy[],3,FALSE))</f>
        <v>1.0506</v>
      </c>
      <c r="J72" s="126">
        <f>sens_costs_regions!J$2</f>
        <v>0.36202199312714778</v>
      </c>
      <c r="K72" s="126">
        <f>sens_costs_regions!K$2</f>
        <v>0.41792411616161618</v>
      </c>
      <c r="L72" s="126">
        <f>sens_costs_regions!L$2</f>
        <v>0.48333918128654974</v>
      </c>
      <c r="M72" s="126">
        <f>sens_costs_regions!M$2</f>
        <v>0.5718158075601375</v>
      </c>
      <c r="N72" s="126">
        <f>sens_costs_regions!N$2</f>
        <v>0.65679722222222237</v>
      </c>
      <c r="O72" s="126">
        <f>sens_costs_regions!O$2</f>
        <v>0.7491286549707602</v>
      </c>
      <c r="P72" s="126">
        <f>IF(VLOOKUP($A72,Table26[],6,FALSE)=0,VLOOKUP($D72,Table15[],16,FALSE),(VLOOKUP($A72,Table26[],6,FALSE)))</f>
        <v>2.897423823569203E-3</v>
      </c>
      <c r="Q72" s="126">
        <f>IF(VLOOKUP($A72,Table26[],5,FALSE)=0,VLOOKUP($D72,Table15[],17,FALSE),(VLOOKUP($A72,Table26[],5,FALSE)))</f>
        <v>4.4040842118251884E-3</v>
      </c>
      <c r="R72" s="126">
        <f>IF(VLOOKUP($A72,Table26[],16,FALSE)=0,VLOOKUP($D72,Table15[],18,FALSE),(VLOOKUP($A72,Table26[],16,FALSE)))</f>
        <v>6.9538171765660878E-2</v>
      </c>
      <c r="S72" s="126">
        <f>IF(VLOOKUP($A72,Table26[],9,FALSE)=0,VLOOKUP($D72,Table15[],19,FALSE),(VLOOKUP($A72,Table26[],9,FALSE)))</f>
        <v>1.4941578229206289E-3</v>
      </c>
      <c r="T72" s="126">
        <f>IF(VLOOKUP($A72,Table26[],8,FALSE)=0,VLOOKUP($D72,Table15[],20,FALSE),(VLOOKUP($A72,Table26[],8,FALSE)))</f>
        <v>2.2711198908393557E-3</v>
      </c>
      <c r="U72" s="126">
        <f>IF(VLOOKUP($A72,Table26[],10,FALSE)=0,VLOOKUP($D72,Table15[],21,FALSE),(VLOOKUP($A72,Table26[],10,FALSE)))</f>
        <v>5.9766312916825154E-3</v>
      </c>
      <c r="V72" s="126">
        <f>VLOOKUP($F72,vaccine_costs!$AH$6:$AK$11,2,FALSE)</f>
        <v>4.83</v>
      </c>
      <c r="W72" s="126">
        <f>IF(VLOOKUP($A72,tordrup[],5,FALSE)=0,VLOOKUP($D72,Table15[],23,FALSE),VLOOKUP($A72,tordrup[],5,FALSE))</f>
        <v>23.831262371280591</v>
      </c>
      <c r="X72" s="126">
        <f>IF(VLOOKUP($A72,tordrup[],6,FALSE)=0,VLOOKUP($D72,Table15[],24,FALSE),VLOOKUP($A72,tordrup[],6,FALSE))</f>
        <v>53.051262371280586</v>
      </c>
      <c r="Y72" s="126">
        <f>IF(VLOOKUP($A72,tordrup[],7,FALSE)=0,VLOOKUP($D72,Table15[],25,FALSE),VLOOKUP($A72,tordrup[],7,FALSE))</f>
        <v>54.335968360352183</v>
      </c>
      <c r="Z72" s="126">
        <f>IF(VLOOKUP($A72,tordrup[],8,FALSE)=0,VLOOKUP($D72,Table15[],26,FALSE),VLOOKUP($A72,tordrup[],8,FALSE))</f>
        <v>54.121850695506915</v>
      </c>
      <c r="AA72" s="126">
        <v>82.4</v>
      </c>
      <c r="AB72" s="126">
        <v>408.79</v>
      </c>
      <c r="AC72" s="126">
        <v>2415.5</v>
      </c>
      <c r="AD72" s="126">
        <v>5434.91</v>
      </c>
      <c r="AF72" s="126">
        <v>82.825073294787018</v>
      </c>
      <c r="AG72" s="126">
        <v>261.6795322304236</v>
      </c>
      <c r="AH72" s="126">
        <v>523.35906446084721</v>
      </c>
      <c r="AI72" s="126">
        <v>1570.0771933825417</v>
      </c>
      <c r="AJ72" s="33" t="str">
        <f>IF(VLOOKUP($A72,lmic_raw[],11,FALSE)=0, "Yes", "No")</f>
        <v>Yes</v>
      </c>
    </row>
    <row r="73" spans="1:36" x14ac:dyDescent="0.25">
      <c r="A73" s="110" t="s">
        <v>108</v>
      </c>
      <c r="D73" s="84" t="s">
        <v>677</v>
      </c>
      <c r="F73" s="84" t="s">
        <v>667</v>
      </c>
      <c r="I73" s="126">
        <f>IF(VLOOKUP($A73,portnoy[],3,FALSE)=0, VLOOKUP($D73,Table15[],9,FALSE),VLOOKUP($A73,portnoy[],3,FALSE))</f>
        <v>1.9261000000000001</v>
      </c>
      <c r="J73" s="126">
        <f>sens_costs_regions!J$2</f>
        <v>0.36202199312714778</v>
      </c>
      <c r="K73" s="126">
        <f>sens_costs_regions!K$2</f>
        <v>0.41792411616161618</v>
      </c>
      <c r="L73" s="126">
        <f>sens_costs_regions!L$2</f>
        <v>0.48333918128654974</v>
      </c>
      <c r="M73" s="126">
        <f>sens_costs_regions!M$2</f>
        <v>0.5718158075601375</v>
      </c>
      <c r="N73" s="126">
        <f>sens_costs_regions!N$2</f>
        <v>0.65679722222222237</v>
      </c>
      <c r="O73" s="126">
        <f>sens_costs_regions!O$2</f>
        <v>0.7491286549707602</v>
      </c>
      <c r="P73" s="126">
        <f>IF(VLOOKUP($A73,Table26[],6,FALSE)=0,VLOOKUP($D73,Table15[],16,FALSE),(VLOOKUP($A73,Table26[],6,FALSE)))</f>
        <v>2.0660515803201727E-3</v>
      </c>
      <c r="Q73" s="126">
        <f>IF(VLOOKUP($A73,Table26[],5,FALSE)=0,VLOOKUP($D73,Table15[],17,FALSE),(VLOOKUP($A73,Table26[],5,FALSE)))</f>
        <v>3.1403984020866621E-3</v>
      </c>
      <c r="R73" s="126">
        <f>IF(VLOOKUP($A73,Table26[],16,FALSE)=0,VLOOKUP($D73,Table15[],18,FALSE),(VLOOKUP($A73,Table26[],16,FALSE)))</f>
        <v>4.9585237927684142E-2</v>
      </c>
      <c r="S73" s="126">
        <f>IF(VLOOKUP($A73,Table26[],9,FALSE)=0,VLOOKUP($D73,Table15[],19,FALSE),(VLOOKUP($A73,Table26[],9,FALSE)))</f>
        <v>1.1749565274439243E-3</v>
      </c>
      <c r="T73" s="126">
        <f>IF(VLOOKUP($A73,Table26[],8,FALSE)=0,VLOOKUP($D73,Table15[],20,FALSE),(VLOOKUP($A73,Table26[],8,FALSE)))</f>
        <v>1.7859339217147648E-3</v>
      </c>
      <c r="U73" s="126">
        <f>IF(VLOOKUP($A73,Table26[],10,FALSE)=0,VLOOKUP($D73,Table15[],21,FALSE),(VLOOKUP($A73,Table26[],10,FALSE)))</f>
        <v>4.699826109775697E-3</v>
      </c>
      <c r="V73" s="126">
        <f>VLOOKUP($F73,vaccine_costs!$AH$6:$AK$11,2,FALSE)</f>
        <v>4.83</v>
      </c>
      <c r="W73" s="126">
        <f>IF(VLOOKUP($A73,tordrup[],5,FALSE)=0,VLOOKUP($D73,Table15[],23,FALSE),VLOOKUP($A73,tordrup[],5,FALSE))</f>
        <v>24.175464825854466</v>
      </c>
      <c r="X73" s="126">
        <f>IF(VLOOKUP($A73,tordrup[],6,FALSE)=0,VLOOKUP($D73,Table15[],24,FALSE),VLOOKUP($A73,tordrup[],6,FALSE))</f>
        <v>53.395464825854461</v>
      </c>
      <c r="Y73" s="126">
        <f>IF(VLOOKUP($A73,tordrup[],7,FALSE)=0,VLOOKUP($D73,Table15[],25,FALSE),VLOOKUP($A73,tordrup[],7,FALSE))</f>
        <v>55.291189517045467</v>
      </c>
      <c r="Z73" s="126">
        <f>IF(VLOOKUP($A73,tordrup[],8,FALSE)=0,VLOOKUP($D73,Table15[],26,FALSE),VLOOKUP($A73,tordrup[],8,FALSE))</f>
        <v>54.975235401846973</v>
      </c>
      <c r="AA73" s="126">
        <v>82.4</v>
      </c>
      <c r="AB73" s="126">
        <v>408.79</v>
      </c>
      <c r="AC73" s="126">
        <v>2415.5</v>
      </c>
      <c r="AD73" s="126">
        <v>5434.91</v>
      </c>
      <c r="AF73" s="126">
        <v>155.43798418772377</v>
      </c>
      <c r="AG73" s="126">
        <v>205.7761702118008</v>
      </c>
      <c r="AH73" s="126">
        <v>411.55234042360161</v>
      </c>
      <c r="AI73" s="126">
        <v>1234.6570212708048</v>
      </c>
      <c r="AJ73" s="33" t="str">
        <f>IF(VLOOKUP($A73,lmic_raw[],11,FALSE)=0, "Yes", "No")</f>
        <v>Yes</v>
      </c>
    </row>
    <row r="74" spans="1:36" x14ac:dyDescent="0.25">
      <c r="A74" s="109" t="s">
        <v>215</v>
      </c>
      <c r="D74" s="82" t="s">
        <v>681</v>
      </c>
      <c r="F74" s="82" t="s">
        <v>666</v>
      </c>
      <c r="I74" s="126">
        <f>IF(VLOOKUP($A74,portnoy[],3,FALSE)=0, VLOOKUP($D74,Table15[],9,FALSE),VLOOKUP($A74,portnoy[],3,FALSE))</f>
        <v>5.0675999999999997</v>
      </c>
      <c r="J74" s="126">
        <f>sens_costs_regions!J$2</f>
        <v>0.36202199312714778</v>
      </c>
      <c r="K74" s="126">
        <f>sens_costs_regions!K$2</f>
        <v>0.41792411616161618</v>
      </c>
      <c r="L74" s="126">
        <f>sens_costs_regions!L$2</f>
        <v>0.48333918128654974</v>
      </c>
      <c r="M74" s="126">
        <f>sens_costs_regions!M$2</f>
        <v>0.5718158075601375</v>
      </c>
      <c r="N74" s="126">
        <f>sens_costs_regions!N$2</f>
        <v>0.65679722222222237</v>
      </c>
      <c r="O74" s="126">
        <f>sens_costs_regions!O$2</f>
        <v>0.7491286549707602</v>
      </c>
      <c r="P74" s="126">
        <f>IF(VLOOKUP($A74,Table26[],6,FALSE)=0,VLOOKUP($D74,Table15[],16,FALSE),(VLOOKUP($A74,Table26[],6,FALSE)))</f>
        <v>2.0727682163079748E-2</v>
      </c>
      <c r="Q74" s="126">
        <f>IF(VLOOKUP($A74,Table26[],5,FALSE)=0,VLOOKUP($D74,Table15[],17,FALSE),(VLOOKUP($A74,Table26[],5,FALSE)))</f>
        <v>3.1506076887881214E-2</v>
      </c>
      <c r="R74" s="126">
        <f>IF(VLOOKUP($A74,Table26[],16,FALSE)=0,VLOOKUP($D74,Table15[],18,FALSE),(VLOOKUP($A74,Table26[],16,FALSE)))</f>
        <v>0.49746437191391396</v>
      </c>
      <c r="S74" s="126">
        <f>IF(VLOOKUP($A74,Table26[],9,FALSE)=0,VLOOKUP($D74,Table15[],19,FALSE),(VLOOKUP($A74,Table26[],9,FALSE)))</f>
        <v>1.1449436010398951E-2</v>
      </c>
      <c r="T74" s="126">
        <f>IF(VLOOKUP($A74,Table26[],8,FALSE)=0,VLOOKUP($D74,Table15[],20,FALSE),(VLOOKUP($A74,Table26[],8,FALSE)))</f>
        <v>1.7403142735806405E-2</v>
      </c>
      <c r="U74" s="126">
        <f>IF(VLOOKUP($A74,Table26[],10,FALSE)=0,VLOOKUP($D74,Table15[],21,FALSE),(VLOOKUP($A74,Table26[],10,FALSE)))</f>
        <v>4.5797744041595805E-2</v>
      </c>
      <c r="V74" s="126">
        <f>VLOOKUP($F74,vaccine_costs!$AH$6:$AK$11,2,FALSE)</f>
        <v>0.63</v>
      </c>
      <c r="W74" s="126">
        <f>IF(VLOOKUP($A74,tordrup[],5,FALSE)=0,VLOOKUP($D74,Table15[],23,FALSE),VLOOKUP($A74,tordrup[],5,FALSE))</f>
        <v>33.658835901872578</v>
      </c>
      <c r="X74" s="126">
        <f>IF(VLOOKUP($A74,tordrup[],6,FALSE)=0,VLOOKUP($D74,Table15[],24,FALSE),VLOOKUP($A74,tordrup[],6,FALSE))</f>
        <v>62.878835901872577</v>
      </c>
      <c r="Y74" s="126">
        <f>IF(VLOOKUP($A74,tordrup[],7,FALSE)=0,VLOOKUP($D74,Table15[],25,FALSE),VLOOKUP($A74,tordrup[],7,FALSE))</f>
        <v>125.132241360116</v>
      </c>
      <c r="Z74" s="126">
        <f>IF(VLOOKUP($A74,tordrup[],8,FALSE)=0,VLOOKUP($D74,Table15[],26,FALSE),VLOOKUP($A74,tordrup[],8,FALSE))</f>
        <v>114.7566737837421</v>
      </c>
      <c r="AA74" s="126">
        <v>82.4</v>
      </c>
      <c r="AB74" s="126">
        <v>408.79</v>
      </c>
      <c r="AC74" s="126">
        <v>2415.5</v>
      </c>
      <c r="AD74" s="126">
        <v>5434.91</v>
      </c>
      <c r="AF74" s="126">
        <v>6115.6858318993609</v>
      </c>
      <c r="AG74" s="126">
        <v>5707.1034882603999</v>
      </c>
      <c r="AH74" s="126">
        <v>11414.2069765208</v>
      </c>
      <c r="AI74" s="126">
        <v>34242.620929562399</v>
      </c>
      <c r="AJ74" s="33" t="str">
        <f>IF(VLOOKUP($A74,lmic_raw[],11,FALSE)=0, "Yes", "No")</f>
        <v>No</v>
      </c>
    </row>
    <row r="75" spans="1:36" x14ac:dyDescent="0.25">
      <c r="A75" s="110" t="s">
        <v>196</v>
      </c>
      <c r="D75" s="84" t="s">
        <v>680</v>
      </c>
      <c r="F75" s="84" t="s">
        <v>666</v>
      </c>
      <c r="I75" s="126">
        <f>IF(VLOOKUP($A75,portnoy[],3,FALSE)=0, VLOOKUP($D75,Table15[],9,FALSE),VLOOKUP($A75,portnoy[],3,FALSE))</f>
        <v>12.0098</v>
      </c>
      <c r="J75" s="126">
        <f>sens_costs_regions!J$2</f>
        <v>0.36202199312714778</v>
      </c>
      <c r="K75" s="126">
        <f>sens_costs_regions!K$2</f>
        <v>0.41792411616161618</v>
      </c>
      <c r="L75" s="126">
        <f>sens_costs_regions!L$2</f>
        <v>0.48333918128654974</v>
      </c>
      <c r="M75" s="126">
        <f>sens_costs_regions!M$2</f>
        <v>0.5718158075601375</v>
      </c>
      <c r="N75" s="126">
        <f>sens_costs_regions!N$2</f>
        <v>0.65679722222222237</v>
      </c>
      <c r="O75" s="126">
        <f>sens_costs_regions!O$2</f>
        <v>0.7491286549707602</v>
      </c>
      <c r="P75" s="126">
        <f>IF(VLOOKUP($A75,Table26[],6,FALSE)=0,VLOOKUP($D75,Table15[],16,FALSE),(VLOOKUP($A75,Table26[],6,FALSE)))</f>
        <v>1.9740871718838031E-2</v>
      </c>
      <c r="Q75" s="126">
        <f>IF(VLOOKUP($A75,Table26[],5,FALSE)=0,VLOOKUP($D75,Table15[],17,FALSE),(VLOOKUP($A75,Table26[],5,FALSE)))</f>
        <v>3.0006125012633802E-2</v>
      </c>
      <c r="R75" s="126">
        <f>IF(VLOOKUP($A75,Table26[],16,FALSE)=0,VLOOKUP($D75,Table15[],18,FALSE),(VLOOKUP($A75,Table26[],16,FALSE)))</f>
        <v>0.47378092125211269</v>
      </c>
      <c r="S75" s="126">
        <f>IF(VLOOKUP($A75,Table26[],9,FALSE)=0,VLOOKUP($D75,Table15[],19,FALSE),(VLOOKUP($A75,Table26[],9,FALSE)))</f>
        <v>1.0659311283110057E-2</v>
      </c>
      <c r="T75" s="126">
        <f>IF(VLOOKUP($A75,Table26[],8,FALSE)=0,VLOOKUP($D75,Table15[],20,FALSE),(VLOOKUP($A75,Table26[],8,FALSE)))</f>
        <v>1.6202153150327286E-2</v>
      </c>
      <c r="U75" s="126">
        <f>IF(VLOOKUP($A75,Table26[],10,FALSE)=0,VLOOKUP($D75,Table15[],21,FALSE),(VLOOKUP($A75,Table26[],10,FALSE)))</f>
        <v>4.263724513244023E-2</v>
      </c>
      <c r="V75" s="126">
        <f>VLOOKUP($F75,vaccine_costs!$AH$6:$AK$11,2,FALSE)</f>
        <v>0.63</v>
      </c>
      <c r="W75" s="126">
        <f>IF(VLOOKUP($A75,tordrup[],5,FALSE)=0,VLOOKUP($D75,Table15[],23,FALSE),VLOOKUP($A75,tordrup[],5,FALSE))</f>
        <v>25.453070081405755</v>
      </c>
      <c r="X75" s="126">
        <f>IF(VLOOKUP($A75,tordrup[],6,FALSE)=0,VLOOKUP($D75,Table15[],24,FALSE),VLOOKUP($A75,tordrup[],6,FALSE))</f>
        <v>54.673070081405761</v>
      </c>
      <c r="Y75" s="126">
        <f>IF(VLOOKUP($A75,tordrup[],7,FALSE)=0,VLOOKUP($D75,Table15[],25,FALSE),VLOOKUP($A75,tordrup[],7,FALSE))</f>
        <v>62.681774864609807</v>
      </c>
      <c r="Z75" s="126">
        <f>IF(VLOOKUP($A75,tordrup[],8,FALSE)=0,VLOOKUP($D75,Table15[],26,FALSE),VLOOKUP($A75,tordrup[],8,FALSE))</f>
        <v>61.346990734075796</v>
      </c>
      <c r="AA75" s="126">
        <v>82.4</v>
      </c>
      <c r="AB75" s="126">
        <v>408.79</v>
      </c>
      <c r="AC75" s="126">
        <v>2415.5</v>
      </c>
      <c r="AD75" s="126">
        <v>5434.91</v>
      </c>
      <c r="AF75" s="126">
        <v>0</v>
      </c>
      <c r="AG75" s="126">
        <v>5313.2567011194751</v>
      </c>
      <c r="AH75" s="126">
        <v>10626.51340223895</v>
      </c>
      <c r="AI75" s="126">
        <v>31879.540206716851</v>
      </c>
      <c r="AJ75" s="33" t="str">
        <f>IF(VLOOKUP($A75,lmic_raw[],11,FALSE)=0, "Yes", "No")</f>
        <v>No</v>
      </c>
    </row>
    <row r="76" spans="1:36" x14ac:dyDescent="0.25">
      <c r="A76" s="109" t="s">
        <v>147</v>
      </c>
      <c r="D76" s="82" t="s">
        <v>677</v>
      </c>
      <c r="F76" s="82" t="s">
        <v>667</v>
      </c>
      <c r="I76" s="126">
        <f>IF(VLOOKUP($A76,portnoy[],3,FALSE)=0, VLOOKUP($D76,Table15[],9,FALSE),VLOOKUP($A76,portnoy[],3,FALSE))</f>
        <v>1.1638999999999999</v>
      </c>
      <c r="J76" s="126">
        <f>sens_costs_regions!J$2</f>
        <v>0.36202199312714778</v>
      </c>
      <c r="K76" s="126">
        <f>sens_costs_regions!K$2</f>
        <v>0.41792411616161618</v>
      </c>
      <c r="L76" s="126">
        <f>sens_costs_regions!L$2</f>
        <v>0.48333918128654974</v>
      </c>
      <c r="M76" s="126">
        <f>sens_costs_regions!M$2</f>
        <v>0.5718158075601375</v>
      </c>
      <c r="N76" s="126">
        <f>sens_costs_regions!N$2</f>
        <v>0.65679722222222237</v>
      </c>
      <c r="O76" s="126">
        <f>sens_costs_regions!O$2</f>
        <v>0.7491286549707602</v>
      </c>
      <c r="P76" s="126">
        <f>IF(VLOOKUP($A76,Table26[],6,FALSE)=0,VLOOKUP($D76,Table15[],16,FALSE),(VLOOKUP($A76,Table26[],6,FALSE)))</f>
        <v>4.5917872535191162E-3</v>
      </c>
      <c r="Q76" s="126">
        <f>IF(VLOOKUP($A76,Table26[],5,FALSE)=0,VLOOKUP($D76,Table15[],17,FALSE),(VLOOKUP($A76,Table26[],5,FALSE)))</f>
        <v>6.9795166253490554E-3</v>
      </c>
      <c r="R76" s="126">
        <f>IF(VLOOKUP($A76,Table26[],16,FALSE)=0,VLOOKUP($D76,Table15[],18,FALSE),(VLOOKUP($A76,Table26[],16,FALSE)))</f>
        <v>0.11020289408445878</v>
      </c>
      <c r="S76" s="126">
        <f>IF(VLOOKUP($A76,Table26[],9,FALSE)=0,VLOOKUP($D76,Table15[],19,FALSE),(VLOOKUP($A76,Table26[],9,FALSE)))</f>
        <v>2.5095136100714678E-3</v>
      </c>
      <c r="T76" s="126">
        <f>IF(VLOOKUP($A76,Table26[],8,FALSE)=0,VLOOKUP($D76,Table15[],20,FALSE),(VLOOKUP($A76,Table26[],8,FALSE)))</f>
        <v>3.814460687308631E-3</v>
      </c>
      <c r="U76" s="126">
        <f>IF(VLOOKUP($A76,Table26[],10,FALSE)=0,VLOOKUP($D76,Table15[],21,FALSE),(VLOOKUP($A76,Table26[],10,FALSE)))</f>
        <v>1.0038054440285871E-2</v>
      </c>
      <c r="V76" s="126">
        <f>VLOOKUP($F76,vaccine_costs!$AH$6:$AK$11,2,FALSE)</f>
        <v>4.83</v>
      </c>
      <c r="W76" s="126">
        <f>IF(VLOOKUP($A76,tordrup[],5,FALSE)=0,VLOOKUP($D76,Table15[],23,FALSE),VLOOKUP($A76,tordrup[],5,FALSE))</f>
        <v>24.294155327431664</v>
      </c>
      <c r="X76" s="126">
        <f>IF(VLOOKUP($A76,tordrup[],6,FALSE)=0,VLOOKUP($D76,Table15[],24,FALSE),VLOOKUP($A76,tordrup[],6,FALSE))</f>
        <v>53.514155327431666</v>
      </c>
      <c r="Y76" s="126">
        <f>IF(VLOOKUP($A76,tordrup[],7,FALSE)=0,VLOOKUP($D76,Table15[],25,FALSE),VLOOKUP($A76,tordrup[],7,FALSE))</f>
        <v>55.981730855221599</v>
      </c>
      <c r="Z76" s="126">
        <f>IF(VLOOKUP($A76,tordrup[],8,FALSE)=0,VLOOKUP($D76,Table15[],26,FALSE),VLOOKUP($A76,tordrup[],8,FALSE))</f>
        <v>55.570468267256615</v>
      </c>
      <c r="AA76" s="126">
        <v>82.4</v>
      </c>
      <c r="AB76" s="126">
        <v>408.79</v>
      </c>
      <c r="AC76" s="126">
        <v>2415.5</v>
      </c>
      <c r="AD76" s="126">
        <v>5434.91</v>
      </c>
      <c r="AF76" s="126">
        <v>83.116944148591401</v>
      </c>
      <c r="AG76" s="126">
        <v>439.50400522332734</v>
      </c>
      <c r="AH76" s="126">
        <v>879.00801044665468</v>
      </c>
      <c r="AI76" s="126">
        <v>2637.024031339964</v>
      </c>
      <c r="AJ76" s="33" t="str">
        <f>IF(VLOOKUP($A76,lmic_raw[],11,FALSE)=0, "Yes", "No")</f>
        <v>Yes</v>
      </c>
    </row>
    <row r="77" spans="1:36" x14ac:dyDescent="0.25">
      <c r="A77" s="110" t="s">
        <v>682</v>
      </c>
      <c r="D77" s="84" t="s">
        <v>681</v>
      </c>
      <c r="F77" s="84" t="s">
        <v>666</v>
      </c>
      <c r="I77" s="126">
        <f>IF(VLOOKUP($A77,portnoy[],3,FALSE)=0, VLOOKUP($D77,Table15[],9,FALSE),VLOOKUP($A77,portnoy[],3,FALSE))</f>
        <v>8.6211000000000002</v>
      </c>
      <c r="J77" s="126">
        <f>sens_costs_regions!J$2</f>
        <v>0.36202199312714778</v>
      </c>
      <c r="K77" s="126">
        <f>sens_costs_regions!K$2</f>
        <v>0.41792411616161618</v>
      </c>
      <c r="L77" s="126">
        <f>sens_costs_regions!L$2</f>
        <v>0.48333918128654974</v>
      </c>
      <c r="M77" s="126">
        <f>sens_costs_regions!M$2</f>
        <v>0.5718158075601375</v>
      </c>
      <c r="N77" s="126">
        <f>sens_costs_regions!N$2</f>
        <v>0.65679722222222237</v>
      </c>
      <c r="O77" s="126">
        <f>sens_costs_regions!O$2</f>
        <v>0.7491286549707602</v>
      </c>
      <c r="P77" s="126">
        <f>IF(VLOOKUP($A77,Table26[],6,FALSE)=0,VLOOKUP($D77,Table15[],16,FALSE),(VLOOKUP($A77,Table26[],6,FALSE)))</f>
        <v>6.5948540323517981E-3</v>
      </c>
      <c r="Q77" s="126">
        <f>IF(VLOOKUP($A77,Table26[],5,FALSE)=0,VLOOKUP($D77,Table15[],17,FALSE),(VLOOKUP($A77,Table26[],5,FALSE)))</f>
        <v>1.0024178129174733E-2</v>
      </c>
      <c r="R77" s="126">
        <f>IF(VLOOKUP($A77,Table26[],16,FALSE)=0,VLOOKUP($D77,Table15[],18,FALSE),(VLOOKUP($A77,Table26[],16,FALSE)))</f>
        <v>0.15827649677644315</v>
      </c>
      <c r="S77" s="126">
        <f>IF(VLOOKUP($A77,Table26[],9,FALSE)=0,VLOOKUP($D77,Table15[],19,FALSE),(VLOOKUP($A77,Table26[],9,FALSE)))</f>
        <v>3.7998554566641579E-3</v>
      </c>
      <c r="T77" s="126">
        <f>IF(VLOOKUP($A77,Table26[],8,FALSE)=0,VLOOKUP($D77,Table15[],20,FALSE),(VLOOKUP($A77,Table26[],8,FALSE)))</f>
        <v>5.7757802941295197E-3</v>
      </c>
      <c r="U77" s="126">
        <f>IF(VLOOKUP($A77,Table26[],10,FALSE)=0,VLOOKUP($D77,Table15[],21,FALSE),(VLOOKUP($A77,Table26[],10,FALSE)))</f>
        <v>1.5199421826656631E-2</v>
      </c>
      <c r="V77" s="126">
        <f>VLOOKUP($F77,vaccine_costs!$AH$6:$AK$11,2,FALSE)</f>
        <v>0.63</v>
      </c>
      <c r="W77" s="126">
        <f>IF(VLOOKUP($A77,tordrup[],5,FALSE)=0,VLOOKUP($D77,Table15[],23,FALSE),VLOOKUP($A77,tordrup[],5,FALSE))</f>
        <v>27.724310823012679</v>
      </c>
      <c r="X77" s="126">
        <f>IF(VLOOKUP($A77,tordrup[],6,FALSE)=0,VLOOKUP($D77,Table15[],24,FALSE),VLOOKUP($A77,tordrup[],6,FALSE))</f>
        <v>56.944310823012678</v>
      </c>
      <c r="Y77" s="126">
        <f>IF(VLOOKUP($A77,tordrup[],7,FALSE)=0,VLOOKUP($D77,Table15[],25,FALSE),VLOOKUP($A77,tordrup[],7,FALSE))</f>
        <v>70.418056562056179</v>
      </c>
      <c r="Z77" s="126">
        <f>IF(VLOOKUP($A77,tordrup[],8,FALSE)=0,VLOOKUP($D77,Table15[],26,FALSE),VLOOKUP($A77,tordrup[],8,FALSE))</f>
        <v>68.172432272215602</v>
      </c>
      <c r="AA77" s="126">
        <v>82.4</v>
      </c>
      <c r="AB77" s="126">
        <v>408.79</v>
      </c>
      <c r="AC77" s="126">
        <v>2415.5</v>
      </c>
      <c r="AD77" s="126">
        <v>5434.91</v>
      </c>
      <c r="AF77" s="126">
        <v>0</v>
      </c>
      <c r="AG77" s="126">
        <v>1894.081796860288</v>
      </c>
      <c r="AH77" s="126">
        <v>3788.163593720576</v>
      </c>
      <c r="AI77" s="126">
        <v>11364.490781161729</v>
      </c>
      <c r="AJ77" s="33" t="str">
        <f>IF(VLOOKUP($A77,lmic_raw[],11,FALSE)=0, "Yes", "No")</f>
        <v>No</v>
      </c>
    </row>
    <row r="78" spans="1:36" x14ac:dyDescent="0.25">
      <c r="A78" s="109" t="s">
        <v>148</v>
      </c>
      <c r="D78" s="82" t="s">
        <v>677</v>
      </c>
      <c r="F78" s="82" t="s">
        <v>667</v>
      </c>
      <c r="I78" s="126">
        <f>IF(VLOOKUP($A78,portnoy[],3,FALSE)=0, VLOOKUP($D78,Table15[],9,FALSE),VLOOKUP($A78,portnoy[],3,FALSE))</f>
        <v>2.3689999999999998</v>
      </c>
      <c r="J78" s="126">
        <f>sens_costs_regions!J$2</f>
        <v>0.36202199312714778</v>
      </c>
      <c r="K78" s="126">
        <f>sens_costs_regions!K$2</f>
        <v>0.41792411616161618</v>
      </c>
      <c r="L78" s="126">
        <f>sens_costs_regions!L$2</f>
        <v>0.48333918128654974</v>
      </c>
      <c r="M78" s="126">
        <f>sens_costs_regions!M$2</f>
        <v>0.5718158075601375</v>
      </c>
      <c r="N78" s="126">
        <f>sens_costs_regions!N$2</f>
        <v>0.65679722222222237</v>
      </c>
      <c r="O78" s="126">
        <f>sens_costs_regions!O$2</f>
        <v>0.7491286549707602</v>
      </c>
      <c r="P78" s="126">
        <f>IF(VLOOKUP($A78,Table26[],6,FALSE)=0,VLOOKUP($D78,Table15[],16,FALSE),(VLOOKUP($A78,Table26[],6,FALSE)))</f>
        <v>5.6387736387312525E-3</v>
      </c>
      <c r="Q78" s="126">
        <f>IF(VLOOKUP($A78,Table26[],5,FALSE)=0,VLOOKUP($D78,Table15[],17,FALSE),(VLOOKUP($A78,Table26[],5,FALSE)))</f>
        <v>8.5709359308715032E-3</v>
      </c>
      <c r="R78" s="126">
        <f>IF(VLOOKUP($A78,Table26[],16,FALSE)=0,VLOOKUP($D78,Table15[],18,FALSE),(VLOOKUP($A78,Table26[],16,FALSE)))</f>
        <v>0.13533056732955007</v>
      </c>
      <c r="S78" s="126">
        <f>IF(VLOOKUP($A78,Table26[],9,FALSE)=0,VLOOKUP($D78,Table15[],19,FALSE),(VLOOKUP($A78,Table26[],9,FALSE)))</f>
        <v>3.1100830981556963E-3</v>
      </c>
      <c r="T78" s="126">
        <f>IF(VLOOKUP($A78,Table26[],8,FALSE)=0,VLOOKUP($D78,Table15[],20,FALSE),(VLOOKUP($A78,Table26[],8,FALSE)))</f>
        <v>4.7273263091966583E-3</v>
      </c>
      <c r="U78" s="126">
        <f>IF(VLOOKUP($A78,Table26[],10,FALSE)=0,VLOOKUP($D78,Table15[],21,FALSE),(VLOOKUP($A78,Table26[],10,FALSE)))</f>
        <v>1.2440332392622785E-2</v>
      </c>
      <c r="V78" s="126">
        <f>VLOOKUP($F78,vaccine_costs!$AH$6:$AK$11,2,FALSE)</f>
        <v>4.83</v>
      </c>
      <c r="W78" s="126">
        <f>IF(VLOOKUP($A78,tordrup[],5,FALSE)=0,VLOOKUP($D78,Table15[],23,FALSE),VLOOKUP($A78,tordrup[],5,FALSE))</f>
        <v>24.875738785159932</v>
      </c>
      <c r="X78" s="126">
        <f>IF(VLOOKUP($A78,tordrup[],6,FALSE)=0,VLOOKUP($D78,Table15[],24,FALSE),VLOOKUP($A78,tordrup[],6,FALSE))</f>
        <v>54.095738785159931</v>
      </c>
      <c r="Y78" s="126">
        <f>IF(VLOOKUP($A78,tordrup[],7,FALSE)=0,VLOOKUP($D78,Table15[],25,FALSE),VLOOKUP($A78,tordrup[],7,FALSE))</f>
        <v>58.921219817282491</v>
      </c>
      <c r="Z78" s="126">
        <f>IF(VLOOKUP($A78,tordrup[],8,FALSE)=0,VLOOKUP($D78,Table15[],26,FALSE),VLOOKUP($A78,tordrup[],8,FALSE))</f>
        <v>58.116972978595399</v>
      </c>
      <c r="AA78" s="126">
        <v>82.4</v>
      </c>
      <c r="AB78" s="126">
        <v>408.79</v>
      </c>
      <c r="AC78" s="126">
        <v>2415.5</v>
      </c>
      <c r="AD78" s="126">
        <v>5434.91</v>
      </c>
      <c r="AF78" s="126">
        <v>280.02771009870651</v>
      </c>
      <c r="AG78" s="126">
        <v>839.72243650203814</v>
      </c>
      <c r="AH78" s="126">
        <v>1679.4448730040763</v>
      </c>
      <c r="AI78" s="126">
        <v>5038.3346190122284</v>
      </c>
      <c r="AJ78" s="33" t="str">
        <f>IF(VLOOKUP($A78,lmic_raw[],11,FALSE)=0, "Yes", "No")</f>
        <v>Yes</v>
      </c>
    </row>
    <row r="79" spans="1:36" x14ac:dyDescent="0.25">
      <c r="A79" s="110" t="s">
        <v>109</v>
      </c>
      <c r="D79" s="84" t="s">
        <v>677</v>
      </c>
      <c r="F79" s="84" t="s">
        <v>666</v>
      </c>
      <c r="I79" s="126">
        <f>IF(VLOOKUP($A79,portnoy[],3,FALSE)=0, VLOOKUP($D79,Table15[],9,FALSE),VLOOKUP($A79,portnoy[],3,FALSE))</f>
        <v>9.3318000000000012</v>
      </c>
      <c r="J79" s="126">
        <f>sens_costs_regions!J$2</f>
        <v>0.36202199312714778</v>
      </c>
      <c r="K79" s="126">
        <f>sens_costs_regions!K$2</f>
        <v>0.41792411616161618</v>
      </c>
      <c r="L79" s="126">
        <f>sens_costs_regions!L$2</f>
        <v>0.48333918128654974</v>
      </c>
      <c r="M79" s="126">
        <f>sens_costs_regions!M$2</f>
        <v>0.5718158075601375</v>
      </c>
      <c r="N79" s="126">
        <f>sens_costs_regions!N$2</f>
        <v>0.65679722222222237</v>
      </c>
      <c r="O79" s="126">
        <f>sens_costs_regions!O$2</f>
        <v>0.7491286549707602</v>
      </c>
      <c r="P79" s="126">
        <f>IF(VLOOKUP($A79,Table26[],6,FALSE)=0,VLOOKUP($D79,Table15[],16,FALSE),(VLOOKUP($A79,Table26[],6,FALSE)))</f>
        <v>2.0634721525148655E-2</v>
      </c>
      <c r="Q79" s="126">
        <f>IF(VLOOKUP($A79,Table26[],5,FALSE)=0,VLOOKUP($D79,Table15[],17,FALSE),(VLOOKUP($A79,Table26[],5,FALSE)))</f>
        <v>3.1364776718225955E-2</v>
      </c>
      <c r="R79" s="126">
        <f>IF(VLOOKUP($A79,Table26[],16,FALSE)=0,VLOOKUP($D79,Table15[],18,FALSE),(VLOOKUP($A79,Table26[],16,FALSE)))</f>
        <v>0.49523331660356773</v>
      </c>
      <c r="S79" s="126">
        <f>IF(VLOOKUP($A79,Table26[],9,FALSE)=0,VLOOKUP($D79,Table15[],19,FALSE),(VLOOKUP($A79,Table26[],9,FALSE)))</f>
        <v>1.1133497198024225E-2</v>
      </c>
      <c r="T79" s="126">
        <f>IF(VLOOKUP($A79,Table26[],8,FALSE)=0,VLOOKUP($D79,Table15[],20,FALSE),(VLOOKUP($A79,Table26[],8,FALSE)))</f>
        <v>1.692291574099682E-2</v>
      </c>
      <c r="U79" s="126">
        <f>IF(VLOOKUP($A79,Table26[],10,FALSE)=0,VLOOKUP($D79,Table15[],21,FALSE),(VLOOKUP($A79,Table26[],10,FALSE)))</f>
        <v>4.4533988792096899E-2</v>
      </c>
      <c r="V79" s="126">
        <f>VLOOKUP($F79,vaccine_costs!$AH$6:$AK$11,2,FALSE)</f>
        <v>0.63</v>
      </c>
      <c r="W79" s="126">
        <f>IF(VLOOKUP($A79,tordrup[],5,FALSE)=0,VLOOKUP($D79,Table15[],23,FALSE),VLOOKUP($A79,tordrup[],5,FALSE))</f>
        <v>26.044512197590766</v>
      </c>
      <c r="X79" s="126">
        <f>IF(VLOOKUP($A79,tordrup[],6,FALSE)=0,VLOOKUP($D79,Table15[],24,FALSE),VLOOKUP($A79,tordrup[],6,FALSE))</f>
        <v>55.264512197590776</v>
      </c>
      <c r="Y79" s="126">
        <f>IF(VLOOKUP($A79,tordrup[],7,FALSE)=0,VLOOKUP($D79,Table15[],25,FALSE),VLOOKUP($A79,tordrup[],7,FALSE))</f>
        <v>66.30770473986702</v>
      </c>
      <c r="Z79" s="126">
        <f>IF(VLOOKUP($A79,tordrup[],8,FALSE)=0,VLOOKUP($D79,Table15[],26,FALSE),VLOOKUP($A79,tordrup[],8,FALSE))</f>
        <v>64.467172649487651</v>
      </c>
      <c r="AA79" s="126">
        <v>82.4</v>
      </c>
      <c r="AB79" s="126">
        <v>408.79</v>
      </c>
      <c r="AC79" s="126">
        <v>2415.5</v>
      </c>
      <c r="AD79" s="126">
        <v>5434.91</v>
      </c>
      <c r="AF79" s="126">
        <v>4676.2986934075225</v>
      </c>
      <c r="AG79" s="126">
        <v>5549.6201417843822</v>
      </c>
      <c r="AH79" s="126">
        <v>11099.240283568764</v>
      </c>
      <c r="AI79" s="126">
        <v>33297.72085070629</v>
      </c>
      <c r="AJ79" s="33" t="str">
        <f>IF(VLOOKUP($A79,lmic_raw[],11,FALSE)=0, "Yes", "No")</f>
        <v>Yes</v>
      </c>
    </row>
    <row r="80" spans="1:36" x14ac:dyDescent="0.25">
      <c r="A80" s="109" t="s">
        <v>258</v>
      </c>
      <c r="D80" s="82" t="s">
        <v>679</v>
      </c>
      <c r="F80" s="82" t="s">
        <v>665</v>
      </c>
      <c r="I80" s="126">
        <f>IF(VLOOKUP($A80,portnoy[],3,FALSE)=0, VLOOKUP($D80,Table15[],9,FALSE),VLOOKUP($A80,portnoy[],3,FALSE))</f>
        <v>2.5956000000000001</v>
      </c>
      <c r="J80" s="126">
        <f>sens_costs_regions!J$2</f>
        <v>0.36202199312714778</v>
      </c>
      <c r="K80" s="126">
        <f>sens_costs_regions!K$2</f>
        <v>0.41792411616161618</v>
      </c>
      <c r="L80" s="126">
        <f>sens_costs_regions!L$2</f>
        <v>0.48333918128654974</v>
      </c>
      <c r="M80" s="126">
        <f>sens_costs_regions!M$2</f>
        <v>0.5718158075601375</v>
      </c>
      <c r="N80" s="126">
        <f>sens_costs_regions!N$2</f>
        <v>0.65679722222222237</v>
      </c>
      <c r="O80" s="126">
        <f>sens_costs_regions!O$2</f>
        <v>0.7491286549707602</v>
      </c>
      <c r="P80" s="126">
        <f>IF(VLOOKUP($A80,Table26[],6,FALSE)=0,VLOOKUP($D80,Table15[],16,FALSE),(VLOOKUP($A80,Table26[],6,FALSE)))</f>
        <v>1.8797082557717601E-2</v>
      </c>
      <c r="Q80" s="126">
        <f>IF(VLOOKUP($A80,Table26[],5,FALSE)=0,VLOOKUP($D80,Table15[],17,FALSE),(VLOOKUP($A80,Table26[],5,FALSE)))</f>
        <v>2.8571565487730748E-2</v>
      </c>
      <c r="R80" s="126">
        <f>IF(VLOOKUP($A80,Table26[],16,FALSE)=0,VLOOKUP($D80,Table15[],18,FALSE),(VLOOKUP($A80,Table26[],16,FALSE)))</f>
        <v>0.45112998138522242</v>
      </c>
      <c r="S80" s="126">
        <f>IF(VLOOKUP($A80,Table26[],9,FALSE)=0,VLOOKUP($D80,Table15[],19,FALSE),(VLOOKUP($A80,Table26[],9,FALSE)))</f>
        <v>9.9767314640660312E-3</v>
      </c>
      <c r="T80" s="126">
        <f>IF(VLOOKUP($A80,Table26[],8,FALSE)=0,VLOOKUP($D80,Table15[],20,FALSE),(VLOOKUP($A80,Table26[],8,FALSE)))</f>
        <v>1.5164631825380366E-2</v>
      </c>
      <c r="U80" s="126">
        <f>IF(VLOOKUP($A80,Table26[],10,FALSE)=0,VLOOKUP($D80,Table15[],21,FALSE),(VLOOKUP($A80,Table26[],10,FALSE)))</f>
        <v>3.9906925856264125E-2</v>
      </c>
      <c r="V80" s="126">
        <f>VLOOKUP($F80,vaccine_costs!$AH$6:$AK$11,2,FALSE)</f>
        <v>0.02</v>
      </c>
      <c r="W80" s="126">
        <f>IF(VLOOKUP($A80,tordrup[],5,FALSE)=0,VLOOKUP($D80,Table15[],23,FALSE),VLOOKUP($A80,tordrup[],5,FALSE))</f>
        <v>38.03851541007117</v>
      </c>
      <c r="X80" s="126">
        <f>IF(VLOOKUP($A80,tordrup[],6,FALSE)=0,VLOOKUP($D80,Table15[],24,FALSE),VLOOKUP($A80,tordrup[],6,FALSE))</f>
        <v>67.258515410071169</v>
      </c>
      <c r="Y80" s="126">
        <f>IF(VLOOKUP($A80,tordrup[],7,FALSE)=0,VLOOKUP($D80,Table15[],25,FALSE),VLOOKUP($A80,tordrup[],7,FALSE))</f>
        <v>156.70225311262854</v>
      </c>
      <c r="Z80" s="126">
        <f>IF(VLOOKUP($A80,tordrup[],8,FALSE)=0,VLOOKUP($D80,Table15[],26,FALSE),VLOOKUP($A80,tordrup[],8,FALSE))</f>
        <v>141.79496349553565</v>
      </c>
      <c r="AA80" s="126">
        <v>82.4</v>
      </c>
      <c r="AB80" s="126">
        <v>408.79</v>
      </c>
      <c r="AC80" s="126">
        <v>2415.5</v>
      </c>
      <c r="AD80" s="126">
        <v>5434.91</v>
      </c>
      <c r="AF80" s="126">
        <v>7842.7551936876489</v>
      </c>
      <c r="AG80" s="126">
        <v>4973.0169143959911</v>
      </c>
      <c r="AH80" s="126">
        <v>9946.0338287919822</v>
      </c>
      <c r="AI80" s="126">
        <v>29838.101486375948</v>
      </c>
      <c r="AJ80" s="33" t="str">
        <f>IF(VLOOKUP($A80,lmic_raw[],11,FALSE)=0, "Yes", "No")</f>
        <v>Yes</v>
      </c>
    </row>
    <row r="81" spans="1:36" x14ac:dyDescent="0.25">
      <c r="A81" s="82" t="s">
        <v>472</v>
      </c>
      <c r="D81" s="84" t="s">
        <v>681</v>
      </c>
      <c r="F81" s="84" t="s">
        <v>666</v>
      </c>
      <c r="I81" s="126">
        <f>IF(VLOOKUP($A81,portnoy[],3,FALSE)=0, VLOOKUP($D81,Table15[],9,FALSE),VLOOKUP($A81,portnoy[],3,FALSE))</f>
        <v>5.8298000000000005</v>
      </c>
      <c r="J81" s="126">
        <f>sens_costs_regions!J$2</f>
        <v>0.36202199312714778</v>
      </c>
      <c r="K81" s="126">
        <f>sens_costs_regions!K$2</f>
        <v>0.41792411616161618</v>
      </c>
      <c r="L81" s="126">
        <f>sens_costs_regions!L$2</f>
        <v>0.48333918128654974</v>
      </c>
      <c r="M81" s="126">
        <f>sens_costs_regions!M$2</f>
        <v>0.5718158075601375</v>
      </c>
      <c r="N81" s="126">
        <f>sens_costs_regions!N$2</f>
        <v>0.65679722222222237</v>
      </c>
      <c r="O81" s="126">
        <f>sens_costs_regions!O$2</f>
        <v>0.7491286549707602</v>
      </c>
      <c r="P81" s="126">
        <f>IF(VLOOKUP($A81,Table26[],6,FALSE)=0,VLOOKUP($D81,Table15[],16,FALSE),(VLOOKUP($A81,Table26[],6,FALSE)))</f>
        <v>1.1778804636504487E-2</v>
      </c>
      <c r="Q81" s="126">
        <f>IF(VLOOKUP($A81,Table26[],5,FALSE)=0,VLOOKUP($D81,Table15[],17,FALSE),(VLOOKUP($A81,Table26[],5,FALSE)))</f>
        <v>1.790378304748682E-2</v>
      </c>
      <c r="R81" s="126">
        <f>IF(VLOOKUP($A81,Table26[],16,FALSE)=0,VLOOKUP($D81,Table15[],18,FALSE),(VLOOKUP($A81,Table26[],16,FALSE)))</f>
        <v>0.28269131127610769</v>
      </c>
      <c r="S81" s="126">
        <f>IF(VLOOKUP($A81,Table26[],9,FALSE)=0,VLOOKUP($D81,Table15[],19,FALSE),(VLOOKUP($A81,Table26[],9,FALSE)))</f>
        <v>6.6079463252314815E-3</v>
      </c>
      <c r="T81" s="126">
        <f>IF(VLOOKUP($A81,Table26[],8,FALSE)=0,VLOOKUP($D81,Table15[],20,FALSE),(VLOOKUP($A81,Table26[],8,FALSE)))</f>
        <v>1.0044078414351851E-2</v>
      </c>
      <c r="U81" s="126">
        <f>IF(VLOOKUP($A81,Table26[],10,FALSE)=0,VLOOKUP($D81,Table15[],21,FALSE),(VLOOKUP($A81,Table26[],10,FALSE)))</f>
        <v>2.6431785300925926E-2</v>
      </c>
      <c r="V81" s="126">
        <f>VLOOKUP($F81,vaccine_costs!$AH$6:$AK$11,2,FALSE)</f>
        <v>0.63</v>
      </c>
      <c r="W81" s="126">
        <f>IF(VLOOKUP($A81,tordrup[],5,FALSE)=0,VLOOKUP($D81,Table15[],23,FALSE),VLOOKUP($A81,tordrup[],5,FALSE))</f>
        <v>29.029906340361858</v>
      </c>
      <c r="X81" s="126">
        <f>IF(VLOOKUP($A81,tordrup[],6,FALSE)=0,VLOOKUP($D81,Table15[],24,FALSE),VLOOKUP($A81,tordrup[],6,FALSE))</f>
        <v>58.249906340361861</v>
      </c>
      <c r="Y81" s="126">
        <f>IF(VLOOKUP($A81,tordrup[],7,FALSE)=0,VLOOKUP($D81,Table15[],25,FALSE),VLOOKUP($A81,tordrup[],7,FALSE))</f>
        <v>78.272519194428824</v>
      </c>
      <c r="Z81" s="126">
        <f>IF(VLOOKUP($A81,tordrup[],8,FALSE)=0,VLOOKUP($D81,Table15[],26,FALSE),VLOOKUP($A81,tordrup[],8,FALSE))</f>
        <v>74.935417052084333</v>
      </c>
      <c r="AA81" s="126">
        <v>82.4</v>
      </c>
      <c r="AB81" s="126">
        <v>408.79</v>
      </c>
      <c r="AC81" s="126">
        <v>2415.5</v>
      </c>
      <c r="AD81" s="126">
        <v>5434.91</v>
      </c>
      <c r="AF81" s="126">
        <v>0</v>
      </c>
      <c r="AG81" s="126">
        <v>1784.1455078125</v>
      </c>
      <c r="AH81" s="126">
        <v>3568.291015625</v>
      </c>
      <c r="AI81" s="126">
        <v>10704.873046875</v>
      </c>
      <c r="AJ81" s="33" t="str">
        <f>IF(VLOOKUP($A81,lmic_raw[],11,FALSE)=0, "Yes", "No")</f>
        <v>No</v>
      </c>
    </row>
    <row r="82" spans="1:36" x14ac:dyDescent="0.25">
      <c r="A82" s="82" t="s">
        <v>639</v>
      </c>
      <c r="D82" s="82" t="s">
        <v>675</v>
      </c>
      <c r="F82" s="82" t="s">
        <v>663</v>
      </c>
      <c r="I82" s="126">
        <f>IF(VLOOKUP($A82,portnoy[],3,FALSE)=0, VLOOKUP($D82,Table15[],9,FALSE),VLOOKUP($A82,portnoy[],3,FALSE))</f>
        <v>4.6659000000000006</v>
      </c>
      <c r="J82" s="126">
        <f>sens_costs_regions!J$2</f>
        <v>0.36202199312714778</v>
      </c>
      <c r="K82" s="126">
        <f>sens_costs_regions!K$2</f>
        <v>0.41792411616161618</v>
      </c>
      <c r="L82" s="126">
        <f>sens_costs_regions!L$2</f>
        <v>0.48333918128654974</v>
      </c>
      <c r="M82" s="126">
        <f>sens_costs_regions!M$2</f>
        <v>0.5718158075601375</v>
      </c>
      <c r="N82" s="126">
        <f>sens_costs_regions!N$2</f>
        <v>0.65679722222222237</v>
      </c>
      <c r="O82" s="126">
        <f>sens_costs_regions!O$2</f>
        <v>0.7491286549707602</v>
      </c>
      <c r="P82" s="126">
        <f>IF(VLOOKUP($A82,Table26[],6,FALSE)=0,VLOOKUP($D82,Table15[],16,FALSE),(VLOOKUP($A82,Table26[],6,FALSE)))</f>
        <v>1.5828245621214581E-2</v>
      </c>
      <c r="Q82" s="126">
        <f>IF(VLOOKUP($A82,Table26[],5,FALSE)=0,VLOOKUP($D82,Table15[],17,FALSE),(VLOOKUP($A82,Table26[],5,FALSE)))</f>
        <v>2.4058933344246164E-2</v>
      </c>
      <c r="R82" s="126">
        <f>IF(VLOOKUP($A82,Table26[],16,FALSE)=0,VLOOKUP($D82,Table15[],18,FALSE),(VLOOKUP($A82,Table26[],16,FALSE)))</f>
        <v>0.37987789490914997</v>
      </c>
      <c r="S82" s="126">
        <f>IF(VLOOKUP($A82,Table26[],9,FALSE)=0,VLOOKUP($D82,Table15[],19,FALSE),(VLOOKUP($A82,Table26[],9,FALSE)))</f>
        <v>8.3398462692379095E-3</v>
      </c>
      <c r="T82" s="126">
        <f>IF(VLOOKUP($A82,Table26[],8,FALSE)=0,VLOOKUP($D82,Table15[],20,FALSE),(VLOOKUP($A82,Table26[],8,FALSE)))</f>
        <v>1.2676566329241622E-2</v>
      </c>
      <c r="U82" s="126">
        <f>IF(VLOOKUP($A82,Table26[],10,FALSE)=0,VLOOKUP($D82,Table15[],21,FALSE),(VLOOKUP($A82,Table26[],10,FALSE)))</f>
        <v>3.3359385076951638E-2</v>
      </c>
      <c r="V82" s="126">
        <f>VLOOKUP($F82,vaccine_costs!$AH$6:$AK$11,2,FALSE)</f>
        <v>4.07</v>
      </c>
      <c r="W82" s="126">
        <f>IF(VLOOKUP($A82,tordrup[],5,FALSE)=0,VLOOKUP($D82,Table15[],23,FALSE),VLOOKUP($A82,tordrup[],5,FALSE))</f>
        <v>31.715964524496332</v>
      </c>
      <c r="X82" s="126">
        <f>IF(VLOOKUP($A82,tordrup[],6,FALSE)=0,VLOOKUP($D82,Table15[],24,FALSE),VLOOKUP($A82,tordrup[],6,FALSE))</f>
        <v>60.935964524496327</v>
      </c>
      <c r="Y82" s="126">
        <f>IF(VLOOKUP($A82,tordrup[],7,FALSE)=0,VLOOKUP($D82,Table15[],25,FALSE),VLOOKUP($A82,tordrup[],7,FALSE))</f>
        <v>108.65876594883072</v>
      </c>
      <c r="Z82" s="126">
        <f>IF(VLOOKUP($A82,tordrup[],8,FALSE)=0,VLOOKUP($D82,Table15[],26,FALSE),VLOOKUP($A82,tordrup[],8,FALSE))</f>
        <v>100.70496571144166</v>
      </c>
      <c r="AA82" s="126">
        <v>82.4</v>
      </c>
      <c r="AB82" s="126">
        <v>408.79</v>
      </c>
      <c r="AC82" s="126">
        <v>2415.5</v>
      </c>
      <c r="AD82" s="126">
        <v>5434.91</v>
      </c>
      <c r="AF82" s="126">
        <v>2012.6079683621003</v>
      </c>
      <c r="AG82" s="126">
        <v>2251.7584926942359</v>
      </c>
      <c r="AH82" s="126">
        <v>4503.5169853884718</v>
      </c>
      <c r="AI82" s="126">
        <v>13510.550956165414</v>
      </c>
      <c r="AJ82" s="33" t="str">
        <f>IF(VLOOKUP($A82,lmic_raw[],11,FALSE)=0, "Yes", "No")</f>
        <v>No</v>
      </c>
    </row>
    <row r="83" spans="1:36" x14ac:dyDescent="0.25">
      <c r="A83" s="110" t="s">
        <v>208</v>
      </c>
      <c r="D83" s="84" t="s">
        <v>681</v>
      </c>
      <c r="F83" s="84" t="s">
        <v>663</v>
      </c>
      <c r="I83" s="126">
        <f>IF(VLOOKUP($A83,portnoy[],3,FALSE)=0, VLOOKUP($D83,Table15[],9,FALSE),VLOOKUP($A83,portnoy[],3,FALSE))</f>
        <v>6.2109000000000005</v>
      </c>
      <c r="J83" s="126">
        <f>sens_costs_regions!J$2</f>
        <v>0.36202199312714778</v>
      </c>
      <c r="K83" s="126">
        <f>sens_costs_regions!K$2</f>
        <v>0.41792411616161618</v>
      </c>
      <c r="L83" s="126">
        <f>sens_costs_regions!L$2</f>
        <v>0.48333918128654974</v>
      </c>
      <c r="M83" s="126">
        <f>sens_costs_regions!M$2</f>
        <v>0.5718158075601375</v>
      </c>
      <c r="N83" s="126">
        <f>sens_costs_regions!N$2</f>
        <v>0.65679722222222237</v>
      </c>
      <c r="O83" s="126">
        <f>sens_costs_regions!O$2</f>
        <v>0.7491286549707602</v>
      </c>
      <c r="P83" s="126">
        <f>IF(VLOOKUP($A83,Table26[],6,FALSE)=0,VLOOKUP($D83,Table15[],16,FALSE),(VLOOKUP($A83,Table26[],6,FALSE)))</f>
        <v>1.5340243126272012E-2</v>
      </c>
      <c r="Q83" s="126">
        <f>IF(VLOOKUP($A83,Table26[],5,FALSE)=0,VLOOKUP($D83,Table15[],17,FALSE),(VLOOKUP($A83,Table26[],5,FALSE)))</f>
        <v>2.3317169551933456E-2</v>
      </c>
      <c r="R83" s="126">
        <f>IF(VLOOKUP($A83,Table26[],16,FALSE)=0,VLOOKUP($D83,Table15[],18,FALSE),(VLOOKUP($A83,Table26[],16,FALSE)))</f>
        <v>0.3681658350305283</v>
      </c>
      <c r="S83" s="126">
        <f>IF(VLOOKUP($A83,Table26[],9,FALSE)=0,VLOOKUP($D83,Table15[],19,FALSE),(VLOOKUP($A83,Table26[],9,FALSE)))</f>
        <v>8.0367468134264226E-3</v>
      </c>
      <c r="T83" s="126">
        <f>IF(VLOOKUP($A83,Table26[],8,FALSE)=0,VLOOKUP($D83,Table15[],20,FALSE),(VLOOKUP($A83,Table26[],8,FALSE)))</f>
        <v>1.221585515640816E-2</v>
      </c>
      <c r="U83" s="126">
        <f>IF(VLOOKUP($A83,Table26[],10,FALSE)=0,VLOOKUP($D83,Table15[],21,FALSE),(VLOOKUP($A83,Table26[],10,FALSE)))</f>
        <v>3.214698725370569E-2</v>
      </c>
      <c r="V83" s="126">
        <f>VLOOKUP($F83,vaccine_costs!$AH$6:$AK$11,2,FALSE)</f>
        <v>4.07</v>
      </c>
      <c r="W83" s="126">
        <f>IF(VLOOKUP($A83,tordrup[],5,FALSE)=0,VLOOKUP($D83,Table15[],23,FALSE),VLOOKUP($A83,tordrup[],5,FALSE))</f>
        <v>25.932084249196993</v>
      </c>
      <c r="X83" s="126">
        <f>IF(VLOOKUP($A83,tordrup[],6,FALSE)=0,VLOOKUP($D83,Table15[],24,FALSE),VLOOKUP($A83,tordrup[],6,FALSE))</f>
        <v>55.152084249196989</v>
      </c>
      <c r="Y83" s="126">
        <f>IF(VLOOKUP($A83,tordrup[],7,FALSE)=0,VLOOKUP($D83,Table15[],25,FALSE),VLOOKUP($A83,tordrup[],7,FALSE))</f>
        <v>65.139889956918196</v>
      </c>
      <c r="Z83" s="126">
        <f>IF(VLOOKUP($A83,tordrup[],8,FALSE)=0,VLOOKUP($D83,Table15[],26,FALSE),VLOOKUP($A83,tordrup[],8,FALSE))</f>
        <v>63.47525567229799</v>
      </c>
      <c r="AA83" s="126">
        <v>82.4</v>
      </c>
      <c r="AB83" s="126">
        <v>408.79</v>
      </c>
      <c r="AC83" s="126">
        <v>2415.5</v>
      </c>
      <c r="AD83" s="126">
        <v>5434.91</v>
      </c>
      <c r="AF83" s="126">
        <v>1846.7408427867117</v>
      </c>
      <c r="AG83" s="126">
        <v>2169.921639625134</v>
      </c>
      <c r="AH83" s="126">
        <v>4339.8432792502681</v>
      </c>
      <c r="AI83" s="126">
        <v>13019.529837750804</v>
      </c>
      <c r="AJ83" s="33" t="str">
        <f>IF(VLOOKUP($A83,lmic_raw[],11,FALSE)=0, "Yes", "No")</f>
        <v>No</v>
      </c>
    </row>
    <row r="84" spans="1:36" x14ac:dyDescent="0.25">
      <c r="A84" s="109" t="s">
        <v>341</v>
      </c>
      <c r="D84" s="82" t="s">
        <v>675</v>
      </c>
      <c r="F84" s="82" t="s">
        <v>663</v>
      </c>
      <c r="I84" s="126">
        <f>IF(VLOOKUP($A84,portnoy[],3,FALSE)=0, VLOOKUP($D84,Table15[],9,FALSE),VLOOKUP($A84,portnoy[],3,FALSE))</f>
        <v>7.5602</v>
      </c>
      <c r="J84" s="126">
        <f>sens_costs_regions!J$2</f>
        <v>0.36202199312714778</v>
      </c>
      <c r="K84" s="126">
        <f>sens_costs_regions!K$2</f>
        <v>0.41792411616161618</v>
      </c>
      <c r="L84" s="126">
        <f>sens_costs_regions!L$2</f>
        <v>0.48333918128654974</v>
      </c>
      <c r="M84" s="126">
        <f>sens_costs_regions!M$2</f>
        <v>0.5718158075601375</v>
      </c>
      <c r="N84" s="126">
        <f>sens_costs_regions!N$2</f>
        <v>0.65679722222222237</v>
      </c>
      <c r="O84" s="126">
        <f>sens_costs_regions!O$2</f>
        <v>0.7491286549707602</v>
      </c>
      <c r="P84" s="126">
        <f>IF(VLOOKUP($A84,Table26[],6,FALSE)=0,VLOOKUP($D84,Table15[],16,FALSE),(VLOOKUP($A84,Table26[],6,FALSE)))</f>
        <v>1.6309493267014932E-2</v>
      </c>
      <c r="Q84" s="126">
        <f>IF(VLOOKUP($A84,Table26[],5,FALSE)=0,VLOOKUP($D84,Table15[],17,FALSE),(VLOOKUP($A84,Table26[],5,FALSE)))</f>
        <v>2.4790429765862692E-2</v>
      </c>
      <c r="R84" s="126">
        <f>IF(VLOOKUP($A84,Table26[],16,FALSE)=0,VLOOKUP($D84,Table15[],18,FALSE),(VLOOKUP($A84,Table26[],16,FALSE)))</f>
        <v>0.39142783840835832</v>
      </c>
      <c r="S84" s="126">
        <f>IF(VLOOKUP($A84,Table26[],9,FALSE)=0,VLOOKUP($D84,Table15[],19,FALSE),(VLOOKUP($A84,Table26[],9,FALSE)))</f>
        <v>8.9364315047901002E-3</v>
      </c>
      <c r="T84" s="126">
        <f>IF(VLOOKUP($A84,Table26[],8,FALSE)=0,VLOOKUP($D84,Table15[],20,FALSE),(VLOOKUP($A84,Table26[],8,FALSE)))</f>
        <v>1.358337588728095E-2</v>
      </c>
      <c r="U84" s="126">
        <f>IF(VLOOKUP($A84,Table26[],10,FALSE)=0,VLOOKUP($D84,Table15[],21,FALSE),(VLOOKUP($A84,Table26[],10,FALSE)))</f>
        <v>3.5745726019160401E-2</v>
      </c>
      <c r="V84" s="126">
        <f>VLOOKUP($F84,vaccine_costs!$AH$6:$AK$11,2,FALSE)</f>
        <v>4.07</v>
      </c>
      <c r="W84" s="126">
        <f>IF(VLOOKUP($A84,tordrup[],5,FALSE)=0,VLOOKUP($D84,Table15[],23,FALSE),VLOOKUP($A84,tordrup[],5,FALSE))</f>
        <v>31.715964524496332</v>
      </c>
      <c r="X84" s="126">
        <f>IF(VLOOKUP($A84,tordrup[],6,FALSE)=0,VLOOKUP($D84,Table15[],24,FALSE),VLOOKUP($A84,tordrup[],6,FALSE))</f>
        <v>60.935964524496327</v>
      </c>
      <c r="Y84" s="126">
        <f>IF(VLOOKUP($A84,tordrup[],7,FALSE)=0,VLOOKUP($D84,Table15[],25,FALSE),VLOOKUP($A84,tordrup[],7,FALSE))</f>
        <v>108.65876594883072</v>
      </c>
      <c r="Z84" s="126">
        <f>IF(VLOOKUP($A84,tordrup[],8,FALSE)=0,VLOOKUP($D84,Table15[],26,FALSE),VLOOKUP($A84,tordrup[],8,FALSE))</f>
        <v>100.70496571144166</v>
      </c>
      <c r="AA84" s="126">
        <v>82.4</v>
      </c>
      <c r="AB84" s="126">
        <v>408.79</v>
      </c>
      <c r="AC84" s="126">
        <v>2415.5</v>
      </c>
      <c r="AD84" s="126">
        <v>5434.91</v>
      </c>
      <c r="AF84" s="126">
        <v>0</v>
      </c>
      <c r="AG84" s="126">
        <v>4454.4673962338347</v>
      </c>
      <c r="AH84" s="126">
        <v>8908.9347924676695</v>
      </c>
      <c r="AI84" s="126">
        <v>26726.804377403008</v>
      </c>
      <c r="AJ84" s="33" t="str">
        <f>IF(VLOOKUP($A84,lmic_raw[],11,FALSE)=0, "Yes", "No")</f>
        <v>Yes</v>
      </c>
    </row>
    <row r="85" spans="1:36" x14ac:dyDescent="0.25">
      <c r="A85" s="110" t="s">
        <v>160</v>
      </c>
      <c r="D85" s="84" t="s">
        <v>673</v>
      </c>
      <c r="F85" s="84" t="s">
        <v>579</v>
      </c>
      <c r="I85" s="126">
        <f>IF(VLOOKUP($A85,portnoy[],3,FALSE)=0, VLOOKUP($D85,Table15[],9,FALSE),VLOOKUP($A85,portnoy[],3,FALSE))</f>
        <v>3.4505000000000003</v>
      </c>
      <c r="J85" s="126">
        <f>sens_costs_regions!J$2</f>
        <v>0.36202199312714778</v>
      </c>
      <c r="K85" s="126">
        <f>sens_costs_regions!K$2</f>
        <v>0.41792411616161618</v>
      </c>
      <c r="L85" s="126">
        <f>sens_costs_regions!L$2</f>
        <v>0.48333918128654974</v>
      </c>
      <c r="M85" s="126">
        <f>sens_costs_regions!M$2</f>
        <v>0.5718158075601375</v>
      </c>
      <c r="N85" s="126">
        <f>sens_costs_regions!N$2</f>
        <v>0.65679722222222237</v>
      </c>
      <c r="O85" s="126">
        <f>sens_costs_regions!O$2</f>
        <v>0.7491286549707602</v>
      </c>
      <c r="P85" s="126">
        <f>IF(VLOOKUP($A85,Table26[],6,FALSE)=0,VLOOKUP($D85,Table15[],16,FALSE),(VLOOKUP($A85,Table26[],6,FALSE)))</f>
        <v>1.11508691512554E-2</v>
      </c>
      <c r="Q85" s="126">
        <f>IF(VLOOKUP($A85,Table26[],5,FALSE)=0,VLOOKUP($D85,Table15[],17,FALSE),(VLOOKUP($A85,Table26[],5,FALSE)))</f>
        <v>1.6949321109908207E-2</v>
      </c>
      <c r="R85" s="126">
        <f>IF(VLOOKUP($A85,Table26[],16,FALSE)=0,VLOOKUP($D85,Table15[],18,FALSE),(VLOOKUP($A85,Table26[],16,FALSE)))</f>
        <v>0.2676208596301296</v>
      </c>
      <c r="S85" s="126">
        <f>IF(VLOOKUP($A85,Table26[],9,FALSE)=0,VLOOKUP($D85,Table15[],19,FALSE),(VLOOKUP($A85,Table26[],9,FALSE)))</f>
        <v>5.9335092650610738E-3</v>
      </c>
      <c r="T85" s="126">
        <f>IF(VLOOKUP($A85,Table26[],8,FALSE)=0,VLOOKUP($D85,Table15[],20,FALSE),(VLOOKUP($A85,Table26[],8,FALSE)))</f>
        <v>9.0189340828928325E-3</v>
      </c>
      <c r="U85" s="126">
        <f>IF(VLOOKUP($A85,Table26[],10,FALSE)=0,VLOOKUP($D85,Table15[],21,FALSE),(VLOOKUP($A85,Table26[],10,FALSE)))</f>
        <v>2.3734037060244295E-2</v>
      </c>
      <c r="V85" s="126">
        <f>VLOOKUP($F85,vaccine_costs!$AH$6:$AK$11,2,FALSE)</f>
        <v>0.48</v>
      </c>
      <c r="W85" s="126">
        <f>IF(VLOOKUP($A85,tordrup[],5,FALSE)=0,VLOOKUP($D85,Table15[],23,FALSE),VLOOKUP($A85,tordrup[],5,FALSE))</f>
        <v>28.43645383247587</v>
      </c>
      <c r="X85" s="126">
        <f>IF(VLOOKUP($A85,tordrup[],6,FALSE)=0,VLOOKUP($D85,Table15[],24,FALSE),VLOOKUP($A85,tordrup[],6,FALSE))</f>
        <v>57.656453832475869</v>
      </c>
      <c r="Y85" s="126">
        <f>IF(VLOOKUP($A85,tordrup[],7,FALSE)=0,VLOOKUP($D85,Table15[],25,FALSE),VLOOKUP($A85,tordrup[],7,FALSE))</f>
        <v>77.961075318290256</v>
      </c>
      <c r="Z85" s="126">
        <f>IF(VLOOKUP($A85,tordrup[],8,FALSE)=0,VLOOKUP($D85,Table15[],26,FALSE),VLOOKUP($A85,tordrup[],8,FALSE))</f>
        <v>74.576971737321188</v>
      </c>
      <c r="AA85" s="126">
        <v>82.4</v>
      </c>
      <c r="AB85" s="126">
        <v>408.79</v>
      </c>
      <c r="AC85" s="126">
        <v>2415.5</v>
      </c>
      <c r="AD85" s="126">
        <v>5434.91</v>
      </c>
      <c r="AF85" s="126">
        <v>1202.6894345970256</v>
      </c>
      <c r="AG85" s="126">
        <v>1602.0475015664899</v>
      </c>
      <c r="AH85" s="126">
        <v>3204.0950031329799</v>
      </c>
      <c r="AI85" s="126">
        <v>9612.28500939894</v>
      </c>
      <c r="AJ85" s="33" t="str">
        <f>IF(VLOOKUP($A85,lmic_raw[],11,FALSE)=0, "Yes", "No")</f>
        <v>No</v>
      </c>
    </row>
    <row r="86" spans="1:36" x14ac:dyDescent="0.25">
      <c r="A86" s="109" t="s">
        <v>111</v>
      </c>
      <c r="D86" s="82" t="s">
        <v>677</v>
      </c>
      <c r="F86" s="82" t="s">
        <v>667</v>
      </c>
      <c r="I86" s="126">
        <f>IF(VLOOKUP($A86,portnoy[],3,FALSE)=0, VLOOKUP($D86,Table15[],9,FALSE),VLOOKUP($A86,portnoy[],3,FALSE))</f>
        <v>1.2051000000000001</v>
      </c>
      <c r="J86" s="126">
        <f>sens_costs_regions!J$2</f>
        <v>0.36202199312714778</v>
      </c>
      <c r="K86" s="126">
        <f>sens_costs_regions!K$2</f>
        <v>0.41792411616161618</v>
      </c>
      <c r="L86" s="126">
        <f>sens_costs_regions!L$2</f>
        <v>0.48333918128654974</v>
      </c>
      <c r="M86" s="126">
        <f>sens_costs_regions!M$2</f>
        <v>0.5718158075601375</v>
      </c>
      <c r="N86" s="126">
        <f>sens_costs_regions!N$2</f>
        <v>0.65679722222222237</v>
      </c>
      <c r="O86" s="126">
        <f>sens_costs_regions!O$2</f>
        <v>0.7491286549707602</v>
      </c>
      <c r="P86" s="126">
        <f>IF(VLOOKUP($A86,Table26[],6,FALSE)=0,VLOOKUP($D86,Table15[],16,FALSE),(VLOOKUP($A86,Table26[],6,FALSE)))</f>
        <v>2.5461897743430605E-3</v>
      </c>
      <c r="Q86" s="126">
        <f>IF(VLOOKUP($A86,Table26[],5,FALSE)=0,VLOOKUP($D86,Table15[],17,FALSE),(VLOOKUP($A86,Table26[],5,FALSE)))</f>
        <v>3.8702084570014519E-3</v>
      </c>
      <c r="R86" s="126">
        <f>IF(VLOOKUP($A86,Table26[],16,FALSE)=0,VLOOKUP($D86,Table15[],18,FALSE),(VLOOKUP($A86,Table26[],16,FALSE)))</f>
        <v>6.1108554584233456E-2</v>
      </c>
      <c r="S86" s="126">
        <f>IF(VLOOKUP($A86,Table26[],9,FALSE)=0,VLOOKUP($D86,Table15[],19,FALSE),(VLOOKUP($A86,Table26[],9,FALSE)))</f>
        <v>1.437663471372105E-3</v>
      </c>
      <c r="T86" s="126">
        <f>IF(VLOOKUP($A86,Table26[],8,FALSE)=0,VLOOKUP($D86,Table15[],20,FALSE),(VLOOKUP($A86,Table26[],8,FALSE)))</f>
        <v>2.1852484764855996E-3</v>
      </c>
      <c r="U86" s="126">
        <f>IF(VLOOKUP($A86,Table26[],10,FALSE)=0,VLOOKUP($D86,Table15[],21,FALSE),(VLOOKUP($A86,Table26[],10,FALSE)))</f>
        <v>5.7506538854884201E-3</v>
      </c>
      <c r="V86" s="126">
        <f>VLOOKUP($F86,vaccine_costs!$AH$6:$AK$11,2,FALSE)</f>
        <v>4.83</v>
      </c>
      <c r="W86" s="126">
        <f>IF(VLOOKUP($A86,tordrup[],5,FALSE)=0,VLOOKUP($D86,Table15[],23,FALSE),VLOOKUP($A86,tordrup[],5,FALSE))</f>
        <v>24.104250524908146</v>
      </c>
      <c r="X86" s="126">
        <f>IF(VLOOKUP($A86,tordrup[],6,FALSE)=0,VLOOKUP($D86,Table15[],24,FALSE),VLOOKUP($A86,tordrup[],6,FALSE))</f>
        <v>53.324250524908145</v>
      </c>
      <c r="Y86" s="126">
        <f>IF(VLOOKUP($A86,tordrup[],7,FALSE)=0,VLOOKUP($D86,Table15[],25,FALSE),VLOOKUP($A86,tordrup[],7,FALSE))</f>
        <v>55.110305192641817</v>
      </c>
      <c r="Z86" s="126">
        <f>IF(VLOOKUP($A86,tordrup[],8,FALSE)=0,VLOOKUP($D86,Table15[],26,FALSE),VLOOKUP($A86,tordrup[],8,FALSE))</f>
        <v>54.812629414686207</v>
      </c>
      <c r="AA86" s="126">
        <v>82.4</v>
      </c>
      <c r="AB86" s="126">
        <v>408.79</v>
      </c>
      <c r="AC86" s="126">
        <v>2415.5</v>
      </c>
      <c r="AD86" s="126">
        <v>5434.91</v>
      </c>
      <c r="AF86" s="126">
        <v>226.03449209711613</v>
      </c>
      <c r="AG86" s="126">
        <v>251.78538633760107</v>
      </c>
      <c r="AH86" s="126">
        <v>503.57077267520214</v>
      </c>
      <c r="AI86" s="126">
        <v>1510.7123180256065</v>
      </c>
      <c r="AJ86" s="33" t="str">
        <f>IF(VLOOKUP($A86,lmic_raw[],11,FALSE)=0, "Yes", "No")</f>
        <v>Yes</v>
      </c>
    </row>
    <row r="87" spans="1:36" x14ac:dyDescent="0.25">
      <c r="A87" s="110" t="s">
        <v>216</v>
      </c>
      <c r="D87" s="84" t="s">
        <v>680</v>
      </c>
      <c r="F87" s="84" t="s">
        <v>666</v>
      </c>
      <c r="I87" s="126">
        <f>IF(VLOOKUP($A87,portnoy[],3,FALSE)=0, VLOOKUP($D87,Table15[],9,FALSE),VLOOKUP($A87,portnoy[],3,FALSE))</f>
        <v>1.9055000000000002</v>
      </c>
      <c r="J87" s="126">
        <f>sens_costs_regions!J$2</f>
        <v>0.36202199312714778</v>
      </c>
      <c r="K87" s="126">
        <f>sens_costs_regions!K$2</f>
        <v>0.41792411616161618</v>
      </c>
      <c r="L87" s="126">
        <f>sens_costs_regions!L$2</f>
        <v>0.48333918128654974</v>
      </c>
      <c r="M87" s="126">
        <f>sens_costs_regions!M$2</f>
        <v>0.5718158075601375</v>
      </c>
      <c r="N87" s="126">
        <f>sens_costs_regions!N$2</f>
        <v>0.65679722222222237</v>
      </c>
      <c r="O87" s="126">
        <f>sens_costs_regions!O$2</f>
        <v>0.7491286549707602</v>
      </c>
      <c r="P87" s="126">
        <f>IF(VLOOKUP($A87,Table26[],6,FALSE)=0,VLOOKUP($D87,Table15[],16,FALSE),(VLOOKUP($A87,Table26[],6,FALSE)))</f>
        <v>4.9572665422590459E-3</v>
      </c>
      <c r="Q87" s="126">
        <f>IF(VLOOKUP($A87,Table26[],5,FALSE)=0,VLOOKUP($D87,Table15[],17,FALSE),(VLOOKUP($A87,Table26[],5,FALSE)))</f>
        <v>7.5350451442337488E-3</v>
      </c>
      <c r="R87" s="126">
        <f>IF(VLOOKUP($A87,Table26[],16,FALSE)=0,VLOOKUP($D87,Table15[],18,FALSE),(VLOOKUP($A87,Table26[],16,FALSE)))</f>
        <v>0.11897439701421711</v>
      </c>
      <c r="S87" s="126">
        <f>IF(VLOOKUP($A87,Table26[],9,FALSE)=0,VLOOKUP($D87,Table15[],19,FALSE),(VLOOKUP($A87,Table26[],9,FALSE)))</f>
        <v>2.6070613766859888E-3</v>
      </c>
      <c r="T87" s="126">
        <f>IF(VLOOKUP($A87,Table26[],8,FALSE)=0,VLOOKUP($D87,Table15[],20,FALSE),(VLOOKUP($A87,Table26[],8,FALSE)))</f>
        <v>3.9627332925627028E-3</v>
      </c>
      <c r="U87" s="126">
        <f>IF(VLOOKUP($A87,Table26[],10,FALSE)=0,VLOOKUP($D87,Table15[],21,FALSE),(VLOOKUP($A87,Table26[],10,FALSE)))</f>
        <v>1.0428245506743955E-2</v>
      </c>
      <c r="V87" s="126">
        <f>VLOOKUP($F87,vaccine_costs!$AH$6:$AK$11,2,FALSE)</f>
        <v>0.63</v>
      </c>
      <c r="W87" s="126">
        <f>IF(VLOOKUP($A87,tordrup[],5,FALSE)=0,VLOOKUP($D87,Table15[],23,FALSE),VLOOKUP($A87,tordrup[],5,FALSE))</f>
        <v>24.460322029639741</v>
      </c>
      <c r="X87" s="126">
        <f>IF(VLOOKUP($A87,tordrup[],6,FALSE)=0,VLOOKUP($D87,Table15[],24,FALSE),VLOOKUP($A87,tordrup[],6,FALSE))</f>
        <v>53.68032202963974</v>
      </c>
      <c r="Y87" s="126">
        <f>IF(VLOOKUP($A87,tordrup[],7,FALSE)=0,VLOOKUP($D87,Table15[],25,FALSE),VLOOKUP($A87,tordrup[],7,FALSE))</f>
        <v>56.469074054697586</v>
      </c>
      <c r="Z87" s="126">
        <f>IF(VLOOKUP($A87,tordrup[],8,FALSE)=0,VLOOKUP($D87,Table15[],26,FALSE),VLOOKUP($A87,tordrup[],8,FALSE))</f>
        <v>56.004282050521269</v>
      </c>
      <c r="AA87" s="126">
        <v>82.4</v>
      </c>
      <c r="AB87" s="126">
        <v>408.79</v>
      </c>
      <c r="AC87" s="126">
        <v>2415.5</v>
      </c>
      <c r="AD87" s="126">
        <v>5434.91</v>
      </c>
      <c r="AF87" s="126">
        <v>0</v>
      </c>
      <c r="AG87" s="126">
        <v>703.90657170521695</v>
      </c>
      <c r="AH87" s="126">
        <v>1407.8131434104339</v>
      </c>
      <c r="AI87" s="126">
        <v>4223.4394302313012</v>
      </c>
      <c r="AJ87" s="33" t="str">
        <f>IF(VLOOKUP($A87,lmic_raw[],11,FALSE)=0, "Yes", "No")</f>
        <v>No</v>
      </c>
    </row>
    <row r="88" spans="1:36" x14ac:dyDescent="0.25">
      <c r="A88" s="109" t="s">
        <v>135</v>
      </c>
      <c r="D88" s="82" t="s">
        <v>677</v>
      </c>
      <c r="F88" s="82" t="s">
        <v>667</v>
      </c>
      <c r="I88" s="126">
        <f>IF(VLOOKUP($A88,portnoy[],3,FALSE)=0, VLOOKUP($D88,Table15[],9,FALSE),VLOOKUP($A88,portnoy[],3,FALSE))</f>
        <v>5.2736000000000001</v>
      </c>
      <c r="J88" s="126">
        <f>sens_costs_regions!J$2</f>
        <v>0.36202199312714778</v>
      </c>
      <c r="K88" s="126">
        <f>sens_costs_regions!K$2</f>
        <v>0.41792411616161618</v>
      </c>
      <c r="L88" s="126">
        <f>sens_costs_regions!L$2</f>
        <v>0.48333918128654974</v>
      </c>
      <c r="M88" s="126">
        <f>sens_costs_regions!M$2</f>
        <v>0.5718158075601375</v>
      </c>
      <c r="N88" s="126">
        <f>sens_costs_regions!N$2</f>
        <v>0.65679722222222237</v>
      </c>
      <c r="O88" s="126">
        <f>sens_costs_regions!O$2</f>
        <v>0.7491286549707602</v>
      </c>
      <c r="P88" s="126">
        <f>IF(VLOOKUP($A88,Table26[],6,FALSE)=0,VLOOKUP($D88,Table15[],16,FALSE),(VLOOKUP($A88,Table26[],6,FALSE)))</f>
        <v>8.7524816127441223E-3</v>
      </c>
      <c r="Q88" s="126">
        <f>IF(VLOOKUP($A88,Table26[],5,FALSE)=0,VLOOKUP($D88,Table15[],17,FALSE),(VLOOKUP($A88,Table26[],5,FALSE)))</f>
        <v>1.3303772051371064E-2</v>
      </c>
      <c r="R88" s="126">
        <f>IF(VLOOKUP($A88,Table26[],16,FALSE)=0,VLOOKUP($D88,Table15[],18,FALSE),(VLOOKUP($A88,Table26[],16,FALSE)))</f>
        <v>0.21005955870585893</v>
      </c>
      <c r="S88" s="126">
        <f>IF(VLOOKUP($A88,Table26[],9,FALSE)=0,VLOOKUP($D88,Table15[],19,FALSE),(VLOOKUP($A88,Table26[],9,FALSE)))</f>
        <v>4.9727590192463747E-3</v>
      </c>
      <c r="T88" s="126">
        <f>IF(VLOOKUP($A88,Table26[],8,FALSE)=0,VLOOKUP($D88,Table15[],20,FALSE),(VLOOKUP($A88,Table26[],8,FALSE)))</f>
        <v>7.5585937092544882E-3</v>
      </c>
      <c r="U88" s="126">
        <f>IF(VLOOKUP($A88,Table26[],10,FALSE)=0,VLOOKUP($D88,Table15[],21,FALSE),(VLOOKUP($A88,Table26[],10,FALSE)))</f>
        <v>1.9891036076985499E-2</v>
      </c>
      <c r="V88" s="126">
        <f>VLOOKUP($F88,vaccine_costs!$AH$6:$AK$11,2,FALSE)</f>
        <v>4.83</v>
      </c>
      <c r="W88" s="126">
        <f>IF(VLOOKUP($A88,tordrup[],5,FALSE)=0,VLOOKUP($D88,Table15[],23,FALSE),VLOOKUP($A88,tordrup[],5,FALSE))</f>
        <v>30.513537610076831</v>
      </c>
      <c r="X88" s="126">
        <f>IF(VLOOKUP($A88,tordrup[],6,FALSE)=0,VLOOKUP($D88,Table15[],24,FALSE),VLOOKUP($A88,tordrup[],6,FALSE))</f>
        <v>59.73353761007683</v>
      </c>
      <c r="Y88" s="126">
        <f>IF(VLOOKUP($A88,tordrup[],7,FALSE)=0,VLOOKUP($D88,Table15[],25,FALSE),VLOOKUP($A88,tordrup[],7,FALSE))</f>
        <v>91.906022348595229</v>
      </c>
      <c r="Z88" s="126">
        <f>IF(VLOOKUP($A88,tordrup[],8,FALSE)=0,VLOOKUP($D88,Table15[],26,FALSE),VLOOKUP($A88,tordrup[],8,FALSE))</f>
        <v>86.543941558842164</v>
      </c>
      <c r="AA88" s="126">
        <v>82.4</v>
      </c>
      <c r="AB88" s="126">
        <v>408.79</v>
      </c>
      <c r="AC88" s="126">
        <v>2415.5</v>
      </c>
      <c r="AD88" s="126">
        <v>5434.91</v>
      </c>
      <c r="AF88" s="126">
        <v>4048.4496693297369</v>
      </c>
      <c r="AG88" s="126">
        <v>2478.7291111320387</v>
      </c>
      <c r="AH88" s="126">
        <v>4957.4582222640774</v>
      </c>
      <c r="AI88" s="126">
        <v>14872.374666792231</v>
      </c>
      <c r="AJ88" s="33" t="str">
        <f>IF(VLOOKUP($A88,lmic_raw[],11,FALSE)=0, "Yes", "No")</f>
        <v>No</v>
      </c>
    </row>
    <row r="89" spans="1:36" x14ac:dyDescent="0.25">
      <c r="A89" s="110" t="s">
        <v>291</v>
      </c>
      <c r="D89" s="84" t="s">
        <v>681</v>
      </c>
      <c r="F89" s="84" t="s">
        <v>666</v>
      </c>
      <c r="I89" s="126">
        <f>IF(VLOOKUP($A89,portnoy[],3,FALSE)=0, VLOOKUP($D89,Table15[],9,FALSE),VLOOKUP($A89,portnoy[],3,FALSE))</f>
        <v>2.1059624953864424</v>
      </c>
      <c r="J89" s="126">
        <f>sens_costs_regions!J$2</f>
        <v>0.36202199312714778</v>
      </c>
      <c r="K89" s="126">
        <f>sens_costs_regions!K$2</f>
        <v>0.41792411616161618</v>
      </c>
      <c r="L89" s="126">
        <f>sens_costs_regions!L$2</f>
        <v>0.48333918128654974</v>
      </c>
      <c r="M89" s="126">
        <f>sens_costs_regions!M$2</f>
        <v>0.5718158075601375</v>
      </c>
      <c r="N89" s="126">
        <f>sens_costs_regions!N$2</f>
        <v>0.65679722222222237</v>
      </c>
      <c r="O89" s="126">
        <f>sens_costs_regions!O$2</f>
        <v>0.7491286549707602</v>
      </c>
      <c r="P89" s="126">
        <f>IF(VLOOKUP($A89,Table26[],6,FALSE)=0,VLOOKUP($D89,Table15[],16,FALSE),(VLOOKUP($A89,Table26[],6,FALSE)))</f>
        <v>1.6493260695402381E-2</v>
      </c>
      <c r="Q89" s="126">
        <f>IF(VLOOKUP($A89,Table26[],5,FALSE)=0,VLOOKUP($D89,Table15[],17,FALSE),(VLOOKUP($A89,Table26[],5,FALSE)))</f>
        <v>2.5069756257011615E-2</v>
      </c>
      <c r="R89" s="126">
        <f>IF(VLOOKUP($A89,Table26[],16,FALSE)=0,VLOOKUP($D89,Table15[],18,FALSE),(VLOOKUP($A89,Table26[],16,FALSE)))</f>
        <v>0.39583825668965716</v>
      </c>
      <c r="S89" s="126">
        <f>IF(VLOOKUP($A89,Table26[],9,FALSE)=0,VLOOKUP($D89,Table15[],19,FALSE),(VLOOKUP($A89,Table26[],9,FALSE)))</f>
        <v>9.4259849975724848E-3</v>
      </c>
      <c r="T89" s="126">
        <f>IF(VLOOKUP($A89,Table26[],8,FALSE)=0,VLOOKUP($D89,Table15[],20,FALSE),(VLOOKUP($A89,Table26[],8,FALSE)))</f>
        <v>1.4327497196310175E-2</v>
      </c>
      <c r="U89" s="126">
        <f>IF(VLOOKUP($A89,Table26[],10,FALSE)=0,VLOOKUP($D89,Table15[],21,FALSE),(VLOOKUP($A89,Table26[],10,FALSE)))</f>
        <v>3.7703939990289939E-2</v>
      </c>
      <c r="V89" s="126">
        <f>VLOOKUP($F89,vaccine_costs!$AH$6:$AK$11,2,FALSE)</f>
        <v>0.63</v>
      </c>
      <c r="W89" s="126">
        <f>IF(VLOOKUP($A89,tordrup[],5,FALSE)=0,VLOOKUP($D89,Table15[],23,FALSE),VLOOKUP($A89,tordrup[],5,FALSE))</f>
        <v>27.463191719542849</v>
      </c>
      <c r="X89" s="126">
        <f>IF(VLOOKUP($A89,tordrup[],6,FALSE)=0,VLOOKUP($D89,Table15[],24,FALSE),VLOOKUP($A89,tordrup[],6,FALSE))</f>
        <v>56.683191719542847</v>
      </c>
      <c r="Y89" s="126">
        <f>IF(VLOOKUP($A89,tordrup[],7,FALSE)=0,VLOOKUP($D89,Table15[],25,FALSE),VLOOKUP($A89,tordrup[],7,FALSE))</f>
        <v>69.075904370221224</v>
      </c>
      <c r="Z89" s="126">
        <f>IF(VLOOKUP($A89,tordrup[],8,FALSE)=0,VLOOKUP($D89,Table15[],26,FALSE),VLOOKUP($A89,tordrup[],8,FALSE))</f>
        <v>67.01045226177483</v>
      </c>
      <c r="AA89" s="126">
        <v>82.4</v>
      </c>
      <c r="AB89" s="126">
        <v>408.79</v>
      </c>
      <c r="AC89" s="126">
        <v>2415.5</v>
      </c>
      <c r="AD89" s="126">
        <v>5434.91</v>
      </c>
      <c r="AF89" s="126">
        <v>0</v>
      </c>
      <c r="AG89" s="126">
        <v>4698.4909834053615</v>
      </c>
      <c r="AH89" s="126">
        <v>9396.981966810723</v>
      </c>
      <c r="AI89" s="126">
        <v>28190.945900432169</v>
      </c>
      <c r="AJ89" s="33" t="str">
        <f>IF(VLOOKUP($A89,lmic_raw[],11,FALSE)=0, "Yes", "No")</f>
        <v>No</v>
      </c>
    </row>
    <row r="90" spans="1:36" x14ac:dyDescent="0.25">
      <c r="A90" s="109" t="s">
        <v>197</v>
      </c>
      <c r="D90" s="82" t="s">
        <v>680</v>
      </c>
      <c r="F90" s="82" t="s">
        <v>589</v>
      </c>
      <c r="I90" s="126">
        <f>IF(VLOOKUP($A90,portnoy[],3,FALSE)=0, VLOOKUP($D90,Table15[],9,FALSE),VLOOKUP($A90,portnoy[],3,FALSE))</f>
        <v>2.06</v>
      </c>
      <c r="J90" s="126">
        <f>sens_costs_regions!J$2</f>
        <v>0.36202199312714778</v>
      </c>
      <c r="K90" s="126">
        <f>sens_costs_regions!K$2</f>
        <v>0.41792411616161618</v>
      </c>
      <c r="L90" s="126">
        <f>sens_costs_regions!L$2</f>
        <v>0.48333918128654974</v>
      </c>
      <c r="M90" s="126">
        <f>sens_costs_regions!M$2</f>
        <v>0.5718158075601375</v>
      </c>
      <c r="N90" s="126">
        <f>sens_costs_regions!N$2</f>
        <v>0.65679722222222237</v>
      </c>
      <c r="O90" s="126">
        <f>sens_costs_regions!O$2</f>
        <v>0.7491286549707602</v>
      </c>
      <c r="P90" s="126">
        <f>IF(VLOOKUP($A90,Table26[],6,FALSE)=0,VLOOKUP($D90,Table15[],16,FALSE),(VLOOKUP($A90,Table26[],6,FALSE)))</f>
        <v>5.5138199989199655E-3</v>
      </c>
      <c r="Q90" s="126">
        <f>IF(VLOOKUP($A90,Table26[],5,FALSE)=0,VLOOKUP($D90,Table15[],17,FALSE),(VLOOKUP($A90,Table26[],5,FALSE)))</f>
        <v>8.3810063983583462E-3</v>
      </c>
      <c r="R90" s="126">
        <f>IF(VLOOKUP($A90,Table26[],16,FALSE)=0,VLOOKUP($D90,Table15[],18,FALSE),(VLOOKUP($A90,Table26[],16,FALSE)))</f>
        <v>0.13233167997407916</v>
      </c>
      <c r="S90" s="126">
        <f>IF(VLOOKUP($A90,Table26[],9,FALSE)=0,VLOOKUP($D90,Table15[],19,FALSE),(VLOOKUP($A90,Table26[],9,FALSE)))</f>
        <v>3.0577838071372977E-3</v>
      </c>
      <c r="T90" s="126">
        <f>IF(VLOOKUP($A90,Table26[],8,FALSE)=0,VLOOKUP($D90,Table15[],20,FALSE),(VLOOKUP($A90,Table26[],8,FALSE)))</f>
        <v>4.6478313868486918E-3</v>
      </c>
      <c r="U90" s="126">
        <f>IF(VLOOKUP($A90,Table26[],10,FALSE)=0,VLOOKUP($D90,Table15[],21,FALSE),(VLOOKUP($A90,Table26[],10,FALSE)))</f>
        <v>1.2231135228549191E-2</v>
      </c>
      <c r="V90" s="126">
        <f>VLOOKUP($F90,vaccine_costs!$AH$6:$AK$11,2,FALSE)</f>
        <v>2.4500000000000002</v>
      </c>
      <c r="W90" s="126">
        <f>IF(VLOOKUP($A90,tordrup[],5,FALSE)=0,VLOOKUP($D90,Table15[],23,FALSE),VLOOKUP($A90,tordrup[],5,FALSE))</f>
        <v>24.092381474750429</v>
      </c>
      <c r="X90" s="126">
        <f>IF(VLOOKUP($A90,tordrup[],6,FALSE)=0,VLOOKUP($D90,Table15[],24,FALSE),VLOOKUP($A90,tordrup[],6,FALSE))</f>
        <v>53.312381474750424</v>
      </c>
      <c r="Y90" s="126">
        <f>IF(VLOOKUP($A90,tordrup[],7,FALSE)=0,VLOOKUP($D90,Table15[],25,FALSE),VLOOKUP($A90,tordrup[],7,FALSE))</f>
        <v>55.403945493543802</v>
      </c>
      <c r="Z90" s="126">
        <f>IF(VLOOKUP($A90,tordrup[],8,FALSE)=0,VLOOKUP($D90,Table15[],26,FALSE),VLOOKUP($A90,tordrup[],8,FALSE))</f>
        <v>55.055351490411581</v>
      </c>
      <c r="AA90" s="126">
        <v>82.4</v>
      </c>
      <c r="AB90" s="126">
        <v>408.79</v>
      </c>
      <c r="AC90" s="126">
        <v>2415.5</v>
      </c>
      <c r="AD90" s="126">
        <v>5434.91</v>
      </c>
      <c r="AF90" s="126">
        <v>265.60421394007909</v>
      </c>
      <c r="AG90" s="126">
        <v>535.5253802770186</v>
      </c>
      <c r="AH90" s="126">
        <v>1071.0507605540372</v>
      </c>
      <c r="AI90" s="126">
        <v>3213.1522816621118</v>
      </c>
      <c r="AJ90" s="33" t="str">
        <f>IF(VLOOKUP($A90,lmic_raw[],11,FALSE)=0, "Yes", "No")</f>
        <v>Yes</v>
      </c>
    </row>
    <row r="91" spans="1:36" x14ac:dyDescent="0.25">
      <c r="A91" s="110" t="s">
        <v>259</v>
      </c>
      <c r="D91" s="84" t="s">
        <v>679</v>
      </c>
      <c r="F91" s="84" t="s">
        <v>665</v>
      </c>
      <c r="I91" s="126">
        <f>IF(VLOOKUP($A91,portnoy[],3,FALSE)=0, VLOOKUP($D91,Table15[],9,FALSE),VLOOKUP($A91,portnoy[],3,FALSE))</f>
        <v>4.2848000000000006</v>
      </c>
      <c r="J91" s="126">
        <f>sens_costs_regions!J$2</f>
        <v>0.36202199312714778</v>
      </c>
      <c r="K91" s="126">
        <f>sens_costs_regions!K$2</f>
        <v>0.41792411616161618</v>
      </c>
      <c r="L91" s="126">
        <f>sens_costs_regions!L$2</f>
        <v>0.48333918128654974</v>
      </c>
      <c r="M91" s="126">
        <f>sens_costs_regions!M$2</f>
        <v>0.5718158075601375</v>
      </c>
      <c r="N91" s="126">
        <f>sens_costs_regions!N$2</f>
        <v>0.65679722222222237</v>
      </c>
      <c r="O91" s="126">
        <f>sens_costs_regions!O$2</f>
        <v>0.7491286549707602</v>
      </c>
      <c r="P91" s="126">
        <f>IF(VLOOKUP($A91,Table26[],6,FALSE)=0,VLOOKUP($D91,Table15[],16,FALSE),(VLOOKUP($A91,Table26[],6,FALSE)))</f>
        <v>6.7166207440948417E-3</v>
      </c>
      <c r="Q91" s="126">
        <f>IF(VLOOKUP($A91,Table26[],5,FALSE)=0,VLOOKUP($D91,Table15[],17,FALSE),(VLOOKUP($A91,Table26[],5,FALSE)))</f>
        <v>1.0209263531024158E-2</v>
      </c>
      <c r="R91" s="126">
        <f>IF(VLOOKUP($A91,Table26[],16,FALSE)=0,VLOOKUP($D91,Table15[],18,FALSE),(VLOOKUP($A91,Table26[],16,FALSE)))</f>
        <v>0.16119889785827621</v>
      </c>
      <c r="S91" s="126">
        <f>IF(VLOOKUP($A91,Table26[],9,FALSE)=0,VLOOKUP($D91,Table15[],19,FALSE),(VLOOKUP($A91,Table26[],9,FALSE)))</f>
        <v>3.5424143432938758E-3</v>
      </c>
      <c r="T91" s="126">
        <f>IF(VLOOKUP($A91,Table26[],8,FALSE)=0,VLOOKUP($D91,Table15[],20,FALSE),(VLOOKUP($A91,Table26[],8,FALSE)))</f>
        <v>5.3844698018066907E-3</v>
      </c>
      <c r="U91" s="126">
        <f>IF(VLOOKUP($A91,Table26[],10,FALSE)=0,VLOOKUP($D91,Table15[],21,FALSE),(VLOOKUP($A91,Table26[],10,FALSE)))</f>
        <v>1.4169657373175503E-2</v>
      </c>
      <c r="V91" s="126">
        <f>VLOOKUP($F91,vaccine_costs!$AH$6:$AK$11,2,FALSE)</f>
        <v>0.02</v>
      </c>
      <c r="W91" s="126">
        <f>IF(VLOOKUP($A91,tordrup[],5,FALSE)=0,VLOOKUP($D91,Table15[],23,FALSE),VLOOKUP($A91,tordrup[],5,FALSE))</f>
        <v>31.070711034976032</v>
      </c>
      <c r="X91" s="126">
        <f>IF(VLOOKUP($A91,tordrup[],6,FALSE)=0,VLOOKUP($D91,Table15[],24,FALSE),VLOOKUP($A91,tordrup[],6,FALSE))</f>
        <v>60.29071103497602</v>
      </c>
      <c r="Y91" s="126">
        <f>IF(VLOOKUP($A91,tordrup[],7,FALSE)=0,VLOOKUP($D91,Table15[],25,FALSE),VLOOKUP($A91,tordrup[],7,FALSE))</f>
        <v>95.940855633802272</v>
      </c>
      <c r="Z91" s="126">
        <f>IF(VLOOKUP($A91,tordrup[],8,FALSE)=0,VLOOKUP($D91,Table15[],26,FALSE),VLOOKUP($A91,tordrup[],8,FALSE))</f>
        <v>89.999164867331245</v>
      </c>
      <c r="AA91" s="126">
        <v>82.4</v>
      </c>
      <c r="AB91" s="126">
        <v>408.79</v>
      </c>
      <c r="AC91" s="126">
        <v>2415.5</v>
      </c>
      <c r="AD91" s="126">
        <v>5434.91</v>
      </c>
      <c r="AF91" s="126">
        <v>2450.8447760792251</v>
      </c>
      <c r="AG91" s="126">
        <v>956.4518726893466</v>
      </c>
      <c r="AH91" s="126">
        <v>1912.9037453786932</v>
      </c>
      <c r="AI91" s="126">
        <v>5738.7112361360796</v>
      </c>
      <c r="AJ91" s="33" t="str">
        <f>IF(VLOOKUP($A91,lmic_raw[],11,FALSE)=0, "Yes", "No")</f>
        <v>Yes</v>
      </c>
    </row>
    <row r="92" spans="1:36" x14ac:dyDescent="0.25">
      <c r="A92" s="109" t="s">
        <v>633</v>
      </c>
      <c r="D92" s="82" t="s">
        <v>677</v>
      </c>
      <c r="F92" s="82" t="s">
        <v>667</v>
      </c>
      <c r="I92" s="126">
        <f>IF(VLOOKUP($A92,portnoy[],3,FALSE)=0, VLOOKUP($D92,Table15[],9,FALSE),VLOOKUP($A92,portnoy[],3,FALSE))</f>
        <v>1.1947999999999999</v>
      </c>
      <c r="J92" s="126">
        <f>sens_costs_regions!J$2</f>
        <v>0.36202199312714778</v>
      </c>
      <c r="K92" s="126">
        <f>sens_costs_regions!K$2</f>
        <v>0.41792411616161618</v>
      </c>
      <c r="L92" s="126">
        <f>sens_costs_regions!L$2</f>
        <v>0.48333918128654974</v>
      </c>
      <c r="M92" s="126">
        <f>sens_costs_regions!M$2</f>
        <v>0.5718158075601375</v>
      </c>
      <c r="N92" s="126">
        <f>sens_costs_regions!N$2</f>
        <v>0.65679722222222237</v>
      </c>
      <c r="O92" s="126">
        <f>sens_costs_regions!O$2</f>
        <v>0.7491286549707602</v>
      </c>
      <c r="P92" s="126">
        <f>IF(VLOOKUP($A92,Table26[],6,FALSE)=0,VLOOKUP($D92,Table15[],16,FALSE),(VLOOKUP($A92,Table26[],6,FALSE)))</f>
        <v>2.8174847329629138E-3</v>
      </c>
      <c r="Q92" s="126">
        <f>IF(VLOOKUP($A92,Table26[],5,FALSE)=0,VLOOKUP($D92,Table15[],17,FALSE),(VLOOKUP($A92,Table26[],5,FALSE)))</f>
        <v>4.2825767941036281E-3</v>
      </c>
      <c r="R92" s="126">
        <f>IF(VLOOKUP($A92,Table26[],16,FALSE)=0,VLOOKUP($D92,Table15[],18,FALSE),(VLOOKUP($A92,Table26[],16,FALSE)))</f>
        <v>6.7619633591109923E-2</v>
      </c>
      <c r="S92" s="126">
        <f>IF(VLOOKUP($A92,Table26[],9,FALSE)=0,VLOOKUP($D92,Table15[],19,FALSE),(VLOOKUP($A92,Table26[],9,FALSE)))</f>
        <v>1.5813361777863477E-3</v>
      </c>
      <c r="T92" s="126">
        <f>IF(VLOOKUP($A92,Table26[],8,FALSE)=0,VLOOKUP($D92,Table15[],20,FALSE),(VLOOKUP($A92,Table26[],8,FALSE)))</f>
        <v>2.4036309902352483E-3</v>
      </c>
      <c r="U92" s="126">
        <f>IF(VLOOKUP($A92,Table26[],10,FALSE)=0,VLOOKUP($D92,Table15[],21,FALSE),(VLOOKUP($A92,Table26[],10,FALSE)))</f>
        <v>6.3253447111453909E-3</v>
      </c>
      <c r="V92" s="126">
        <f>VLOOKUP($F92,vaccine_costs!$AH$6:$AK$11,2,FALSE)</f>
        <v>4.83</v>
      </c>
      <c r="W92" s="126">
        <f>IF(VLOOKUP($A92,tordrup[],5,FALSE)=0,VLOOKUP($D92,Table15[],23,FALSE),VLOOKUP($A92,tordrup[],5,FALSE))</f>
        <v>23.843131421438311</v>
      </c>
      <c r="X92" s="126">
        <f>IF(VLOOKUP($A92,tordrup[],6,FALSE)=0,VLOOKUP($D92,Table15[],24,FALSE),VLOOKUP($A92,tordrup[],6,FALSE))</f>
        <v>53.063131421438314</v>
      </c>
      <c r="Y92" s="126">
        <f>IF(VLOOKUP($A92,tordrup[],7,FALSE)=0,VLOOKUP($D92,Table15[],25,FALSE),VLOOKUP($A92,tordrup[],7,FALSE))</f>
        <v>54.151998082907525</v>
      </c>
      <c r="Z92" s="126">
        <f>IF(VLOOKUP($A92,tordrup[],8,FALSE)=0,VLOOKUP($D92,Table15[],26,FALSE),VLOOKUP($A92,tordrup[],8,FALSE))</f>
        <v>53.97052030599599</v>
      </c>
      <c r="AA92" s="126">
        <v>82.4</v>
      </c>
      <c r="AB92" s="126">
        <v>408.79</v>
      </c>
      <c r="AC92" s="126">
        <v>2415.5</v>
      </c>
      <c r="AD92" s="126">
        <v>5434.91</v>
      </c>
      <c r="AF92" s="126">
        <v>107.56723006532707</v>
      </c>
      <c r="AG92" s="126">
        <v>276.9475251906901</v>
      </c>
      <c r="AH92" s="126">
        <v>553.8950503813802</v>
      </c>
      <c r="AI92" s="126">
        <v>1661.6851511441405</v>
      </c>
      <c r="AJ92" s="33" t="str">
        <f>IF(VLOOKUP($A92,lmic_raw[],11,FALSE)=0, "Yes", "No")</f>
        <v>Yes</v>
      </c>
    </row>
    <row r="93" spans="1:36" x14ac:dyDescent="0.25">
      <c r="A93" s="110" t="s">
        <v>150</v>
      </c>
      <c r="D93" s="84" t="s">
        <v>677</v>
      </c>
      <c r="F93" s="84" t="s">
        <v>667</v>
      </c>
      <c r="I93" s="126">
        <f>IF(VLOOKUP($A93,portnoy[],3,FALSE)=0, VLOOKUP($D93,Table15[],9,FALSE),VLOOKUP($A93,portnoy[],3,FALSE))</f>
        <v>0.63860000000000006</v>
      </c>
      <c r="J93" s="126">
        <f>sens_costs_regions!J$2</f>
        <v>0.36202199312714778</v>
      </c>
      <c r="K93" s="126">
        <f>sens_costs_regions!K$2</f>
        <v>0.41792411616161618</v>
      </c>
      <c r="L93" s="126">
        <f>sens_costs_regions!L$2</f>
        <v>0.48333918128654974</v>
      </c>
      <c r="M93" s="126">
        <f>sens_costs_regions!M$2</f>
        <v>0.5718158075601375</v>
      </c>
      <c r="N93" s="126">
        <f>sens_costs_regions!N$2</f>
        <v>0.65679722222222237</v>
      </c>
      <c r="O93" s="126">
        <f>sens_costs_regions!O$2</f>
        <v>0.7491286549707602</v>
      </c>
      <c r="P93" s="126">
        <f>IF(VLOOKUP($A93,Table26[],6,FALSE)=0,VLOOKUP($D93,Table15[],16,FALSE),(VLOOKUP($A93,Table26[],6,FALSE)))</f>
        <v>7.6045884401398393E-3</v>
      </c>
      <c r="Q93" s="126">
        <f>IF(VLOOKUP($A93,Table26[],5,FALSE)=0,VLOOKUP($D93,Table15[],17,FALSE),(VLOOKUP($A93,Table26[],5,FALSE)))</f>
        <v>1.1558974429012554E-2</v>
      </c>
      <c r="R93" s="126">
        <f>IF(VLOOKUP($A93,Table26[],16,FALSE)=0,VLOOKUP($D93,Table15[],18,FALSE),(VLOOKUP($A93,Table26[],16,FALSE)))</f>
        <v>0.18251012256335614</v>
      </c>
      <c r="S93" s="126">
        <f>IF(VLOOKUP($A93,Table26[],9,FALSE)=0,VLOOKUP($D93,Table15[],19,FALSE),(VLOOKUP($A93,Table26[],9,FALSE)))</f>
        <v>4.1293679560085797E-3</v>
      </c>
      <c r="T93" s="126">
        <f>IF(VLOOKUP($A93,Table26[],8,FALSE)=0,VLOOKUP($D93,Table15[],20,FALSE),(VLOOKUP($A93,Table26[],8,FALSE)))</f>
        <v>6.2766392931330401E-3</v>
      </c>
      <c r="U93" s="126">
        <f>IF(VLOOKUP($A93,Table26[],10,FALSE)=0,VLOOKUP($D93,Table15[],21,FALSE),(VLOOKUP($A93,Table26[],10,FALSE)))</f>
        <v>1.6517471824034319E-2</v>
      </c>
      <c r="V93" s="126">
        <f>VLOOKUP($F93,vaccine_costs!$AH$6:$AK$11,2,FALSE)</f>
        <v>4.83</v>
      </c>
      <c r="W93" s="126">
        <f>IF(VLOOKUP($A93,tordrup[],5,FALSE)=0,VLOOKUP($D93,Table15[],23,FALSE),VLOOKUP($A93,tordrup[],5,FALSE))</f>
        <v>25.374238891784163</v>
      </c>
      <c r="X93" s="126">
        <f>IF(VLOOKUP($A93,tordrup[],6,FALSE)=0,VLOOKUP($D93,Table15[],24,FALSE),VLOOKUP($A93,tordrup[],6,FALSE))</f>
        <v>54.594238891784158</v>
      </c>
      <c r="Y93" s="126">
        <f>IF(VLOOKUP($A93,tordrup[],7,FALSE)=0,VLOOKUP($D93,Table15[],25,FALSE),VLOOKUP($A93,tordrup[],7,FALSE))</f>
        <v>60.978600971621631</v>
      </c>
      <c r="Z93" s="126">
        <f>IF(VLOOKUP($A93,tordrup[],8,FALSE)=0,VLOOKUP($D93,Table15[],26,FALSE),VLOOKUP($A93,tordrup[],8,FALSE))</f>
        <v>59.914540624982052</v>
      </c>
      <c r="AA93" s="126">
        <v>82.4</v>
      </c>
      <c r="AB93" s="126">
        <v>408.79</v>
      </c>
      <c r="AC93" s="126">
        <v>2415.5</v>
      </c>
      <c r="AD93" s="126">
        <v>5434.91</v>
      </c>
      <c r="AF93" s="126">
        <v>239.07377099585986</v>
      </c>
      <c r="AG93" s="126">
        <v>1114.9293481223165</v>
      </c>
      <c r="AH93" s="126">
        <v>2229.8586962446329</v>
      </c>
      <c r="AI93" s="126">
        <v>6689.5760887338984</v>
      </c>
      <c r="AJ93" s="33" t="str">
        <f>IF(VLOOKUP($A93,lmic_raw[],11,FALSE)=0, "Yes", "No")</f>
        <v>Yes</v>
      </c>
    </row>
    <row r="94" spans="1:36" x14ac:dyDescent="0.25">
      <c r="A94" s="109" t="s">
        <v>342</v>
      </c>
      <c r="D94" s="82" t="s">
        <v>675</v>
      </c>
      <c r="F94" s="82" t="s">
        <v>663</v>
      </c>
      <c r="I94" s="126">
        <f>IF(VLOOKUP($A94,portnoy[],3,FALSE)=0, VLOOKUP($D94,Table15[],9,FALSE),VLOOKUP($A94,portnoy[],3,FALSE))</f>
        <v>5.7783000000000007</v>
      </c>
      <c r="J94" s="126">
        <f>sens_costs_regions!J$2</f>
        <v>0.36202199312714778</v>
      </c>
      <c r="K94" s="126">
        <f>sens_costs_regions!K$2</f>
        <v>0.41792411616161618</v>
      </c>
      <c r="L94" s="126">
        <f>sens_costs_regions!L$2</f>
        <v>0.48333918128654974</v>
      </c>
      <c r="M94" s="126">
        <f>sens_costs_regions!M$2</f>
        <v>0.5718158075601375</v>
      </c>
      <c r="N94" s="126">
        <f>sens_costs_regions!N$2</f>
        <v>0.65679722222222237</v>
      </c>
      <c r="O94" s="126">
        <f>sens_costs_regions!O$2</f>
        <v>0.7491286549707602</v>
      </c>
      <c r="P94" s="126">
        <f>IF(VLOOKUP($A94,Table26[],6,FALSE)=0,VLOOKUP($D94,Table15[],16,FALSE),(VLOOKUP($A94,Table26[],6,FALSE)))</f>
        <v>1.1224609655857488E-2</v>
      </c>
      <c r="Q94" s="126">
        <f>IF(VLOOKUP($A94,Table26[],5,FALSE)=0,VLOOKUP($D94,Table15[],17,FALSE),(VLOOKUP($A94,Table26[],5,FALSE)))</f>
        <v>1.7061406676903382E-2</v>
      </c>
      <c r="R94" s="126">
        <f>IF(VLOOKUP($A94,Table26[],16,FALSE)=0,VLOOKUP($D94,Table15[],18,FALSE),(VLOOKUP($A94,Table26[],16,FALSE)))</f>
        <v>0.2693906317405797</v>
      </c>
      <c r="S94" s="126">
        <f>IF(VLOOKUP($A94,Table26[],9,FALSE)=0,VLOOKUP($D94,Table15[],19,FALSE),(VLOOKUP($A94,Table26[],9,FALSE)))</f>
        <v>6.0408032663691802E-3</v>
      </c>
      <c r="T94" s="126">
        <f>IF(VLOOKUP($A94,Table26[],8,FALSE)=0,VLOOKUP($D94,Table15[],20,FALSE),(VLOOKUP($A94,Table26[],8,FALSE)))</f>
        <v>9.1820209648811532E-3</v>
      </c>
      <c r="U94" s="126">
        <f>IF(VLOOKUP($A94,Table26[],10,FALSE)=0,VLOOKUP($D94,Table15[],21,FALSE),(VLOOKUP($A94,Table26[],10,FALSE)))</f>
        <v>2.4163213065476721E-2</v>
      </c>
      <c r="V94" s="126">
        <f>VLOOKUP($F94,vaccine_costs!$AH$6:$AK$11,2,FALSE)</f>
        <v>4.07</v>
      </c>
      <c r="W94" s="126">
        <f>IF(VLOOKUP($A94,tordrup[],5,FALSE)=0,VLOOKUP($D94,Table15[],23,FALSE),VLOOKUP($A94,tordrup[],5,FALSE))</f>
        <v>30.299894707237875</v>
      </c>
      <c r="X94" s="126">
        <f>IF(VLOOKUP($A94,tordrup[],6,FALSE)=0,VLOOKUP($D94,Table15[],24,FALSE),VLOOKUP($A94,tordrup[],6,FALSE))</f>
        <v>59.519894707237874</v>
      </c>
      <c r="Y94" s="126">
        <f>IF(VLOOKUP($A94,tordrup[],7,FALSE)=0,VLOOKUP($D94,Table15[],25,FALSE),VLOOKUP($A94,tordrup[],7,FALSE))</f>
        <v>97.097544887581861</v>
      </c>
      <c r="Z94" s="126">
        <f>IF(VLOOKUP($A94,tordrup[],8,FALSE)=0,VLOOKUP($D94,Table15[],26,FALSE),VLOOKUP($A94,tordrup[],8,FALSE))</f>
        <v>90.834603190857877</v>
      </c>
      <c r="AA94" s="126">
        <v>82.4</v>
      </c>
      <c r="AB94" s="126">
        <v>408.79</v>
      </c>
      <c r="AC94" s="126">
        <v>2415.5</v>
      </c>
      <c r="AD94" s="126">
        <v>5434.91</v>
      </c>
      <c r="AF94" s="126">
        <v>5074.7690358566651</v>
      </c>
      <c r="AG94" s="126">
        <v>3011.1080896978683</v>
      </c>
      <c r="AH94" s="126">
        <v>6022.2161793957366</v>
      </c>
      <c r="AI94" s="126">
        <v>18066.648538187212</v>
      </c>
      <c r="AJ94" s="33" t="str">
        <f>IF(VLOOKUP($A94,lmic_raw[],11,FALSE)=0, "Yes", "No")</f>
        <v>No</v>
      </c>
    </row>
    <row r="95" spans="1:36" x14ac:dyDescent="0.25">
      <c r="A95" s="110" t="s">
        <v>198</v>
      </c>
      <c r="D95" s="84" t="s">
        <v>673</v>
      </c>
      <c r="F95" s="84" t="s">
        <v>589</v>
      </c>
      <c r="I95" s="126">
        <f>IF(VLOOKUP($A95,portnoy[],3,FALSE)=0, VLOOKUP($D95,Table15[],9,FALSE),VLOOKUP($A95,portnoy[],3,FALSE))</f>
        <v>0.92700000000000005</v>
      </c>
      <c r="J95" s="126">
        <f>sens_costs_regions!J$2</f>
        <v>0.36202199312714778</v>
      </c>
      <c r="K95" s="126">
        <f>sens_costs_regions!K$2</f>
        <v>0.41792411616161618</v>
      </c>
      <c r="L95" s="126">
        <f>sens_costs_regions!L$2</f>
        <v>0.48333918128654974</v>
      </c>
      <c r="M95" s="126">
        <f>sens_costs_regions!M$2</f>
        <v>0.5718158075601375</v>
      </c>
      <c r="N95" s="126">
        <f>sens_costs_regions!N$2</f>
        <v>0.65679722222222237</v>
      </c>
      <c r="O95" s="126">
        <f>sens_costs_regions!O$2</f>
        <v>0.7491286549707602</v>
      </c>
      <c r="P95" s="126">
        <f>IF(VLOOKUP($A95,Table26[],6,FALSE)=0,VLOOKUP($D95,Table15[],16,FALSE),(VLOOKUP($A95,Table26[],6,FALSE)))</f>
        <v>4.693914830532637E-3</v>
      </c>
      <c r="Q95" s="126">
        <f>IF(VLOOKUP($A95,Table26[],5,FALSE)=0,VLOOKUP($D95,Table15[],17,FALSE),(VLOOKUP($A95,Table26[],5,FALSE)))</f>
        <v>7.1347505424096081E-3</v>
      </c>
      <c r="R95" s="126">
        <f>IF(VLOOKUP($A95,Table26[],16,FALSE)=0,VLOOKUP($D95,Table15[],18,FALSE),(VLOOKUP($A95,Table26[],16,FALSE)))</f>
        <v>0.1126539559327833</v>
      </c>
      <c r="S95" s="126">
        <f>IF(VLOOKUP($A95,Table26[],9,FALSE)=0,VLOOKUP($D95,Table15[],19,FALSE),(VLOOKUP($A95,Table26[],9,FALSE)))</f>
        <v>2.379077853519233E-3</v>
      </c>
      <c r="T95" s="126">
        <f>IF(VLOOKUP($A95,Table26[],8,FALSE)=0,VLOOKUP($D95,Table15[],20,FALSE),(VLOOKUP($A95,Table26[],8,FALSE)))</f>
        <v>3.6161983373492338E-3</v>
      </c>
      <c r="U95" s="126">
        <f>IF(VLOOKUP($A95,Table26[],10,FALSE)=0,VLOOKUP($D95,Table15[],21,FALSE),(VLOOKUP($A95,Table26[],10,FALSE)))</f>
        <v>9.516311414076932E-3</v>
      </c>
      <c r="V95" s="126">
        <f>VLOOKUP($F95,vaccine_costs!$AH$6:$AK$11,2,FALSE)</f>
        <v>2.4500000000000002</v>
      </c>
      <c r="W95" s="126">
        <f>IF(VLOOKUP($A95,tordrup[],5,FALSE)=0,VLOOKUP($D95,Table15[],23,FALSE),VLOOKUP($A95,tordrup[],5,FALSE))</f>
        <v>24.472191079797462</v>
      </c>
      <c r="X95" s="126">
        <f>IF(VLOOKUP($A95,tordrup[],6,FALSE)=0,VLOOKUP($D95,Table15[],24,FALSE),VLOOKUP($A95,tordrup[],6,FALSE))</f>
        <v>53.69219107979746</v>
      </c>
      <c r="Y95" s="126">
        <f>IF(VLOOKUP($A95,tordrup[],7,FALSE)=0,VLOOKUP($D95,Table15[],25,FALSE),VLOOKUP($A95,tordrup[],7,FALSE))</f>
        <v>57.640311924261368</v>
      </c>
      <c r="Z95" s="126">
        <f>IF(VLOOKUP($A95,tordrup[],8,FALSE)=0,VLOOKUP($D95,Table15[],26,FALSE),VLOOKUP($A95,tordrup[],8,FALSE))</f>
        <v>56.982291783517383</v>
      </c>
      <c r="AA95" s="126">
        <v>82.4</v>
      </c>
      <c r="AB95" s="126">
        <v>408.79</v>
      </c>
      <c r="AC95" s="126">
        <v>2415.5</v>
      </c>
      <c r="AD95" s="126">
        <v>5434.91</v>
      </c>
      <c r="AF95" s="126">
        <v>151.6892622421704</v>
      </c>
      <c r="AG95" s="126">
        <v>642.35102045019289</v>
      </c>
      <c r="AH95" s="126">
        <v>1284.7020409003858</v>
      </c>
      <c r="AI95" s="126">
        <v>3854.1061227011573</v>
      </c>
      <c r="AJ95" s="33" t="str">
        <f>IF(VLOOKUP($A95,lmic_raw[],11,FALSE)=0, "Yes", "No")</f>
        <v>Yes</v>
      </c>
    </row>
    <row r="96" spans="1:36" x14ac:dyDescent="0.25">
      <c r="A96" s="82" t="s">
        <v>683</v>
      </c>
      <c r="D96" s="82" t="s">
        <v>673</v>
      </c>
      <c r="F96" s="82" t="s">
        <v>579</v>
      </c>
      <c r="I96" s="126">
        <f>IF(VLOOKUP($A96,portnoy[],3,FALSE)=0, VLOOKUP($D96,Table15[],9,FALSE),VLOOKUP($A96,portnoy[],3,FALSE))</f>
        <v>2.4639828018508503</v>
      </c>
      <c r="J96" s="126">
        <f>sens_costs_regions!J$2</f>
        <v>0.36202199312714778</v>
      </c>
      <c r="K96" s="126">
        <f>sens_costs_regions!K$2</f>
        <v>0.41792411616161618</v>
      </c>
      <c r="L96" s="126">
        <f>sens_costs_regions!L$2</f>
        <v>0.48333918128654974</v>
      </c>
      <c r="M96" s="126">
        <f>sens_costs_regions!M$2</f>
        <v>0.5718158075601375</v>
      </c>
      <c r="N96" s="126">
        <f>sens_costs_regions!N$2</f>
        <v>0.65679722222222237</v>
      </c>
      <c r="O96" s="126">
        <f>sens_costs_regions!O$2</f>
        <v>0.7491286549707602</v>
      </c>
      <c r="P96" s="126">
        <f>IF(VLOOKUP($A96,Table26[],6,FALSE)=0,VLOOKUP($D96,Table15[],16,FALSE),(VLOOKUP($A96,Table26[],6,FALSE)))</f>
        <v>9.4493172617161371E-3</v>
      </c>
      <c r="Q96" s="126">
        <f>IF(VLOOKUP($A96,Table26[],5,FALSE)=0,VLOOKUP($D96,Table15[],17,FALSE),(VLOOKUP($A96,Table26[],5,FALSE)))</f>
        <v>1.4362962237808523E-2</v>
      </c>
      <c r="R96" s="126">
        <f>IF(VLOOKUP($A96,Table26[],16,FALSE)=0,VLOOKUP($D96,Table15[],18,FALSE),(VLOOKUP($A96,Table26[],16,FALSE)))</f>
        <v>0.22678361428118729</v>
      </c>
      <c r="S96" s="126">
        <f>IF(VLOOKUP($A96,Table26[],9,FALSE)=0,VLOOKUP($D96,Table15[],19,FALSE),(VLOOKUP($A96,Table26[],9,FALSE)))</f>
        <v>5.0488213636434654E-3</v>
      </c>
      <c r="T96" s="126">
        <f>IF(VLOOKUP($A96,Table26[],8,FALSE)=0,VLOOKUP($D96,Table15[],20,FALSE),(VLOOKUP($A96,Table26[],8,FALSE)))</f>
        <v>7.6742084727380675E-3</v>
      </c>
      <c r="U96" s="126">
        <f>IF(VLOOKUP($A96,Table26[],10,FALSE)=0,VLOOKUP($D96,Table15[],21,FALSE),(VLOOKUP($A96,Table26[],10,FALSE)))</f>
        <v>0.12117171272744318</v>
      </c>
      <c r="V96" s="126">
        <f>VLOOKUP($F96,vaccine_costs!$AH$6:$AK$11,2,FALSE)</f>
        <v>0.48</v>
      </c>
      <c r="W96" s="126">
        <f>IFERROR(VLOOKUP($A96,tordrup[],5,FALSE),VLOOKUP($D96,Table15[],23,FALSE))</f>
        <v>27.946124842166366</v>
      </c>
      <c r="X96" s="126">
        <f>IFERROR(VLOOKUP($A96,tordrup[],6,FALSE),VLOOKUP($D96,Table15[],24,FALSE))</f>
        <v>57.166124842166361</v>
      </c>
      <c r="Y96" s="126">
        <f>IFERROR(VLOOKUP($A96,tordrup[],7,FALSE),VLOOKUP($D96,Table15[],25,FALSE))</f>
        <v>81.511557031470105</v>
      </c>
      <c r="Z96" s="126">
        <f>IFERROR(VLOOKUP($A96,tordrup[],8,FALSE),VLOOKUP($D96,Table15[],26,FALSE))</f>
        <v>77.453984999919484</v>
      </c>
      <c r="AA96" s="126">
        <v>82.4</v>
      </c>
      <c r="AB96" s="126">
        <v>408.79</v>
      </c>
      <c r="AC96" s="126">
        <v>2415.5</v>
      </c>
      <c r="AD96" s="126">
        <v>5434.91</v>
      </c>
      <c r="AF96" s="126">
        <v>0</v>
      </c>
      <c r="AG96" s="126">
        <v>1781.1655000000001</v>
      </c>
      <c r="AH96" s="126">
        <v>3562.3310000000001</v>
      </c>
      <c r="AI96" s="126">
        <v>10686.993</v>
      </c>
      <c r="AJ96" s="33" t="str">
        <f>IF(VLOOKUP($A96,lmic_raw[],11,FALSE)=0, "Yes", "No")</f>
        <v>No</v>
      </c>
    </row>
    <row r="97" spans="1:36" x14ac:dyDescent="0.25">
      <c r="A97" s="110" t="s">
        <v>283</v>
      </c>
      <c r="D97" s="84" t="s">
        <v>681</v>
      </c>
      <c r="F97" s="84" t="s">
        <v>666</v>
      </c>
      <c r="I97" s="126">
        <f>IF(VLOOKUP($A97,portnoy[],3,FALSE)=0, VLOOKUP($D97,Table15[],9,FALSE),VLOOKUP($A97,portnoy[],3,FALSE))</f>
        <v>1.4008</v>
      </c>
      <c r="J97" s="126">
        <f>sens_costs_regions!J$2</f>
        <v>0.36202199312714778</v>
      </c>
      <c r="K97" s="126">
        <f>sens_costs_regions!K$2</f>
        <v>0.41792411616161618</v>
      </c>
      <c r="L97" s="126">
        <f>sens_costs_regions!L$2</f>
        <v>0.48333918128654974</v>
      </c>
      <c r="M97" s="126">
        <f>sens_costs_regions!M$2</f>
        <v>0.5718158075601375</v>
      </c>
      <c r="N97" s="126">
        <f>sens_costs_regions!N$2</f>
        <v>0.65679722222222237</v>
      </c>
      <c r="O97" s="126">
        <f>sens_costs_regions!O$2</f>
        <v>0.7491286549707602</v>
      </c>
      <c r="P97" s="126">
        <f>IF(VLOOKUP($A97,Table26[],6,FALSE)=0,VLOOKUP($D97,Table15[],16,FALSE),(VLOOKUP($A97,Table26[],6,FALSE)))</f>
        <v>9.4305676965612383E-3</v>
      </c>
      <c r="Q97" s="126">
        <f>IF(VLOOKUP($A97,Table26[],5,FALSE)=0,VLOOKUP($D97,Table15[],17,FALSE),(VLOOKUP($A97,Table26[],5,FALSE)))</f>
        <v>1.4334462898773079E-2</v>
      </c>
      <c r="R97" s="126">
        <f>IF(VLOOKUP($A97,Table26[],16,FALSE)=0,VLOOKUP($D97,Table15[],18,FALSE),(VLOOKUP($A97,Table26[],16,FALSE)))</f>
        <v>0.22633362471746971</v>
      </c>
      <c r="S97" s="126">
        <f>IF(VLOOKUP($A97,Table26[],9,FALSE)=0,VLOOKUP($D97,Table15[],19,FALSE),(VLOOKUP($A97,Table26[],9,FALSE)))</f>
        <v>5.2392042758673549E-3</v>
      </c>
      <c r="T97" s="126">
        <f>IF(VLOOKUP($A97,Table26[],8,FALSE)=0,VLOOKUP($D97,Table15[],20,FALSE),(VLOOKUP($A97,Table26[],8,FALSE)))</f>
        <v>7.9635904993183796E-3</v>
      </c>
      <c r="U97" s="126">
        <f>IF(VLOOKUP($A97,Table26[],10,FALSE)=0,VLOOKUP($D97,Table15[],21,FALSE),(VLOOKUP($A97,Table26[],10,FALSE)))</f>
        <v>2.095681710346942E-2</v>
      </c>
      <c r="V97" s="126">
        <f>VLOOKUP($F97,vaccine_costs!$AH$6:$AK$11,2,FALSE)</f>
        <v>0.63</v>
      </c>
      <c r="W97" s="126">
        <f>IF(VLOOKUP($A97,tordrup[],5,FALSE)=0,VLOOKUP($D97,Table15[],23,FALSE),VLOOKUP($A97,tordrup[],5,FALSE))</f>
        <v>26.478060556452103</v>
      </c>
      <c r="X97" s="126">
        <f>IF(VLOOKUP($A97,tordrup[],6,FALSE)=0,VLOOKUP($D97,Table15[],24,FALSE),VLOOKUP($A97,tordrup[],6,FALSE))</f>
        <v>55.698060556452106</v>
      </c>
      <c r="Y97" s="126">
        <f>IF(VLOOKUP($A97,tordrup[],7,FALSE)=0,VLOOKUP($D97,Table15[],25,FALSE),VLOOKUP($A97,tordrup[],7,FALSE))</f>
        <v>65.482193363466834</v>
      </c>
      <c r="Z97" s="126">
        <f>IF(VLOOKUP($A97,tordrup[],8,FALSE)=0,VLOOKUP($D97,Table15[],26,FALSE),VLOOKUP($A97,tordrup[],8,FALSE))</f>
        <v>63.851504562297706</v>
      </c>
      <c r="AA97" s="126">
        <v>82.4</v>
      </c>
      <c r="AB97" s="126">
        <v>408.79</v>
      </c>
      <c r="AC97" s="126">
        <v>2415.5</v>
      </c>
      <c r="AD97" s="126">
        <v>5434.91</v>
      </c>
      <c r="AF97" s="126">
        <v>0</v>
      </c>
      <c r="AG97" s="126">
        <v>1414.585154484186</v>
      </c>
      <c r="AH97" s="126">
        <v>2829.170308968372</v>
      </c>
      <c r="AI97" s="126">
        <v>8487.5109269051154</v>
      </c>
      <c r="AJ97" s="33" t="str">
        <f>IF(VLOOKUP($A97,lmic_raw[],11,FALSE)=0, "Yes", "No")</f>
        <v>No</v>
      </c>
    </row>
    <row r="98" spans="1:36" x14ac:dyDescent="0.25">
      <c r="A98" s="109" t="s">
        <v>271</v>
      </c>
      <c r="D98" s="82" t="s">
        <v>679</v>
      </c>
      <c r="F98" s="82" t="s">
        <v>665</v>
      </c>
      <c r="I98" s="126">
        <f>IF(VLOOKUP($A98,portnoy[],3,FALSE)=0, VLOOKUP($D98,Table15[],9,FALSE),VLOOKUP($A98,portnoy[],3,FALSE))</f>
        <v>4.0582000000000003</v>
      </c>
      <c r="J98" s="126">
        <f>sens_costs_regions!J$2</f>
        <v>0.36202199312714778</v>
      </c>
      <c r="K98" s="126">
        <f>sens_costs_regions!K$2</f>
        <v>0.41792411616161618</v>
      </c>
      <c r="L98" s="126">
        <f>sens_costs_regions!L$2</f>
        <v>0.48333918128654974</v>
      </c>
      <c r="M98" s="126">
        <f>sens_costs_regions!M$2</f>
        <v>0.5718158075601375</v>
      </c>
      <c r="N98" s="126">
        <f>sens_costs_regions!N$2</f>
        <v>0.65679722222222237</v>
      </c>
      <c r="O98" s="126">
        <f>sens_costs_regions!O$2</f>
        <v>0.7491286549707602</v>
      </c>
      <c r="P98" s="126">
        <f>IF(VLOOKUP($A98,Table26[],6,FALSE)=0,VLOOKUP($D98,Table15[],16,FALSE),(VLOOKUP($A98,Table26[],6,FALSE)))</f>
        <v>1.0130263794725359E-2</v>
      </c>
      <c r="Q98" s="126">
        <f>IF(VLOOKUP($A98,Table26[],5,FALSE)=0,VLOOKUP($D98,Table15[],17,FALSE),(VLOOKUP($A98,Table26[],5,FALSE)))</f>
        <v>1.5398000967982543E-2</v>
      </c>
      <c r="R98" s="126">
        <f>IF(VLOOKUP($A98,Table26[],16,FALSE)=0,VLOOKUP($D98,Table15[],18,FALSE),(VLOOKUP($A98,Table26[],16,FALSE)))</f>
        <v>0.24312633107340859</v>
      </c>
      <c r="S98" s="126">
        <f>IF(VLOOKUP($A98,Table26[],9,FALSE)=0,VLOOKUP($D98,Table15[],19,FALSE),(VLOOKUP($A98,Table26[],9,FALSE)))</f>
        <v>5.4315114809508885E-3</v>
      </c>
      <c r="T98" s="126">
        <f>IF(VLOOKUP($A98,Table26[],8,FALSE)=0,VLOOKUP($D98,Table15[],20,FALSE),(VLOOKUP($A98,Table26[],8,FALSE)))</f>
        <v>8.2558974510453503E-3</v>
      </c>
      <c r="U98" s="126">
        <f>IF(VLOOKUP($A98,Table26[],10,FALSE)=0,VLOOKUP($D98,Table15[],21,FALSE),(VLOOKUP($A98,Table26[],10,FALSE)))</f>
        <v>2.1726045923803554E-2</v>
      </c>
      <c r="V98" s="126">
        <f>VLOOKUP($F98,vaccine_costs!$AH$6:$AK$11,2,FALSE)</f>
        <v>0.02</v>
      </c>
      <c r="W98" s="126">
        <f>IF(VLOOKUP($A98,tordrup[],5,FALSE)=0,VLOOKUP($D98,Table15[],23,FALSE),VLOOKUP($A98,tordrup[],5,FALSE))</f>
        <v>27.926084675693918</v>
      </c>
      <c r="X98" s="126">
        <f>IF(VLOOKUP($A98,tordrup[],6,FALSE)=0,VLOOKUP($D98,Table15[],24,FALSE),VLOOKUP($A98,tordrup[],6,FALSE))</f>
        <v>57.146084675693913</v>
      </c>
      <c r="Y98" s="126">
        <f>IF(VLOOKUP($A98,tordrup[],7,FALSE)=0,VLOOKUP($D98,Table15[],25,FALSE),VLOOKUP($A98,tordrup[],7,FALSE))</f>
        <v>76.957191055950318</v>
      </c>
      <c r="Z98" s="126">
        <f>IF(VLOOKUP($A98,tordrup[],8,FALSE)=0,VLOOKUP($D98,Table15[],26,FALSE),VLOOKUP($A98,tordrup[],8,FALSE))</f>
        <v>73.655339992574255</v>
      </c>
      <c r="AA98" s="126">
        <v>82.4</v>
      </c>
      <c r="AB98" s="126">
        <v>408.79</v>
      </c>
      <c r="AC98" s="126">
        <v>2415.5</v>
      </c>
      <c r="AD98" s="126">
        <v>5434.91</v>
      </c>
      <c r="AF98" s="126">
        <v>4614.7306047480015</v>
      </c>
      <c r="AG98" s="126">
        <v>2707.3995689662888</v>
      </c>
      <c r="AH98" s="126">
        <v>5414.7991379325777</v>
      </c>
      <c r="AI98" s="126">
        <v>16244.397413797733</v>
      </c>
      <c r="AJ98" s="33" t="str">
        <f>IF(VLOOKUP($A98,lmic_raw[],11,FALSE)=0, "Yes", "No")</f>
        <v>Yes</v>
      </c>
    </row>
    <row r="99" spans="1:36" x14ac:dyDescent="0.25">
      <c r="A99" s="110" t="s">
        <v>272</v>
      </c>
      <c r="D99" s="84" t="s">
        <v>679</v>
      </c>
      <c r="F99" s="84" t="s">
        <v>665</v>
      </c>
      <c r="I99" s="126">
        <f>IF(VLOOKUP($A99,portnoy[],3,FALSE)=0, VLOOKUP($D99,Table15[],9,FALSE),VLOOKUP($A99,portnoy[],3,FALSE))</f>
        <v>2.7501000000000002</v>
      </c>
      <c r="J99" s="126">
        <f>sens_costs_regions!J$2</f>
        <v>0.36202199312714778</v>
      </c>
      <c r="K99" s="126">
        <f>sens_costs_regions!K$2</f>
        <v>0.41792411616161618</v>
      </c>
      <c r="L99" s="126">
        <f>sens_costs_regions!L$2</f>
        <v>0.48333918128654974</v>
      </c>
      <c r="M99" s="126">
        <f>sens_costs_regions!M$2</f>
        <v>0.5718158075601375</v>
      </c>
      <c r="N99" s="126">
        <f>sens_costs_regions!N$2</f>
        <v>0.65679722222222237</v>
      </c>
      <c r="O99" s="126">
        <f>sens_costs_regions!O$2</f>
        <v>0.7491286549707602</v>
      </c>
      <c r="P99" s="126">
        <f>IF(VLOOKUP($A99,Table26[],6,FALSE)=0,VLOOKUP($D99,Table15[],16,FALSE),(VLOOKUP($A99,Table26[],6,FALSE)))</f>
        <v>1.2782924982171462E-2</v>
      </c>
      <c r="Q99" s="126">
        <f>IF(VLOOKUP($A99,Table26[],5,FALSE)=0,VLOOKUP($D99,Table15[],17,FALSE),(VLOOKUP($A99,Table26[],5,FALSE)))</f>
        <v>1.9430045972900621E-2</v>
      </c>
      <c r="R99" s="126">
        <f>IF(VLOOKUP($A99,Table26[],16,FALSE)=0,VLOOKUP($D99,Table15[],18,FALSE),(VLOOKUP($A99,Table26[],16,FALSE)))</f>
        <v>0.30679019957211506</v>
      </c>
      <c r="S99" s="126">
        <f>IF(VLOOKUP($A99,Table26[],9,FALSE)=0,VLOOKUP($D99,Table15[],19,FALSE),(VLOOKUP($A99,Table26[],9,FALSE)))</f>
        <v>6.999231881651212E-3</v>
      </c>
      <c r="T99" s="126">
        <f>IF(VLOOKUP($A99,Table26[],8,FALSE)=0,VLOOKUP($D99,Table15[],20,FALSE),(VLOOKUP($A99,Table26[],8,FALSE)))</f>
        <v>1.0638832460109842E-2</v>
      </c>
      <c r="U99" s="126">
        <f>IF(VLOOKUP($A99,Table26[],10,FALSE)=0,VLOOKUP($D99,Table15[],21,FALSE),(VLOOKUP($A99,Table26[],10,FALSE)))</f>
        <v>2.7996927526604848E-2</v>
      </c>
      <c r="V99" s="126">
        <f>VLOOKUP($F99,vaccine_costs!$AH$6:$AK$11,2,FALSE)</f>
        <v>0.02</v>
      </c>
      <c r="W99" s="126">
        <f>IF(VLOOKUP($A99,tordrup[],5,FALSE)=0,VLOOKUP($D99,Table15[],23,FALSE),VLOOKUP($A99,tordrup[],5,FALSE))</f>
        <v>31.427454472221257</v>
      </c>
      <c r="X99" s="126">
        <f>IF(VLOOKUP($A99,tordrup[],6,FALSE)=0,VLOOKUP($D99,Table15[],24,FALSE),VLOOKUP($A99,tordrup[],6,FALSE))</f>
        <v>60.647454472221256</v>
      </c>
      <c r="Y99" s="126">
        <f>IF(VLOOKUP($A99,tordrup[],7,FALSE)=0,VLOOKUP($D99,Table15[],25,FALSE),VLOOKUP($A99,tordrup[],7,FALSE))</f>
        <v>101.67187681836708</v>
      </c>
      <c r="Z99" s="126">
        <f>IF(VLOOKUP($A99,tordrup[],8,FALSE)=0,VLOOKUP($D99,Table15[],26,FALSE),VLOOKUP($A99,tordrup[],8,FALSE))</f>
        <v>94.834473094009439</v>
      </c>
      <c r="AA99" s="126">
        <v>82.4</v>
      </c>
      <c r="AB99" s="126">
        <v>408.79</v>
      </c>
      <c r="AC99" s="126">
        <v>2415.5</v>
      </c>
      <c r="AD99" s="126">
        <v>5434.91</v>
      </c>
      <c r="AF99" s="126">
        <v>4727.6612353011915</v>
      </c>
      <c r="AG99" s="126">
        <v>3488.8478917769121</v>
      </c>
      <c r="AH99" s="126">
        <v>6977.6957835538242</v>
      </c>
      <c r="AI99" s="126">
        <v>20933.087350661473</v>
      </c>
      <c r="AJ99" s="33" t="str">
        <f>IF(VLOOKUP($A99,lmic_raw[],11,FALSE)=0, "Yes", "No")</f>
        <v>No</v>
      </c>
    </row>
    <row r="100" spans="1:36" x14ac:dyDescent="0.25">
      <c r="A100" s="109" t="s">
        <v>654</v>
      </c>
      <c r="D100" s="82" t="s">
        <v>681</v>
      </c>
      <c r="F100" s="82" t="s">
        <v>666</v>
      </c>
      <c r="I100" s="126">
        <f>IF(VLOOKUP($A100,portnoy[],3,FALSE)=0, VLOOKUP($D100,Table15[],9,FALSE),VLOOKUP($A100,portnoy[],3,FALSE))</f>
        <v>0.98880000000000001</v>
      </c>
      <c r="J100" s="126">
        <f>sens_costs_regions!J$2</f>
        <v>0.36202199312714778</v>
      </c>
      <c r="K100" s="126">
        <f>sens_costs_regions!K$2</f>
        <v>0.41792411616161618</v>
      </c>
      <c r="L100" s="126">
        <f>sens_costs_regions!L$2</f>
        <v>0.48333918128654974</v>
      </c>
      <c r="M100" s="126">
        <f>sens_costs_regions!M$2</f>
        <v>0.5718158075601375</v>
      </c>
      <c r="N100" s="126">
        <f>sens_costs_regions!N$2</f>
        <v>0.65679722222222237</v>
      </c>
      <c r="O100" s="126">
        <f>sens_costs_regions!O$2</f>
        <v>0.7491286549707602</v>
      </c>
      <c r="P100" s="126">
        <f>IF(VLOOKUP($A100,Table26[],6,FALSE)=0,VLOOKUP($D100,Table15[],16,FALSE),(VLOOKUP($A100,Table26[],6,FALSE)))</f>
        <v>1.1556606430193961E-2</v>
      </c>
      <c r="Q100" s="126">
        <f>IF(VLOOKUP($A100,Table26[],5,FALSE)=0,VLOOKUP($D100,Table15[],17,FALSE),(VLOOKUP($A100,Table26[],5,FALSE)))</f>
        <v>1.7566041773894817E-2</v>
      </c>
      <c r="R100" s="126">
        <f>IF(VLOOKUP($A100,Table26[],16,FALSE)=0,VLOOKUP($D100,Table15[],18,FALSE),(VLOOKUP($A100,Table26[],16,FALSE)))</f>
        <v>0.27735855432465506</v>
      </c>
      <c r="S100" s="126">
        <f>IF(VLOOKUP($A100,Table26[],9,FALSE)=0,VLOOKUP($D100,Table15[],19,FALSE),(VLOOKUP($A100,Table26[],9,FALSE)))</f>
        <v>6.4538596636270476E-3</v>
      </c>
      <c r="T100" s="126">
        <f>IF(VLOOKUP($A100,Table26[],8,FALSE)=0,VLOOKUP($D100,Table15[],20,FALSE),(VLOOKUP($A100,Table26[],8,FALSE)))</f>
        <v>9.8098666887131113E-3</v>
      </c>
      <c r="U100" s="126">
        <f>IF(VLOOKUP($A100,Table26[],10,FALSE)=0,VLOOKUP($D100,Table15[],21,FALSE),(VLOOKUP($A100,Table26[],10,FALSE)))</f>
        <v>2.581543865450819E-2</v>
      </c>
      <c r="V100" s="126">
        <f>VLOOKUP($F100,vaccine_costs!$AH$6:$AK$11,2,FALSE)</f>
        <v>0.63</v>
      </c>
      <c r="W100" s="126">
        <f>IF(VLOOKUP($A100,tordrup[],5,FALSE)=0,VLOOKUP($D100,Table15[],23,FALSE),VLOOKUP($A100,tordrup[],5,FALSE))</f>
        <v>26.062643800931912</v>
      </c>
      <c r="X100" s="126">
        <f>IF(VLOOKUP($A100,tordrup[],6,FALSE)=0,VLOOKUP($D100,Table15[],24,FALSE),VLOOKUP($A100,tordrup[],6,FALSE))</f>
        <v>55.282643800931908</v>
      </c>
      <c r="Y100" s="126">
        <f>IF(VLOOKUP($A100,tordrup[],7,FALSE)=0,VLOOKUP($D100,Table15[],25,FALSE),VLOOKUP($A100,tordrup[],7,FALSE))</f>
        <v>65.591626005921</v>
      </c>
      <c r="Z100" s="126">
        <f>IF(VLOOKUP($A100,tordrup[],8,FALSE)=0,VLOOKUP($D100,Table15[],26,FALSE),VLOOKUP($A100,tordrup[],8,FALSE))</f>
        <v>63.87346230508949</v>
      </c>
      <c r="AA100" s="126">
        <v>82.4</v>
      </c>
      <c r="AB100" s="126">
        <v>408.79</v>
      </c>
      <c r="AC100" s="126">
        <v>2415.5</v>
      </c>
      <c r="AD100" s="126">
        <v>5434.91</v>
      </c>
      <c r="AF100" s="126">
        <v>794.8582351433522</v>
      </c>
      <c r="AG100" s="126">
        <v>1742.542109179303</v>
      </c>
      <c r="AH100" s="126">
        <v>3485.084218358606</v>
      </c>
      <c r="AI100" s="126">
        <v>10455.252655075818</v>
      </c>
      <c r="AJ100" s="33" t="str">
        <f>IF(VLOOKUP($A100,lmic_raw[],11,FALSE)=0, "Yes", "No")</f>
        <v>No</v>
      </c>
    </row>
    <row r="101" spans="1:36" x14ac:dyDescent="0.25">
      <c r="A101" s="110" t="s">
        <v>313</v>
      </c>
      <c r="D101" s="84" t="s">
        <v>675</v>
      </c>
      <c r="F101" s="84" t="s">
        <v>663</v>
      </c>
      <c r="I101" s="126">
        <f>IF(VLOOKUP($A101,portnoy[],3,FALSE)=0, VLOOKUP($D101,Table15[],9,FALSE),VLOOKUP($A101,portnoy[],3,FALSE))</f>
        <v>3.8933999999999997</v>
      </c>
      <c r="J101" s="126">
        <f>sens_costs_regions!J$2</f>
        <v>0.36202199312714778</v>
      </c>
      <c r="K101" s="126">
        <f>sens_costs_regions!K$2</f>
        <v>0.41792411616161618</v>
      </c>
      <c r="L101" s="126">
        <f>sens_costs_regions!L$2</f>
        <v>0.48333918128654974</v>
      </c>
      <c r="M101" s="126">
        <f>sens_costs_regions!M$2</f>
        <v>0.5718158075601375</v>
      </c>
      <c r="N101" s="126">
        <f>sens_costs_regions!N$2</f>
        <v>0.65679722222222237</v>
      </c>
      <c r="O101" s="126">
        <f>sens_costs_regions!O$2</f>
        <v>0.7491286549707602</v>
      </c>
      <c r="P101" s="126">
        <f>IF(VLOOKUP($A101,Table26[],6,FALSE)=0,VLOOKUP($D101,Table15[],16,FALSE),(VLOOKUP($A101,Table26[],6,FALSE)))</f>
        <v>2.336413117709827E-2</v>
      </c>
      <c r="Q101" s="126">
        <f>IF(VLOOKUP($A101,Table26[],5,FALSE)=0,VLOOKUP($D101,Table15[],17,FALSE),(VLOOKUP($A101,Table26[],5,FALSE)))</f>
        <v>3.5513479389189369E-2</v>
      </c>
      <c r="R101" s="126">
        <f>IF(VLOOKUP($A101,Table26[],16,FALSE)=0,VLOOKUP($D101,Table15[],18,FALSE),(VLOOKUP($A101,Table26[],16,FALSE)))</f>
        <v>0.56073914825035842</v>
      </c>
      <c r="S101" s="126">
        <f>IF(VLOOKUP($A101,Table26[],9,FALSE)=0,VLOOKUP($D101,Table15[],19,FALSE),(VLOOKUP($A101,Table26[],9,FALSE)))</f>
        <v>1.2959404735685237E-2</v>
      </c>
      <c r="T101" s="126">
        <f>IF(VLOOKUP($A101,Table26[],8,FALSE)=0,VLOOKUP($D101,Table15[],20,FALSE),(VLOOKUP($A101,Table26[],8,FALSE)))</f>
        <v>1.969829519824156E-2</v>
      </c>
      <c r="U101" s="126">
        <f>IF(VLOOKUP($A101,Table26[],10,FALSE)=0,VLOOKUP($D101,Table15[],21,FALSE),(VLOOKUP($A101,Table26[],10,FALSE)))</f>
        <v>5.183761894274095E-2</v>
      </c>
      <c r="V101" s="126">
        <f>VLOOKUP($F101,vaccine_costs!$AH$6:$AK$11,2,FALSE)</f>
        <v>4.07</v>
      </c>
      <c r="W101" s="126">
        <f>IF(VLOOKUP($A101,tordrup[],5,FALSE)=0,VLOOKUP($D101,Table15[],23,FALSE),VLOOKUP($A101,tordrup[],5,FALSE))</f>
        <v>34.857609967802276</v>
      </c>
      <c r="X101" s="126">
        <f>IF(VLOOKUP($A101,tordrup[],6,FALSE)=0,VLOOKUP($D101,Table15[],24,FALSE),VLOOKUP($A101,tordrup[],6,FALSE))</f>
        <v>64.077609967802275</v>
      </c>
      <c r="Y101" s="126">
        <f>IF(VLOOKUP($A101,tordrup[],7,FALSE)=0,VLOOKUP($D101,Table15[],25,FALSE),VLOOKUP($A101,tordrup[],7,FALSE))</f>
        <v>132.64487534794631</v>
      </c>
      <c r="Z101" s="126">
        <f>IF(VLOOKUP($A101,tordrup[],8,FALSE)=0,VLOOKUP($D101,Table15[],26,FALSE),VLOOKUP($A101,tordrup[],8,FALSE))</f>
        <v>121.21699778458897</v>
      </c>
      <c r="AA101" s="126">
        <v>82.4</v>
      </c>
      <c r="AB101" s="126">
        <v>408.79</v>
      </c>
      <c r="AC101" s="126">
        <v>2415.5</v>
      </c>
      <c r="AD101" s="126">
        <v>5434.91</v>
      </c>
      <c r="AF101" s="126">
        <v>7656.2871119568881</v>
      </c>
      <c r="AG101" s="126">
        <v>6459.7648220954097</v>
      </c>
      <c r="AH101" s="126">
        <v>12919.529644190819</v>
      </c>
      <c r="AI101" s="126">
        <v>38758.588932572457</v>
      </c>
      <c r="AJ101" s="33" t="str">
        <f>IF(VLOOKUP($A101,lmic_raw[],11,FALSE)=0, "Yes", "No")</f>
        <v>No</v>
      </c>
    </row>
    <row r="102" spans="1:36" x14ac:dyDescent="0.25">
      <c r="A102" s="109" t="s">
        <v>641</v>
      </c>
      <c r="D102" s="82" t="s">
        <v>675</v>
      </c>
      <c r="F102" s="82" t="s">
        <v>663</v>
      </c>
      <c r="I102" s="126">
        <f>IF(VLOOKUP($A102,portnoy[],3,FALSE)=0, VLOOKUP($D102,Table15[],9,FALSE),VLOOKUP($A102,portnoy[],3,FALSE))</f>
        <v>3.6255999999999999</v>
      </c>
      <c r="J102" s="126">
        <f>sens_costs_regions!J$2</f>
        <v>0.36202199312714778</v>
      </c>
      <c r="K102" s="126">
        <f>sens_costs_regions!K$2</f>
        <v>0.41792411616161618</v>
      </c>
      <c r="L102" s="126">
        <f>sens_costs_regions!L$2</f>
        <v>0.48333918128654974</v>
      </c>
      <c r="M102" s="126">
        <f>sens_costs_regions!M$2</f>
        <v>0.5718158075601375</v>
      </c>
      <c r="N102" s="126">
        <f>sens_costs_regions!N$2</f>
        <v>0.65679722222222237</v>
      </c>
      <c r="O102" s="126">
        <f>sens_costs_regions!O$2</f>
        <v>0.7491286549707602</v>
      </c>
      <c r="P102" s="126">
        <f>IF(VLOOKUP($A102,Table26[],6,FALSE)=0,VLOOKUP($D102,Table15[],16,FALSE),(VLOOKUP($A102,Table26[],6,FALSE)))</f>
        <v>2.102906895302065E-2</v>
      </c>
      <c r="Q102" s="126">
        <f>IF(VLOOKUP($A102,Table26[],5,FALSE)=0,VLOOKUP($D102,Table15[],17,FALSE),(VLOOKUP($A102,Table26[],5,FALSE)))</f>
        <v>3.1964184808591388E-2</v>
      </c>
      <c r="R102" s="126">
        <f>IF(VLOOKUP($A102,Table26[],16,FALSE)=0,VLOOKUP($D102,Table15[],18,FALSE),(VLOOKUP($A102,Table26[],16,FALSE)))</f>
        <v>0.50469765487249563</v>
      </c>
      <c r="S102" s="126">
        <f>IF(VLOOKUP($A102,Table26[],9,FALSE)=0,VLOOKUP($D102,Table15[],19,FALSE),(VLOOKUP($A102,Table26[],9,FALSE)))</f>
        <v>1.1620751541198704E-2</v>
      </c>
      <c r="T102" s="126">
        <f>IF(VLOOKUP($A102,Table26[],8,FALSE)=0,VLOOKUP($D102,Table15[],20,FALSE),(VLOOKUP($A102,Table26[],8,FALSE)))</f>
        <v>1.7663542342622029E-2</v>
      </c>
      <c r="U102" s="126">
        <f>IF(VLOOKUP($A102,Table26[],10,FALSE)=0,VLOOKUP($D102,Table15[],21,FALSE),(VLOOKUP($A102,Table26[],10,FALSE)))</f>
        <v>4.6483006164794817E-2</v>
      </c>
      <c r="V102" s="126">
        <f>VLOOKUP($F102,vaccine_costs!$AH$6:$AK$11,2,FALSE)</f>
        <v>4.07</v>
      </c>
      <c r="W102" s="126">
        <f>IF(VLOOKUP($A102,tordrup[],5,FALSE)=0,VLOOKUP($D102,Table15[],23,FALSE),VLOOKUP($A102,tordrup[],5,FALSE))</f>
        <v>39.154206124896831</v>
      </c>
      <c r="X102" s="126">
        <f>IF(VLOOKUP($A102,tordrup[],6,FALSE)=0,VLOOKUP($D102,Table15[],24,FALSE),VLOOKUP($A102,tordrup[],6,FALSE))</f>
        <v>68.37420612489683</v>
      </c>
      <c r="Y102" s="126">
        <f>IF(VLOOKUP($A102,tordrup[],7,FALSE)=0,VLOOKUP($D102,Table15[],25,FALSE),VLOOKUP($A102,tordrup[],7,FALSE))</f>
        <v>174.05694087224327</v>
      </c>
      <c r="Z102" s="126">
        <f>IF(VLOOKUP($A102,tordrup[],8,FALSE)=0,VLOOKUP($D102,Table15[],26,FALSE),VLOOKUP($A102,tordrup[],8,FALSE))</f>
        <v>156.44315174768556</v>
      </c>
      <c r="AA102" s="126">
        <v>82.4</v>
      </c>
      <c r="AB102" s="126">
        <v>408.79</v>
      </c>
      <c r="AC102" s="126">
        <v>2415.5</v>
      </c>
      <c r="AD102" s="126">
        <v>5434.91</v>
      </c>
      <c r="AF102" s="126">
        <v>6400.662525337606</v>
      </c>
      <c r="AG102" s="126">
        <v>5792.4976913051996</v>
      </c>
      <c r="AH102" s="126">
        <v>11584.995382610399</v>
      </c>
      <c r="AI102" s="126">
        <v>34754.986147831194</v>
      </c>
      <c r="AJ102" s="33" t="str">
        <f>IF(VLOOKUP($A102,lmic_raw[],11,FALSE)=0, "Yes", "No")</f>
        <v>Yes</v>
      </c>
    </row>
    <row r="103" spans="1:36" x14ac:dyDescent="0.25">
      <c r="A103" s="110" t="s">
        <v>113</v>
      </c>
      <c r="D103" s="84" t="s">
        <v>677</v>
      </c>
      <c r="F103" s="84" t="s">
        <v>667</v>
      </c>
      <c r="I103" s="126">
        <f>IF(VLOOKUP($A103,portnoy[],3,FALSE)=0, VLOOKUP($D103,Table15[],9,FALSE),VLOOKUP($A103,portnoy[],3,FALSE))</f>
        <v>2.8325</v>
      </c>
      <c r="J103" s="126">
        <f>sens_costs_regions!J$2</f>
        <v>0.36202199312714778</v>
      </c>
      <c r="K103" s="126">
        <f>sens_costs_regions!K$2</f>
        <v>0.41792411616161618</v>
      </c>
      <c r="L103" s="126">
        <f>sens_costs_regions!L$2</f>
        <v>0.48333918128654974</v>
      </c>
      <c r="M103" s="126">
        <f>sens_costs_regions!M$2</f>
        <v>0.5718158075601375</v>
      </c>
      <c r="N103" s="126">
        <f>sens_costs_regions!N$2</f>
        <v>0.65679722222222237</v>
      </c>
      <c r="O103" s="126">
        <f>sens_costs_regions!O$2</f>
        <v>0.7491286549707602</v>
      </c>
      <c r="P103" s="126">
        <f>IF(VLOOKUP($A103,Table26[],6,FALSE)=0,VLOOKUP($D103,Table15[],16,FALSE),(VLOOKUP($A103,Table26[],6,FALSE)))</f>
        <v>4.1382227508709232E-3</v>
      </c>
      <c r="Q103" s="126">
        <f>IF(VLOOKUP($A103,Table26[],5,FALSE)=0,VLOOKUP($D103,Table15[],17,FALSE),(VLOOKUP($A103,Table26[],5,FALSE)))</f>
        <v>6.2900985813238025E-3</v>
      </c>
      <c r="R103" s="126">
        <f>IF(VLOOKUP($A103,Table26[],16,FALSE)=0,VLOOKUP($D103,Table15[],18,FALSE),(VLOOKUP($A103,Table26[],16,FALSE)))</f>
        <v>9.9317346020902156E-2</v>
      </c>
      <c r="S103" s="126">
        <f>IF(VLOOKUP($A103,Table26[],9,FALSE)=0,VLOOKUP($D103,Table15[],19,FALSE),(VLOOKUP($A103,Table26[],9,FALSE)))</f>
        <v>2.3411214460919674E-3</v>
      </c>
      <c r="T103" s="126">
        <f>IF(VLOOKUP($A103,Table26[],8,FALSE)=0,VLOOKUP($D103,Table15[],20,FALSE),(VLOOKUP($A103,Table26[],8,FALSE)))</f>
        <v>3.5585045980597902E-3</v>
      </c>
      <c r="U103" s="126">
        <f>IF(VLOOKUP($A103,Table26[],10,FALSE)=0,VLOOKUP($D103,Table15[],21,FALSE),(VLOOKUP($A103,Table26[],10,FALSE)))</f>
        <v>9.3644857843678698E-3</v>
      </c>
      <c r="V103" s="126">
        <f>VLOOKUP($F103,vaccine_costs!$AH$6:$AK$11,2,FALSE)</f>
        <v>4.83</v>
      </c>
      <c r="W103" s="126">
        <f>IF(VLOOKUP($A103,tordrup[],5,FALSE)=0,VLOOKUP($D103,Table15[],23,FALSE),VLOOKUP($A103,tordrup[],5,FALSE))</f>
        <v>24.270417227116223</v>
      </c>
      <c r="X103" s="126">
        <f>IF(VLOOKUP($A103,tordrup[],6,FALSE)=0,VLOOKUP($D103,Table15[],24,FALSE),VLOOKUP($A103,tordrup[],6,FALSE))</f>
        <v>53.490417227116225</v>
      </c>
      <c r="Y103" s="126">
        <f>IF(VLOOKUP($A103,tordrup[],7,FALSE)=0,VLOOKUP($D103,Table15[],25,FALSE),VLOOKUP($A103,tordrup[],7,FALSE))</f>
        <v>55.871823450761127</v>
      </c>
      <c r="Z103" s="126">
        <f>IF(VLOOKUP($A103,tordrup[],8,FALSE)=0,VLOOKUP($D103,Table15[],26,FALSE),VLOOKUP($A103,tordrup[],8,FALSE))</f>
        <v>55.474922413486965</v>
      </c>
      <c r="AA103" s="126">
        <v>82.4</v>
      </c>
      <c r="AB103" s="126">
        <v>408.79</v>
      </c>
      <c r="AC103" s="126">
        <v>2415.5</v>
      </c>
      <c r="AD103" s="126">
        <v>5434.91</v>
      </c>
      <c r="AF103" s="126">
        <v>270.42044709089174</v>
      </c>
      <c r="AG103" s="126">
        <v>410.01262082907965</v>
      </c>
      <c r="AH103" s="126">
        <v>820.0252416581593</v>
      </c>
      <c r="AI103" s="126">
        <v>2460.0757249744779</v>
      </c>
      <c r="AJ103" s="33" t="str">
        <f>IF(VLOOKUP($A103,lmic_raw[],11,FALSE)=0, "Yes", "No")</f>
        <v>Yes</v>
      </c>
    </row>
    <row r="104" spans="1:36" x14ac:dyDescent="0.25">
      <c r="A104" s="109" t="s">
        <v>245</v>
      </c>
      <c r="D104" s="82" t="s">
        <v>679</v>
      </c>
      <c r="F104" s="82" t="s">
        <v>665</v>
      </c>
      <c r="I104" s="126">
        <f>IF(VLOOKUP($A104,portnoy[],3,FALSE)=0, VLOOKUP($D104,Table15[],9,FALSE),VLOOKUP($A104,portnoy[],3,FALSE))</f>
        <v>13.647500000000001</v>
      </c>
      <c r="J104" s="126">
        <f>sens_costs_regions!J$2</f>
        <v>0.36202199312714778</v>
      </c>
      <c r="K104" s="126">
        <f>sens_costs_regions!K$2</f>
        <v>0.41792411616161618</v>
      </c>
      <c r="L104" s="126">
        <f>sens_costs_regions!L$2</f>
        <v>0.48333918128654974</v>
      </c>
      <c r="M104" s="126">
        <f>sens_costs_regions!M$2</f>
        <v>0.5718158075601375</v>
      </c>
      <c r="N104" s="126">
        <f>sens_costs_regions!N$2</f>
        <v>0.65679722222222237</v>
      </c>
      <c r="O104" s="126">
        <f>sens_costs_regions!O$2</f>
        <v>0.7491286549707602</v>
      </c>
      <c r="P104" s="126">
        <f>IF(VLOOKUP($A104,Table26[],6,FALSE)=0,VLOOKUP($D104,Table15[],16,FALSE),(VLOOKUP($A104,Table26[],6,FALSE)))</f>
        <v>2.0467189173949622E-2</v>
      </c>
      <c r="Q104" s="126">
        <f>IF(VLOOKUP($A104,Table26[],5,FALSE)=0,VLOOKUP($D104,Table15[],17,FALSE),(VLOOKUP($A104,Table26[],5,FALSE)))</f>
        <v>3.1110127544403423E-2</v>
      </c>
      <c r="R104" s="126">
        <f>IF(VLOOKUP($A104,Table26[],16,FALSE)=0,VLOOKUP($D104,Table15[],18,FALSE),(VLOOKUP($A104,Table26[],16,FALSE)))</f>
        <v>0.49121254017479093</v>
      </c>
      <c r="S104" s="126">
        <f>IF(VLOOKUP($A104,Table26[],9,FALSE)=0,VLOOKUP($D104,Table15[],19,FALSE),(VLOOKUP($A104,Table26[],9,FALSE)))</f>
        <v>1.1647253149394765E-2</v>
      </c>
      <c r="T104" s="126">
        <f>IF(VLOOKUP($A104,Table26[],8,FALSE)=0,VLOOKUP($D104,Table15[],20,FALSE),(VLOOKUP($A104,Table26[],8,FALSE)))</f>
        <v>1.770382478708004E-2</v>
      </c>
      <c r="U104" s="126">
        <f>IF(VLOOKUP($A104,Table26[],10,FALSE)=0,VLOOKUP($D104,Table15[],21,FALSE),(VLOOKUP($A104,Table26[],10,FALSE)))</f>
        <v>4.6589012597579062E-2</v>
      </c>
      <c r="V104" s="126">
        <f>VLOOKUP($F104,vaccine_costs!$AH$6:$AK$11,2,FALSE)</f>
        <v>0.02</v>
      </c>
      <c r="W104" s="126">
        <f>IF(VLOOKUP($A104,tordrup[],5,FALSE)=0,VLOOKUP($D104,Table15[],23,FALSE),VLOOKUP($A104,tordrup[],5,FALSE))</f>
        <v>35.522276776634584</v>
      </c>
      <c r="X104" s="126">
        <f>IF(VLOOKUP($A104,tordrup[],6,FALSE)=0,VLOOKUP($D104,Table15[],24,FALSE),VLOOKUP($A104,tordrup[],6,FALSE))</f>
        <v>64.742276776634583</v>
      </c>
      <c r="Y104" s="126">
        <f>IF(VLOOKUP($A104,tordrup[],7,FALSE)=0,VLOOKUP($D104,Table15[],25,FALSE),VLOOKUP($A104,tordrup[],7,FALSE))</f>
        <v>129.90977142960134</v>
      </c>
      <c r="Z104" s="126">
        <f>IF(VLOOKUP($A104,tordrup[],8,FALSE)=0,VLOOKUP($D104,Table15[],26,FALSE),VLOOKUP($A104,tordrup[],8,FALSE))</f>
        <v>119.04852232077357</v>
      </c>
      <c r="AA104" s="126">
        <v>82.4</v>
      </c>
      <c r="AB104" s="126">
        <v>408.79</v>
      </c>
      <c r="AC104" s="126">
        <v>2415.5</v>
      </c>
      <c r="AD104" s="126">
        <v>5434.91</v>
      </c>
      <c r="AF104" s="126">
        <v>0</v>
      </c>
      <c r="AG104" s="126">
        <v>5805.7077236983132</v>
      </c>
      <c r="AH104" s="126">
        <v>11611.415447396626</v>
      </c>
      <c r="AI104" s="126">
        <v>34834.246342189879</v>
      </c>
      <c r="AJ104" s="33" t="str">
        <f>IF(VLOOKUP($A104,lmic_raw[],11,FALSE)=0, "Yes", "No")</f>
        <v>No</v>
      </c>
    </row>
    <row r="105" spans="1:36" x14ac:dyDescent="0.25">
      <c r="A105" s="110" t="s">
        <v>247</v>
      </c>
      <c r="D105" s="84" t="s">
        <v>679</v>
      </c>
      <c r="F105" s="84" t="s">
        <v>665</v>
      </c>
      <c r="I105" s="126">
        <f>IF(VLOOKUP($A105,portnoy[],3,FALSE)=0, VLOOKUP($D105,Table15[],9,FALSE),VLOOKUP($A105,portnoy[],3,FALSE))</f>
        <v>14.9556</v>
      </c>
      <c r="J105" s="126">
        <f>sens_costs_regions!J$2</f>
        <v>0.36202199312714778</v>
      </c>
      <c r="K105" s="126">
        <f>sens_costs_regions!K$2</f>
        <v>0.41792411616161618</v>
      </c>
      <c r="L105" s="126">
        <f>sens_costs_regions!L$2</f>
        <v>0.48333918128654974</v>
      </c>
      <c r="M105" s="126">
        <f>sens_costs_regions!M$2</f>
        <v>0.5718158075601375</v>
      </c>
      <c r="N105" s="126">
        <f>sens_costs_regions!N$2</f>
        <v>0.65679722222222237</v>
      </c>
      <c r="O105" s="126">
        <f>sens_costs_regions!O$2</f>
        <v>0.7491286549707602</v>
      </c>
      <c r="P105" s="126">
        <f>IF(VLOOKUP($A105,Table26[],6,FALSE)=0,VLOOKUP($D105,Table15[],16,FALSE),(VLOOKUP($A105,Table26[],6,FALSE)))</f>
        <v>1.2908478660969194E-2</v>
      </c>
      <c r="Q105" s="126">
        <f>IF(VLOOKUP($A105,Table26[],5,FALSE)=0,VLOOKUP($D105,Table15[],17,FALSE),(VLOOKUP($A105,Table26[],5,FALSE)))</f>
        <v>1.9620887564673169E-2</v>
      </c>
      <c r="R105" s="126">
        <f>IF(VLOOKUP($A105,Table26[],16,FALSE)=0,VLOOKUP($D105,Table15[],18,FALSE),(VLOOKUP($A105,Table26[],16,FALSE)))</f>
        <v>0.30980348786326062</v>
      </c>
      <c r="S105" s="126">
        <f>IF(VLOOKUP($A105,Table26[],9,FALSE)=0,VLOOKUP($D105,Table15[],19,FALSE),(VLOOKUP($A105,Table26[],9,FALSE)))</f>
        <v>7.4805265084665756E-3</v>
      </c>
      <c r="T105" s="126">
        <f>IF(VLOOKUP($A105,Table26[],8,FALSE)=0,VLOOKUP($D105,Table15[],20,FALSE),(VLOOKUP($A105,Table26[],8,FALSE)))</f>
        <v>1.1370400292869193E-2</v>
      </c>
      <c r="U105" s="126">
        <f>IF(VLOOKUP($A105,Table26[],10,FALSE)=0,VLOOKUP($D105,Table15[],21,FALSE),(VLOOKUP($A105,Table26[],10,FALSE)))</f>
        <v>2.9922106033866303E-2</v>
      </c>
      <c r="V105" s="126">
        <f>VLOOKUP($F105,vaccine_costs!$AH$6:$AK$11,2,FALSE)</f>
        <v>0.02</v>
      </c>
      <c r="W105" s="126">
        <f>IF(VLOOKUP($A105,tordrup[],5,FALSE)=0,VLOOKUP($D105,Table15[],23,FALSE),VLOOKUP($A105,tordrup[],5,FALSE))</f>
        <v>34.204812209127681</v>
      </c>
      <c r="X105" s="126">
        <f>IF(VLOOKUP($A105,tordrup[],6,FALSE)=0,VLOOKUP($D105,Table15[],24,FALSE),VLOOKUP($A105,tordrup[],6,FALSE))</f>
        <v>63.42481220912768</v>
      </c>
      <c r="Y105" s="126">
        <f>IF(VLOOKUP($A105,tordrup[],7,FALSE)=0,VLOOKUP($D105,Table15[],25,FALSE),VLOOKUP($A105,tordrup[],7,FALSE))</f>
        <v>120.33572081037828</v>
      </c>
      <c r="Z105" s="126">
        <f>IF(VLOOKUP($A105,tordrup[],8,FALSE)=0,VLOOKUP($D105,Table15[],26,FALSE),VLOOKUP($A105,tordrup[],8,FALSE))</f>
        <v>110.85056937683652</v>
      </c>
      <c r="AA105" s="126">
        <v>82.4</v>
      </c>
      <c r="AB105" s="126">
        <v>408.79</v>
      </c>
      <c r="AC105" s="126">
        <v>2415.5</v>
      </c>
      <c r="AD105" s="126">
        <v>5434.91</v>
      </c>
      <c r="AF105" s="126">
        <v>0</v>
      </c>
      <c r="AG105" s="126">
        <v>3728.7547519125701</v>
      </c>
      <c r="AH105" s="126">
        <v>7457.5095038251402</v>
      </c>
      <c r="AI105" s="126">
        <v>22372.528511475422</v>
      </c>
      <c r="AJ105" s="33" t="str">
        <f>IF(VLOOKUP($A105,lmic_raw[],11,FALSE)=0, "Yes", "No")</f>
        <v>No</v>
      </c>
    </row>
    <row r="106" spans="1:36" x14ac:dyDescent="0.25">
      <c r="A106" s="109" t="s">
        <v>299</v>
      </c>
      <c r="D106" s="82" t="s">
        <v>681</v>
      </c>
      <c r="F106" s="82" t="s">
        <v>666</v>
      </c>
      <c r="I106" s="126">
        <f>IF(VLOOKUP($A106,portnoy[],3,FALSE)=0, VLOOKUP($D106,Table15[],9,FALSE),VLOOKUP($A106,portnoy[],3,FALSE))</f>
        <v>2.0085000000000002</v>
      </c>
      <c r="J106" s="126">
        <f>sens_costs_regions!J$2</f>
        <v>0.36202199312714778</v>
      </c>
      <c r="K106" s="126">
        <f>sens_costs_regions!K$2</f>
        <v>0.41792411616161618</v>
      </c>
      <c r="L106" s="126">
        <f>sens_costs_regions!L$2</f>
        <v>0.48333918128654974</v>
      </c>
      <c r="M106" s="126">
        <f>sens_costs_regions!M$2</f>
        <v>0.5718158075601375</v>
      </c>
      <c r="N106" s="126">
        <f>sens_costs_regions!N$2</f>
        <v>0.65679722222222237</v>
      </c>
      <c r="O106" s="126">
        <f>sens_costs_regions!O$2</f>
        <v>0.7491286549707602</v>
      </c>
      <c r="P106" s="126">
        <f>IF(VLOOKUP($A106,Table26[],6,FALSE)=0,VLOOKUP($D106,Table15[],16,FALSE),(VLOOKUP($A106,Table26[],6,FALSE)))</f>
        <v>7.5432292129857222E-3</v>
      </c>
      <c r="Q106" s="126">
        <f>IF(VLOOKUP($A106,Table26[],5,FALSE)=0,VLOOKUP($D106,Table15[],17,FALSE),(VLOOKUP($A106,Table26[],5,FALSE)))</f>
        <v>1.1465708403738296E-2</v>
      </c>
      <c r="R106" s="126">
        <f>IF(VLOOKUP($A106,Table26[],16,FALSE)=0,VLOOKUP($D106,Table15[],18,FALSE),(VLOOKUP($A106,Table26[],16,FALSE)))</f>
        <v>0.18103750111165734</v>
      </c>
      <c r="S106" s="126">
        <f>IF(VLOOKUP($A106,Table26[],9,FALSE)=0,VLOOKUP($D106,Table15[],19,FALSE),(VLOOKUP($A106,Table26[],9,FALSE)))</f>
        <v>4.337359740683595E-3</v>
      </c>
      <c r="T106" s="126">
        <f>IF(VLOOKUP($A106,Table26[],8,FALSE)=0,VLOOKUP($D106,Table15[],20,FALSE),(VLOOKUP($A106,Table26[],8,FALSE)))</f>
        <v>6.5927868058390637E-3</v>
      </c>
      <c r="U106" s="126">
        <f>IF(VLOOKUP($A106,Table26[],10,FALSE)=0,VLOOKUP($D106,Table15[],21,FALSE),(VLOOKUP($A106,Table26[],10,FALSE)))</f>
        <v>1.734943896273438E-2</v>
      </c>
      <c r="V106" s="126">
        <f>VLOOKUP($F106,vaccine_costs!$AH$6:$AK$11,2,FALSE)</f>
        <v>0.63</v>
      </c>
      <c r="W106" s="126">
        <f>IF(VLOOKUP($A106,tordrup[],5,FALSE)=0,VLOOKUP($D106,Table15[],23,FALSE),VLOOKUP($A106,tordrup[],5,FALSE))</f>
        <v>28.460191932791311</v>
      </c>
      <c r="X106" s="126">
        <f>IF(VLOOKUP($A106,tordrup[],6,FALSE)=0,VLOOKUP($D106,Table15[],24,FALSE),VLOOKUP($A106,tordrup[],6,FALSE))</f>
        <v>57.68019193279131</v>
      </c>
      <c r="Y106" s="126">
        <f>IF(VLOOKUP($A106,tordrup[],7,FALSE)=0,VLOOKUP($D106,Table15[],25,FALSE),VLOOKUP($A106,tordrup[],7,FALSE))</f>
        <v>77.115286804051152</v>
      </c>
      <c r="Z106" s="126">
        <f>IF(VLOOKUP($A106,tordrup[],8,FALSE)=0,VLOOKUP($D106,Table15[],26,FALSE),VLOOKUP($A106,tordrup[],8,FALSE))</f>
        <v>73.876104325507839</v>
      </c>
      <c r="AA106" s="126">
        <v>82.4</v>
      </c>
      <c r="AB106" s="126">
        <v>408.79</v>
      </c>
      <c r="AC106" s="126">
        <v>2415.5</v>
      </c>
      <c r="AD106" s="126">
        <v>5434.91</v>
      </c>
      <c r="AF106" s="126">
        <v>0</v>
      </c>
      <c r="AG106" s="126">
        <v>2162.0070092022843</v>
      </c>
      <c r="AH106" s="126">
        <v>4324.0140184045686</v>
      </c>
      <c r="AI106" s="126">
        <v>12972.042055213706</v>
      </c>
      <c r="AJ106" s="33" t="str">
        <f>IF(VLOOKUP($A106,lmic_raw[],11,FALSE)=0, "Yes", "No")</f>
        <v>No</v>
      </c>
    </row>
    <row r="107" spans="1:36" x14ac:dyDescent="0.25">
      <c r="A107" s="110" t="s">
        <v>684</v>
      </c>
      <c r="D107" s="84" t="s">
        <v>677</v>
      </c>
      <c r="F107" s="84" t="s">
        <v>667</v>
      </c>
      <c r="I107" s="126">
        <f>IF(VLOOKUP($A107,portnoy[],3,FALSE)=0, VLOOKUP($D107,Table15[],9,FALSE),VLOOKUP($A107,portnoy[],3,FALSE))</f>
        <v>8.3739000000000008</v>
      </c>
      <c r="J107" s="126">
        <f>sens_costs_regions!J$2</f>
        <v>0.36202199312714778</v>
      </c>
      <c r="K107" s="126">
        <f>sens_costs_regions!K$2</f>
        <v>0.41792411616161618</v>
      </c>
      <c r="L107" s="126">
        <f>sens_costs_regions!L$2</f>
        <v>0.48333918128654974</v>
      </c>
      <c r="M107" s="126">
        <f>sens_costs_regions!M$2</f>
        <v>0.5718158075601375</v>
      </c>
      <c r="N107" s="126">
        <f>sens_costs_regions!N$2</f>
        <v>0.65679722222222237</v>
      </c>
      <c r="O107" s="126">
        <f>sens_costs_regions!O$2</f>
        <v>0.7491286549707602</v>
      </c>
      <c r="P107" s="126">
        <f>IF(VLOOKUP($A107,Table26[],6,FALSE)=0,VLOOKUP($D107,Table15[],16,FALSE),(VLOOKUP($A107,Table26[],6,FALSE)))</f>
        <v>6.3448076812265648E-3</v>
      </c>
      <c r="Q107" s="126">
        <f>IF(VLOOKUP($A107,Table26[],5,FALSE)=0,VLOOKUP($D107,Table15[],17,FALSE),(VLOOKUP($A107,Table26[],5,FALSE)))</f>
        <v>9.6441076754643779E-3</v>
      </c>
      <c r="R107" s="126">
        <f>IF(VLOOKUP($A107,Table26[],16,FALSE)=0,VLOOKUP($D107,Table15[],18,FALSE),(VLOOKUP($A107,Table26[],16,FALSE)))</f>
        <v>0.15227538434943755</v>
      </c>
      <c r="S107" s="126">
        <f>IF(VLOOKUP($A107,Table26[],9,FALSE)=0,VLOOKUP($D107,Table15[],19,FALSE),(VLOOKUP($A107,Table26[],9,FALSE)))</f>
        <v>3.6048955809275182E-3</v>
      </c>
      <c r="T107" s="126">
        <f>IF(VLOOKUP($A107,Table26[],8,FALSE)=0,VLOOKUP($D107,Table15[],20,FALSE),(VLOOKUP($A107,Table26[],8,FALSE)))</f>
        <v>5.4794412830098272E-3</v>
      </c>
      <c r="U107" s="126">
        <f>IF(VLOOKUP($A107,Table26[],10,FALSE)=0,VLOOKUP($D107,Table15[],21,FALSE),(VLOOKUP($A107,Table26[],10,FALSE)))</f>
        <v>1.4419582323710073E-2</v>
      </c>
      <c r="V107" s="126">
        <f>VLOOKUP($F107,vaccine_costs!$AH$6:$AK$11,2,FALSE)</f>
        <v>4.83</v>
      </c>
      <c r="W107" s="126">
        <f>IF(VLOOKUP($A107,tordrup[],5,FALSE)=0,VLOOKUP($D107,Table15[],23,FALSE),VLOOKUP($A107,tordrup[],5,FALSE))</f>
        <v>24.804524484213616</v>
      </c>
      <c r="X107" s="126">
        <f>IF(VLOOKUP($A107,tordrup[],6,FALSE)=0,VLOOKUP($D107,Table15[],24,FALSE),VLOOKUP($A107,tordrup[],6,FALSE))</f>
        <v>54.024524484213615</v>
      </c>
      <c r="Y107" s="126">
        <f>IF(VLOOKUP($A107,tordrup[],7,FALSE)=0,VLOOKUP($D107,Table15[],25,FALSE),VLOOKUP($A107,tordrup[],7,FALSE))</f>
        <v>58.301655399049508</v>
      </c>
      <c r="Z107" s="126">
        <f>IF(VLOOKUP($A107,tordrup[],8,FALSE)=0,VLOOKUP($D107,Table15[],26,FALSE),VLOOKUP($A107,tordrup[],8,FALSE))</f>
        <v>57.588800246576866</v>
      </c>
      <c r="AA107" s="126">
        <v>82.4</v>
      </c>
      <c r="AB107" s="126">
        <v>408.79</v>
      </c>
      <c r="AC107" s="126">
        <v>2415.5</v>
      </c>
      <c r="AD107" s="126">
        <v>5434.91</v>
      </c>
      <c r="AF107" s="126">
        <v>0</v>
      </c>
      <c r="AG107" s="126">
        <v>973.32180685043011</v>
      </c>
      <c r="AH107" s="126">
        <v>1946.6436137008602</v>
      </c>
      <c r="AI107" s="126">
        <v>5839.9308411025804</v>
      </c>
      <c r="AJ107" s="33" t="str">
        <f>IF(VLOOKUP($A107,lmic_raw[],11,FALSE)=0, "Yes", "No")</f>
        <v>No</v>
      </c>
    </row>
    <row r="108" spans="1:36" x14ac:dyDescent="0.25">
      <c r="A108" s="109" t="s">
        <v>152</v>
      </c>
      <c r="D108" s="82" t="s">
        <v>677</v>
      </c>
      <c r="F108" s="82" t="s">
        <v>667</v>
      </c>
      <c r="I108" s="126">
        <f>IF(VLOOKUP($A108,portnoy[],3,FALSE)=0, VLOOKUP($D108,Table15[],9,FALSE),VLOOKUP($A108,portnoy[],3,FALSE))</f>
        <v>1.9363999999999999</v>
      </c>
      <c r="J108" s="126">
        <f>sens_costs_regions!J$2</f>
        <v>0.36202199312714778</v>
      </c>
      <c r="K108" s="126">
        <f>sens_costs_regions!K$2</f>
        <v>0.41792411616161618</v>
      </c>
      <c r="L108" s="126">
        <f>sens_costs_regions!L$2</f>
        <v>0.48333918128654974</v>
      </c>
      <c r="M108" s="126">
        <f>sens_costs_regions!M$2</f>
        <v>0.5718158075601375</v>
      </c>
      <c r="N108" s="126">
        <f>sens_costs_regions!N$2</f>
        <v>0.65679722222222237</v>
      </c>
      <c r="O108" s="126">
        <f>sens_costs_regions!O$2</f>
        <v>0.7491286549707602</v>
      </c>
      <c r="P108" s="126">
        <f>IF(VLOOKUP($A108,Table26[],6,FALSE)=0,VLOOKUP($D108,Table15[],16,FALSE),(VLOOKUP($A108,Table26[],6,FALSE)))</f>
        <v>4.8702891764483315E-3</v>
      </c>
      <c r="Q108" s="126">
        <f>IF(VLOOKUP($A108,Table26[],5,FALSE)=0,VLOOKUP($D108,Table15[],17,FALSE),(VLOOKUP($A108,Table26[],5,FALSE)))</f>
        <v>7.402839548201463E-3</v>
      </c>
      <c r="R108" s="126">
        <f>IF(VLOOKUP($A108,Table26[],16,FALSE)=0,VLOOKUP($D108,Table15[],18,FALSE),(VLOOKUP($A108,Table26[],16,FALSE)))</f>
        <v>0.11688694023475994</v>
      </c>
      <c r="S108" s="126">
        <f>IF(VLOOKUP($A108,Table26[],9,FALSE)=0,VLOOKUP($D108,Table15[],19,FALSE),(VLOOKUP($A108,Table26[],9,FALSE)))</f>
        <v>2.6793166018408824E-3</v>
      </c>
      <c r="T108" s="126">
        <f>IF(VLOOKUP($A108,Table26[],8,FALSE)=0,VLOOKUP($D108,Table15[],20,FALSE),(VLOOKUP($A108,Table26[],8,FALSE)))</f>
        <v>4.0725612347981407E-3</v>
      </c>
      <c r="U108" s="126">
        <f>IF(VLOOKUP($A108,Table26[],10,FALSE)=0,VLOOKUP($D108,Table15[],21,FALSE),(VLOOKUP($A108,Table26[],10,FALSE)))</f>
        <v>1.071726640736353E-2</v>
      </c>
      <c r="V108" s="126">
        <f>VLOOKUP($F108,vaccine_costs!$AH$6:$AK$11,2,FALSE)</f>
        <v>4.83</v>
      </c>
      <c r="W108" s="126">
        <f>IF(VLOOKUP($A108,tordrup[],5,FALSE)=0,VLOOKUP($D108,Table15[],23,FALSE),VLOOKUP($A108,tordrup[],5,FALSE))</f>
        <v>24.99442928673713</v>
      </c>
      <c r="X108" s="126">
        <f>IF(VLOOKUP($A108,tordrup[],6,FALSE)=0,VLOOKUP($D108,Table15[],24,FALSE),VLOOKUP($A108,tordrup[],6,FALSE))</f>
        <v>54.214429286737129</v>
      </c>
      <c r="Y108" s="126">
        <f>IF(VLOOKUP($A108,tordrup[],7,FALSE)=0,VLOOKUP($D108,Table15[],25,FALSE),VLOOKUP($A108,tordrup[],7,FALSE))</f>
        <v>58.985075307131027</v>
      </c>
      <c r="Z108" s="126">
        <f>IF(VLOOKUP($A108,tordrup[],8,FALSE)=0,VLOOKUP($D108,Table15[],26,FALSE),VLOOKUP($A108,tordrup[],8,FALSE))</f>
        <v>58.189967637065365</v>
      </c>
      <c r="AA108" s="126">
        <v>82.4</v>
      </c>
      <c r="AB108" s="126">
        <v>408.79</v>
      </c>
      <c r="AC108" s="126">
        <v>2415.5</v>
      </c>
      <c r="AD108" s="126">
        <v>5434.91</v>
      </c>
      <c r="AF108" s="126">
        <v>359.98140152221464</v>
      </c>
      <c r="AG108" s="126">
        <v>723.41548249703828</v>
      </c>
      <c r="AH108" s="126">
        <v>1446.8309649940766</v>
      </c>
      <c r="AI108" s="126">
        <v>4340.4928949822297</v>
      </c>
      <c r="AJ108" s="33" t="str">
        <f>IF(VLOOKUP($A108,lmic_raw[],11,FALSE)=0, "Yes", "No")</f>
        <v>No</v>
      </c>
    </row>
    <row r="109" spans="1:36" x14ac:dyDescent="0.25">
      <c r="A109" s="110" t="s">
        <v>345</v>
      </c>
      <c r="D109" s="84" t="s">
        <v>675</v>
      </c>
      <c r="F109" s="84" t="s">
        <v>663</v>
      </c>
      <c r="I109" s="126">
        <f>IF(VLOOKUP($A109,portnoy[],3,FALSE)=0, VLOOKUP($D109,Table15[],9,FALSE),VLOOKUP($A109,portnoy[],3,FALSE))</f>
        <v>5.4384000000000006</v>
      </c>
      <c r="J109" s="126">
        <f>sens_costs_regions!J$2</f>
        <v>0.36202199312714778</v>
      </c>
      <c r="K109" s="126">
        <f>sens_costs_regions!K$2</f>
        <v>0.41792411616161618</v>
      </c>
      <c r="L109" s="126">
        <f>sens_costs_regions!L$2</f>
        <v>0.48333918128654974</v>
      </c>
      <c r="M109" s="126">
        <f>sens_costs_regions!M$2</f>
        <v>0.5718158075601375</v>
      </c>
      <c r="N109" s="126">
        <f>sens_costs_regions!N$2</f>
        <v>0.65679722222222237</v>
      </c>
      <c r="O109" s="126">
        <f>sens_costs_regions!O$2</f>
        <v>0.7491286549707602</v>
      </c>
      <c r="P109" s="126">
        <f>IF(VLOOKUP($A109,Table26[],6,FALSE)=0,VLOOKUP($D109,Table15[],16,FALSE),(VLOOKUP($A109,Table26[],6,FALSE)))</f>
        <v>1.354949510334161E-2</v>
      </c>
      <c r="Q109" s="126">
        <f>IF(VLOOKUP($A109,Table26[],5,FALSE)=0,VLOOKUP($D109,Table15[],17,FALSE),(VLOOKUP($A109,Table26[],5,FALSE)))</f>
        <v>2.0595232557079245E-2</v>
      </c>
      <c r="R109" s="126">
        <f>IF(VLOOKUP($A109,Table26[],16,FALSE)=0,VLOOKUP($D109,Table15[],18,FALSE),(VLOOKUP($A109,Table26[],16,FALSE)))</f>
        <v>0.32518788248019864</v>
      </c>
      <c r="S109" s="126">
        <f>IF(VLOOKUP($A109,Table26[],9,FALSE)=0,VLOOKUP($D109,Table15[],19,FALSE),(VLOOKUP($A109,Table26[],9,FALSE)))</f>
        <v>7.4347121537434698E-3</v>
      </c>
      <c r="T109" s="126">
        <f>IF(VLOOKUP($A109,Table26[],8,FALSE)=0,VLOOKUP($D109,Table15[],20,FALSE),(VLOOKUP($A109,Table26[],8,FALSE)))</f>
        <v>1.1300762473690074E-2</v>
      </c>
      <c r="U109" s="126">
        <f>IF(VLOOKUP($A109,Table26[],10,FALSE)=0,VLOOKUP($D109,Table15[],21,FALSE),(VLOOKUP($A109,Table26[],10,FALSE)))</f>
        <v>2.9738848614973879E-2</v>
      </c>
      <c r="V109" s="126">
        <f>VLOOKUP($F109,vaccine_costs!$AH$6:$AK$11,2,FALSE)</f>
        <v>4.07</v>
      </c>
      <c r="W109" s="126">
        <f>IF(VLOOKUP($A109,tordrup[],5,FALSE)=0,VLOOKUP($D109,Table15[],23,FALSE),VLOOKUP($A109,tordrup[],5,FALSE))</f>
        <v>31.368109221432654</v>
      </c>
      <c r="X109" s="126">
        <f>IF(VLOOKUP($A109,tordrup[],6,FALSE)=0,VLOOKUP($D109,Table15[],24,FALSE),VLOOKUP($A109,tordrup[],6,FALSE))</f>
        <v>60.588109221432653</v>
      </c>
      <c r="Y109" s="126">
        <f>IF(VLOOKUP($A109,tordrup[],7,FALSE)=0,VLOOKUP($D109,Table15[],25,FALSE),VLOOKUP($A109,tordrup[],7,FALSE))</f>
        <v>103.72759630568413</v>
      </c>
      <c r="Z109" s="126">
        <f>IF(VLOOKUP($A109,tordrup[],8,FALSE)=0,VLOOKUP($D109,Table15[],26,FALSE),VLOOKUP($A109,tordrup[],8,FALSE))</f>
        <v>96.537681791642228</v>
      </c>
      <c r="AA109" s="126">
        <v>82.4</v>
      </c>
      <c r="AB109" s="126">
        <v>408.79</v>
      </c>
      <c r="AC109" s="126">
        <v>2415.5</v>
      </c>
      <c r="AD109" s="126">
        <v>5434.91</v>
      </c>
      <c r="AF109" s="126">
        <v>0</v>
      </c>
      <c r="AG109" s="126">
        <v>3705.9180581736682</v>
      </c>
      <c r="AH109" s="126">
        <v>7411.8361163473364</v>
      </c>
      <c r="AI109" s="126">
        <v>22235.508349042007</v>
      </c>
      <c r="AJ109" s="33" t="str">
        <f>IF(VLOOKUP($A109,lmic_raw[],11,FALSE)=0, "Yes", "No")</f>
        <v>No</v>
      </c>
    </row>
    <row r="110" spans="1:36" x14ac:dyDescent="0.25">
      <c r="A110" s="109" t="s">
        <v>153</v>
      </c>
      <c r="D110" s="82" t="s">
        <v>677</v>
      </c>
      <c r="F110" s="82" t="s">
        <v>667</v>
      </c>
      <c r="I110" s="126">
        <f>IF(VLOOKUP($A110,portnoy[],3,FALSE)=0, VLOOKUP($D110,Table15[],9,FALSE),VLOOKUP($A110,portnoy[],3,FALSE))</f>
        <v>2.2763</v>
      </c>
      <c r="J110" s="126">
        <f>sens_costs_regions!J$2</f>
        <v>0.36202199312714778</v>
      </c>
      <c r="K110" s="126">
        <f>sens_costs_regions!K$2</f>
        <v>0.41792411616161618</v>
      </c>
      <c r="L110" s="126">
        <f>sens_costs_regions!L$2</f>
        <v>0.48333918128654974</v>
      </c>
      <c r="M110" s="126">
        <f>sens_costs_regions!M$2</f>
        <v>0.5718158075601375</v>
      </c>
      <c r="N110" s="126">
        <f>sens_costs_regions!N$2</f>
        <v>0.65679722222222237</v>
      </c>
      <c r="O110" s="126">
        <f>sens_costs_regions!O$2</f>
        <v>0.7491286549707602</v>
      </c>
      <c r="P110" s="126">
        <f>IF(VLOOKUP($A110,Table26[],6,FALSE)=0,VLOOKUP($D110,Table15[],16,FALSE),(VLOOKUP($A110,Table26[],6,FALSE)))</f>
        <v>2.6623198875204272E-3</v>
      </c>
      <c r="Q110" s="126">
        <f>IF(VLOOKUP($A110,Table26[],5,FALSE)=0,VLOOKUP($D110,Table15[],17,FALSE),(VLOOKUP($A110,Table26[],5,FALSE)))</f>
        <v>4.046726229031049E-3</v>
      </c>
      <c r="R110" s="126">
        <f>IF(VLOOKUP($A110,Table26[],16,FALSE)=0,VLOOKUP($D110,Table15[],18,FALSE),(VLOOKUP($A110,Table26[],16,FALSE)))</f>
        <v>6.3895677300490256E-2</v>
      </c>
      <c r="S110" s="126">
        <f>IF(VLOOKUP($A110,Table26[],9,FALSE)=0,VLOOKUP($D110,Table15[],19,FALSE),(VLOOKUP($A110,Table26[],9,FALSE)))</f>
        <v>1.5060759624048691E-3</v>
      </c>
      <c r="T110" s="126">
        <f>IF(VLOOKUP($A110,Table26[],8,FALSE)=0,VLOOKUP($D110,Table15[],20,FALSE),(VLOOKUP($A110,Table26[],8,FALSE)))</f>
        <v>2.2892354628554008E-3</v>
      </c>
      <c r="U110" s="126">
        <f>IF(VLOOKUP($A110,Table26[],10,FALSE)=0,VLOOKUP($D110,Table15[],21,FALSE),(VLOOKUP($A110,Table26[],10,FALSE)))</f>
        <v>6.0243038496194763E-3</v>
      </c>
      <c r="V110" s="126">
        <f>VLOOKUP($F110,vaccine_costs!$AH$6:$AK$11,2,FALSE)</f>
        <v>4.83</v>
      </c>
      <c r="W110" s="126">
        <f>IF(VLOOKUP($A110,tordrup[],5,FALSE)=0,VLOOKUP($D110,Table15[],23,FALSE),VLOOKUP($A110,tordrup[],5,FALSE))</f>
        <v>24.03303622396183</v>
      </c>
      <c r="X110" s="126">
        <f>IF(VLOOKUP($A110,tordrup[],6,FALSE)=0,VLOOKUP($D110,Table15[],24,FALSE),VLOOKUP($A110,tordrup[],6,FALSE))</f>
        <v>53.253036223961828</v>
      </c>
      <c r="Y110" s="126">
        <f>IF(VLOOKUP($A110,tordrup[],7,FALSE)=0,VLOOKUP($D110,Table15[],25,FALSE),VLOOKUP($A110,tordrup[],7,FALSE))</f>
        <v>55.039090891695501</v>
      </c>
      <c r="Z110" s="126">
        <f>IF(VLOOKUP($A110,tordrup[],8,FALSE)=0,VLOOKUP($D110,Table15[],26,FALSE),VLOOKUP($A110,tordrup[],8,FALSE))</f>
        <v>54.74141511373989</v>
      </c>
      <c r="AA110" s="126">
        <v>82.4</v>
      </c>
      <c r="AB110" s="126">
        <v>408.79</v>
      </c>
      <c r="AC110" s="126">
        <v>2415.5</v>
      </c>
      <c r="AD110" s="126">
        <v>5434.91</v>
      </c>
      <c r="AF110" s="126">
        <v>117.17562540657211</v>
      </c>
      <c r="AG110" s="126">
        <v>263.76681719955542</v>
      </c>
      <c r="AH110" s="126">
        <v>527.53363439911084</v>
      </c>
      <c r="AI110" s="126">
        <v>1582.6009031973326</v>
      </c>
      <c r="AJ110" s="33" t="str">
        <f>IF(VLOOKUP($A110,lmic_raw[],11,FALSE)=0, "Yes", "No")</f>
        <v>Yes</v>
      </c>
    </row>
    <row r="111" spans="1:36" x14ac:dyDescent="0.25">
      <c r="A111" s="110" t="s">
        <v>284</v>
      </c>
      <c r="D111" s="84" t="s">
        <v>681</v>
      </c>
      <c r="F111" s="84" t="s">
        <v>666</v>
      </c>
      <c r="I111" s="126">
        <f>IF(VLOOKUP($A111,portnoy[],3,FALSE)=0, VLOOKUP($D111,Table15[],9,FALSE),VLOOKUP($A111,portnoy[],3,FALSE))</f>
        <v>4.7791999999999994</v>
      </c>
      <c r="J111" s="126">
        <f>sens_costs_regions!J$2</f>
        <v>0.36202199312714778</v>
      </c>
      <c r="K111" s="126">
        <f>sens_costs_regions!K$2</f>
        <v>0.41792411616161618</v>
      </c>
      <c r="L111" s="126">
        <f>sens_costs_regions!L$2</f>
        <v>0.48333918128654974</v>
      </c>
      <c r="M111" s="126">
        <f>sens_costs_regions!M$2</f>
        <v>0.5718158075601375</v>
      </c>
      <c r="N111" s="126">
        <f>sens_costs_regions!N$2</f>
        <v>0.65679722222222237</v>
      </c>
      <c r="O111" s="126">
        <f>sens_costs_regions!O$2</f>
        <v>0.7491286549707602</v>
      </c>
      <c r="P111" s="126">
        <f>IF(VLOOKUP($A111,Table26[],6,FALSE)=0,VLOOKUP($D111,Table15[],16,FALSE),(VLOOKUP($A111,Table26[],6,FALSE)))</f>
        <v>7.827942819900225E-3</v>
      </c>
      <c r="Q111" s="126">
        <f>IF(VLOOKUP($A111,Table26[],5,FALSE)=0,VLOOKUP($D111,Table15[],17,FALSE),(VLOOKUP($A111,Table26[],5,FALSE)))</f>
        <v>1.1898473086248341E-2</v>
      </c>
      <c r="R111" s="126">
        <f>IF(VLOOKUP($A111,Table26[],16,FALSE)=0,VLOOKUP($D111,Table15[],18,FALSE),(VLOOKUP($A111,Table26[],16,FALSE)))</f>
        <v>0.1878706276776054</v>
      </c>
      <c r="S111" s="126">
        <f>IF(VLOOKUP($A111,Table26[],9,FALSE)=0,VLOOKUP($D111,Table15[],19,FALSE),(VLOOKUP($A111,Table26[],9,FALSE)))</f>
        <v>4.3956156859736228E-3</v>
      </c>
      <c r="T111" s="126">
        <f>IF(VLOOKUP($A111,Table26[],8,FALSE)=0,VLOOKUP($D111,Table15[],20,FALSE),(VLOOKUP($A111,Table26[],8,FALSE)))</f>
        <v>6.6813358426799059E-3</v>
      </c>
      <c r="U111" s="126">
        <f>IF(VLOOKUP($A111,Table26[],10,FALSE)=0,VLOOKUP($D111,Table15[],21,FALSE),(VLOOKUP($A111,Table26[],10,FALSE)))</f>
        <v>1.7582462743894491E-2</v>
      </c>
      <c r="V111" s="126">
        <f>VLOOKUP($F111,vaccine_costs!$AH$6:$AK$11,2,FALSE)</f>
        <v>0.63</v>
      </c>
      <c r="W111" s="126">
        <f>IF(VLOOKUP($A111,tordrup[],5,FALSE)=0,VLOOKUP($D111,Table15[],23,FALSE),VLOOKUP($A111,tordrup[],5,FALSE))</f>
        <v>27.202072616073011</v>
      </c>
      <c r="X111" s="126">
        <f>IF(VLOOKUP($A111,tordrup[],6,FALSE)=0,VLOOKUP($D111,Table15[],24,FALSE),VLOOKUP($A111,tordrup[],6,FALSE))</f>
        <v>56.422072616073009</v>
      </c>
      <c r="Y111" s="126">
        <f>IF(VLOOKUP($A111,tordrup[],7,FALSE)=0,VLOOKUP($D111,Table15[],25,FALSE),VLOOKUP($A111,tordrup[],7,FALSE))</f>
        <v>68.947956009521008</v>
      </c>
      <c r="Z111" s="126">
        <f>IF(VLOOKUP($A111,tordrup[],8,FALSE)=0,VLOOKUP($D111,Table15[],26,FALSE),VLOOKUP($A111,tordrup[],8,FALSE))</f>
        <v>66.86030877727967</v>
      </c>
      <c r="AA111" s="126">
        <v>82.4</v>
      </c>
      <c r="AB111" s="126">
        <v>408.79</v>
      </c>
      <c r="AC111" s="126">
        <v>2415.5</v>
      </c>
      <c r="AD111" s="126">
        <v>5434.91</v>
      </c>
      <c r="AF111" s="126">
        <v>0</v>
      </c>
      <c r="AG111" s="126">
        <v>1186.8162352128782</v>
      </c>
      <c r="AH111" s="126">
        <v>2373.6324704257563</v>
      </c>
      <c r="AI111" s="126">
        <v>7120.8974112772685</v>
      </c>
      <c r="AJ111" s="33" t="str">
        <f>IF(VLOOKUP($A111,lmic_raw[],11,FALSE)=0, "Yes", "No")</f>
        <v>No</v>
      </c>
    </row>
    <row r="112" spans="1:36" x14ac:dyDescent="0.25">
      <c r="A112" s="109" t="s">
        <v>115</v>
      </c>
      <c r="D112" s="82" t="s">
        <v>673</v>
      </c>
      <c r="F112" s="82" t="s">
        <v>667</v>
      </c>
      <c r="I112" s="126">
        <f>IF(VLOOKUP($A112,portnoy[],3,FALSE)=0, VLOOKUP($D112,Table15[],9,FALSE),VLOOKUP($A112,portnoy[],3,FALSE))</f>
        <v>0.49440000000000001</v>
      </c>
      <c r="J112" s="126">
        <f>sens_costs_regions!J$2</f>
        <v>0.36202199312714778</v>
      </c>
      <c r="K112" s="126">
        <f>sens_costs_regions!K$2</f>
        <v>0.41792411616161618</v>
      </c>
      <c r="L112" s="126">
        <f>sens_costs_regions!L$2</f>
        <v>0.48333918128654974</v>
      </c>
      <c r="M112" s="126">
        <f>sens_costs_regions!M$2</f>
        <v>0.5718158075601375</v>
      </c>
      <c r="N112" s="126">
        <f>sens_costs_regions!N$2</f>
        <v>0.65679722222222237</v>
      </c>
      <c r="O112" s="126">
        <f>sens_costs_regions!O$2</f>
        <v>0.7491286549707602</v>
      </c>
      <c r="P112" s="126">
        <f>IF(VLOOKUP($A112,Table26[],6,FALSE)=0,VLOOKUP($D112,Table15[],16,FALSE),(VLOOKUP($A112,Table26[],6,FALSE)))</f>
        <v>6.5014925577412772E-4</v>
      </c>
      <c r="Q112" s="126">
        <f>IF(VLOOKUP($A112,Table26[],5,FALSE)=0,VLOOKUP($D112,Table15[],17,FALSE),(VLOOKUP($A112,Table26[],5,FALSE)))</f>
        <v>9.8822686877667412E-4</v>
      </c>
      <c r="R112" s="126">
        <f>IF(VLOOKUP($A112,Table26[],16,FALSE)=0,VLOOKUP($D112,Table15[],18,FALSE),(VLOOKUP($A112,Table26[],16,FALSE)))</f>
        <v>1.5603582138579066E-2</v>
      </c>
      <c r="S112" s="126">
        <f>IF(VLOOKUP($A112,Table26[],9,FALSE)=0,VLOOKUP($D112,Table15[],19,FALSE),(VLOOKUP($A112,Table26[],9,FALSE)))</f>
        <v>3.6236281327736757E-4</v>
      </c>
      <c r="T112" s="126">
        <f>IF(VLOOKUP($A112,Table26[],8,FALSE)=0,VLOOKUP($D112,Table15[],20,FALSE),(VLOOKUP($A112,Table26[],8,FALSE)))</f>
        <v>5.5079147618159862E-4</v>
      </c>
      <c r="U112" s="126">
        <f>IF(VLOOKUP($A112,Table26[],10,FALSE)=0,VLOOKUP($D112,Table15[],21,FALSE),(VLOOKUP($A112,Table26[],10,FALSE)))</f>
        <v>1.4494512531094703E-3</v>
      </c>
      <c r="V112" s="126">
        <f>VLOOKUP($F112,vaccine_costs!$AH$6:$AK$11,2,FALSE)</f>
        <v>4.83</v>
      </c>
      <c r="W112" s="126">
        <f>IF(VLOOKUP($A112,tordrup[],5,FALSE)=0,VLOOKUP($D112,Table15[],23,FALSE),VLOOKUP($A112,tordrup[],5,FALSE))</f>
        <v>27.946124842166366</v>
      </c>
      <c r="X112" s="126">
        <f>IF(VLOOKUP($A112,tordrup[],6,FALSE)=0,VLOOKUP($D112,Table15[],24,FALSE),VLOOKUP($A112,tordrup[],6,FALSE))</f>
        <v>57.166124842166361</v>
      </c>
      <c r="Y112" s="126">
        <f>IF(VLOOKUP($A112,tordrup[],7,FALSE)=0,VLOOKUP($D112,Table15[],25,FALSE),VLOOKUP($A112,tordrup[],7,FALSE))</f>
        <v>81.511557031470105</v>
      </c>
      <c r="Z112" s="126">
        <f>IF(VLOOKUP($A112,tordrup[],8,FALSE)=0,VLOOKUP($D112,Table15[],26,FALSE),VLOOKUP($A112,tordrup[],8,FALSE))</f>
        <v>77.453984999919484</v>
      </c>
      <c r="AA112" s="126">
        <v>82.4</v>
      </c>
      <c r="AB112" s="126">
        <v>408.79</v>
      </c>
      <c r="AC112" s="126">
        <v>2415.5</v>
      </c>
      <c r="AD112" s="126">
        <v>5434.91</v>
      </c>
      <c r="AF112" s="126">
        <v>0</v>
      </c>
      <c r="AG112" s="126">
        <v>63.462460271279511</v>
      </c>
      <c r="AH112" s="126">
        <v>126.92492054255902</v>
      </c>
      <c r="AI112" s="126">
        <v>380.77476162767709</v>
      </c>
      <c r="AJ112" s="33" t="str">
        <f>IF(VLOOKUP($A112,lmic_raw[],11,FALSE)=0, "Yes", "No")</f>
        <v>Yes</v>
      </c>
    </row>
    <row r="113" spans="1:36" x14ac:dyDescent="0.25">
      <c r="A113" s="110" t="s">
        <v>136</v>
      </c>
      <c r="D113" s="84" t="s">
        <v>677</v>
      </c>
      <c r="F113" s="84" t="s">
        <v>667</v>
      </c>
      <c r="I113" s="126">
        <f>IF(VLOOKUP($A113,portnoy[],3,FALSE)=0, VLOOKUP($D113,Table15[],9,FALSE),VLOOKUP($A113,portnoy[],3,FALSE))</f>
        <v>1.8025</v>
      </c>
      <c r="J113" s="126">
        <f>sens_costs_regions!J$2</f>
        <v>0.36202199312714778</v>
      </c>
      <c r="K113" s="126">
        <f>sens_costs_regions!K$2</f>
        <v>0.41792411616161618</v>
      </c>
      <c r="L113" s="126">
        <f>sens_costs_regions!L$2</f>
        <v>0.48333918128654974</v>
      </c>
      <c r="M113" s="126">
        <f>sens_costs_regions!M$2</f>
        <v>0.5718158075601375</v>
      </c>
      <c r="N113" s="126">
        <f>sens_costs_regions!N$2</f>
        <v>0.65679722222222237</v>
      </c>
      <c r="O113" s="126">
        <f>sens_costs_regions!O$2</f>
        <v>0.7491286549707602</v>
      </c>
      <c r="P113" s="126">
        <f>IF(VLOOKUP($A113,Table26[],6,FALSE)=0,VLOOKUP($D113,Table15[],16,FALSE),(VLOOKUP($A113,Table26[],6,FALSE)))</f>
        <v>1.1134420996825508E-2</v>
      </c>
      <c r="Q113" s="126">
        <f>IF(VLOOKUP($A113,Table26[],5,FALSE)=0,VLOOKUP($D113,Table15[],17,FALSE),(VLOOKUP($A113,Table26[],5,FALSE)))</f>
        <v>1.6924319915174773E-2</v>
      </c>
      <c r="R113" s="126">
        <f>IF(VLOOKUP($A113,Table26[],16,FALSE)=0,VLOOKUP($D113,Table15[],18,FALSE),(VLOOKUP($A113,Table26[],16,FALSE)))</f>
        <v>0.26722610392381224</v>
      </c>
      <c r="S113" s="126">
        <f>IF(VLOOKUP($A113,Table26[],9,FALSE)=0,VLOOKUP($D113,Table15[],19,FALSE),(VLOOKUP($A113,Table26[],9,FALSE)))</f>
        <v>6.0199236559672449E-3</v>
      </c>
      <c r="T113" s="126">
        <f>IF(VLOOKUP($A113,Table26[],8,FALSE)=0,VLOOKUP($D113,Table15[],20,FALSE),(VLOOKUP($A113,Table26[],8,FALSE)))</f>
        <v>9.1502839570702117E-3</v>
      </c>
      <c r="U113" s="126">
        <f>IF(VLOOKUP($A113,Table26[],10,FALSE)=0,VLOOKUP($D113,Table15[],21,FALSE),(VLOOKUP($A113,Table26[],10,FALSE)))</f>
        <v>2.4079694623868979E-2</v>
      </c>
      <c r="V113" s="126">
        <f>VLOOKUP($F113,vaccine_costs!$AH$6:$AK$11,2,FALSE)</f>
        <v>4.83</v>
      </c>
      <c r="W113" s="126">
        <f>IF(VLOOKUP($A113,tordrup[],5,FALSE)=0,VLOOKUP($D113,Table15[],23,FALSE),VLOOKUP($A113,tordrup[],5,FALSE))</f>
        <v>33.836871654238372</v>
      </c>
      <c r="X113" s="126">
        <f>IF(VLOOKUP($A113,tordrup[],6,FALSE)=0,VLOOKUP($D113,Table15[],24,FALSE),VLOOKUP($A113,tordrup[],6,FALSE))</f>
        <v>63.056871654238371</v>
      </c>
      <c r="Y113" s="126">
        <f>IF(VLOOKUP($A113,tordrup[],7,FALSE)=0,VLOOKUP($D113,Table15[],25,FALSE),VLOOKUP($A113,tordrup[],7,FALSE))</f>
        <v>117.76654621323826</v>
      </c>
      <c r="Z113" s="126">
        <f>IF(VLOOKUP($A113,tordrup[],8,FALSE)=0,VLOOKUP($D113,Table15[],26,FALSE),VLOOKUP($A113,tordrup[],8,FALSE))</f>
        <v>108.64826712007161</v>
      </c>
      <c r="AA113" s="126">
        <v>82.4</v>
      </c>
      <c r="AB113" s="126">
        <v>408.79</v>
      </c>
      <c r="AC113" s="126">
        <v>2415.5</v>
      </c>
      <c r="AD113" s="126">
        <v>5434.91</v>
      </c>
      <c r="AF113" s="126">
        <v>2797.2428301983355</v>
      </c>
      <c r="AG113" s="126">
        <v>3000.7004069744421</v>
      </c>
      <c r="AH113" s="126">
        <v>6001.4008139488842</v>
      </c>
      <c r="AI113" s="126">
        <v>18004.202441846654</v>
      </c>
      <c r="AJ113" s="33" t="str">
        <f>IF(VLOOKUP($A113,lmic_raw[],11,FALSE)=0, "Yes", "No")</f>
        <v>Yes</v>
      </c>
    </row>
    <row r="114" spans="1:36" x14ac:dyDescent="0.25">
      <c r="A114" s="109" t="s">
        <v>116</v>
      </c>
      <c r="D114" s="82" t="s">
        <v>677</v>
      </c>
      <c r="F114" s="82" t="s">
        <v>667</v>
      </c>
      <c r="I114" s="126">
        <f>IF(VLOOKUP($A114,portnoy[],3,FALSE)=0, VLOOKUP($D114,Table15[],9,FALSE),VLOOKUP($A114,portnoy[],3,FALSE))</f>
        <v>0.69010000000000005</v>
      </c>
      <c r="J114" s="126">
        <f>sens_costs_regions!J$2</f>
        <v>0.36202199312714778</v>
      </c>
      <c r="K114" s="126">
        <f>sens_costs_regions!K$2</f>
        <v>0.41792411616161618</v>
      </c>
      <c r="L114" s="126">
        <f>sens_costs_regions!L$2</f>
        <v>0.48333918128654974</v>
      </c>
      <c r="M114" s="126">
        <f>sens_costs_regions!M$2</f>
        <v>0.5718158075601375</v>
      </c>
      <c r="N114" s="126">
        <f>sens_costs_regions!N$2</f>
        <v>0.65679722222222237</v>
      </c>
      <c r="O114" s="126">
        <f>sens_costs_regions!O$2</f>
        <v>0.7491286549707602</v>
      </c>
      <c r="P114" s="126">
        <f>IF(VLOOKUP($A114,Table26[],6,FALSE)=0,VLOOKUP($D114,Table15[],16,FALSE),(VLOOKUP($A114,Table26[],6,FALSE)))</f>
        <v>6.6340409316318202E-3</v>
      </c>
      <c r="Q114" s="126">
        <f>IF(VLOOKUP($A114,Table26[],5,FALSE)=0,VLOOKUP($D114,Table15[],17,FALSE),(VLOOKUP($A114,Table26[],5,FALSE)))</f>
        <v>1.0083742216080365E-2</v>
      </c>
      <c r="R114" s="126">
        <f>IF(VLOOKUP($A114,Table26[],16,FALSE)=0,VLOOKUP($D114,Table15[],18,FALSE),(VLOOKUP($A114,Table26[],16,FALSE)))</f>
        <v>0.15921698235916373</v>
      </c>
      <c r="S114" s="126">
        <f>IF(VLOOKUP($A114,Table26[],9,FALSE)=0,VLOOKUP($D114,Table15[],19,FALSE),(VLOOKUP($A114,Table26[],9,FALSE)))</f>
        <v>3.5461185195965945E-3</v>
      </c>
      <c r="T114" s="126">
        <f>IF(VLOOKUP($A114,Table26[],8,FALSE)=0,VLOOKUP($D114,Table15[],20,FALSE),(VLOOKUP($A114,Table26[],8,FALSE)))</f>
        <v>5.3901001497868237E-3</v>
      </c>
      <c r="U114" s="126">
        <f>IF(VLOOKUP($A114,Table26[],10,FALSE)=0,VLOOKUP($D114,Table15[],21,FALSE),(VLOOKUP($A114,Table26[],10,FALSE)))</f>
        <v>8.5106844470318258E-2</v>
      </c>
      <c r="V114" s="126">
        <f>VLOOKUP($F114,vaccine_costs!$AH$6:$AK$11,2,FALSE)</f>
        <v>4.83</v>
      </c>
      <c r="W114" s="126">
        <f>IF(VLOOKUP($A114,tordrup[],5,FALSE)=0,VLOOKUP($D114,Table15[],23,FALSE),VLOOKUP($A114,tordrup[],5,FALSE))</f>
        <v>26.044512197590766</v>
      </c>
      <c r="X114" s="126">
        <f>IF(VLOOKUP($A114,tordrup[],6,FALSE)=0,VLOOKUP($D114,Table15[],24,FALSE),VLOOKUP($A114,tordrup[],6,FALSE))</f>
        <v>55.264512197590776</v>
      </c>
      <c r="Y114" s="126">
        <f>IF(VLOOKUP($A114,tordrup[],7,FALSE)=0,VLOOKUP($D114,Table15[],25,FALSE),VLOOKUP($A114,tordrup[],7,FALSE))</f>
        <v>66.30770473986702</v>
      </c>
      <c r="Z114" s="126">
        <f>IF(VLOOKUP($A114,tordrup[],8,FALSE)=0,VLOOKUP($D114,Table15[],26,FALSE),VLOOKUP($A114,tordrup[],8,FALSE))</f>
        <v>64.467172649487651</v>
      </c>
      <c r="AA114" s="126">
        <v>82.4</v>
      </c>
      <c r="AB114" s="126">
        <v>408.79</v>
      </c>
      <c r="AC114" s="126">
        <v>2415.5</v>
      </c>
      <c r="AD114" s="126">
        <v>5434.91</v>
      </c>
      <c r="AF114" s="126">
        <v>0</v>
      </c>
      <c r="AG114" s="126">
        <v>559.85</v>
      </c>
      <c r="AH114" s="126">
        <v>1119.7</v>
      </c>
      <c r="AI114" s="126">
        <v>3359.1000000000004</v>
      </c>
      <c r="AJ114" s="33" t="str">
        <f>IF(VLOOKUP($A114,lmic_raw[],11,FALSE)=0, "Yes", "No")</f>
        <v>Yes</v>
      </c>
    </row>
    <row r="115" spans="1:36" x14ac:dyDescent="0.25">
      <c r="A115" s="110" t="s">
        <v>199</v>
      </c>
      <c r="D115" s="84" t="s">
        <v>680</v>
      </c>
      <c r="F115" s="84" t="s">
        <v>666</v>
      </c>
      <c r="I115" s="126">
        <f>IF(VLOOKUP($A115,portnoy[],3,FALSE)=0, VLOOKUP($D115,Table15[],9,FALSE),VLOOKUP($A115,portnoy[],3,FALSE))</f>
        <v>4.1818</v>
      </c>
      <c r="J115" s="126">
        <f>sens_costs_regions!J$2</f>
        <v>0.36202199312714778</v>
      </c>
      <c r="K115" s="126">
        <f>sens_costs_regions!K$2</f>
        <v>0.41792411616161618</v>
      </c>
      <c r="L115" s="126">
        <f>sens_costs_regions!L$2</f>
        <v>0.48333918128654974</v>
      </c>
      <c r="M115" s="126">
        <f>sens_costs_regions!M$2</f>
        <v>0.5718158075601375</v>
      </c>
      <c r="N115" s="126">
        <f>sens_costs_regions!N$2</f>
        <v>0.65679722222222237</v>
      </c>
      <c r="O115" s="126">
        <f>sens_costs_regions!O$2</f>
        <v>0.7491286549707602</v>
      </c>
      <c r="P115" s="126">
        <f>IF(VLOOKUP($A115,Table26[],6,FALSE)=0,VLOOKUP($D115,Table15[],16,FALSE),(VLOOKUP($A115,Table26[],6,FALSE)))</f>
        <v>7.0094707395441476E-3</v>
      </c>
      <c r="Q115" s="126">
        <f>IF(VLOOKUP($A115,Table26[],5,FALSE)=0,VLOOKUP($D115,Table15[],17,FALSE),(VLOOKUP($A115,Table26[],5,FALSE)))</f>
        <v>1.0654395524107102E-2</v>
      </c>
      <c r="R115" s="126">
        <f>IF(VLOOKUP($A115,Table26[],16,FALSE)=0,VLOOKUP($D115,Table15[],18,FALSE),(VLOOKUP($A115,Table26[],16,FALSE)))</f>
        <v>0.16822729774905953</v>
      </c>
      <c r="S115" s="126">
        <f>IF(VLOOKUP($A115,Table26[],9,FALSE)=0,VLOOKUP($D115,Table15[],19,FALSE),(VLOOKUP($A115,Table26[],9,FALSE)))</f>
        <v>3.8649759265094483E-3</v>
      </c>
      <c r="T115" s="126">
        <f>IF(VLOOKUP($A115,Table26[],8,FALSE)=0,VLOOKUP($D115,Table15[],20,FALSE),(VLOOKUP($A115,Table26[],8,FALSE)))</f>
        <v>5.8747634082943609E-3</v>
      </c>
      <c r="U115" s="126">
        <f>IF(VLOOKUP($A115,Table26[],10,FALSE)=0,VLOOKUP($D115,Table15[],21,FALSE),(VLOOKUP($A115,Table26[],10,FALSE)))</f>
        <v>1.5459903706037793E-2</v>
      </c>
      <c r="V115" s="126">
        <f>VLOOKUP($F115,vaccine_costs!$AH$6:$AK$11,2,FALSE)</f>
        <v>0.63</v>
      </c>
      <c r="W115" s="126">
        <f>IF(VLOOKUP($A115,tordrup[],5,FALSE)=0,VLOOKUP($D115,Table15[],23,FALSE),VLOOKUP($A115,tordrup[],5,FALSE))</f>
        <v>26.16946525235139</v>
      </c>
      <c r="X115" s="126">
        <f>IF(VLOOKUP($A115,tordrup[],6,FALSE)=0,VLOOKUP($D115,Table15[],24,FALSE),VLOOKUP($A115,tordrup[],6,FALSE))</f>
        <v>55.389465252351386</v>
      </c>
      <c r="Y115" s="126">
        <f>IF(VLOOKUP($A115,tordrup[],7,FALSE)=0,VLOOKUP($D115,Table15[],25,FALSE),VLOOKUP($A115,tordrup[],7,FALSE))</f>
        <v>67.171159200910353</v>
      </c>
      <c r="Z115" s="126">
        <f>IF(VLOOKUP($A115,tordrup[],8,FALSE)=0,VLOOKUP($D115,Table15[],26,FALSE),VLOOKUP($A115,tordrup[],8,FALSE))</f>
        <v>65.207543542817191</v>
      </c>
      <c r="AA115" s="126">
        <v>82.4</v>
      </c>
      <c r="AB115" s="126">
        <v>408.79</v>
      </c>
      <c r="AC115" s="126">
        <v>2415.5</v>
      </c>
      <c r="AD115" s="126">
        <v>5434.91</v>
      </c>
      <c r="AF115" s="126">
        <v>1617.8139448113309</v>
      </c>
      <c r="AG115" s="126">
        <v>1926.5418464447096</v>
      </c>
      <c r="AH115" s="126">
        <v>3853.0836928894191</v>
      </c>
      <c r="AI115" s="126">
        <v>11559.251078668258</v>
      </c>
      <c r="AJ115" s="33" t="str">
        <f>IF(VLOOKUP($A115,lmic_raw[],11,FALSE)=0, "Yes", "No")</f>
        <v>Yes</v>
      </c>
    </row>
    <row r="116" spans="1:36" x14ac:dyDescent="0.25">
      <c r="A116" s="109" t="s">
        <v>647</v>
      </c>
      <c r="D116" s="82" t="s">
        <v>673</v>
      </c>
      <c r="F116" s="82" t="s">
        <v>667</v>
      </c>
      <c r="I116" s="126">
        <f>IF(VLOOKUP($A116,portnoy[],3,FALSE)=0, VLOOKUP($D116,Table15[],9,FALSE),VLOOKUP($A116,portnoy[],3,FALSE))</f>
        <v>2.0394000000000001</v>
      </c>
      <c r="J116" s="126">
        <f>sens_costs_regions!J$2</f>
        <v>0.36202199312714778</v>
      </c>
      <c r="K116" s="126">
        <f>sens_costs_regions!K$2</f>
        <v>0.41792411616161618</v>
      </c>
      <c r="L116" s="126">
        <f>sens_costs_regions!L$2</f>
        <v>0.48333918128654974</v>
      </c>
      <c r="M116" s="126">
        <f>sens_costs_regions!M$2</f>
        <v>0.5718158075601375</v>
      </c>
      <c r="N116" s="126">
        <f>sens_costs_regions!N$2</f>
        <v>0.65679722222222237</v>
      </c>
      <c r="O116" s="126">
        <f>sens_costs_regions!O$2</f>
        <v>0.7491286549707602</v>
      </c>
      <c r="P116" s="126">
        <f>IF(VLOOKUP($A116,Table26[],6,FALSE)=0,VLOOKUP($D116,Table15[],16,FALSE),(VLOOKUP($A116,Table26[],6,FALSE)))</f>
        <v>1.5147440589476375E-3</v>
      </c>
      <c r="Q116" s="126">
        <f>IF(VLOOKUP($A116,Table26[],5,FALSE)=0,VLOOKUP($D116,Table15[],17,FALSE),(VLOOKUP($A116,Table26[],5,FALSE)))</f>
        <v>2.3024109696004086E-3</v>
      </c>
      <c r="R116" s="126">
        <f>IF(VLOOKUP($A116,Table26[],16,FALSE)=0,VLOOKUP($D116,Table15[],18,FALSE),(VLOOKUP($A116,Table26[],16,FALSE)))</f>
        <v>3.6353857414743299E-2</v>
      </c>
      <c r="S116" s="126">
        <f>IF(VLOOKUP($A116,Table26[],9,FALSE)=0,VLOOKUP($D116,Table15[],19,FALSE),(VLOOKUP($A116,Table26[],9,FALSE)))</f>
        <v>8.1760296921200737E-4</v>
      </c>
      <c r="T116" s="126">
        <f>IF(VLOOKUP($A116,Table26[],8,FALSE)=0,VLOOKUP($D116,Table15[],20,FALSE),(VLOOKUP($A116,Table26[],8,FALSE)))</f>
        <v>1.2427565132022511E-3</v>
      </c>
      <c r="U116" s="126">
        <f>IF(VLOOKUP($A116,Table26[],10,FALSE)=0,VLOOKUP($D116,Table15[],21,FALSE),(VLOOKUP($A116,Table26[],10,FALSE)))</f>
        <v>3.2704118768480295E-3</v>
      </c>
      <c r="V116" s="126">
        <f>VLOOKUP($F116,vaccine_costs!$AH$6:$AK$11,2,FALSE)</f>
        <v>4.83</v>
      </c>
      <c r="W116" s="126">
        <f>IF(VLOOKUP($A116,tordrup[],5,FALSE)=0,VLOOKUP($D116,Table15[],23,FALSE),VLOOKUP($A116,tordrup[],5,FALSE))</f>
        <v>25.409846042257325</v>
      </c>
      <c r="X116" s="126">
        <f>IF(VLOOKUP($A116,tordrup[],6,FALSE)=0,VLOOKUP($D116,Table15[],24,FALSE),VLOOKUP($A116,tordrup[],6,FALSE))</f>
        <v>54.629846042257327</v>
      </c>
      <c r="Y116" s="126">
        <f>IF(VLOOKUP($A116,tordrup[],7,FALSE)=0,VLOOKUP($D116,Table15[],25,FALSE),VLOOKUP($A116,tordrup[],7,FALSE))</f>
        <v>61.30405032694631</v>
      </c>
      <c r="Z116" s="126">
        <f>IF(VLOOKUP($A116,tordrup[],8,FALSE)=0,VLOOKUP($D116,Table15[],26,FALSE),VLOOKUP($A116,tordrup[],8,FALSE))</f>
        <v>60.191682946164818</v>
      </c>
      <c r="AA116" s="126">
        <v>82.4</v>
      </c>
      <c r="AB116" s="126">
        <v>408.79</v>
      </c>
      <c r="AC116" s="126">
        <v>2415.5</v>
      </c>
      <c r="AD116" s="126">
        <v>5434.91</v>
      </c>
      <c r="AF116" s="126">
        <v>333.22537651955565</v>
      </c>
      <c r="AG116" s="126">
        <v>220.752801687242</v>
      </c>
      <c r="AH116" s="126">
        <v>441.505603374484</v>
      </c>
      <c r="AI116" s="126">
        <v>1324.5168101234519</v>
      </c>
      <c r="AJ116" s="33" t="str">
        <f>IF(VLOOKUP($A116,lmic_raw[],11,FALSE)=0, "Yes", "No")</f>
        <v>Yes</v>
      </c>
    </row>
    <row r="117" spans="1:36" x14ac:dyDescent="0.25">
      <c r="A117" s="110" t="s">
        <v>273</v>
      </c>
      <c r="D117" s="84" t="s">
        <v>679</v>
      </c>
      <c r="F117" s="84" t="s">
        <v>665</v>
      </c>
      <c r="I117" s="126">
        <f>IF(VLOOKUP($A117,portnoy[],3,FALSE)=0, VLOOKUP($D117,Table15[],9,FALSE),VLOOKUP($A117,portnoy[],3,FALSE))</f>
        <v>8.8168000000000006</v>
      </c>
      <c r="J117" s="126">
        <f>sens_costs_regions!J$2</f>
        <v>0.36202199312714778</v>
      </c>
      <c r="K117" s="126">
        <f>sens_costs_regions!K$2</f>
        <v>0.41792411616161618</v>
      </c>
      <c r="L117" s="126">
        <f>sens_costs_regions!L$2</f>
        <v>0.48333918128654974</v>
      </c>
      <c r="M117" s="126">
        <f>sens_costs_regions!M$2</f>
        <v>0.5718158075601375</v>
      </c>
      <c r="N117" s="126">
        <f>sens_costs_regions!N$2</f>
        <v>0.65679722222222237</v>
      </c>
      <c r="O117" s="126">
        <f>sens_costs_regions!O$2</f>
        <v>0.7491286549707602</v>
      </c>
      <c r="P117" s="126">
        <f>IF(VLOOKUP($A117,Table26[],6,FALSE)=0,VLOOKUP($D117,Table15[],16,FALSE),(VLOOKUP($A117,Table26[],6,FALSE)))</f>
        <v>1.1544414106051233E-2</v>
      </c>
      <c r="Q117" s="126">
        <f>IF(VLOOKUP($A117,Table26[],5,FALSE)=0,VLOOKUP($D117,Table15[],17,FALSE),(VLOOKUP($A117,Table26[],5,FALSE)))</f>
        <v>1.7547509441197873E-2</v>
      </c>
      <c r="R117" s="126">
        <f>IF(VLOOKUP($A117,Table26[],16,FALSE)=0,VLOOKUP($D117,Table15[],18,FALSE),(VLOOKUP($A117,Table26[],16,FALSE)))</f>
        <v>0.2770659385452296</v>
      </c>
      <c r="S117" s="126">
        <f>IF(VLOOKUP($A117,Table26[],9,FALSE)=0,VLOOKUP($D117,Table15[],19,FALSE),(VLOOKUP($A117,Table26[],9,FALSE)))</f>
        <v>6.3794627305212804E-3</v>
      </c>
      <c r="T117" s="126">
        <f>IF(VLOOKUP($A117,Table26[],8,FALSE)=0,VLOOKUP($D117,Table15[],20,FALSE),(VLOOKUP($A117,Table26[],8,FALSE)))</f>
        <v>9.6967833503923458E-3</v>
      </c>
      <c r="U117" s="126">
        <f>IF(VLOOKUP($A117,Table26[],10,FALSE)=0,VLOOKUP($D117,Table15[],21,FALSE),(VLOOKUP($A117,Table26[],10,FALSE)))</f>
        <v>2.5517850922085122E-2</v>
      </c>
      <c r="V117" s="126">
        <f>VLOOKUP($F117,vaccine_costs!$AH$6:$AK$11,2,FALSE)</f>
        <v>0.02</v>
      </c>
      <c r="W117" s="126">
        <f>IF(VLOOKUP($A117,tordrup[],5,FALSE)=0,VLOOKUP($D117,Table15[],23,FALSE),VLOOKUP($A117,tordrup[],5,FALSE))</f>
        <v>31.296894920486338</v>
      </c>
      <c r="X117" s="126">
        <f>IF(VLOOKUP($A117,tordrup[],6,FALSE)=0,VLOOKUP($D117,Table15[],24,FALSE),VLOOKUP($A117,tordrup[],6,FALSE))</f>
        <v>60.516894920486337</v>
      </c>
      <c r="Y117" s="126">
        <f>IF(VLOOKUP($A117,tordrup[],7,FALSE)=0,VLOOKUP($D117,Table15[],25,FALSE),VLOOKUP($A117,tordrup[],7,FALSE))</f>
        <v>98.329552293953185</v>
      </c>
      <c r="Z117" s="126">
        <f>IF(VLOOKUP($A117,tordrup[],8,FALSE)=0,VLOOKUP($D117,Table15[],26,FALSE),VLOOKUP($A117,tordrup[],8,FALSE))</f>
        <v>92.027442731708703</v>
      </c>
      <c r="AA117" s="126">
        <v>82.4</v>
      </c>
      <c r="AB117" s="126">
        <v>408.79</v>
      </c>
      <c r="AC117" s="126">
        <v>2415.5</v>
      </c>
      <c r="AD117" s="126">
        <v>5434.91</v>
      </c>
      <c r="AF117" s="126">
        <v>0</v>
      </c>
      <c r="AG117" s="126">
        <v>3179.9168072136845</v>
      </c>
      <c r="AH117" s="126">
        <v>6359.833614427369</v>
      </c>
      <c r="AI117" s="126">
        <v>19079.500843282105</v>
      </c>
      <c r="AJ117" s="33" t="str">
        <f>IF(VLOOKUP($A117,lmic_raw[],11,FALSE)=0, "Yes", "No")</f>
        <v>No</v>
      </c>
    </row>
    <row r="118" spans="1:36" x14ac:dyDescent="0.25">
      <c r="A118" s="109" t="s">
        <v>648</v>
      </c>
      <c r="D118" s="82" t="s">
        <v>673</v>
      </c>
      <c r="F118" s="82" t="s">
        <v>579</v>
      </c>
      <c r="I118" s="126">
        <f>IF(VLOOKUP($A118,portnoy[],3,FALSE)=0, VLOOKUP($D118,Table15[],9,FALSE),VLOOKUP($A118,portnoy[],3,FALSE))</f>
        <v>0.77249999999999996</v>
      </c>
      <c r="J118" s="126">
        <f>sens_costs_regions!J$2</f>
        <v>0.36202199312714778</v>
      </c>
      <c r="K118" s="126">
        <f>sens_costs_regions!K$2</f>
        <v>0.41792411616161618</v>
      </c>
      <c r="L118" s="126">
        <f>sens_costs_regions!L$2</f>
        <v>0.48333918128654974</v>
      </c>
      <c r="M118" s="126">
        <f>sens_costs_regions!M$2</f>
        <v>0.5718158075601375</v>
      </c>
      <c r="N118" s="126">
        <f>sens_costs_regions!N$2</f>
        <v>0.65679722222222237</v>
      </c>
      <c r="O118" s="126">
        <f>sens_costs_regions!O$2</f>
        <v>0.7491286549707602</v>
      </c>
      <c r="P118" s="126">
        <f>IF(VLOOKUP($A118,Table26[],6,FALSE)=0,VLOOKUP($D118,Table15[],16,FALSE),(VLOOKUP($A118,Table26[],6,FALSE)))</f>
        <v>1.1036908270987458E-2</v>
      </c>
      <c r="Q118" s="126">
        <f>IF(VLOOKUP($A118,Table26[],5,FALSE)=0,VLOOKUP($D118,Table15[],17,FALSE),(VLOOKUP($A118,Table26[],5,FALSE)))</f>
        <v>1.6776100571900935E-2</v>
      </c>
      <c r="R118" s="126">
        <f>IF(VLOOKUP($A118,Table26[],16,FALSE)=0,VLOOKUP($D118,Table15[],18,FALSE),(VLOOKUP($A118,Table26[],16,FALSE)))</f>
        <v>0.26488579850369898</v>
      </c>
      <c r="S118" s="126">
        <f>IF(VLOOKUP($A118,Table26[],9,FALSE)=0,VLOOKUP($D118,Table15[],19,FALSE),(VLOOKUP($A118,Table26[],9,FALSE)))</f>
        <v>5.8030145914428604E-3</v>
      </c>
      <c r="T118" s="126">
        <f>IF(VLOOKUP($A118,Table26[],8,FALSE)=0,VLOOKUP($D118,Table15[],20,FALSE),(VLOOKUP($A118,Table26[],8,FALSE)))</f>
        <v>8.8205821789931471E-3</v>
      </c>
      <c r="U118" s="126">
        <f>IF(VLOOKUP($A118,Table26[],10,FALSE)=0,VLOOKUP($D118,Table15[],21,FALSE),(VLOOKUP($A118,Table26[],10,FALSE)))</f>
        <v>2.3212058365771442E-2</v>
      </c>
      <c r="V118" s="126">
        <f>VLOOKUP($F118,vaccine_costs!$AH$6:$AK$11,2,FALSE)</f>
        <v>0.48</v>
      </c>
      <c r="W118" s="126">
        <f>IF(VLOOKUP($A118,tordrup[],5,FALSE)=0,VLOOKUP($D118,Table15[],23,FALSE),VLOOKUP($A118,tordrup[],5,FALSE))</f>
        <v>28.863739638153781</v>
      </c>
      <c r="X118" s="126">
        <f>IF(VLOOKUP($A118,tordrup[],6,FALSE)=0,VLOOKUP($D118,Table15[],24,FALSE),VLOOKUP($A118,tordrup[],6,FALSE))</f>
        <v>58.08373963815378</v>
      </c>
      <c r="Y118" s="126">
        <f>IF(VLOOKUP($A118,tordrup[],7,FALSE)=0,VLOOKUP($D118,Table15[],25,FALSE),VLOOKUP($A118,tordrup[],7,FALSE))</f>
        <v>81.545291084918475</v>
      </c>
      <c r="Z118" s="126">
        <f>IF(VLOOKUP($A118,tordrup[],8,FALSE)=0,VLOOKUP($D118,Table15[],26,FALSE),VLOOKUP($A118,tordrup[],8,FALSE))</f>
        <v>77.635032510457691</v>
      </c>
      <c r="AA118" s="126">
        <v>82.4</v>
      </c>
      <c r="AB118" s="126">
        <v>408.79</v>
      </c>
      <c r="AC118" s="126">
        <v>2415.5</v>
      </c>
      <c r="AD118" s="126">
        <v>5434.91</v>
      </c>
      <c r="AF118" s="126">
        <v>0</v>
      </c>
      <c r="AG118" s="126">
        <v>1016.3117446635064</v>
      </c>
      <c r="AH118" s="126">
        <v>2032.6234893270127</v>
      </c>
      <c r="AI118" s="126">
        <v>6097.870467981038</v>
      </c>
      <c r="AJ118" s="33" t="str">
        <f>IF(VLOOKUP($A118,lmic_raw[],11,FALSE)=0, "Yes", "No")</f>
        <v>Yes</v>
      </c>
    </row>
    <row r="119" spans="1:36" x14ac:dyDescent="0.25">
      <c r="A119" s="110" t="s">
        <v>187</v>
      </c>
      <c r="D119" s="84" t="s">
        <v>675</v>
      </c>
      <c r="F119" s="84" t="s">
        <v>663</v>
      </c>
      <c r="I119" s="126">
        <f>IF(VLOOKUP($A119,portnoy[],3,FALSE)=0, VLOOKUP($D119,Table15[],9,FALSE),VLOOKUP($A119,portnoy[],3,FALSE))</f>
        <v>2.9767000000000001</v>
      </c>
      <c r="J119" s="126">
        <f>sens_costs_regions!J$2</f>
        <v>0.36202199312714778</v>
      </c>
      <c r="K119" s="126">
        <f>sens_costs_regions!K$2</f>
        <v>0.41792411616161618</v>
      </c>
      <c r="L119" s="126">
        <f>sens_costs_regions!L$2</f>
        <v>0.48333918128654974</v>
      </c>
      <c r="M119" s="126">
        <f>sens_costs_regions!M$2</f>
        <v>0.5718158075601375</v>
      </c>
      <c r="N119" s="126">
        <f>sens_costs_regions!N$2</f>
        <v>0.65679722222222237</v>
      </c>
      <c r="O119" s="126">
        <f>sens_costs_regions!O$2</f>
        <v>0.7491286549707602</v>
      </c>
      <c r="P119" s="126">
        <f>IF(VLOOKUP($A119,Table26[],6,FALSE)=0,VLOOKUP($D119,Table15[],16,FALSE),(VLOOKUP($A119,Table26[],6,FALSE)))</f>
        <v>4.5887240989965494E-3</v>
      </c>
      <c r="Q119" s="126">
        <f>IF(VLOOKUP($A119,Table26[],5,FALSE)=0,VLOOKUP($D119,Table15[],17,FALSE),(VLOOKUP($A119,Table26[],5,FALSE)))</f>
        <v>6.9748606304747543E-3</v>
      </c>
      <c r="R119" s="126">
        <f>IF(VLOOKUP($A119,Table26[],16,FALSE)=0,VLOOKUP($D119,Table15[],18,FALSE),(VLOOKUP($A119,Table26[],16,FALSE)))</f>
        <v>0.11012937837591719</v>
      </c>
      <c r="S119" s="126">
        <f>IF(VLOOKUP($A119,Table26[],9,FALSE)=0,VLOOKUP($D119,Table15[],19,FALSE),(VLOOKUP($A119,Table26[],9,FALSE)))</f>
        <v>2.4860448151974744E-3</v>
      </c>
      <c r="T119" s="126">
        <f>IF(VLOOKUP($A119,Table26[],8,FALSE)=0,VLOOKUP($D119,Table15[],20,FALSE),(VLOOKUP($A119,Table26[],8,FALSE)))</f>
        <v>3.7787881191001611E-3</v>
      </c>
      <c r="U119" s="126">
        <f>IF(VLOOKUP($A119,Table26[],10,FALSE)=0,VLOOKUP($D119,Table15[],21,FALSE),(VLOOKUP($A119,Table26[],10,FALSE)))</f>
        <v>9.9441792607898975E-3</v>
      </c>
      <c r="V119" s="126">
        <f>VLOOKUP($F119,vaccine_costs!$AH$6:$AK$11,2,FALSE)</f>
        <v>4.07</v>
      </c>
      <c r="W119" s="126">
        <f>IF(VLOOKUP($A119,tordrup[],5,FALSE)=0,VLOOKUP($D119,Table15[],23,FALSE),VLOOKUP($A119,tordrup[],5,FALSE))</f>
        <v>24.626488731847818</v>
      </c>
      <c r="X119" s="126">
        <f>IF(VLOOKUP($A119,tordrup[],6,FALSE)=0,VLOOKUP($D119,Table15[],24,FALSE),VLOOKUP($A119,tordrup[],6,FALSE))</f>
        <v>53.846488731847813</v>
      </c>
      <c r="Y119" s="126">
        <f>IF(VLOOKUP($A119,tordrup[],7,FALSE)=0,VLOOKUP($D119,Table15[],25,FALSE),VLOOKUP($A119,tordrup[],7,FALSE))</f>
        <v>57.739774564583058</v>
      </c>
      <c r="Z119" s="126">
        <f>IF(VLOOKUP($A119,tordrup[],8,FALSE)=0,VLOOKUP($D119,Table15[],26,FALSE),VLOOKUP($A119,tordrup[],8,FALSE))</f>
        <v>57.090893592460517</v>
      </c>
      <c r="AA119" s="126">
        <v>82.4</v>
      </c>
      <c r="AB119" s="126">
        <v>408.79</v>
      </c>
      <c r="AC119" s="126">
        <v>2415.5</v>
      </c>
      <c r="AD119" s="126">
        <v>5434.91</v>
      </c>
      <c r="AF119" s="126">
        <v>363.94082262755461</v>
      </c>
      <c r="AG119" s="126">
        <v>435.39379466161171</v>
      </c>
      <c r="AH119" s="126">
        <v>870.78758932322341</v>
      </c>
      <c r="AI119" s="126">
        <v>2612.3627679696701</v>
      </c>
      <c r="AJ119" s="33" t="str">
        <f>IF(VLOOKUP($A119,lmic_raw[],11,FALSE)=0, "Yes", "No")</f>
        <v>No</v>
      </c>
    </row>
    <row r="120" spans="1:36" x14ac:dyDescent="0.25">
      <c r="A120" s="82" t="s">
        <v>652</v>
      </c>
      <c r="D120" s="82" t="s">
        <v>677</v>
      </c>
      <c r="F120" s="82" t="s">
        <v>667</v>
      </c>
      <c r="I120" s="126">
        <f>IF(VLOOKUP($A120,portnoy[],3,FALSE)=0, VLOOKUP($D120,Table15[],9,FALSE),VLOOKUP($A120,portnoy[],3,FALSE))</f>
        <v>2.2968999999999999</v>
      </c>
      <c r="J120" s="126">
        <f>sens_costs_regions!J$2</f>
        <v>0.36202199312714778</v>
      </c>
      <c r="K120" s="126">
        <f>sens_costs_regions!K$2</f>
        <v>0.41792411616161618</v>
      </c>
      <c r="L120" s="126">
        <f>sens_costs_regions!L$2</f>
        <v>0.48333918128654974</v>
      </c>
      <c r="M120" s="126">
        <f>sens_costs_regions!M$2</f>
        <v>0.5718158075601375</v>
      </c>
      <c r="N120" s="126">
        <f>sens_costs_regions!N$2</f>
        <v>0.65679722222222237</v>
      </c>
      <c r="O120" s="126">
        <f>sens_costs_regions!O$2</f>
        <v>0.7491286549707602</v>
      </c>
      <c r="P120" s="126">
        <f>IF(VLOOKUP($A120,Table26[],6,FALSE)=0,VLOOKUP($D120,Table15[],16,FALSE),(VLOOKUP($A120,Table26[],6,FALSE)))</f>
        <v>5.5697208035733921E-3</v>
      </c>
      <c r="Q120" s="126">
        <f>IF(VLOOKUP($A120,Table26[],5,FALSE)=0,VLOOKUP($D120,Table15[],17,FALSE),(VLOOKUP($A120,Table26[],5,FALSE)))</f>
        <v>8.4659756214315544E-3</v>
      </c>
      <c r="R120" s="126">
        <f>IF(VLOOKUP($A120,Table26[],16,FALSE)=0,VLOOKUP($D120,Table15[],18,FALSE),(VLOOKUP($A120,Table26[],16,FALSE)))</f>
        <v>0.13367329928576141</v>
      </c>
      <c r="S120" s="126">
        <f>IF(VLOOKUP($A120,Table26[],9,FALSE)=0,VLOOKUP($D120,Table15[],19,FALSE),(VLOOKUP($A120,Table26[],9,FALSE)))</f>
        <v>3.2035885021281288E-3</v>
      </c>
      <c r="T120" s="126">
        <f>IF(VLOOKUP($A120,Table26[],8,FALSE)=0,VLOOKUP($D120,Table15[],20,FALSE),(VLOOKUP($A120,Table26[],8,FALSE)))</f>
        <v>4.8694545232347555E-3</v>
      </c>
      <c r="U120" s="126">
        <f>IF(VLOOKUP($A120,Table26[],10,FALSE)=0,VLOOKUP($D120,Table15[],21,FALSE),(VLOOKUP($A120,Table26[],10,FALSE)))</f>
        <v>1.2814354008512515E-2</v>
      </c>
      <c r="V120" s="126">
        <f>VLOOKUP($F120,vaccine_costs!$AH$6:$AK$11,2,FALSE)</f>
        <v>4.83</v>
      </c>
      <c r="W120" s="126">
        <f>IF(VLOOKUP($A120,tordrup[],5,FALSE)=0,VLOOKUP($D120,Table15[],23,FALSE),VLOOKUP($A120,tordrup[],5,FALSE))</f>
        <v>24.234810076643065</v>
      </c>
      <c r="X120" s="126">
        <f>IF(VLOOKUP($A120,tordrup[],6,FALSE)=0,VLOOKUP($D120,Table15[],24,FALSE),VLOOKUP($A120,tordrup[],6,FALSE))</f>
        <v>53.454810076643064</v>
      </c>
      <c r="Y120" s="126">
        <f>IF(VLOOKUP($A120,tordrup[],7,FALSE)=0,VLOOKUP($D120,Table15[],25,FALSE),VLOOKUP($A120,tordrup[],7,FALSE))</f>
        <v>55.906718458224816</v>
      </c>
      <c r="Z120" s="126">
        <f>IF(VLOOKUP($A120,tordrup[],8,FALSE)=0,VLOOKUP($D120,Table15[],26,FALSE),VLOOKUP($A120,tordrup[],8,FALSE))</f>
        <v>55.49806706129452</v>
      </c>
      <c r="AA120" s="126">
        <v>82.4</v>
      </c>
      <c r="AB120" s="126">
        <v>408.79</v>
      </c>
      <c r="AC120" s="126">
        <v>2415.5</v>
      </c>
      <c r="AD120" s="126">
        <v>5434.91</v>
      </c>
      <c r="AF120" s="126">
        <v>285.52247448386697</v>
      </c>
      <c r="AG120" s="126">
        <v>561.06090523757496</v>
      </c>
      <c r="AH120" s="126">
        <v>1122.1218104751499</v>
      </c>
      <c r="AI120" s="126">
        <v>3366.36543142545</v>
      </c>
      <c r="AJ120" s="33" t="str">
        <f>IF(VLOOKUP($A120,lmic_raw[],11,FALSE)=0, "Yes", "No")</f>
        <v>Yes</v>
      </c>
    </row>
    <row r="121" spans="1:36" x14ac:dyDescent="0.25">
      <c r="A121" s="110" t="s">
        <v>219</v>
      </c>
      <c r="D121" s="84" t="s">
        <v>680</v>
      </c>
      <c r="F121" s="84" t="s">
        <v>666</v>
      </c>
      <c r="I121" s="126">
        <f>IF(VLOOKUP($A121,portnoy[],3,FALSE)=0, VLOOKUP($D121,Table15[],9,FALSE),VLOOKUP($A121,portnoy[],3,FALSE))</f>
        <v>3.7080000000000002</v>
      </c>
      <c r="J121" s="126">
        <f>sens_costs_regions!J$2</f>
        <v>0.36202199312714778</v>
      </c>
      <c r="K121" s="126">
        <f>sens_costs_regions!K$2</f>
        <v>0.41792411616161618</v>
      </c>
      <c r="L121" s="126">
        <f>sens_costs_regions!L$2</f>
        <v>0.48333918128654974</v>
      </c>
      <c r="M121" s="126">
        <f>sens_costs_regions!M$2</f>
        <v>0.5718158075601375</v>
      </c>
      <c r="N121" s="126">
        <f>sens_costs_regions!N$2</f>
        <v>0.65679722222222237</v>
      </c>
      <c r="O121" s="126">
        <f>sens_costs_regions!O$2</f>
        <v>0.7491286549707602</v>
      </c>
      <c r="P121" s="126">
        <f>IF(VLOOKUP($A121,Table26[],6,FALSE)=0,VLOOKUP($D121,Table15[],16,FALSE),(VLOOKUP($A121,Table26[],6,FALSE)))</f>
        <v>1.3932474190722445E-2</v>
      </c>
      <c r="Q121" s="126">
        <f>IF(VLOOKUP($A121,Table26[],5,FALSE)=0,VLOOKUP($D121,Table15[],17,FALSE),(VLOOKUP($A121,Table26[],5,FALSE)))</f>
        <v>2.1177360769898113E-2</v>
      </c>
      <c r="R121" s="126">
        <f>IF(VLOOKUP($A121,Table26[],16,FALSE)=0,VLOOKUP($D121,Table15[],18,FALSE),(VLOOKUP($A121,Table26[],16,FALSE)))</f>
        <v>0.33437938057733868</v>
      </c>
      <c r="S121" s="126">
        <f>IF(VLOOKUP($A121,Table26[],9,FALSE)=0,VLOOKUP($D121,Table15[],19,FALSE),(VLOOKUP($A121,Table26[],9,FALSE)))</f>
        <v>7.8308370944227719E-3</v>
      </c>
      <c r="T121" s="126">
        <f>IF(VLOOKUP($A121,Table26[],8,FALSE)=0,VLOOKUP($D121,Table15[],20,FALSE),(VLOOKUP($A121,Table26[],8,FALSE)))</f>
        <v>1.1902872383522611E-2</v>
      </c>
      <c r="U121" s="126">
        <f>IF(VLOOKUP($A121,Table26[],10,FALSE)=0,VLOOKUP($D121,Table15[],21,FALSE),(VLOOKUP($A121,Table26[],10,FALSE)))</f>
        <v>3.1323348377691088E-2</v>
      </c>
      <c r="V121" s="126">
        <f>VLOOKUP($F121,vaccine_costs!$AH$6:$AK$11,2,FALSE)</f>
        <v>0.63</v>
      </c>
      <c r="W121" s="126">
        <f>IF(VLOOKUP($A121,tordrup[],5,FALSE)=0,VLOOKUP($D121,Table15[],23,FALSE),VLOOKUP($A121,tordrup[],5,FALSE))</f>
        <v>28.887477738469222</v>
      </c>
      <c r="X121" s="126">
        <f>IF(VLOOKUP($A121,tordrup[],6,FALSE)=0,VLOOKUP($D121,Table15[],24,FALSE),VLOOKUP($A121,tordrup[],6,FALSE))</f>
        <v>58.107477738469221</v>
      </c>
      <c r="Y121" s="126">
        <f>IF(VLOOKUP($A121,tordrup[],7,FALSE)=0,VLOOKUP($D121,Table15[],25,FALSE),VLOOKUP($A121,tordrup[],7,FALSE))</f>
        <v>85.885327965590292</v>
      </c>
      <c r="Z121" s="126">
        <f>IF(VLOOKUP($A121,tordrup[],8,FALSE)=0,VLOOKUP($D121,Table15[],26,FALSE),VLOOKUP($A121,tordrup[],8,FALSE))</f>
        <v>81.255686261070124</v>
      </c>
      <c r="AA121" s="126">
        <v>82.4</v>
      </c>
      <c r="AB121" s="126">
        <v>408.79</v>
      </c>
      <c r="AC121" s="126">
        <v>2415.5</v>
      </c>
      <c r="AD121" s="126">
        <v>5434.91</v>
      </c>
      <c r="AF121" s="126">
        <v>5527.6788074781962</v>
      </c>
      <c r="AG121" s="126">
        <v>3903.3711055276581</v>
      </c>
      <c r="AH121" s="126">
        <v>7806.7422110553161</v>
      </c>
      <c r="AI121" s="126">
        <v>23420.226633165948</v>
      </c>
      <c r="AJ121" s="33" t="str">
        <f>IF(VLOOKUP($A121,lmic_raw[],11,FALSE)=0, "Yes", "No")</f>
        <v>No</v>
      </c>
    </row>
    <row r="122" spans="1:36" x14ac:dyDescent="0.25">
      <c r="A122" s="109" t="s">
        <v>220</v>
      </c>
      <c r="D122" s="82" t="s">
        <v>680</v>
      </c>
      <c r="F122" s="82" t="s">
        <v>666</v>
      </c>
      <c r="I122" s="126">
        <f>IF(VLOOKUP($A122,portnoy[],3,FALSE)=0, VLOOKUP($D122,Table15[],9,FALSE),VLOOKUP($A122,portnoy[],3,FALSE))</f>
        <v>3.7801</v>
      </c>
      <c r="J122" s="126">
        <f>sens_costs_regions!J$2</f>
        <v>0.36202199312714778</v>
      </c>
      <c r="K122" s="126">
        <f>sens_costs_regions!K$2</f>
        <v>0.41792411616161618</v>
      </c>
      <c r="L122" s="126">
        <f>sens_costs_regions!L$2</f>
        <v>0.48333918128654974</v>
      </c>
      <c r="M122" s="126">
        <f>sens_costs_regions!M$2</f>
        <v>0.5718158075601375</v>
      </c>
      <c r="N122" s="126">
        <f>sens_costs_regions!N$2</f>
        <v>0.65679722222222237</v>
      </c>
      <c r="O122" s="126">
        <f>sens_costs_regions!O$2</f>
        <v>0.7491286549707602</v>
      </c>
      <c r="P122" s="126">
        <f>IF(VLOOKUP($A122,Table26[],6,FALSE)=0,VLOOKUP($D122,Table15[],16,FALSE),(VLOOKUP($A122,Table26[],6,FALSE)))</f>
        <v>5.3845810964269084E-3</v>
      </c>
      <c r="Q122" s="126">
        <f>IF(VLOOKUP($A122,Table26[],5,FALSE)=0,VLOOKUP($D122,Table15[],17,FALSE),(VLOOKUP($A122,Table26[],5,FALSE)))</f>
        <v>8.1845632665688995E-3</v>
      </c>
      <c r="R122" s="126">
        <f>IF(VLOOKUP($A122,Table26[],16,FALSE)=0,VLOOKUP($D122,Table15[],18,FALSE),(VLOOKUP($A122,Table26[],16,FALSE)))</f>
        <v>0.12922994631424581</v>
      </c>
      <c r="S122" s="126">
        <f>IF(VLOOKUP($A122,Table26[],9,FALSE)=0,VLOOKUP($D122,Table15[],19,FALSE),(VLOOKUP($A122,Table26[],9,FALSE)))</f>
        <v>2.8898330029664423E-3</v>
      </c>
      <c r="T122" s="126">
        <f>IF(VLOOKUP($A122,Table26[],8,FALSE)=0,VLOOKUP($D122,Table15[],20,FALSE),(VLOOKUP($A122,Table26[],8,FALSE)))</f>
        <v>4.3925461645089913E-3</v>
      </c>
      <c r="U122" s="126">
        <f>IF(VLOOKUP($A122,Table26[],10,FALSE)=0,VLOOKUP($D122,Table15[],21,FALSE),(VLOOKUP($A122,Table26[],10,FALSE)))</f>
        <v>1.1559332011865769E-2</v>
      </c>
      <c r="V122" s="126">
        <f>VLOOKUP($F122,vaccine_costs!$AH$6:$AK$11,2,FALSE)</f>
        <v>0.63</v>
      </c>
      <c r="W122" s="126">
        <f>IF(VLOOKUP($A122,tordrup[],5,FALSE)=0,VLOOKUP($D122,Table15[],23,FALSE),VLOOKUP($A122,tordrup[],5,FALSE))</f>
        <v>25.453070081405755</v>
      </c>
      <c r="X122" s="126">
        <f>IF(VLOOKUP($A122,tordrup[],6,FALSE)=0,VLOOKUP($D122,Table15[],24,FALSE),VLOOKUP($A122,tordrup[],6,FALSE))</f>
        <v>54.673070081405761</v>
      </c>
      <c r="Y122" s="126">
        <f>IF(VLOOKUP($A122,tordrup[],7,FALSE)=0,VLOOKUP($D122,Table15[],25,FALSE),VLOOKUP($A122,tordrup[],7,FALSE))</f>
        <v>62.681774864609807</v>
      </c>
      <c r="Z122" s="126">
        <f>IF(VLOOKUP($A122,tordrup[],8,FALSE)=0,VLOOKUP($D122,Table15[],26,FALSE),VLOOKUP($A122,tordrup[],8,FALSE))</f>
        <v>61.346990734075796</v>
      </c>
      <c r="AA122" s="126">
        <v>82.4</v>
      </c>
      <c r="AB122" s="126">
        <v>408.79</v>
      </c>
      <c r="AC122" s="126">
        <v>2415.5</v>
      </c>
      <c r="AD122" s="126">
        <v>5434.91</v>
      </c>
      <c r="AF122" s="126">
        <v>0</v>
      </c>
      <c r="AG122" s="126">
        <v>780.25491080093946</v>
      </c>
      <c r="AH122" s="126">
        <v>1560.5098216018789</v>
      </c>
      <c r="AI122" s="126">
        <v>4681.529464805637</v>
      </c>
      <c r="AJ122" s="33" t="str">
        <f>IF(VLOOKUP($A122,lmic_raw[],11,FALSE)=0, "Yes", "No")</f>
        <v>No</v>
      </c>
    </row>
    <row r="123" spans="1:36" x14ac:dyDescent="0.25">
      <c r="A123" s="110" t="s">
        <v>154</v>
      </c>
      <c r="D123" s="84" t="s">
        <v>677</v>
      </c>
      <c r="F123" s="84" t="s">
        <v>667</v>
      </c>
      <c r="I123" s="126">
        <f>IF(VLOOKUP($A123,portnoy[],3,FALSE)=0, VLOOKUP($D123,Table15[],9,FALSE),VLOOKUP($A123,portnoy[],3,FALSE))</f>
        <v>2.2351000000000001</v>
      </c>
      <c r="J123" s="126">
        <f>sens_costs_regions!J$2</f>
        <v>0.36202199312714778</v>
      </c>
      <c r="K123" s="126">
        <f>sens_costs_regions!K$2</f>
        <v>0.41792411616161618</v>
      </c>
      <c r="L123" s="126">
        <f>sens_costs_regions!L$2</f>
        <v>0.48333918128654974</v>
      </c>
      <c r="M123" s="126">
        <f>sens_costs_regions!M$2</f>
        <v>0.5718158075601375</v>
      </c>
      <c r="N123" s="126">
        <f>sens_costs_regions!N$2</f>
        <v>0.65679722222222237</v>
      </c>
      <c r="O123" s="126">
        <f>sens_costs_regions!O$2</f>
        <v>0.7491286549707602</v>
      </c>
      <c r="P123" s="126">
        <f>IF(VLOOKUP($A123,Table26[],6,FALSE)=0,VLOOKUP($D123,Table15[],16,FALSE),(VLOOKUP($A123,Table26[],6,FALSE)))</f>
        <v>3.4705417034562062E-3</v>
      </c>
      <c r="Q123" s="126">
        <f>IF(VLOOKUP($A123,Table26[],5,FALSE)=0,VLOOKUP($D123,Table15[],17,FALSE),(VLOOKUP($A123,Table26[],5,FALSE)))</f>
        <v>5.2752233892534323E-3</v>
      </c>
      <c r="R123" s="126">
        <f>IF(VLOOKUP($A123,Table26[],16,FALSE)=0,VLOOKUP($D123,Table15[],18,FALSE),(VLOOKUP($A123,Table26[],16,FALSE)))</f>
        <v>8.3293000882948942E-2</v>
      </c>
      <c r="S123" s="126">
        <f>IF(VLOOKUP($A123,Table26[],9,FALSE)=0,VLOOKUP($D123,Table15[],19,FALSE),(VLOOKUP($A123,Table26[],9,FALSE)))</f>
        <v>1.9393317296587905E-3</v>
      </c>
      <c r="T123" s="126">
        <f>IF(VLOOKUP($A123,Table26[],8,FALSE)=0,VLOOKUP($D123,Table15[],20,FALSE),(VLOOKUP($A123,Table26[],8,FALSE)))</f>
        <v>2.9477842290813613E-3</v>
      </c>
      <c r="U123" s="126">
        <f>IF(VLOOKUP($A123,Table26[],10,FALSE)=0,VLOOKUP($D123,Table15[],21,FALSE),(VLOOKUP($A123,Table26[],10,FALSE)))</f>
        <v>7.757326918635162E-3</v>
      </c>
      <c r="V123" s="126">
        <f>VLOOKUP($F123,vaccine_costs!$AH$6:$AK$11,2,FALSE)</f>
        <v>4.83</v>
      </c>
      <c r="W123" s="126">
        <f>IF(VLOOKUP($A123,tordrup[],5,FALSE)=0,VLOOKUP($D123,Table15[],23,FALSE),VLOOKUP($A123,tordrup[],5,FALSE))</f>
        <v>24.080512424592708</v>
      </c>
      <c r="X123" s="126">
        <f>IF(VLOOKUP($A123,tordrup[],6,FALSE)=0,VLOOKUP($D123,Table15[],24,FALSE),VLOOKUP($A123,tordrup[],6,FALSE))</f>
        <v>53.300512424592711</v>
      </c>
      <c r="Y123" s="126">
        <f>IF(VLOOKUP($A123,tordrup[],7,FALSE)=0,VLOOKUP($D123,Table15[],25,FALSE),VLOOKUP($A123,tordrup[],7,FALSE))</f>
        <v>55.09440066543047</v>
      </c>
      <c r="Z123" s="126">
        <f>IF(VLOOKUP($A123,tordrup[],8,FALSE)=0,VLOOKUP($D123,Table15[],26,FALSE),VLOOKUP($A123,tordrup[],8,FALSE))</f>
        <v>54.795419291957515</v>
      </c>
      <c r="AA123" s="126">
        <v>82.4</v>
      </c>
      <c r="AB123" s="126">
        <v>408.79</v>
      </c>
      <c r="AC123" s="126">
        <v>2415.5</v>
      </c>
      <c r="AD123" s="126">
        <v>5434.91</v>
      </c>
      <c r="AF123" s="126">
        <v>138.17010049567131</v>
      </c>
      <c r="AG123" s="126">
        <v>339.64512454564766</v>
      </c>
      <c r="AH123" s="126">
        <v>679.29024909129532</v>
      </c>
      <c r="AI123" s="126">
        <v>2037.8707472738861</v>
      </c>
      <c r="AJ123" s="33" t="str">
        <f>IF(VLOOKUP($A123,lmic_raw[],11,FALSE)=0, "Yes", "No")</f>
        <v>Yes</v>
      </c>
    </row>
    <row r="124" spans="1:36" x14ac:dyDescent="0.25">
      <c r="A124" s="109" t="s">
        <v>301</v>
      </c>
      <c r="D124" s="82" t="s">
        <v>681</v>
      </c>
      <c r="F124" s="82" t="s">
        <v>666</v>
      </c>
      <c r="I124" s="126">
        <f>IF(VLOOKUP($A124,portnoy[],3,FALSE)=0, VLOOKUP($D124,Table15[],9,FALSE),VLOOKUP($A124,portnoy[],3,FALSE))</f>
        <v>7.9104000000000001</v>
      </c>
      <c r="J124" s="126">
        <f>sens_costs_regions!J$2</f>
        <v>0.36202199312714778</v>
      </c>
      <c r="K124" s="126">
        <f>sens_costs_regions!K$2</f>
        <v>0.41792411616161618</v>
      </c>
      <c r="L124" s="126">
        <f>sens_costs_regions!L$2</f>
        <v>0.48333918128654974</v>
      </c>
      <c r="M124" s="126">
        <f>sens_costs_regions!M$2</f>
        <v>0.5718158075601375</v>
      </c>
      <c r="N124" s="126">
        <f>sens_costs_regions!N$2</f>
        <v>0.65679722222222237</v>
      </c>
      <c r="O124" s="126">
        <f>sens_costs_regions!O$2</f>
        <v>0.7491286549707602</v>
      </c>
      <c r="P124" s="126">
        <f>IF(VLOOKUP($A124,Table26[],6,FALSE)=0,VLOOKUP($D124,Table15[],16,FALSE),(VLOOKUP($A124,Table26[],6,FALSE)))</f>
        <v>8.5407305374176519E-3</v>
      </c>
      <c r="Q124" s="126">
        <f>IF(VLOOKUP($A124,Table26[],5,FALSE)=0,VLOOKUP($D124,Table15[],17,FALSE),(VLOOKUP($A124,Table26[],5,FALSE)))</f>
        <v>1.2981910416874829E-2</v>
      </c>
      <c r="R124" s="126">
        <f>IF(VLOOKUP($A124,Table26[],16,FALSE)=0,VLOOKUP($D124,Table15[],18,FALSE),(VLOOKUP($A124,Table26[],16,FALSE)))</f>
        <v>0.20497753289802362</v>
      </c>
      <c r="S124" s="126">
        <f>IF(VLOOKUP($A124,Table26[],9,FALSE)=0,VLOOKUP($D124,Table15[],19,FALSE),(VLOOKUP($A124,Table26[],9,FALSE)))</f>
        <v>4.9182860907374904E-3</v>
      </c>
      <c r="T124" s="126">
        <f>IF(VLOOKUP($A124,Table26[],8,FALSE)=0,VLOOKUP($D124,Table15[],20,FALSE),(VLOOKUP($A124,Table26[],8,FALSE)))</f>
        <v>7.4757948579209851E-3</v>
      </c>
      <c r="U124" s="126">
        <f>IF(VLOOKUP($A124,Table26[],10,FALSE)=0,VLOOKUP($D124,Table15[],21,FALSE),(VLOOKUP($A124,Table26[],10,FALSE)))</f>
        <v>1.9673144362949962E-2</v>
      </c>
      <c r="V124" s="126">
        <f>VLOOKUP($F124,vaccine_costs!$AH$6:$AK$11,2,FALSE)</f>
        <v>0.63</v>
      </c>
      <c r="W124" s="126">
        <f>IF(VLOOKUP($A124,tordrup[],5,FALSE)=0,VLOOKUP($D124,Table15[],23,FALSE),VLOOKUP($A124,tordrup[],5,FALSE))</f>
        <v>29.38597784509345</v>
      </c>
      <c r="X124" s="126">
        <f>IF(VLOOKUP($A124,tordrup[],6,FALSE)=0,VLOOKUP($D124,Table15[],24,FALSE),VLOOKUP($A124,tordrup[],6,FALSE))</f>
        <v>58.605977845093449</v>
      </c>
      <c r="Y124" s="126">
        <f>IF(VLOOKUP($A124,tordrup[],7,FALSE)=0,VLOOKUP($D124,Table15[],25,FALSE),VLOOKUP($A124,tordrup[],7,FALSE))</f>
        <v>82.145865022899102</v>
      </c>
      <c r="Z124" s="126">
        <f>IF(VLOOKUP($A124,tordrup[],8,FALSE)=0,VLOOKUP($D124,Table15[],26,FALSE),VLOOKUP($A124,tordrup[],8,FALSE))</f>
        <v>78.222550493264819</v>
      </c>
      <c r="AA124" s="126">
        <v>82.4</v>
      </c>
      <c r="AB124" s="126">
        <v>408.79</v>
      </c>
      <c r="AC124" s="126">
        <v>2415.5</v>
      </c>
      <c r="AD124" s="126">
        <v>5434.91</v>
      </c>
      <c r="AF124" s="126">
        <v>0</v>
      </c>
      <c r="AG124" s="126">
        <v>2451.5764513829954</v>
      </c>
      <c r="AH124" s="126">
        <v>4903.1529027659908</v>
      </c>
      <c r="AI124" s="126">
        <v>14709.458708297972</v>
      </c>
      <c r="AJ124" s="33" t="str">
        <f>IF(VLOOKUP($A124,lmic_raw[],11,FALSE)=0, "Yes", "No")</f>
        <v>No</v>
      </c>
    </row>
    <row r="125" spans="1:36" x14ac:dyDescent="0.25">
      <c r="A125" s="110" t="s">
        <v>162</v>
      </c>
      <c r="D125" s="84" t="s">
        <v>673</v>
      </c>
      <c r="F125" s="84" t="s">
        <v>579</v>
      </c>
      <c r="I125" s="126">
        <f>IF(VLOOKUP($A125,portnoy[],3,FALSE)=0, VLOOKUP($D125,Table15[],9,FALSE),VLOOKUP($A125,portnoy[],3,FALSE))</f>
        <v>4.2126999999999999</v>
      </c>
      <c r="J125" s="126">
        <f>sens_costs_regions!J$2</f>
        <v>0.36202199312714778</v>
      </c>
      <c r="K125" s="126">
        <f>sens_costs_regions!K$2</f>
        <v>0.41792411616161618</v>
      </c>
      <c r="L125" s="126">
        <f>sens_costs_regions!L$2</f>
        <v>0.48333918128654974</v>
      </c>
      <c r="M125" s="126">
        <f>sens_costs_regions!M$2</f>
        <v>0.5718158075601375</v>
      </c>
      <c r="N125" s="126">
        <f>sens_costs_regions!N$2</f>
        <v>0.65679722222222237</v>
      </c>
      <c r="O125" s="126">
        <f>sens_costs_regions!O$2</f>
        <v>0.7491286549707602</v>
      </c>
      <c r="P125" s="126">
        <f>IF(VLOOKUP($A125,Table26[],6,FALSE)=0,VLOOKUP($D125,Table15[],16,FALSE),(VLOOKUP($A125,Table26[],6,FALSE)))</f>
        <v>1.153744525041119E-2</v>
      </c>
      <c r="Q125" s="126">
        <f>IF(VLOOKUP($A125,Table26[],5,FALSE)=0,VLOOKUP($D125,Table15[],17,FALSE),(VLOOKUP($A125,Table26[],5,FALSE)))</f>
        <v>1.7536916780625005E-2</v>
      </c>
      <c r="R125" s="126">
        <f>IF(VLOOKUP($A125,Table26[],16,FALSE)=0,VLOOKUP($D125,Table15[],18,FALSE),(VLOOKUP($A125,Table26[],16,FALSE)))</f>
        <v>0.27689868600986856</v>
      </c>
      <c r="S125" s="126">
        <f>IF(VLOOKUP($A125,Table26[],9,FALSE)=0,VLOOKUP($D125,Table15[],19,FALSE),(VLOOKUP($A125,Table26[],9,FALSE)))</f>
        <v>6.143432580022601E-3</v>
      </c>
      <c r="T125" s="126">
        <f>IF(VLOOKUP($A125,Table26[],8,FALSE)=0,VLOOKUP($D125,Table15[],20,FALSE),(VLOOKUP($A125,Table26[],8,FALSE)))</f>
        <v>9.3380175216343526E-3</v>
      </c>
      <c r="U125" s="126">
        <f>IF(VLOOKUP($A125,Table26[],10,FALSE)=0,VLOOKUP($D125,Table15[],21,FALSE),(VLOOKUP($A125,Table26[],10,FALSE)))</f>
        <v>2.4573730320090404E-2</v>
      </c>
      <c r="V125" s="126">
        <f>VLOOKUP($F125,vaccine_costs!$AH$6:$AK$11,2,FALSE)</f>
        <v>0.48</v>
      </c>
      <c r="W125" s="126">
        <f>IF(VLOOKUP($A125,tordrup[],5,FALSE)=0,VLOOKUP($D125,Table15[],23,FALSE),VLOOKUP($A125,tordrup[],5,FALSE))</f>
        <v>29.682704099036446</v>
      </c>
      <c r="X125" s="126">
        <f>IF(VLOOKUP($A125,tordrup[],6,FALSE)=0,VLOOKUP($D125,Table15[],24,FALSE),VLOOKUP($A125,tordrup[],6,FALSE))</f>
        <v>58.902704099036441</v>
      </c>
      <c r="Y125" s="126">
        <f>IF(VLOOKUP($A125,tordrup[],7,FALSE)=0,VLOOKUP($D125,Table15[],25,FALSE),VLOOKUP($A125,tordrup[],7,FALSE))</f>
        <v>91.302362457573608</v>
      </c>
      <c r="Z125" s="126">
        <f>IF(VLOOKUP($A125,tordrup[],8,FALSE)=0,VLOOKUP($D125,Table15[],26,FALSE),VLOOKUP($A125,tordrup[],8,FALSE))</f>
        <v>85.902419397817411</v>
      </c>
      <c r="AA125" s="126">
        <v>82.4</v>
      </c>
      <c r="AB125" s="126">
        <v>408.79</v>
      </c>
      <c r="AC125" s="126">
        <v>2415.5</v>
      </c>
      <c r="AD125" s="126">
        <v>5434.91</v>
      </c>
      <c r="AF125" s="126">
        <v>3695.4113897571933</v>
      </c>
      <c r="AG125" s="126">
        <v>1658.7267966061022</v>
      </c>
      <c r="AH125" s="126">
        <v>3317.4535932122044</v>
      </c>
      <c r="AI125" s="126">
        <v>9952.3607796366123</v>
      </c>
      <c r="AJ125" s="33" t="str">
        <f>IF(VLOOKUP($A125,lmic_raw[],11,FALSE)=0, "Yes", "No")</f>
        <v>No</v>
      </c>
    </row>
    <row r="126" spans="1:36" x14ac:dyDescent="0.25">
      <c r="A126" s="109" t="s">
        <v>180</v>
      </c>
      <c r="D126" s="82" t="s">
        <v>675</v>
      </c>
      <c r="F126" s="82" t="s">
        <v>579</v>
      </c>
      <c r="I126" s="126">
        <f>IF(VLOOKUP($A126,portnoy[],3,FALSE)=0, VLOOKUP($D126,Table15[],9,FALSE),VLOOKUP($A126,portnoy[],3,FALSE))</f>
        <v>4.0479000000000003</v>
      </c>
      <c r="J126" s="126">
        <f>sens_costs_regions!J$2</f>
        <v>0.36202199312714778</v>
      </c>
      <c r="K126" s="126">
        <f>sens_costs_regions!K$2</f>
        <v>0.41792411616161618</v>
      </c>
      <c r="L126" s="126">
        <f>sens_costs_regions!L$2</f>
        <v>0.48333918128654974</v>
      </c>
      <c r="M126" s="126">
        <f>sens_costs_regions!M$2</f>
        <v>0.5718158075601375</v>
      </c>
      <c r="N126" s="126">
        <f>sens_costs_regions!N$2</f>
        <v>0.65679722222222237</v>
      </c>
      <c r="O126" s="126">
        <f>sens_costs_regions!O$2</f>
        <v>0.7491286549707602</v>
      </c>
      <c r="P126" s="126">
        <f>IF(VLOOKUP($A126,Table26[],6,FALSE)=0,VLOOKUP($D126,Table15[],16,FALSE),(VLOOKUP($A126,Table26[],6,FALSE)))</f>
        <v>1.6920343531007537E-2</v>
      </c>
      <c r="Q126" s="126">
        <f>IF(VLOOKUP($A126,Table26[],5,FALSE)=0,VLOOKUP($D126,Table15[],17,FALSE),(VLOOKUP($A126,Table26[],5,FALSE)))</f>
        <v>2.5718922167131453E-2</v>
      </c>
      <c r="R126" s="126">
        <f>IF(VLOOKUP($A126,Table26[],16,FALSE)=0,VLOOKUP($D126,Table15[],18,FALSE),(VLOOKUP($A126,Table26[],16,FALSE)))</f>
        <v>0.40608824474418087</v>
      </c>
      <c r="S126" s="126">
        <f>IF(VLOOKUP($A126,Table26[],9,FALSE)=0,VLOOKUP($D126,Table15[],19,FALSE),(VLOOKUP($A126,Table26[],9,FALSE)))</f>
        <v>9.1547297450657282E-3</v>
      </c>
      <c r="T126" s="126">
        <f>IF(VLOOKUP($A126,Table26[],8,FALSE)=0,VLOOKUP($D126,Table15[],20,FALSE),(VLOOKUP($A126,Table26[],8,FALSE)))</f>
        <v>1.3915189212499906E-2</v>
      </c>
      <c r="U126" s="126">
        <f>IF(VLOOKUP($A126,Table26[],10,FALSE)=0,VLOOKUP($D126,Table15[],21,FALSE),(VLOOKUP($A126,Table26[],10,FALSE)))</f>
        <v>3.6618918980262913E-2</v>
      </c>
      <c r="V126" s="126">
        <f>VLOOKUP($F126,vaccine_costs!$AH$6:$AK$11,2,FALSE)</f>
        <v>0.48</v>
      </c>
      <c r="W126" s="126">
        <f>IF(VLOOKUP($A126,tordrup[],5,FALSE)=0,VLOOKUP($D126,Table15[],23,FALSE),VLOOKUP($A126,tordrup[],5,FALSE))</f>
        <v>38.667575068430324</v>
      </c>
      <c r="X126" s="126">
        <f>IF(VLOOKUP($A126,tordrup[],6,FALSE)=0,VLOOKUP($D126,Table15[],24,FALSE),VLOOKUP($A126,tordrup[],6,FALSE))</f>
        <v>67.887575068430323</v>
      </c>
      <c r="Y126" s="126">
        <f>IF(VLOOKUP($A126,tordrup[],7,FALSE)=0,VLOOKUP($D126,Table15[],25,FALSE),VLOOKUP($A126,tordrup[],7,FALSE))</f>
        <v>161.13059572647379</v>
      </c>
      <c r="Z126" s="126">
        <f>IF(VLOOKUP($A126,tordrup[],8,FALSE)=0,VLOOKUP($D126,Table15[],26,FALSE),VLOOKUP($A126,tordrup[],8,FALSE))</f>
        <v>145.59009228346653</v>
      </c>
      <c r="AA126" s="126">
        <v>82.4</v>
      </c>
      <c r="AB126" s="126">
        <v>408.79</v>
      </c>
      <c r="AC126" s="126">
        <v>2415.5</v>
      </c>
      <c r="AD126" s="126">
        <v>5434.91</v>
      </c>
      <c r="AF126" s="126">
        <v>9798.3553644385156</v>
      </c>
      <c r="AG126" s="126">
        <v>4563.2806729250706</v>
      </c>
      <c r="AH126" s="126">
        <v>9126.5613458501412</v>
      </c>
      <c r="AI126" s="126">
        <v>27379.684037550425</v>
      </c>
      <c r="AJ126" s="33" t="str">
        <f>IF(VLOOKUP($A126,lmic_raw[],11,FALSE)=0, "Yes", "No")</f>
        <v>No</v>
      </c>
    </row>
    <row r="127" spans="1:36" x14ac:dyDescent="0.25">
      <c r="A127" s="110" t="s">
        <v>188</v>
      </c>
      <c r="D127" s="84" t="s">
        <v>675</v>
      </c>
      <c r="F127" s="84" t="s">
        <v>663</v>
      </c>
      <c r="I127" s="126">
        <f>IF(VLOOKUP($A127,portnoy[],3,FALSE)=0, VLOOKUP($D127,Table15[],9,FALSE),VLOOKUP($A127,portnoy[],3,FALSE))</f>
        <v>6.3757000000000001</v>
      </c>
      <c r="J127" s="126">
        <f>sens_costs_regions!J$2</f>
        <v>0.36202199312714778</v>
      </c>
      <c r="K127" s="126">
        <f>sens_costs_regions!K$2</f>
        <v>0.41792411616161618</v>
      </c>
      <c r="L127" s="126">
        <f>sens_costs_regions!L$2</f>
        <v>0.48333918128654974</v>
      </c>
      <c r="M127" s="126">
        <f>sens_costs_regions!M$2</f>
        <v>0.5718158075601375</v>
      </c>
      <c r="N127" s="126">
        <f>sens_costs_regions!N$2</f>
        <v>0.65679722222222237</v>
      </c>
      <c r="O127" s="126">
        <f>sens_costs_regions!O$2</f>
        <v>0.7491286549707602</v>
      </c>
      <c r="P127" s="126">
        <f>IF(VLOOKUP($A127,Table26[],6,FALSE)=0,VLOOKUP($D127,Table15[],16,FALSE),(VLOOKUP($A127,Table26[],6,FALSE)))</f>
        <v>1.2725091398723219E-2</v>
      </c>
      <c r="Q127" s="126">
        <f>IF(VLOOKUP($A127,Table26[],5,FALSE)=0,VLOOKUP($D127,Table15[],17,FALSE),(VLOOKUP($A127,Table26[],5,FALSE)))</f>
        <v>1.934213892605929E-2</v>
      </c>
      <c r="R127" s="126">
        <f>IF(VLOOKUP($A127,Table26[],16,FALSE)=0,VLOOKUP($D127,Table15[],18,FALSE),(VLOOKUP($A127,Table26[],16,FALSE)))</f>
        <v>0.30540219356935722</v>
      </c>
      <c r="S127" s="126">
        <f>IF(VLOOKUP($A127,Table26[],9,FALSE)=0,VLOOKUP($D127,Table15[],19,FALSE),(VLOOKUP($A127,Table26[],9,FALSE)))</f>
        <v>6.9881373717746928E-3</v>
      </c>
      <c r="T127" s="126">
        <f>IF(VLOOKUP($A127,Table26[],8,FALSE)=0,VLOOKUP($D127,Table15[],20,FALSE),(VLOOKUP($A127,Table26[],8,FALSE)))</f>
        <v>1.0621968805097533E-2</v>
      </c>
      <c r="U127" s="126">
        <f>IF(VLOOKUP($A127,Table26[],10,FALSE)=0,VLOOKUP($D127,Table15[],21,FALSE),(VLOOKUP($A127,Table26[],10,FALSE)))</f>
        <v>2.7952549487098771E-2</v>
      </c>
      <c r="V127" s="126">
        <f>VLOOKUP($F127,vaccine_costs!$AH$6:$AK$11,2,FALSE)</f>
        <v>4.07</v>
      </c>
      <c r="W127" s="126">
        <f>IF(VLOOKUP($A127,tordrup[],5,FALSE)=0,VLOOKUP($D127,Table15[],23,FALSE),VLOOKUP($A127,tordrup[],5,FALSE))</f>
        <v>29.38597784509345</v>
      </c>
      <c r="X127" s="126">
        <f>IF(VLOOKUP($A127,tordrup[],6,FALSE)=0,VLOOKUP($D127,Table15[],24,FALSE),VLOOKUP($A127,tordrup[],6,FALSE))</f>
        <v>58.605977845093449</v>
      </c>
      <c r="Y127" s="126">
        <f>IF(VLOOKUP($A127,tordrup[],7,FALSE)=0,VLOOKUP($D127,Table15[],25,FALSE),VLOOKUP($A127,tordrup[],7,FALSE))</f>
        <v>87.872206961992589</v>
      </c>
      <c r="Z127" s="126">
        <f>IF(VLOOKUP($A127,tordrup[],8,FALSE)=0,VLOOKUP($D127,Table15[],26,FALSE),VLOOKUP($A127,tordrup[],8,FALSE))</f>
        <v>82.994502109176068</v>
      </c>
      <c r="AA127" s="126">
        <v>82.4</v>
      </c>
      <c r="AB127" s="126">
        <v>408.79</v>
      </c>
      <c r="AC127" s="126">
        <v>2415.5</v>
      </c>
      <c r="AD127" s="126">
        <v>5434.91</v>
      </c>
      <c r="AF127" s="126">
        <v>1862.399565518047</v>
      </c>
      <c r="AG127" s="126">
        <v>3483.3177053153854</v>
      </c>
      <c r="AH127" s="126">
        <v>6966.6354106307708</v>
      </c>
      <c r="AI127" s="126">
        <v>20899.906231892313</v>
      </c>
      <c r="AJ127" s="33" t="str">
        <f>IF(VLOOKUP($A127,lmic_raw[],11,FALSE)=0, "Yes", "No")</f>
        <v>No</v>
      </c>
    </row>
    <row r="128" spans="1:36" x14ac:dyDescent="0.25">
      <c r="A128" s="109" t="s">
        <v>302</v>
      </c>
      <c r="D128" s="82" t="s">
        <v>681</v>
      </c>
      <c r="F128" s="82" t="s">
        <v>666</v>
      </c>
      <c r="I128" s="126">
        <f>IF(VLOOKUP($A128,portnoy[],3,FALSE)=0, VLOOKUP($D128,Table15[],9,FALSE),VLOOKUP($A128,portnoy[],3,FALSE))</f>
        <v>16.665400000000002</v>
      </c>
      <c r="J128" s="126">
        <f>sens_costs_regions!J$2</f>
        <v>0.36202199312714778</v>
      </c>
      <c r="K128" s="126">
        <f>sens_costs_regions!K$2</f>
        <v>0.41792411616161618</v>
      </c>
      <c r="L128" s="126">
        <f>sens_costs_regions!L$2</f>
        <v>0.48333918128654974</v>
      </c>
      <c r="M128" s="126">
        <f>sens_costs_regions!M$2</f>
        <v>0.5718158075601375</v>
      </c>
      <c r="N128" s="126">
        <f>sens_costs_regions!N$2</f>
        <v>0.65679722222222237</v>
      </c>
      <c r="O128" s="126">
        <f>sens_costs_regions!O$2</f>
        <v>0.7491286549707602</v>
      </c>
      <c r="P128" s="126">
        <f>IF(VLOOKUP($A128,Table26[],6,FALSE)=0,VLOOKUP($D128,Table15[],16,FALSE),(VLOOKUP($A128,Table26[],6,FALSE)))</f>
        <v>7.1662689743277079E-3</v>
      </c>
      <c r="Q128" s="126">
        <f>IF(VLOOKUP($A128,Table26[],5,FALSE)=0,VLOOKUP($D128,Table15[],17,FALSE),(VLOOKUP($A128,Table26[],5,FALSE)))</f>
        <v>1.0892728840978114E-2</v>
      </c>
      <c r="R128" s="126">
        <f>IF(VLOOKUP($A128,Table26[],16,FALSE)=0,VLOOKUP($D128,Table15[],18,FALSE),(VLOOKUP($A128,Table26[],16,FALSE)))</f>
        <v>0.17199045538386498</v>
      </c>
      <c r="S128" s="126">
        <f>IF(VLOOKUP($A128,Table26[],9,FALSE)=0,VLOOKUP($D128,Table15[],19,FALSE),(VLOOKUP($A128,Table26[],9,FALSE)))</f>
        <v>4.0715578660515256E-3</v>
      </c>
      <c r="T128" s="126">
        <f>IF(VLOOKUP($A128,Table26[],8,FALSE)=0,VLOOKUP($D128,Table15[],20,FALSE),(VLOOKUP($A128,Table26[],8,FALSE)))</f>
        <v>6.1887679563983186E-3</v>
      </c>
      <c r="U128" s="126">
        <f>IF(VLOOKUP($A128,Table26[],10,FALSE)=0,VLOOKUP($D128,Table15[],21,FALSE),(VLOOKUP($A128,Table26[],10,FALSE)))</f>
        <v>1.6286231464206102E-2</v>
      </c>
      <c r="V128" s="126">
        <f>VLOOKUP($F128,vaccine_costs!$AH$6:$AK$11,2,FALSE)</f>
        <v>0.63</v>
      </c>
      <c r="W128" s="126">
        <f>IF(VLOOKUP($A128,tordrup[],5,FALSE)=0,VLOOKUP($D128,Table15[],23,FALSE),VLOOKUP($A128,tordrup[],5,FALSE))</f>
        <v>28.650096735314825</v>
      </c>
      <c r="X128" s="126">
        <f>IF(VLOOKUP($A128,tordrup[],6,FALSE)=0,VLOOKUP($D128,Table15[],24,FALSE),VLOOKUP($A128,tordrup[],6,FALSE))</f>
        <v>57.870096735314824</v>
      </c>
      <c r="Y128" s="126">
        <f>IF(VLOOKUP($A128,tordrup[],7,FALSE)=0,VLOOKUP($D128,Table15[],25,FALSE),VLOOKUP($A128,tordrup[],7,FALSE))</f>
        <v>74.727946055327394</v>
      </c>
      <c r="Z128" s="126">
        <f>IF(VLOOKUP($A128,tordrup[],8,FALSE)=0,VLOOKUP($D128,Table15[],26,FALSE),VLOOKUP($A128,tordrup[],8,FALSE))</f>
        <v>71.918304501991955</v>
      </c>
      <c r="AA128" s="126">
        <v>82.4</v>
      </c>
      <c r="AB128" s="126">
        <v>408.79</v>
      </c>
      <c r="AC128" s="126">
        <v>2415.5</v>
      </c>
      <c r="AD128" s="126">
        <v>5434.91</v>
      </c>
      <c r="AF128" s="126">
        <v>0</v>
      </c>
      <c r="AG128" s="126">
        <v>2029.5149978472218</v>
      </c>
      <c r="AH128" s="126">
        <v>4059.0299956944436</v>
      </c>
      <c r="AI128" s="126">
        <v>12177.089987083331</v>
      </c>
      <c r="AJ128" s="33" t="str">
        <f>IF(VLOOKUP($A128,lmic_raw[],11,FALSE)=0, "Yes", "No")</f>
        <v>No</v>
      </c>
    </row>
    <row r="129" spans="1:36" x14ac:dyDescent="0.25">
      <c r="A129" s="110" t="s">
        <v>117</v>
      </c>
      <c r="D129" s="84" t="s">
        <v>677</v>
      </c>
      <c r="F129" s="84" t="s">
        <v>667</v>
      </c>
      <c r="I129" s="126">
        <f>IF(VLOOKUP($A129,portnoy[],3,FALSE)=0, VLOOKUP($D129,Table15[],9,FALSE),VLOOKUP($A129,portnoy[],3,FALSE))</f>
        <v>1.8437000000000001</v>
      </c>
      <c r="J129" s="126">
        <f>sens_costs_regions!J$2</f>
        <v>0.36202199312714778</v>
      </c>
      <c r="K129" s="126">
        <f>sens_costs_regions!K$2</f>
        <v>0.41792411616161618</v>
      </c>
      <c r="L129" s="126">
        <f>sens_costs_regions!L$2</f>
        <v>0.48333918128654974</v>
      </c>
      <c r="M129" s="126">
        <f>sens_costs_regions!M$2</f>
        <v>0.5718158075601375</v>
      </c>
      <c r="N129" s="126">
        <f>sens_costs_regions!N$2</f>
        <v>0.65679722222222237</v>
      </c>
      <c r="O129" s="126">
        <f>sens_costs_regions!O$2</f>
        <v>0.7491286549707602</v>
      </c>
      <c r="P129" s="126">
        <f>IF(VLOOKUP($A129,Table26[],6,FALSE)=0,VLOOKUP($D129,Table15[],16,FALSE),(VLOOKUP($A129,Table26[],6,FALSE)))</f>
        <v>4.0252027120625854E-3</v>
      </c>
      <c r="Q129" s="126">
        <f>IF(VLOOKUP($A129,Table26[],5,FALSE)=0,VLOOKUP($D129,Table15[],17,FALSE),(VLOOKUP($A129,Table26[],5,FALSE)))</f>
        <v>6.1183081223351293E-3</v>
      </c>
      <c r="R129" s="126">
        <f>IF(VLOOKUP($A129,Table26[],16,FALSE)=0,VLOOKUP($D129,Table15[],18,FALSE),(VLOOKUP($A129,Table26[],16,FALSE)))</f>
        <v>9.6604865089502043E-2</v>
      </c>
      <c r="S129" s="126">
        <f>IF(VLOOKUP($A129,Table26[],9,FALSE)=0,VLOOKUP($D129,Table15[],19,FALSE),(VLOOKUP($A129,Table26[],9,FALSE)))</f>
        <v>2.2677947440534552E-3</v>
      </c>
      <c r="T129" s="126">
        <f>IF(VLOOKUP($A129,Table26[],8,FALSE)=0,VLOOKUP($D129,Table15[],20,FALSE),(VLOOKUP($A129,Table26[],8,FALSE)))</f>
        <v>3.4470480109612513E-3</v>
      </c>
      <c r="U129" s="126">
        <f>IF(VLOOKUP($A129,Table26[],10,FALSE)=0,VLOOKUP($D129,Table15[],21,FALSE),(VLOOKUP($A129,Table26[],10,FALSE)))</f>
        <v>9.0711789762138208E-3</v>
      </c>
      <c r="V129" s="126">
        <f>VLOOKUP($F129,vaccine_costs!$AH$6:$AK$11,2,FALSE)</f>
        <v>4.83</v>
      </c>
      <c r="W129" s="126">
        <f>IF(VLOOKUP($A129,tordrup[],5,FALSE)=0,VLOOKUP($D129,Table15[],23,FALSE),VLOOKUP($A129,tordrup[],5,FALSE))</f>
        <v>24.211071976327624</v>
      </c>
      <c r="X129" s="126">
        <f>IF(VLOOKUP($A129,tordrup[],6,FALSE)=0,VLOOKUP($D129,Table15[],24,FALSE),VLOOKUP($A129,tordrup[],6,FALSE))</f>
        <v>53.431071976327623</v>
      </c>
      <c r="Y129" s="126">
        <f>IF(VLOOKUP($A129,tordrup[],7,FALSE)=0,VLOOKUP($D129,Table15[],25,FALSE),VLOOKUP($A129,tordrup[],7,FALSE))</f>
        <v>55.74197604203566</v>
      </c>
      <c r="Z129" s="126">
        <f>IF(VLOOKUP($A129,tordrup[],8,FALSE)=0,VLOOKUP($D129,Table15[],26,FALSE),VLOOKUP($A129,tordrup[],8,FALSE))</f>
        <v>55.356825364417659</v>
      </c>
      <c r="AA129" s="126">
        <v>82.4</v>
      </c>
      <c r="AB129" s="126">
        <v>408.79</v>
      </c>
      <c r="AC129" s="126">
        <v>2415.5</v>
      </c>
      <c r="AD129" s="126">
        <v>5434.91</v>
      </c>
      <c r="AF129" s="126">
        <v>144.79273029632611</v>
      </c>
      <c r="AG129" s="126">
        <v>397.17053895855105</v>
      </c>
      <c r="AH129" s="126">
        <v>794.3410779171021</v>
      </c>
      <c r="AI129" s="126">
        <v>2383.0232337513062</v>
      </c>
      <c r="AJ129" s="33" t="str">
        <f>IF(VLOOKUP($A129,lmic_raw[],11,FALSE)=0, "Yes", "No")</f>
        <v>Yes</v>
      </c>
    </row>
    <row r="130" spans="1:36" x14ac:dyDescent="0.25">
      <c r="A130" s="109" t="s">
        <v>316</v>
      </c>
      <c r="D130" s="82" t="s">
        <v>675</v>
      </c>
      <c r="F130" s="82" t="s">
        <v>663</v>
      </c>
      <c r="I130" s="126">
        <f>IF(VLOOKUP($A130,portnoy[],3,FALSE)=0, VLOOKUP($D130,Table15[],9,FALSE),VLOOKUP($A130,portnoy[],3,FALSE))</f>
        <v>0.8034</v>
      </c>
      <c r="J130" s="126">
        <f>sens_costs_regions!J$2</f>
        <v>0.36202199312714778</v>
      </c>
      <c r="K130" s="126">
        <f>sens_costs_regions!K$2</f>
        <v>0.41792411616161618</v>
      </c>
      <c r="L130" s="126">
        <f>sens_costs_regions!L$2</f>
        <v>0.48333918128654974</v>
      </c>
      <c r="M130" s="126">
        <f>sens_costs_regions!M$2</f>
        <v>0.5718158075601375</v>
      </c>
      <c r="N130" s="126">
        <f>sens_costs_regions!N$2</f>
        <v>0.65679722222222237</v>
      </c>
      <c r="O130" s="126">
        <f>sens_costs_regions!O$2</f>
        <v>0.7491286549707602</v>
      </c>
      <c r="P130" s="126">
        <f>IF(VLOOKUP($A130,Table26[],6,FALSE)=0,VLOOKUP($D130,Table15[],16,FALSE),(VLOOKUP($A130,Table26[],6,FALSE)))</f>
        <v>1.2645566784681025E-2</v>
      </c>
      <c r="Q130" s="126">
        <f>IF(VLOOKUP($A130,Table26[],5,FALSE)=0,VLOOKUP($D130,Table15[],17,FALSE),(VLOOKUP($A130,Table26[],5,FALSE)))</f>
        <v>1.9221261512715158E-2</v>
      </c>
      <c r="R130" s="126">
        <f>IF(VLOOKUP($A130,Table26[],16,FALSE)=0,VLOOKUP($D130,Table15[],18,FALSE),(VLOOKUP($A130,Table26[],16,FALSE)))</f>
        <v>0.30349360283234461</v>
      </c>
      <c r="S130" s="126">
        <f>IF(VLOOKUP($A130,Table26[],9,FALSE)=0,VLOOKUP($D130,Table15[],19,FALSE),(VLOOKUP($A130,Table26[],9,FALSE)))</f>
        <v>6.7759839116571657E-3</v>
      </c>
      <c r="T130" s="126">
        <f>IF(VLOOKUP($A130,Table26[],8,FALSE)=0,VLOOKUP($D130,Table15[],20,FALSE),(VLOOKUP($A130,Table26[],8,FALSE)))</f>
        <v>1.0299495545718891E-2</v>
      </c>
      <c r="U130" s="126">
        <f>IF(VLOOKUP($A130,Table26[],10,FALSE)=0,VLOOKUP($D130,Table15[],21,FALSE),(VLOOKUP($A130,Table26[],10,FALSE)))</f>
        <v>2.7103935646628663E-2</v>
      </c>
      <c r="V130" s="126">
        <f>VLOOKUP($F130,vaccine_costs!$AH$6:$AK$11,2,FALSE)</f>
        <v>4.07</v>
      </c>
      <c r="W130" s="126">
        <f>IF(VLOOKUP($A130,tordrup[],5,FALSE)=0,VLOOKUP($D130,Table15[],23,FALSE),VLOOKUP($A130,tordrup[],5,FALSE))</f>
        <v>27.700572722697242</v>
      </c>
      <c r="X130" s="126">
        <f>IF(VLOOKUP($A130,tordrup[],6,FALSE)=0,VLOOKUP($D130,Table15[],24,FALSE),VLOOKUP($A130,tordrup[],6,FALSE))</f>
        <v>56.920572722697244</v>
      </c>
      <c r="Y130" s="126">
        <f>IF(VLOOKUP($A130,tordrup[],7,FALSE)=0,VLOOKUP($D130,Table15[],25,FALSE),VLOOKUP($A130,tordrup[],7,FALSE))</f>
        <v>76.645509798808604</v>
      </c>
      <c r="Z130" s="126">
        <f>IF(VLOOKUP($A130,tordrup[],8,FALSE)=0,VLOOKUP($D130,Table15[],26,FALSE),VLOOKUP($A130,tordrup[],8,FALSE))</f>
        <v>73.358020286123377</v>
      </c>
      <c r="AA130" s="126">
        <v>82.4</v>
      </c>
      <c r="AB130" s="126">
        <v>408.79</v>
      </c>
      <c r="AC130" s="126">
        <v>2415.5</v>
      </c>
      <c r="AD130" s="126">
        <v>5434.91</v>
      </c>
      <c r="AF130" s="126">
        <v>1501.9881338861439</v>
      </c>
      <c r="AG130" s="126">
        <v>1829.515656147435</v>
      </c>
      <c r="AH130" s="126">
        <v>3659.0313122948701</v>
      </c>
      <c r="AI130" s="126">
        <v>10977.09393688461</v>
      </c>
      <c r="AJ130" s="33" t="str">
        <f>IF(VLOOKUP($A130,lmic_raw[],11,FALSE)=0, "Yes", "No")</f>
        <v>No</v>
      </c>
    </row>
    <row r="131" spans="1:36" x14ac:dyDescent="0.25">
      <c r="A131" s="110" t="s">
        <v>189</v>
      </c>
      <c r="D131" s="84" t="s">
        <v>675</v>
      </c>
      <c r="F131" s="84" t="s">
        <v>663</v>
      </c>
      <c r="I131" s="126">
        <f>IF(VLOOKUP($A131,portnoy[],3,FALSE)=0, VLOOKUP($D131,Table15[],9,FALSE),VLOOKUP($A131,portnoy[],3,FALSE))</f>
        <v>2.8222000000000005</v>
      </c>
      <c r="J131" s="126">
        <f>sens_costs_regions!J$2</f>
        <v>0.36202199312714778</v>
      </c>
      <c r="K131" s="126">
        <f>sens_costs_regions!K$2</f>
        <v>0.41792411616161618</v>
      </c>
      <c r="L131" s="126">
        <f>sens_costs_regions!L$2</f>
        <v>0.48333918128654974</v>
      </c>
      <c r="M131" s="126">
        <f>sens_costs_regions!M$2</f>
        <v>0.5718158075601375</v>
      </c>
      <c r="N131" s="126">
        <f>sens_costs_regions!N$2</f>
        <v>0.65679722222222237</v>
      </c>
      <c r="O131" s="126">
        <f>sens_costs_regions!O$2</f>
        <v>0.7491286549707602</v>
      </c>
      <c r="P131" s="126">
        <f>IF(VLOOKUP($A131,Table26[],6,FALSE)=0,VLOOKUP($D131,Table15[],16,FALSE),(VLOOKUP($A131,Table26[],6,FALSE)))</f>
        <v>5.798023684032357E-3</v>
      </c>
      <c r="Q131" s="126">
        <f>IF(VLOOKUP($A131,Table26[],5,FALSE)=0,VLOOKUP($D131,Table15[],17,FALSE),(VLOOKUP($A131,Table26[],5,FALSE)))</f>
        <v>8.8129959997291819E-3</v>
      </c>
      <c r="R131" s="126">
        <f>IF(VLOOKUP($A131,Table26[],16,FALSE)=0,VLOOKUP($D131,Table15[],18,FALSE),(VLOOKUP($A131,Table26[],16,FALSE)))</f>
        <v>0.13915256841677656</v>
      </c>
      <c r="S131" s="126">
        <f>IF(VLOOKUP($A131,Table26[],9,FALSE)=0,VLOOKUP($D131,Table15[],19,FALSE),(VLOOKUP($A131,Table26[],9,FALSE)))</f>
        <v>3.194150248914264E-3</v>
      </c>
      <c r="T131" s="126">
        <f>IF(VLOOKUP($A131,Table26[],8,FALSE)=0,VLOOKUP($D131,Table15[],20,FALSE),(VLOOKUP($A131,Table26[],8,FALSE)))</f>
        <v>4.8551083783496809E-3</v>
      </c>
      <c r="U131" s="126">
        <f>IF(VLOOKUP($A131,Table26[],10,FALSE)=0,VLOOKUP($D131,Table15[],21,FALSE),(VLOOKUP($A131,Table26[],10,FALSE)))</f>
        <v>1.2776600995657056E-2</v>
      </c>
      <c r="V131" s="126">
        <f>VLOOKUP($F131,vaccine_costs!$AH$6:$AK$11,2,FALSE)</f>
        <v>4.07</v>
      </c>
      <c r="W131" s="126">
        <f>IF(VLOOKUP($A131,tordrup[],5,FALSE)=0,VLOOKUP($D131,Table15[],23,FALSE),VLOOKUP($A131,tordrup[],5,FALSE))</f>
        <v>25.231810289891527</v>
      </c>
      <c r="X131" s="126">
        <f>IF(VLOOKUP($A131,tordrup[],6,FALSE)=0,VLOOKUP($D131,Table15[],24,FALSE),VLOOKUP($A131,tordrup[],6,FALSE))</f>
        <v>54.451810289891526</v>
      </c>
      <c r="Y131" s="126">
        <f>IF(VLOOKUP($A131,tordrup[],7,FALSE)=0,VLOOKUP($D131,Table15[],25,FALSE),VLOOKUP($A131,tordrup[],7,FALSE))</f>
        <v>61.157348866996898</v>
      </c>
      <c r="Z131" s="126">
        <f>IF(VLOOKUP($A131,tordrup[],8,FALSE)=0,VLOOKUP($D131,Table15[],26,FALSE),VLOOKUP($A131,tordrup[],8,FALSE))</f>
        <v>60.039759104146</v>
      </c>
      <c r="AA131" s="126">
        <v>82.4</v>
      </c>
      <c r="AB131" s="126">
        <v>408.79</v>
      </c>
      <c r="AC131" s="126">
        <v>2415.5</v>
      </c>
      <c r="AD131" s="126">
        <v>5434.91</v>
      </c>
      <c r="AF131" s="126">
        <v>1128.3943673437407</v>
      </c>
      <c r="AG131" s="126">
        <v>862.42056720685127</v>
      </c>
      <c r="AH131" s="126">
        <v>1724.8411344137025</v>
      </c>
      <c r="AI131" s="126">
        <v>5174.5234032411081</v>
      </c>
      <c r="AJ131" s="33" t="str">
        <f>IF(VLOOKUP($A131,lmic_raw[],11,FALSE)=0, "Yes", "No")</f>
        <v>No</v>
      </c>
    </row>
    <row r="132" spans="1:36" x14ac:dyDescent="0.25">
      <c r="A132" s="109" t="s">
        <v>285</v>
      </c>
      <c r="D132" s="82" t="s">
        <v>681</v>
      </c>
      <c r="F132" s="82" t="s">
        <v>666</v>
      </c>
      <c r="I132" s="126">
        <f>IF(VLOOKUP($A132,portnoy[],3,FALSE)=0, VLOOKUP($D132,Table15[],9,FALSE),VLOOKUP($A132,portnoy[],3,FALSE))</f>
        <v>6.2624000000000004</v>
      </c>
      <c r="J132" s="126">
        <f>sens_costs_regions!J$2</f>
        <v>0.36202199312714778</v>
      </c>
      <c r="K132" s="126">
        <f>sens_costs_regions!K$2</f>
        <v>0.41792411616161618</v>
      </c>
      <c r="L132" s="126">
        <f>sens_costs_regions!L$2</f>
        <v>0.48333918128654974</v>
      </c>
      <c r="M132" s="126">
        <f>sens_costs_regions!M$2</f>
        <v>0.5718158075601375</v>
      </c>
      <c r="N132" s="126">
        <f>sens_costs_regions!N$2</f>
        <v>0.65679722222222237</v>
      </c>
      <c r="O132" s="126">
        <f>sens_costs_regions!O$2</f>
        <v>0.7491286549707602</v>
      </c>
      <c r="P132" s="126">
        <f>IF(VLOOKUP($A132,Table26[],6,FALSE)=0,VLOOKUP($D132,Table15[],16,FALSE),(VLOOKUP($A132,Table26[],6,FALSE)))</f>
        <v>1.0320577889579559E-2</v>
      </c>
      <c r="Q132" s="126">
        <f>IF(VLOOKUP($A132,Table26[],5,FALSE)=0,VLOOKUP($D132,Table15[],17,FALSE),(VLOOKUP($A132,Table26[],5,FALSE)))</f>
        <v>1.5687278392160928E-2</v>
      </c>
      <c r="R132" s="126">
        <f>IF(VLOOKUP($A132,Table26[],16,FALSE)=0,VLOOKUP($D132,Table15[],18,FALSE),(VLOOKUP($A132,Table26[],16,FALSE)))</f>
        <v>0.24769386934990942</v>
      </c>
      <c r="S132" s="126">
        <f>IF(VLOOKUP($A132,Table26[],9,FALSE)=0,VLOOKUP($D132,Table15[],19,FALSE),(VLOOKUP($A132,Table26[],9,FALSE)))</f>
        <v>5.7691826304307626E-3</v>
      </c>
      <c r="T132" s="126">
        <f>IF(VLOOKUP($A132,Table26[],8,FALSE)=0,VLOOKUP($D132,Table15[],20,FALSE),(VLOOKUP($A132,Table26[],8,FALSE)))</f>
        <v>8.7691575982547596E-3</v>
      </c>
      <c r="U132" s="126">
        <f>IF(VLOOKUP($A132,Table26[],10,FALSE)=0,VLOOKUP($D132,Table15[],21,FALSE),(VLOOKUP($A132,Table26[],10,FALSE)))</f>
        <v>2.307673052172305E-2</v>
      </c>
      <c r="V132" s="126">
        <f>VLOOKUP($F132,vaccine_costs!$AH$6:$AK$11,2,FALSE)</f>
        <v>0.63</v>
      </c>
      <c r="W132" s="126">
        <f>IF(VLOOKUP($A132,tordrup[],5,FALSE)=0,VLOOKUP($D132,Table15[],23,FALSE),VLOOKUP($A132,tordrup[],5,FALSE))</f>
        <v>31.676704525533371</v>
      </c>
      <c r="X132" s="126">
        <f>IF(VLOOKUP($A132,tordrup[],6,FALSE)=0,VLOOKUP($D132,Table15[],24,FALSE),VLOOKUP($A132,tordrup[],6,FALSE))</f>
        <v>60.896704525533366</v>
      </c>
      <c r="Y132" s="126">
        <f>IF(VLOOKUP($A132,tordrup[],7,FALSE)=0,VLOOKUP($D132,Table15[],25,FALSE),VLOOKUP($A132,tordrup[],7,FALSE))</f>
        <v>92.795014205408449</v>
      </c>
      <c r="Z132" s="126">
        <f>IF(VLOOKUP($A132,tordrup[],8,FALSE)=0,VLOOKUP($D132,Table15[],26,FALSE),VLOOKUP($A132,tordrup[],8,FALSE))</f>
        <v>87.478629258762595</v>
      </c>
      <c r="AA132" s="126">
        <v>82.4</v>
      </c>
      <c r="AB132" s="126">
        <v>408.79</v>
      </c>
      <c r="AC132" s="126">
        <v>2415.5</v>
      </c>
      <c r="AD132" s="126">
        <v>5434.91</v>
      </c>
      <c r="AF132" s="126">
        <v>0</v>
      </c>
      <c r="AG132" s="126">
        <v>1557.679310216306</v>
      </c>
      <c r="AH132" s="126">
        <v>3115.358620432612</v>
      </c>
      <c r="AI132" s="126">
        <v>9346.0758612978352</v>
      </c>
      <c r="AJ132" s="33" t="str">
        <f>IF(VLOOKUP($A132,lmic_raw[],11,FALSE)=0, "Yes", "No")</f>
        <v>No</v>
      </c>
    </row>
    <row r="133" spans="1:36" x14ac:dyDescent="0.25">
      <c r="A133" s="84" t="s">
        <v>275</v>
      </c>
      <c r="D133" s="84" t="s">
        <v>679</v>
      </c>
      <c r="F133" s="84" t="s">
        <v>665</v>
      </c>
      <c r="I133" s="126">
        <f>IF(VLOOKUP($A133,portnoy[],3,FALSE)=0, VLOOKUP($D133,Table15[],9,FALSE),VLOOKUP($A133,portnoy[],3,FALSE))</f>
        <v>1.9466999999999999</v>
      </c>
      <c r="J133" s="126">
        <f>sens_costs_regions!J$2</f>
        <v>0.36202199312714778</v>
      </c>
      <c r="K133" s="126">
        <f>sens_costs_regions!K$2</f>
        <v>0.41792411616161618</v>
      </c>
      <c r="L133" s="126">
        <f>sens_costs_regions!L$2</f>
        <v>0.48333918128654974</v>
      </c>
      <c r="M133" s="126">
        <f>sens_costs_regions!M$2</f>
        <v>0.5718158075601375</v>
      </c>
      <c r="N133" s="126">
        <f>sens_costs_regions!N$2</f>
        <v>0.65679722222222237</v>
      </c>
      <c r="O133" s="126">
        <f>sens_costs_regions!O$2</f>
        <v>0.7491286549707602</v>
      </c>
      <c r="P133" s="126">
        <f>IF(VLOOKUP($A133,Table26[],6,FALSE)=0,VLOOKUP($D133,Table15[],16,FALSE),(VLOOKUP($A133,Table26[],6,FALSE)))</f>
        <v>3.1427956246000775E-2</v>
      </c>
      <c r="Q133" s="126">
        <f>IF(VLOOKUP($A133,Table26[],5,FALSE)=0,VLOOKUP($D133,Table15[],17,FALSE),(VLOOKUP($A133,Table26[],5,FALSE)))</f>
        <v>4.7770493493921172E-2</v>
      </c>
      <c r="R133" s="126">
        <f>IF(VLOOKUP($A133,Table26[],16,FALSE)=0,VLOOKUP($D133,Table15[],18,FALSE),(VLOOKUP($A133,Table26[],16,FALSE)))</f>
        <v>0.75427094990401855</v>
      </c>
      <c r="S133" s="126">
        <f>IF(VLOOKUP($A133,Table26[],9,FALSE)=0,VLOOKUP($D133,Table15[],19,FALSE),(VLOOKUP($A133,Table26[],9,FALSE)))</f>
        <v>1.6104041409741528E-2</v>
      </c>
      <c r="T133" s="126">
        <f>IF(VLOOKUP($A133,Table26[],8,FALSE)=0,VLOOKUP($D133,Table15[],20,FALSE),(VLOOKUP($A133,Table26[],8,FALSE)))</f>
        <v>2.4478142942807122E-2</v>
      </c>
      <c r="U133" s="126">
        <f>IF(VLOOKUP($A133,Table26[],10,FALSE)=0,VLOOKUP($D133,Table15[],21,FALSE),(VLOOKUP($A133,Table26[],10,FALSE)))</f>
        <v>6.4416165638966114E-2</v>
      </c>
      <c r="V133" s="126">
        <f>VLOOKUP($F133,vaccine_costs!$AH$6:$AK$11,2,FALSE)</f>
        <v>0.02</v>
      </c>
      <c r="W133" s="126">
        <f>IF(VLOOKUP($A133,tordrup[],5,FALSE)=0,VLOOKUP($D133,Table15[],23,FALSE),VLOOKUP($A133,tordrup[],5,FALSE))</f>
        <v>39.522146679786147</v>
      </c>
      <c r="X133" s="126">
        <f>IF(VLOOKUP($A133,tordrup[],6,FALSE)=0,VLOOKUP($D133,Table15[],24,FALSE),VLOOKUP($A133,tordrup[],6,FALSE))</f>
        <v>68.742146679786146</v>
      </c>
      <c r="Y133" s="126">
        <f>IF(VLOOKUP($A133,tordrup[],7,FALSE)=0,VLOOKUP($D133,Table15[],25,FALSE),VLOOKUP($A133,tordrup[],7,FALSE))</f>
        <v>157.90387575059609</v>
      </c>
      <c r="Z133" s="126">
        <f>IF(VLOOKUP($A133,tordrup[],8,FALSE)=0,VLOOKUP($D133,Table15[],26,FALSE),VLOOKUP($A133,tordrup[],8,FALSE))</f>
        <v>143.04358757212776</v>
      </c>
      <c r="AA133" s="126">
        <v>82.4</v>
      </c>
      <c r="AB133" s="126">
        <v>408.79</v>
      </c>
      <c r="AC133" s="126">
        <v>2415.5</v>
      </c>
      <c r="AD133" s="126">
        <v>5434.91</v>
      </c>
      <c r="AF133" s="126">
        <v>4852.6543484477133</v>
      </c>
      <c r="AG133" s="126">
        <v>8027.2452565480844</v>
      </c>
      <c r="AH133" s="126">
        <v>16054.490513096169</v>
      </c>
      <c r="AI133" s="126">
        <v>48163.471539288505</v>
      </c>
      <c r="AJ133" s="33" t="str">
        <f>IF(VLOOKUP($A133,lmic_raw[],11,FALSE)=0, "Yes", "No")</f>
        <v>No</v>
      </c>
    </row>
    <row r="134" spans="1:36" x14ac:dyDescent="0.25">
      <c r="A134" s="109" t="s">
        <v>221</v>
      </c>
      <c r="D134" s="82" t="s">
        <v>681</v>
      </c>
      <c r="F134" s="82" t="s">
        <v>666</v>
      </c>
      <c r="I134" s="126">
        <f>IF(VLOOKUP($A134,portnoy[],3,FALSE)=0, VLOOKUP($D134,Table15[],9,FALSE),VLOOKUP($A134,portnoy[],3,FALSE))</f>
        <v>1.2565999999999999</v>
      </c>
      <c r="J134" s="126">
        <f>sens_costs_regions!J$2</f>
        <v>0.36202199312714778</v>
      </c>
      <c r="K134" s="126">
        <f>sens_costs_regions!K$2</f>
        <v>0.41792411616161618</v>
      </c>
      <c r="L134" s="126">
        <f>sens_costs_regions!L$2</f>
        <v>0.48333918128654974</v>
      </c>
      <c r="M134" s="126">
        <f>sens_costs_regions!M$2</f>
        <v>0.5718158075601375</v>
      </c>
      <c r="N134" s="126">
        <f>sens_costs_regions!N$2</f>
        <v>0.65679722222222237</v>
      </c>
      <c r="O134" s="126">
        <f>sens_costs_regions!O$2</f>
        <v>0.7491286549707602</v>
      </c>
      <c r="P134" s="126">
        <f>IF(VLOOKUP($A134,Table26[],6,FALSE)=0,VLOOKUP($D134,Table15[],16,FALSE),(VLOOKUP($A134,Table26[],6,FALSE)))</f>
        <v>9.4860860257556731E-3</v>
      </c>
      <c r="Q134" s="126">
        <f>IF(VLOOKUP($A134,Table26[],5,FALSE)=0,VLOOKUP($D134,Table15[],17,FALSE),(VLOOKUP($A134,Table26[],5,FALSE)))</f>
        <v>1.4418850759148623E-2</v>
      </c>
      <c r="R134" s="126">
        <f>IF(VLOOKUP($A134,Table26[],16,FALSE)=0,VLOOKUP($D134,Table15[],18,FALSE),(VLOOKUP($A134,Table26[],16,FALSE)))</f>
        <v>0.22766606461813618</v>
      </c>
      <c r="S134" s="126">
        <f>IF(VLOOKUP($A134,Table26[],9,FALSE)=0,VLOOKUP($D134,Table15[],19,FALSE),(VLOOKUP($A134,Table26[],9,FALSE)))</f>
        <v>5.0282889563096501E-3</v>
      </c>
      <c r="T134" s="126">
        <f>IF(VLOOKUP($A134,Table26[],8,FALSE)=0,VLOOKUP($D134,Table15[],20,FALSE),(VLOOKUP($A134,Table26[],8,FALSE)))</f>
        <v>7.6429992135906679E-3</v>
      </c>
      <c r="U134" s="126">
        <f>IF(VLOOKUP($A134,Table26[],10,FALSE)=0,VLOOKUP($D134,Table15[],21,FALSE),(VLOOKUP($A134,Table26[],10,FALSE)))</f>
        <v>2.01131558252386E-2</v>
      </c>
      <c r="V134" s="126">
        <f>VLOOKUP($F134,vaccine_costs!$AH$6:$AK$11,2,FALSE)</f>
        <v>0.63</v>
      </c>
      <c r="W134" s="126">
        <f>IF(VLOOKUP($A134,tordrup[],5,FALSE)=0,VLOOKUP($D134,Table15[],23,FALSE),VLOOKUP($A134,tordrup[],5,FALSE))</f>
        <v>25.018167387052571</v>
      </c>
      <c r="X134" s="126">
        <f>IF(VLOOKUP($A134,tordrup[],6,FALSE)=0,VLOOKUP($D134,Table15[],24,FALSE),VLOOKUP($A134,tordrup[],6,FALSE))</f>
        <v>54.23816738705257</v>
      </c>
      <c r="Y134" s="126">
        <f>IF(VLOOKUP($A134,tordrup[],7,FALSE)=0,VLOOKUP($D134,Table15[],25,FALSE),VLOOKUP($A134,tordrup[],7,FALSE))</f>
        <v>60.230850811685286</v>
      </c>
      <c r="Z134" s="126">
        <f>IF(VLOOKUP($A134,tordrup[],8,FALSE)=0,VLOOKUP($D134,Table15[],26,FALSE),VLOOKUP($A134,tordrup[],8,FALSE))</f>
        <v>59.232070240913174</v>
      </c>
      <c r="AA134" s="126">
        <v>82.4</v>
      </c>
      <c r="AB134" s="126">
        <v>408.79</v>
      </c>
      <c r="AC134" s="126">
        <v>2415.5</v>
      </c>
      <c r="AD134" s="126">
        <v>5434.91</v>
      </c>
      <c r="AF134" s="126">
        <v>1557.190556219572</v>
      </c>
      <c r="AG134" s="126">
        <v>1357.6380182036057</v>
      </c>
      <c r="AH134" s="126">
        <v>2715.2760364072114</v>
      </c>
      <c r="AI134" s="126">
        <v>8145.8281092216348</v>
      </c>
      <c r="AJ134" s="33" t="str">
        <f>IF(VLOOKUP($A134,lmic_raw[],11,FALSE)=0, "Yes", "No")</f>
        <v>No</v>
      </c>
    </row>
    <row r="135" spans="1:36" x14ac:dyDescent="0.25">
      <c r="A135" s="110" t="s">
        <v>182</v>
      </c>
      <c r="D135" s="84" t="s">
        <v>673</v>
      </c>
      <c r="F135" s="84" t="s">
        <v>579</v>
      </c>
      <c r="I135" s="126">
        <f>IF(VLOOKUP($A135,portnoy[],3,FALSE)=0, VLOOKUP($D135,Table15[],9,FALSE),VLOOKUP($A135,portnoy[],3,FALSE))</f>
        <v>0.91670000000000007</v>
      </c>
      <c r="J135" s="126">
        <f>sens_costs_regions!J$2</f>
        <v>0.36202199312714778</v>
      </c>
      <c r="K135" s="126">
        <f>sens_costs_regions!K$2</f>
        <v>0.41792411616161618</v>
      </c>
      <c r="L135" s="126">
        <f>sens_costs_regions!L$2</f>
        <v>0.48333918128654974</v>
      </c>
      <c r="M135" s="126">
        <f>sens_costs_regions!M$2</f>
        <v>0.5718158075601375</v>
      </c>
      <c r="N135" s="126">
        <f>sens_costs_regions!N$2</f>
        <v>0.65679722222222237</v>
      </c>
      <c r="O135" s="126">
        <f>sens_costs_regions!O$2</f>
        <v>0.7491286549707602</v>
      </c>
      <c r="P135" s="126">
        <f>IF(VLOOKUP($A135,Table26[],6,FALSE)=0,VLOOKUP($D135,Table15[],16,FALSE),(VLOOKUP($A135,Table26[],6,FALSE)))</f>
        <v>4.1591015294497914E-3</v>
      </c>
      <c r="Q135" s="126">
        <f>IF(VLOOKUP($A135,Table26[],5,FALSE)=0,VLOOKUP($D135,Table15[],17,FALSE),(VLOOKUP($A135,Table26[],5,FALSE)))</f>
        <v>6.3218343247636814E-3</v>
      </c>
      <c r="R135" s="126">
        <f>IF(VLOOKUP($A135,Table26[],16,FALSE)=0,VLOOKUP($D135,Table15[],18,FALSE),(VLOOKUP($A135,Table26[],16,FALSE)))</f>
        <v>9.981843670679498E-2</v>
      </c>
      <c r="S135" s="126">
        <f>IF(VLOOKUP($A135,Table26[],9,FALSE)=0,VLOOKUP($D135,Table15[],19,FALSE),(VLOOKUP($A135,Table26[],9,FALSE)))</f>
        <v>2.2106771700014407E-3</v>
      </c>
      <c r="T135" s="126">
        <f>IF(VLOOKUP($A135,Table26[],8,FALSE)=0,VLOOKUP($D135,Table15[],20,FALSE),(VLOOKUP($A135,Table26[],8,FALSE)))</f>
        <v>3.3602292984021898E-3</v>
      </c>
      <c r="U135" s="126">
        <f>IF(VLOOKUP($A135,Table26[],10,FALSE)=0,VLOOKUP($D135,Table15[],21,FALSE),(VLOOKUP($A135,Table26[],10,FALSE)))</f>
        <v>8.842708680005763E-3</v>
      </c>
      <c r="V135" s="126">
        <f>VLOOKUP($F135,vaccine_costs!$AH$6:$AK$11,2,FALSE)</f>
        <v>0.48</v>
      </c>
      <c r="W135" s="126">
        <f>IF(VLOOKUP($A135,tordrup[],5,FALSE)=0,VLOOKUP($D135,Table15[],23,FALSE),VLOOKUP($A135,tordrup[],5,FALSE))</f>
        <v>25.777786597146637</v>
      </c>
      <c r="X135" s="126">
        <f>IF(VLOOKUP($A135,tordrup[],6,FALSE)=0,VLOOKUP($D135,Table15[],24,FALSE),VLOOKUP($A135,tordrup[],6,FALSE))</f>
        <v>54.997786597146636</v>
      </c>
      <c r="Y135" s="126">
        <f>IF(VLOOKUP($A135,tordrup[],7,FALSE)=0,VLOOKUP($D135,Table15[],25,FALSE),VLOOKUP($A135,tordrup[],7,FALSE))</f>
        <v>62.760857543304837</v>
      </c>
      <c r="Z135" s="126">
        <f>IF(VLOOKUP($A135,tordrup[],8,FALSE)=0,VLOOKUP($D135,Table15[],26,FALSE),VLOOKUP($A135,tordrup[],8,FALSE))</f>
        <v>61.46701238561181</v>
      </c>
      <c r="AA135" s="126">
        <v>82.4</v>
      </c>
      <c r="AB135" s="126">
        <v>408.79</v>
      </c>
      <c r="AC135" s="126">
        <v>2415.5</v>
      </c>
      <c r="AD135" s="126">
        <v>5434.91</v>
      </c>
      <c r="AF135" s="126">
        <v>249.86233648829773</v>
      </c>
      <c r="AG135" s="126">
        <v>387.16724490836037</v>
      </c>
      <c r="AH135" s="126">
        <v>774.33448981672075</v>
      </c>
      <c r="AI135" s="126">
        <v>2323.0034694501624</v>
      </c>
      <c r="AJ135" s="33" t="str">
        <f>IF(VLOOKUP($A135,lmic_raw[],11,FALSE)=0, "Yes", "No")</f>
        <v>Yes</v>
      </c>
    </row>
    <row r="136" spans="1:36" x14ac:dyDescent="0.25">
      <c r="A136" s="109" t="s">
        <v>119</v>
      </c>
      <c r="D136" s="82" t="s">
        <v>677</v>
      </c>
      <c r="F136" s="82" t="s">
        <v>667</v>
      </c>
      <c r="I136" s="126">
        <f>IF(VLOOKUP($A136,portnoy[],3,FALSE)=0, VLOOKUP($D136,Table15[],9,FALSE),VLOOKUP($A136,portnoy[],3,FALSE))</f>
        <v>2.472</v>
      </c>
      <c r="J136" s="126">
        <f>sens_costs_regions!J$2</f>
        <v>0.36202199312714778</v>
      </c>
      <c r="K136" s="126">
        <f>sens_costs_regions!K$2</f>
        <v>0.41792411616161618</v>
      </c>
      <c r="L136" s="126">
        <f>sens_costs_regions!L$2</f>
        <v>0.48333918128654974</v>
      </c>
      <c r="M136" s="126">
        <f>sens_costs_regions!M$2</f>
        <v>0.5718158075601375</v>
      </c>
      <c r="N136" s="126">
        <f>sens_costs_regions!N$2</f>
        <v>0.65679722222222237</v>
      </c>
      <c r="O136" s="126">
        <f>sens_costs_regions!O$2</f>
        <v>0.7491286549707602</v>
      </c>
      <c r="P136" s="126">
        <f>IF(VLOOKUP($A136,Table26[],6,FALSE)=0,VLOOKUP($D136,Table15[],16,FALSE),(VLOOKUP($A136,Table26[],6,FALSE)))</f>
        <v>4.6554195321919789E-3</v>
      </c>
      <c r="Q136" s="126">
        <f>IF(VLOOKUP($A136,Table26[],5,FALSE)=0,VLOOKUP($D136,Table15[],17,FALSE),(VLOOKUP($A136,Table26[],5,FALSE)))</f>
        <v>7.0762376889318074E-3</v>
      </c>
      <c r="R136" s="126">
        <f>IF(VLOOKUP($A136,Table26[],16,FALSE)=0,VLOOKUP($D136,Table15[],18,FALSE),(VLOOKUP($A136,Table26[],16,FALSE)))</f>
        <v>0.11173006877260749</v>
      </c>
      <c r="S136" s="126">
        <f>IF(VLOOKUP($A136,Table26[],9,FALSE)=0,VLOOKUP($D136,Table15[],19,FALSE),(VLOOKUP($A136,Table26[],9,FALSE)))</f>
        <v>2.416783802787848E-3</v>
      </c>
      <c r="T136" s="126">
        <f>IF(VLOOKUP($A136,Table26[],8,FALSE)=0,VLOOKUP($D136,Table15[],20,FALSE),(VLOOKUP($A136,Table26[],8,FALSE)))</f>
        <v>3.6735113802375285E-3</v>
      </c>
      <c r="U136" s="126">
        <f>IF(VLOOKUP($A136,Table26[],10,FALSE)=0,VLOOKUP($D136,Table15[],21,FALSE),(VLOOKUP($A136,Table26[],10,FALSE)))</f>
        <v>9.6671352111513918E-3</v>
      </c>
      <c r="V136" s="126">
        <f>VLOOKUP($F136,vaccine_costs!$AH$6:$AK$11,2,FALSE)</f>
        <v>4.83</v>
      </c>
      <c r="W136" s="126">
        <f>IF(VLOOKUP($A136,tordrup[],5,FALSE)=0,VLOOKUP($D136,Table15[],23,FALSE),VLOOKUP($A136,tordrup[],5,FALSE))</f>
        <v>24.650226832163256</v>
      </c>
      <c r="X136" s="126">
        <f>IF(VLOOKUP($A136,tordrup[],6,FALSE)=0,VLOOKUP($D136,Table15[],24,FALSE),VLOOKUP($A136,tordrup[],6,FALSE))</f>
        <v>53.870226832163254</v>
      </c>
      <c r="Y136" s="126">
        <f>IF(VLOOKUP($A136,tordrup[],7,FALSE)=0,VLOOKUP($D136,Table15[],25,FALSE),VLOOKUP($A136,tordrup[],7,FALSE))</f>
        <v>57.450169740734694</v>
      </c>
      <c r="Z136" s="126">
        <f>IF(VLOOKUP($A136,tordrup[],8,FALSE)=0,VLOOKUP($D136,Table15[],26,FALSE),VLOOKUP($A136,tordrup[],8,FALSE))</f>
        <v>56.853512589306121</v>
      </c>
      <c r="AA136" s="126">
        <v>82.4</v>
      </c>
      <c r="AB136" s="126">
        <v>408.79</v>
      </c>
      <c r="AC136" s="126">
        <v>2415.5</v>
      </c>
      <c r="AD136" s="126">
        <v>5434.91</v>
      </c>
      <c r="AF136" s="126">
        <v>531.90116467798396</v>
      </c>
      <c r="AG136" s="126">
        <v>652.53162675271903</v>
      </c>
      <c r="AH136" s="126">
        <v>1305.0632535054381</v>
      </c>
      <c r="AI136" s="126">
        <v>3915.189760516314</v>
      </c>
      <c r="AJ136" s="33" t="str">
        <f>IF(VLOOKUP($A136,lmic_raw[],11,FALSE)=0, "Yes", "No")</f>
        <v>No</v>
      </c>
    </row>
    <row r="137" spans="1:36" x14ac:dyDescent="0.25">
      <c r="A137" s="111" t="s">
        <v>120</v>
      </c>
      <c r="D137" s="84" t="s">
        <v>677</v>
      </c>
      <c r="F137" s="84" t="s">
        <v>667</v>
      </c>
      <c r="I137" s="126">
        <f>IF(VLOOKUP($A137,portnoy[],3,FALSE)=0, VLOOKUP($D137,Table15[],9,FALSE),VLOOKUP($A137,portnoy[],3,FALSE))</f>
        <v>2.7294999999999998</v>
      </c>
      <c r="J137" s="126">
        <f>sens_costs_regions!J$2</f>
        <v>0.36202199312714778</v>
      </c>
      <c r="K137" s="126">
        <f>sens_costs_regions!K$2</f>
        <v>0.41792411616161618</v>
      </c>
      <c r="L137" s="126">
        <f>sens_costs_regions!L$2</f>
        <v>0.48333918128654974</v>
      </c>
      <c r="M137" s="126">
        <f>sens_costs_regions!M$2</f>
        <v>0.5718158075601375</v>
      </c>
      <c r="N137" s="126">
        <f>sens_costs_regions!N$2</f>
        <v>0.65679722222222237</v>
      </c>
      <c r="O137" s="126">
        <f>sens_costs_regions!O$2</f>
        <v>0.7491286549707602</v>
      </c>
      <c r="P137" s="126">
        <f>IF(VLOOKUP($A137,Table26[],6,FALSE)=0,VLOOKUP($D137,Table15[],16,FALSE),(VLOOKUP($A137,Table26[],6,FALSE)))</f>
        <v>4.8439316245937371E-3</v>
      </c>
      <c r="Q137" s="126">
        <f>IF(VLOOKUP($A137,Table26[],5,FALSE)=0,VLOOKUP($D137,Table15[],17,FALSE),(VLOOKUP($A137,Table26[],5,FALSE)))</f>
        <v>7.3627760693824804E-3</v>
      </c>
      <c r="R137" s="126">
        <f>IF(VLOOKUP($A137,Table26[],16,FALSE)=0,VLOOKUP($D137,Table15[],18,FALSE),(VLOOKUP($A137,Table26[],16,FALSE)))</f>
        <v>0.11625435899024969</v>
      </c>
      <c r="S137" s="126">
        <f>IF(VLOOKUP($A137,Table26[],9,FALSE)=0,VLOOKUP($D137,Table15[],19,FALSE),(VLOOKUP($A137,Table26[],9,FALSE)))</f>
        <v>2.7110850188528553E-3</v>
      </c>
      <c r="T137" s="126">
        <f>IF(VLOOKUP($A137,Table26[],8,FALSE)=0,VLOOKUP($D137,Table15[],20,FALSE),(VLOOKUP($A137,Table26[],8,FALSE)))</f>
        <v>4.1208492286563397E-3</v>
      </c>
      <c r="U137" s="126">
        <f>IF(VLOOKUP($A137,Table26[],10,FALSE)=0,VLOOKUP($D137,Table15[],21,FALSE),(VLOOKUP($A137,Table26[],10,FALSE)))</f>
        <v>1.0844340075411421E-2</v>
      </c>
      <c r="V137" s="126">
        <f>VLOOKUP($F137,vaccine_costs!$AH$6:$AK$11,2,FALSE)</f>
        <v>4.83</v>
      </c>
      <c r="W137" s="126">
        <f>IF(VLOOKUP($A137,tordrup[],5,FALSE)=0,VLOOKUP($D137,Table15[],23,FALSE),VLOOKUP($A137,tordrup[],5,FALSE))</f>
        <v>26.044512197590766</v>
      </c>
      <c r="X137" s="126">
        <f>IF(VLOOKUP($A137,tordrup[],6,FALSE)=0,VLOOKUP($D137,Table15[],24,FALSE),VLOOKUP($A137,tordrup[],6,FALSE))</f>
        <v>55.264512197590776</v>
      </c>
      <c r="Y137" s="126">
        <f>IF(VLOOKUP($A137,tordrup[],7,FALSE)=0,VLOOKUP($D137,Table15[],25,FALSE),VLOOKUP($A137,tordrup[],7,FALSE))</f>
        <v>66.30770473986702</v>
      </c>
      <c r="Z137" s="126">
        <f>IF(VLOOKUP($A137,tordrup[],8,FALSE)=0,VLOOKUP($D137,Table15[],26,FALSE),VLOOKUP($A137,tordrup[],8,FALSE))</f>
        <v>64.467172649487651</v>
      </c>
      <c r="AA137" s="126">
        <v>82.4</v>
      </c>
      <c r="AB137" s="126">
        <v>408.79</v>
      </c>
      <c r="AC137" s="126">
        <v>2415.5</v>
      </c>
      <c r="AD137" s="126">
        <v>5434.91</v>
      </c>
      <c r="AF137" s="126">
        <v>239.66961881951539</v>
      </c>
      <c r="AG137" s="126">
        <v>731.99295509027093</v>
      </c>
      <c r="AH137" s="126">
        <v>1463.9859101805419</v>
      </c>
      <c r="AI137" s="126">
        <v>4391.957730541626</v>
      </c>
      <c r="AJ137" s="33" t="str">
        <f>IF(VLOOKUP($A137,lmic_raw[],11,FALSE)=0, "Yes", "No")</f>
        <v>Yes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interactive</vt:lpstr>
      <vt:lpstr>global_pars</vt:lpstr>
      <vt:lpstr>LMICs</vt:lpstr>
      <vt:lpstr>Regions</vt:lpstr>
      <vt:lpstr>Demographics</vt:lpstr>
      <vt:lpstr>Epidemiology</vt:lpstr>
      <vt:lpstr>vaccine_costs</vt:lpstr>
      <vt:lpstr>disease_costs</vt:lpstr>
      <vt:lpstr>sens_costs_lmics</vt:lpstr>
      <vt:lpstr>sens_costs_regions</vt:lpstr>
      <vt:lpstr>LMICs_raw</vt:lpstr>
      <vt:lpstr>Tab 1</vt:lpstr>
      <vt:lpstr>Tab 2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Seaman</dc:creator>
  <cp:lastModifiedBy>seama</cp:lastModifiedBy>
  <dcterms:created xsi:type="dcterms:W3CDTF">2021-04-29T01:34:42Z</dcterms:created>
  <dcterms:modified xsi:type="dcterms:W3CDTF">2021-06-14T03:09:49Z</dcterms:modified>
</cp:coreProperties>
</file>